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codeName="ThisWorkbook" defaultThemeVersion="166925"/>
  <xr:revisionPtr revIDLastSave="3" documentId="8_{C3768A38-C35D-45C8-83B0-86C8490368BC}" xr6:coauthVersionLast="47" xr6:coauthVersionMax="47" xr10:uidLastSave="{2BAA0FA9-732A-4D62-83D0-03663B458B48}"/>
  <bookViews>
    <workbookView xWindow="-28920" yWindow="0" windowWidth="29040" windowHeight="15840" tabRatio="923" xr2:uid="{00000000-000D-0000-FFFF-FFFF00000000}"/>
  </bookViews>
  <sheets>
    <sheet name="Calculation" sheetId="48" r:id="rId1"/>
    <sheet name="Labor Expenditures" sheetId="7" r:id="rId2"/>
    <sheet name="Non-Labor Expenditures" sheetId="8" r:id="rId3"/>
    <sheet name="Total Customers" sheetId="17" r:id="rId4"/>
    <sheet name="Gross Dx Plant" sheetId="14" r:id="rId5"/>
    <sheet name="Dist Plant Depreciation" sheetId="16" r:id="rId6"/>
    <sheet name="Gross Gen Plant" sheetId="15" r:id="rId7"/>
    <sheet name="Gen. Plant Depreciation" sheetId="18" r:id="rId8"/>
    <sheet name="Dist. Plant Gas Additions" sheetId="19" r:id="rId9"/>
    <sheet name="Gen. Plant Additions" sheetId="20" r:id="rId10"/>
    <sheet name="Total Gas Plant" sheetId="49" r:id="rId11"/>
    <sheet name="PPI-Construction" sheetId="21" r:id="rId12"/>
    <sheet name="GDP-PI" sheetId="22" r:id="rId13"/>
    <sheet name="ECI - Input Price" sheetId="28" r:id="rId14"/>
    <sheet name="RoR" sheetId="53" r:id="rId15"/>
    <sheet name="HW Dx Data" sheetId="56" r:id="rId16"/>
    <sheet name="State Tax Lookup" sheetId="55" r:id="rId17"/>
    <sheet name="Delete Companies" sheetId="52" r:id="rId18"/>
  </sheets>
  <definedNames>
    <definedName name="__FDS_HYPERLINK_TOGGLE_STATE__" hidden="1">"ON"</definedName>
    <definedName name="_1E_1">#N/A</definedName>
    <definedName name="_xlnm._FilterDatabase" localSheetId="0" hidden="1">Calculation!$B$33:$EH$1331</definedName>
    <definedName name="_xlnm._FilterDatabase" localSheetId="17" hidden="1">'Delete Companies'!$A$4:$D$29</definedName>
    <definedName name="_xlnm._FilterDatabase" localSheetId="16" hidden="1">'State Tax Lookup'!$A$6:$Z$91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39" i="48" l="1"/>
  <c r="BN39" i="48" s="1"/>
  <c r="AW36" i="48"/>
  <c r="BE59" i="48"/>
  <c r="BD59" i="48" s="1"/>
  <c r="BB59" i="48"/>
  <c r="BD44" i="48"/>
  <c r="K1459" i="48"/>
  <c r="P1373" i="48"/>
  <c r="P1387" i="48"/>
  <c r="P1386" i="48"/>
  <c r="P1385" i="48"/>
  <c r="P1384" i="48"/>
  <c r="P1383" i="48"/>
  <c r="P1382" i="48"/>
  <c r="P1381" i="48"/>
  <c r="P1380" i="48"/>
  <c r="P1379" i="48"/>
  <c r="P1378" i="48"/>
  <c r="P1377" i="48"/>
  <c r="P1376" i="48"/>
  <c r="P1375" i="48"/>
  <c r="P1374" i="48"/>
  <c r="Q1373" i="48"/>
  <c r="O1454" i="48"/>
  <c r="O1453" i="48"/>
  <c r="O1452" i="48"/>
  <c r="O1451" i="48"/>
  <c r="O1450" i="48"/>
  <c r="O1449" i="48"/>
  <c r="O1448" i="48"/>
  <c r="O1447" i="48"/>
  <c r="O1446" i="48"/>
  <c r="O1445" i="48"/>
  <c r="O1444" i="48"/>
  <c r="O1443" i="48"/>
  <c r="O1442" i="48"/>
  <c r="O1441" i="48"/>
  <c r="O1440" i="48"/>
  <c r="O1439" i="48"/>
  <c r="I1459" i="48"/>
  <c r="R1430" i="48"/>
  <c r="R1429" i="48"/>
  <c r="R1428" i="48"/>
  <c r="R1427" i="48"/>
  <c r="R1426" i="48"/>
  <c r="R1425" i="48"/>
  <c r="R1424" i="48"/>
  <c r="R1423" i="48"/>
  <c r="R1422" i="48"/>
  <c r="R1421" i="48"/>
  <c r="R1420" i="48"/>
  <c r="R1419" i="48"/>
  <c r="R1418" i="48"/>
  <c r="R1417" i="48"/>
  <c r="R1416" i="48"/>
  <c r="R1408" i="48"/>
  <c r="R1407" i="48"/>
  <c r="R1406" i="48"/>
  <c r="R1405" i="48"/>
  <c r="R1404" i="48"/>
  <c r="R1403" i="48"/>
  <c r="R1402" i="48"/>
  <c r="R1401" i="48"/>
  <c r="R1400" i="48"/>
  <c r="R1399" i="48"/>
  <c r="R1398" i="48"/>
  <c r="R1397" i="48"/>
  <c r="R1396" i="48"/>
  <c r="R1395" i="48"/>
  <c r="R1394" i="48"/>
  <c r="R1393" i="48"/>
  <c r="R1374" i="48"/>
  <c r="Q1388" i="48"/>
  <c r="Q1387" i="48"/>
  <c r="Q1386" i="48"/>
  <c r="Q1385" i="48"/>
  <c r="Q1384" i="48"/>
  <c r="Q1383" i="48"/>
  <c r="Q1382" i="48"/>
  <c r="Q1381" i="48"/>
  <c r="Q1380" i="48"/>
  <c r="Q1379" i="48"/>
  <c r="Q1378" i="48"/>
  <c r="Q1377" i="48"/>
  <c r="Q1376" i="48"/>
  <c r="Q1375" i="48"/>
  <c r="Q1374" i="48"/>
  <c r="J1438" i="48"/>
  <c r="AB43" i="48"/>
  <c r="U43" i="48"/>
  <c r="BK52" i="48"/>
  <c r="I1438" i="48" l="1"/>
  <c r="BM52" i="48"/>
  <c r="BO52" i="48" s="1"/>
  <c r="BL52" i="48"/>
  <c r="BN52" i="48" s="1"/>
  <c r="AK1355" i="48"/>
  <c r="AJ1355" i="48"/>
  <c r="AK1354" i="48"/>
  <c r="AJ1354" i="48"/>
  <c r="AK1353" i="48"/>
  <c r="AJ1353" i="48"/>
  <c r="AK1352" i="48"/>
  <c r="AJ1352" i="48"/>
  <c r="AK1351" i="48"/>
  <c r="AJ1351" i="48"/>
  <c r="AK1350" i="48"/>
  <c r="AJ1350" i="48"/>
  <c r="AK1349" i="48"/>
  <c r="AJ1349" i="48"/>
  <c r="AK1348" i="48"/>
  <c r="AJ1348" i="48"/>
  <c r="AK1347" i="48"/>
  <c r="AJ1347" i="48"/>
  <c r="AK1346" i="48"/>
  <c r="AJ1346" i="48"/>
  <c r="AK1345" i="48"/>
  <c r="AJ1345" i="48"/>
  <c r="AK1344" i="48"/>
  <c r="AJ1344" i="48"/>
  <c r="AK1343" i="48"/>
  <c r="AJ1343" i="48"/>
  <c r="AK1342" i="48"/>
  <c r="AJ1342" i="48"/>
  <c r="AK1341" i="48"/>
  <c r="AJ1341" i="48"/>
  <c r="AK1340" i="48"/>
  <c r="AJ1340" i="48"/>
  <c r="AK692" i="48"/>
  <c r="AK538" i="48"/>
  <c r="AK537" i="48"/>
  <c r="AK536" i="48"/>
  <c r="AK535" i="48"/>
  <c r="AK534" i="48"/>
  <c r="AK533" i="48"/>
  <c r="AK532" i="48"/>
  <c r="AK531" i="48"/>
  <c r="AK530" i="48"/>
  <c r="AK529" i="48"/>
  <c r="AK528" i="48"/>
  <c r="AK527" i="48"/>
  <c r="AK526" i="48"/>
  <c r="AK525" i="48"/>
  <c r="AK524" i="48"/>
  <c r="P1415" i="48"/>
  <c r="Q1415" i="48"/>
  <c r="P1392" i="48"/>
  <c r="Q1392" i="48"/>
  <c r="Q1431" i="48"/>
  <c r="R1431" i="48" s="1"/>
  <c r="Q1430" i="48"/>
  <c r="Q1429" i="48"/>
  <c r="Q1428" i="48"/>
  <c r="Q1427" i="48"/>
  <c r="P1426" i="48"/>
  <c r="Q1425" i="48"/>
  <c r="Q1424" i="48"/>
  <c r="Q1423" i="48"/>
  <c r="P1422" i="48"/>
  <c r="Q1421" i="48"/>
  <c r="Q1420" i="48"/>
  <c r="Q1419" i="48"/>
  <c r="P1418" i="48"/>
  <c r="Q1417" i="48"/>
  <c r="Q1416" i="48"/>
  <c r="P1430" i="48"/>
  <c r="P1416" i="48"/>
  <c r="P1427" i="48"/>
  <c r="P1425" i="48"/>
  <c r="P1423" i="48"/>
  <c r="P1421" i="48"/>
  <c r="P1419" i="48"/>
  <c r="P1417" i="48"/>
  <c r="Q1408" i="48"/>
  <c r="Q1407" i="48"/>
  <c r="Q1406" i="48"/>
  <c r="Q1405" i="48"/>
  <c r="Q1404" i="48"/>
  <c r="Q1403" i="48"/>
  <c r="Q1402" i="48"/>
  <c r="Q1401" i="48"/>
  <c r="Q1400" i="48"/>
  <c r="Q1399" i="48"/>
  <c r="Q1398" i="48"/>
  <c r="Q1397" i="48"/>
  <c r="Q1396" i="48"/>
  <c r="Q1395" i="48"/>
  <c r="Q1394" i="48"/>
  <c r="Q1393" i="48"/>
  <c r="P1408" i="48"/>
  <c r="P1407" i="48"/>
  <c r="P1406" i="48"/>
  <c r="P1405" i="48"/>
  <c r="P1404" i="48"/>
  <c r="P1403" i="48"/>
  <c r="P1402" i="48"/>
  <c r="P1401" i="48"/>
  <c r="P1400" i="48"/>
  <c r="P1399" i="48"/>
  <c r="P1398" i="48"/>
  <c r="P1397" i="48"/>
  <c r="P1396" i="48"/>
  <c r="P1395" i="48"/>
  <c r="P1394" i="48"/>
  <c r="P1393" i="48"/>
  <c r="J1369" i="48"/>
  <c r="J1370" i="48"/>
  <c r="J1371" i="48"/>
  <c r="J1372" i="48"/>
  <c r="J1373" i="48"/>
  <c r="J1374" i="48"/>
  <c r="J1375" i="48"/>
  <c r="J1376" i="48"/>
  <c r="J1377" i="48"/>
  <c r="J1378" i="48"/>
  <c r="J1379" i="48"/>
  <c r="J1380" i="48"/>
  <c r="J1381" i="48"/>
  <c r="J1382" i="48"/>
  <c r="J1383" i="48"/>
  <c r="J1384" i="48"/>
  <c r="J1385" i="48"/>
  <c r="J1386" i="48"/>
  <c r="J1387" i="48"/>
  <c r="J1388" i="48"/>
  <c r="G1367" i="48"/>
  <c r="G1368" i="48" s="1"/>
  <c r="G1369" i="48" s="1"/>
  <c r="G1370" i="48" s="1"/>
  <c r="G1371" i="48" s="1"/>
  <c r="G1372" i="48" s="1"/>
  <c r="G1373" i="48" s="1"/>
  <c r="G1374" i="48" s="1"/>
  <c r="G1375" i="48" s="1"/>
  <c r="G1376" i="48" s="1"/>
  <c r="G1377" i="48" s="1"/>
  <c r="G1378" i="48" s="1"/>
  <c r="G1379" i="48" s="1"/>
  <c r="G1380" i="48" s="1"/>
  <c r="G1381" i="48" s="1"/>
  <c r="G1382" i="48" s="1"/>
  <c r="G1383" i="48" s="1"/>
  <c r="G1384" i="48" s="1"/>
  <c r="G1385" i="48" s="1"/>
  <c r="G1386" i="48" s="1"/>
  <c r="G1387" i="48" s="1"/>
  <c r="G1388" i="48" s="1"/>
  <c r="G1389" i="48" s="1"/>
  <c r="Q1362" i="48"/>
  <c r="Q1361" i="48"/>
  <c r="K1389" i="48" s="1"/>
  <c r="Q1360" i="48"/>
  <c r="K1388" i="48" s="1"/>
  <c r="Q1359" i="48"/>
  <c r="K1387" i="48" s="1"/>
  <c r="Q1358" i="48"/>
  <c r="K1386" i="48" s="1"/>
  <c r="Q1357" i="48"/>
  <c r="K1385" i="48" s="1"/>
  <c r="Q1356" i="48"/>
  <c r="K1384" i="48" s="1"/>
  <c r="Q1355" i="48"/>
  <c r="K1383" i="48" s="1"/>
  <c r="Q1354" i="48"/>
  <c r="K1382" i="48" s="1"/>
  <c r="Q1353" i="48"/>
  <c r="K1381" i="48" s="1"/>
  <c r="Q1352" i="48"/>
  <c r="K1380" i="48" s="1"/>
  <c r="Q1351" i="48"/>
  <c r="K1379" i="48" s="1"/>
  <c r="Q1350" i="48"/>
  <c r="K1378" i="48" s="1"/>
  <c r="Q1349" i="48"/>
  <c r="K1377" i="48" s="1"/>
  <c r="Q1348" i="48"/>
  <c r="K1376" i="48" s="1"/>
  <c r="Q1347" i="48"/>
  <c r="K1375" i="48" s="1"/>
  <c r="Q1346" i="48"/>
  <c r="K1374" i="48" s="1"/>
  <c r="Q1345" i="48"/>
  <c r="K1373" i="48" s="1"/>
  <c r="Q1344" i="48"/>
  <c r="K1372" i="48" s="1"/>
  <c r="Q1343" i="48"/>
  <c r="K1371" i="48" s="1"/>
  <c r="Q1342" i="48"/>
  <c r="K1370" i="48" s="1"/>
  <c r="Q1341" i="48"/>
  <c r="K1369" i="48" s="1"/>
  <c r="Q1340" i="48"/>
  <c r="Q1339" i="48"/>
  <c r="G1340" i="48"/>
  <c r="G1341" i="48" s="1"/>
  <c r="G1342" i="48" s="1"/>
  <c r="G1343" i="48" s="1"/>
  <c r="G1344" i="48" s="1"/>
  <c r="G1345" i="48" s="1"/>
  <c r="G1346" i="48" s="1"/>
  <c r="G1347" i="48" s="1"/>
  <c r="G1348" i="48" s="1"/>
  <c r="G1349" i="48" s="1"/>
  <c r="G1350" i="48" s="1"/>
  <c r="G1351" i="48" s="1"/>
  <c r="G1352" i="48" s="1"/>
  <c r="G1353" i="48" s="1"/>
  <c r="G1354" i="48" s="1"/>
  <c r="G1355" i="48" s="1"/>
  <c r="G1356" i="48" s="1"/>
  <c r="G1357" i="48" s="1"/>
  <c r="G1358" i="48" s="1"/>
  <c r="G1359" i="48" s="1"/>
  <c r="G1360" i="48" s="1"/>
  <c r="G1361" i="48" s="1"/>
  <c r="G1362" i="48" s="1"/>
  <c r="K1438" i="48" l="1"/>
  <c r="P1420" i="48"/>
  <c r="P1424" i="48"/>
  <c r="P1428" i="48"/>
  <c r="P1429" i="48"/>
  <c r="Q1418" i="48"/>
  <c r="Q1422" i="48"/>
  <c r="Q1426" i="48"/>
  <c r="P1431" i="48"/>
  <c r="Q1389" i="48" s="1"/>
  <c r="L1371" i="48"/>
  <c r="L1383" i="48"/>
  <c r="L1387" i="48"/>
  <c r="L1372" i="48"/>
  <c r="L1388" i="48"/>
  <c r="L1384" i="48"/>
  <c r="L1380" i="48"/>
  <c r="L1376" i="48"/>
  <c r="L1379" i="48"/>
  <c r="L1375" i="48"/>
  <c r="R1341" i="48"/>
  <c r="R1340" i="48"/>
  <c r="R1356" i="48"/>
  <c r="R1342" i="48"/>
  <c r="R1346" i="48"/>
  <c r="R1350" i="48"/>
  <c r="R1354" i="48"/>
  <c r="R1358" i="48"/>
  <c r="R1362" i="48"/>
  <c r="R1352" i="48"/>
  <c r="R1348" i="48"/>
  <c r="R1360" i="48"/>
  <c r="R1344" i="48"/>
  <c r="R1359" i="48"/>
  <c r="R1355" i="48"/>
  <c r="R1351" i="48"/>
  <c r="R1347" i="48"/>
  <c r="R1343" i="48"/>
  <c r="R1361" i="48"/>
  <c r="R1357" i="48"/>
  <c r="R1353" i="48"/>
  <c r="R1349" i="48"/>
  <c r="R1345" i="48"/>
  <c r="L1370" i="48"/>
  <c r="L1373" i="48"/>
  <c r="CU16" i="56"/>
  <c r="CT16" i="56"/>
  <c r="CS16" i="56"/>
  <c r="CR16" i="56"/>
  <c r="CQ16" i="56"/>
  <c r="CP16" i="56"/>
  <c r="CO16" i="56"/>
  <c r="CN16" i="56"/>
  <c r="CM16" i="56"/>
  <c r="CL16" i="56"/>
  <c r="CK16" i="56"/>
  <c r="CJ16" i="56"/>
  <c r="CI16" i="56"/>
  <c r="CH16" i="56"/>
  <c r="CG16" i="56"/>
  <c r="CF16" i="56"/>
  <c r="CE16" i="56"/>
  <c r="CD16" i="56"/>
  <c r="CC16" i="56"/>
  <c r="CB16" i="56"/>
  <c r="CA16" i="56"/>
  <c r="BZ16" i="56"/>
  <c r="BY16" i="56"/>
  <c r="BX16" i="56"/>
  <c r="BW16" i="56"/>
  <c r="BV16" i="56"/>
  <c r="BU16" i="56"/>
  <c r="BT16" i="56"/>
  <c r="BS16" i="56"/>
  <c r="BR16" i="56"/>
  <c r="BQ16" i="56"/>
  <c r="BP16" i="56"/>
  <c r="BO16" i="56"/>
  <c r="BN16" i="56"/>
  <c r="BM16" i="56"/>
  <c r="BL16" i="56"/>
  <c r="BK16" i="56"/>
  <c r="BJ16" i="56"/>
  <c r="BI16" i="56"/>
  <c r="BH16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L1378" i="48" l="1"/>
  <c r="L1382" i="48"/>
  <c r="L1377" i="48"/>
  <c r="L1381" i="48"/>
  <c r="L1385" i="48"/>
  <c r="L1386" i="48"/>
  <c r="L1389" i="48"/>
  <c r="L1374" i="48"/>
  <c r="E87" i="17"/>
  <c r="DF1283" i="48" l="1"/>
  <c r="DA1283" i="48" s="1"/>
  <c r="DF1067" i="48"/>
  <c r="DA1067" i="48" s="1"/>
  <c r="BT1331" i="48"/>
  <c r="BT1211" i="48"/>
  <c r="BT1115" i="48"/>
  <c r="BT1091" i="48"/>
  <c r="BT1067" i="48"/>
  <c r="BT971" i="48"/>
  <c r="BT947" i="48"/>
  <c r="BT923" i="48"/>
  <c r="BT851" i="48"/>
  <c r="BT827" i="48"/>
  <c r="BT779" i="48"/>
  <c r="BT755" i="48"/>
  <c r="BT731" i="48"/>
  <c r="BT683" i="48"/>
  <c r="BT587" i="48"/>
  <c r="BT563" i="48"/>
  <c r="BT515" i="48"/>
  <c r="BT491" i="48"/>
  <c r="BT467" i="48"/>
  <c r="BT419" i="48"/>
  <c r="BT395" i="48"/>
  <c r="BT371" i="48"/>
  <c r="BT299" i="48"/>
  <c r="BT275" i="48"/>
  <c r="BT251" i="48"/>
  <c r="BT227" i="48"/>
  <c r="BT203" i="48"/>
  <c r="BT155" i="48"/>
  <c r="BT131" i="48"/>
  <c r="BT107" i="48"/>
  <c r="BT83" i="48"/>
  <c r="BT59" i="48"/>
  <c r="CV1331" i="48"/>
  <c r="CV1307" i="48"/>
  <c r="CV1283" i="48"/>
  <c r="CV1259" i="48"/>
  <c r="CV1235" i="48"/>
  <c r="CV1211" i="48"/>
  <c r="CV1187" i="48"/>
  <c r="CV1163" i="48"/>
  <c r="CV1139" i="48"/>
  <c r="CV1115" i="48"/>
  <c r="CV1091" i="48"/>
  <c r="CV1067" i="48"/>
  <c r="CV1043" i="48"/>
  <c r="CV1019" i="48"/>
  <c r="CV995" i="48"/>
  <c r="CV971" i="48"/>
  <c r="CV947" i="48"/>
  <c r="CV923" i="48"/>
  <c r="CV899" i="48"/>
  <c r="CV875" i="48"/>
  <c r="CV851" i="48"/>
  <c r="CV827" i="48"/>
  <c r="CV803" i="48"/>
  <c r="CV779" i="48"/>
  <c r="CV755" i="48"/>
  <c r="CV731" i="48"/>
  <c r="CV707" i="48"/>
  <c r="CV683" i="48"/>
  <c r="CV659" i="48"/>
  <c r="CV635" i="48"/>
  <c r="CV611" i="48"/>
  <c r="CV587" i="48"/>
  <c r="CV563" i="48"/>
  <c r="CV539" i="48"/>
  <c r="CV515" i="48"/>
  <c r="CV491" i="48"/>
  <c r="CV467" i="48"/>
  <c r="CV443" i="48"/>
  <c r="CV419" i="48"/>
  <c r="CV395" i="48"/>
  <c r="CV371" i="48"/>
  <c r="CV347" i="48"/>
  <c r="CV323" i="48"/>
  <c r="CV299" i="48"/>
  <c r="CV275" i="48"/>
  <c r="CV251" i="48"/>
  <c r="CV227" i="48"/>
  <c r="CV203" i="48"/>
  <c r="CV179" i="48"/>
  <c r="CV155" i="48"/>
  <c r="CV131" i="48"/>
  <c r="CV107" i="48"/>
  <c r="CV83" i="48"/>
  <c r="BT1307" i="48"/>
  <c r="BT1283" i="48"/>
  <c r="BT1259" i="48"/>
  <c r="BT1235" i="48"/>
  <c r="BT1187" i="48"/>
  <c r="BT1163" i="48"/>
  <c r="BT1139" i="48"/>
  <c r="BT1043" i="48"/>
  <c r="BT1019" i="48"/>
  <c r="BT995" i="48"/>
  <c r="BT899" i="48"/>
  <c r="BT875" i="48"/>
  <c r="BT803" i="48"/>
  <c r="BT707" i="48"/>
  <c r="BT659" i="48"/>
  <c r="BT635" i="48"/>
  <c r="BT611" i="48"/>
  <c r="BT539" i="48"/>
  <c r="BT443" i="48"/>
  <c r="BT347" i="48"/>
  <c r="BT323" i="48"/>
  <c r="BT179" i="48"/>
  <c r="DL1331" i="48"/>
  <c r="DK1331" i="48"/>
  <c r="DD1331" i="48" s="1"/>
  <c r="DL1307" i="48"/>
  <c r="DK1307" i="48"/>
  <c r="DD1307" i="48" s="1"/>
  <c r="DL1283" i="48"/>
  <c r="DK1283" i="48"/>
  <c r="DB1283" i="48" s="1"/>
  <c r="DL1259" i="48"/>
  <c r="DK1259" i="48"/>
  <c r="DD1259" i="48" s="1"/>
  <c r="DL1235" i="48"/>
  <c r="DK1235" i="48"/>
  <c r="DD1235" i="48" s="1"/>
  <c r="DL1211" i="48"/>
  <c r="DK1211" i="48"/>
  <c r="DC1211" i="48" s="1"/>
  <c r="DL1187" i="48"/>
  <c r="DK1187" i="48"/>
  <c r="DD1187" i="48" s="1"/>
  <c r="DL1163" i="48"/>
  <c r="DK1163" i="48"/>
  <c r="DD1163" i="48" s="1"/>
  <c r="DL1139" i="48"/>
  <c r="DK1139" i="48"/>
  <c r="DD1139" i="48" s="1"/>
  <c r="DL1115" i="48"/>
  <c r="DK1115" i="48"/>
  <c r="DD1115" i="48" s="1"/>
  <c r="DL1091" i="48"/>
  <c r="DK1091" i="48"/>
  <c r="DB1091" i="48" s="1"/>
  <c r="DL1067" i="48"/>
  <c r="DK1067" i="48"/>
  <c r="DD1067" i="48" s="1"/>
  <c r="DL1043" i="48"/>
  <c r="DK1043" i="48"/>
  <c r="DD1043" i="48" s="1"/>
  <c r="DL1019" i="48"/>
  <c r="DK1019" i="48"/>
  <c r="DC1019" i="48" s="1"/>
  <c r="DL995" i="48"/>
  <c r="DK995" i="48"/>
  <c r="DD995" i="48" s="1"/>
  <c r="DL971" i="48"/>
  <c r="DK971" i="48"/>
  <c r="DD971" i="48" s="1"/>
  <c r="DL947" i="48"/>
  <c r="DK947" i="48"/>
  <c r="DD947" i="48" s="1"/>
  <c r="DL923" i="48"/>
  <c r="DK923" i="48"/>
  <c r="DD923" i="48" s="1"/>
  <c r="DL899" i="48"/>
  <c r="DK899" i="48"/>
  <c r="DB899" i="48" s="1"/>
  <c r="DL875" i="48"/>
  <c r="DK875" i="48"/>
  <c r="DD875" i="48" s="1"/>
  <c r="DL851" i="48"/>
  <c r="DK851" i="48"/>
  <c r="DD851" i="48" s="1"/>
  <c r="DL827" i="48"/>
  <c r="DK827" i="48"/>
  <c r="DC827" i="48" s="1"/>
  <c r="DL803" i="48"/>
  <c r="DK803" i="48"/>
  <c r="DD803" i="48" s="1"/>
  <c r="DL779" i="48"/>
  <c r="DK779" i="48"/>
  <c r="DD779" i="48" s="1"/>
  <c r="DL755" i="48"/>
  <c r="DK755" i="48"/>
  <c r="DD755" i="48" s="1"/>
  <c r="DL731" i="48"/>
  <c r="DK731" i="48"/>
  <c r="DD731" i="48" s="1"/>
  <c r="DL707" i="48"/>
  <c r="DK707" i="48"/>
  <c r="DB707" i="48" s="1"/>
  <c r="DL683" i="48"/>
  <c r="DK683" i="48"/>
  <c r="DD683" i="48" s="1"/>
  <c r="DL659" i="48"/>
  <c r="DK659" i="48"/>
  <c r="DD659" i="48" s="1"/>
  <c r="DL635" i="48"/>
  <c r="DK635" i="48"/>
  <c r="DC635" i="48" s="1"/>
  <c r="DL611" i="48"/>
  <c r="DK611" i="48"/>
  <c r="DD611" i="48" s="1"/>
  <c r="DL587" i="48"/>
  <c r="DK587" i="48"/>
  <c r="DD587" i="48" s="1"/>
  <c r="DL563" i="48"/>
  <c r="DK563" i="48"/>
  <c r="DD563" i="48" s="1"/>
  <c r="DL539" i="48"/>
  <c r="DK539" i="48"/>
  <c r="DD539" i="48" s="1"/>
  <c r="DL515" i="48"/>
  <c r="DK515" i="48"/>
  <c r="DB515" i="48" s="1"/>
  <c r="DL491" i="48"/>
  <c r="DK491" i="48"/>
  <c r="DD491" i="48" s="1"/>
  <c r="DL467" i="48"/>
  <c r="DK467" i="48"/>
  <c r="DD467" i="48" s="1"/>
  <c r="DL443" i="48"/>
  <c r="DK443" i="48"/>
  <c r="DC443" i="48" s="1"/>
  <c r="DL419" i="48"/>
  <c r="DK419" i="48"/>
  <c r="DD419" i="48" s="1"/>
  <c r="DL395" i="48"/>
  <c r="DK395" i="48"/>
  <c r="DD395" i="48" s="1"/>
  <c r="DL371" i="48"/>
  <c r="DK371" i="48"/>
  <c r="DD371" i="48" s="1"/>
  <c r="DL347" i="48"/>
  <c r="DK347" i="48"/>
  <c r="DD347" i="48" s="1"/>
  <c r="DL323" i="48"/>
  <c r="DK323" i="48"/>
  <c r="DB323" i="48" s="1"/>
  <c r="DL299" i="48"/>
  <c r="DK299" i="48"/>
  <c r="DD299" i="48" s="1"/>
  <c r="DL275" i="48"/>
  <c r="DK275" i="48"/>
  <c r="DD275" i="48" s="1"/>
  <c r="DL251" i="48"/>
  <c r="DK251" i="48"/>
  <c r="DC251" i="48" s="1"/>
  <c r="DL227" i="48"/>
  <c r="DK227" i="48"/>
  <c r="DD227" i="48" s="1"/>
  <c r="DL203" i="48"/>
  <c r="DK203" i="48"/>
  <c r="DD203" i="48" s="1"/>
  <c r="DL179" i="48"/>
  <c r="DK179" i="48"/>
  <c r="DD179" i="48" s="1"/>
  <c r="DL155" i="48"/>
  <c r="DK155" i="48"/>
  <c r="DD155" i="48" s="1"/>
  <c r="DL131" i="48"/>
  <c r="DK131" i="48"/>
  <c r="DB131" i="48" s="1"/>
  <c r="DL107" i="48"/>
  <c r="DK107" i="48"/>
  <c r="DD107" i="48" s="1"/>
  <c r="DL83" i="48"/>
  <c r="DK83" i="48"/>
  <c r="DD83" i="48" s="1"/>
  <c r="DN1331" i="48"/>
  <c r="DM1331" i="48"/>
  <c r="DP1331" i="48"/>
  <c r="DP1307" i="48"/>
  <c r="DP1283" i="48"/>
  <c r="DP1259" i="48"/>
  <c r="DP1235" i="48"/>
  <c r="DP1211" i="48"/>
  <c r="DP1187" i="48"/>
  <c r="DP1163" i="48"/>
  <c r="DP1139" i="48"/>
  <c r="DP1115" i="48"/>
  <c r="DP1091" i="48"/>
  <c r="DP1067" i="48"/>
  <c r="DP1043" i="48"/>
  <c r="DP1019" i="48"/>
  <c r="DP995" i="48"/>
  <c r="DP971" i="48"/>
  <c r="DP947" i="48"/>
  <c r="DP923" i="48"/>
  <c r="DP899" i="48"/>
  <c r="DP875" i="48"/>
  <c r="DP851" i="48"/>
  <c r="DP827" i="48"/>
  <c r="DP803" i="48"/>
  <c r="DP779" i="48"/>
  <c r="DP755" i="48"/>
  <c r="DP731" i="48"/>
  <c r="DP707" i="48"/>
  <c r="DP683" i="48"/>
  <c r="DP659" i="48"/>
  <c r="DP635" i="48"/>
  <c r="DP611" i="48"/>
  <c r="DP587" i="48"/>
  <c r="DP563" i="48"/>
  <c r="DP539" i="48"/>
  <c r="DP515" i="48"/>
  <c r="DP491" i="48"/>
  <c r="DP467" i="48"/>
  <c r="DP443" i="48"/>
  <c r="DP419" i="48"/>
  <c r="DP395" i="48"/>
  <c r="DP371" i="48"/>
  <c r="DP347" i="48"/>
  <c r="DP323" i="48"/>
  <c r="DP299" i="48"/>
  <c r="DP275" i="48"/>
  <c r="DP251" i="48"/>
  <c r="DP227" i="48"/>
  <c r="DP203" i="48"/>
  <c r="DP179" i="48"/>
  <c r="DP155" i="48"/>
  <c r="DP131" i="48"/>
  <c r="DP107" i="48"/>
  <c r="DP83" i="48"/>
  <c r="DN1307" i="48"/>
  <c r="DN1283" i="48"/>
  <c r="DN1259" i="48"/>
  <c r="DN1235" i="48"/>
  <c r="DN1211" i="48"/>
  <c r="DN1187" i="48"/>
  <c r="DN1163" i="48"/>
  <c r="DN1139" i="48"/>
  <c r="DN1115" i="48"/>
  <c r="DN1091" i="48"/>
  <c r="DN1067" i="48"/>
  <c r="DN1043" i="48"/>
  <c r="DN1019" i="48"/>
  <c r="DN995" i="48"/>
  <c r="DN971" i="48"/>
  <c r="DN947" i="48"/>
  <c r="DN923" i="48"/>
  <c r="DN899" i="48"/>
  <c r="DN875" i="48"/>
  <c r="DN851" i="48"/>
  <c r="DN827" i="48"/>
  <c r="DN803" i="48"/>
  <c r="DN779" i="48"/>
  <c r="DN755" i="48"/>
  <c r="DN731" i="48"/>
  <c r="DN707" i="48"/>
  <c r="DN683" i="48"/>
  <c r="DN659" i="48"/>
  <c r="DN635" i="48"/>
  <c r="DN611" i="48"/>
  <c r="DN587" i="48"/>
  <c r="DN563" i="48"/>
  <c r="DN539" i="48"/>
  <c r="DN515" i="48"/>
  <c r="DN491" i="48"/>
  <c r="DN467" i="48"/>
  <c r="DN443" i="48"/>
  <c r="DN419" i="48"/>
  <c r="DN395" i="48"/>
  <c r="DN371" i="48"/>
  <c r="DN347" i="48"/>
  <c r="DN323" i="48"/>
  <c r="DN299" i="48"/>
  <c r="DN275" i="48"/>
  <c r="DN251" i="48"/>
  <c r="DN227" i="48"/>
  <c r="DN203" i="48"/>
  <c r="DN179" i="48"/>
  <c r="DN155" i="48"/>
  <c r="DN131" i="48"/>
  <c r="DN107" i="48"/>
  <c r="DN83" i="48"/>
  <c r="DD131" i="48" l="1"/>
  <c r="DB659" i="48"/>
  <c r="DB83" i="48"/>
  <c r="DC587" i="48"/>
  <c r="DD1091" i="48"/>
  <c r="DC203" i="48"/>
  <c r="DD707" i="48"/>
  <c r="DB1235" i="48"/>
  <c r="DB275" i="48"/>
  <c r="DC779" i="48"/>
  <c r="DD1283" i="48"/>
  <c r="DD323" i="48"/>
  <c r="DB851" i="48"/>
  <c r="DC395" i="48"/>
  <c r="DD899" i="48"/>
  <c r="DB467" i="48"/>
  <c r="DC971" i="48"/>
  <c r="DC1163" i="48"/>
  <c r="DD515" i="48"/>
  <c r="DB1043" i="48"/>
  <c r="DC131" i="48"/>
  <c r="DB203" i="48"/>
  <c r="DD251" i="48"/>
  <c r="DC323" i="48"/>
  <c r="DB395" i="48"/>
  <c r="DD443" i="48"/>
  <c r="DC515" i="48"/>
  <c r="DB587" i="48"/>
  <c r="DD635" i="48"/>
  <c r="DC707" i="48"/>
  <c r="DB779" i="48"/>
  <c r="DD827" i="48"/>
  <c r="DC899" i="48"/>
  <c r="DB971" i="48"/>
  <c r="DD1019" i="48"/>
  <c r="DC1091" i="48"/>
  <c r="DB1163" i="48"/>
  <c r="DD1211" i="48"/>
  <c r="DC1283" i="48"/>
  <c r="DC83" i="48"/>
  <c r="DB155" i="48"/>
  <c r="DC275" i="48"/>
  <c r="DB347" i="48"/>
  <c r="DC467" i="48"/>
  <c r="DB539" i="48"/>
  <c r="DC659" i="48"/>
  <c r="DB731" i="48"/>
  <c r="DC851" i="48"/>
  <c r="DB923" i="48"/>
  <c r="DC1043" i="48"/>
  <c r="DB1115" i="48"/>
  <c r="DC1235" i="48"/>
  <c r="DB1307" i="48"/>
  <c r="DC155" i="48"/>
  <c r="DB227" i="48"/>
  <c r="DC347" i="48"/>
  <c r="DB419" i="48"/>
  <c r="DC539" i="48"/>
  <c r="DB611" i="48"/>
  <c r="DC731" i="48"/>
  <c r="DB803" i="48"/>
  <c r="DC923" i="48"/>
  <c r="DB995" i="48"/>
  <c r="DC1115" i="48"/>
  <c r="DB1187" i="48"/>
  <c r="DC1307" i="48"/>
  <c r="DB107" i="48"/>
  <c r="DC227" i="48"/>
  <c r="DB299" i="48"/>
  <c r="DC419" i="48"/>
  <c r="DB491" i="48"/>
  <c r="DC611" i="48"/>
  <c r="DB683" i="48"/>
  <c r="DC803" i="48"/>
  <c r="DB875" i="48"/>
  <c r="DC995" i="48"/>
  <c r="DB1067" i="48"/>
  <c r="DC1187" i="48"/>
  <c r="DB1259" i="48"/>
  <c r="DC107" i="48"/>
  <c r="DB179" i="48"/>
  <c r="DC299" i="48"/>
  <c r="DB371" i="48"/>
  <c r="DC491" i="48"/>
  <c r="DB563" i="48"/>
  <c r="DC683" i="48"/>
  <c r="DB755" i="48"/>
  <c r="DC875" i="48"/>
  <c r="DB947" i="48"/>
  <c r="DC1067" i="48"/>
  <c r="DB1139" i="48"/>
  <c r="DC1259" i="48"/>
  <c r="DB1331" i="48"/>
  <c r="DC179" i="48"/>
  <c r="DB251" i="48"/>
  <c r="DC371" i="48"/>
  <c r="DB443" i="48"/>
  <c r="DC563" i="48"/>
  <c r="DB635" i="48"/>
  <c r="DC755" i="48"/>
  <c r="DB827" i="48"/>
  <c r="DC947" i="48"/>
  <c r="DB1019" i="48"/>
  <c r="DC1139" i="48"/>
  <c r="DB1211" i="48"/>
  <c r="DC1331" i="48"/>
  <c r="DE131" i="48" l="1"/>
  <c r="DE1043" i="48"/>
  <c r="DE539" i="48"/>
  <c r="DE1307" i="48"/>
  <c r="DE659" i="48"/>
  <c r="DE707" i="48"/>
  <c r="DE1187" i="48"/>
  <c r="DE419" i="48"/>
  <c r="DE203" i="48"/>
  <c r="DE755" i="48"/>
  <c r="DE1259" i="48"/>
  <c r="DE491" i="48"/>
  <c r="DE323" i="48"/>
  <c r="DE611" i="48"/>
  <c r="DE899" i="48"/>
  <c r="DE395" i="48"/>
  <c r="DE851" i="48"/>
  <c r="DE83" i="48"/>
  <c r="DE1283" i="48"/>
  <c r="DE371" i="48"/>
  <c r="DE1091" i="48"/>
  <c r="DE587" i="48"/>
  <c r="DE995" i="48"/>
  <c r="DE779" i="48"/>
  <c r="DE563" i="48"/>
  <c r="DE1067" i="48"/>
  <c r="DE299" i="48"/>
  <c r="DE803" i="48"/>
  <c r="DE731" i="48"/>
  <c r="DE1163" i="48"/>
  <c r="DE227" i="48"/>
  <c r="DE155" i="48"/>
  <c r="DE1235" i="48"/>
  <c r="DE467" i="48"/>
  <c r="DE515" i="48"/>
  <c r="DE923" i="48"/>
  <c r="DE971" i="48"/>
  <c r="DE275" i="48"/>
  <c r="DE1139" i="48"/>
  <c r="DE875" i="48"/>
  <c r="DE107" i="48"/>
  <c r="DE1019" i="48"/>
  <c r="DE947" i="48"/>
  <c r="DE179" i="48"/>
  <c r="DE683" i="48"/>
  <c r="DE443" i="48"/>
  <c r="DE1331" i="48"/>
  <c r="DE1115" i="48"/>
  <c r="DE347" i="48"/>
  <c r="DE827" i="48"/>
  <c r="DE251" i="48"/>
  <c r="DE1211" i="48"/>
  <c r="DE635" i="48"/>
  <c r="BS1331" i="48"/>
  <c r="CN1331" i="48" s="1"/>
  <c r="CO1331" i="48" s="1"/>
  <c r="BS1307" i="48"/>
  <c r="CN1307" i="48" s="1"/>
  <c r="BS1283" i="48"/>
  <c r="CN1283" i="48" s="1"/>
  <c r="BS1259" i="48"/>
  <c r="CN1259" i="48" s="1"/>
  <c r="BS1235" i="48"/>
  <c r="CN1235" i="48" s="1"/>
  <c r="BS1211" i="48"/>
  <c r="CN1211" i="48" s="1"/>
  <c r="BS1187" i="48"/>
  <c r="CN1187" i="48" s="1"/>
  <c r="BS1163" i="48"/>
  <c r="CN1163" i="48" s="1"/>
  <c r="BS1139" i="48"/>
  <c r="CN1139" i="48" s="1"/>
  <c r="BS1115" i="48"/>
  <c r="CN1115" i="48" s="1"/>
  <c r="BS1091" i="48"/>
  <c r="CN1091" i="48" s="1"/>
  <c r="BS1067" i="48"/>
  <c r="CN1067" i="48" s="1"/>
  <c r="BS1043" i="48"/>
  <c r="CN1043" i="48" s="1"/>
  <c r="BS1019" i="48"/>
  <c r="CN1019" i="48" s="1"/>
  <c r="BS995" i="48"/>
  <c r="CN995" i="48" s="1"/>
  <c r="BS971" i="48"/>
  <c r="CN971" i="48" s="1"/>
  <c r="BS947" i="48"/>
  <c r="CN947" i="48" s="1"/>
  <c r="BS923" i="48"/>
  <c r="CN923" i="48" s="1"/>
  <c r="BS899" i="48"/>
  <c r="CN899" i="48" s="1"/>
  <c r="BS875" i="48"/>
  <c r="CN875" i="48" s="1"/>
  <c r="BS851" i="48"/>
  <c r="CN851" i="48" s="1"/>
  <c r="BS827" i="48"/>
  <c r="CN827" i="48" s="1"/>
  <c r="BS803" i="48"/>
  <c r="CN803" i="48" s="1"/>
  <c r="BS779" i="48"/>
  <c r="CN779" i="48" s="1"/>
  <c r="BS755" i="48"/>
  <c r="CN755" i="48" s="1"/>
  <c r="BS731" i="48"/>
  <c r="CN731" i="48" s="1"/>
  <c r="BS707" i="48"/>
  <c r="CN707" i="48" s="1"/>
  <c r="BS683" i="48"/>
  <c r="CN683" i="48" s="1"/>
  <c r="BS659" i="48"/>
  <c r="CN659" i="48" s="1"/>
  <c r="BS635" i="48"/>
  <c r="CN635" i="48" s="1"/>
  <c r="BS611" i="48"/>
  <c r="CN611" i="48" s="1"/>
  <c r="BS587" i="48"/>
  <c r="CN587" i="48" s="1"/>
  <c r="BS563" i="48"/>
  <c r="CN563" i="48" s="1"/>
  <c r="BS539" i="48"/>
  <c r="CN539" i="48" s="1"/>
  <c r="BS515" i="48"/>
  <c r="CN515" i="48" s="1"/>
  <c r="BS491" i="48"/>
  <c r="CN491" i="48" s="1"/>
  <c r="BS467" i="48"/>
  <c r="CN467" i="48" s="1"/>
  <c r="BS443" i="48"/>
  <c r="CN443" i="48" s="1"/>
  <c r="BS419" i="48"/>
  <c r="CN419" i="48" s="1"/>
  <c r="BS395" i="48"/>
  <c r="CN395" i="48" s="1"/>
  <c r="BS371" i="48"/>
  <c r="CN371" i="48" s="1"/>
  <c r="BS347" i="48"/>
  <c r="CN347" i="48" s="1"/>
  <c r="BS323" i="48"/>
  <c r="CN323" i="48" s="1"/>
  <c r="BS299" i="48"/>
  <c r="BS275" i="48"/>
  <c r="CN275" i="48" s="1"/>
  <c r="BS251" i="48"/>
  <c r="CN251" i="48" s="1"/>
  <c r="BS227" i="48"/>
  <c r="CN227" i="48" s="1"/>
  <c r="BS203" i="48"/>
  <c r="CN203" i="48" s="1"/>
  <c r="BS179" i="48"/>
  <c r="CN179" i="48" s="1"/>
  <c r="BS155" i="48"/>
  <c r="CN155" i="48" s="1"/>
  <c r="BS131" i="48"/>
  <c r="CN131" i="48" s="1"/>
  <c r="BS107" i="48"/>
  <c r="CN107" i="48" s="1"/>
  <c r="BS83" i="48"/>
  <c r="CN83" i="48" s="1"/>
  <c r="BS59" i="48"/>
  <c r="CN59" i="48" s="1"/>
  <c r="DM1330" i="48" l="1"/>
  <c r="DM1329" i="48"/>
  <c r="DM1328" i="48"/>
  <c r="DM1327" i="48"/>
  <c r="DM1326" i="48"/>
  <c r="DM1325" i="48"/>
  <c r="DM1324" i="48"/>
  <c r="DM1323" i="48"/>
  <c r="DM1322" i="48"/>
  <c r="DM1321" i="48"/>
  <c r="DM1320" i="48"/>
  <c r="DM1319" i="48"/>
  <c r="DM1318" i="48"/>
  <c r="DM1317" i="48"/>
  <c r="DM1316" i="48"/>
  <c r="DM1315" i="48"/>
  <c r="DM1314" i="48"/>
  <c r="DM1313" i="48"/>
  <c r="DM1312" i="48"/>
  <c r="DM1311" i="48"/>
  <c r="DM1310" i="48"/>
  <c r="DM1309" i="48"/>
  <c r="DM1308" i="48"/>
  <c r="DM1307" i="48"/>
  <c r="DM1306" i="48"/>
  <c r="DM1305" i="48"/>
  <c r="DM1304" i="48"/>
  <c r="DM1303" i="48"/>
  <c r="DM1302" i="48"/>
  <c r="DM1301" i="48"/>
  <c r="DM1300" i="48"/>
  <c r="DM1299" i="48"/>
  <c r="DM1298" i="48"/>
  <c r="DM1297" i="48"/>
  <c r="DM1296" i="48"/>
  <c r="DM1295" i="48"/>
  <c r="DM1294" i="48"/>
  <c r="DM1293" i="48"/>
  <c r="DM1292" i="48"/>
  <c r="DM1291" i="48"/>
  <c r="DM1290" i="48"/>
  <c r="DM1289" i="48"/>
  <c r="DM1288" i="48"/>
  <c r="DM1287" i="48"/>
  <c r="DM1286" i="48"/>
  <c r="DM1285" i="48"/>
  <c r="DM1284" i="48"/>
  <c r="DM1283" i="48"/>
  <c r="DM1282" i="48"/>
  <c r="DM1281" i="48"/>
  <c r="DM1280" i="48"/>
  <c r="DM1279" i="48"/>
  <c r="DM1278" i="48"/>
  <c r="DM1277" i="48"/>
  <c r="DM1276" i="48"/>
  <c r="DM1275" i="48"/>
  <c r="DM1274" i="48"/>
  <c r="DM1273" i="48"/>
  <c r="DM1272" i="48"/>
  <c r="DM1271" i="48"/>
  <c r="DM1270" i="48"/>
  <c r="DM1269" i="48"/>
  <c r="DM1268" i="48"/>
  <c r="DM1267" i="48"/>
  <c r="DM1266" i="48"/>
  <c r="DM1265" i="48"/>
  <c r="DM1264" i="48"/>
  <c r="DM1263" i="48"/>
  <c r="DM1262" i="48"/>
  <c r="DM1261" i="48"/>
  <c r="DM1260" i="48"/>
  <c r="DM1259" i="48"/>
  <c r="DM1258" i="48"/>
  <c r="DM1257" i="48"/>
  <c r="DM1256" i="48"/>
  <c r="DM1255" i="48"/>
  <c r="DM1254" i="48"/>
  <c r="DM1253" i="48"/>
  <c r="DM1252" i="48"/>
  <c r="DM1251" i="48"/>
  <c r="DM1250" i="48"/>
  <c r="DM1249" i="48"/>
  <c r="DM1248" i="48"/>
  <c r="DM1247" i="48"/>
  <c r="DM1246" i="48"/>
  <c r="DM1245" i="48"/>
  <c r="DM1244" i="48"/>
  <c r="DM1243" i="48"/>
  <c r="DM1242" i="48"/>
  <c r="DM1241" i="48"/>
  <c r="DM1240" i="48"/>
  <c r="DM1239" i="48"/>
  <c r="DM1238" i="48"/>
  <c r="DM1237" i="48"/>
  <c r="DM1236" i="48"/>
  <c r="DM1235" i="48"/>
  <c r="DM1234" i="48"/>
  <c r="DM1233" i="48"/>
  <c r="DM1232" i="48"/>
  <c r="DM1231" i="48"/>
  <c r="DM1230" i="48"/>
  <c r="DM1229" i="48"/>
  <c r="DM1228" i="48"/>
  <c r="DM1227" i="48"/>
  <c r="DM1226" i="48"/>
  <c r="DM1225" i="48"/>
  <c r="DM1224" i="48"/>
  <c r="DM1223" i="48"/>
  <c r="DM1222" i="48"/>
  <c r="DM1221" i="48"/>
  <c r="DM1220" i="48"/>
  <c r="DM1219" i="48"/>
  <c r="DM1218" i="48"/>
  <c r="DM1217" i="48"/>
  <c r="DM1216" i="48"/>
  <c r="DM1215" i="48"/>
  <c r="DM1214" i="48"/>
  <c r="DM1213" i="48"/>
  <c r="DM1212" i="48"/>
  <c r="DM1211" i="48"/>
  <c r="DM1210" i="48"/>
  <c r="DM1209" i="48"/>
  <c r="DM1208" i="48"/>
  <c r="DM1207" i="48"/>
  <c r="DM1206" i="48"/>
  <c r="DM1205" i="48"/>
  <c r="DM1204" i="48"/>
  <c r="DM1203" i="48"/>
  <c r="DM1202" i="48"/>
  <c r="DM1201" i="48"/>
  <c r="DM1200" i="48"/>
  <c r="DM1199" i="48"/>
  <c r="DM1198" i="48"/>
  <c r="DM1197" i="48"/>
  <c r="DM1196" i="48"/>
  <c r="DM1195" i="48"/>
  <c r="DM1194" i="48"/>
  <c r="DM1193" i="48"/>
  <c r="DM1192" i="48"/>
  <c r="DM1191" i="48"/>
  <c r="DM1190" i="48"/>
  <c r="DM1189" i="48"/>
  <c r="DM1188" i="48"/>
  <c r="DM1187" i="48"/>
  <c r="DM1186" i="48"/>
  <c r="DM1185" i="48"/>
  <c r="DM1184" i="48"/>
  <c r="DM1183" i="48"/>
  <c r="DM1182" i="48"/>
  <c r="DM1181" i="48"/>
  <c r="DM1180" i="48"/>
  <c r="DM1179" i="48"/>
  <c r="DM1178" i="48"/>
  <c r="DM1177" i="48"/>
  <c r="DM1176" i="48"/>
  <c r="DM1175" i="48"/>
  <c r="DM1174" i="48"/>
  <c r="DM1173" i="48"/>
  <c r="DM1172" i="48"/>
  <c r="DM1171" i="48"/>
  <c r="DM1170" i="48"/>
  <c r="DM1169" i="48"/>
  <c r="DM1168" i="48"/>
  <c r="DM1167" i="48"/>
  <c r="DM1166" i="48"/>
  <c r="DM1165" i="48"/>
  <c r="DM1164" i="48"/>
  <c r="DM1163" i="48"/>
  <c r="DM1162" i="48"/>
  <c r="DM1161" i="48"/>
  <c r="DM1160" i="48"/>
  <c r="DM1159" i="48"/>
  <c r="DM1158" i="48"/>
  <c r="DM1157" i="48"/>
  <c r="DM1156" i="48"/>
  <c r="DM1155" i="48"/>
  <c r="DM1154" i="48"/>
  <c r="DM1153" i="48"/>
  <c r="DM1152" i="48"/>
  <c r="DM1151" i="48"/>
  <c r="DM1150" i="48"/>
  <c r="DM1149" i="48"/>
  <c r="DM1148" i="48"/>
  <c r="DM1147" i="48"/>
  <c r="DM1146" i="48"/>
  <c r="DM1145" i="48"/>
  <c r="DM1144" i="48"/>
  <c r="DM1143" i="48"/>
  <c r="DM1142" i="48"/>
  <c r="DM1141" i="48"/>
  <c r="DM1140" i="48"/>
  <c r="DM1139" i="48"/>
  <c r="DM1138" i="48"/>
  <c r="DM1137" i="48"/>
  <c r="DM1136" i="48"/>
  <c r="DM1135" i="48"/>
  <c r="DM1134" i="48"/>
  <c r="DM1133" i="48"/>
  <c r="DM1132" i="48"/>
  <c r="DM1131" i="48"/>
  <c r="DM1130" i="48"/>
  <c r="DM1129" i="48"/>
  <c r="DM1128" i="48"/>
  <c r="DM1127" i="48"/>
  <c r="DM1126" i="48"/>
  <c r="DM1125" i="48"/>
  <c r="DM1124" i="48"/>
  <c r="DM1123" i="48"/>
  <c r="DM1122" i="48"/>
  <c r="DM1121" i="48"/>
  <c r="DM1120" i="48"/>
  <c r="DM1119" i="48"/>
  <c r="DM1118" i="48"/>
  <c r="DM1117" i="48"/>
  <c r="DM1116" i="48"/>
  <c r="DM1115" i="48"/>
  <c r="DM1114" i="48"/>
  <c r="DM1113" i="48"/>
  <c r="DM1112" i="48"/>
  <c r="DM1111" i="48"/>
  <c r="DM1110" i="48"/>
  <c r="DM1109" i="48"/>
  <c r="DM1108" i="48"/>
  <c r="DM1107" i="48"/>
  <c r="DM1106" i="48"/>
  <c r="DM1105" i="48"/>
  <c r="DM1104" i="48"/>
  <c r="DM1103" i="48"/>
  <c r="DM1102" i="48"/>
  <c r="DM1101" i="48"/>
  <c r="DM1100" i="48"/>
  <c r="DM1099" i="48"/>
  <c r="DM1098" i="48"/>
  <c r="DM1097" i="48"/>
  <c r="DM1096" i="48"/>
  <c r="DM1095" i="48"/>
  <c r="DM1094" i="48"/>
  <c r="DM1093" i="48"/>
  <c r="DM1092" i="48"/>
  <c r="DM1091" i="48"/>
  <c r="DM1090" i="48"/>
  <c r="DM1089" i="48"/>
  <c r="DM1088" i="48"/>
  <c r="DM1087" i="48"/>
  <c r="DM1086" i="48"/>
  <c r="DM1085" i="48"/>
  <c r="DM1084" i="48"/>
  <c r="DM1083" i="48"/>
  <c r="DM1082" i="48"/>
  <c r="DM1081" i="48"/>
  <c r="DM1080" i="48"/>
  <c r="DM1079" i="48"/>
  <c r="DM1078" i="48"/>
  <c r="DM1077" i="48"/>
  <c r="DM1076" i="48"/>
  <c r="DM1075" i="48"/>
  <c r="DM1074" i="48"/>
  <c r="DM1073" i="48"/>
  <c r="DM1072" i="48"/>
  <c r="DM1071" i="48"/>
  <c r="DM1070" i="48"/>
  <c r="DM1069" i="48"/>
  <c r="DM1068" i="48"/>
  <c r="DM1067" i="48"/>
  <c r="DM1066" i="48"/>
  <c r="DM1065" i="48"/>
  <c r="DM1064" i="48"/>
  <c r="DM1063" i="48"/>
  <c r="DM1062" i="48"/>
  <c r="DM1061" i="48"/>
  <c r="DM1060" i="48"/>
  <c r="DM1059" i="48"/>
  <c r="DM1058" i="48"/>
  <c r="DM1057" i="48"/>
  <c r="DM1056" i="48"/>
  <c r="DM1055" i="48"/>
  <c r="DM1054" i="48"/>
  <c r="DM1053" i="48"/>
  <c r="DM1052" i="48"/>
  <c r="DM1051" i="48"/>
  <c r="DM1050" i="48"/>
  <c r="DM1049" i="48"/>
  <c r="DM1048" i="48"/>
  <c r="DM1047" i="48"/>
  <c r="DM1046" i="48"/>
  <c r="DM1045" i="48"/>
  <c r="DM1044" i="48"/>
  <c r="DM1043" i="48"/>
  <c r="DM1042" i="48"/>
  <c r="DM1041" i="48"/>
  <c r="DM1040" i="48"/>
  <c r="DM1039" i="48"/>
  <c r="DM1038" i="48"/>
  <c r="DM1037" i="48"/>
  <c r="DM1036" i="48"/>
  <c r="DM1035" i="48"/>
  <c r="DM1034" i="48"/>
  <c r="DM1033" i="48"/>
  <c r="DM1032" i="48"/>
  <c r="DM1031" i="48"/>
  <c r="DM1030" i="48"/>
  <c r="DM1029" i="48"/>
  <c r="DM1028" i="48"/>
  <c r="DM1027" i="48"/>
  <c r="DM1026" i="48"/>
  <c r="DM1025" i="48"/>
  <c r="DM1024" i="48"/>
  <c r="DM1023" i="48"/>
  <c r="DM1022" i="48"/>
  <c r="DM1021" i="48"/>
  <c r="DM1020" i="48"/>
  <c r="DM1019" i="48"/>
  <c r="DM1018" i="48"/>
  <c r="DM1017" i="48"/>
  <c r="DM1016" i="48"/>
  <c r="DM1015" i="48"/>
  <c r="DM1014" i="48"/>
  <c r="DM1013" i="48"/>
  <c r="DM1012" i="48"/>
  <c r="DM1011" i="48"/>
  <c r="DM1010" i="48"/>
  <c r="DM1009" i="48"/>
  <c r="DM1008" i="48"/>
  <c r="DM1007" i="48"/>
  <c r="DM1006" i="48"/>
  <c r="DM1005" i="48"/>
  <c r="DM1004" i="48"/>
  <c r="DM1003" i="48"/>
  <c r="DM1002" i="48"/>
  <c r="DM1001" i="48"/>
  <c r="DM1000" i="48"/>
  <c r="DM999" i="48"/>
  <c r="DM998" i="48"/>
  <c r="DM997" i="48"/>
  <c r="DM996" i="48"/>
  <c r="DM995" i="48"/>
  <c r="DM994" i="48"/>
  <c r="DM993" i="48"/>
  <c r="DM992" i="48"/>
  <c r="DM991" i="48"/>
  <c r="DM990" i="48"/>
  <c r="DM989" i="48"/>
  <c r="DM988" i="48"/>
  <c r="DM987" i="48"/>
  <c r="DM986" i="48"/>
  <c r="DM985" i="48"/>
  <c r="DM984" i="48"/>
  <c r="DM983" i="48"/>
  <c r="DM982" i="48"/>
  <c r="DM981" i="48"/>
  <c r="DM980" i="48"/>
  <c r="DM979" i="48"/>
  <c r="DM978" i="48"/>
  <c r="DM977" i="48"/>
  <c r="DM976" i="48"/>
  <c r="DM975" i="48"/>
  <c r="DM974" i="48"/>
  <c r="DM973" i="48"/>
  <c r="DM972" i="48"/>
  <c r="DM971" i="48"/>
  <c r="DM970" i="48"/>
  <c r="DM969" i="48"/>
  <c r="DM968" i="48"/>
  <c r="DM967" i="48"/>
  <c r="DM966" i="48"/>
  <c r="DM965" i="48"/>
  <c r="DM964" i="48"/>
  <c r="DM963" i="48"/>
  <c r="DM962" i="48"/>
  <c r="DM961" i="48"/>
  <c r="DM960" i="48"/>
  <c r="DM959" i="48"/>
  <c r="DM958" i="48"/>
  <c r="DM957" i="48"/>
  <c r="DM956" i="48"/>
  <c r="DM955" i="48"/>
  <c r="DM954" i="48"/>
  <c r="DM953" i="48"/>
  <c r="DM952" i="48"/>
  <c r="DM951" i="48"/>
  <c r="DM950" i="48"/>
  <c r="DM949" i="48"/>
  <c r="DM948" i="48"/>
  <c r="DM947" i="48"/>
  <c r="DM946" i="48"/>
  <c r="DM945" i="48"/>
  <c r="DM944" i="48"/>
  <c r="DM943" i="48"/>
  <c r="DM942" i="48"/>
  <c r="DM941" i="48"/>
  <c r="DM940" i="48"/>
  <c r="DM939" i="48"/>
  <c r="DM938" i="48"/>
  <c r="DM937" i="48"/>
  <c r="DM936" i="48"/>
  <c r="DM935" i="48"/>
  <c r="DM934" i="48"/>
  <c r="DM933" i="48"/>
  <c r="DM932" i="48"/>
  <c r="DM931" i="48"/>
  <c r="DM930" i="48"/>
  <c r="DM929" i="48"/>
  <c r="DM928" i="48"/>
  <c r="DM927" i="48"/>
  <c r="DM926" i="48"/>
  <c r="DM925" i="48"/>
  <c r="DM924" i="48"/>
  <c r="DM923" i="48"/>
  <c r="DM922" i="48"/>
  <c r="DM921" i="48"/>
  <c r="DM920" i="48"/>
  <c r="DM919" i="48"/>
  <c r="DM918" i="48"/>
  <c r="DM917" i="48"/>
  <c r="DM916" i="48"/>
  <c r="DM915" i="48"/>
  <c r="DM914" i="48"/>
  <c r="DM913" i="48"/>
  <c r="DM912" i="48"/>
  <c r="DM911" i="48"/>
  <c r="DM910" i="48"/>
  <c r="DM909" i="48"/>
  <c r="DM908" i="48"/>
  <c r="DM907" i="48"/>
  <c r="DM906" i="48"/>
  <c r="DM905" i="48"/>
  <c r="DM904" i="48"/>
  <c r="DM903" i="48"/>
  <c r="DM902" i="48"/>
  <c r="DM901" i="48"/>
  <c r="DM900" i="48"/>
  <c r="DM899" i="48"/>
  <c r="DM898" i="48"/>
  <c r="DM897" i="48"/>
  <c r="DM896" i="48"/>
  <c r="DM895" i="48"/>
  <c r="DM894" i="48"/>
  <c r="DM893" i="48"/>
  <c r="DM892" i="48"/>
  <c r="DM891" i="48"/>
  <c r="DM890" i="48"/>
  <c r="DM889" i="48"/>
  <c r="DM888" i="48"/>
  <c r="DM887" i="48"/>
  <c r="DM886" i="48"/>
  <c r="DM885" i="48"/>
  <c r="DM884" i="48"/>
  <c r="DM883" i="48"/>
  <c r="DM882" i="48"/>
  <c r="DM881" i="48"/>
  <c r="DM880" i="48"/>
  <c r="DM879" i="48"/>
  <c r="DM878" i="48"/>
  <c r="DM877" i="48"/>
  <c r="DM876" i="48"/>
  <c r="DM875" i="48"/>
  <c r="DM874" i="48"/>
  <c r="DM873" i="48"/>
  <c r="DM872" i="48"/>
  <c r="DM871" i="48"/>
  <c r="DM870" i="48"/>
  <c r="DM869" i="48"/>
  <c r="DM868" i="48"/>
  <c r="DM867" i="48"/>
  <c r="DM866" i="48"/>
  <c r="DM865" i="48"/>
  <c r="DM864" i="48"/>
  <c r="DM863" i="48"/>
  <c r="DM862" i="48"/>
  <c r="DM861" i="48"/>
  <c r="DM860" i="48"/>
  <c r="DM859" i="48"/>
  <c r="DM858" i="48"/>
  <c r="DM857" i="48"/>
  <c r="DM856" i="48"/>
  <c r="DM855" i="48"/>
  <c r="DM854" i="48"/>
  <c r="DM853" i="48"/>
  <c r="DM852" i="48"/>
  <c r="DM851" i="48"/>
  <c r="DM850" i="48"/>
  <c r="DM849" i="48"/>
  <c r="DM848" i="48"/>
  <c r="DM847" i="48"/>
  <c r="DM846" i="48"/>
  <c r="DM845" i="48"/>
  <c r="DM844" i="48"/>
  <c r="DM843" i="48"/>
  <c r="DM842" i="48"/>
  <c r="DM841" i="48"/>
  <c r="DM840" i="48"/>
  <c r="DM839" i="48"/>
  <c r="DM838" i="48"/>
  <c r="DM837" i="48"/>
  <c r="DM836" i="48"/>
  <c r="DM835" i="48"/>
  <c r="DM834" i="48"/>
  <c r="DM833" i="48"/>
  <c r="DM832" i="48"/>
  <c r="DM831" i="48"/>
  <c r="DM830" i="48"/>
  <c r="DM829" i="48"/>
  <c r="DM828" i="48"/>
  <c r="DM827" i="48"/>
  <c r="DM826" i="48"/>
  <c r="DM825" i="48"/>
  <c r="DM824" i="48"/>
  <c r="DM823" i="48"/>
  <c r="DM822" i="48"/>
  <c r="DM821" i="48"/>
  <c r="DM820" i="48"/>
  <c r="DM819" i="48"/>
  <c r="DM818" i="48"/>
  <c r="DM817" i="48"/>
  <c r="DM816" i="48"/>
  <c r="DM815" i="48"/>
  <c r="DM814" i="48"/>
  <c r="DM813" i="48"/>
  <c r="DM812" i="48"/>
  <c r="DM811" i="48"/>
  <c r="DM810" i="48"/>
  <c r="DM809" i="48"/>
  <c r="DM808" i="48"/>
  <c r="DM807" i="48"/>
  <c r="DM806" i="48"/>
  <c r="DM805" i="48"/>
  <c r="DM804" i="48"/>
  <c r="DM803" i="48"/>
  <c r="DM802" i="48"/>
  <c r="DM801" i="48"/>
  <c r="DM800" i="48"/>
  <c r="DM799" i="48"/>
  <c r="DM798" i="48"/>
  <c r="DM797" i="48"/>
  <c r="DM796" i="48"/>
  <c r="DM795" i="48"/>
  <c r="DM794" i="48"/>
  <c r="DM793" i="48"/>
  <c r="DM792" i="48"/>
  <c r="DM791" i="48"/>
  <c r="DM790" i="48"/>
  <c r="DM789" i="48"/>
  <c r="DM788" i="48"/>
  <c r="DM787" i="48"/>
  <c r="DM786" i="48"/>
  <c r="DM785" i="48"/>
  <c r="DM784" i="48"/>
  <c r="DM783" i="48"/>
  <c r="DM782" i="48"/>
  <c r="DM781" i="48"/>
  <c r="DM780" i="48"/>
  <c r="DM779" i="48"/>
  <c r="DM778" i="48"/>
  <c r="DM777" i="48"/>
  <c r="DM776" i="48"/>
  <c r="DM775" i="48"/>
  <c r="DM774" i="48"/>
  <c r="DM773" i="48"/>
  <c r="DM772" i="48"/>
  <c r="DM771" i="48"/>
  <c r="DM770" i="48"/>
  <c r="DM769" i="48"/>
  <c r="DM768" i="48"/>
  <c r="DM767" i="48"/>
  <c r="DM766" i="48"/>
  <c r="DM765" i="48"/>
  <c r="DM764" i="48"/>
  <c r="DM763" i="48"/>
  <c r="DM762" i="48"/>
  <c r="DM761" i="48"/>
  <c r="DM760" i="48"/>
  <c r="DM759" i="48"/>
  <c r="DM758" i="48"/>
  <c r="DM757" i="48"/>
  <c r="DM756" i="48"/>
  <c r="DM755" i="48"/>
  <c r="DM754" i="48"/>
  <c r="DM753" i="48"/>
  <c r="DM752" i="48"/>
  <c r="DM751" i="48"/>
  <c r="DM750" i="48"/>
  <c r="DM749" i="48"/>
  <c r="DM748" i="48"/>
  <c r="DM747" i="48"/>
  <c r="DM746" i="48"/>
  <c r="DM745" i="48"/>
  <c r="DM744" i="48"/>
  <c r="DM743" i="48"/>
  <c r="DM742" i="48"/>
  <c r="DM741" i="48"/>
  <c r="DM740" i="48"/>
  <c r="DM739" i="48"/>
  <c r="DM738" i="48"/>
  <c r="DM737" i="48"/>
  <c r="DM736" i="48"/>
  <c r="DM735" i="48"/>
  <c r="DM734" i="48"/>
  <c r="DM733" i="48"/>
  <c r="DM732" i="48"/>
  <c r="DM731" i="48"/>
  <c r="DM730" i="48"/>
  <c r="DM729" i="48"/>
  <c r="DM728" i="48"/>
  <c r="DM727" i="48"/>
  <c r="DM726" i="48"/>
  <c r="DM725" i="48"/>
  <c r="DM724" i="48"/>
  <c r="DM723" i="48"/>
  <c r="DM722" i="48"/>
  <c r="DM721" i="48"/>
  <c r="DM720" i="48"/>
  <c r="DM719" i="48"/>
  <c r="DM718" i="48"/>
  <c r="DM717" i="48"/>
  <c r="DM716" i="48"/>
  <c r="DM715" i="48"/>
  <c r="DM714" i="48"/>
  <c r="DM713" i="48"/>
  <c r="DM712" i="48"/>
  <c r="DM711" i="48"/>
  <c r="DM710" i="48"/>
  <c r="DM709" i="48"/>
  <c r="DM708" i="48"/>
  <c r="DM707" i="48"/>
  <c r="DM706" i="48"/>
  <c r="DM705" i="48"/>
  <c r="DM704" i="48"/>
  <c r="DM703" i="48"/>
  <c r="DM702" i="48"/>
  <c r="DM701" i="48"/>
  <c r="DM700" i="48"/>
  <c r="DM699" i="48"/>
  <c r="DM698" i="48"/>
  <c r="DM697" i="48"/>
  <c r="DM696" i="48"/>
  <c r="DM695" i="48"/>
  <c r="DM694" i="48"/>
  <c r="DM693" i="48"/>
  <c r="DM692" i="48"/>
  <c r="DM691" i="48"/>
  <c r="DM690" i="48"/>
  <c r="DM689" i="48"/>
  <c r="DM688" i="48"/>
  <c r="DM687" i="48"/>
  <c r="DM686" i="48"/>
  <c r="DM685" i="48"/>
  <c r="DM684" i="48"/>
  <c r="DM683" i="48"/>
  <c r="DM682" i="48"/>
  <c r="DM681" i="48"/>
  <c r="DM680" i="48"/>
  <c r="DM679" i="48"/>
  <c r="DM678" i="48"/>
  <c r="DM677" i="48"/>
  <c r="DM676" i="48"/>
  <c r="DM675" i="48"/>
  <c r="DM674" i="48"/>
  <c r="DM673" i="48"/>
  <c r="DM672" i="48"/>
  <c r="DM671" i="48"/>
  <c r="DM670" i="48"/>
  <c r="DM669" i="48"/>
  <c r="DM668" i="48"/>
  <c r="DM667" i="48"/>
  <c r="DM666" i="48"/>
  <c r="DM665" i="48"/>
  <c r="DM664" i="48"/>
  <c r="DM663" i="48"/>
  <c r="DM662" i="48"/>
  <c r="DM661" i="48"/>
  <c r="DM660" i="48"/>
  <c r="DM659" i="48"/>
  <c r="DM658" i="48"/>
  <c r="DM657" i="48"/>
  <c r="DM656" i="48"/>
  <c r="DM655" i="48"/>
  <c r="DM654" i="48"/>
  <c r="DM653" i="48"/>
  <c r="DM652" i="48"/>
  <c r="DM651" i="48"/>
  <c r="DM650" i="48"/>
  <c r="DM649" i="48"/>
  <c r="DM648" i="48"/>
  <c r="DM647" i="48"/>
  <c r="DM646" i="48"/>
  <c r="DM645" i="48"/>
  <c r="DM644" i="48"/>
  <c r="DM643" i="48"/>
  <c r="DM642" i="48"/>
  <c r="DM641" i="48"/>
  <c r="DM640" i="48"/>
  <c r="DM639" i="48"/>
  <c r="DM638" i="48"/>
  <c r="DM637" i="48"/>
  <c r="DM636" i="48"/>
  <c r="DM635" i="48"/>
  <c r="DM634" i="48"/>
  <c r="DM633" i="48"/>
  <c r="DM632" i="48"/>
  <c r="DM631" i="48"/>
  <c r="DM630" i="48"/>
  <c r="DM629" i="48"/>
  <c r="DM628" i="48"/>
  <c r="DM627" i="48"/>
  <c r="DM626" i="48"/>
  <c r="DM625" i="48"/>
  <c r="DM624" i="48"/>
  <c r="DM623" i="48"/>
  <c r="DM622" i="48"/>
  <c r="DM621" i="48"/>
  <c r="DM620" i="48"/>
  <c r="DM619" i="48"/>
  <c r="DM618" i="48"/>
  <c r="DM617" i="48"/>
  <c r="DM616" i="48"/>
  <c r="DM615" i="48"/>
  <c r="DM614" i="48"/>
  <c r="DM613" i="48"/>
  <c r="DM612" i="48"/>
  <c r="DM611" i="48"/>
  <c r="DM610" i="48"/>
  <c r="DM609" i="48"/>
  <c r="DM608" i="48"/>
  <c r="DM607" i="48"/>
  <c r="DM606" i="48"/>
  <c r="DM605" i="48"/>
  <c r="DM604" i="48"/>
  <c r="DM603" i="48"/>
  <c r="DM602" i="48"/>
  <c r="DM601" i="48"/>
  <c r="DM600" i="48"/>
  <c r="DM599" i="48"/>
  <c r="DM598" i="48"/>
  <c r="DM597" i="48"/>
  <c r="DM596" i="48"/>
  <c r="DM595" i="48"/>
  <c r="DM594" i="48"/>
  <c r="DM593" i="48"/>
  <c r="DM592" i="48"/>
  <c r="DM591" i="48"/>
  <c r="DM590" i="48"/>
  <c r="DM589" i="48"/>
  <c r="DM588" i="48"/>
  <c r="DM587" i="48"/>
  <c r="DM586" i="48"/>
  <c r="DM585" i="48"/>
  <c r="DM584" i="48"/>
  <c r="DM583" i="48"/>
  <c r="DM582" i="48"/>
  <c r="DM581" i="48"/>
  <c r="DM580" i="48"/>
  <c r="DM579" i="48"/>
  <c r="DM578" i="48"/>
  <c r="DM577" i="48"/>
  <c r="DM576" i="48"/>
  <c r="DM575" i="48"/>
  <c r="DM574" i="48"/>
  <c r="DM573" i="48"/>
  <c r="DM572" i="48"/>
  <c r="DM571" i="48"/>
  <c r="DM570" i="48"/>
  <c r="DM569" i="48"/>
  <c r="DM568" i="48"/>
  <c r="DM567" i="48"/>
  <c r="DM566" i="48"/>
  <c r="DM565" i="48"/>
  <c r="DM564" i="48"/>
  <c r="DM563" i="48"/>
  <c r="DM562" i="48"/>
  <c r="DM561" i="48"/>
  <c r="DM560" i="48"/>
  <c r="DM559" i="48"/>
  <c r="DM558" i="48"/>
  <c r="DM557" i="48"/>
  <c r="DM556" i="48"/>
  <c r="DM555" i="48"/>
  <c r="DM554" i="48"/>
  <c r="DM553" i="48"/>
  <c r="DM552" i="48"/>
  <c r="DM551" i="48"/>
  <c r="DM550" i="48"/>
  <c r="DM549" i="48"/>
  <c r="DM548" i="48"/>
  <c r="DM547" i="48"/>
  <c r="DM546" i="48"/>
  <c r="DM545" i="48"/>
  <c r="DM544" i="48"/>
  <c r="DM543" i="48"/>
  <c r="DM542" i="48"/>
  <c r="DM541" i="48"/>
  <c r="DM540" i="48"/>
  <c r="DM539" i="48"/>
  <c r="DM538" i="48"/>
  <c r="DM537" i="48"/>
  <c r="DM536" i="48"/>
  <c r="DM535" i="48"/>
  <c r="DM534" i="48"/>
  <c r="DM533" i="48"/>
  <c r="DM532" i="48"/>
  <c r="DM531" i="48"/>
  <c r="DM530" i="48"/>
  <c r="DM529" i="48"/>
  <c r="DM528" i="48"/>
  <c r="DM527" i="48"/>
  <c r="DM526" i="48"/>
  <c r="DM525" i="48"/>
  <c r="DM524" i="48"/>
  <c r="DM523" i="48"/>
  <c r="DM522" i="48"/>
  <c r="DM521" i="48"/>
  <c r="DM520" i="48"/>
  <c r="DM519" i="48"/>
  <c r="DM518" i="48"/>
  <c r="DM517" i="48"/>
  <c r="DM516" i="48"/>
  <c r="DM515" i="48"/>
  <c r="DM514" i="48"/>
  <c r="DM513" i="48"/>
  <c r="DM512" i="48"/>
  <c r="DM511" i="48"/>
  <c r="DM510" i="48"/>
  <c r="DM509" i="48"/>
  <c r="DM508" i="48"/>
  <c r="DM507" i="48"/>
  <c r="DM506" i="48"/>
  <c r="DM505" i="48"/>
  <c r="DM504" i="48"/>
  <c r="DM503" i="48"/>
  <c r="DM502" i="48"/>
  <c r="DM501" i="48"/>
  <c r="DM500" i="48"/>
  <c r="DM499" i="48"/>
  <c r="DM498" i="48"/>
  <c r="DM497" i="48"/>
  <c r="DM496" i="48"/>
  <c r="DM495" i="48"/>
  <c r="DM494" i="48"/>
  <c r="DM493" i="48"/>
  <c r="DM492" i="48"/>
  <c r="DM491" i="48"/>
  <c r="DM490" i="48"/>
  <c r="DM489" i="48"/>
  <c r="DM488" i="48"/>
  <c r="DM487" i="48"/>
  <c r="DM486" i="48"/>
  <c r="DM485" i="48"/>
  <c r="DM484" i="48"/>
  <c r="DM483" i="48"/>
  <c r="DM482" i="48"/>
  <c r="DM481" i="48"/>
  <c r="DM480" i="48"/>
  <c r="DM479" i="48"/>
  <c r="DM478" i="48"/>
  <c r="DM477" i="48"/>
  <c r="DM476" i="48"/>
  <c r="DM475" i="48"/>
  <c r="DM474" i="48"/>
  <c r="DM473" i="48"/>
  <c r="DM472" i="48"/>
  <c r="DM471" i="48"/>
  <c r="DM470" i="48"/>
  <c r="DM469" i="48"/>
  <c r="DM468" i="48"/>
  <c r="DM467" i="48"/>
  <c r="DM466" i="48"/>
  <c r="DM465" i="48"/>
  <c r="DM464" i="48"/>
  <c r="DM463" i="48"/>
  <c r="DM462" i="48"/>
  <c r="DM461" i="48"/>
  <c r="DM460" i="48"/>
  <c r="DM459" i="48"/>
  <c r="DM458" i="48"/>
  <c r="DM457" i="48"/>
  <c r="DM456" i="48"/>
  <c r="DM455" i="48"/>
  <c r="DM454" i="48"/>
  <c r="DM453" i="48"/>
  <c r="DM452" i="48"/>
  <c r="DM451" i="48"/>
  <c r="DM450" i="48"/>
  <c r="DM449" i="48"/>
  <c r="DM448" i="48"/>
  <c r="DM447" i="48"/>
  <c r="DM446" i="48"/>
  <c r="DM445" i="48"/>
  <c r="DM444" i="48"/>
  <c r="DM443" i="48"/>
  <c r="DM442" i="48"/>
  <c r="DM441" i="48"/>
  <c r="DM440" i="48"/>
  <c r="DM439" i="48"/>
  <c r="DM438" i="48"/>
  <c r="DM437" i="48"/>
  <c r="DM436" i="48"/>
  <c r="DM435" i="48"/>
  <c r="DM434" i="48"/>
  <c r="DM433" i="48"/>
  <c r="DM432" i="48"/>
  <c r="DM431" i="48"/>
  <c r="DM430" i="48"/>
  <c r="DM429" i="48"/>
  <c r="DM428" i="48"/>
  <c r="DM427" i="48"/>
  <c r="DM426" i="48"/>
  <c r="DM425" i="48"/>
  <c r="DM424" i="48"/>
  <c r="DM423" i="48"/>
  <c r="DM422" i="48"/>
  <c r="DM421" i="48"/>
  <c r="DM420" i="48"/>
  <c r="DM419" i="48"/>
  <c r="DM418" i="48"/>
  <c r="DM417" i="48"/>
  <c r="DM416" i="48"/>
  <c r="DM415" i="48"/>
  <c r="DM414" i="48"/>
  <c r="DM413" i="48"/>
  <c r="DM412" i="48"/>
  <c r="DM411" i="48"/>
  <c r="DM410" i="48"/>
  <c r="DM409" i="48"/>
  <c r="DM408" i="48"/>
  <c r="DM407" i="48"/>
  <c r="DM406" i="48"/>
  <c r="DM405" i="48"/>
  <c r="DM404" i="48"/>
  <c r="DM403" i="48"/>
  <c r="DM402" i="48"/>
  <c r="DM401" i="48"/>
  <c r="DM400" i="48"/>
  <c r="DM399" i="48"/>
  <c r="DM398" i="48"/>
  <c r="DM397" i="48"/>
  <c r="DM396" i="48"/>
  <c r="DM395" i="48"/>
  <c r="DM394" i="48"/>
  <c r="DM393" i="48"/>
  <c r="DM392" i="48"/>
  <c r="DM391" i="48"/>
  <c r="DM390" i="48"/>
  <c r="DM389" i="48"/>
  <c r="DM388" i="48"/>
  <c r="DM387" i="48"/>
  <c r="DM386" i="48"/>
  <c r="DM385" i="48"/>
  <c r="DM384" i="48"/>
  <c r="DM383" i="48"/>
  <c r="DM382" i="48"/>
  <c r="DM381" i="48"/>
  <c r="DM380" i="48"/>
  <c r="DM379" i="48"/>
  <c r="DM378" i="48"/>
  <c r="DM377" i="48"/>
  <c r="DM376" i="48"/>
  <c r="DM375" i="48"/>
  <c r="DM374" i="48"/>
  <c r="DM373" i="48"/>
  <c r="DM372" i="48"/>
  <c r="DM371" i="48"/>
  <c r="DM370" i="48"/>
  <c r="DM369" i="48"/>
  <c r="DM368" i="48"/>
  <c r="DM367" i="48"/>
  <c r="DM366" i="48"/>
  <c r="DM365" i="48"/>
  <c r="DM364" i="48"/>
  <c r="DM363" i="48"/>
  <c r="DM362" i="48"/>
  <c r="DM361" i="48"/>
  <c r="DM360" i="48"/>
  <c r="DM359" i="48"/>
  <c r="DM358" i="48"/>
  <c r="DM357" i="48"/>
  <c r="DM356" i="48"/>
  <c r="DM355" i="48"/>
  <c r="DM354" i="48"/>
  <c r="DM353" i="48"/>
  <c r="DM352" i="48"/>
  <c r="DM351" i="48"/>
  <c r="DM350" i="48"/>
  <c r="DM349" i="48"/>
  <c r="DM348" i="48"/>
  <c r="DM347" i="48"/>
  <c r="DM346" i="48"/>
  <c r="DM345" i="48"/>
  <c r="DM344" i="48"/>
  <c r="DM343" i="48"/>
  <c r="DM342" i="48"/>
  <c r="DM341" i="48"/>
  <c r="DM340" i="48"/>
  <c r="DM339" i="48"/>
  <c r="DM338" i="48"/>
  <c r="DM337" i="48"/>
  <c r="DM336" i="48"/>
  <c r="DM335" i="48"/>
  <c r="DM334" i="48"/>
  <c r="DM333" i="48"/>
  <c r="DM332" i="48"/>
  <c r="DM331" i="48"/>
  <c r="DM330" i="48"/>
  <c r="DM329" i="48"/>
  <c r="DM328" i="48"/>
  <c r="DM327" i="48"/>
  <c r="DM326" i="48"/>
  <c r="DM325" i="48"/>
  <c r="DM324" i="48"/>
  <c r="DM323" i="48"/>
  <c r="DM322" i="48"/>
  <c r="DM321" i="48"/>
  <c r="DM320" i="48"/>
  <c r="DM319" i="48"/>
  <c r="DM318" i="48"/>
  <c r="DM317" i="48"/>
  <c r="DM316" i="48"/>
  <c r="DM315" i="48"/>
  <c r="DM314" i="48"/>
  <c r="DM313" i="48"/>
  <c r="DM312" i="48"/>
  <c r="DM311" i="48"/>
  <c r="DM310" i="48"/>
  <c r="DM309" i="48"/>
  <c r="DM308" i="48"/>
  <c r="DM307" i="48"/>
  <c r="DM306" i="48"/>
  <c r="DM305" i="48"/>
  <c r="DM304" i="48"/>
  <c r="DM303" i="48"/>
  <c r="DM302" i="48"/>
  <c r="DM301" i="48"/>
  <c r="DM300" i="48"/>
  <c r="DM299" i="48"/>
  <c r="DM298" i="48"/>
  <c r="DM297" i="48"/>
  <c r="DM296" i="48"/>
  <c r="DM295" i="48"/>
  <c r="DM294" i="48"/>
  <c r="DM293" i="48"/>
  <c r="DM292" i="48"/>
  <c r="DM291" i="48"/>
  <c r="DM290" i="48"/>
  <c r="DM289" i="48"/>
  <c r="DM288" i="48"/>
  <c r="DM287" i="48"/>
  <c r="DM286" i="48"/>
  <c r="DM285" i="48"/>
  <c r="DM284" i="48"/>
  <c r="DM283" i="48"/>
  <c r="DM282" i="48"/>
  <c r="DM281" i="48"/>
  <c r="DM280" i="48"/>
  <c r="DM279" i="48"/>
  <c r="DM278" i="48"/>
  <c r="DM277" i="48"/>
  <c r="DM276" i="48"/>
  <c r="DM275" i="48"/>
  <c r="DM274" i="48"/>
  <c r="DM273" i="48"/>
  <c r="DM272" i="48"/>
  <c r="DM271" i="48"/>
  <c r="DM270" i="48"/>
  <c r="DM269" i="48"/>
  <c r="DM268" i="48"/>
  <c r="DM267" i="48"/>
  <c r="DM266" i="48"/>
  <c r="DM265" i="48"/>
  <c r="DM264" i="48"/>
  <c r="DM263" i="48"/>
  <c r="DM262" i="48"/>
  <c r="DM261" i="48"/>
  <c r="DM260" i="48"/>
  <c r="DM259" i="48"/>
  <c r="DM258" i="48"/>
  <c r="DM257" i="48"/>
  <c r="DM256" i="48"/>
  <c r="DM255" i="48"/>
  <c r="DM254" i="48"/>
  <c r="DM253" i="48"/>
  <c r="DM252" i="48"/>
  <c r="DM251" i="48"/>
  <c r="DM250" i="48"/>
  <c r="DM249" i="48"/>
  <c r="DM248" i="48"/>
  <c r="DM247" i="48"/>
  <c r="DM246" i="48"/>
  <c r="DM245" i="48"/>
  <c r="DM244" i="48"/>
  <c r="DM243" i="48"/>
  <c r="DM242" i="48"/>
  <c r="DM241" i="48"/>
  <c r="DM240" i="48"/>
  <c r="DM239" i="48"/>
  <c r="DM238" i="48"/>
  <c r="DM237" i="48"/>
  <c r="DM236" i="48"/>
  <c r="DM235" i="48"/>
  <c r="DM234" i="48"/>
  <c r="DM233" i="48"/>
  <c r="DM232" i="48"/>
  <c r="DM231" i="48"/>
  <c r="DM230" i="48"/>
  <c r="DM229" i="48"/>
  <c r="DM228" i="48"/>
  <c r="DM227" i="48"/>
  <c r="DM226" i="48"/>
  <c r="DM225" i="48"/>
  <c r="DM224" i="48"/>
  <c r="DM223" i="48"/>
  <c r="DM222" i="48"/>
  <c r="DM221" i="48"/>
  <c r="DM220" i="48"/>
  <c r="DM219" i="48"/>
  <c r="DM218" i="48"/>
  <c r="DM217" i="48"/>
  <c r="DM216" i="48"/>
  <c r="DM215" i="48"/>
  <c r="DM214" i="48"/>
  <c r="DM213" i="48"/>
  <c r="DM212" i="48"/>
  <c r="DM211" i="48"/>
  <c r="DM210" i="48"/>
  <c r="DM209" i="48"/>
  <c r="DM208" i="48"/>
  <c r="DM207" i="48"/>
  <c r="DM206" i="48"/>
  <c r="DM205" i="48"/>
  <c r="DM204" i="48"/>
  <c r="DM203" i="48"/>
  <c r="DM202" i="48"/>
  <c r="DM201" i="48"/>
  <c r="DM200" i="48"/>
  <c r="DM199" i="48"/>
  <c r="DM198" i="48"/>
  <c r="DM197" i="48"/>
  <c r="DM196" i="48"/>
  <c r="DM195" i="48"/>
  <c r="DM194" i="48"/>
  <c r="DM193" i="48"/>
  <c r="DM192" i="48"/>
  <c r="DM191" i="48"/>
  <c r="DM190" i="48"/>
  <c r="DM189" i="48"/>
  <c r="DM188" i="48"/>
  <c r="DM187" i="48"/>
  <c r="DM186" i="48"/>
  <c r="DM185" i="48"/>
  <c r="DM184" i="48"/>
  <c r="DM183" i="48"/>
  <c r="DM182" i="48"/>
  <c r="DM181" i="48"/>
  <c r="DM180" i="48"/>
  <c r="DM179" i="48"/>
  <c r="DM178" i="48"/>
  <c r="DM177" i="48"/>
  <c r="DM176" i="48"/>
  <c r="DM175" i="48"/>
  <c r="DM174" i="48"/>
  <c r="DM173" i="48"/>
  <c r="DM172" i="48"/>
  <c r="DM171" i="48"/>
  <c r="DM170" i="48"/>
  <c r="DM169" i="48"/>
  <c r="DM168" i="48"/>
  <c r="DM167" i="48"/>
  <c r="DM166" i="48"/>
  <c r="DM165" i="48"/>
  <c r="DM164" i="48"/>
  <c r="DM163" i="48"/>
  <c r="DM162" i="48"/>
  <c r="DM161" i="48"/>
  <c r="DM160" i="48"/>
  <c r="DM159" i="48"/>
  <c r="DM158" i="48"/>
  <c r="DM157" i="48"/>
  <c r="DM156" i="48"/>
  <c r="DM155" i="48"/>
  <c r="DM154" i="48"/>
  <c r="DM153" i="48"/>
  <c r="DM152" i="48"/>
  <c r="DM151" i="48"/>
  <c r="DM150" i="48"/>
  <c r="DM149" i="48"/>
  <c r="DM148" i="48"/>
  <c r="DM147" i="48"/>
  <c r="DM146" i="48"/>
  <c r="DM145" i="48"/>
  <c r="DM144" i="48"/>
  <c r="DM143" i="48"/>
  <c r="DM142" i="48"/>
  <c r="DM141" i="48"/>
  <c r="DM140" i="48"/>
  <c r="DM139" i="48"/>
  <c r="DM138" i="48"/>
  <c r="DM137" i="48"/>
  <c r="DM136" i="48"/>
  <c r="DM135" i="48"/>
  <c r="DM134" i="48"/>
  <c r="DM133" i="48"/>
  <c r="DM132" i="48"/>
  <c r="DM131" i="48"/>
  <c r="DM130" i="48"/>
  <c r="DM129" i="48"/>
  <c r="DM128" i="48"/>
  <c r="DM127" i="48"/>
  <c r="DM126" i="48"/>
  <c r="DM125" i="48"/>
  <c r="DM124" i="48"/>
  <c r="DM123" i="48"/>
  <c r="DM122" i="48"/>
  <c r="DM121" i="48"/>
  <c r="DM120" i="48"/>
  <c r="DM119" i="48"/>
  <c r="DM118" i="48"/>
  <c r="DM117" i="48"/>
  <c r="DM116" i="48"/>
  <c r="DM115" i="48"/>
  <c r="DM114" i="48"/>
  <c r="DM113" i="48"/>
  <c r="DM112" i="48"/>
  <c r="DM111" i="48"/>
  <c r="DM110" i="48"/>
  <c r="DM109" i="48"/>
  <c r="DM108" i="48"/>
  <c r="DM107" i="48"/>
  <c r="DM106" i="48"/>
  <c r="DM105" i="48"/>
  <c r="DM104" i="48"/>
  <c r="DM103" i="48"/>
  <c r="DM102" i="48"/>
  <c r="DM101" i="48"/>
  <c r="DM100" i="48"/>
  <c r="DM99" i="48"/>
  <c r="DM98" i="48"/>
  <c r="DM97" i="48"/>
  <c r="DM96" i="48"/>
  <c r="DM95" i="48"/>
  <c r="DM94" i="48"/>
  <c r="DM93" i="48"/>
  <c r="DM92" i="48"/>
  <c r="DM91" i="48"/>
  <c r="DM90" i="48"/>
  <c r="DM89" i="48"/>
  <c r="DM88" i="48"/>
  <c r="DM87" i="48"/>
  <c r="DM86" i="48"/>
  <c r="DM85" i="48"/>
  <c r="DM84" i="48"/>
  <c r="DM83" i="48"/>
  <c r="DM82" i="48"/>
  <c r="DM81" i="48"/>
  <c r="DM80" i="48"/>
  <c r="DM79" i="48"/>
  <c r="DM78" i="48"/>
  <c r="DM77" i="48"/>
  <c r="DM76" i="48"/>
  <c r="DM75" i="48"/>
  <c r="DM74" i="48"/>
  <c r="DM73" i="48"/>
  <c r="DM72" i="48"/>
  <c r="DM71" i="48"/>
  <c r="DM70" i="48"/>
  <c r="DM69" i="48"/>
  <c r="DM68" i="48"/>
  <c r="DM67" i="48"/>
  <c r="DM66" i="48"/>
  <c r="DM65" i="48"/>
  <c r="DM64" i="48"/>
  <c r="DM63" i="48"/>
  <c r="DM62" i="48"/>
  <c r="DM61" i="48"/>
  <c r="DM60" i="48"/>
  <c r="DM59" i="48"/>
  <c r="CO59" i="48" s="1"/>
  <c r="DM58" i="48"/>
  <c r="DM57" i="48"/>
  <c r="DM56" i="48"/>
  <c r="DM55" i="48"/>
  <c r="DM54" i="48"/>
  <c r="DM53" i="48"/>
  <c r="DM52" i="48"/>
  <c r="DM51" i="48"/>
  <c r="DM50" i="48"/>
  <c r="DM49" i="48"/>
  <c r="DM48" i="48"/>
  <c r="DM47" i="48"/>
  <c r="DM46" i="48"/>
  <c r="DM45" i="48"/>
  <c r="DM44" i="48"/>
  <c r="DM43" i="48"/>
  <c r="DM42" i="48"/>
  <c r="DM41" i="48"/>
  <c r="DM40" i="48"/>
  <c r="DM39" i="48"/>
  <c r="DM38" i="48"/>
  <c r="DM37" i="48"/>
  <c r="DM36" i="48"/>
  <c r="CO131" i="48" l="1"/>
  <c r="CO179" i="48"/>
  <c r="CO227" i="48"/>
  <c r="CO347" i="48"/>
  <c r="CO539" i="48"/>
  <c r="CO683" i="48"/>
  <c r="CO803" i="48"/>
  <c r="CO923" i="48"/>
  <c r="CO947" i="48"/>
  <c r="CO995" i="48"/>
  <c r="CO1115" i="48"/>
  <c r="CO1163" i="48"/>
  <c r="CO83" i="48"/>
  <c r="CO275" i="48"/>
  <c r="CO395" i="48"/>
  <c r="CO563" i="48"/>
  <c r="CO611" i="48"/>
  <c r="CO755" i="48"/>
  <c r="CO875" i="48"/>
  <c r="CO1139" i="48"/>
  <c r="CO1211" i="48"/>
  <c r="CO1307" i="48"/>
  <c r="CO107" i="48"/>
  <c r="CO155" i="48"/>
  <c r="CO203" i="48"/>
  <c r="CO323" i="48"/>
  <c r="CO371" i="48"/>
  <c r="CO491" i="48"/>
  <c r="CO707" i="48"/>
  <c r="CO827" i="48"/>
  <c r="CO1091" i="48"/>
  <c r="CO299" i="48"/>
  <c r="CO419" i="48"/>
  <c r="CO467" i="48"/>
  <c r="CO587" i="48"/>
  <c r="CO659" i="48"/>
  <c r="CO731" i="48"/>
  <c r="CO851" i="48"/>
  <c r="CO971" i="48"/>
  <c r="CO1043" i="48"/>
  <c r="CO1187" i="48"/>
  <c r="CO1259" i="48"/>
  <c r="CO251" i="48"/>
  <c r="CO443" i="48"/>
  <c r="CO515" i="48"/>
  <c r="CO635" i="48"/>
  <c r="CO779" i="48"/>
  <c r="CO899" i="48"/>
  <c r="CO1019" i="48"/>
  <c r="CO1067" i="48"/>
  <c r="CO1235" i="48"/>
  <c r="CO1283" i="48"/>
  <c r="CZ83" i="48"/>
  <c r="CZ107" i="48"/>
  <c r="CZ131" i="48"/>
  <c r="CZ155" i="48"/>
  <c r="CZ179" i="48"/>
  <c r="CZ203" i="48"/>
  <c r="CZ227" i="48"/>
  <c r="CZ251" i="48"/>
  <c r="CZ275" i="48"/>
  <c r="CZ299" i="48"/>
  <c r="CZ323" i="48"/>
  <c r="CZ347" i="48"/>
  <c r="CZ371" i="48"/>
  <c r="CZ395" i="48"/>
  <c r="CZ419" i="48"/>
  <c r="CZ443" i="48"/>
  <c r="CZ467" i="48"/>
  <c r="CZ491" i="48"/>
  <c r="CZ515" i="48"/>
  <c r="CZ539" i="48"/>
  <c r="CZ563" i="48"/>
  <c r="CZ587" i="48"/>
  <c r="CZ611" i="48"/>
  <c r="CZ635" i="48"/>
  <c r="CZ659" i="48"/>
  <c r="CZ683" i="48"/>
  <c r="CZ707" i="48"/>
  <c r="CZ731" i="48"/>
  <c r="CZ755" i="48"/>
  <c r="CZ779" i="48"/>
  <c r="CZ803" i="48"/>
  <c r="CZ827" i="48"/>
  <c r="CZ851" i="48"/>
  <c r="CZ875" i="48"/>
  <c r="CZ899" i="48"/>
  <c r="CZ923" i="48"/>
  <c r="CZ947" i="48"/>
  <c r="CZ971" i="48"/>
  <c r="CZ995" i="48"/>
  <c r="CZ1019" i="48"/>
  <c r="CZ1043" i="48"/>
  <c r="CZ1067" i="48"/>
  <c r="CZ1091" i="48"/>
  <c r="CZ1115" i="48"/>
  <c r="CZ1139" i="48"/>
  <c r="CZ1163" i="48"/>
  <c r="CZ1187" i="48"/>
  <c r="CZ1211" i="48"/>
  <c r="CZ1235" i="48"/>
  <c r="CZ1259" i="48"/>
  <c r="CZ1283" i="48"/>
  <c r="CZ1307" i="48"/>
  <c r="CZ1331" i="48"/>
  <c r="CZ59" i="48"/>
  <c r="AZ59" i="48"/>
  <c r="AZ1307" i="48"/>
  <c r="AZ1187" i="48"/>
  <c r="AZ1115" i="48"/>
  <c r="AZ1043" i="48"/>
  <c r="AZ1019" i="48"/>
  <c r="AZ971" i="48"/>
  <c r="AZ683" i="48"/>
  <c r="AZ635" i="48"/>
  <c r="AZ587" i="48"/>
  <c r="AZ539" i="48"/>
  <c r="AZ515" i="48"/>
  <c r="AZ467" i="48"/>
  <c r="AZ419" i="48"/>
  <c r="AZ347" i="48"/>
  <c r="AZ275" i="48"/>
  <c r="AZ251" i="48"/>
  <c r="AZ155" i="48"/>
  <c r="AZ83" i="48"/>
  <c r="AZ131" i="48"/>
  <c r="AZ179" i="48"/>
  <c r="AZ203" i="48"/>
  <c r="AZ227" i="48"/>
  <c r="BA323" i="48"/>
  <c r="AZ371" i="48"/>
  <c r="AZ395" i="48"/>
  <c r="AZ443" i="48"/>
  <c r="AZ491" i="48"/>
  <c r="AZ563" i="48"/>
  <c r="AZ611" i="48"/>
  <c r="AZ659" i="48"/>
  <c r="AZ707" i="48"/>
  <c r="AZ731" i="48"/>
  <c r="AZ755" i="48"/>
  <c r="AZ803" i="48"/>
  <c r="AZ827" i="48"/>
  <c r="AZ851" i="48"/>
  <c r="AZ875" i="48"/>
  <c r="AZ899" i="48"/>
  <c r="AZ923" i="48"/>
  <c r="BA947" i="48"/>
  <c r="BA995" i="48"/>
  <c r="AZ1067" i="48"/>
  <c r="AZ1091" i="48"/>
  <c r="AZ1139" i="48"/>
  <c r="AZ1163" i="48"/>
  <c r="AZ1211" i="48"/>
  <c r="AZ1235" i="48"/>
  <c r="AZ1259" i="48"/>
  <c r="AZ1283" i="48"/>
  <c r="AZ1331" i="48"/>
  <c r="BA755" i="48" l="1"/>
  <c r="BA155" i="48"/>
  <c r="BA587" i="48"/>
  <c r="BA1259" i="48"/>
  <c r="BA1043" i="48"/>
  <c r="BA1235" i="48"/>
  <c r="BA923" i="48"/>
  <c r="BA275" i="48"/>
  <c r="BA851" i="48"/>
  <c r="BA467" i="48"/>
  <c r="BA1331" i="48"/>
  <c r="BA1067" i="48"/>
  <c r="BA83" i="48"/>
  <c r="BA539" i="48"/>
  <c r="BC59" i="48"/>
  <c r="BA131" i="48"/>
  <c r="BA59" i="48"/>
  <c r="AI1330" i="48" l="1"/>
  <c r="AI1042" i="48"/>
  <c r="AI946" i="48"/>
  <c r="AI130" i="48"/>
  <c r="AI274" i="48"/>
  <c r="K299" i="48"/>
  <c r="DP59" i="48"/>
  <c r="DL59" i="48"/>
  <c r="CR10" i="22"/>
  <c r="DN59" i="48"/>
  <c r="CV59" i="48"/>
  <c r="DK59" i="48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E35" i="53"/>
  <c r="E34" i="53"/>
  <c r="E17" i="53"/>
  <c r="E18" i="53" s="1"/>
  <c r="E15" i="53"/>
  <c r="E14" i="53"/>
  <c r="C288" i="53"/>
  <c r="C287" i="53"/>
  <c r="C286" i="53"/>
  <c r="C285" i="53"/>
  <c r="C284" i="53"/>
  <c r="C283" i="53"/>
  <c r="C282" i="53"/>
  <c r="C281" i="53"/>
  <c r="C280" i="53"/>
  <c r="C279" i="53"/>
  <c r="C278" i="53"/>
  <c r="C277" i="53"/>
  <c r="C276" i="53"/>
  <c r="C275" i="53"/>
  <c r="C274" i="53"/>
  <c r="C273" i="53"/>
  <c r="C272" i="53"/>
  <c r="C271" i="53"/>
  <c r="C270" i="53"/>
  <c r="C269" i="53"/>
  <c r="C268" i="53"/>
  <c r="C267" i="53"/>
  <c r="C266" i="53"/>
  <c r="C265" i="53"/>
  <c r="C264" i="53"/>
  <c r="C263" i="53"/>
  <c r="C262" i="53"/>
  <c r="C261" i="53"/>
  <c r="C260" i="53"/>
  <c r="C259" i="53"/>
  <c r="C258" i="53"/>
  <c r="C257" i="53"/>
  <c r="C256" i="53"/>
  <c r="C255" i="53"/>
  <c r="C254" i="53"/>
  <c r="C253" i="53"/>
  <c r="C252" i="53"/>
  <c r="C251" i="53"/>
  <c r="C250" i="53"/>
  <c r="C249" i="53"/>
  <c r="C248" i="53"/>
  <c r="C247" i="53"/>
  <c r="C246" i="53"/>
  <c r="C245" i="53"/>
  <c r="C244" i="53"/>
  <c r="C243" i="53"/>
  <c r="C242" i="53"/>
  <c r="C241" i="53"/>
  <c r="C240" i="53"/>
  <c r="C239" i="53"/>
  <c r="C238" i="53"/>
  <c r="C237" i="53"/>
  <c r="C236" i="53"/>
  <c r="C235" i="53"/>
  <c r="C234" i="53"/>
  <c r="C233" i="53"/>
  <c r="C232" i="53"/>
  <c r="C231" i="53"/>
  <c r="C230" i="53"/>
  <c r="C229" i="53"/>
  <c r="C228" i="53"/>
  <c r="C227" i="53"/>
  <c r="C226" i="53"/>
  <c r="C225" i="53"/>
  <c r="C224" i="53"/>
  <c r="C223" i="53"/>
  <c r="C222" i="53"/>
  <c r="C221" i="53"/>
  <c r="C220" i="53"/>
  <c r="C219" i="53"/>
  <c r="C218" i="53"/>
  <c r="C217" i="53"/>
  <c r="C216" i="53"/>
  <c r="C215" i="53"/>
  <c r="C214" i="53"/>
  <c r="C213" i="53"/>
  <c r="C212" i="53"/>
  <c r="C211" i="53"/>
  <c r="C210" i="53"/>
  <c r="C209" i="53"/>
  <c r="C208" i="53"/>
  <c r="C207" i="53"/>
  <c r="C206" i="53"/>
  <c r="C205" i="53"/>
  <c r="C204" i="53"/>
  <c r="C203" i="53"/>
  <c r="C202" i="53"/>
  <c r="C201" i="53"/>
  <c r="C200" i="53"/>
  <c r="C199" i="53"/>
  <c r="C198" i="53"/>
  <c r="C197" i="53"/>
  <c r="C196" i="53"/>
  <c r="C195" i="53"/>
  <c r="C194" i="53"/>
  <c r="C193" i="53"/>
  <c r="C192" i="53"/>
  <c r="C191" i="53"/>
  <c r="C190" i="53"/>
  <c r="C189" i="53"/>
  <c r="C188" i="53"/>
  <c r="C187" i="53"/>
  <c r="C186" i="53"/>
  <c r="C185" i="53"/>
  <c r="C184" i="53"/>
  <c r="C183" i="53"/>
  <c r="C182" i="53"/>
  <c r="C181" i="53"/>
  <c r="C180" i="53"/>
  <c r="C179" i="53"/>
  <c r="C178" i="53"/>
  <c r="C177" i="53"/>
  <c r="C176" i="53"/>
  <c r="C175" i="53"/>
  <c r="C174" i="53"/>
  <c r="C173" i="53"/>
  <c r="C172" i="53"/>
  <c r="C171" i="53"/>
  <c r="C170" i="53"/>
  <c r="C169" i="53"/>
  <c r="C168" i="53"/>
  <c r="C167" i="53"/>
  <c r="C166" i="53"/>
  <c r="C165" i="53"/>
  <c r="C164" i="53"/>
  <c r="C163" i="53"/>
  <c r="C162" i="53"/>
  <c r="C161" i="53"/>
  <c r="C160" i="53"/>
  <c r="C159" i="53"/>
  <c r="C158" i="53"/>
  <c r="C157" i="53"/>
  <c r="C156" i="53"/>
  <c r="C155" i="53"/>
  <c r="C154" i="53"/>
  <c r="C153" i="53"/>
  <c r="C152" i="53"/>
  <c r="C151" i="53"/>
  <c r="C150" i="53"/>
  <c r="C149" i="53"/>
  <c r="C148" i="53"/>
  <c r="C147" i="53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DN58" i="48"/>
  <c r="H37" i="28"/>
  <c r="H36" i="28"/>
  <c r="H35" i="28"/>
  <c r="H34" i="28"/>
  <c r="H33" i="28"/>
  <c r="H32" i="28"/>
  <c r="H31" i="28"/>
  <c r="I31" i="28" s="1"/>
  <c r="H30" i="28"/>
  <c r="I30" i="28" s="1"/>
  <c r="H29" i="28"/>
  <c r="H28" i="28"/>
  <c r="H27" i="28"/>
  <c r="H26" i="28"/>
  <c r="H25" i="28"/>
  <c r="H24" i="28"/>
  <c r="H23" i="28"/>
  <c r="I23" i="28" s="1"/>
  <c r="H22" i="28"/>
  <c r="I22" i="28" s="1"/>
  <c r="H21" i="28"/>
  <c r="H20" i="28"/>
  <c r="H19" i="28"/>
  <c r="H18" i="28"/>
  <c r="H17" i="28"/>
  <c r="G35" i="28"/>
  <c r="G36" i="28" s="1"/>
  <c r="I34" i="28"/>
  <c r="I33" i="28"/>
  <c r="I32" i="28"/>
  <c r="I29" i="28"/>
  <c r="I28" i="28"/>
  <c r="I27" i="28"/>
  <c r="I26" i="28"/>
  <c r="I25" i="28"/>
  <c r="I24" i="28"/>
  <c r="I18" i="28"/>
  <c r="I19" i="28"/>
  <c r="I21" i="28"/>
  <c r="DO59" i="48" l="1"/>
  <c r="DC59" i="48"/>
  <c r="DB59" i="48"/>
  <c r="DD59" i="48"/>
  <c r="E19" i="53"/>
  <c r="G37" i="28"/>
  <c r="I20" i="28"/>
  <c r="DE59" i="48" l="1"/>
  <c r="E20" i="53"/>
  <c r="E21" i="53" l="1"/>
  <c r="E22" i="53" l="1"/>
  <c r="E23" i="53" l="1"/>
  <c r="E24" i="53" l="1"/>
  <c r="E25" i="53" l="1"/>
  <c r="E26" i="53" l="1"/>
  <c r="E27" i="53" l="1"/>
  <c r="CP1331" i="48"/>
  <c r="CP1307" i="48"/>
  <c r="CP1283" i="48"/>
  <c r="CP1259" i="48"/>
  <c r="CP1235" i="48"/>
  <c r="CP1211" i="48"/>
  <c r="CP1187" i="48"/>
  <c r="CP1163" i="48"/>
  <c r="CP1139" i="48"/>
  <c r="CP1115" i="48"/>
  <c r="CP1091" i="48"/>
  <c r="CP1067" i="48"/>
  <c r="CP1043" i="48"/>
  <c r="CP1019" i="48"/>
  <c r="CP995" i="48"/>
  <c r="CP971" i="48"/>
  <c r="CP947" i="48"/>
  <c r="CP923" i="48"/>
  <c r="CP899" i="48"/>
  <c r="CP875" i="48"/>
  <c r="CP851" i="48"/>
  <c r="CP827" i="48"/>
  <c r="CP803" i="48"/>
  <c r="CP779" i="48"/>
  <c r="CP755" i="48"/>
  <c r="CP731" i="48"/>
  <c r="CP707" i="48"/>
  <c r="CP683" i="48"/>
  <c r="CP659" i="48"/>
  <c r="CP635" i="48"/>
  <c r="CP611" i="48"/>
  <c r="CP587" i="48"/>
  <c r="CP563" i="48"/>
  <c r="CP539" i="48"/>
  <c r="CP515" i="48"/>
  <c r="CP491" i="48"/>
  <c r="CP467" i="48"/>
  <c r="CP443" i="48"/>
  <c r="CP419" i="48"/>
  <c r="CP395" i="48"/>
  <c r="CP371" i="48"/>
  <c r="CP347" i="48"/>
  <c r="CP323" i="48"/>
  <c r="CP299" i="48"/>
  <c r="CP275" i="48"/>
  <c r="CP251" i="48"/>
  <c r="CP227" i="48"/>
  <c r="CP203" i="48"/>
  <c r="CP179" i="48"/>
  <c r="CP155" i="48"/>
  <c r="CP131" i="48"/>
  <c r="CP107" i="48"/>
  <c r="CP83" i="48"/>
  <c r="CP59" i="48"/>
  <c r="E28" i="53" l="1"/>
  <c r="CZ39" i="48"/>
  <c r="BZ104" i="48"/>
  <c r="E29" i="53" l="1"/>
  <c r="BZ103" i="48"/>
  <c r="E30" i="53" l="1"/>
  <c r="BZ102" i="48"/>
  <c r="BZ101" i="48" l="1"/>
  <c r="BZ100" i="48" l="1"/>
  <c r="BZ99" i="48" l="1"/>
  <c r="BZ98" i="48" l="1"/>
  <c r="BZ97" i="48" l="1"/>
  <c r="BZ96" i="48" l="1"/>
  <c r="BZ95" i="48" l="1"/>
  <c r="BZ94" i="48" l="1"/>
  <c r="BZ93" i="48" l="1"/>
  <c r="BZ92" i="48" l="1"/>
  <c r="BZ91" i="48" l="1"/>
  <c r="BZ90" i="48" l="1"/>
  <c r="BZ89" i="48" l="1"/>
  <c r="BZ88" i="48" l="1"/>
  <c r="BZ87" i="48" l="1"/>
  <c r="BZ86" i="48" l="1"/>
  <c r="BZ85" i="48" l="1"/>
  <c r="BZ84" i="48" l="1"/>
  <c r="BZ83" i="48" l="1"/>
  <c r="BZ82" i="48" l="1"/>
  <c r="BZ81" i="48" l="1"/>
  <c r="BZ80" i="48" l="1"/>
  <c r="BZ79" i="48" l="1"/>
  <c r="BZ78" i="48" l="1"/>
  <c r="BZ77" i="48" l="1"/>
  <c r="BZ76" i="48" l="1"/>
  <c r="BZ75" i="48" l="1"/>
  <c r="BZ74" i="48" l="1"/>
  <c r="BZ73" i="48" l="1"/>
  <c r="BZ72" i="48" l="1"/>
  <c r="BZ71" i="48" l="1"/>
  <c r="BZ70" i="48" l="1"/>
  <c r="BZ69" i="48" l="1"/>
  <c r="BZ68" i="48" l="1"/>
  <c r="BZ67" i="48" l="1"/>
  <c r="BZ66" i="48" l="1"/>
  <c r="BZ65" i="48" l="1"/>
  <c r="BZ64" i="48" l="1"/>
  <c r="BZ63" i="48" l="1"/>
  <c r="BZ62" i="48" l="1"/>
  <c r="BZ61" i="48" l="1"/>
  <c r="BZ60" i="48" l="1"/>
  <c r="BZ59" i="48" l="1"/>
  <c r="BZ58" i="48" l="1"/>
  <c r="BZ57" i="48" l="1"/>
  <c r="BZ56" i="48" l="1"/>
  <c r="BZ55" i="48" l="1"/>
  <c r="BZ107" i="48" l="1"/>
  <c r="CB55" i="48" s="1"/>
  <c r="CC55" i="48" s="1"/>
  <c r="CB105" i="48" l="1"/>
  <c r="CC105" i="48" s="1"/>
  <c r="CB104" i="48"/>
  <c r="CC104" i="48" s="1"/>
  <c r="CB103" i="48"/>
  <c r="CC103" i="48" s="1"/>
  <c r="CB102" i="48"/>
  <c r="CC102" i="48" s="1"/>
  <c r="CB101" i="48"/>
  <c r="CC101" i="48" s="1"/>
  <c r="CB100" i="48"/>
  <c r="CC100" i="48" s="1"/>
  <c r="CB99" i="48"/>
  <c r="CC99" i="48" s="1"/>
  <c r="CB98" i="48"/>
  <c r="CC98" i="48" s="1"/>
  <c r="CB97" i="48"/>
  <c r="CC97" i="48" s="1"/>
  <c r="CB96" i="48"/>
  <c r="CC96" i="48" s="1"/>
  <c r="CB95" i="48"/>
  <c r="CC95" i="48" s="1"/>
  <c r="CB94" i="48"/>
  <c r="CC94" i="48" s="1"/>
  <c r="CB93" i="48"/>
  <c r="CC93" i="48" s="1"/>
  <c r="CB92" i="48"/>
  <c r="CC92" i="48" s="1"/>
  <c r="CB91" i="48"/>
  <c r="CC91" i="48" s="1"/>
  <c r="CB90" i="48"/>
  <c r="CC90" i="48" s="1"/>
  <c r="CB89" i="48"/>
  <c r="CC89" i="48" s="1"/>
  <c r="CB88" i="48"/>
  <c r="CC88" i="48" s="1"/>
  <c r="CB87" i="48"/>
  <c r="CC87" i="48" s="1"/>
  <c r="CB86" i="48"/>
  <c r="CC86" i="48" s="1"/>
  <c r="CB85" i="48"/>
  <c r="CC85" i="48" s="1"/>
  <c r="CB84" i="48"/>
  <c r="CC84" i="48" s="1"/>
  <c r="CB83" i="48"/>
  <c r="CC83" i="48" s="1"/>
  <c r="CB82" i="48"/>
  <c r="CC82" i="48" s="1"/>
  <c r="CB81" i="48"/>
  <c r="CC81" i="48" s="1"/>
  <c r="CB80" i="48"/>
  <c r="CC80" i="48" s="1"/>
  <c r="CB79" i="48"/>
  <c r="CC79" i="48" s="1"/>
  <c r="CB78" i="48"/>
  <c r="CC78" i="48" s="1"/>
  <c r="CB77" i="48"/>
  <c r="CC77" i="48" s="1"/>
  <c r="CB76" i="48"/>
  <c r="CC76" i="48" s="1"/>
  <c r="CB75" i="48"/>
  <c r="CC75" i="48" s="1"/>
  <c r="CB74" i="48"/>
  <c r="CC74" i="48" s="1"/>
  <c r="CB73" i="48"/>
  <c r="CC73" i="48" s="1"/>
  <c r="CB72" i="48"/>
  <c r="CC72" i="48" s="1"/>
  <c r="CB71" i="48"/>
  <c r="CC71" i="48" s="1"/>
  <c r="CB70" i="48"/>
  <c r="CC70" i="48" s="1"/>
  <c r="CB69" i="48"/>
  <c r="CC69" i="48" s="1"/>
  <c r="CB68" i="48"/>
  <c r="CC68" i="48" s="1"/>
  <c r="CB67" i="48"/>
  <c r="CC67" i="48" s="1"/>
  <c r="CB66" i="48"/>
  <c r="CC66" i="48" s="1"/>
  <c r="CB65" i="48"/>
  <c r="CC65" i="48" s="1"/>
  <c r="CB64" i="48"/>
  <c r="CC64" i="48" s="1"/>
  <c r="CB63" i="48"/>
  <c r="CC63" i="48" s="1"/>
  <c r="CB62" i="48"/>
  <c r="CC62" i="48" s="1"/>
  <c r="CB61" i="48"/>
  <c r="CC61" i="48" s="1"/>
  <c r="CB60" i="48"/>
  <c r="CC60" i="48" s="1"/>
  <c r="CB59" i="48"/>
  <c r="CC59" i="48" s="1"/>
  <c r="CB58" i="48"/>
  <c r="CC58" i="48" s="1"/>
  <c r="CB57" i="48"/>
  <c r="CC57" i="48" s="1"/>
  <c r="CB56" i="48"/>
  <c r="CC56" i="48" s="1"/>
  <c r="CC107" i="48" l="1"/>
  <c r="CD36" i="48" s="1"/>
  <c r="DP1330" i="48" l="1"/>
  <c r="DQ1331" i="48" s="1"/>
  <c r="DP1329" i="48"/>
  <c r="DP1328" i="48"/>
  <c r="DP1327" i="48"/>
  <c r="DP1326" i="48"/>
  <c r="DP1325" i="48"/>
  <c r="DP1324" i="48"/>
  <c r="DP1323" i="48"/>
  <c r="DP1322" i="48"/>
  <c r="DP1321" i="48"/>
  <c r="DP1320" i="48"/>
  <c r="DP1319" i="48"/>
  <c r="DP1318" i="48"/>
  <c r="DP1317" i="48"/>
  <c r="DP1316" i="48"/>
  <c r="DP1315" i="48"/>
  <c r="DP1314" i="48"/>
  <c r="DP1313" i="48"/>
  <c r="DP1312" i="48"/>
  <c r="DP1311" i="48"/>
  <c r="DP1310" i="48"/>
  <c r="DP1309" i="48"/>
  <c r="DP1308" i="48"/>
  <c r="DP1306" i="48"/>
  <c r="DQ1307" i="48" s="1"/>
  <c r="DP1305" i="48"/>
  <c r="DP1304" i="48"/>
  <c r="DP1303" i="48"/>
  <c r="DP1302" i="48"/>
  <c r="DP1301" i="48"/>
  <c r="DP1300" i="48"/>
  <c r="DP1299" i="48"/>
  <c r="DP1298" i="48"/>
  <c r="DP1297" i="48"/>
  <c r="DP1296" i="48"/>
  <c r="DP1295" i="48"/>
  <c r="DP1294" i="48"/>
  <c r="DP1293" i="48"/>
  <c r="DP1292" i="48"/>
  <c r="DP1291" i="48"/>
  <c r="DP1290" i="48"/>
  <c r="DP1289" i="48"/>
  <c r="DP1288" i="48"/>
  <c r="DP1287" i="48"/>
  <c r="DP1286" i="48"/>
  <c r="DP1285" i="48"/>
  <c r="DP1284" i="48"/>
  <c r="DP1282" i="48"/>
  <c r="DQ1283" i="48" s="1"/>
  <c r="DP1281" i="48"/>
  <c r="DP1280" i="48"/>
  <c r="DP1279" i="48"/>
  <c r="DP1278" i="48"/>
  <c r="DP1277" i="48"/>
  <c r="DP1276" i="48"/>
  <c r="DP1275" i="48"/>
  <c r="DP1274" i="48"/>
  <c r="DP1273" i="48"/>
  <c r="DP1272" i="48"/>
  <c r="DP1271" i="48"/>
  <c r="DP1270" i="48"/>
  <c r="DP1269" i="48"/>
  <c r="DP1268" i="48"/>
  <c r="DP1267" i="48"/>
  <c r="DP1266" i="48"/>
  <c r="DP1265" i="48"/>
  <c r="DP1264" i="48"/>
  <c r="DP1263" i="48"/>
  <c r="DP1262" i="48"/>
  <c r="DP1261" i="48"/>
  <c r="DP1260" i="48"/>
  <c r="DP1258" i="48"/>
  <c r="DQ1259" i="48" s="1"/>
  <c r="DP1257" i="48"/>
  <c r="DP1256" i="48"/>
  <c r="DP1255" i="48"/>
  <c r="DP1254" i="48"/>
  <c r="DP1253" i="48"/>
  <c r="DP1252" i="48"/>
  <c r="DP1251" i="48"/>
  <c r="DP1250" i="48"/>
  <c r="DP1249" i="48"/>
  <c r="DP1248" i="48"/>
  <c r="DP1247" i="48"/>
  <c r="DP1246" i="48"/>
  <c r="DP1245" i="48"/>
  <c r="DP1244" i="48"/>
  <c r="DP1243" i="48"/>
  <c r="DP1242" i="48"/>
  <c r="DP1241" i="48"/>
  <c r="DP1240" i="48"/>
  <c r="DP1239" i="48"/>
  <c r="DP1238" i="48"/>
  <c r="DP1237" i="48"/>
  <c r="DP1236" i="48"/>
  <c r="DP1234" i="48"/>
  <c r="DQ1235" i="48" s="1"/>
  <c r="DP1233" i="48"/>
  <c r="DP1232" i="48"/>
  <c r="DP1231" i="48"/>
  <c r="DP1230" i="48"/>
  <c r="DP1229" i="48"/>
  <c r="DP1228" i="48"/>
  <c r="DP1227" i="48"/>
  <c r="DP1226" i="48"/>
  <c r="DP1225" i="48"/>
  <c r="DP1224" i="48"/>
  <c r="DP1223" i="48"/>
  <c r="DP1222" i="48"/>
  <c r="DP1221" i="48"/>
  <c r="DP1220" i="48"/>
  <c r="DP1219" i="48"/>
  <c r="DP1218" i="48"/>
  <c r="DP1217" i="48"/>
  <c r="DP1216" i="48"/>
  <c r="DP1215" i="48"/>
  <c r="DP1214" i="48"/>
  <c r="DP1213" i="48"/>
  <c r="DP1212" i="48"/>
  <c r="DP1210" i="48"/>
  <c r="DQ1211" i="48" s="1"/>
  <c r="DP1209" i="48"/>
  <c r="DP1208" i="48"/>
  <c r="DP1207" i="48"/>
  <c r="DP1206" i="48"/>
  <c r="DP1205" i="48"/>
  <c r="DP1204" i="48"/>
  <c r="DP1203" i="48"/>
  <c r="DP1202" i="48"/>
  <c r="DP1201" i="48"/>
  <c r="DP1200" i="48"/>
  <c r="DP1199" i="48"/>
  <c r="DP1198" i="48"/>
  <c r="DP1197" i="48"/>
  <c r="DP1196" i="48"/>
  <c r="DP1195" i="48"/>
  <c r="DP1194" i="48"/>
  <c r="DP1193" i="48"/>
  <c r="DP1192" i="48"/>
  <c r="DP1191" i="48"/>
  <c r="DP1190" i="48"/>
  <c r="DP1189" i="48"/>
  <c r="DP1188" i="48"/>
  <c r="DP1186" i="48"/>
  <c r="DQ1187" i="48" s="1"/>
  <c r="DP1185" i="48"/>
  <c r="DP1184" i="48"/>
  <c r="DP1183" i="48"/>
  <c r="DP1182" i="48"/>
  <c r="DP1181" i="48"/>
  <c r="DP1180" i="48"/>
  <c r="DP1179" i="48"/>
  <c r="DP1178" i="48"/>
  <c r="DP1177" i="48"/>
  <c r="DP1176" i="48"/>
  <c r="DP1175" i="48"/>
  <c r="DP1174" i="48"/>
  <c r="DP1173" i="48"/>
  <c r="DP1172" i="48"/>
  <c r="DP1171" i="48"/>
  <c r="DP1170" i="48"/>
  <c r="DP1169" i="48"/>
  <c r="DP1168" i="48"/>
  <c r="DP1167" i="48"/>
  <c r="DP1166" i="48"/>
  <c r="DP1165" i="48"/>
  <c r="DP1164" i="48"/>
  <c r="DP1162" i="48"/>
  <c r="DQ1163" i="48" s="1"/>
  <c r="DP1161" i="48"/>
  <c r="DP1160" i="48"/>
  <c r="DP1159" i="48"/>
  <c r="DP1158" i="48"/>
  <c r="DP1157" i="48"/>
  <c r="DP1156" i="48"/>
  <c r="DP1155" i="48"/>
  <c r="DP1154" i="48"/>
  <c r="DP1153" i="48"/>
  <c r="DP1152" i="48"/>
  <c r="DP1151" i="48"/>
  <c r="DP1150" i="48"/>
  <c r="DP1149" i="48"/>
  <c r="DP1148" i="48"/>
  <c r="DP1147" i="48"/>
  <c r="DP1146" i="48"/>
  <c r="DP1145" i="48"/>
  <c r="DP1144" i="48"/>
  <c r="DP1143" i="48"/>
  <c r="DP1142" i="48"/>
  <c r="DP1141" i="48"/>
  <c r="DP1140" i="48"/>
  <c r="DP1138" i="48"/>
  <c r="DQ1139" i="48" s="1"/>
  <c r="DP1137" i="48"/>
  <c r="DP1136" i="48"/>
  <c r="DP1135" i="48"/>
  <c r="DP1134" i="48"/>
  <c r="DP1133" i="48"/>
  <c r="DP1132" i="48"/>
  <c r="DP1131" i="48"/>
  <c r="DP1130" i="48"/>
  <c r="DP1129" i="48"/>
  <c r="DP1128" i="48"/>
  <c r="DP1127" i="48"/>
  <c r="DP1126" i="48"/>
  <c r="DP1125" i="48"/>
  <c r="DP1124" i="48"/>
  <c r="DP1123" i="48"/>
  <c r="DP1122" i="48"/>
  <c r="DP1121" i="48"/>
  <c r="DP1120" i="48"/>
  <c r="DP1119" i="48"/>
  <c r="DP1118" i="48"/>
  <c r="DP1117" i="48"/>
  <c r="DP1116" i="48"/>
  <c r="DP1114" i="48"/>
  <c r="DQ1115" i="48" s="1"/>
  <c r="DP1113" i="48"/>
  <c r="DP1112" i="48"/>
  <c r="DP1111" i="48"/>
  <c r="DP1110" i="48"/>
  <c r="DP1109" i="48"/>
  <c r="DP1108" i="48"/>
  <c r="DP1107" i="48"/>
  <c r="DP1106" i="48"/>
  <c r="DP1105" i="48"/>
  <c r="DP1104" i="48"/>
  <c r="DP1103" i="48"/>
  <c r="DP1102" i="48"/>
  <c r="DP1101" i="48"/>
  <c r="DP1100" i="48"/>
  <c r="DP1099" i="48"/>
  <c r="DP1098" i="48"/>
  <c r="DP1097" i="48"/>
  <c r="DP1096" i="48"/>
  <c r="DP1095" i="48"/>
  <c r="DP1094" i="48"/>
  <c r="DP1093" i="48"/>
  <c r="DP1092" i="48"/>
  <c r="DP1090" i="48"/>
  <c r="DQ1091" i="48" s="1"/>
  <c r="DP1089" i="48"/>
  <c r="DP1088" i="48"/>
  <c r="DP1087" i="48"/>
  <c r="DP1086" i="48"/>
  <c r="DP1085" i="48"/>
  <c r="DP1084" i="48"/>
  <c r="DP1083" i="48"/>
  <c r="DP1082" i="48"/>
  <c r="DP1081" i="48"/>
  <c r="DP1080" i="48"/>
  <c r="DP1079" i="48"/>
  <c r="DP1078" i="48"/>
  <c r="DP1077" i="48"/>
  <c r="DP1076" i="48"/>
  <c r="DP1075" i="48"/>
  <c r="DP1074" i="48"/>
  <c r="DP1073" i="48"/>
  <c r="DP1072" i="48"/>
  <c r="DP1071" i="48"/>
  <c r="DP1070" i="48"/>
  <c r="DP1069" i="48"/>
  <c r="DP1068" i="48"/>
  <c r="DP1066" i="48"/>
  <c r="DQ1067" i="48" s="1"/>
  <c r="DP1065" i="48"/>
  <c r="DP1064" i="48"/>
  <c r="DP1063" i="48"/>
  <c r="DP1062" i="48"/>
  <c r="DP1061" i="48"/>
  <c r="DP1060" i="48"/>
  <c r="DP1059" i="48"/>
  <c r="DP1058" i="48"/>
  <c r="DP1057" i="48"/>
  <c r="DP1056" i="48"/>
  <c r="DP1055" i="48"/>
  <c r="DP1054" i="48"/>
  <c r="DP1053" i="48"/>
  <c r="DP1052" i="48"/>
  <c r="DP1051" i="48"/>
  <c r="DP1050" i="48"/>
  <c r="DP1049" i="48"/>
  <c r="DP1048" i="48"/>
  <c r="DP1047" i="48"/>
  <c r="DP1046" i="48"/>
  <c r="DP1045" i="48"/>
  <c r="DP1044" i="48"/>
  <c r="DP1042" i="48"/>
  <c r="DQ1043" i="48" s="1"/>
  <c r="DP1041" i="48"/>
  <c r="DP1040" i="48"/>
  <c r="DP1039" i="48"/>
  <c r="DP1038" i="48"/>
  <c r="DP1037" i="48"/>
  <c r="DP1036" i="48"/>
  <c r="DP1035" i="48"/>
  <c r="DP1034" i="48"/>
  <c r="DP1033" i="48"/>
  <c r="DP1032" i="48"/>
  <c r="DP1031" i="48"/>
  <c r="DP1030" i="48"/>
  <c r="DP1029" i="48"/>
  <c r="DP1028" i="48"/>
  <c r="DP1027" i="48"/>
  <c r="DP1026" i="48"/>
  <c r="DP1025" i="48"/>
  <c r="DP1024" i="48"/>
  <c r="DP1023" i="48"/>
  <c r="DP1022" i="48"/>
  <c r="DP1021" i="48"/>
  <c r="DP1020" i="48"/>
  <c r="DP1018" i="48"/>
  <c r="DQ1019" i="48" s="1"/>
  <c r="DP1017" i="48"/>
  <c r="DP1016" i="48"/>
  <c r="DP1015" i="48"/>
  <c r="DP1014" i="48"/>
  <c r="DP1013" i="48"/>
  <c r="DP1012" i="48"/>
  <c r="DP1011" i="48"/>
  <c r="DP1010" i="48"/>
  <c r="DP1009" i="48"/>
  <c r="DP1008" i="48"/>
  <c r="DP1007" i="48"/>
  <c r="DP1006" i="48"/>
  <c r="DP1005" i="48"/>
  <c r="DP1004" i="48"/>
  <c r="DP1003" i="48"/>
  <c r="DP1002" i="48"/>
  <c r="DP1001" i="48"/>
  <c r="DP1000" i="48"/>
  <c r="DP999" i="48"/>
  <c r="DP998" i="48"/>
  <c r="DP997" i="48"/>
  <c r="DP996" i="48"/>
  <c r="DP994" i="48"/>
  <c r="DQ995" i="48" s="1"/>
  <c r="DP993" i="48"/>
  <c r="DP992" i="48"/>
  <c r="DP991" i="48"/>
  <c r="DP990" i="48"/>
  <c r="DP989" i="48"/>
  <c r="DP988" i="48"/>
  <c r="DP987" i="48"/>
  <c r="DP986" i="48"/>
  <c r="DP985" i="48"/>
  <c r="DP984" i="48"/>
  <c r="DP983" i="48"/>
  <c r="DP982" i="48"/>
  <c r="DP981" i="48"/>
  <c r="DP980" i="48"/>
  <c r="DP979" i="48"/>
  <c r="DP978" i="48"/>
  <c r="DP977" i="48"/>
  <c r="DP976" i="48"/>
  <c r="DP975" i="48"/>
  <c r="DP974" i="48"/>
  <c r="DP973" i="48"/>
  <c r="DP972" i="48"/>
  <c r="DP970" i="48"/>
  <c r="DQ971" i="48" s="1"/>
  <c r="DP969" i="48"/>
  <c r="DP968" i="48"/>
  <c r="DP967" i="48"/>
  <c r="DP966" i="48"/>
  <c r="DP965" i="48"/>
  <c r="DP964" i="48"/>
  <c r="DP963" i="48"/>
  <c r="DP962" i="48"/>
  <c r="DP961" i="48"/>
  <c r="DP960" i="48"/>
  <c r="DP959" i="48"/>
  <c r="DP958" i="48"/>
  <c r="DP957" i="48"/>
  <c r="DP956" i="48"/>
  <c r="DP955" i="48"/>
  <c r="DP954" i="48"/>
  <c r="DP953" i="48"/>
  <c r="DP952" i="48"/>
  <c r="DP951" i="48"/>
  <c r="DP950" i="48"/>
  <c r="DP949" i="48"/>
  <c r="DP948" i="48"/>
  <c r="DP946" i="48"/>
  <c r="DQ947" i="48" s="1"/>
  <c r="DP945" i="48"/>
  <c r="DP944" i="48"/>
  <c r="DP943" i="48"/>
  <c r="DP942" i="48"/>
  <c r="DP941" i="48"/>
  <c r="DP940" i="48"/>
  <c r="DP939" i="48"/>
  <c r="DP938" i="48"/>
  <c r="DP937" i="48"/>
  <c r="DP936" i="48"/>
  <c r="DP935" i="48"/>
  <c r="DP934" i="48"/>
  <c r="DP933" i="48"/>
  <c r="DP932" i="48"/>
  <c r="DP931" i="48"/>
  <c r="DP930" i="48"/>
  <c r="DP929" i="48"/>
  <c r="DP928" i="48"/>
  <c r="DP927" i="48"/>
  <c r="DP926" i="48"/>
  <c r="DP925" i="48"/>
  <c r="DP924" i="48"/>
  <c r="DP922" i="48"/>
  <c r="DQ923" i="48" s="1"/>
  <c r="DP921" i="48"/>
  <c r="DP920" i="48"/>
  <c r="DP919" i="48"/>
  <c r="DP918" i="48"/>
  <c r="DP917" i="48"/>
  <c r="DP916" i="48"/>
  <c r="DP915" i="48"/>
  <c r="DP914" i="48"/>
  <c r="DP913" i="48"/>
  <c r="DP912" i="48"/>
  <c r="DP911" i="48"/>
  <c r="DP910" i="48"/>
  <c r="DP909" i="48"/>
  <c r="DP908" i="48"/>
  <c r="DP907" i="48"/>
  <c r="DP906" i="48"/>
  <c r="DP905" i="48"/>
  <c r="DP904" i="48"/>
  <c r="DP903" i="48"/>
  <c r="DP902" i="48"/>
  <c r="DP901" i="48"/>
  <c r="DP900" i="48"/>
  <c r="DP898" i="48"/>
  <c r="DQ899" i="48" s="1"/>
  <c r="DP897" i="48"/>
  <c r="DP896" i="48"/>
  <c r="DP895" i="48"/>
  <c r="DP894" i="48"/>
  <c r="DP893" i="48"/>
  <c r="DP892" i="48"/>
  <c r="DP891" i="48"/>
  <c r="DP890" i="48"/>
  <c r="DP889" i="48"/>
  <c r="DP888" i="48"/>
  <c r="DP887" i="48"/>
  <c r="DP886" i="48"/>
  <c r="DP885" i="48"/>
  <c r="DP884" i="48"/>
  <c r="DP883" i="48"/>
  <c r="DP882" i="48"/>
  <c r="DP881" i="48"/>
  <c r="DP880" i="48"/>
  <c r="DP879" i="48"/>
  <c r="DP878" i="48"/>
  <c r="DP877" i="48"/>
  <c r="DP876" i="48"/>
  <c r="DP874" i="48"/>
  <c r="DQ875" i="48" s="1"/>
  <c r="DP873" i="48"/>
  <c r="DP872" i="48"/>
  <c r="DP871" i="48"/>
  <c r="DP870" i="48"/>
  <c r="DP869" i="48"/>
  <c r="DP868" i="48"/>
  <c r="DP867" i="48"/>
  <c r="DP866" i="48"/>
  <c r="DP865" i="48"/>
  <c r="DP864" i="48"/>
  <c r="DP863" i="48"/>
  <c r="DP862" i="48"/>
  <c r="DP861" i="48"/>
  <c r="DP860" i="48"/>
  <c r="DP859" i="48"/>
  <c r="DP858" i="48"/>
  <c r="DP857" i="48"/>
  <c r="DP856" i="48"/>
  <c r="DP855" i="48"/>
  <c r="DP854" i="48"/>
  <c r="DP853" i="48"/>
  <c r="DP852" i="48"/>
  <c r="DP850" i="48"/>
  <c r="DQ851" i="48" s="1"/>
  <c r="DP849" i="48"/>
  <c r="DP848" i="48"/>
  <c r="DP847" i="48"/>
  <c r="DP846" i="48"/>
  <c r="DP845" i="48"/>
  <c r="DP844" i="48"/>
  <c r="DP843" i="48"/>
  <c r="DP842" i="48"/>
  <c r="DP841" i="48"/>
  <c r="DP840" i="48"/>
  <c r="DP839" i="48"/>
  <c r="DP838" i="48"/>
  <c r="DP837" i="48"/>
  <c r="DP836" i="48"/>
  <c r="DP835" i="48"/>
  <c r="DP834" i="48"/>
  <c r="DP833" i="48"/>
  <c r="DP832" i="48"/>
  <c r="DP831" i="48"/>
  <c r="DP830" i="48"/>
  <c r="DP829" i="48"/>
  <c r="DP828" i="48"/>
  <c r="DP826" i="48"/>
  <c r="DQ827" i="48" s="1"/>
  <c r="DP825" i="48"/>
  <c r="DP824" i="48"/>
  <c r="DP823" i="48"/>
  <c r="DP822" i="48"/>
  <c r="DP821" i="48"/>
  <c r="DP820" i="48"/>
  <c r="DP819" i="48"/>
  <c r="DP818" i="48"/>
  <c r="DP817" i="48"/>
  <c r="DP816" i="48"/>
  <c r="DP815" i="48"/>
  <c r="DP814" i="48"/>
  <c r="DP813" i="48"/>
  <c r="DP812" i="48"/>
  <c r="DP811" i="48"/>
  <c r="DP810" i="48"/>
  <c r="DP809" i="48"/>
  <c r="DP808" i="48"/>
  <c r="DP807" i="48"/>
  <c r="DP806" i="48"/>
  <c r="DP805" i="48"/>
  <c r="DP804" i="48"/>
  <c r="DP802" i="48"/>
  <c r="DQ803" i="48" s="1"/>
  <c r="DP801" i="48"/>
  <c r="DP800" i="48"/>
  <c r="DP799" i="48"/>
  <c r="DP798" i="48"/>
  <c r="DP797" i="48"/>
  <c r="DP796" i="48"/>
  <c r="DP795" i="48"/>
  <c r="DP794" i="48"/>
  <c r="DP793" i="48"/>
  <c r="DP792" i="48"/>
  <c r="DP791" i="48"/>
  <c r="DP790" i="48"/>
  <c r="DP789" i="48"/>
  <c r="DP788" i="48"/>
  <c r="DP787" i="48"/>
  <c r="DP786" i="48"/>
  <c r="DP785" i="48"/>
  <c r="DP784" i="48"/>
  <c r="DP783" i="48"/>
  <c r="DP782" i="48"/>
  <c r="DP781" i="48"/>
  <c r="DP780" i="48"/>
  <c r="DP778" i="48"/>
  <c r="DQ779" i="48" s="1"/>
  <c r="DP777" i="48"/>
  <c r="DP776" i="48"/>
  <c r="DP775" i="48"/>
  <c r="DP774" i="48"/>
  <c r="DP773" i="48"/>
  <c r="DP772" i="48"/>
  <c r="DP771" i="48"/>
  <c r="DP770" i="48"/>
  <c r="DP769" i="48"/>
  <c r="DP768" i="48"/>
  <c r="DP767" i="48"/>
  <c r="DP766" i="48"/>
  <c r="DP765" i="48"/>
  <c r="DP764" i="48"/>
  <c r="DP763" i="48"/>
  <c r="DP762" i="48"/>
  <c r="DP761" i="48"/>
  <c r="DP760" i="48"/>
  <c r="DP759" i="48"/>
  <c r="DP758" i="48"/>
  <c r="DP757" i="48"/>
  <c r="DP756" i="48"/>
  <c r="DP754" i="48"/>
  <c r="DQ755" i="48" s="1"/>
  <c r="DP753" i="48"/>
  <c r="DP752" i="48"/>
  <c r="DP751" i="48"/>
  <c r="DP750" i="48"/>
  <c r="DP749" i="48"/>
  <c r="DP748" i="48"/>
  <c r="DP747" i="48"/>
  <c r="DP746" i="48"/>
  <c r="DP745" i="48"/>
  <c r="DP744" i="48"/>
  <c r="DP743" i="48"/>
  <c r="DP742" i="48"/>
  <c r="DP741" i="48"/>
  <c r="DP740" i="48"/>
  <c r="DP739" i="48"/>
  <c r="DP738" i="48"/>
  <c r="DP737" i="48"/>
  <c r="DP736" i="48"/>
  <c r="DP735" i="48"/>
  <c r="DP734" i="48"/>
  <c r="DP733" i="48"/>
  <c r="DP732" i="48"/>
  <c r="DP730" i="48"/>
  <c r="DQ731" i="48" s="1"/>
  <c r="DP729" i="48"/>
  <c r="DP728" i="48"/>
  <c r="DP727" i="48"/>
  <c r="DP726" i="48"/>
  <c r="DP725" i="48"/>
  <c r="DP724" i="48"/>
  <c r="DP723" i="48"/>
  <c r="DP722" i="48"/>
  <c r="DP721" i="48"/>
  <c r="DP720" i="48"/>
  <c r="DP719" i="48"/>
  <c r="DP718" i="48"/>
  <c r="DP717" i="48"/>
  <c r="DP716" i="48"/>
  <c r="DP715" i="48"/>
  <c r="DP714" i="48"/>
  <c r="DP713" i="48"/>
  <c r="DP712" i="48"/>
  <c r="DP711" i="48"/>
  <c r="DP710" i="48"/>
  <c r="DP709" i="48"/>
  <c r="DP708" i="48"/>
  <c r="DP706" i="48"/>
  <c r="DQ707" i="48" s="1"/>
  <c r="DP705" i="48"/>
  <c r="DP704" i="48"/>
  <c r="DP703" i="48"/>
  <c r="DP702" i="48"/>
  <c r="DP701" i="48"/>
  <c r="DP700" i="48"/>
  <c r="DP699" i="48"/>
  <c r="DP698" i="48"/>
  <c r="DP697" i="48"/>
  <c r="DP696" i="48"/>
  <c r="DP695" i="48"/>
  <c r="DP694" i="48"/>
  <c r="DP693" i="48"/>
  <c r="DP692" i="48"/>
  <c r="DP691" i="48"/>
  <c r="DP690" i="48"/>
  <c r="DP689" i="48"/>
  <c r="DP688" i="48"/>
  <c r="DP687" i="48"/>
  <c r="DP686" i="48"/>
  <c r="DP685" i="48"/>
  <c r="DP684" i="48"/>
  <c r="DP682" i="48"/>
  <c r="DQ683" i="48" s="1"/>
  <c r="DP681" i="48"/>
  <c r="DP680" i="48"/>
  <c r="DP679" i="48"/>
  <c r="DP678" i="48"/>
  <c r="DP677" i="48"/>
  <c r="DP676" i="48"/>
  <c r="DP675" i="48"/>
  <c r="DP674" i="48"/>
  <c r="DP673" i="48"/>
  <c r="DP672" i="48"/>
  <c r="DP671" i="48"/>
  <c r="DP670" i="48"/>
  <c r="DP669" i="48"/>
  <c r="DP668" i="48"/>
  <c r="DP667" i="48"/>
  <c r="DP666" i="48"/>
  <c r="DP665" i="48"/>
  <c r="DP664" i="48"/>
  <c r="DP663" i="48"/>
  <c r="DP662" i="48"/>
  <c r="DP661" i="48"/>
  <c r="DP660" i="48"/>
  <c r="DP658" i="48"/>
  <c r="DQ659" i="48" s="1"/>
  <c r="DP657" i="48"/>
  <c r="DP656" i="48"/>
  <c r="DP655" i="48"/>
  <c r="DP654" i="48"/>
  <c r="DP653" i="48"/>
  <c r="DP652" i="48"/>
  <c r="DP651" i="48"/>
  <c r="DP650" i="48"/>
  <c r="DP649" i="48"/>
  <c r="DP648" i="48"/>
  <c r="DP647" i="48"/>
  <c r="DP646" i="48"/>
  <c r="DP645" i="48"/>
  <c r="DP644" i="48"/>
  <c r="DP643" i="48"/>
  <c r="DP642" i="48"/>
  <c r="DP641" i="48"/>
  <c r="DP640" i="48"/>
  <c r="DP639" i="48"/>
  <c r="DP638" i="48"/>
  <c r="DP637" i="48"/>
  <c r="DP636" i="48"/>
  <c r="DP634" i="48"/>
  <c r="DQ635" i="48" s="1"/>
  <c r="DP633" i="48"/>
  <c r="DP632" i="48"/>
  <c r="DP631" i="48"/>
  <c r="DP630" i="48"/>
  <c r="DP629" i="48"/>
  <c r="DP628" i="48"/>
  <c r="DP627" i="48"/>
  <c r="DP626" i="48"/>
  <c r="DP625" i="48"/>
  <c r="DP624" i="48"/>
  <c r="DP623" i="48"/>
  <c r="DP622" i="48"/>
  <c r="DP621" i="48"/>
  <c r="DP620" i="48"/>
  <c r="DP619" i="48"/>
  <c r="DP618" i="48"/>
  <c r="DP617" i="48"/>
  <c r="DP616" i="48"/>
  <c r="DP615" i="48"/>
  <c r="DP614" i="48"/>
  <c r="DP613" i="48"/>
  <c r="DP612" i="48"/>
  <c r="DP610" i="48"/>
  <c r="DQ611" i="48" s="1"/>
  <c r="DP609" i="48"/>
  <c r="DP608" i="48"/>
  <c r="DP607" i="48"/>
  <c r="DP606" i="48"/>
  <c r="DP605" i="48"/>
  <c r="DP604" i="48"/>
  <c r="DP603" i="48"/>
  <c r="DP602" i="48"/>
  <c r="DP601" i="48"/>
  <c r="DP600" i="48"/>
  <c r="DP599" i="48"/>
  <c r="DP598" i="48"/>
  <c r="DP597" i="48"/>
  <c r="DP596" i="48"/>
  <c r="DP595" i="48"/>
  <c r="DP594" i="48"/>
  <c r="DP593" i="48"/>
  <c r="DP592" i="48"/>
  <c r="DP591" i="48"/>
  <c r="DP590" i="48"/>
  <c r="DP589" i="48"/>
  <c r="DP588" i="48"/>
  <c r="DP586" i="48"/>
  <c r="DQ587" i="48" s="1"/>
  <c r="DP585" i="48"/>
  <c r="DP584" i="48"/>
  <c r="DP583" i="48"/>
  <c r="DP582" i="48"/>
  <c r="DP581" i="48"/>
  <c r="DP580" i="48"/>
  <c r="DP579" i="48"/>
  <c r="DP578" i="48"/>
  <c r="DP577" i="48"/>
  <c r="DP576" i="48"/>
  <c r="DP575" i="48"/>
  <c r="DP574" i="48"/>
  <c r="DP573" i="48"/>
  <c r="DP572" i="48"/>
  <c r="DP571" i="48"/>
  <c r="DP570" i="48"/>
  <c r="DP569" i="48"/>
  <c r="DP568" i="48"/>
  <c r="DP567" i="48"/>
  <c r="DP566" i="48"/>
  <c r="DP565" i="48"/>
  <c r="DP564" i="48"/>
  <c r="DP562" i="48"/>
  <c r="DQ563" i="48" s="1"/>
  <c r="DP561" i="48"/>
  <c r="DP560" i="48"/>
  <c r="DP559" i="48"/>
  <c r="DP558" i="48"/>
  <c r="DP557" i="48"/>
  <c r="DP556" i="48"/>
  <c r="DP555" i="48"/>
  <c r="DP554" i="48"/>
  <c r="DP553" i="48"/>
  <c r="DP552" i="48"/>
  <c r="DP551" i="48"/>
  <c r="DP550" i="48"/>
  <c r="DP549" i="48"/>
  <c r="DP548" i="48"/>
  <c r="DP547" i="48"/>
  <c r="DP546" i="48"/>
  <c r="DP545" i="48"/>
  <c r="DP544" i="48"/>
  <c r="DP543" i="48"/>
  <c r="DP542" i="48"/>
  <c r="DP541" i="48"/>
  <c r="DP540" i="48"/>
  <c r="DP538" i="48"/>
  <c r="DQ539" i="48" s="1"/>
  <c r="DP537" i="48"/>
  <c r="DP536" i="48"/>
  <c r="DP535" i="48"/>
  <c r="DP534" i="48"/>
  <c r="DP533" i="48"/>
  <c r="DP532" i="48"/>
  <c r="DP531" i="48"/>
  <c r="DP530" i="48"/>
  <c r="DP529" i="48"/>
  <c r="DP528" i="48"/>
  <c r="DP527" i="48"/>
  <c r="DP526" i="48"/>
  <c r="DP525" i="48"/>
  <c r="DP524" i="48"/>
  <c r="DP523" i="48"/>
  <c r="DP522" i="48"/>
  <c r="DP521" i="48"/>
  <c r="DP520" i="48"/>
  <c r="DP519" i="48"/>
  <c r="DP518" i="48"/>
  <c r="DP517" i="48"/>
  <c r="DP516" i="48"/>
  <c r="DP514" i="48"/>
  <c r="DQ515" i="48" s="1"/>
  <c r="DP513" i="48"/>
  <c r="DP512" i="48"/>
  <c r="DP511" i="48"/>
  <c r="DP510" i="48"/>
  <c r="DP509" i="48"/>
  <c r="DP508" i="48"/>
  <c r="DP507" i="48"/>
  <c r="DP506" i="48"/>
  <c r="DP505" i="48"/>
  <c r="DP504" i="48"/>
  <c r="DP503" i="48"/>
  <c r="DP502" i="48"/>
  <c r="DP501" i="48"/>
  <c r="DP500" i="48"/>
  <c r="DP499" i="48"/>
  <c r="DP498" i="48"/>
  <c r="DP497" i="48"/>
  <c r="DP496" i="48"/>
  <c r="DP495" i="48"/>
  <c r="DP494" i="48"/>
  <c r="DP493" i="48"/>
  <c r="DP492" i="48"/>
  <c r="DP490" i="48"/>
  <c r="DQ491" i="48" s="1"/>
  <c r="DP489" i="48"/>
  <c r="DP488" i="48"/>
  <c r="DP487" i="48"/>
  <c r="DP486" i="48"/>
  <c r="DP485" i="48"/>
  <c r="DP484" i="48"/>
  <c r="DP483" i="48"/>
  <c r="DP482" i="48"/>
  <c r="DP481" i="48"/>
  <c r="DP480" i="48"/>
  <c r="DP479" i="48"/>
  <c r="DP478" i="48"/>
  <c r="DP477" i="48"/>
  <c r="DP476" i="48"/>
  <c r="DP475" i="48"/>
  <c r="DP474" i="48"/>
  <c r="DP473" i="48"/>
  <c r="DP472" i="48"/>
  <c r="DP471" i="48"/>
  <c r="DP470" i="48"/>
  <c r="DP469" i="48"/>
  <c r="DP468" i="48"/>
  <c r="DP466" i="48"/>
  <c r="DQ467" i="48" s="1"/>
  <c r="DP465" i="48"/>
  <c r="DP464" i="48"/>
  <c r="DP463" i="48"/>
  <c r="DP462" i="48"/>
  <c r="DP461" i="48"/>
  <c r="DP460" i="48"/>
  <c r="DP459" i="48"/>
  <c r="DP458" i="48"/>
  <c r="DP457" i="48"/>
  <c r="DP456" i="48"/>
  <c r="DP455" i="48"/>
  <c r="DP454" i="48"/>
  <c r="DP453" i="48"/>
  <c r="DP452" i="48"/>
  <c r="DP451" i="48"/>
  <c r="DP450" i="48"/>
  <c r="DP449" i="48"/>
  <c r="DP448" i="48"/>
  <c r="DP447" i="48"/>
  <c r="DP446" i="48"/>
  <c r="DP445" i="48"/>
  <c r="DP444" i="48"/>
  <c r="DP442" i="48"/>
  <c r="DQ443" i="48" s="1"/>
  <c r="DP441" i="48"/>
  <c r="DP440" i="48"/>
  <c r="DP439" i="48"/>
  <c r="DP438" i="48"/>
  <c r="DP437" i="48"/>
  <c r="DP436" i="48"/>
  <c r="DP435" i="48"/>
  <c r="DP434" i="48"/>
  <c r="DP433" i="48"/>
  <c r="DP432" i="48"/>
  <c r="DP431" i="48"/>
  <c r="DP430" i="48"/>
  <c r="DP429" i="48"/>
  <c r="DP428" i="48"/>
  <c r="DP427" i="48"/>
  <c r="DP426" i="48"/>
  <c r="DP425" i="48"/>
  <c r="DP424" i="48"/>
  <c r="DP423" i="48"/>
  <c r="DP422" i="48"/>
  <c r="DP421" i="48"/>
  <c r="DP420" i="48"/>
  <c r="DP418" i="48"/>
  <c r="DQ419" i="48" s="1"/>
  <c r="DP417" i="48"/>
  <c r="DP416" i="48"/>
  <c r="DP415" i="48"/>
  <c r="DP414" i="48"/>
  <c r="DP413" i="48"/>
  <c r="DP412" i="48"/>
  <c r="DP411" i="48"/>
  <c r="DP410" i="48"/>
  <c r="DP409" i="48"/>
  <c r="DP408" i="48"/>
  <c r="DP407" i="48"/>
  <c r="DP406" i="48"/>
  <c r="DP405" i="48"/>
  <c r="DP404" i="48"/>
  <c r="DP403" i="48"/>
  <c r="DP402" i="48"/>
  <c r="DP401" i="48"/>
  <c r="DP400" i="48"/>
  <c r="DP399" i="48"/>
  <c r="DP398" i="48"/>
  <c r="DP397" i="48"/>
  <c r="DP396" i="48"/>
  <c r="DP394" i="48"/>
  <c r="DQ395" i="48" s="1"/>
  <c r="DP393" i="48"/>
  <c r="DP392" i="48"/>
  <c r="DP391" i="48"/>
  <c r="DP390" i="48"/>
  <c r="DP389" i="48"/>
  <c r="DP388" i="48"/>
  <c r="DP387" i="48"/>
  <c r="DP386" i="48"/>
  <c r="DP385" i="48"/>
  <c r="DP384" i="48"/>
  <c r="DP383" i="48"/>
  <c r="DP382" i="48"/>
  <c r="DP381" i="48"/>
  <c r="DP380" i="48"/>
  <c r="DP379" i="48"/>
  <c r="DP378" i="48"/>
  <c r="DP377" i="48"/>
  <c r="DP376" i="48"/>
  <c r="DP375" i="48"/>
  <c r="DP374" i="48"/>
  <c r="DP373" i="48"/>
  <c r="DP372" i="48"/>
  <c r="DP370" i="48"/>
  <c r="DQ371" i="48" s="1"/>
  <c r="DP369" i="48"/>
  <c r="DP368" i="48"/>
  <c r="DP367" i="48"/>
  <c r="DP366" i="48"/>
  <c r="DP365" i="48"/>
  <c r="DP364" i="48"/>
  <c r="DP363" i="48"/>
  <c r="DP362" i="48"/>
  <c r="DP361" i="48"/>
  <c r="DP360" i="48"/>
  <c r="DP359" i="48"/>
  <c r="DP358" i="48"/>
  <c r="DP357" i="48"/>
  <c r="DP356" i="48"/>
  <c r="DP355" i="48"/>
  <c r="DP354" i="48"/>
  <c r="DP353" i="48"/>
  <c r="DP352" i="48"/>
  <c r="DP351" i="48"/>
  <c r="DP350" i="48"/>
  <c r="DP349" i="48"/>
  <c r="DP348" i="48"/>
  <c r="DP346" i="48"/>
  <c r="DQ347" i="48" s="1"/>
  <c r="DP345" i="48"/>
  <c r="DP344" i="48"/>
  <c r="DP343" i="48"/>
  <c r="DP342" i="48"/>
  <c r="DP341" i="48"/>
  <c r="DP340" i="48"/>
  <c r="DP339" i="48"/>
  <c r="DP338" i="48"/>
  <c r="DP337" i="48"/>
  <c r="DP336" i="48"/>
  <c r="DP335" i="48"/>
  <c r="DP334" i="48"/>
  <c r="DP333" i="48"/>
  <c r="DP332" i="48"/>
  <c r="DP331" i="48"/>
  <c r="DP330" i="48"/>
  <c r="DP329" i="48"/>
  <c r="DP328" i="48"/>
  <c r="DP327" i="48"/>
  <c r="DP326" i="48"/>
  <c r="DP325" i="48"/>
  <c r="DP324" i="48"/>
  <c r="DP322" i="48"/>
  <c r="DQ323" i="48" s="1"/>
  <c r="DP321" i="48"/>
  <c r="DP320" i="48"/>
  <c r="DP319" i="48"/>
  <c r="DP318" i="48"/>
  <c r="DP317" i="48"/>
  <c r="DP316" i="48"/>
  <c r="DP315" i="48"/>
  <c r="DP314" i="48"/>
  <c r="DP313" i="48"/>
  <c r="DP312" i="48"/>
  <c r="DP311" i="48"/>
  <c r="DP310" i="48"/>
  <c r="DP309" i="48"/>
  <c r="DP308" i="48"/>
  <c r="DP307" i="48"/>
  <c r="DP306" i="48"/>
  <c r="DP305" i="48"/>
  <c r="DP304" i="48"/>
  <c r="DP303" i="48"/>
  <c r="DP302" i="48"/>
  <c r="DP301" i="48"/>
  <c r="DP300" i="48"/>
  <c r="DP298" i="48"/>
  <c r="DQ299" i="48" s="1"/>
  <c r="DP297" i="48"/>
  <c r="DP296" i="48"/>
  <c r="DP295" i="48"/>
  <c r="DP294" i="48"/>
  <c r="DP293" i="48"/>
  <c r="DP292" i="48"/>
  <c r="DP291" i="48"/>
  <c r="DP290" i="48"/>
  <c r="DP289" i="48"/>
  <c r="DP288" i="48"/>
  <c r="DP287" i="48"/>
  <c r="DP286" i="48"/>
  <c r="DP285" i="48"/>
  <c r="DP284" i="48"/>
  <c r="DP283" i="48"/>
  <c r="DP282" i="48"/>
  <c r="DP281" i="48"/>
  <c r="DP280" i="48"/>
  <c r="DP279" i="48"/>
  <c r="DP278" i="48"/>
  <c r="DP277" i="48"/>
  <c r="DP276" i="48"/>
  <c r="DP274" i="48"/>
  <c r="DQ275" i="48" s="1"/>
  <c r="DP273" i="48"/>
  <c r="DP272" i="48"/>
  <c r="DP271" i="48"/>
  <c r="DP270" i="48"/>
  <c r="DP269" i="48"/>
  <c r="DP268" i="48"/>
  <c r="DP267" i="48"/>
  <c r="DP266" i="48"/>
  <c r="DP265" i="48"/>
  <c r="DP264" i="48"/>
  <c r="DP263" i="48"/>
  <c r="DP262" i="48"/>
  <c r="DP261" i="48"/>
  <c r="DP260" i="48"/>
  <c r="DP259" i="48"/>
  <c r="DP258" i="48"/>
  <c r="DP257" i="48"/>
  <c r="DP256" i="48"/>
  <c r="DP255" i="48"/>
  <c r="DP254" i="48"/>
  <c r="DP253" i="48"/>
  <c r="DP252" i="48"/>
  <c r="DP250" i="48"/>
  <c r="DQ251" i="48" s="1"/>
  <c r="DP249" i="48"/>
  <c r="DP248" i="48"/>
  <c r="DP247" i="48"/>
  <c r="DP246" i="48"/>
  <c r="DP245" i="48"/>
  <c r="DP244" i="48"/>
  <c r="DP243" i="48"/>
  <c r="DP242" i="48"/>
  <c r="DP241" i="48"/>
  <c r="DP240" i="48"/>
  <c r="DP239" i="48"/>
  <c r="DP238" i="48"/>
  <c r="DP237" i="48"/>
  <c r="DP236" i="48"/>
  <c r="DP235" i="48"/>
  <c r="DP234" i="48"/>
  <c r="DP233" i="48"/>
  <c r="DP232" i="48"/>
  <c r="DP231" i="48"/>
  <c r="DP230" i="48"/>
  <c r="DP229" i="48"/>
  <c r="DP228" i="48"/>
  <c r="DP226" i="48"/>
  <c r="DQ227" i="48" s="1"/>
  <c r="DP225" i="48"/>
  <c r="DP224" i="48"/>
  <c r="DP223" i="48"/>
  <c r="DP222" i="48"/>
  <c r="DP221" i="48"/>
  <c r="DP220" i="48"/>
  <c r="DP219" i="48"/>
  <c r="DP218" i="48"/>
  <c r="DP217" i="48"/>
  <c r="DP216" i="48"/>
  <c r="DP215" i="48"/>
  <c r="DP214" i="48"/>
  <c r="DP213" i="48"/>
  <c r="DP212" i="48"/>
  <c r="DP211" i="48"/>
  <c r="DP210" i="48"/>
  <c r="DP209" i="48"/>
  <c r="DP208" i="48"/>
  <c r="DP207" i="48"/>
  <c r="DP206" i="48"/>
  <c r="DP205" i="48"/>
  <c r="DP204" i="48"/>
  <c r="DP202" i="48"/>
  <c r="DQ203" i="48" s="1"/>
  <c r="DP201" i="48"/>
  <c r="DP200" i="48"/>
  <c r="DP199" i="48"/>
  <c r="DP198" i="48"/>
  <c r="DP197" i="48"/>
  <c r="DP196" i="48"/>
  <c r="DP195" i="48"/>
  <c r="DP194" i="48"/>
  <c r="DP193" i="48"/>
  <c r="DP192" i="48"/>
  <c r="DP191" i="48"/>
  <c r="DP190" i="48"/>
  <c r="DP189" i="48"/>
  <c r="DP188" i="48"/>
  <c r="DP187" i="48"/>
  <c r="DP186" i="48"/>
  <c r="DP185" i="48"/>
  <c r="DP184" i="48"/>
  <c r="DP183" i="48"/>
  <c r="DP182" i="48"/>
  <c r="DP181" i="48"/>
  <c r="DP180" i="48"/>
  <c r="DP178" i="48"/>
  <c r="DQ179" i="48" s="1"/>
  <c r="DP177" i="48"/>
  <c r="DP176" i="48"/>
  <c r="DP175" i="48"/>
  <c r="DP174" i="48"/>
  <c r="DP173" i="48"/>
  <c r="DP172" i="48"/>
  <c r="DP171" i="48"/>
  <c r="DP170" i="48"/>
  <c r="DP169" i="48"/>
  <c r="DP168" i="48"/>
  <c r="DP167" i="48"/>
  <c r="DP166" i="48"/>
  <c r="DP165" i="48"/>
  <c r="DP164" i="48"/>
  <c r="DP163" i="48"/>
  <c r="DP162" i="48"/>
  <c r="DP161" i="48"/>
  <c r="DP160" i="48"/>
  <c r="DP159" i="48"/>
  <c r="DP158" i="48"/>
  <c r="DP157" i="48"/>
  <c r="DP156" i="48"/>
  <c r="DP154" i="48"/>
  <c r="DQ155" i="48" s="1"/>
  <c r="DP153" i="48"/>
  <c r="DP152" i="48"/>
  <c r="DP151" i="48"/>
  <c r="DP150" i="48"/>
  <c r="DP149" i="48"/>
  <c r="DP148" i="48"/>
  <c r="DP147" i="48"/>
  <c r="DP146" i="48"/>
  <c r="DP145" i="48"/>
  <c r="DP144" i="48"/>
  <c r="DP143" i="48"/>
  <c r="DP142" i="48"/>
  <c r="DP141" i="48"/>
  <c r="DP140" i="48"/>
  <c r="DP139" i="48"/>
  <c r="DP138" i="48"/>
  <c r="DP137" i="48"/>
  <c r="DP136" i="48"/>
  <c r="DP135" i="48"/>
  <c r="DP134" i="48"/>
  <c r="DP133" i="48"/>
  <c r="DP132" i="48"/>
  <c r="DP130" i="48"/>
  <c r="DQ131" i="48" s="1"/>
  <c r="DP129" i="48"/>
  <c r="DP128" i="48"/>
  <c r="DP127" i="48"/>
  <c r="DP126" i="48"/>
  <c r="DP125" i="48"/>
  <c r="DP124" i="48"/>
  <c r="DP123" i="48"/>
  <c r="DP122" i="48"/>
  <c r="DP121" i="48"/>
  <c r="DP120" i="48"/>
  <c r="DP119" i="48"/>
  <c r="DP118" i="48"/>
  <c r="DP117" i="48"/>
  <c r="DP116" i="48"/>
  <c r="DP115" i="48"/>
  <c r="DP114" i="48"/>
  <c r="DP113" i="48"/>
  <c r="DP112" i="48"/>
  <c r="DP111" i="48"/>
  <c r="DP110" i="48"/>
  <c r="DP109" i="48"/>
  <c r="DP108" i="48"/>
  <c r="DP106" i="48"/>
  <c r="DP105" i="48"/>
  <c r="DP104" i="48"/>
  <c r="DP103" i="48"/>
  <c r="DP102" i="48"/>
  <c r="DP101" i="48"/>
  <c r="DP100" i="48"/>
  <c r="DP99" i="48"/>
  <c r="DP98" i="48"/>
  <c r="DP97" i="48"/>
  <c r="DP96" i="48"/>
  <c r="DP95" i="48"/>
  <c r="DP94" i="48"/>
  <c r="DP93" i="48"/>
  <c r="DP92" i="48"/>
  <c r="DP91" i="48"/>
  <c r="DP90" i="48"/>
  <c r="DP89" i="48"/>
  <c r="DP88" i="48"/>
  <c r="DP87" i="48"/>
  <c r="DP86" i="48"/>
  <c r="DP85" i="48"/>
  <c r="DP84" i="48"/>
  <c r="DP82" i="48"/>
  <c r="DP81" i="48"/>
  <c r="DP80" i="48"/>
  <c r="DP79" i="48"/>
  <c r="DP78" i="48"/>
  <c r="DP77" i="48"/>
  <c r="DP76" i="48"/>
  <c r="DP75" i="48"/>
  <c r="DP74" i="48"/>
  <c r="DP73" i="48"/>
  <c r="DP72" i="48"/>
  <c r="DP71" i="48"/>
  <c r="DP70" i="48"/>
  <c r="DP69" i="48"/>
  <c r="DP68" i="48"/>
  <c r="DP67" i="48"/>
  <c r="DP66" i="48"/>
  <c r="DP65" i="48"/>
  <c r="DP64" i="48"/>
  <c r="DP63" i="48"/>
  <c r="DP62" i="48"/>
  <c r="DP61" i="48"/>
  <c r="DP60" i="48"/>
  <c r="DQ107" i="48" l="1"/>
  <c r="DQ83" i="48"/>
  <c r="Q82" i="48"/>
  <c r="DQ476" i="48"/>
  <c r="DQ480" i="48"/>
  <c r="DQ484" i="48"/>
  <c r="DQ501" i="48"/>
  <c r="DQ505" i="48"/>
  <c r="DQ513" i="48"/>
  <c r="DQ568" i="48"/>
  <c r="DQ576" i="48"/>
  <c r="DQ584" i="48"/>
  <c r="DQ597" i="48"/>
  <c r="DQ601" i="48"/>
  <c r="DQ609" i="48"/>
  <c r="DQ668" i="48"/>
  <c r="DQ676" i="48"/>
  <c r="DQ680" i="48"/>
  <c r="DQ689" i="48"/>
  <c r="DQ697" i="48"/>
  <c r="DQ701" i="48"/>
  <c r="DQ760" i="48"/>
  <c r="DQ768" i="48"/>
  <c r="DQ772" i="48"/>
  <c r="DQ785" i="48"/>
  <c r="DQ793" i="48"/>
  <c r="DQ801" i="48"/>
  <c r="DQ856" i="48"/>
  <c r="DQ864" i="48"/>
  <c r="DQ872" i="48"/>
  <c r="DQ885" i="48"/>
  <c r="DQ952" i="48"/>
  <c r="DQ960" i="48"/>
  <c r="DQ968" i="48"/>
  <c r="DQ981" i="48"/>
  <c r="DQ993" i="48"/>
  <c r="DQ1056" i="48"/>
  <c r="DQ1064" i="48"/>
  <c r="DQ1077" i="48"/>
  <c r="DQ1081" i="48"/>
  <c r="DQ1089" i="48"/>
  <c r="DQ1106" i="48"/>
  <c r="DQ472" i="48"/>
  <c r="DQ488" i="48"/>
  <c r="DQ497" i="48"/>
  <c r="DQ509" i="48"/>
  <c r="DQ572" i="48"/>
  <c r="DQ580" i="48"/>
  <c r="DQ593" i="48"/>
  <c r="DQ605" i="48"/>
  <c r="DQ664" i="48"/>
  <c r="DQ672" i="48"/>
  <c r="DQ693" i="48"/>
  <c r="DQ705" i="48"/>
  <c r="DQ764" i="48"/>
  <c r="DQ776" i="48"/>
  <c r="DQ789" i="48"/>
  <c r="DQ797" i="48"/>
  <c r="DQ860" i="48"/>
  <c r="DQ868" i="48"/>
  <c r="DQ893" i="48"/>
  <c r="DQ956" i="48"/>
  <c r="DQ964" i="48"/>
  <c r="DQ989" i="48"/>
  <c r="DQ1060" i="48"/>
  <c r="DQ1073" i="48"/>
  <c r="DQ1085" i="48"/>
  <c r="DQ1148" i="48"/>
  <c r="DQ1156" i="48"/>
  <c r="DQ1194" i="48"/>
  <c r="DQ1202" i="48"/>
  <c r="DQ1244" i="48"/>
  <c r="DQ1252" i="48"/>
  <c r="DQ496" i="48"/>
  <c r="DQ500" i="48"/>
  <c r="DQ504" i="48"/>
  <c r="DQ508" i="48"/>
  <c r="DQ575" i="48"/>
  <c r="DQ583" i="48"/>
  <c r="DQ667" i="48"/>
  <c r="DQ671" i="48"/>
  <c r="DQ675" i="48"/>
  <c r="DQ1312" i="48"/>
  <c r="DQ115" i="48"/>
  <c r="DQ119" i="48"/>
  <c r="DQ123" i="48"/>
  <c r="DQ127" i="48"/>
  <c r="DQ211" i="48"/>
  <c r="DQ215" i="48"/>
  <c r="DQ219" i="48"/>
  <c r="DQ223" i="48"/>
  <c r="DQ307" i="48"/>
  <c r="DQ311" i="48"/>
  <c r="DQ319" i="48"/>
  <c r="DQ1251" i="48"/>
  <c r="DQ304" i="48"/>
  <c r="DQ93" i="48"/>
  <c r="DQ105" i="48"/>
  <c r="DQ185" i="48"/>
  <c r="DQ193" i="48"/>
  <c r="DQ201" i="48"/>
  <c r="DQ289" i="48"/>
  <c r="DQ297" i="48"/>
  <c r="DQ352" i="48"/>
  <c r="DQ360" i="48"/>
  <c r="DQ368" i="48"/>
  <c r="DQ385" i="48"/>
  <c r="DQ393" i="48"/>
  <c r="DQ439" i="48"/>
  <c r="DQ474" i="48"/>
  <c r="DQ478" i="48"/>
  <c r="DQ482" i="48"/>
  <c r="DQ486" i="48"/>
  <c r="DQ570" i="48"/>
  <c r="DQ578" i="48"/>
  <c r="DQ679" i="48"/>
  <c r="DQ762" i="48"/>
  <c r="DQ766" i="48"/>
  <c r="DQ770" i="48"/>
  <c r="DQ775" i="48"/>
  <c r="DQ849" i="48"/>
  <c r="DQ859" i="48"/>
  <c r="DQ862" i="48"/>
  <c r="DQ867" i="48"/>
  <c r="DQ871" i="48"/>
  <c r="DQ929" i="48"/>
  <c r="DQ933" i="48"/>
  <c r="DQ937" i="48"/>
  <c r="DQ941" i="48"/>
  <c r="DQ945" i="48"/>
  <c r="DQ954" i="48"/>
  <c r="DQ958" i="48"/>
  <c r="DQ962" i="48"/>
  <c r="DQ966" i="48"/>
  <c r="DQ1051" i="48"/>
  <c r="DQ1054" i="48"/>
  <c r="DQ1058" i="48"/>
  <c r="DQ1063" i="48"/>
  <c r="DQ1121" i="48"/>
  <c r="DQ1125" i="48"/>
  <c r="DQ1129" i="48"/>
  <c r="DQ1133" i="48"/>
  <c r="DQ1137" i="48"/>
  <c r="DQ1146" i="48"/>
  <c r="DQ1154" i="48"/>
  <c r="DQ1192" i="48"/>
  <c r="DQ1200" i="48"/>
  <c r="DQ1208" i="48"/>
  <c r="DQ1217" i="48"/>
  <c r="DQ1221" i="48"/>
  <c r="DQ1225" i="48"/>
  <c r="DQ1229" i="48"/>
  <c r="DQ1233" i="48"/>
  <c r="DQ1242" i="48"/>
  <c r="DQ1288" i="48"/>
  <c r="DQ1292" i="48"/>
  <c r="DQ1296" i="48"/>
  <c r="DQ1300" i="48"/>
  <c r="DQ1304" i="48"/>
  <c r="DQ1313" i="48"/>
  <c r="DQ1321" i="48"/>
  <c r="DQ1329" i="48"/>
  <c r="DQ89" i="48"/>
  <c r="DQ97" i="48"/>
  <c r="DQ101" i="48"/>
  <c r="DQ189" i="48"/>
  <c r="DQ197" i="48"/>
  <c r="DQ281" i="48"/>
  <c r="DQ285" i="48"/>
  <c r="DQ293" i="48"/>
  <c r="DQ314" i="48"/>
  <c r="DQ377" i="48"/>
  <c r="DQ381" i="48"/>
  <c r="DQ389" i="48"/>
  <c r="DQ312" i="48"/>
  <c r="DQ320" i="48"/>
  <c r="DQ366" i="48"/>
  <c r="DQ1323" i="48"/>
  <c r="DQ69" i="48"/>
  <c r="DQ77" i="48"/>
  <c r="DQ140" i="48"/>
  <c r="DQ148" i="48"/>
  <c r="DQ165" i="48"/>
  <c r="DQ177" i="48"/>
  <c r="DQ236" i="48"/>
  <c r="DQ248" i="48"/>
  <c r="DQ257" i="48"/>
  <c r="DQ269" i="48"/>
  <c r="DQ440" i="48"/>
  <c r="DQ116" i="48"/>
  <c r="DQ124" i="48"/>
  <c r="DQ208" i="48"/>
  <c r="DQ212" i="48"/>
  <c r="DQ216" i="48"/>
  <c r="DQ220" i="48"/>
  <c r="DQ224" i="48"/>
  <c r="DQ65" i="48"/>
  <c r="DQ73" i="48"/>
  <c r="DQ81" i="48"/>
  <c r="DQ136" i="48"/>
  <c r="DQ144" i="48"/>
  <c r="DQ152" i="48"/>
  <c r="DQ161" i="48"/>
  <c r="DQ169" i="48"/>
  <c r="DQ173" i="48"/>
  <c r="DQ232" i="48"/>
  <c r="DQ240" i="48"/>
  <c r="DQ244" i="48"/>
  <c r="DQ261" i="48"/>
  <c r="DQ265" i="48"/>
  <c r="DQ273" i="48"/>
  <c r="DQ112" i="48"/>
  <c r="DQ120" i="48"/>
  <c r="DQ128" i="48"/>
  <c r="DQ139" i="48"/>
  <c r="DQ143" i="48"/>
  <c r="DQ147" i="48"/>
  <c r="DQ151" i="48"/>
  <c r="DQ234" i="48"/>
  <c r="DQ239" i="48"/>
  <c r="DQ242" i="48"/>
  <c r="DQ328" i="48"/>
  <c r="DQ332" i="48"/>
  <c r="DQ336" i="48"/>
  <c r="DQ340" i="48"/>
  <c r="DQ344" i="48"/>
  <c r="DQ357" i="48"/>
  <c r="DQ365" i="48"/>
  <c r="DQ424" i="48"/>
  <c r="DQ428" i="48"/>
  <c r="DQ432" i="48"/>
  <c r="DQ436" i="48"/>
  <c r="DQ448" i="48"/>
  <c r="DQ452" i="48"/>
  <c r="DQ456" i="48"/>
  <c r="DQ460" i="48"/>
  <c r="DQ464" i="48"/>
  <c r="DQ544" i="48"/>
  <c r="DQ548" i="48"/>
  <c r="DQ552" i="48"/>
  <c r="DQ556" i="48"/>
  <c r="DQ560" i="48"/>
  <c r="DQ640" i="48"/>
  <c r="DQ644" i="48"/>
  <c r="DQ648" i="48"/>
  <c r="DQ652" i="48"/>
  <c r="DQ656" i="48"/>
  <c r="DQ736" i="48"/>
  <c r="DQ740" i="48"/>
  <c r="DQ744" i="48"/>
  <c r="DQ748" i="48"/>
  <c r="DQ752" i="48"/>
  <c r="DQ832" i="48"/>
  <c r="DQ840" i="48"/>
  <c r="DQ848" i="48"/>
  <c r="DQ887" i="48"/>
  <c r="DQ895" i="48"/>
  <c r="DQ928" i="48"/>
  <c r="DQ936" i="48"/>
  <c r="DQ944" i="48"/>
  <c r="DQ1024" i="48"/>
  <c r="DQ1028" i="48"/>
  <c r="DQ1032" i="48"/>
  <c r="DQ1036" i="48"/>
  <c r="DQ1040" i="48"/>
  <c r="DQ1145" i="48"/>
  <c r="DQ1153" i="48"/>
  <c r="DQ1161" i="48"/>
  <c r="DQ1170" i="48"/>
  <c r="DQ1175" i="48"/>
  <c r="DQ1178" i="48"/>
  <c r="DQ1183" i="48"/>
  <c r="DQ1245" i="48"/>
  <c r="DQ1253" i="48"/>
  <c r="DQ1257" i="48"/>
  <c r="DQ1267" i="48"/>
  <c r="DQ1271" i="48"/>
  <c r="DQ1279" i="48"/>
  <c r="DQ1324" i="48"/>
  <c r="DQ247" i="48"/>
  <c r="DQ330" i="48"/>
  <c r="DQ335" i="48"/>
  <c r="DQ338" i="48"/>
  <c r="DQ343" i="48"/>
  <c r="DQ401" i="48"/>
  <c r="DQ405" i="48"/>
  <c r="DQ409" i="48"/>
  <c r="DQ413" i="48"/>
  <c r="DQ417" i="48"/>
  <c r="DQ427" i="48"/>
  <c r="DQ431" i="48"/>
  <c r="DQ434" i="48"/>
  <c r="DQ438" i="48"/>
  <c r="DQ451" i="48"/>
  <c r="DQ455" i="48"/>
  <c r="DQ459" i="48"/>
  <c r="DQ463" i="48"/>
  <c r="DQ521" i="48"/>
  <c r="DQ525" i="48"/>
  <c r="DQ529" i="48"/>
  <c r="DQ533" i="48"/>
  <c r="DQ537" i="48"/>
  <c r="DQ546" i="48"/>
  <c r="DQ550" i="48"/>
  <c r="DQ555" i="48"/>
  <c r="DQ558" i="48"/>
  <c r="DQ617" i="48"/>
  <c r="DQ621" i="48"/>
  <c r="DQ625" i="48"/>
  <c r="DQ629" i="48"/>
  <c r="DQ633" i="48"/>
  <c r="DQ642" i="48"/>
  <c r="DQ646" i="48"/>
  <c r="DQ650" i="48"/>
  <c r="DQ655" i="48"/>
  <c r="DQ713" i="48"/>
  <c r="DQ717" i="48"/>
  <c r="DQ721" i="48"/>
  <c r="DQ725" i="48"/>
  <c r="DQ729" i="48"/>
  <c r="DQ739" i="48"/>
  <c r="DQ743" i="48"/>
  <c r="DQ747" i="48"/>
  <c r="DQ751" i="48"/>
  <c r="DQ809" i="48"/>
  <c r="DQ813" i="48"/>
  <c r="DQ817" i="48"/>
  <c r="DQ821" i="48"/>
  <c r="DQ825" i="48"/>
  <c r="DQ835" i="48"/>
  <c r="DQ839" i="48"/>
  <c r="DQ842" i="48"/>
  <c r="DQ847" i="48"/>
  <c r="DQ921" i="48"/>
  <c r="DQ931" i="48"/>
  <c r="DQ935" i="48"/>
  <c r="DQ939" i="48"/>
  <c r="DQ943" i="48"/>
  <c r="DQ976" i="48"/>
  <c r="DQ980" i="48"/>
  <c r="DQ984" i="48"/>
  <c r="DQ1001" i="48"/>
  <c r="DQ1005" i="48"/>
  <c r="DQ1009" i="48"/>
  <c r="DQ1013" i="48"/>
  <c r="DQ1017" i="48"/>
  <c r="DQ1026" i="48"/>
  <c r="DQ1030" i="48"/>
  <c r="DQ1034" i="48"/>
  <c r="DQ1038" i="48"/>
  <c r="DQ1097" i="48"/>
  <c r="DQ1101" i="48"/>
  <c r="DQ1109" i="48"/>
  <c r="DQ1168" i="48"/>
  <c r="DQ1172" i="48"/>
  <c r="DQ1176" i="48"/>
  <c r="DQ1180" i="48"/>
  <c r="DQ1184" i="48"/>
  <c r="DQ1197" i="48"/>
  <c r="DQ1205" i="48"/>
  <c r="DQ1264" i="48"/>
  <c r="DQ1268" i="48"/>
  <c r="DQ1272" i="48"/>
  <c r="DQ1280" i="48"/>
  <c r="DQ1281" i="48"/>
  <c r="DQ1290" i="48"/>
  <c r="DQ1294" i="48"/>
  <c r="DQ1298" i="48"/>
  <c r="DQ1302" i="48"/>
  <c r="DQ1316" i="48"/>
  <c r="DQ358" i="48"/>
  <c r="DQ88" i="48"/>
  <c r="DQ92" i="48"/>
  <c r="DQ96" i="48"/>
  <c r="DQ102" i="48"/>
  <c r="DQ149" i="48"/>
  <c r="DQ153" i="48"/>
  <c r="DQ184" i="48"/>
  <c r="DQ187" i="48"/>
  <c r="DQ188" i="48"/>
  <c r="DQ190" i="48"/>
  <c r="DQ192" i="48"/>
  <c r="DQ194" i="48"/>
  <c r="DQ196" i="48"/>
  <c r="DQ198" i="48"/>
  <c r="DQ200" i="48"/>
  <c r="DQ233" i="48"/>
  <c r="DQ237" i="48"/>
  <c r="DQ241" i="48"/>
  <c r="DQ245" i="48"/>
  <c r="DQ249" i="48"/>
  <c r="DQ280" i="48"/>
  <c r="DQ282" i="48"/>
  <c r="DQ284" i="48"/>
  <c r="DQ321" i="48"/>
  <c r="DQ353" i="48"/>
  <c r="DQ356" i="48"/>
  <c r="DQ361" i="48"/>
  <c r="DQ364" i="48"/>
  <c r="DQ90" i="48"/>
  <c r="DQ94" i="48"/>
  <c r="DQ98" i="48"/>
  <c r="DQ100" i="48"/>
  <c r="DQ104" i="48"/>
  <c r="DQ137" i="48"/>
  <c r="DQ141" i="48"/>
  <c r="DQ145" i="48"/>
  <c r="DQ64" i="48"/>
  <c r="DQ66" i="48"/>
  <c r="DQ68" i="48"/>
  <c r="DQ70" i="48"/>
  <c r="DQ72" i="48"/>
  <c r="DQ75" i="48"/>
  <c r="DQ76" i="48"/>
  <c r="DQ79" i="48"/>
  <c r="DQ80" i="48"/>
  <c r="DQ113" i="48"/>
  <c r="DQ117" i="48"/>
  <c r="DQ121" i="48"/>
  <c r="DQ125" i="48"/>
  <c r="DQ129" i="48"/>
  <c r="DQ160" i="48"/>
  <c r="DQ163" i="48"/>
  <c r="DQ164" i="48"/>
  <c r="DQ167" i="48"/>
  <c r="DQ168" i="48"/>
  <c r="DQ171" i="48"/>
  <c r="DQ172" i="48"/>
  <c r="DQ175" i="48"/>
  <c r="DQ176" i="48"/>
  <c r="DQ209" i="48"/>
  <c r="DQ213" i="48"/>
  <c r="DQ217" i="48"/>
  <c r="DQ221" i="48"/>
  <c r="DQ225" i="48"/>
  <c r="DQ256" i="48"/>
  <c r="DQ258" i="48"/>
  <c r="DQ260" i="48"/>
  <c r="DQ262" i="48"/>
  <c r="DQ264" i="48"/>
  <c r="DQ266" i="48"/>
  <c r="DQ268" i="48"/>
  <c r="DQ270" i="48"/>
  <c r="DQ272" i="48"/>
  <c r="DQ308" i="48"/>
  <c r="DQ316" i="48"/>
  <c r="DQ354" i="48"/>
  <c r="DQ362" i="48"/>
  <c r="DQ884" i="48"/>
  <c r="DQ892" i="48"/>
  <c r="DQ982" i="48"/>
  <c r="DQ1104" i="48"/>
  <c r="DQ1157" i="48"/>
  <c r="DQ369" i="48"/>
  <c r="DQ400" i="48"/>
  <c r="DQ403" i="48"/>
  <c r="DQ404" i="48"/>
  <c r="DQ406" i="48"/>
  <c r="DQ408" i="48"/>
  <c r="DQ410" i="48"/>
  <c r="DQ412" i="48"/>
  <c r="DQ415" i="48"/>
  <c r="DQ416" i="48"/>
  <c r="DQ473" i="48"/>
  <c r="DQ477" i="48"/>
  <c r="DQ481" i="48"/>
  <c r="DQ485" i="48"/>
  <c r="DQ489" i="48"/>
  <c r="DQ520" i="48"/>
  <c r="DQ523" i="48"/>
  <c r="DQ524" i="48"/>
  <c r="DQ526" i="48"/>
  <c r="DQ528" i="48"/>
  <c r="DQ531" i="48"/>
  <c r="DQ532" i="48"/>
  <c r="DQ535" i="48"/>
  <c r="DQ536" i="48"/>
  <c r="DQ569" i="48"/>
  <c r="DQ573" i="48"/>
  <c r="DQ577" i="48"/>
  <c r="DQ581" i="48"/>
  <c r="DQ585" i="48"/>
  <c r="DQ616" i="48"/>
  <c r="DQ618" i="48"/>
  <c r="DQ620" i="48"/>
  <c r="DQ622" i="48"/>
  <c r="DQ624" i="48"/>
  <c r="DQ626" i="48"/>
  <c r="DQ628" i="48"/>
  <c r="DQ630" i="48"/>
  <c r="DQ632" i="48"/>
  <c r="DQ665" i="48"/>
  <c r="DQ669" i="48"/>
  <c r="DQ673" i="48"/>
  <c r="DQ677" i="48"/>
  <c r="DQ681" i="48"/>
  <c r="DQ712" i="48"/>
  <c r="DQ715" i="48"/>
  <c r="DQ716" i="48"/>
  <c r="DQ718" i="48"/>
  <c r="DQ720" i="48"/>
  <c r="DQ723" i="48"/>
  <c r="DQ724" i="48"/>
  <c r="DQ727" i="48"/>
  <c r="DQ728" i="48"/>
  <c r="DQ761" i="48"/>
  <c r="DQ765" i="48"/>
  <c r="DQ769" i="48"/>
  <c r="DQ773" i="48"/>
  <c r="DQ777" i="48"/>
  <c r="DQ808" i="48"/>
  <c r="DQ811" i="48"/>
  <c r="DQ812" i="48"/>
  <c r="DQ815" i="48"/>
  <c r="DQ816" i="48"/>
  <c r="DQ818" i="48"/>
  <c r="DQ881" i="48"/>
  <c r="DQ889" i="48"/>
  <c r="DQ897" i="48"/>
  <c r="DQ977" i="48"/>
  <c r="DQ985" i="48"/>
  <c r="DQ286" i="48"/>
  <c r="DQ288" i="48"/>
  <c r="DQ290" i="48"/>
  <c r="DQ292" i="48"/>
  <c r="DQ294" i="48"/>
  <c r="DQ296" i="48"/>
  <c r="DQ329" i="48"/>
  <c r="DQ333" i="48"/>
  <c r="DQ337" i="48"/>
  <c r="DQ341" i="48"/>
  <c r="DQ345" i="48"/>
  <c r="DQ376" i="48"/>
  <c r="DQ379" i="48"/>
  <c r="DQ380" i="48"/>
  <c r="DQ383" i="48"/>
  <c r="DQ384" i="48"/>
  <c r="DQ387" i="48"/>
  <c r="DQ388" i="48"/>
  <c r="DQ391" i="48"/>
  <c r="DQ392" i="48"/>
  <c r="DQ449" i="48"/>
  <c r="DQ453" i="48"/>
  <c r="DQ457" i="48"/>
  <c r="DQ461" i="48"/>
  <c r="DQ465" i="48"/>
  <c r="DQ498" i="48"/>
  <c r="DQ502" i="48"/>
  <c r="DQ506" i="48"/>
  <c r="DQ510" i="48"/>
  <c r="DQ512" i="48"/>
  <c r="DQ545" i="48"/>
  <c r="DQ549" i="48"/>
  <c r="DQ553" i="48"/>
  <c r="DQ557" i="48"/>
  <c r="DQ561" i="48"/>
  <c r="DQ592" i="48"/>
  <c r="DQ595" i="48"/>
  <c r="DQ596" i="48"/>
  <c r="DQ598" i="48"/>
  <c r="DQ600" i="48"/>
  <c r="DQ603" i="48"/>
  <c r="DQ604" i="48"/>
  <c r="DQ606" i="48"/>
  <c r="DQ608" i="48"/>
  <c r="DQ641" i="48"/>
  <c r="DQ645" i="48"/>
  <c r="DQ649" i="48"/>
  <c r="DQ653" i="48"/>
  <c r="DQ657" i="48"/>
  <c r="DQ688" i="48"/>
  <c r="DQ691" i="48"/>
  <c r="DQ692" i="48"/>
  <c r="DQ694" i="48"/>
  <c r="DQ696" i="48"/>
  <c r="DQ698" i="48"/>
  <c r="DQ700" i="48"/>
  <c r="DQ702" i="48"/>
  <c r="DQ704" i="48"/>
  <c r="DQ737" i="48"/>
  <c r="DQ741" i="48"/>
  <c r="DQ745" i="48"/>
  <c r="DQ749" i="48"/>
  <c r="DQ753" i="48"/>
  <c r="DQ784" i="48"/>
  <c r="DQ787" i="48"/>
  <c r="DQ788" i="48"/>
  <c r="DQ790" i="48"/>
  <c r="DQ792" i="48"/>
  <c r="DQ795" i="48"/>
  <c r="DQ796" i="48"/>
  <c r="DQ799" i="48"/>
  <c r="DQ800" i="48"/>
  <c r="DQ836" i="48"/>
  <c r="DQ844" i="48"/>
  <c r="DQ880" i="48"/>
  <c r="DQ883" i="48"/>
  <c r="DQ888" i="48"/>
  <c r="DQ890" i="48"/>
  <c r="DQ896" i="48"/>
  <c r="DQ932" i="48"/>
  <c r="DQ940" i="48"/>
  <c r="DQ978" i="48"/>
  <c r="DQ986" i="48"/>
  <c r="DQ1112" i="48"/>
  <c r="DQ1149" i="48"/>
  <c r="DQ820" i="48"/>
  <c r="DQ823" i="48"/>
  <c r="DQ824" i="48"/>
  <c r="DQ857" i="48"/>
  <c r="DQ861" i="48"/>
  <c r="DQ865" i="48"/>
  <c r="DQ869" i="48"/>
  <c r="DQ873" i="48"/>
  <c r="DQ904" i="48"/>
  <c r="DQ906" i="48"/>
  <c r="DQ908" i="48"/>
  <c r="DQ911" i="48"/>
  <c r="DQ912" i="48"/>
  <c r="DQ914" i="48"/>
  <c r="DQ916" i="48"/>
  <c r="DQ919" i="48"/>
  <c r="DQ920" i="48"/>
  <c r="DQ953" i="48"/>
  <c r="DQ957" i="48"/>
  <c r="DQ961" i="48"/>
  <c r="DQ965" i="48"/>
  <c r="DQ969" i="48"/>
  <c r="DQ1000" i="48"/>
  <c r="DQ1002" i="48"/>
  <c r="DQ1004" i="48"/>
  <c r="DQ1007" i="48"/>
  <c r="DQ1008" i="48"/>
  <c r="DQ1011" i="48"/>
  <c r="DQ1012" i="48"/>
  <c r="DQ1015" i="48"/>
  <c r="DQ1016" i="48"/>
  <c r="DQ1048" i="48"/>
  <c r="DQ1049" i="48"/>
  <c r="DQ1052" i="48"/>
  <c r="DQ1053" i="48"/>
  <c r="DQ1057" i="48"/>
  <c r="DQ1061" i="48"/>
  <c r="DQ1065" i="48"/>
  <c r="DQ1096" i="48"/>
  <c r="DQ1098" i="48"/>
  <c r="DQ1100" i="48"/>
  <c r="DQ1103" i="48"/>
  <c r="DQ1111" i="48"/>
  <c r="DQ1144" i="48"/>
  <c r="DQ1152" i="48"/>
  <c r="DQ1160" i="48"/>
  <c r="DQ1198" i="48"/>
  <c r="DQ1206" i="48"/>
  <c r="DQ1240" i="48"/>
  <c r="DQ1248" i="48"/>
  <c r="DQ988" i="48"/>
  <c r="DQ990" i="48"/>
  <c r="DQ992" i="48"/>
  <c r="DQ1072" i="48"/>
  <c r="DQ1075" i="48"/>
  <c r="DQ1076" i="48"/>
  <c r="DQ1078" i="48"/>
  <c r="DQ1080" i="48"/>
  <c r="DQ1082" i="48"/>
  <c r="DQ1084" i="48"/>
  <c r="DQ1087" i="48"/>
  <c r="DQ1088" i="48"/>
  <c r="DQ1105" i="48"/>
  <c r="DQ1108" i="48"/>
  <c r="DQ1113" i="48"/>
  <c r="DQ1151" i="48"/>
  <c r="DQ1159" i="48"/>
  <c r="DQ1193" i="48"/>
  <c r="DQ1196" i="48"/>
  <c r="DQ1201" i="48"/>
  <c r="DQ1204" i="48"/>
  <c r="DQ1209" i="48"/>
  <c r="DQ1241" i="48"/>
  <c r="DQ1246" i="48"/>
  <c r="DQ1249" i="48"/>
  <c r="DQ1255" i="48"/>
  <c r="DQ1273" i="48"/>
  <c r="DQ1256" i="48"/>
  <c r="DQ1276" i="48"/>
  <c r="DQ1314" i="48"/>
  <c r="DQ1120" i="48"/>
  <c r="DQ1122" i="48"/>
  <c r="DQ1124" i="48"/>
  <c r="DQ1126" i="48"/>
  <c r="DQ1128" i="48"/>
  <c r="DQ1130" i="48"/>
  <c r="DQ1132" i="48"/>
  <c r="DQ1134" i="48"/>
  <c r="DQ1136" i="48"/>
  <c r="DQ1169" i="48"/>
  <c r="DQ1173" i="48"/>
  <c r="DQ1177" i="48"/>
  <c r="DQ1181" i="48"/>
  <c r="DQ1185" i="48"/>
  <c r="DQ1216" i="48"/>
  <c r="DQ1218" i="48"/>
  <c r="DQ1220" i="48"/>
  <c r="DQ1222" i="48"/>
  <c r="DQ1224" i="48"/>
  <c r="DQ1226" i="48"/>
  <c r="DQ1228" i="48"/>
  <c r="DQ1230" i="48"/>
  <c r="DQ1232" i="48"/>
  <c r="DQ1265" i="48"/>
  <c r="DQ1269" i="48"/>
  <c r="DQ1275" i="48"/>
  <c r="DQ1277" i="48"/>
  <c r="DQ1317" i="48"/>
  <c r="DQ1320" i="48"/>
  <c r="DQ1325" i="48"/>
  <c r="DQ1328" i="48"/>
  <c r="DQ1318" i="48"/>
  <c r="DQ1326" i="48"/>
  <c r="DQ1289" i="48"/>
  <c r="DQ1293" i="48"/>
  <c r="DQ1297" i="48"/>
  <c r="DQ1301" i="48"/>
  <c r="DQ1305" i="48"/>
  <c r="DQ1315" i="48"/>
  <c r="DQ1319" i="48"/>
  <c r="DQ1327" i="48"/>
  <c r="DQ1322" i="48"/>
  <c r="DQ1330" i="48"/>
  <c r="DQ1291" i="48"/>
  <c r="DQ1295" i="48"/>
  <c r="DQ1299" i="48"/>
  <c r="DQ1303" i="48"/>
  <c r="DQ1306" i="48"/>
  <c r="DQ1266" i="48"/>
  <c r="DQ1270" i="48"/>
  <c r="DQ1274" i="48"/>
  <c r="DQ1278" i="48"/>
  <c r="DQ1282" i="48"/>
  <c r="DQ1243" i="48"/>
  <c r="DQ1247" i="48"/>
  <c r="DQ1250" i="48"/>
  <c r="DQ1254" i="48"/>
  <c r="DQ1258" i="48"/>
  <c r="DQ1219" i="48"/>
  <c r="DQ1223" i="48"/>
  <c r="DQ1227" i="48"/>
  <c r="DQ1231" i="48"/>
  <c r="DQ1234" i="48"/>
  <c r="DQ1207" i="48"/>
  <c r="DQ1210" i="48"/>
  <c r="DQ1195" i="48"/>
  <c r="DQ1199" i="48"/>
  <c r="DQ1203" i="48"/>
  <c r="DQ1171" i="48"/>
  <c r="DQ1179" i="48"/>
  <c r="DQ1174" i="48"/>
  <c r="DQ1182" i="48"/>
  <c r="DQ1186" i="48"/>
  <c r="DQ1147" i="48"/>
  <c r="DQ1155" i="48"/>
  <c r="DQ1150" i="48"/>
  <c r="DQ1158" i="48"/>
  <c r="DQ1162" i="48"/>
  <c r="DQ1123" i="48"/>
  <c r="DQ1127" i="48"/>
  <c r="DQ1131" i="48"/>
  <c r="DQ1135" i="48"/>
  <c r="DQ1138" i="48"/>
  <c r="DQ1099" i="48"/>
  <c r="DQ1102" i="48"/>
  <c r="DQ1110" i="48"/>
  <c r="DQ1114" i="48"/>
  <c r="DQ1107" i="48"/>
  <c r="DQ1079" i="48"/>
  <c r="DQ1083" i="48"/>
  <c r="DQ1074" i="48"/>
  <c r="DQ1086" i="48"/>
  <c r="DQ1090" i="48"/>
  <c r="DQ1059" i="48"/>
  <c r="DQ1050" i="48"/>
  <c r="DQ1062" i="48"/>
  <c r="DQ1066" i="48"/>
  <c r="DQ1055" i="48"/>
  <c r="DQ1027" i="48"/>
  <c r="DQ1031" i="48"/>
  <c r="DQ1035" i="48"/>
  <c r="DQ1039" i="48"/>
  <c r="DQ1042" i="48"/>
  <c r="DQ1025" i="48"/>
  <c r="DQ1029" i="48"/>
  <c r="DQ1033" i="48"/>
  <c r="DQ1037" i="48"/>
  <c r="DQ1041" i="48"/>
  <c r="DQ1003" i="48"/>
  <c r="DQ1006" i="48"/>
  <c r="DQ1010" i="48"/>
  <c r="DQ1014" i="48"/>
  <c r="DQ1018" i="48"/>
  <c r="DQ979" i="48"/>
  <c r="DQ983" i="48"/>
  <c r="DQ987" i="48"/>
  <c r="DQ991" i="48"/>
  <c r="DQ994" i="48"/>
  <c r="DQ959" i="48"/>
  <c r="DQ963" i="48"/>
  <c r="DQ955" i="48"/>
  <c r="DQ967" i="48"/>
  <c r="DQ970" i="48"/>
  <c r="DQ930" i="48"/>
  <c r="DQ934" i="48"/>
  <c r="DQ938" i="48"/>
  <c r="DQ942" i="48"/>
  <c r="DQ946" i="48"/>
  <c r="DQ907" i="48"/>
  <c r="DQ915" i="48"/>
  <c r="DQ910" i="48"/>
  <c r="DQ918" i="48"/>
  <c r="DQ922" i="48"/>
  <c r="DQ905" i="48"/>
  <c r="DQ909" i="48"/>
  <c r="DQ913" i="48"/>
  <c r="DQ917" i="48"/>
  <c r="DQ891" i="48"/>
  <c r="DQ882" i="48"/>
  <c r="DQ886" i="48"/>
  <c r="DQ894" i="48"/>
  <c r="DQ898" i="48"/>
  <c r="DQ863" i="48"/>
  <c r="DQ858" i="48"/>
  <c r="DQ866" i="48"/>
  <c r="DQ870" i="48"/>
  <c r="DQ874" i="48"/>
  <c r="DQ843" i="48"/>
  <c r="DQ834" i="48"/>
  <c r="DQ838" i="48"/>
  <c r="DQ846" i="48"/>
  <c r="DQ850" i="48"/>
  <c r="DQ833" i="48"/>
  <c r="DQ837" i="48"/>
  <c r="DQ841" i="48"/>
  <c r="DQ845" i="48"/>
  <c r="DQ819" i="48"/>
  <c r="DQ810" i="48"/>
  <c r="DQ814" i="48"/>
  <c r="DQ822" i="48"/>
  <c r="DQ826" i="48"/>
  <c r="DQ791" i="48"/>
  <c r="DQ786" i="48"/>
  <c r="DQ794" i="48"/>
  <c r="DQ798" i="48"/>
  <c r="DQ802" i="48"/>
  <c r="DQ767" i="48"/>
  <c r="DQ771" i="48"/>
  <c r="DQ774" i="48"/>
  <c r="DQ778" i="48"/>
  <c r="DQ763" i="48"/>
  <c r="DQ738" i="48"/>
  <c r="DQ742" i="48"/>
  <c r="DQ746" i="48"/>
  <c r="DQ750" i="48"/>
  <c r="DQ754" i="48"/>
  <c r="DQ719" i="48"/>
  <c r="DQ714" i="48"/>
  <c r="DQ722" i="48"/>
  <c r="DQ726" i="48"/>
  <c r="DQ730" i="48"/>
  <c r="DQ690" i="48"/>
  <c r="DQ695" i="48"/>
  <c r="DQ699" i="48"/>
  <c r="DQ703" i="48"/>
  <c r="DQ706" i="48"/>
  <c r="DQ666" i="48"/>
  <c r="DQ670" i="48"/>
  <c r="DQ674" i="48"/>
  <c r="DQ678" i="48"/>
  <c r="DQ682" i="48"/>
  <c r="DQ643" i="48"/>
  <c r="DQ654" i="48"/>
  <c r="DQ658" i="48"/>
  <c r="DQ647" i="48"/>
  <c r="DQ651" i="48"/>
  <c r="DQ619" i="48"/>
  <c r="DQ623" i="48"/>
  <c r="DQ627" i="48"/>
  <c r="DQ631" i="48"/>
  <c r="DQ634" i="48"/>
  <c r="DQ599" i="48"/>
  <c r="DQ607" i="48"/>
  <c r="DQ594" i="48"/>
  <c r="DQ602" i="48"/>
  <c r="DQ610" i="48"/>
  <c r="DQ571" i="48"/>
  <c r="DQ579" i="48"/>
  <c r="DQ574" i="48"/>
  <c r="DQ582" i="48"/>
  <c r="DQ586" i="48"/>
  <c r="DQ547" i="48"/>
  <c r="DQ559" i="48"/>
  <c r="DQ554" i="48"/>
  <c r="DQ562" i="48"/>
  <c r="DQ551" i="48"/>
  <c r="DQ527" i="48"/>
  <c r="DQ522" i="48"/>
  <c r="DQ530" i="48"/>
  <c r="DQ534" i="48"/>
  <c r="DQ538" i="48"/>
  <c r="DQ511" i="48"/>
  <c r="DQ514" i="48"/>
  <c r="DQ499" i="48"/>
  <c r="DQ503" i="48"/>
  <c r="DQ507" i="48"/>
  <c r="DQ475" i="48"/>
  <c r="DQ483" i="48"/>
  <c r="DQ487" i="48"/>
  <c r="DQ490" i="48"/>
  <c r="DQ479" i="48"/>
  <c r="DQ450" i="48"/>
  <c r="DQ454" i="48"/>
  <c r="DQ458" i="48"/>
  <c r="DQ462" i="48"/>
  <c r="DQ466" i="48"/>
  <c r="DQ435" i="48"/>
  <c r="DQ426" i="48"/>
  <c r="DQ430" i="48"/>
  <c r="DQ442" i="48"/>
  <c r="DQ425" i="48"/>
  <c r="DQ429" i="48"/>
  <c r="DQ433" i="48"/>
  <c r="DQ437" i="48"/>
  <c r="DQ441" i="48"/>
  <c r="DQ407" i="48"/>
  <c r="DQ411" i="48"/>
  <c r="DQ402" i="48"/>
  <c r="DQ414" i="48"/>
  <c r="DQ418" i="48"/>
  <c r="DQ378" i="48"/>
  <c r="DQ382" i="48"/>
  <c r="DQ386" i="48"/>
  <c r="DQ390" i="48"/>
  <c r="DQ394" i="48"/>
  <c r="DQ355" i="48"/>
  <c r="DQ359" i="48"/>
  <c r="DQ367" i="48"/>
  <c r="DQ370" i="48"/>
  <c r="DQ363" i="48"/>
  <c r="DQ334" i="48"/>
  <c r="DQ342" i="48"/>
  <c r="DQ346" i="48"/>
  <c r="DQ331" i="48"/>
  <c r="DQ339" i="48"/>
  <c r="DQ315" i="48"/>
  <c r="DQ306" i="48"/>
  <c r="DQ310" i="48"/>
  <c r="DQ318" i="48"/>
  <c r="DQ322" i="48"/>
  <c r="DQ305" i="48"/>
  <c r="DQ309" i="48"/>
  <c r="DQ313" i="48"/>
  <c r="DQ317" i="48"/>
  <c r="DQ283" i="48"/>
  <c r="DQ287" i="48"/>
  <c r="DQ291" i="48"/>
  <c r="DQ295" i="48"/>
  <c r="DQ298" i="48"/>
  <c r="DQ263" i="48"/>
  <c r="DQ267" i="48"/>
  <c r="DQ271" i="48"/>
  <c r="DQ259" i="48"/>
  <c r="DQ274" i="48"/>
  <c r="DQ235" i="48"/>
  <c r="DQ243" i="48"/>
  <c r="DQ238" i="48"/>
  <c r="DQ246" i="48"/>
  <c r="DQ250" i="48"/>
  <c r="DQ210" i="48"/>
  <c r="DQ214" i="48"/>
  <c r="DQ218" i="48"/>
  <c r="DQ222" i="48"/>
  <c r="DQ226" i="48"/>
  <c r="DQ191" i="48"/>
  <c r="DQ195" i="48"/>
  <c r="DQ186" i="48"/>
  <c r="DQ202" i="48"/>
  <c r="DQ199" i="48"/>
  <c r="DQ162" i="48"/>
  <c r="DQ166" i="48"/>
  <c r="DQ170" i="48"/>
  <c r="DQ174" i="48"/>
  <c r="DQ178" i="48"/>
  <c r="DQ138" i="48"/>
  <c r="DQ142" i="48"/>
  <c r="DQ146" i="48"/>
  <c r="DQ150" i="48"/>
  <c r="DQ154" i="48"/>
  <c r="DQ114" i="48"/>
  <c r="DQ118" i="48"/>
  <c r="DQ122" i="48"/>
  <c r="DQ126" i="48"/>
  <c r="DQ130" i="48"/>
  <c r="DQ91" i="48"/>
  <c r="DQ99" i="48"/>
  <c r="DQ95" i="48"/>
  <c r="DQ103" i="48"/>
  <c r="DQ106" i="48"/>
  <c r="DQ74" i="48"/>
  <c r="DQ78" i="48"/>
  <c r="DQ82" i="48"/>
  <c r="DQ67" i="48"/>
  <c r="DQ71" i="48"/>
  <c r="CZ1330" i="48"/>
  <c r="CZ1329" i="48"/>
  <c r="CZ1328" i="48"/>
  <c r="CZ1327" i="48"/>
  <c r="CZ1326" i="48"/>
  <c r="CZ1325" i="48"/>
  <c r="CZ1324" i="48"/>
  <c r="CZ1323" i="48"/>
  <c r="CZ1322" i="48"/>
  <c r="CZ1321" i="48"/>
  <c r="CZ1320" i="48"/>
  <c r="CZ1319" i="48"/>
  <c r="CZ1318" i="48"/>
  <c r="CZ1317" i="48"/>
  <c r="CZ1316" i="48"/>
  <c r="CZ1315" i="48"/>
  <c r="CZ1314" i="48"/>
  <c r="CZ1313" i="48"/>
  <c r="CZ1312" i="48"/>
  <c r="CZ1311" i="48"/>
  <c r="CZ1306" i="48"/>
  <c r="CZ1305" i="48"/>
  <c r="CZ1304" i="48"/>
  <c r="CZ1303" i="48"/>
  <c r="CZ1302" i="48"/>
  <c r="CZ1301" i="48"/>
  <c r="CZ1300" i="48"/>
  <c r="CZ1299" i="48"/>
  <c r="CZ1298" i="48"/>
  <c r="CZ1297" i="48"/>
  <c r="CZ1296" i="48"/>
  <c r="CZ1295" i="48"/>
  <c r="CZ1294" i="48"/>
  <c r="CZ1293" i="48"/>
  <c r="CZ1292" i="48"/>
  <c r="CZ1291" i="48"/>
  <c r="CZ1290" i="48"/>
  <c r="CZ1289" i="48"/>
  <c r="CZ1288" i="48"/>
  <c r="CZ1287" i="48"/>
  <c r="DA1282" i="48"/>
  <c r="CZ1282" i="48"/>
  <c r="CZ1281" i="48"/>
  <c r="CZ1280" i="48"/>
  <c r="CZ1279" i="48"/>
  <c r="CZ1278" i="48"/>
  <c r="CZ1277" i="48"/>
  <c r="CZ1276" i="48"/>
  <c r="CZ1275" i="48"/>
  <c r="CZ1274" i="48"/>
  <c r="CZ1273" i="48"/>
  <c r="CZ1272" i="48"/>
  <c r="CZ1271" i="48"/>
  <c r="CZ1270" i="48"/>
  <c r="CZ1269" i="48"/>
  <c r="CZ1268" i="48"/>
  <c r="CZ1267" i="48"/>
  <c r="CZ1266" i="48"/>
  <c r="CZ1265" i="48"/>
  <c r="CZ1264" i="48"/>
  <c r="CZ1263" i="48"/>
  <c r="CZ1258" i="48"/>
  <c r="CZ1257" i="48"/>
  <c r="CZ1256" i="48"/>
  <c r="CZ1255" i="48"/>
  <c r="CZ1254" i="48"/>
  <c r="CZ1253" i="48"/>
  <c r="CZ1252" i="48"/>
  <c r="CZ1251" i="48"/>
  <c r="CZ1250" i="48"/>
  <c r="CZ1249" i="48"/>
  <c r="CZ1248" i="48"/>
  <c r="CZ1247" i="48"/>
  <c r="CZ1246" i="48"/>
  <c r="CZ1245" i="48"/>
  <c r="CZ1244" i="48"/>
  <c r="CZ1243" i="48"/>
  <c r="CZ1242" i="48"/>
  <c r="CZ1241" i="48"/>
  <c r="CZ1240" i="48"/>
  <c r="CZ1239" i="48"/>
  <c r="CZ1234" i="48"/>
  <c r="CZ1233" i="48"/>
  <c r="CZ1232" i="48"/>
  <c r="CZ1231" i="48"/>
  <c r="CZ1230" i="48"/>
  <c r="CZ1229" i="48"/>
  <c r="CZ1228" i="48"/>
  <c r="CZ1227" i="48"/>
  <c r="CZ1226" i="48"/>
  <c r="CZ1225" i="48"/>
  <c r="CZ1224" i="48"/>
  <c r="CZ1223" i="48"/>
  <c r="CZ1222" i="48"/>
  <c r="CZ1221" i="48"/>
  <c r="CZ1220" i="48"/>
  <c r="CZ1219" i="48"/>
  <c r="CZ1218" i="48"/>
  <c r="CZ1217" i="48"/>
  <c r="CZ1216" i="48"/>
  <c r="CZ1215" i="48"/>
  <c r="CZ1210" i="48"/>
  <c r="CZ1209" i="48"/>
  <c r="CZ1208" i="48"/>
  <c r="CZ1207" i="48"/>
  <c r="CZ1206" i="48"/>
  <c r="CZ1205" i="48"/>
  <c r="CZ1204" i="48"/>
  <c r="CZ1203" i="48"/>
  <c r="CZ1202" i="48"/>
  <c r="CZ1201" i="48"/>
  <c r="CZ1200" i="48"/>
  <c r="CZ1199" i="48"/>
  <c r="CZ1198" i="48"/>
  <c r="CZ1197" i="48"/>
  <c r="CZ1196" i="48"/>
  <c r="CZ1195" i="48"/>
  <c r="CZ1194" i="48"/>
  <c r="CZ1193" i="48"/>
  <c r="CZ1192" i="48"/>
  <c r="CZ1191" i="48"/>
  <c r="CZ1186" i="48"/>
  <c r="CZ1185" i="48"/>
  <c r="CZ1184" i="48"/>
  <c r="CZ1183" i="48"/>
  <c r="CZ1182" i="48"/>
  <c r="CZ1181" i="48"/>
  <c r="CZ1180" i="48"/>
  <c r="CZ1179" i="48"/>
  <c r="CZ1178" i="48"/>
  <c r="CZ1177" i="48"/>
  <c r="CZ1176" i="48"/>
  <c r="CZ1175" i="48"/>
  <c r="CZ1174" i="48"/>
  <c r="CZ1173" i="48"/>
  <c r="CZ1172" i="48"/>
  <c r="CZ1171" i="48"/>
  <c r="CZ1170" i="48"/>
  <c r="CZ1169" i="48"/>
  <c r="CZ1168" i="48"/>
  <c r="CZ1167" i="48"/>
  <c r="CZ1162" i="48"/>
  <c r="CZ1161" i="48"/>
  <c r="CZ1160" i="48"/>
  <c r="CZ1159" i="48"/>
  <c r="CZ1158" i="48"/>
  <c r="CZ1157" i="48"/>
  <c r="CZ1156" i="48"/>
  <c r="CZ1155" i="48"/>
  <c r="CZ1154" i="48"/>
  <c r="CZ1153" i="48"/>
  <c r="CZ1152" i="48"/>
  <c r="CZ1151" i="48"/>
  <c r="CZ1150" i="48"/>
  <c r="CZ1149" i="48"/>
  <c r="CZ1148" i="48"/>
  <c r="CZ1147" i="48"/>
  <c r="CZ1146" i="48"/>
  <c r="CZ1145" i="48"/>
  <c r="CZ1144" i="48"/>
  <c r="CZ1143" i="48"/>
  <c r="CZ1138" i="48"/>
  <c r="CZ1137" i="48"/>
  <c r="CZ1136" i="48"/>
  <c r="CZ1135" i="48"/>
  <c r="CZ1134" i="48"/>
  <c r="CZ1133" i="48"/>
  <c r="CZ1132" i="48"/>
  <c r="CZ1131" i="48"/>
  <c r="CZ1130" i="48"/>
  <c r="CZ1129" i="48"/>
  <c r="CZ1128" i="48"/>
  <c r="CZ1127" i="48"/>
  <c r="CZ1126" i="48"/>
  <c r="CZ1125" i="48"/>
  <c r="CZ1124" i="48"/>
  <c r="CZ1123" i="48"/>
  <c r="CZ1122" i="48"/>
  <c r="CZ1121" i="48"/>
  <c r="CZ1120" i="48"/>
  <c r="CZ1119" i="48"/>
  <c r="CZ1114" i="48"/>
  <c r="CZ1113" i="48"/>
  <c r="CZ1112" i="48"/>
  <c r="CZ1111" i="48"/>
  <c r="CZ1110" i="48"/>
  <c r="CZ1109" i="48"/>
  <c r="CZ1108" i="48"/>
  <c r="CZ1107" i="48"/>
  <c r="CZ1106" i="48"/>
  <c r="CZ1105" i="48"/>
  <c r="CZ1104" i="48"/>
  <c r="CZ1103" i="48"/>
  <c r="CZ1102" i="48"/>
  <c r="CZ1101" i="48"/>
  <c r="CZ1100" i="48"/>
  <c r="CZ1099" i="48"/>
  <c r="CZ1098" i="48"/>
  <c r="CZ1097" i="48"/>
  <c r="CZ1096" i="48"/>
  <c r="CZ1095" i="48"/>
  <c r="CZ1090" i="48"/>
  <c r="CZ1089" i="48"/>
  <c r="CZ1088" i="48"/>
  <c r="CZ1087" i="48"/>
  <c r="CZ1086" i="48"/>
  <c r="CZ1085" i="48"/>
  <c r="CZ1084" i="48"/>
  <c r="CZ1083" i="48"/>
  <c r="CZ1082" i="48"/>
  <c r="CZ1081" i="48"/>
  <c r="CZ1080" i="48"/>
  <c r="CZ1079" i="48"/>
  <c r="CZ1078" i="48"/>
  <c r="CZ1077" i="48"/>
  <c r="CZ1076" i="48"/>
  <c r="CZ1075" i="48"/>
  <c r="CZ1074" i="48"/>
  <c r="CZ1073" i="48"/>
  <c r="CZ1072" i="48"/>
  <c r="CZ1071" i="48"/>
  <c r="DA1066" i="48"/>
  <c r="CZ1066" i="48"/>
  <c r="CZ1065" i="48"/>
  <c r="CZ1064" i="48"/>
  <c r="CZ1063" i="48"/>
  <c r="CZ1062" i="48"/>
  <c r="CZ1061" i="48"/>
  <c r="CZ1060" i="48"/>
  <c r="CZ1059" i="48"/>
  <c r="CZ1058" i="48"/>
  <c r="CZ1057" i="48"/>
  <c r="CZ1056" i="48"/>
  <c r="CZ1055" i="48"/>
  <c r="CZ1054" i="48"/>
  <c r="CZ1053" i="48"/>
  <c r="CZ1052" i="48"/>
  <c r="CZ1051" i="48"/>
  <c r="CZ1050" i="48"/>
  <c r="CZ1049" i="48"/>
  <c r="CZ1048" i="48"/>
  <c r="CZ1047" i="48"/>
  <c r="CZ1042" i="48"/>
  <c r="CZ1041" i="48"/>
  <c r="CZ1040" i="48"/>
  <c r="CZ1039" i="48"/>
  <c r="CZ1038" i="48"/>
  <c r="CZ1037" i="48"/>
  <c r="CZ1036" i="48"/>
  <c r="CZ1035" i="48"/>
  <c r="CZ1034" i="48"/>
  <c r="CZ1033" i="48"/>
  <c r="CZ1032" i="48"/>
  <c r="CZ1031" i="48"/>
  <c r="CZ1030" i="48"/>
  <c r="CZ1029" i="48"/>
  <c r="CZ1028" i="48"/>
  <c r="CZ1027" i="48"/>
  <c r="CZ1026" i="48"/>
  <c r="CZ1025" i="48"/>
  <c r="CZ1024" i="48"/>
  <c r="CZ1023" i="48"/>
  <c r="CZ1018" i="48"/>
  <c r="CZ1017" i="48"/>
  <c r="CZ1016" i="48"/>
  <c r="CZ1015" i="48"/>
  <c r="CZ1014" i="48"/>
  <c r="CZ1013" i="48"/>
  <c r="CZ1012" i="48"/>
  <c r="CZ1011" i="48"/>
  <c r="CZ1010" i="48"/>
  <c r="CZ1009" i="48"/>
  <c r="CZ1008" i="48"/>
  <c r="CZ1007" i="48"/>
  <c r="CZ1006" i="48"/>
  <c r="CZ1005" i="48"/>
  <c r="CZ1004" i="48"/>
  <c r="CZ1003" i="48"/>
  <c r="CZ1002" i="48"/>
  <c r="CZ1001" i="48"/>
  <c r="CZ1000" i="48"/>
  <c r="CZ999" i="48"/>
  <c r="CZ994" i="48"/>
  <c r="CZ993" i="48"/>
  <c r="CZ992" i="48"/>
  <c r="CZ991" i="48"/>
  <c r="CZ990" i="48"/>
  <c r="CZ989" i="48"/>
  <c r="CZ988" i="48"/>
  <c r="CZ987" i="48"/>
  <c r="CZ986" i="48"/>
  <c r="CZ985" i="48"/>
  <c r="CZ984" i="48"/>
  <c r="CZ983" i="48"/>
  <c r="CZ982" i="48"/>
  <c r="CZ981" i="48"/>
  <c r="CZ980" i="48"/>
  <c r="CZ979" i="48"/>
  <c r="CZ978" i="48"/>
  <c r="CZ977" i="48"/>
  <c r="CZ976" i="48"/>
  <c r="CZ975" i="48"/>
  <c r="CZ970" i="48"/>
  <c r="CZ969" i="48"/>
  <c r="CZ968" i="48"/>
  <c r="CZ967" i="48"/>
  <c r="CZ966" i="48"/>
  <c r="CZ965" i="48"/>
  <c r="CZ964" i="48"/>
  <c r="CZ963" i="48"/>
  <c r="CZ962" i="48"/>
  <c r="CZ961" i="48"/>
  <c r="CZ960" i="48"/>
  <c r="CZ959" i="48"/>
  <c r="CZ958" i="48"/>
  <c r="CZ957" i="48"/>
  <c r="CZ956" i="48"/>
  <c r="CZ955" i="48"/>
  <c r="CZ954" i="48"/>
  <c r="CZ953" i="48"/>
  <c r="CZ952" i="48"/>
  <c r="CZ951" i="48"/>
  <c r="CZ946" i="48"/>
  <c r="CZ945" i="48"/>
  <c r="CZ944" i="48"/>
  <c r="CZ943" i="48"/>
  <c r="CZ942" i="48"/>
  <c r="CZ941" i="48"/>
  <c r="CZ940" i="48"/>
  <c r="CZ939" i="48"/>
  <c r="CZ938" i="48"/>
  <c r="CZ937" i="48"/>
  <c r="CZ936" i="48"/>
  <c r="CZ935" i="48"/>
  <c r="CZ934" i="48"/>
  <c r="CZ933" i="48"/>
  <c r="CZ932" i="48"/>
  <c r="CZ931" i="48"/>
  <c r="CZ930" i="48"/>
  <c r="CZ929" i="48"/>
  <c r="CZ928" i="48"/>
  <c r="CZ927" i="48"/>
  <c r="CZ922" i="48"/>
  <c r="CZ921" i="48"/>
  <c r="CZ920" i="48"/>
  <c r="CZ919" i="48"/>
  <c r="CZ918" i="48"/>
  <c r="CZ917" i="48"/>
  <c r="CZ916" i="48"/>
  <c r="CZ915" i="48"/>
  <c r="CZ914" i="48"/>
  <c r="CZ913" i="48"/>
  <c r="CZ912" i="48"/>
  <c r="CZ911" i="48"/>
  <c r="CZ910" i="48"/>
  <c r="CZ909" i="48"/>
  <c r="CZ908" i="48"/>
  <c r="CZ907" i="48"/>
  <c r="CZ906" i="48"/>
  <c r="CZ905" i="48"/>
  <c r="CZ904" i="48"/>
  <c r="CZ903" i="48"/>
  <c r="CZ898" i="48"/>
  <c r="CZ897" i="48"/>
  <c r="CZ896" i="48"/>
  <c r="CZ895" i="48"/>
  <c r="CZ894" i="48"/>
  <c r="CZ893" i="48"/>
  <c r="CZ892" i="48"/>
  <c r="CZ891" i="48"/>
  <c r="CZ890" i="48"/>
  <c r="CZ889" i="48"/>
  <c r="CZ888" i="48"/>
  <c r="CZ887" i="48"/>
  <c r="CZ886" i="48"/>
  <c r="CZ885" i="48"/>
  <c r="CZ884" i="48"/>
  <c r="CZ883" i="48"/>
  <c r="CZ882" i="48"/>
  <c r="CZ881" i="48"/>
  <c r="CZ880" i="48"/>
  <c r="CZ879" i="48"/>
  <c r="CZ874" i="48"/>
  <c r="CZ873" i="48"/>
  <c r="CZ872" i="48"/>
  <c r="CZ871" i="48"/>
  <c r="CZ870" i="48"/>
  <c r="CZ869" i="48"/>
  <c r="CZ868" i="48"/>
  <c r="CZ867" i="48"/>
  <c r="CZ866" i="48"/>
  <c r="CZ865" i="48"/>
  <c r="CZ864" i="48"/>
  <c r="CZ863" i="48"/>
  <c r="CZ862" i="48"/>
  <c r="CZ861" i="48"/>
  <c r="CZ860" i="48"/>
  <c r="CZ859" i="48"/>
  <c r="CZ858" i="48"/>
  <c r="CZ857" i="48"/>
  <c r="CZ856" i="48"/>
  <c r="CZ855" i="48"/>
  <c r="CZ850" i="48"/>
  <c r="CZ849" i="48"/>
  <c r="CZ848" i="48"/>
  <c r="CZ847" i="48"/>
  <c r="CZ846" i="48"/>
  <c r="CZ845" i="48"/>
  <c r="CZ844" i="48"/>
  <c r="CZ843" i="48"/>
  <c r="CZ842" i="48"/>
  <c r="CZ841" i="48"/>
  <c r="CZ840" i="48"/>
  <c r="CZ839" i="48"/>
  <c r="CZ838" i="48"/>
  <c r="CZ837" i="48"/>
  <c r="CZ836" i="48"/>
  <c r="CZ835" i="48"/>
  <c r="CZ834" i="48"/>
  <c r="CZ833" i="48"/>
  <c r="CZ832" i="48"/>
  <c r="CZ831" i="48"/>
  <c r="CZ826" i="48"/>
  <c r="CZ825" i="48"/>
  <c r="CZ824" i="48"/>
  <c r="CZ823" i="48"/>
  <c r="CZ822" i="48"/>
  <c r="CZ821" i="48"/>
  <c r="CZ820" i="48"/>
  <c r="CZ819" i="48"/>
  <c r="CZ818" i="48"/>
  <c r="CZ817" i="48"/>
  <c r="CZ816" i="48"/>
  <c r="CZ815" i="48"/>
  <c r="CZ814" i="48"/>
  <c r="CZ813" i="48"/>
  <c r="CZ812" i="48"/>
  <c r="CZ811" i="48"/>
  <c r="CZ810" i="48"/>
  <c r="CZ809" i="48"/>
  <c r="CZ808" i="48"/>
  <c r="CZ807" i="48"/>
  <c r="CZ802" i="48"/>
  <c r="CZ801" i="48"/>
  <c r="CZ800" i="48"/>
  <c r="CZ799" i="48"/>
  <c r="CZ798" i="48"/>
  <c r="CZ797" i="48"/>
  <c r="CZ796" i="48"/>
  <c r="CZ795" i="48"/>
  <c r="CZ794" i="48"/>
  <c r="CZ793" i="48"/>
  <c r="CZ792" i="48"/>
  <c r="CZ791" i="48"/>
  <c r="CZ790" i="48"/>
  <c r="CZ789" i="48"/>
  <c r="CZ788" i="48"/>
  <c r="CZ787" i="48"/>
  <c r="CZ786" i="48"/>
  <c r="CZ785" i="48"/>
  <c r="CZ784" i="48"/>
  <c r="CZ783" i="48"/>
  <c r="CZ778" i="48"/>
  <c r="CZ777" i="48"/>
  <c r="CZ776" i="48"/>
  <c r="CZ775" i="48"/>
  <c r="CZ774" i="48"/>
  <c r="CZ773" i="48"/>
  <c r="CZ772" i="48"/>
  <c r="CZ771" i="48"/>
  <c r="CZ770" i="48"/>
  <c r="CZ769" i="48"/>
  <c r="CZ768" i="48"/>
  <c r="CZ767" i="48"/>
  <c r="CZ766" i="48"/>
  <c r="CZ765" i="48"/>
  <c r="CZ764" i="48"/>
  <c r="CZ763" i="48"/>
  <c r="CZ762" i="48"/>
  <c r="CZ761" i="48"/>
  <c r="CZ760" i="48"/>
  <c r="CZ759" i="48"/>
  <c r="CZ754" i="48"/>
  <c r="CZ753" i="48"/>
  <c r="CZ752" i="48"/>
  <c r="CZ751" i="48"/>
  <c r="CZ750" i="48"/>
  <c r="CZ749" i="48"/>
  <c r="CZ748" i="48"/>
  <c r="CZ747" i="48"/>
  <c r="CZ746" i="48"/>
  <c r="CZ745" i="48"/>
  <c r="CZ744" i="48"/>
  <c r="CZ743" i="48"/>
  <c r="CZ742" i="48"/>
  <c r="CZ741" i="48"/>
  <c r="CZ740" i="48"/>
  <c r="CZ739" i="48"/>
  <c r="CZ738" i="48"/>
  <c r="CZ737" i="48"/>
  <c r="CZ736" i="48"/>
  <c r="CZ735" i="48"/>
  <c r="CZ730" i="48"/>
  <c r="CZ729" i="48"/>
  <c r="CZ728" i="48"/>
  <c r="CZ727" i="48"/>
  <c r="CZ726" i="48"/>
  <c r="CZ725" i="48"/>
  <c r="CZ724" i="48"/>
  <c r="CZ723" i="48"/>
  <c r="CZ722" i="48"/>
  <c r="CZ721" i="48"/>
  <c r="CZ720" i="48"/>
  <c r="CZ719" i="48"/>
  <c r="CZ718" i="48"/>
  <c r="CZ717" i="48"/>
  <c r="CZ716" i="48"/>
  <c r="CZ715" i="48"/>
  <c r="CZ714" i="48"/>
  <c r="CZ713" i="48"/>
  <c r="CZ712" i="48"/>
  <c r="CZ711" i="48"/>
  <c r="CZ706" i="48"/>
  <c r="CZ705" i="48"/>
  <c r="CZ704" i="48"/>
  <c r="CZ703" i="48"/>
  <c r="CZ702" i="48"/>
  <c r="CZ701" i="48"/>
  <c r="CZ700" i="48"/>
  <c r="CZ699" i="48"/>
  <c r="CZ698" i="48"/>
  <c r="CZ697" i="48"/>
  <c r="CZ696" i="48"/>
  <c r="CZ695" i="48"/>
  <c r="CZ694" i="48"/>
  <c r="CZ693" i="48"/>
  <c r="CZ692" i="48"/>
  <c r="CZ691" i="48"/>
  <c r="CZ690" i="48"/>
  <c r="CZ689" i="48"/>
  <c r="CZ688" i="48"/>
  <c r="CZ687" i="48"/>
  <c r="CZ682" i="48"/>
  <c r="CZ681" i="48"/>
  <c r="CZ680" i="48"/>
  <c r="CZ679" i="48"/>
  <c r="CZ678" i="48"/>
  <c r="CZ677" i="48"/>
  <c r="CZ676" i="48"/>
  <c r="CZ675" i="48"/>
  <c r="CZ674" i="48"/>
  <c r="CZ673" i="48"/>
  <c r="CZ672" i="48"/>
  <c r="CZ671" i="48"/>
  <c r="CZ670" i="48"/>
  <c r="CZ669" i="48"/>
  <c r="CZ668" i="48"/>
  <c r="CZ667" i="48"/>
  <c r="CZ666" i="48"/>
  <c r="CZ665" i="48"/>
  <c r="CZ664" i="48"/>
  <c r="CZ663" i="48"/>
  <c r="CZ658" i="48"/>
  <c r="CZ657" i="48"/>
  <c r="CZ656" i="48"/>
  <c r="CZ655" i="48"/>
  <c r="CZ654" i="48"/>
  <c r="CZ653" i="48"/>
  <c r="CZ652" i="48"/>
  <c r="CZ651" i="48"/>
  <c r="CZ650" i="48"/>
  <c r="CZ649" i="48"/>
  <c r="CZ648" i="48"/>
  <c r="CZ647" i="48"/>
  <c r="CZ646" i="48"/>
  <c r="CZ645" i="48"/>
  <c r="CZ644" i="48"/>
  <c r="CZ643" i="48"/>
  <c r="CZ642" i="48"/>
  <c r="CZ641" i="48"/>
  <c r="CZ640" i="48"/>
  <c r="CZ639" i="48"/>
  <c r="CZ634" i="48"/>
  <c r="CZ633" i="48"/>
  <c r="CZ632" i="48"/>
  <c r="CZ631" i="48"/>
  <c r="CZ630" i="48"/>
  <c r="CZ629" i="48"/>
  <c r="CZ628" i="48"/>
  <c r="CZ627" i="48"/>
  <c r="CZ626" i="48"/>
  <c r="CZ625" i="48"/>
  <c r="CZ624" i="48"/>
  <c r="CZ623" i="48"/>
  <c r="CZ622" i="48"/>
  <c r="CZ621" i="48"/>
  <c r="CZ620" i="48"/>
  <c r="CZ619" i="48"/>
  <c r="CZ618" i="48"/>
  <c r="CZ617" i="48"/>
  <c r="CZ616" i="48"/>
  <c r="CZ615" i="48"/>
  <c r="CZ610" i="48"/>
  <c r="CZ609" i="48"/>
  <c r="CZ608" i="48"/>
  <c r="CZ607" i="48"/>
  <c r="CZ606" i="48"/>
  <c r="CZ605" i="48"/>
  <c r="CZ604" i="48"/>
  <c r="CZ603" i="48"/>
  <c r="CZ602" i="48"/>
  <c r="CZ601" i="48"/>
  <c r="CZ600" i="48"/>
  <c r="CZ599" i="48"/>
  <c r="CZ598" i="48"/>
  <c r="CZ597" i="48"/>
  <c r="CZ596" i="48"/>
  <c r="CZ595" i="48"/>
  <c r="CZ594" i="48"/>
  <c r="CZ593" i="48"/>
  <c r="CZ592" i="48"/>
  <c r="CZ591" i="48"/>
  <c r="CZ586" i="48"/>
  <c r="CZ585" i="48"/>
  <c r="CZ584" i="48"/>
  <c r="CZ583" i="48"/>
  <c r="CZ582" i="48"/>
  <c r="CZ581" i="48"/>
  <c r="CZ580" i="48"/>
  <c r="CZ579" i="48"/>
  <c r="CZ578" i="48"/>
  <c r="CZ577" i="48"/>
  <c r="CZ576" i="48"/>
  <c r="CZ575" i="48"/>
  <c r="CZ574" i="48"/>
  <c r="CZ573" i="48"/>
  <c r="CZ572" i="48"/>
  <c r="CZ571" i="48"/>
  <c r="CZ570" i="48"/>
  <c r="CZ569" i="48"/>
  <c r="CZ568" i="48"/>
  <c r="CZ567" i="48"/>
  <c r="CZ562" i="48"/>
  <c r="CZ561" i="48"/>
  <c r="CZ560" i="48"/>
  <c r="CZ559" i="48"/>
  <c r="CZ558" i="48"/>
  <c r="CZ557" i="48"/>
  <c r="CZ556" i="48"/>
  <c r="CZ555" i="48"/>
  <c r="CZ554" i="48"/>
  <c r="CZ553" i="48"/>
  <c r="CZ552" i="48"/>
  <c r="CZ551" i="48"/>
  <c r="CZ550" i="48"/>
  <c r="CZ549" i="48"/>
  <c r="CZ548" i="48"/>
  <c r="CZ547" i="48"/>
  <c r="CZ546" i="48"/>
  <c r="CZ545" i="48"/>
  <c r="CZ544" i="48"/>
  <c r="CZ543" i="48"/>
  <c r="CZ538" i="48"/>
  <c r="CZ537" i="48"/>
  <c r="CZ536" i="48"/>
  <c r="CZ535" i="48"/>
  <c r="CZ534" i="48"/>
  <c r="CZ533" i="48"/>
  <c r="CZ532" i="48"/>
  <c r="CZ531" i="48"/>
  <c r="CZ530" i="48"/>
  <c r="CZ529" i="48"/>
  <c r="CZ528" i="48"/>
  <c r="CZ527" i="48"/>
  <c r="CZ526" i="48"/>
  <c r="CZ525" i="48"/>
  <c r="CZ524" i="48"/>
  <c r="CZ523" i="48"/>
  <c r="CZ522" i="48"/>
  <c r="CZ521" i="48"/>
  <c r="CZ520" i="48"/>
  <c r="CZ519" i="48"/>
  <c r="CZ514" i="48"/>
  <c r="CZ513" i="48"/>
  <c r="CZ512" i="48"/>
  <c r="CZ511" i="48"/>
  <c r="CZ510" i="48"/>
  <c r="CZ509" i="48"/>
  <c r="CZ508" i="48"/>
  <c r="CZ507" i="48"/>
  <c r="CZ506" i="48"/>
  <c r="CZ505" i="48"/>
  <c r="CZ504" i="48"/>
  <c r="CZ503" i="48"/>
  <c r="CZ502" i="48"/>
  <c r="CZ501" i="48"/>
  <c r="CZ500" i="48"/>
  <c r="CZ499" i="48"/>
  <c r="CZ498" i="48"/>
  <c r="CZ497" i="48"/>
  <c r="CZ496" i="48"/>
  <c r="CZ495" i="48"/>
  <c r="CZ490" i="48"/>
  <c r="CZ489" i="48"/>
  <c r="CZ488" i="48"/>
  <c r="CZ487" i="48"/>
  <c r="CZ486" i="48"/>
  <c r="CZ485" i="48"/>
  <c r="CZ484" i="48"/>
  <c r="CZ483" i="48"/>
  <c r="CZ482" i="48"/>
  <c r="CZ481" i="48"/>
  <c r="CZ480" i="48"/>
  <c r="CZ479" i="48"/>
  <c r="CZ478" i="48"/>
  <c r="CZ477" i="48"/>
  <c r="CZ476" i="48"/>
  <c r="CZ475" i="48"/>
  <c r="CZ474" i="48"/>
  <c r="CZ473" i="48"/>
  <c r="CZ472" i="48"/>
  <c r="CZ471" i="48"/>
  <c r="CZ466" i="48"/>
  <c r="CZ465" i="48"/>
  <c r="CZ464" i="48"/>
  <c r="CZ463" i="48"/>
  <c r="CZ462" i="48"/>
  <c r="CZ461" i="48"/>
  <c r="CZ460" i="48"/>
  <c r="CZ459" i="48"/>
  <c r="CZ458" i="48"/>
  <c r="CZ457" i="48"/>
  <c r="CZ456" i="48"/>
  <c r="CZ455" i="48"/>
  <c r="CZ454" i="48"/>
  <c r="CZ453" i="48"/>
  <c r="CZ452" i="48"/>
  <c r="CZ451" i="48"/>
  <c r="CZ450" i="48"/>
  <c r="CZ449" i="48"/>
  <c r="CZ448" i="48"/>
  <c r="CZ447" i="48"/>
  <c r="CZ442" i="48"/>
  <c r="CZ441" i="48"/>
  <c r="CZ440" i="48"/>
  <c r="CZ439" i="48"/>
  <c r="CZ438" i="48"/>
  <c r="CZ437" i="48"/>
  <c r="CZ436" i="48"/>
  <c r="CZ435" i="48"/>
  <c r="CZ434" i="48"/>
  <c r="CZ433" i="48"/>
  <c r="CZ432" i="48"/>
  <c r="CZ431" i="48"/>
  <c r="CZ430" i="48"/>
  <c r="CZ429" i="48"/>
  <c r="CZ428" i="48"/>
  <c r="CZ427" i="48"/>
  <c r="CZ426" i="48"/>
  <c r="CZ425" i="48"/>
  <c r="CZ424" i="48"/>
  <c r="CZ423" i="48"/>
  <c r="CZ418" i="48"/>
  <c r="CZ417" i="48"/>
  <c r="CZ416" i="48"/>
  <c r="CZ415" i="48"/>
  <c r="CZ414" i="48"/>
  <c r="CZ413" i="48"/>
  <c r="CZ412" i="48"/>
  <c r="CZ411" i="48"/>
  <c r="CZ410" i="48"/>
  <c r="CZ409" i="48"/>
  <c r="CZ408" i="48"/>
  <c r="CZ407" i="48"/>
  <c r="CZ406" i="48"/>
  <c r="CZ405" i="48"/>
  <c r="CZ404" i="48"/>
  <c r="CZ403" i="48"/>
  <c r="CZ402" i="48"/>
  <c r="CZ401" i="48"/>
  <c r="CZ400" i="48"/>
  <c r="CZ399" i="48"/>
  <c r="CZ394" i="48"/>
  <c r="CZ393" i="48"/>
  <c r="CZ392" i="48"/>
  <c r="CZ391" i="48"/>
  <c r="CZ390" i="48"/>
  <c r="CZ389" i="48"/>
  <c r="CZ388" i="48"/>
  <c r="CZ387" i="48"/>
  <c r="CZ386" i="48"/>
  <c r="CZ385" i="48"/>
  <c r="CZ384" i="48"/>
  <c r="CZ383" i="48"/>
  <c r="CZ382" i="48"/>
  <c r="CZ381" i="48"/>
  <c r="CZ380" i="48"/>
  <c r="CZ379" i="48"/>
  <c r="CZ378" i="48"/>
  <c r="CZ377" i="48"/>
  <c r="CZ376" i="48"/>
  <c r="CZ375" i="48"/>
  <c r="CZ370" i="48"/>
  <c r="CZ369" i="48"/>
  <c r="CZ368" i="48"/>
  <c r="CZ367" i="48"/>
  <c r="CZ366" i="48"/>
  <c r="CZ365" i="48"/>
  <c r="CZ364" i="48"/>
  <c r="CZ363" i="48"/>
  <c r="CZ362" i="48"/>
  <c r="CZ361" i="48"/>
  <c r="CZ360" i="48"/>
  <c r="CZ359" i="48"/>
  <c r="CZ358" i="48"/>
  <c r="CZ357" i="48"/>
  <c r="CZ356" i="48"/>
  <c r="CZ355" i="48"/>
  <c r="CZ354" i="48"/>
  <c r="CZ353" i="48"/>
  <c r="CZ352" i="48"/>
  <c r="CZ351" i="48"/>
  <c r="CZ346" i="48"/>
  <c r="CZ345" i="48"/>
  <c r="CZ344" i="48"/>
  <c r="CZ343" i="48"/>
  <c r="CZ342" i="48"/>
  <c r="CZ341" i="48"/>
  <c r="CZ340" i="48"/>
  <c r="CZ339" i="48"/>
  <c r="CZ338" i="48"/>
  <c r="CZ337" i="48"/>
  <c r="CZ336" i="48"/>
  <c r="CZ335" i="48"/>
  <c r="CZ334" i="48"/>
  <c r="CZ333" i="48"/>
  <c r="CZ332" i="48"/>
  <c r="CZ331" i="48"/>
  <c r="CZ330" i="48"/>
  <c r="CZ329" i="48"/>
  <c r="CZ328" i="48"/>
  <c r="CZ327" i="48"/>
  <c r="CZ322" i="48"/>
  <c r="CZ321" i="48"/>
  <c r="CZ320" i="48"/>
  <c r="CZ319" i="48"/>
  <c r="CZ318" i="48"/>
  <c r="CZ317" i="48"/>
  <c r="CZ316" i="48"/>
  <c r="CZ315" i="48"/>
  <c r="CZ314" i="48"/>
  <c r="CZ313" i="48"/>
  <c r="CZ312" i="48"/>
  <c r="CZ311" i="48"/>
  <c r="CZ310" i="48"/>
  <c r="CZ309" i="48"/>
  <c r="CZ308" i="48"/>
  <c r="CZ307" i="48"/>
  <c r="CZ306" i="48"/>
  <c r="CZ305" i="48"/>
  <c r="CZ304" i="48"/>
  <c r="CZ303" i="48"/>
  <c r="CK660" i="48"/>
  <c r="AA51" i="16"/>
  <c r="CK1308" i="48"/>
  <c r="CK1284" i="48"/>
  <c r="CK1260" i="48"/>
  <c r="CK1236" i="48"/>
  <c r="CK1212" i="48"/>
  <c r="CK1188" i="48"/>
  <c r="CK1164" i="48"/>
  <c r="CK1140" i="48"/>
  <c r="CK1116" i="48"/>
  <c r="CK1092" i="48"/>
  <c r="CK1068" i="48"/>
  <c r="CK1044" i="48"/>
  <c r="CK1020" i="48"/>
  <c r="CK996" i="48"/>
  <c r="CK972" i="48"/>
  <c r="CK948" i="48"/>
  <c r="CK924" i="48"/>
  <c r="CK900" i="48"/>
  <c r="CK876" i="48"/>
  <c r="CK852" i="48"/>
  <c r="CK828" i="48"/>
  <c r="CK804" i="48"/>
  <c r="CK780" i="48"/>
  <c r="CK756" i="48"/>
  <c r="CK732" i="48"/>
  <c r="CK708" i="48"/>
  <c r="CK684" i="48"/>
  <c r="CK636" i="48"/>
  <c r="CK612" i="48"/>
  <c r="CK588" i="48"/>
  <c r="CK564" i="48"/>
  <c r="CK540" i="48"/>
  <c r="CK516" i="48"/>
  <c r="CK492" i="48"/>
  <c r="CK444" i="48"/>
  <c r="CK420" i="48"/>
  <c r="CK396" i="48"/>
  <c r="CK348" i="48"/>
  <c r="CK324" i="48"/>
  <c r="CK300" i="48"/>
  <c r="CK252" i="48"/>
  <c r="CK228" i="48"/>
  <c r="CK204" i="48"/>
  <c r="CK156" i="48"/>
  <c r="CK132" i="48"/>
  <c r="CK84" i="48"/>
  <c r="CK60" i="4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AA71" i="18" s="1"/>
  <c r="AA70" i="18" s="1"/>
  <c r="J71" i="18"/>
  <c r="I71" i="18"/>
  <c r="H71" i="18"/>
  <c r="G71" i="18"/>
  <c r="Z71" i="18"/>
  <c r="AA70" i="16"/>
  <c r="Y71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Z71" i="16"/>
  <c r="CK36" i="4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U8" i="16"/>
  <c r="V8" i="16" s="1"/>
  <c r="W8" i="16" s="1"/>
  <c r="X8" i="16" s="1"/>
  <c r="Y8" i="16" s="1"/>
  <c r="Z8" i="16" s="1"/>
  <c r="AA8" i="16" s="1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10" i="16" s="1"/>
  <c r="F10" i="18" l="1"/>
  <c r="CZ298" i="48" l="1"/>
  <c r="CZ297" i="48"/>
  <c r="CZ296" i="48"/>
  <c r="CZ295" i="48"/>
  <c r="CZ294" i="48"/>
  <c r="CZ293" i="48"/>
  <c r="CZ292" i="48"/>
  <c r="CZ291" i="48"/>
  <c r="CZ290" i="48"/>
  <c r="CZ289" i="48"/>
  <c r="CZ288" i="48"/>
  <c r="CZ287" i="48"/>
  <c r="CZ286" i="48"/>
  <c r="CZ285" i="48"/>
  <c r="CZ284" i="48"/>
  <c r="CZ283" i="48"/>
  <c r="CZ282" i="48"/>
  <c r="CZ281" i="48"/>
  <c r="CZ280" i="48"/>
  <c r="CZ279" i="48"/>
  <c r="CZ274" i="48"/>
  <c r="CZ273" i="48"/>
  <c r="CZ272" i="48"/>
  <c r="CZ271" i="48"/>
  <c r="CZ270" i="48"/>
  <c r="CZ269" i="48"/>
  <c r="CZ268" i="48"/>
  <c r="CZ267" i="48"/>
  <c r="CZ266" i="48"/>
  <c r="CZ265" i="48"/>
  <c r="CZ264" i="48"/>
  <c r="CZ263" i="48"/>
  <c r="CZ262" i="48"/>
  <c r="CZ261" i="48"/>
  <c r="CZ260" i="48"/>
  <c r="CZ259" i="48"/>
  <c r="CZ258" i="48"/>
  <c r="CZ257" i="48"/>
  <c r="CZ256" i="48"/>
  <c r="CZ255" i="48"/>
  <c r="CZ250" i="48"/>
  <c r="CZ249" i="48"/>
  <c r="CZ248" i="48"/>
  <c r="CZ247" i="48"/>
  <c r="CZ246" i="48"/>
  <c r="CZ245" i="48"/>
  <c r="CZ244" i="48"/>
  <c r="CZ243" i="48"/>
  <c r="CZ242" i="48"/>
  <c r="CZ241" i="48"/>
  <c r="CZ240" i="48"/>
  <c r="CZ239" i="48"/>
  <c r="CZ238" i="48"/>
  <c r="CZ237" i="48"/>
  <c r="CZ236" i="48"/>
  <c r="CZ235" i="48"/>
  <c r="CZ234" i="48"/>
  <c r="CZ233" i="48"/>
  <c r="CZ232" i="48"/>
  <c r="CZ231" i="48"/>
  <c r="CZ226" i="48"/>
  <c r="CZ225" i="48"/>
  <c r="CZ224" i="48"/>
  <c r="CZ223" i="48"/>
  <c r="CZ222" i="48"/>
  <c r="CZ221" i="48"/>
  <c r="CZ220" i="48"/>
  <c r="CZ219" i="48"/>
  <c r="CZ218" i="48"/>
  <c r="CZ217" i="48"/>
  <c r="CZ216" i="48"/>
  <c r="CZ215" i="48"/>
  <c r="CZ214" i="48"/>
  <c r="CZ213" i="48"/>
  <c r="CZ212" i="48"/>
  <c r="CZ211" i="48"/>
  <c r="CZ210" i="48"/>
  <c r="CZ209" i="48"/>
  <c r="CZ208" i="48"/>
  <c r="CZ207" i="48"/>
  <c r="CZ202" i="48"/>
  <c r="CZ201" i="48"/>
  <c r="CZ200" i="48"/>
  <c r="CZ199" i="48"/>
  <c r="CZ198" i="48"/>
  <c r="CZ197" i="48"/>
  <c r="CZ196" i="48"/>
  <c r="CZ195" i="48"/>
  <c r="CZ194" i="48"/>
  <c r="CZ193" i="48"/>
  <c r="CZ192" i="48"/>
  <c r="CZ191" i="48"/>
  <c r="CZ190" i="48"/>
  <c r="CZ189" i="48"/>
  <c r="CZ188" i="48"/>
  <c r="CZ187" i="48"/>
  <c r="CZ186" i="48"/>
  <c r="CZ185" i="48"/>
  <c r="CZ184" i="48"/>
  <c r="CZ183" i="48"/>
  <c r="CZ178" i="48"/>
  <c r="CZ177" i="48"/>
  <c r="CZ176" i="48"/>
  <c r="CZ175" i="48"/>
  <c r="CZ174" i="48"/>
  <c r="CZ173" i="48"/>
  <c r="CZ172" i="48"/>
  <c r="CZ171" i="48"/>
  <c r="CZ170" i="48"/>
  <c r="CZ169" i="48"/>
  <c r="CZ168" i="48"/>
  <c r="CZ167" i="48"/>
  <c r="CZ166" i="48"/>
  <c r="CZ165" i="48"/>
  <c r="CZ164" i="48"/>
  <c r="CZ163" i="48"/>
  <c r="CZ162" i="48"/>
  <c r="CZ161" i="48"/>
  <c r="CZ160" i="48"/>
  <c r="CZ159" i="48"/>
  <c r="CZ154" i="48"/>
  <c r="CZ153" i="48"/>
  <c r="CZ152" i="48"/>
  <c r="CZ151" i="48"/>
  <c r="CZ150" i="48"/>
  <c r="CZ149" i="48"/>
  <c r="CZ148" i="48"/>
  <c r="CZ147" i="48"/>
  <c r="CZ146" i="48"/>
  <c r="CZ145" i="48"/>
  <c r="CZ144" i="48"/>
  <c r="CZ143" i="48"/>
  <c r="CZ142" i="48"/>
  <c r="CZ141" i="48"/>
  <c r="CZ140" i="48"/>
  <c r="CZ139" i="48"/>
  <c r="CZ138" i="48"/>
  <c r="CZ137" i="48"/>
  <c r="CZ136" i="48"/>
  <c r="CZ135" i="48"/>
  <c r="CZ130" i="48"/>
  <c r="CZ129" i="48"/>
  <c r="CZ128" i="48"/>
  <c r="CZ127" i="48"/>
  <c r="CZ126" i="48"/>
  <c r="CZ125" i="48"/>
  <c r="CZ124" i="48"/>
  <c r="CZ123" i="48"/>
  <c r="CZ122" i="48"/>
  <c r="CZ121" i="48"/>
  <c r="CZ120" i="48"/>
  <c r="CZ119" i="48"/>
  <c r="CZ118" i="48"/>
  <c r="CZ117" i="48"/>
  <c r="CZ116" i="48"/>
  <c r="CZ115" i="48"/>
  <c r="CZ114" i="48"/>
  <c r="CZ113" i="48"/>
  <c r="CZ112" i="48"/>
  <c r="CZ111" i="48"/>
  <c r="CZ106" i="48"/>
  <c r="CZ105" i="48"/>
  <c r="CZ104" i="48"/>
  <c r="CZ103" i="48"/>
  <c r="CZ102" i="48"/>
  <c r="CZ101" i="48"/>
  <c r="CZ100" i="48"/>
  <c r="CZ99" i="48"/>
  <c r="CZ98" i="48"/>
  <c r="CZ97" i="48"/>
  <c r="CZ96" i="48"/>
  <c r="CZ95" i="48"/>
  <c r="CZ94" i="48"/>
  <c r="CZ93" i="48"/>
  <c r="CZ92" i="48"/>
  <c r="CZ91" i="48"/>
  <c r="CZ90" i="48"/>
  <c r="CZ89" i="48"/>
  <c r="CZ88" i="48"/>
  <c r="CZ87" i="48"/>
  <c r="DF202" i="48" l="1"/>
  <c r="DF201" i="48"/>
  <c r="DA201" i="48" s="1"/>
  <c r="DF200" i="48"/>
  <c r="DA200" i="48" s="1"/>
  <c r="DF199" i="48"/>
  <c r="DA199" i="48" s="1"/>
  <c r="DF198" i="48"/>
  <c r="DA198" i="48" s="1"/>
  <c r="DF197" i="48"/>
  <c r="DA197" i="48" s="1"/>
  <c r="DF196" i="48"/>
  <c r="DA196" i="48" s="1"/>
  <c r="DF195" i="48"/>
  <c r="DA195" i="48" s="1"/>
  <c r="DF194" i="48"/>
  <c r="DA194" i="48" s="1"/>
  <c r="DF193" i="48"/>
  <c r="DA193" i="48" s="1"/>
  <c r="DF192" i="48"/>
  <c r="DA192" i="48" s="1"/>
  <c r="DF191" i="48"/>
  <c r="DA191" i="48" s="1"/>
  <c r="DF190" i="48"/>
  <c r="DA190" i="48" s="1"/>
  <c r="DF189" i="48"/>
  <c r="DA189" i="48" s="1"/>
  <c r="DF188" i="48"/>
  <c r="DA188" i="48" s="1"/>
  <c r="DF187" i="48"/>
  <c r="DA187" i="48" s="1"/>
  <c r="DF186" i="48"/>
  <c r="DA186" i="48" s="1"/>
  <c r="DF185" i="48"/>
  <c r="DA185" i="48" s="1"/>
  <c r="DF184" i="48"/>
  <c r="DA184" i="48" s="1"/>
  <c r="DF183" i="48"/>
  <c r="DA183" i="48" s="1"/>
  <c r="DF182" i="48"/>
  <c r="DA182" i="48" s="1"/>
  <c r="DF181" i="48"/>
  <c r="DA181" i="48" s="1"/>
  <c r="DF180" i="48"/>
  <c r="DA202" i="48" l="1"/>
  <c r="DF203" i="48"/>
  <c r="DF296" i="48"/>
  <c r="DA296" i="48" s="1"/>
  <c r="DF295" i="48"/>
  <c r="DA295" i="48" s="1"/>
  <c r="DF294" i="48"/>
  <c r="DA294" i="48" s="1"/>
  <c r="DF293" i="48"/>
  <c r="DA293" i="48" s="1"/>
  <c r="DF292" i="48"/>
  <c r="DA292" i="48" s="1"/>
  <c r="DF291" i="48"/>
  <c r="DA291" i="48" s="1"/>
  <c r="DF290" i="48"/>
  <c r="DA290" i="48" s="1"/>
  <c r="DF289" i="48"/>
  <c r="DA289" i="48" s="1"/>
  <c r="DF288" i="48"/>
  <c r="DA288" i="48" s="1"/>
  <c r="DF287" i="48"/>
  <c r="DA287" i="48" s="1"/>
  <c r="DF286" i="48"/>
  <c r="DA286" i="48" s="1"/>
  <c r="DF285" i="48"/>
  <c r="DA285" i="48" s="1"/>
  <c r="DF284" i="48"/>
  <c r="DA284" i="48" s="1"/>
  <c r="DF283" i="48"/>
  <c r="DA283" i="48" s="1"/>
  <c r="DF282" i="48"/>
  <c r="DA282" i="48" s="1"/>
  <c r="DF281" i="48"/>
  <c r="DA281" i="48" s="1"/>
  <c r="DF280" i="48"/>
  <c r="DA280" i="48" s="1"/>
  <c r="DF279" i="48"/>
  <c r="DA279" i="48" s="1"/>
  <c r="DF278" i="48"/>
  <c r="DA278" i="48" s="1"/>
  <c r="DF277" i="48"/>
  <c r="DA277" i="48" s="1"/>
  <c r="DF276" i="48"/>
  <c r="CX275" i="48"/>
  <c r="DF273" i="48"/>
  <c r="DA273" i="48" s="1"/>
  <c r="DF272" i="48"/>
  <c r="DA272" i="48" s="1"/>
  <c r="DF271" i="48"/>
  <c r="DA271" i="48" s="1"/>
  <c r="DF270" i="48"/>
  <c r="DA270" i="48" s="1"/>
  <c r="DF269" i="48"/>
  <c r="DA269" i="48" s="1"/>
  <c r="DF268" i="48"/>
  <c r="DA268" i="48" s="1"/>
  <c r="DF267" i="48"/>
  <c r="DA267" i="48" s="1"/>
  <c r="DF266" i="48"/>
  <c r="DA266" i="48" s="1"/>
  <c r="DF265" i="48"/>
  <c r="DA265" i="48" s="1"/>
  <c r="DF264" i="48"/>
  <c r="DA264" i="48" s="1"/>
  <c r="DF263" i="48"/>
  <c r="DA263" i="48" s="1"/>
  <c r="DF262" i="48"/>
  <c r="DA262" i="48" s="1"/>
  <c r="DF261" i="48"/>
  <c r="DA261" i="48" s="1"/>
  <c r="DF260" i="48"/>
  <c r="DA260" i="48" s="1"/>
  <c r="DF259" i="48"/>
  <c r="DA259" i="48" s="1"/>
  <c r="DF258" i="48"/>
  <c r="DA258" i="48" s="1"/>
  <c r="DF257" i="48"/>
  <c r="DA257" i="48" s="1"/>
  <c r="DF256" i="48"/>
  <c r="DA256" i="48" s="1"/>
  <c r="DF255" i="48"/>
  <c r="DA255" i="48" s="1"/>
  <c r="DF254" i="48"/>
  <c r="DA254" i="48" s="1"/>
  <c r="DF253" i="48"/>
  <c r="DA253" i="48" s="1"/>
  <c r="DF252" i="48"/>
  <c r="DF249" i="48"/>
  <c r="DA249" i="48" s="1"/>
  <c r="DF248" i="48"/>
  <c r="DA248" i="48" s="1"/>
  <c r="DF247" i="48"/>
  <c r="DA247" i="48" s="1"/>
  <c r="DF246" i="48"/>
  <c r="DA246" i="48" s="1"/>
  <c r="DF245" i="48"/>
  <c r="DA245" i="48" s="1"/>
  <c r="DF244" i="48"/>
  <c r="DA244" i="48" s="1"/>
  <c r="DF243" i="48"/>
  <c r="DA243" i="48" s="1"/>
  <c r="DF242" i="48"/>
  <c r="DA242" i="48" s="1"/>
  <c r="DF241" i="48"/>
  <c r="DA241" i="48" s="1"/>
  <c r="DF240" i="48"/>
  <c r="DA240" i="48" s="1"/>
  <c r="DF239" i="48"/>
  <c r="DA239" i="48" s="1"/>
  <c r="DF238" i="48"/>
  <c r="DA238" i="48" s="1"/>
  <c r="DF237" i="48"/>
  <c r="DA237" i="48" s="1"/>
  <c r="DF236" i="48"/>
  <c r="DA236" i="48" s="1"/>
  <c r="DF235" i="48"/>
  <c r="DA235" i="48" s="1"/>
  <c r="DF234" i="48"/>
  <c r="DA234" i="48" s="1"/>
  <c r="DF233" i="48"/>
  <c r="DA233" i="48" s="1"/>
  <c r="DF232" i="48"/>
  <c r="DA232" i="48" s="1"/>
  <c r="DF231" i="48"/>
  <c r="DA231" i="48" s="1"/>
  <c r="DF230" i="48"/>
  <c r="DA230" i="48" s="1"/>
  <c r="DF229" i="48"/>
  <c r="DA229" i="48" s="1"/>
  <c r="DF228" i="48"/>
  <c r="CZ82" i="48"/>
  <c r="CZ81" i="48"/>
  <c r="CZ80" i="48"/>
  <c r="CZ79" i="48"/>
  <c r="CZ78" i="48"/>
  <c r="CZ77" i="48"/>
  <c r="CZ76" i="48"/>
  <c r="CZ75" i="48"/>
  <c r="CZ74" i="48"/>
  <c r="CZ73" i="48"/>
  <c r="CZ72" i="48"/>
  <c r="CZ71" i="48"/>
  <c r="CZ70" i="48"/>
  <c r="CZ69" i="48"/>
  <c r="CZ68" i="48"/>
  <c r="CZ67" i="48"/>
  <c r="CZ66" i="48"/>
  <c r="CZ65" i="48"/>
  <c r="CZ64" i="48"/>
  <c r="CZ63" i="48"/>
  <c r="CZ58" i="48"/>
  <c r="DA203" i="48" l="1"/>
  <c r="CZ57" i="48"/>
  <c r="CZ56" i="48"/>
  <c r="CZ55" i="48"/>
  <c r="CZ54" i="48"/>
  <c r="CZ53" i="48"/>
  <c r="CZ52" i="48"/>
  <c r="CZ51" i="48"/>
  <c r="CZ50" i="48"/>
  <c r="CZ49" i="48"/>
  <c r="CZ48" i="48"/>
  <c r="CZ47" i="48"/>
  <c r="CZ46" i="48"/>
  <c r="CZ45" i="48"/>
  <c r="CZ44" i="48"/>
  <c r="CZ43" i="48"/>
  <c r="CZ42" i="48"/>
  <c r="CZ41" i="48"/>
  <c r="CZ40" i="48"/>
  <c r="AZ36" i="48" l="1"/>
  <c r="Q1330" i="48"/>
  <c r="AZ1026" i="48"/>
  <c r="AZ1025" i="48"/>
  <c r="AZ1024" i="48"/>
  <c r="BA1025" i="48" l="1"/>
  <c r="BA1026" i="48"/>
  <c r="P306" i="48"/>
  <c r="P307" i="48"/>
  <c r="P308" i="48"/>
  <c r="P309" i="48"/>
  <c r="P310" i="48"/>
  <c r="P311" i="48"/>
  <c r="P312" i="48"/>
  <c r="P313" i="48"/>
  <c r="P314" i="48"/>
  <c r="P315" i="48"/>
  <c r="P316" i="48"/>
  <c r="P317" i="48"/>
  <c r="P318" i="48"/>
  <c r="P319" i="48"/>
  <c r="P320" i="48"/>
  <c r="P321" i="48"/>
  <c r="P322" i="48"/>
  <c r="P282" i="48"/>
  <c r="P283" i="48"/>
  <c r="P284" i="48"/>
  <c r="P285" i="48"/>
  <c r="P286" i="48"/>
  <c r="P287" i="48"/>
  <c r="P288" i="48"/>
  <c r="P289" i="48"/>
  <c r="P290" i="48"/>
  <c r="P291" i="48"/>
  <c r="P292" i="48"/>
  <c r="P293" i="48"/>
  <c r="P294" i="48"/>
  <c r="P295" i="48"/>
  <c r="P296" i="48"/>
  <c r="P297" i="48"/>
  <c r="P298" i="48"/>
  <c r="P202" i="48"/>
  <c r="P90" i="48"/>
  <c r="Q90" i="48" s="1"/>
  <c r="P91" i="48"/>
  <c r="Q91" i="48" s="1"/>
  <c r="P92" i="48"/>
  <c r="Q92" i="48" s="1"/>
  <c r="P93" i="48"/>
  <c r="Q93" i="48" s="1"/>
  <c r="P94" i="48"/>
  <c r="Q94" i="48" s="1"/>
  <c r="P95" i="48"/>
  <c r="Q95" i="48" s="1"/>
  <c r="P96" i="48"/>
  <c r="Q96" i="48" s="1"/>
  <c r="P97" i="48"/>
  <c r="Q97" i="48" s="1"/>
  <c r="P98" i="48"/>
  <c r="Q98" i="48" s="1"/>
  <c r="P99" i="48"/>
  <c r="Q99" i="48" s="1"/>
  <c r="P100" i="48"/>
  <c r="Q100" i="48" s="1"/>
  <c r="P101" i="48"/>
  <c r="Q101" i="48" s="1"/>
  <c r="P102" i="48"/>
  <c r="Q102" i="48" s="1"/>
  <c r="P103" i="48"/>
  <c r="Q103" i="48" s="1"/>
  <c r="P104" i="48"/>
  <c r="Q104" i="48" s="1"/>
  <c r="P105" i="48"/>
  <c r="Q105" i="48" s="1"/>
  <c r="P106" i="48"/>
  <c r="Q106" i="48" s="1"/>
  <c r="P66" i="48"/>
  <c r="Q66" i="48" s="1"/>
  <c r="P67" i="48"/>
  <c r="Q67" i="48" s="1"/>
  <c r="P68" i="48"/>
  <c r="Q68" i="48" s="1"/>
  <c r="P69" i="48"/>
  <c r="Q69" i="48" s="1"/>
  <c r="P70" i="48"/>
  <c r="Q70" i="48" s="1"/>
  <c r="P71" i="48"/>
  <c r="Q71" i="48" s="1"/>
  <c r="P72" i="48"/>
  <c r="Q72" i="48" s="1"/>
  <c r="P73" i="48"/>
  <c r="Q73" i="48" s="1"/>
  <c r="P74" i="48"/>
  <c r="Q74" i="48" s="1"/>
  <c r="P75" i="48"/>
  <c r="Q75" i="48" s="1"/>
  <c r="P76" i="48"/>
  <c r="Q76" i="48" s="1"/>
  <c r="P77" i="48"/>
  <c r="Q77" i="48" s="1"/>
  <c r="P78" i="48"/>
  <c r="Q78" i="48" s="1"/>
  <c r="P79" i="48"/>
  <c r="Q79" i="48" s="1"/>
  <c r="P80" i="48"/>
  <c r="Q80" i="48" s="1"/>
  <c r="P81" i="48"/>
  <c r="Q81" i="48" s="1"/>
  <c r="J1065" i="48"/>
  <c r="J306" i="48"/>
  <c r="J307" i="48"/>
  <c r="J308" i="48"/>
  <c r="J309" i="48"/>
  <c r="J310" i="48"/>
  <c r="J311" i="48"/>
  <c r="J312" i="48"/>
  <c r="J313" i="48"/>
  <c r="J314" i="48"/>
  <c r="J315" i="48"/>
  <c r="J316" i="48"/>
  <c r="J317" i="48"/>
  <c r="J318" i="48"/>
  <c r="J319" i="48"/>
  <c r="J320" i="48"/>
  <c r="J321" i="48"/>
  <c r="J322" i="48"/>
  <c r="J282" i="48"/>
  <c r="J283" i="48"/>
  <c r="J284" i="48"/>
  <c r="J285" i="48"/>
  <c r="J286" i="48"/>
  <c r="J287" i="48"/>
  <c r="J288" i="48"/>
  <c r="J289" i="48"/>
  <c r="J290" i="48"/>
  <c r="J291" i="48"/>
  <c r="J292" i="48"/>
  <c r="J293" i="48"/>
  <c r="J294" i="48"/>
  <c r="J295" i="48"/>
  <c r="J296" i="48"/>
  <c r="J297" i="48"/>
  <c r="J298" i="48"/>
  <c r="J187" i="48"/>
  <c r="J188" i="48"/>
  <c r="J189" i="48"/>
  <c r="J190" i="48"/>
  <c r="J191" i="48"/>
  <c r="J192" i="48"/>
  <c r="J193" i="48"/>
  <c r="J194" i="48"/>
  <c r="J195" i="48"/>
  <c r="J196" i="48"/>
  <c r="J197" i="48"/>
  <c r="J198" i="48"/>
  <c r="J199" i="48"/>
  <c r="J200" i="48"/>
  <c r="J201" i="48"/>
  <c r="J202" i="48"/>
  <c r="J138" i="48"/>
  <c r="R77" i="48" l="1"/>
  <c r="R69" i="48"/>
  <c r="R102" i="48"/>
  <c r="R94" i="48"/>
  <c r="R100" i="48"/>
  <c r="R73" i="48"/>
  <c r="R98" i="48"/>
  <c r="R92" i="48"/>
  <c r="R106" i="48"/>
  <c r="R79" i="48"/>
  <c r="R75" i="48"/>
  <c r="R67" i="48"/>
  <c r="R71" i="48"/>
  <c r="R104" i="48"/>
  <c r="R96" i="48"/>
  <c r="R76" i="48"/>
  <c r="R68" i="48"/>
  <c r="R101" i="48"/>
  <c r="R93" i="48"/>
  <c r="R74" i="48"/>
  <c r="R99" i="48"/>
  <c r="R91" i="48"/>
  <c r="R80" i="48"/>
  <c r="R72" i="48"/>
  <c r="R105" i="48"/>
  <c r="R97" i="48"/>
  <c r="R81" i="48"/>
  <c r="R82" i="48"/>
  <c r="R78" i="48"/>
  <c r="R70" i="48"/>
  <c r="R103" i="48"/>
  <c r="R95" i="48"/>
  <c r="CF1330" i="48"/>
  <c r="CE1330" i="48"/>
  <c r="CF1329" i="48"/>
  <c r="CE1329" i="48"/>
  <c r="CF1328" i="48"/>
  <c r="CE1328" i="48"/>
  <c r="CF1327" i="48"/>
  <c r="CE1327" i="48"/>
  <c r="CF1326" i="48"/>
  <c r="CE1326" i="48"/>
  <c r="CF1325" i="48"/>
  <c r="CE1325" i="48"/>
  <c r="CF1324" i="48"/>
  <c r="CE1324" i="48"/>
  <c r="CF1323" i="48"/>
  <c r="CE1323" i="48"/>
  <c r="CF1322" i="48"/>
  <c r="CE1322" i="48"/>
  <c r="CF1321" i="48"/>
  <c r="CE1321" i="48"/>
  <c r="CF1320" i="48"/>
  <c r="CE1320" i="48"/>
  <c r="CF1319" i="48"/>
  <c r="CE1319" i="48"/>
  <c r="CF1318" i="48"/>
  <c r="CE1318" i="48"/>
  <c r="CF1317" i="48"/>
  <c r="CE1317" i="48"/>
  <c r="CF1316" i="48"/>
  <c r="CE1316" i="48"/>
  <c r="CF1315" i="48"/>
  <c r="CE1315" i="48"/>
  <c r="CF1314" i="48"/>
  <c r="CE1314" i="48"/>
  <c r="CF1313" i="48"/>
  <c r="CE1313" i="48"/>
  <c r="CF1312" i="48"/>
  <c r="CE1312" i="48"/>
  <c r="CF1311" i="48"/>
  <c r="CE1311" i="48"/>
  <c r="CF1310" i="48"/>
  <c r="CE1310" i="48"/>
  <c r="CF1309" i="48"/>
  <c r="CE1309" i="48"/>
  <c r="CF1308" i="48"/>
  <c r="CE1308" i="48"/>
  <c r="CF1306" i="48"/>
  <c r="CE1306" i="48"/>
  <c r="CF1305" i="48"/>
  <c r="CE1305" i="48"/>
  <c r="CF1304" i="48"/>
  <c r="CE1304" i="48"/>
  <c r="CF1303" i="48"/>
  <c r="CE1303" i="48"/>
  <c r="CF1302" i="48"/>
  <c r="CE1302" i="48"/>
  <c r="CF1301" i="48"/>
  <c r="CE1301" i="48"/>
  <c r="CF1300" i="48"/>
  <c r="CE1300" i="48"/>
  <c r="CF1299" i="48"/>
  <c r="CE1299" i="48"/>
  <c r="CF1298" i="48"/>
  <c r="CE1298" i="48"/>
  <c r="CF1297" i="48"/>
  <c r="CE1297" i="48"/>
  <c r="CF1296" i="48"/>
  <c r="CE1296" i="48"/>
  <c r="CF1295" i="48"/>
  <c r="CE1295" i="48"/>
  <c r="CF1294" i="48"/>
  <c r="CE1294" i="48"/>
  <c r="CF1293" i="48"/>
  <c r="CE1293" i="48"/>
  <c r="CF1292" i="48"/>
  <c r="CE1292" i="48"/>
  <c r="CF1291" i="48"/>
  <c r="CE1291" i="48"/>
  <c r="CF1290" i="48"/>
  <c r="CE1290" i="48"/>
  <c r="CF1289" i="48"/>
  <c r="CE1289" i="48"/>
  <c r="CF1288" i="48"/>
  <c r="CE1288" i="48"/>
  <c r="CF1287" i="48"/>
  <c r="CE1287" i="48"/>
  <c r="CF1286" i="48"/>
  <c r="CE1286" i="48"/>
  <c r="CF1285" i="48"/>
  <c r="CE1285" i="48"/>
  <c r="CF1284" i="48"/>
  <c r="CE1284" i="48"/>
  <c r="CF1282" i="48"/>
  <c r="CE1282" i="48"/>
  <c r="CF1281" i="48"/>
  <c r="CE1281" i="48"/>
  <c r="CF1280" i="48"/>
  <c r="CE1280" i="48"/>
  <c r="CF1279" i="48"/>
  <c r="CE1279" i="48"/>
  <c r="CF1278" i="48"/>
  <c r="CE1278" i="48"/>
  <c r="CF1277" i="48"/>
  <c r="CE1277" i="48"/>
  <c r="CF1276" i="48"/>
  <c r="CE1276" i="48"/>
  <c r="CF1275" i="48"/>
  <c r="CE1275" i="48"/>
  <c r="CF1274" i="48"/>
  <c r="CE1274" i="48"/>
  <c r="CF1273" i="48"/>
  <c r="CE1273" i="48"/>
  <c r="CF1272" i="48"/>
  <c r="CE1272" i="48"/>
  <c r="CF1271" i="48"/>
  <c r="CE1271" i="48"/>
  <c r="CF1270" i="48"/>
  <c r="CE1270" i="48"/>
  <c r="CF1269" i="48"/>
  <c r="CE1269" i="48"/>
  <c r="CF1268" i="48"/>
  <c r="CE1268" i="48"/>
  <c r="CF1267" i="48"/>
  <c r="CE1267" i="48"/>
  <c r="CF1266" i="48"/>
  <c r="CE1266" i="48"/>
  <c r="CF1265" i="48"/>
  <c r="CE1265" i="48"/>
  <c r="CF1264" i="48"/>
  <c r="CE1264" i="48"/>
  <c r="CF1263" i="48"/>
  <c r="CE1263" i="48"/>
  <c r="CF1262" i="48"/>
  <c r="CE1262" i="48"/>
  <c r="CF1261" i="48"/>
  <c r="CE1261" i="48"/>
  <c r="CF1260" i="48"/>
  <c r="CE1260" i="48"/>
  <c r="CF1258" i="48"/>
  <c r="CE1258" i="48"/>
  <c r="CF1257" i="48"/>
  <c r="CE1257" i="48"/>
  <c r="CF1256" i="48"/>
  <c r="CE1256" i="48"/>
  <c r="CF1255" i="48"/>
  <c r="CE1255" i="48"/>
  <c r="CF1254" i="48"/>
  <c r="CE1254" i="48"/>
  <c r="CF1253" i="48"/>
  <c r="CE1253" i="48"/>
  <c r="CF1252" i="48"/>
  <c r="CE1252" i="48"/>
  <c r="CF1251" i="48"/>
  <c r="CE1251" i="48"/>
  <c r="CF1250" i="48"/>
  <c r="CE1250" i="48"/>
  <c r="CF1249" i="48"/>
  <c r="CE1249" i="48"/>
  <c r="CF1248" i="48"/>
  <c r="CE1248" i="48"/>
  <c r="CF1247" i="48"/>
  <c r="CE1247" i="48"/>
  <c r="CF1246" i="48"/>
  <c r="CE1246" i="48"/>
  <c r="CF1245" i="48"/>
  <c r="CE1245" i="48"/>
  <c r="CF1244" i="48"/>
  <c r="CE1244" i="48"/>
  <c r="CF1243" i="48"/>
  <c r="CE1243" i="48"/>
  <c r="CF1242" i="48"/>
  <c r="CE1242" i="48"/>
  <c r="CF1241" i="48"/>
  <c r="CE1241" i="48"/>
  <c r="CF1240" i="48"/>
  <c r="CE1240" i="48"/>
  <c r="CF1239" i="48"/>
  <c r="CE1239" i="48"/>
  <c r="CF1238" i="48"/>
  <c r="CE1238" i="48"/>
  <c r="CF1237" i="48"/>
  <c r="CE1237" i="48"/>
  <c r="CF1236" i="48"/>
  <c r="CE1236" i="48"/>
  <c r="CF1234" i="48"/>
  <c r="CE1234" i="48"/>
  <c r="CF1233" i="48"/>
  <c r="CE1233" i="48"/>
  <c r="CF1232" i="48"/>
  <c r="CE1232" i="48"/>
  <c r="CF1231" i="48"/>
  <c r="CE1231" i="48"/>
  <c r="CF1230" i="48"/>
  <c r="CE1230" i="48"/>
  <c r="CF1229" i="48"/>
  <c r="CE1229" i="48"/>
  <c r="CF1228" i="48"/>
  <c r="CE1228" i="48"/>
  <c r="CF1227" i="48"/>
  <c r="CE1227" i="48"/>
  <c r="CF1226" i="48"/>
  <c r="CE1226" i="48"/>
  <c r="CF1225" i="48"/>
  <c r="CE1225" i="48"/>
  <c r="CF1224" i="48"/>
  <c r="CE1224" i="48"/>
  <c r="CF1223" i="48"/>
  <c r="CE1223" i="48"/>
  <c r="CF1222" i="48"/>
  <c r="CE1222" i="48"/>
  <c r="CF1221" i="48"/>
  <c r="CE1221" i="48"/>
  <c r="CF1220" i="48"/>
  <c r="CE1220" i="48"/>
  <c r="CF1219" i="48"/>
  <c r="CE1219" i="48"/>
  <c r="CF1218" i="48"/>
  <c r="CE1218" i="48"/>
  <c r="CF1217" i="48"/>
  <c r="CE1217" i="48"/>
  <c r="CF1216" i="48"/>
  <c r="CE1216" i="48"/>
  <c r="CF1215" i="48"/>
  <c r="CE1215" i="48"/>
  <c r="CF1214" i="48"/>
  <c r="CE1214" i="48"/>
  <c r="CF1213" i="48"/>
  <c r="CE1213" i="48"/>
  <c r="CF1212" i="48"/>
  <c r="CE1212" i="48"/>
  <c r="CF1210" i="48"/>
  <c r="CE1210" i="48"/>
  <c r="CF1209" i="48"/>
  <c r="CE1209" i="48"/>
  <c r="CF1208" i="48"/>
  <c r="CE1208" i="48"/>
  <c r="CF1207" i="48"/>
  <c r="CE1207" i="48"/>
  <c r="CF1206" i="48"/>
  <c r="CE1206" i="48"/>
  <c r="CF1205" i="48"/>
  <c r="CE1205" i="48"/>
  <c r="CF1204" i="48"/>
  <c r="CE1204" i="48"/>
  <c r="CF1203" i="48"/>
  <c r="CE1203" i="48"/>
  <c r="CF1202" i="48"/>
  <c r="CE1202" i="48"/>
  <c r="CF1201" i="48"/>
  <c r="CE1201" i="48"/>
  <c r="CF1200" i="48"/>
  <c r="CE1200" i="48"/>
  <c r="CF1199" i="48"/>
  <c r="CE1199" i="48"/>
  <c r="CF1198" i="48"/>
  <c r="CE1198" i="48"/>
  <c r="CF1197" i="48"/>
  <c r="CE1197" i="48"/>
  <c r="CF1196" i="48"/>
  <c r="CE1196" i="48"/>
  <c r="CF1195" i="48"/>
  <c r="CE1195" i="48"/>
  <c r="CF1194" i="48"/>
  <c r="CE1194" i="48"/>
  <c r="CF1193" i="48"/>
  <c r="CE1193" i="48"/>
  <c r="CF1192" i="48"/>
  <c r="CE1192" i="48"/>
  <c r="CF1191" i="48"/>
  <c r="CE1191" i="48"/>
  <c r="CF1190" i="48"/>
  <c r="CE1190" i="48"/>
  <c r="CF1189" i="48"/>
  <c r="CE1189" i="48"/>
  <c r="CF1188" i="48"/>
  <c r="CE1188" i="48"/>
  <c r="CF1186" i="48"/>
  <c r="CE1186" i="48"/>
  <c r="CF1185" i="48"/>
  <c r="CE1185" i="48"/>
  <c r="CF1184" i="48"/>
  <c r="CE1184" i="48"/>
  <c r="CF1183" i="48"/>
  <c r="CE1183" i="48"/>
  <c r="CF1182" i="48"/>
  <c r="CE1182" i="48"/>
  <c r="CF1181" i="48"/>
  <c r="CE1181" i="48"/>
  <c r="CF1180" i="48"/>
  <c r="CE1180" i="48"/>
  <c r="CF1179" i="48"/>
  <c r="CE1179" i="48"/>
  <c r="CF1178" i="48"/>
  <c r="CE1178" i="48"/>
  <c r="CF1177" i="48"/>
  <c r="CE1177" i="48"/>
  <c r="CF1176" i="48"/>
  <c r="CE1176" i="48"/>
  <c r="CF1175" i="48"/>
  <c r="CE1175" i="48"/>
  <c r="CF1174" i="48"/>
  <c r="CE1174" i="48"/>
  <c r="CF1173" i="48"/>
  <c r="CE1173" i="48"/>
  <c r="CF1172" i="48"/>
  <c r="CE1172" i="48"/>
  <c r="CF1171" i="48"/>
  <c r="CE1171" i="48"/>
  <c r="CF1170" i="48"/>
  <c r="CE1170" i="48"/>
  <c r="CF1169" i="48"/>
  <c r="CE1169" i="48"/>
  <c r="CF1168" i="48"/>
  <c r="CE1168" i="48"/>
  <c r="CF1167" i="48"/>
  <c r="CE1167" i="48"/>
  <c r="CF1166" i="48"/>
  <c r="CE1166" i="48"/>
  <c r="CF1165" i="48"/>
  <c r="CE1165" i="48"/>
  <c r="CF1164" i="48"/>
  <c r="CE1164" i="48"/>
  <c r="CF1162" i="48"/>
  <c r="CE1162" i="48"/>
  <c r="CF1161" i="48"/>
  <c r="CE1161" i="48"/>
  <c r="CF1160" i="48"/>
  <c r="CE1160" i="48"/>
  <c r="CF1159" i="48"/>
  <c r="CE1159" i="48"/>
  <c r="CF1158" i="48"/>
  <c r="CE1158" i="48"/>
  <c r="CF1157" i="48"/>
  <c r="CE1157" i="48"/>
  <c r="CF1156" i="48"/>
  <c r="CE1156" i="48"/>
  <c r="CF1155" i="48"/>
  <c r="CE1155" i="48"/>
  <c r="CF1154" i="48"/>
  <c r="CE1154" i="48"/>
  <c r="CF1153" i="48"/>
  <c r="CE1153" i="48"/>
  <c r="CF1152" i="48"/>
  <c r="CE1152" i="48"/>
  <c r="CF1151" i="48"/>
  <c r="CE1151" i="48"/>
  <c r="CF1150" i="48"/>
  <c r="CE1150" i="48"/>
  <c r="CF1149" i="48"/>
  <c r="CE1149" i="48"/>
  <c r="CF1148" i="48"/>
  <c r="CE1148" i="48"/>
  <c r="CF1147" i="48"/>
  <c r="CE1147" i="48"/>
  <c r="CF1146" i="48"/>
  <c r="CE1146" i="48"/>
  <c r="CF1145" i="48"/>
  <c r="CE1145" i="48"/>
  <c r="CF1144" i="48"/>
  <c r="CE1144" i="48"/>
  <c r="CF1143" i="48"/>
  <c r="CE1143" i="48"/>
  <c r="CF1142" i="48"/>
  <c r="CE1142" i="48"/>
  <c r="CF1141" i="48"/>
  <c r="CE1141" i="48"/>
  <c r="CF1140" i="48"/>
  <c r="CE1140" i="48"/>
  <c r="CF1138" i="48"/>
  <c r="CE1138" i="48"/>
  <c r="CF1137" i="48"/>
  <c r="CE1137" i="48"/>
  <c r="CF1136" i="48"/>
  <c r="CE1136" i="48"/>
  <c r="CF1135" i="48"/>
  <c r="CE1135" i="48"/>
  <c r="CF1134" i="48"/>
  <c r="CE1134" i="48"/>
  <c r="CF1133" i="48"/>
  <c r="CE1133" i="48"/>
  <c r="CF1132" i="48"/>
  <c r="CE1132" i="48"/>
  <c r="CF1131" i="48"/>
  <c r="CE1131" i="48"/>
  <c r="CF1130" i="48"/>
  <c r="CE1130" i="48"/>
  <c r="CF1129" i="48"/>
  <c r="CE1129" i="48"/>
  <c r="CF1128" i="48"/>
  <c r="CE1128" i="48"/>
  <c r="CF1127" i="48"/>
  <c r="CE1127" i="48"/>
  <c r="CF1126" i="48"/>
  <c r="CE1126" i="48"/>
  <c r="CF1125" i="48"/>
  <c r="CE1125" i="48"/>
  <c r="CF1124" i="48"/>
  <c r="CE1124" i="48"/>
  <c r="CF1123" i="48"/>
  <c r="CE1123" i="48"/>
  <c r="CF1122" i="48"/>
  <c r="CE1122" i="48"/>
  <c r="CF1121" i="48"/>
  <c r="CE1121" i="48"/>
  <c r="CF1120" i="48"/>
  <c r="CE1120" i="48"/>
  <c r="CF1119" i="48"/>
  <c r="CE1119" i="48"/>
  <c r="CF1118" i="48"/>
  <c r="CE1118" i="48"/>
  <c r="CF1117" i="48"/>
  <c r="CE1117" i="48"/>
  <c r="CF1116" i="48"/>
  <c r="CE1116" i="48"/>
  <c r="CF1114" i="48"/>
  <c r="CE1114" i="48"/>
  <c r="CF1113" i="48"/>
  <c r="CE1113" i="48"/>
  <c r="CF1112" i="48"/>
  <c r="CE1112" i="48"/>
  <c r="CF1111" i="48"/>
  <c r="CE1111" i="48"/>
  <c r="CF1110" i="48"/>
  <c r="CE1110" i="48"/>
  <c r="CF1109" i="48"/>
  <c r="CE1109" i="48"/>
  <c r="CF1108" i="48"/>
  <c r="CE1108" i="48"/>
  <c r="CF1107" i="48"/>
  <c r="CE1107" i="48"/>
  <c r="CF1106" i="48"/>
  <c r="CE1106" i="48"/>
  <c r="CF1105" i="48"/>
  <c r="CE1105" i="48"/>
  <c r="CF1104" i="48"/>
  <c r="CE1104" i="48"/>
  <c r="CF1103" i="48"/>
  <c r="CE1103" i="48"/>
  <c r="CF1102" i="48"/>
  <c r="CE1102" i="48"/>
  <c r="CF1101" i="48"/>
  <c r="CE1101" i="48"/>
  <c r="CF1100" i="48"/>
  <c r="CE1100" i="48"/>
  <c r="CF1099" i="48"/>
  <c r="CE1099" i="48"/>
  <c r="CF1098" i="48"/>
  <c r="CE1098" i="48"/>
  <c r="CF1097" i="48"/>
  <c r="CE1097" i="48"/>
  <c r="CF1096" i="48"/>
  <c r="CE1096" i="48"/>
  <c r="CF1095" i="48"/>
  <c r="CE1095" i="48"/>
  <c r="CF1094" i="48"/>
  <c r="CE1094" i="48"/>
  <c r="CF1093" i="48"/>
  <c r="CE1093" i="48"/>
  <c r="CF1092" i="48"/>
  <c r="CE1092" i="48"/>
  <c r="CF1090" i="48"/>
  <c r="CE1090" i="48"/>
  <c r="CF1089" i="48"/>
  <c r="CE1089" i="48"/>
  <c r="CF1088" i="48"/>
  <c r="CE1088" i="48"/>
  <c r="CF1087" i="48"/>
  <c r="CE1087" i="48"/>
  <c r="CF1086" i="48"/>
  <c r="CE1086" i="48"/>
  <c r="CF1085" i="48"/>
  <c r="CE1085" i="48"/>
  <c r="CF1084" i="48"/>
  <c r="CE1084" i="48"/>
  <c r="CF1083" i="48"/>
  <c r="CE1083" i="48"/>
  <c r="CF1082" i="48"/>
  <c r="CE1082" i="48"/>
  <c r="CF1081" i="48"/>
  <c r="CE1081" i="48"/>
  <c r="CF1080" i="48"/>
  <c r="CE1080" i="48"/>
  <c r="CF1079" i="48"/>
  <c r="CE1079" i="48"/>
  <c r="CF1078" i="48"/>
  <c r="CE1078" i="48"/>
  <c r="CF1077" i="48"/>
  <c r="CE1077" i="48"/>
  <c r="CF1076" i="48"/>
  <c r="CE1076" i="48"/>
  <c r="CF1075" i="48"/>
  <c r="CE1075" i="48"/>
  <c r="CF1074" i="48"/>
  <c r="CE1074" i="48"/>
  <c r="CF1073" i="48"/>
  <c r="CE1073" i="48"/>
  <c r="CF1072" i="48"/>
  <c r="CE1072" i="48"/>
  <c r="CF1071" i="48"/>
  <c r="CE1071" i="48"/>
  <c r="CF1070" i="48"/>
  <c r="CE1070" i="48"/>
  <c r="CF1069" i="48"/>
  <c r="CE1069" i="48"/>
  <c r="CF1068" i="48"/>
  <c r="CE1068" i="48"/>
  <c r="CF1066" i="48"/>
  <c r="CE1066" i="48"/>
  <c r="CF1065" i="48"/>
  <c r="CE1065" i="48"/>
  <c r="CF1064" i="48"/>
  <c r="CE1064" i="48"/>
  <c r="CF1063" i="48"/>
  <c r="CE1063" i="48"/>
  <c r="CF1062" i="48"/>
  <c r="CE1062" i="48"/>
  <c r="CF1061" i="48"/>
  <c r="CE1061" i="48"/>
  <c r="CF1060" i="48"/>
  <c r="CE1060" i="48"/>
  <c r="CF1059" i="48"/>
  <c r="CE1059" i="48"/>
  <c r="CF1058" i="48"/>
  <c r="CE1058" i="48"/>
  <c r="CF1057" i="48"/>
  <c r="CE1057" i="48"/>
  <c r="CF1056" i="48"/>
  <c r="CE1056" i="48"/>
  <c r="CF1055" i="48"/>
  <c r="CE1055" i="48"/>
  <c r="CF1054" i="48"/>
  <c r="CE1054" i="48"/>
  <c r="CF1053" i="48"/>
  <c r="CE1053" i="48"/>
  <c r="CF1052" i="48"/>
  <c r="CE1052" i="48"/>
  <c r="CF1051" i="48"/>
  <c r="CE1051" i="48"/>
  <c r="CF1050" i="48"/>
  <c r="CE1050" i="48"/>
  <c r="CF1049" i="48"/>
  <c r="CE1049" i="48"/>
  <c r="CF1048" i="48"/>
  <c r="CE1048" i="48"/>
  <c r="CF1047" i="48"/>
  <c r="CE1047" i="48"/>
  <c r="CF1046" i="48"/>
  <c r="CE1046" i="48"/>
  <c r="CF1045" i="48"/>
  <c r="CE1045" i="48"/>
  <c r="CF1044" i="48"/>
  <c r="CE1044" i="48"/>
  <c r="CF1042" i="48"/>
  <c r="CE1042" i="48"/>
  <c r="CF1041" i="48"/>
  <c r="CE1041" i="48"/>
  <c r="CF1040" i="48"/>
  <c r="CE1040" i="48"/>
  <c r="CF1039" i="48"/>
  <c r="CE1039" i="48"/>
  <c r="CF1038" i="48"/>
  <c r="CE1038" i="48"/>
  <c r="CF1037" i="48"/>
  <c r="CE1037" i="48"/>
  <c r="CF1036" i="48"/>
  <c r="CE1036" i="48"/>
  <c r="CF1035" i="48"/>
  <c r="CE1035" i="48"/>
  <c r="CF1034" i="48"/>
  <c r="CE1034" i="48"/>
  <c r="CF1033" i="48"/>
  <c r="CE1033" i="48"/>
  <c r="CF1032" i="48"/>
  <c r="CE1032" i="48"/>
  <c r="CF1031" i="48"/>
  <c r="CE1031" i="48"/>
  <c r="CF1030" i="48"/>
  <c r="CE1030" i="48"/>
  <c r="CF1029" i="48"/>
  <c r="CE1029" i="48"/>
  <c r="CF1028" i="48"/>
  <c r="CE1028" i="48"/>
  <c r="CF1027" i="48"/>
  <c r="CE1027" i="48"/>
  <c r="CF1026" i="48"/>
  <c r="CE1026" i="48"/>
  <c r="CF1025" i="48"/>
  <c r="CE1025" i="48"/>
  <c r="CF1024" i="48"/>
  <c r="CE1024" i="48"/>
  <c r="CF1023" i="48"/>
  <c r="CE1023" i="48"/>
  <c r="CF1022" i="48"/>
  <c r="CE1022" i="48"/>
  <c r="CF1021" i="48"/>
  <c r="CE1021" i="48"/>
  <c r="CF1020" i="48"/>
  <c r="CE1020" i="48"/>
  <c r="CF1018" i="48"/>
  <c r="CE1018" i="48"/>
  <c r="CF1017" i="48"/>
  <c r="CE1017" i="48"/>
  <c r="CF1016" i="48"/>
  <c r="CE1016" i="48"/>
  <c r="CF1015" i="48"/>
  <c r="CE1015" i="48"/>
  <c r="CF1014" i="48"/>
  <c r="CE1014" i="48"/>
  <c r="CF1013" i="48"/>
  <c r="CE1013" i="48"/>
  <c r="CF1012" i="48"/>
  <c r="CE1012" i="48"/>
  <c r="CF1011" i="48"/>
  <c r="CE1011" i="48"/>
  <c r="CF1010" i="48"/>
  <c r="CE1010" i="48"/>
  <c r="CF1009" i="48"/>
  <c r="CE1009" i="48"/>
  <c r="CF1008" i="48"/>
  <c r="CE1008" i="48"/>
  <c r="CF1007" i="48"/>
  <c r="CE1007" i="48"/>
  <c r="CF1006" i="48"/>
  <c r="CE1006" i="48"/>
  <c r="CF1005" i="48"/>
  <c r="CE1005" i="48"/>
  <c r="CF1004" i="48"/>
  <c r="CE1004" i="48"/>
  <c r="CF1003" i="48"/>
  <c r="CE1003" i="48"/>
  <c r="CF1002" i="48"/>
  <c r="CE1002" i="48"/>
  <c r="CF1001" i="48"/>
  <c r="CE1001" i="48"/>
  <c r="CF1000" i="48"/>
  <c r="CE1000" i="48"/>
  <c r="CF999" i="48"/>
  <c r="CE999" i="48"/>
  <c r="CF998" i="48"/>
  <c r="CE998" i="48"/>
  <c r="CF997" i="48"/>
  <c r="CE997" i="48"/>
  <c r="CF996" i="48"/>
  <c r="CE996" i="48"/>
  <c r="CF994" i="48"/>
  <c r="CE994" i="48"/>
  <c r="CF993" i="48"/>
  <c r="CE993" i="48"/>
  <c r="CF992" i="48"/>
  <c r="CE992" i="48"/>
  <c r="CF991" i="48"/>
  <c r="CE991" i="48"/>
  <c r="CF990" i="48"/>
  <c r="CE990" i="48"/>
  <c r="CF989" i="48"/>
  <c r="CE989" i="48"/>
  <c r="CF988" i="48"/>
  <c r="CE988" i="48"/>
  <c r="CF987" i="48"/>
  <c r="CE987" i="48"/>
  <c r="CF986" i="48"/>
  <c r="CE986" i="48"/>
  <c r="CF985" i="48"/>
  <c r="CE985" i="48"/>
  <c r="CF984" i="48"/>
  <c r="CE984" i="48"/>
  <c r="CF983" i="48"/>
  <c r="CE983" i="48"/>
  <c r="CF982" i="48"/>
  <c r="CE982" i="48"/>
  <c r="CF981" i="48"/>
  <c r="CE981" i="48"/>
  <c r="CF980" i="48"/>
  <c r="CE980" i="48"/>
  <c r="CF979" i="48"/>
  <c r="CE979" i="48"/>
  <c r="CF978" i="48"/>
  <c r="CE978" i="48"/>
  <c r="CF977" i="48"/>
  <c r="CE977" i="48"/>
  <c r="CF976" i="48"/>
  <c r="CE976" i="48"/>
  <c r="CF975" i="48"/>
  <c r="CE975" i="48"/>
  <c r="CF974" i="48"/>
  <c r="CE974" i="48"/>
  <c r="CF973" i="48"/>
  <c r="CE973" i="48"/>
  <c r="CF972" i="48"/>
  <c r="CE972" i="48"/>
  <c r="CF970" i="48"/>
  <c r="CE970" i="48"/>
  <c r="CF969" i="48"/>
  <c r="CE969" i="48"/>
  <c r="CF968" i="48"/>
  <c r="CE968" i="48"/>
  <c r="CF967" i="48"/>
  <c r="CE967" i="48"/>
  <c r="CF966" i="48"/>
  <c r="CE966" i="48"/>
  <c r="CF965" i="48"/>
  <c r="CE965" i="48"/>
  <c r="CF964" i="48"/>
  <c r="CE964" i="48"/>
  <c r="CF963" i="48"/>
  <c r="CE963" i="48"/>
  <c r="CF962" i="48"/>
  <c r="CE962" i="48"/>
  <c r="CF961" i="48"/>
  <c r="CE961" i="48"/>
  <c r="CF960" i="48"/>
  <c r="CE960" i="48"/>
  <c r="CF959" i="48"/>
  <c r="CE959" i="48"/>
  <c r="CF958" i="48"/>
  <c r="CE958" i="48"/>
  <c r="CF957" i="48"/>
  <c r="CE957" i="48"/>
  <c r="CF956" i="48"/>
  <c r="CE956" i="48"/>
  <c r="CF955" i="48"/>
  <c r="CE955" i="48"/>
  <c r="CF954" i="48"/>
  <c r="CE954" i="48"/>
  <c r="CF953" i="48"/>
  <c r="CE953" i="48"/>
  <c r="CF952" i="48"/>
  <c r="CE952" i="48"/>
  <c r="CF951" i="48"/>
  <c r="CE951" i="48"/>
  <c r="CF950" i="48"/>
  <c r="CE950" i="48"/>
  <c r="CF949" i="48"/>
  <c r="CE949" i="48"/>
  <c r="CF948" i="48"/>
  <c r="CE948" i="48"/>
  <c r="CF946" i="48"/>
  <c r="CE946" i="48"/>
  <c r="CF945" i="48"/>
  <c r="CE945" i="48"/>
  <c r="CF944" i="48"/>
  <c r="CE944" i="48"/>
  <c r="CF943" i="48"/>
  <c r="CE943" i="48"/>
  <c r="CF942" i="48"/>
  <c r="CE942" i="48"/>
  <c r="CF941" i="48"/>
  <c r="CE941" i="48"/>
  <c r="CF940" i="48"/>
  <c r="CE940" i="48"/>
  <c r="CF939" i="48"/>
  <c r="CE939" i="48"/>
  <c r="CF938" i="48"/>
  <c r="CE938" i="48"/>
  <c r="CF937" i="48"/>
  <c r="CE937" i="48"/>
  <c r="CF936" i="48"/>
  <c r="CE936" i="48"/>
  <c r="CF935" i="48"/>
  <c r="CE935" i="48"/>
  <c r="CF934" i="48"/>
  <c r="CE934" i="48"/>
  <c r="CF933" i="48"/>
  <c r="CE933" i="48"/>
  <c r="CF932" i="48"/>
  <c r="CE932" i="48"/>
  <c r="CF931" i="48"/>
  <c r="CE931" i="48"/>
  <c r="CF930" i="48"/>
  <c r="CE930" i="48"/>
  <c r="CF929" i="48"/>
  <c r="CE929" i="48"/>
  <c r="CF928" i="48"/>
  <c r="CE928" i="48"/>
  <c r="CF927" i="48"/>
  <c r="CE927" i="48"/>
  <c r="CF926" i="48"/>
  <c r="CE926" i="48"/>
  <c r="CF925" i="48"/>
  <c r="CE925" i="48"/>
  <c r="CF924" i="48"/>
  <c r="CE924" i="48"/>
  <c r="CF922" i="48"/>
  <c r="CE922" i="48"/>
  <c r="CF921" i="48"/>
  <c r="CE921" i="48"/>
  <c r="CF920" i="48"/>
  <c r="CE920" i="48"/>
  <c r="CF919" i="48"/>
  <c r="CE919" i="48"/>
  <c r="CF918" i="48"/>
  <c r="CE918" i="48"/>
  <c r="CF917" i="48"/>
  <c r="CE917" i="48"/>
  <c r="CF916" i="48"/>
  <c r="CE916" i="48"/>
  <c r="CF915" i="48"/>
  <c r="CE915" i="48"/>
  <c r="CF914" i="48"/>
  <c r="CE914" i="48"/>
  <c r="CF913" i="48"/>
  <c r="CE913" i="48"/>
  <c r="CF912" i="48"/>
  <c r="CE912" i="48"/>
  <c r="CF911" i="48"/>
  <c r="CE911" i="48"/>
  <c r="CF910" i="48"/>
  <c r="CE910" i="48"/>
  <c r="CF909" i="48"/>
  <c r="CE909" i="48"/>
  <c r="CF908" i="48"/>
  <c r="CE908" i="48"/>
  <c r="CF907" i="48"/>
  <c r="CE907" i="48"/>
  <c r="CF906" i="48"/>
  <c r="CE906" i="48"/>
  <c r="CF905" i="48"/>
  <c r="CE905" i="48"/>
  <c r="CF904" i="48"/>
  <c r="CE904" i="48"/>
  <c r="CF903" i="48"/>
  <c r="CE903" i="48"/>
  <c r="CF902" i="48"/>
  <c r="CE902" i="48"/>
  <c r="CF901" i="48"/>
  <c r="CE901" i="48"/>
  <c r="CF900" i="48"/>
  <c r="CE900" i="48"/>
  <c r="CF898" i="48"/>
  <c r="CE898" i="48"/>
  <c r="CF897" i="48"/>
  <c r="CE897" i="48"/>
  <c r="CF896" i="48"/>
  <c r="CE896" i="48"/>
  <c r="CF895" i="48"/>
  <c r="CE895" i="48"/>
  <c r="CF894" i="48"/>
  <c r="CE894" i="48"/>
  <c r="CF893" i="48"/>
  <c r="CE893" i="48"/>
  <c r="CF892" i="48"/>
  <c r="CE892" i="48"/>
  <c r="CF891" i="48"/>
  <c r="CE891" i="48"/>
  <c r="CF890" i="48"/>
  <c r="CE890" i="48"/>
  <c r="CF889" i="48"/>
  <c r="CE889" i="48"/>
  <c r="CF888" i="48"/>
  <c r="CE888" i="48"/>
  <c r="CF887" i="48"/>
  <c r="CE887" i="48"/>
  <c r="CF886" i="48"/>
  <c r="CE886" i="48"/>
  <c r="CF885" i="48"/>
  <c r="CE885" i="48"/>
  <c r="CF884" i="48"/>
  <c r="CE884" i="48"/>
  <c r="CF883" i="48"/>
  <c r="CE883" i="48"/>
  <c r="CF882" i="48"/>
  <c r="CE882" i="48"/>
  <c r="CF881" i="48"/>
  <c r="CE881" i="48"/>
  <c r="CF880" i="48"/>
  <c r="CE880" i="48"/>
  <c r="CF879" i="48"/>
  <c r="CE879" i="48"/>
  <c r="CF878" i="48"/>
  <c r="CE878" i="48"/>
  <c r="CF877" i="48"/>
  <c r="CE877" i="48"/>
  <c r="CF876" i="48"/>
  <c r="CE876" i="48"/>
  <c r="CF874" i="48"/>
  <c r="CE874" i="48"/>
  <c r="CF873" i="48"/>
  <c r="CE873" i="48"/>
  <c r="CF872" i="48"/>
  <c r="CE872" i="48"/>
  <c r="CF871" i="48"/>
  <c r="CE871" i="48"/>
  <c r="CF870" i="48"/>
  <c r="CE870" i="48"/>
  <c r="CF869" i="48"/>
  <c r="CE869" i="48"/>
  <c r="CF868" i="48"/>
  <c r="CE868" i="48"/>
  <c r="CF867" i="48"/>
  <c r="CE867" i="48"/>
  <c r="CF866" i="48"/>
  <c r="CE866" i="48"/>
  <c r="CF865" i="48"/>
  <c r="CE865" i="48"/>
  <c r="CF864" i="48"/>
  <c r="CE864" i="48"/>
  <c r="CF863" i="48"/>
  <c r="CE863" i="48"/>
  <c r="CF862" i="48"/>
  <c r="CE862" i="48"/>
  <c r="CF861" i="48"/>
  <c r="CE861" i="48"/>
  <c r="CF860" i="48"/>
  <c r="CE860" i="48"/>
  <c r="CF859" i="48"/>
  <c r="CE859" i="48"/>
  <c r="CF858" i="48"/>
  <c r="CE858" i="48"/>
  <c r="CF857" i="48"/>
  <c r="CE857" i="48"/>
  <c r="CF856" i="48"/>
  <c r="CE856" i="48"/>
  <c r="CF855" i="48"/>
  <c r="CE855" i="48"/>
  <c r="CF854" i="48"/>
  <c r="CE854" i="48"/>
  <c r="CF853" i="48"/>
  <c r="CE853" i="48"/>
  <c r="CF852" i="48"/>
  <c r="CE852" i="48"/>
  <c r="CF850" i="48"/>
  <c r="CE850" i="48"/>
  <c r="CF849" i="48"/>
  <c r="CE849" i="48"/>
  <c r="CF848" i="48"/>
  <c r="CE848" i="48"/>
  <c r="CF847" i="48"/>
  <c r="CE847" i="48"/>
  <c r="CF846" i="48"/>
  <c r="CE846" i="48"/>
  <c r="CF845" i="48"/>
  <c r="CE845" i="48"/>
  <c r="CF844" i="48"/>
  <c r="CE844" i="48"/>
  <c r="CF843" i="48"/>
  <c r="CE843" i="48"/>
  <c r="CF842" i="48"/>
  <c r="CE842" i="48"/>
  <c r="CF841" i="48"/>
  <c r="CE841" i="48"/>
  <c r="CF840" i="48"/>
  <c r="CE840" i="48"/>
  <c r="CF839" i="48"/>
  <c r="CE839" i="48"/>
  <c r="CF838" i="48"/>
  <c r="CE838" i="48"/>
  <c r="CF837" i="48"/>
  <c r="CE837" i="48"/>
  <c r="CF836" i="48"/>
  <c r="CE836" i="48"/>
  <c r="CF835" i="48"/>
  <c r="CE835" i="48"/>
  <c r="CF834" i="48"/>
  <c r="CE834" i="48"/>
  <c r="CF833" i="48"/>
  <c r="CE833" i="48"/>
  <c r="CF832" i="48"/>
  <c r="CE832" i="48"/>
  <c r="CF831" i="48"/>
  <c r="CE831" i="48"/>
  <c r="CF830" i="48"/>
  <c r="CE830" i="48"/>
  <c r="CF829" i="48"/>
  <c r="CE829" i="48"/>
  <c r="CF828" i="48"/>
  <c r="CE828" i="48"/>
  <c r="CF826" i="48"/>
  <c r="CE826" i="48"/>
  <c r="CF825" i="48"/>
  <c r="CE825" i="48"/>
  <c r="CF824" i="48"/>
  <c r="CE824" i="48"/>
  <c r="CF823" i="48"/>
  <c r="CE823" i="48"/>
  <c r="CF822" i="48"/>
  <c r="CE822" i="48"/>
  <c r="CF821" i="48"/>
  <c r="CE821" i="48"/>
  <c r="CF820" i="48"/>
  <c r="CE820" i="48"/>
  <c r="CF819" i="48"/>
  <c r="CE819" i="48"/>
  <c r="CF818" i="48"/>
  <c r="CE818" i="48"/>
  <c r="CF817" i="48"/>
  <c r="CE817" i="48"/>
  <c r="CF816" i="48"/>
  <c r="CE816" i="48"/>
  <c r="CF815" i="48"/>
  <c r="CE815" i="48"/>
  <c r="CF814" i="48"/>
  <c r="CE814" i="48"/>
  <c r="CF813" i="48"/>
  <c r="CE813" i="48"/>
  <c r="CF812" i="48"/>
  <c r="CE812" i="48"/>
  <c r="CF811" i="48"/>
  <c r="CE811" i="48"/>
  <c r="CF810" i="48"/>
  <c r="CE810" i="48"/>
  <c r="CF809" i="48"/>
  <c r="CE809" i="48"/>
  <c r="CF808" i="48"/>
  <c r="CE808" i="48"/>
  <c r="CF807" i="48"/>
  <c r="CE807" i="48"/>
  <c r="CF806" i="48"/>
  <c r="CE806" i="48"/>
  <c r="CF805" i="48"/>
  <c r="CE805" i="48"/>
  <c r="CF804" i="48"/>
  <c r="CE804" i="48"/>
  <c r="CF802" i="48"/>
  <c r="CE802" i="48"/>
  <c r="CF801" i="48"/>
  <c r="CE801" i="48"/>
  <c r="CF800" i="48"/>
  <c r="CE800" i="48"/>
  <c r="CF799" i="48"/>
  <c r="CE799" i="48"/>
  <c r="CF798" i="48"/>
  <c r="CE798" i="48"/>
  <c r="CF797" i="48"/>
  <c r="CE797" i="48"/>
  <c r="CF796" i="48"/>
  <c r="CE796" i="48"/>
  <c r="CF795" i="48"/>
  <c r="CE795" i="48"/>
  <c r="CF794" i="48"/>
  <c r="CE794" i="48"/>
  <c r="CF793" i="48"/>
  <c r="CE793" i="48"/>
  <c r="CF792" i="48"/>
  <c r="CE792" i="48"/>
  <c r="CF791" i="48"/>
  <c r="CE791" i="48"/>
  <c r="CF790" i="48"/>
  <c r="CE790" i="48"/>
  <c r="CF789" i="48"/>
  <c r="CE789" i="48"/>
  <c r="CF788" i="48"/>
  <c r="CE788" i="48"/>
  <c r="CF787" i="48"/>
  <c r="CE787" i="48"/>
  <c r="CF786" i="48"/>
  <c r="CE786" i="48"/>
  <c r="CF785" i="48"/>
  <c r="CE785" i="48"/>
  <c r="CF784" i="48"/>
  <c r="CE784" i="48"/>
  <c r="CF783" i="48"/>
  <c r="CE783" i="48"/>
  <c r="CF782" i="48"/>
  <c r="CE782" i="48"/>
  <c r="CF781" i="48"/>
  <c r="CE781" i="48"/>
  <c r="CF780" i="48"/>
  <c r="CE780" i="48"/>
  <c r="CF778" i="48"/>
  <c r="CE778" i="48"/>
  <c r="CF777" i="48"/>
  <c r="CE777" i="48"/>
  <c r="CF776" i="48"/>
  <c r="CE776" i="48"/>
  <c r="CF775" i="48"/>
  <c r="CE775" i="48"/>
  <c r="CF774" i="48"/>
  <c r="CE774" i="48"/>
  <c r="CF773" i="48"/>
  <c r="CE773" i="48"/>
  <c r="CF772" i="48"/>
  <c r="CE772" i="48"/>
  <c r="CF771" i="48"/>
  <c r="CE771" i="48"/>
  <c r="CF770" i="48"/>
  <c r="CE770" i="48"/>
  <c r="CF769" i="48"/>
  <c r="CE769" i="48"/>
  <c r="CF768" i="48"/>
  <c r="CE768" i="48"/>
  <c r="CF767" i="48"/>
  <c r="CE767" i="48"/>
  <c r="CF766" i="48"/>
  <c r="CE766" i="48"/>
  <c r="CF765" i="48"/>
  <c r="CE765" i="48"/>
  <c r="CF764" i="48"/>
  <c r="CE764" i="48"/>
  <c r="CF763" i="48"/>
  <c r="CE763" i="48"/>
  <c r="CF762" i="48"/>
  <c r="CE762" i="48"/>
  <c r="CF761" i="48"/>
  <c r="CE761" i="48"/>
  <c r="CF760" i="48"/>
  <c r="CE760" i="48"/>
  <c r="CF759" i="48"/>
  <c r="CE759" i="48"/>
  <c r="CF758" i="48"/>
  <c r="CE758" i="48"/>
  <c r="CF757" i="48"/>
  <c r="CE757" i="48"/>
  <c r="CF756" i="48"/>
  <c r="CE756" i="48"/>
  <c r="CF754" i="48"/>
  <c r="CE754" i="48"/>
  <c r="CF753" i="48"/>
  <c r="CE753" i="48"/>
  <c r="CF752" i="48"/>
  <c r="CE752" i="48"/>
  <c r="CF751" i="48"/>
  <c r="CE751" i="48"/>
  <c r="CF750" i="48"/>
  <c r="CE750" i="48"/>
  <c r="CF749" i="48"/>
  <c r="CE749" i="48"/>
  <c r="CF748" i="48"/>
  <c r="CE748" i="48"/>
  <c r="CF747" i="48"/>
  <c r="CE747" i="48"/>
  <c r="CF746" i="48"/>
  <c r="CE746" i="48"/>
  <c r="CF745" i="48"/>
  <c r="CE745" i="48"/>
  <c r="CF744" i="48"/>
  <c r="CE744" i="48"/>
  <c r="CF743" i="48"/>
  <c r="CE743" i="48"/>
  <c r="CF742" i="48"/>
  <c r="CE742" i="48"/>
  <c r="CF741" i="48"/>
  <c r="CE741" i="48"/>
  <c r="CF740" i="48"/>
  <c r="CE740" i="48"/>
  <c r="CF739" i="48"/>
  <c r="CE739" i="48"/>
  <c r="CF738" i="48"/>
  <c r="CE738" i="48"/>
  <c r="CF737" i="48"/>
  <c r="CE737" i="48"/>
  <c r="CF736" i="48"/>
  <c r="CE736" i="48"/>
  <c r="CF735" i="48"/>
  <c r="CE735" i="48"/>
  <c r="CF734" i="48"/>
  <c r="CE734" i="48"/>
  <c r="CF733" i="48"/>
  <c r="CE733" i="48"/>
  <c r="CF732" i="48"/>
  <c r="CE732" i="48"/>
  <c r="CF730" i="48"/>
  <c r="CE730" i="48"/>
  <c r="CF729" i="48"/>
  <c r="CE729" i="48"/>
  <c r="CF728" i="48"/>
  <c r="CE728" i="48"/>
  <c r="CF727" i="48"/>
  <c r="CE727" i="48"/>
  <c r="CF726" i="48"/>
  <c r="CE726" i="48"/>
  <c r="CF725" i="48"/>
  <c r="CE725" i="48"/>
  <c r="CF724" i="48"/>
  <c r="CE724" i="48"/>
  <c r="CF723" i="48"/>
  <c r="CE723" i="48"/>
  <c r="CF722" i="48"/>
  <c r="CE722" i="48"/>
  <c r="CF721" i="48"/>
  <c r="CE721" i="48"/>
  <c r="CF720" i="48"/>
  <c r="CE720" i="48"/>
  <c r="CF719" i="48"/>
  <c r="CE719" i="48"/>
  <c r="CF718" i="48"/>
  <c r="CE718" i="48"/>
  <c r="CF717" i="48"/>
  <c r="CE717" i="48"/>
  <c r="CF716" i="48"/>
  <c r="CE716" i="48"/>
  <c r="CF715" i="48"/>
  <c r="CE715" i="48"/>
  <c r="CF714" i="48"/>
  <c r="CE714" i="48"/>
  <c r="CF713" i="48"/>
  <c r="CE713" i="48"/>
  <c r="CF712" i="48"/>
  <c r="CE712" i="48"/>
  <c r="CF711" i="48"/>
  <c r="CE711" i="48"/>
  <c r="CF710" i="48"/>
  <c r="CE710" i="48"/>
  <c r="CF709" i="48"/>
  <c r="CE709" i="48"/>
  <c r="CF708" i="48"/>
  <c r="CE708" i="48"/>
  <c r="CF706" i="48"/>
  <c r="CE706" i="48"/>
  <c r="CF705" i="48"/>
  <c r="CE705" i="48"/>
  <c r="CF704" i="48"/>
  <c r="CE704" i="48"/>
  <c r="CF703" i="48"/>
  <c r="CE703" i="48"/>
  <c r="CF702" i="48"/>
  <c r="CE702" i="48"/>
  <c r="CF701" i="48"/>
  <c r="CE701" i="48"/>
  <c r="CF700" i="48"/>
  <c r="CE700" i="48"/>
  <c r="CF699" i="48"/>
  <c r="CE699" i="48"/>
  <c r="CF698" i="48"/>
  <c r="CE698" i="48"/>
  <c r="CF697" i="48"/>
  <c r="CE697" i="48"/>
  <c r="CF696" i="48"/>
  <c r="CE696" i="48"/>
  <c r="CF695" i="48"/>
  <c r="CE695" i="48"/>
  <c r="CF694" i="48"/>
  <c r="CE694" i="48"/>
  <c r="CF693" i="48"/>
  <c r="CE693" i="48"/>
  <c r="CF692" i="48"/>
  <c r="CE692" i="48"/>
  <c r="CF691" i="48"/>
  <c r="CE691" i="48"/>
  <c r="CF690" i="48"/>
  <c r="CE690" i="48"/>
  <c r="CF689" i="48"/>
  <c r="CE689" i="48"/>
  <c r="CF688" i="48"/>
  <c r="CE688" i="48"/>
  <c r="CF687" i="48"/>
  <c r="CE687" i="48"/>
  <c r="CF686" i="48"/>
  <c r="CE686" i="48"/>
  <c r="CF685" i="48"/>
  <c r="CE685" i="48"/>
  <c r="CF684" i="48"/>
  <c r="CE684" i="48"/>
  <c r="CF682" i="48"/>
  <c r="CE682" i="48"/>
  <c r="CF681" i="48"/>
  <c r="CE681" i="48"/>
  <c r="CF680" i="48"/>
  <c r="CE680" i="48"/>
  <c r="CF679" i="48"/>
  <c r="CE679" i="48"/>
  <c r="CF678" i="48"/>
  <c r="CE678" i="48"/>
  <c r="CF677" i="48"/>
  <c r="CE677" i="48"/>
  <c r="CF676" i="48"/>
  <c r="CE676" i="48"/>
  <c r="CF675" i="48"/>
  <c r="CE675" i="48"/>
  <c r="CF674" i="48"/>
  <c r="CE674" i="48"/>
  <c r="CF673" i="48"/>
  <c r="CE673" i="48"/>
  <c r="CF672" i="48"/>
  <c r="CE672" i="48"/>
  <c r="CF671" i="48"/>
  <c r="CE671" i="48"/>
  <c r="CF670" i="48"/>
  <c r="CE670" i="48"/>
  <c r="CF669" i="48"/>
  <c r="CE669" i="48"/>
  <c r="CF668" i="48"/>
  <c r="CE668" i="48"/>
  <c r="CF667" i="48"/>
  <c r="CE667" i="48"/>
  <c r="CF666" i="48"/>
  <c r="CE666" i="48"/>
  <c r="CF665" i="48"/>
  <c r="CE665" i="48"/>
  <c r="CF664" i="48"/>
  <c r="CE664" i="48"/>
  <c r="CF663" i="48"/>
  <c r="CE663" i="48"/>
  <c r="CF662" i="48"/>
  <c r="CE662" i="48"/>
  <c r="CF661" i="48"/>
  <c r="CE661" i="48"/>
  <c r="CF660" i="48"/>
  <c r="CE660" i="48"/>
  <c r="CF658" i="48"/>
  <c r="CE658" i="48"/>
  <c r="CF657" i="48"/>
  <c r="CE657" i="48"/>
  <c r="CF656" i="48"/>
  <c r="CE656" i="48"/>
  <c r="CF655" i="48"/>
  <c r="CE655" i="48"/>
  <c r="CF654" i="48"/>
  <c r="CE654" i="48"/>
  <c r="CF653" i="48"/>
  <c r="CE653" i="48"/>
  <c r="CF652" i="48"/>
  <c r="CE652" i="48"/>
  <c r="CF651" i="48"/>
  <c r="CE651" i="48"/>
  <c r="CF650" i="48"/>
  <c r="CE650" i="48"/>
  <c r="CF649" i="48"/>
  <c r="CE649" i="48"/>
  <c r="CF648" i="48"/>
  <c r="CE648" i="48"/>
  <c r="CF647" i="48"/>
  <c r="CE647" i="48"/>
  <c r="CF646" i="48"/>
  <c r="CE646" i="48"/>
  <c r="CF645" i="48"/>
  <c r="CE645" i="48"/>
  <c r="CF644" i="48"/>
  <c r="CE644" i="48"/>
  <c r="CF643" i="48"/>
  <c r="CE643" i="48"/>
  <c r="CF642" i="48"/>
  <c r="CE642" i="48"/>
  <c r="CF641" i="48"/>
  <c r="CE641" i="48"/>
  <c r="CF640" i="48"/>
  <c r="CE640" i="48"/>
  <c r="CF639" i="48"/>
  <c r="CE639" i="48"/>
  <c r="CF638" i="48"/>
  <c r="CE638" i="48"/>
  <c r="CF637" i="48"/>
  <c r="CE637" i="48"/>
  <c r="CF636" i="48"/>
  <c r="CE636" i="48"/>
  <c r="CF634" i="48"/>
  <c r="CE634" i="48"/>
  <c r="CF633" i="48"/>
  <c r="CE633" i="48"/>
  <c r="CF632" i="48"/>
  <c r="CE632" i="48"/>
  <c r="CF631" i="48"/>
  <c r="CE631" i="48"/>
  <c r="CF630" i="48"/>
  <c r="CE630" i="48"/>
  <c r="CF629" i="48"/>
  <c r="CE629" i="48"/>
  <c r="CF628" i="48"/>
  <c r="CE628" i="48"/>
  <c r="CF627" i="48"/>
  <c r="CE627" i="48"/>
  <c r="CF626" i="48"/>
  <c r="CE626" i="48"/>
  <c r="CF625" i="48"/>
  <c r="CE625" i="48"/>
  <c r="CF624" i="48"/>
  <c r="CE624" i="48"/>
  <c r="CF623" i="48"/>
  <c r="CE623" i="48"/>
  <c r="CF622" i="48"/>
  <c r="CE622" i="48"/>
  <c r="CF621" i="48"/>
  <c r="CE621" i="48"/>
  <c r="CF620" i="48"/>
  <c r="CE620" i="48"/>
  <c r="CF619" i="48"/>
  <c r="CE619" i="48"/>
  <c r="CF618" i="48"/>
  <c r="CE618" i="48"/>
  <c r="CF617" i="48"/>
  <c r="CE617" i="48"/>
  <c r="CF616" i="48"/>
  <c r="CE616" i="48"/>
  <c r="CF615" i="48"/>
  <c r="CE615" i="48"/>
  <c r="CF614" i="48"/>
  <c r="CE614" i="48"/>
  <c r="CF613" i="48"/>
  <c r="CE613" i="48"/>
  <c r="CF612" i="48"/>
  <c r="CE612" i="48"/>
  <c r="CF610" i="48"/>
  <c r="CE610" i="48"/>
  <c r="CF609" i="48"/>
  <c r="CE609" i="48"/>
  <c r="CF608" i="48"/>
  <c r="CE608" i="48"/>
  <c r="CF607" i="48"/>
  <c r="CE607" i="48"/>
  <c r="CF606" i="48"/>
  <c r="CE606" i="48"/>
  <c r="CF605" i="48"/>
  <c r="CE605" i="48"/>
  <c r="CF604" i="48"/>
  <c r="CE604" i="48"/>
  <c r="CF603" i="48"/>
  <c r="CE603" i="48"/>
  <c r="CF602" i="48"/>
  <c r="CE602" i="48"/>
  <c r="CF601" i="48"/>
  <c r="CE601" i="48"/>
  <c r="CF600" i="48"/>
  <c r="CE600" i="48"/>
  <c r="CF599" i="48"/>
  <c r="CE599" i="48"/>
  <c r="CF598" i="48"/>
  <c r="CE598" i="48"/>
  <c r="CF597" i="48"/>
  <c r="CE597" i="48"/>
  <c r="CF596" i="48"/>
  <c r="CE596" i="48"/>
  <c r="CF595" i="48"/>
  <c r="CE595" i="48"/>
  <c r="CF594" i="48"/>
  <c r="CE594" i="48"/>
  <c r="CF593" i="48"/>
  <c r="CE593" i="48"/>
  <c r="CF592" i="48"/>
  <c r="CE592" i="48"/>
  <c r="CF591" i="48"/>
  <c r="CE591" i="48"/>
  <c r="CF590" i="48"/>
  <c r="CE590" i="48"/>
  <c r="CF589" i="48"/>
  <c r="CE589" i="48"/>
  <c r="CF588" i="48"/>
  <c r="CE588" i="48"/>
  <c r="CF586" i="48"/>
  <c r="CE586" i="48"/>
  <c r="CF585" i="48"/>
  <c r="CE585" i="48"/>
  <c r="CF584" i="48"/>
  <c r="CE584" i="48"/>
  <c r="CF583" i="48"/>
  <c r="CE583" i="48"/>
  <c r="CF582" i="48"/>
  <c r="CE582" i="48"/>
  <c r="CF581" i="48"/>
  <c r="CE581" i="48"/>
  <c r="CF580" i="48"/>
  <c r="CE580" i="48"/>
  <c r="CF579" i="48"/>
  <c r="CE579" i="48"/>
  <c r="CF578" i="48"/>
  <c r="CE578" i="48"/>
  <c r="CF577" i="48"/>
  <c r="CE577" i="48"/>
  <c r="CF576" i="48"/>
  <c r="CE576" i="48"/>
  <c r="CF575" i="48"/>
  <c r="CE575" i="48"/>
  <c r="CF574" i="48"/>
  <c r="CE574" i="48"/>
  <c r="CF573" i="48"/>
  <c r="CE573" i="48"/>
  <c r="CF572" i="48"/>
  <c r="CE572" i="48"/>
  <c r="CF571" i="48"/>
  <c r="CE571" i="48"/>
  <c r="CF570" i="48"/>
  <c r="CE570" i="48"/>
  <c r="CF569" i="48"/>
  <c r="CE569" i="48"/>
  <c r="CF568" i="48"/>
  <c r="CE568" i="48"/>
  <c r="CF567" i="48"/>
  <c r="CE567" i="48"/>
  <c r="CF566" i="48"/>
  <c r="CE566" i="48"/>
  <c r="CF565" i="48"/>
  <c r="CE565" i="48"/>
  <c r="CF564" i="48"/>
  <c r="CE564" i="48"/>
  <c r="CF562" i="48"/>
  <c r="CE562" i="48"/>
  <c r="CF561" i="48"/>
  <c r="CE561" i="48"/>
  <c r="CF560" i="48"/>
  <c r="CE560" i="48"/>
  <c r="CF559" i="48"/>
  <c r="CE559" i="48"/>
  <c r="CF558" i="48"/>
  <c r="CE558" i="48"/>
  <c r="CF557" i="48"/>
  <c r="CE557" i="48"/>
  <c r="CF556" i="48"/>
  <c r="CE556" i="48"/>
  <c r="CF555" i="48"/>
  <c r="CE555" i="48"/>
  <c r="CF554" i="48"/>
  <c r="CE554" i="48"/>
  <c r="CF553" i="48"/>
  <c r="CE553" i="48"/>
  <c r="CF552" i="48"/>
  <c r="CE552" i="48"/>
  <c r="CF551" i="48"/>
  <c r="CE551" i="48"/>
  <c r="CF550" i="48"/>
  <c r="CE550" i="48"/>
  <c r="CF549" i="48"/>
  <c r="CE549" i="48"/>
  <c r="CF548" i="48"/>
  <c r="CE548" i="48"/>
  <c r="CF547" i="48"/>
  <c r="CE547" i="48"/>
  <c r="CF546" i="48"/>
  <c r="CE546" i="48"/>
  <c r="CF545" i="48"/>
  <c r="CE545" i="48"/>
  <c r="CF544" i="48"/>
  <c r="CE544" i="48"/>
  <c r="CF543" i="48"/>
  <c r="CE543" i="48"/>
  <c r="CF542" i="48"/>
  <c r="CE542" i="48"/>
  <c r="CF541" i="48"/>
  <c r="CE541" i="48"/>
  <c r="CF540" i="48"/>
  <c r="CE540" i="48"/>
  <c r="CF538" i="48"/>
  <c r="CE538" i="48"/>
  <c r="CF537" i="48"/>
  <c r="CE537" i="48"/>
  <c r="CF536" i="48"/>
  <c r="CE536" i="48"/>
  <c r="CF535" i="48"/>
  <c r="CE535" i="48"/>
  <c r="CF534" i="48"/>
  <c r="CE534" i="48"/>
  <c r="CF533" i="48"/>
  <c r="CE533" i="48"/>
  <c r="CF532" i="48"/>
  <c r="CE532" i="48"/>
  <c r="CF531" i="48"/>
  <c r="CE531" i="48"/>
  <c r="CF530" i="48"/>
  <c r="CE530" i="48"/>
  <c r="CF529" i="48"/>
  <c r="CE529" i="48"/>
  <c r="CF528" i="48"/>
  <c r="CE528" i="48"/>
  <c r="CF527" i="48"/>
  <c r="CE527" i="48"/>
  <c r="CF526" i="48"/>
  <c r="CE526" i="48"/>
  <c r="CF525" i="48"/>
  <c r="CE525" i="48"/>
  <c r="CF524" i="48"/>
  <c r="CE524" i="48"/>
  <c r="CF523" i="48"/>
  <c r="CE523" i="48"/>
  <c r="CF522" i="48"/>
  <c r="CE522" i="48"/>
  <c r="CF521" i="48"/>
  <c r="CE521" i="48"/>
  <c r="CF520" i="48"/>
  <c r="CE520" i="48"/>
  <c r="CF519" i="48"/>
  <c r="CE519" i="48"/>
  <c r="CF518" i="48"/>
  <c r="CE518" i="48"/>
  <c r="CF517" i="48"/>
  <c r="CE517" i="48"/>
  <c r="CF516" i="48"/>
  <c r="CE516" i="48"/>
  <c r="CF514" i="48"/>
  <c r="CE514" i="48"/>
  <c r="CF513" i="48"/>
  <c r="CE513" i="48"/>
  <c r="CF512" i="48"/>
  <c r="CE512" i="48"/>
  <c r="CF511" i="48"/>
  <c r="CE511" i="48"/>
  <c r="CF510" i="48"/>
  <c r="CE510" i="48"/>
  <c r="CF509" i="48"/>
  <c r="CE509" i="48"/>
  <c r="CF508" i="48"/>
  <c r="CE508" i="48"/>
  <c r="CF507" i="48"/>
  <c r="CE507" i="48"/>
  <c r="CF506" i="48"/>
  <c r="CE506" i="48"/>
  <c r="CF505" i="48"/>
  <c r="CE505" i="48"/>
  <c r="CF504" i="48"/>
  <c r="CE504" i="48"/>
  <c r="CF503" i="48"/>
  <c r="CE503" i="48"/>
  <c r="CF502" i="48"/>
  <c r="CE502" i="48"/>
  <c r="CF501" i="48"/>
  <c r="CE501" i="48"/>
  <c r="CF500" i="48"/>
  <c r="CE500" i="48"/>
  <c r="CF499" i="48"/>
  <c r="CE499" i="48"/>
  <c r="CF498" i="48"/>
  <c r="CE498" i="48"/>
  <c r="CF497" i="48"/>
  <c r="CE497" i="48"/>
  <c r="CF496" i="48"/>
  <c r="CE496" i="48"/>
  <c r="CF495" i="48"/>
  <c r="CE495" i="48"/>
  <c r="CF494" i="48"/>
  <c r="CE494" i="48"/>
  <c r="CF493" i="48"/>
  <c r="CE493" i="48"/>
  <c r="CF492" i="48"/>
  <c r="CE492" i="48"/>
  <c r="CF490" i="48"/>
  <c r="CE490" i="48"/>
  <c r="CF489" i="48"/>
  <c r="CE489" i="48"/>
  <c r="CF488" i="48"/>
  <c r="CE488" i="48"/>
  <c r="CF487" i="48"/>
  <c r="CE487" i="48"/>
  <c r="CF486" i="48"/>
  <c r="CE486" i="48"/>
  <c r="CF485" i="48"/>
  <c r="CE485" i="48"/>
  <c r="CF484" i="48"/>
  <c r="CE484" i="48"/>
  <c r="CF483" i="48"/>
  <c r="CE483" i="48"/>
  <c r="CF482" i="48"/>
  <c r="CE482" i="48"/>
  <c r="CF481" i="48"/>
  <c r="CE481" i="48"/>
  <c r="CF480" i="48"/>
  <c r="CE480" i="48"/>
  <c r="CF479" i="48"/>
  <c r="CE479" i="48"/>
  <c r="CF478" i="48"/>
  <c r="CE478" i="48"/>
  <c r="CF477" i="48"/>
  <c r="CE477" i="48"/>
  <c r="CF476" i="48"/>
  <c r="CE476" i="48"/>
  <c r="CF475" i="48"/>
  <c r="CE475" i="48"/>
  <c r="CF474" i="48"/>
  <c r="CE474" i="48"/>
  <c r="CF473" i="48"/>
  <c r="CE473" i="48"/>
  <c r="CF472" i="48"/>
  <c r="CE472" i="48"/>
  <c r="CF471" i="48"/>
  <c r="CE471" i="48"/>
  <c r="CF470" i="48"/>
  <c r="CE470" i="48"/>
  <c r="CF469" i="48"/>
  <c r="CE469" i="48"/>
  <c r="CF468" i="48"/>
  <c r="CE468" i="48"/>
  <c r="CF466" i="48"/>
  <c r="CE466" i="48"/>
  <c r="CF465" i="48"/>
  <c r="CE465" i="48"/>
  <c r="CF464" i="48"/>
  <c r="CE464" i="48"/>
  <c r="CF463" i="48"/>
  <c r="CE463" i="48"/>
  <c r="CF462" i="48"/>
  <c r="CE462" i="48"/>
  <c r="CF461" i="48"/>
  <c r="CE461" i="48"/>
  <c r="CF460" i="48"/>
  <c r="CE460" i="48"/>
  <c r="CF459" i="48"/>
  <c r="CE459" i="48"/>
  <c r="CF458" i="48"/>
  <c r="CE458" i="48"/>
  <c r="CF457" i="48"/>
  <c r="CE457" i="48"/>
  <c r="CF456" i="48"/>
  <c r="CE456" i="48"/>
  <c r="CF455" i="48"/>
  <c r="CE455" i="48"/>
  <c r="CF454" i="48"/>
  <c r="CE454" i="48"/>
  <c r="CF453" i="48"/>
  <c r="CE453" i="48"/>
  <c r="CF452" i="48"/>
  <c r="CE452" i="48"/>
  <c r="CF451" i="48"/>
  <c r="CE451" i="48"/>
  <c r="CF450" i="48"/>
  <c r="CE450" i="48"/>
  <c r="CF449" i="48"/>
  <c r="CE449" i="48"/>
  <c r="CF448" i="48"/>
  <c r="CE448" i="48"/>
  <c r="CF447" i="48"/>
  <c r="CE447" i="48"/>
  <c r="CF446" i="48"/>
  <c r="CE446" i="48"/>
  <c r="CF445" i="48"/>
  <c r="CE445" i="48"/>
  <c r="CF444" i="48"/>
  <c r="CE444" i="48"/>
  <c r="CF442" i="48"/>
  <c r="CE442" i="48"/>
  <c r="CF441" i="48"/>
  <c r="CE441" i="48"/>
  <c r="CF440" i="48"/>
  <c r="CE440" i="48"/>
  <c r="CF439" i="48"/>
  <c r="CE439" i="48"/>
  <c r="CF438" i="48"/>
  <c r="CE438" i="48"/>
  <c r="CF437" i="48"/>
  <c r="CE437" i="48"/>
  <c r="CF436" i="48"/>
  <c r="CE436" i="48"/>
  <c r="CF435" i="48"/>
  <c r="CE435" i="48"/>
  <c r="CF434" i="48"/>
  <c r="CE434" i="48"/>
  <c r="CF433" i="48"/>
  <c r="CE433" i="48"/>
  <c r="CF432" i="48"/>
  <c r="CE432" i="48"/>
  <c r="CF431" i="48"/>
  <c r="CE431" i="48"/>
  <c r="CF430" i="48"/>
  <c r="CE430" i="48"/>
  <c r="CF429" i="48"/>
  <c r="CE429" i="48"/>
  <c r="CF428" i="48"/>
  <c r="CE428" i="48"/>
  <c r="CF427" i="48"/>
  <c r="CE427" i="48"/>
  <c r="CF426" i="48"/>
  <c r="CE426" i="48"/>
  <c r="CF425" i="48"/>
  <c r="CE425" i="48"/>
  <c r="CF424" i="48"/>
  <c r="CE424" i="48"/>
  <c r="CF423" i="48"/>
  <c r="CE423" i="48"/>
  <c r="CF422" i="48"/>
  <c r="CE422" i="48"/>
  <c r="CF421" i="48"/>
  <c r="CE421" i="48"/>
  <c r="CF420" i="48"/>
  <c r="CE420" i="48"/>
  <c r="CF418" i="48"/>
  <c r="CE418" i="48"/>
  <c r="CF417" i="48"/>
  <c r="CE417" i="48"/>
  <c r="CF416" i="48"/>
  <c r="CE416" i="48"/>
  <c r="CF415" i="48"/>
  <c r="CE415" i="48"/>
  <c r="CF414" i="48"/>
  <c r="CE414" i="48"/>
  <c r="CF413" i="48"/>
  <c r="CE413" i="48"/>
  <c r="CF412" i="48"/>
  <c r="CE412" i="48"/>
  <c r="CF411" i="48"/>
  <c r="CE411" i="48"/>
  <c r="CF410" i="48"/>
  <c r="CE410" i="48"/>
  <c r="CF409" i="48"/>
  <c r="CE409" i="48"/>
  <c r="CF408" i="48"/>
  <c r="CE408" i="48"/>
  <c r="CF407" i="48"/>
  <c r="CE407" i="48"/>
  <c r="CF406" i="48"/>
  <c r="CE406" i="48"/>
  <c r="CF405" i="48"/>
  <c r="CE405" i="48"/>
  <c r="CF404" i="48"/>
  <c r="CE404" i="48"/>
  <c r="CF403" i="48"/>
  <c r="CE403" i="48"/>
  <c r="CF402" i="48"/>
  <c r="CE402" i="48"/>
  <c r="CF401" i="48"/>
  <c r="CE401" i="48"/>
  <c r="CF400" i="48"/>
  <c r="CE400" i="48"/>
  <c r="CF399" i="48"/>
  <c r="CE399" i="48"/>
  <c r="CF398" i="48"/>
  <c r="CE398" i="48"/>
  <c r="CF397" i="48"/>
  <c r="CE397" i="48"/>
  <c r="CF396" i="48"/>
  <c r="CE396" i="48"/>
  <c r="CF394" i="48"/>
  <c r="CE394" i="48"/>
  <c r="CF393" i="48"/>
  <c r="CE393" i="48"/>
  <c r="CF392" i="48"/>
  <c r="CE392" i="48"/>
  <c r="CF391" i="48"/>
  <c r="CE391" i="48"/>
  <c r="CF390" i="48"/>
  <c r="CE390" i="48"/>
  <c r="CF389" i="48"/>
  <c r="CE389" i="48"/>
  <c r="CF388" i="48"/>
  <c r="CE388" i="48"/>
  <c r="CF387" i="48"/>
  <c r="CE387" i="48"/>
  <c r="CF386" i="48"/>
  <c r="CE386" i="48"/>
  <c r="CF385" i="48"/>
  <c r="CE385" i="48"/>
  <c r="CF384" i="48"/>
  <c r="CE384" i="48"/>
  <c r="CF383" i="48"/>
  <c r="CE383" i="48"/>
  <c r="CF382" i="48"/>
  <c r="CE382" i="48"/>
  <c r="CF381" i="48"/>
  <c r="CE381" i="48"/>
  <c r="CF380" i="48"/>
  <c r="CE380" i="48"/>
  <c r="CF379" i="48"/>
  <c r="CE379" i="48"/>
  <c r="CF378" i="48"/>
  <c r="CE378" i="48"/>
  <c r="CF377" i="48"/>
  <c r="CE377" i="48"/>
  <c r="CF376" i="48"/>
  <c r="CE376" i="48"/>
  <c r="CF375" i="48"/>
  <c r="CE375" i="48"/>
  <c r="CF374" i="48"/>
  <c r="CE374" i="48"/>
  <c r="CF373" i="48"/>
  <c r="CE373" i="48"/>
  <c r="CF372" i="48"/>
  <c r="CE372" i="48"/>
  <c r="CF370" i="48"/>
  <c r="CE370" i="48"/>
  <c r="CF369" i="48"/>
  <c r="CE369" i="48"/>
  <c r="CF368" i="48"/>
  <c r="CE368" i="48"/>
  <c r="CF367" i="48"/>
  <c r="CE367" i="48"/>
  <c r="CF366" i="48"/>
  <c r="CE366" i="48"/>
  <c r="CF365" i="48"/>
  <c r="CE365" i="48"/>
  <c r="CF364" i="48"/>
  <c r="CE364" i="48"/>
  <c r="CF363" i="48"/>
  <c r="CE363" i="48"/>
  <c r="CF362" i="48"/>
  <c r="CE362" i="48"/>
  <c r="CF361" i="48"/>
  <c r="CE361" i="48"/>
  <c r="CF360" i="48"/>
  <c r="CE360" i="48"/>
  <c r="CF359" i="48"/>
  <c r="CE359" i="48"/>
  <c r="CF358" i="48"/>
  <c r="CE358" i="48"/>
  <c r="CF357" i="48"/>
  <c r="CE357" i="48"/>
  <c r="CF356" i="48"/>
  <c r="CE356" i="48"/>
  <c r="CF355" i="48"/>
  <c r="CE355" i="48"/>
  <c r="CF354" i="48"/>
  <c r="CE354" i="48"/>
  <c r="CF353" i="48"/>
  <c r="CE353" i="48"/>
  <c r="CF352" i="48"/>
  <c r="CE352" i="48"/>
  <c r="CF351" i="48"/>
  <c r="CE351" i="48"/>
  <c r="CF350" i="48"/>
  <c r="CE350" i="48"/>
  <c r="CF349" i="48"/>
  <c r="CE349" i="48"/>
  <c r="CF348" i="48"/>
  <c r="CE348" i="48"/>
  <c r="CF346" i="48"/>
  <c r="CE346" i="48"/>
  <c r="CF345" i="48"/>
  <c r="CE345" i="48"/>
  <c r="CF344" i="48"/>
  <c r="CE344" i="48"/>
  <c r="CF343" i="48"/>
  <c r="CE343" i="48"/>
  <c r="CF342" i="48"/>
  <c r="CE342" i="48"/>
  <c r="CF341" i="48"/>
  <c r="CE341" i="48"/>
  <c r="CF340" i="48"/>
  <c r="CE340" i="48"/>
  <c r="CF339" i="48"/>
  <c r="CE339" i="48"/>
  <c r="CF338" i="48"/>
  <c r="CE338" i="48"/>
  <c r="CF337" i="48"/>
  <c r="CE337" i="48"/>
  <c r="CF336" i="48"/>
  <c r="CE336" i="48"/>
  <c r="CF335" i="48"/>
  <c r="CE335" i="48"/>
  <c r="CF334" i="48"/>
  <c r="CE334" i="48"/>
  <c r="CF333" i="48"/>
  <c r="CE333" i="48"/>
  <c r="CF332" i="48"/>
  <c r="CE332" i="48"/>
  <c r="CF331" i="48"/>
  <c r="CE331" i="48"/>
  <c r="CF330" i="48"/>
  <c r="CE330" i="48"/>
  <c r="CF329" i="48"/>
  <c r="CE329" i="48"/>
  <c r="CF328" i="48"/>
  <c r="CE328" i="48"/>
  <c r="CF327" i="48"/>
  <c r="CE327" i="48"/>
  <c r="CF326" i="48"/>
  <c r="CE326" i="48"/>
  <c r="CF325" i="48"/>
  <c r="CE325" i="48"/>
  <c r="CF324" i="48"/>
  <c r="CE324" i="48"/>
  <c r="CF322" i="48"/>
  <c r="CE322" i="48"/>
  <c r="CF321" i="48"/>
  <c r="CE321" i="48"/>
  <c r="CF320" i="48"/>
  <c r="CE320" i="48"/>
  <c r="CF319" i="48"/>
  <c r="CE319" i="48"/>
  <c r="CF318" i="48"/>
  <c r="CE318" i="48"/>
  <c r="CF317" i="48"/>
  <c r="CE317" i="48"/>
  <c r="CF316" i="48"/>
  <c r="CE316" i="48"/>
  <c r="CF315" i="48"/>
  <c r="CE315" i="48"/>
  <c r="CF314" i="48"/>
  <c r="CE314" i="48"/>
  <c r="CF313" i="48"/>
  <c r="CE313" i="48"/>
  <c r="CF312" i="48"/>
  <c r="CE312" i="48"/>
  <c r="CF311" i="48"/>
  <c r="CE311" i="48"/>
  <c r="CF310" i="48"/>
  <c r="CE310" i="48"/>
  <c r="CF309" i="48"/>
  <c r="CE309" i="48"/>
  <c r="CF308" i="48"/>
  <c r="CE308" i="48"/>
  <c r="CF307" i="48"/>
  <c r="CE307" i="48"/>
  <c r="CF306" i="48"/>
  <c r="CE306" i="48"/>
  <c r="CF305" i="48"/>
  <c r="CE305" i="48"/>
  <c r="CF304" i="48"/>
  <c r="CE304" i="48"/>
  <c r="CF303" i="48"/>
  <c r="CE303" i="48"/>
  <c r="CF302" i="48"/>
  <c r="CE302" i="48"/>
  <c r="CF301" i="48"/>
  <c r="CE301" i="48"/>
  <c r="CF300" i="48"/>
  <c r="CE300" i="48"/>
  <c r="CF298" i="48"/>
  <c r="CE298" i="48"/>
  <c r="CF297" i="48"/>
  <c r="CE297" i="48"/>
  <c r="CF296" i="48"/>
  <c r="CE296" i="48"/>
  <c r="CF295" i="48"/>
  <c r="CE295" i="48"/>
  <c r="CF294" i="48"/>
  <c r="CE294" i="48"/>
  <c r="CF293" i="48"/>
  <c r="CE293" i="48"/>
  <c r="CF292" i="48"/>
  <c r="CE292" i="48"/>
  <c r="CF291" i="48"/>
  <c r="CE291" i="48"/>
  <c r="CF290" i="48"/>
  <c r="CE290" i="48"/>
  <c r="CF289" i="48"/>
  <c r="CE289" i="48"/>
  <c r="CF288" i="48"/>
  <c r="CE288" i="48"/>
  <c r="CF287" i="48"/>
  <c r="CE287" i="48"/>
  <c r="CF286" i="48"/>
  <c r="CE286" i="48"/>
  <c r="CF285" i="48"/>
  <c r="CE285" i="48"/>
  <c r="CF284" i="48"/>
  <c r="CE284" i="48"/>
  <c r="CF283" i="48"/>
  <c r="CE283" i="48"/>
  <c r="CF282" i="48"/>
  <c r="CE282" i="48"/>
  <c r="CF281" i="48"/>
  <c r="CE281" i="48"/>
  <c r="CF280" i="48"/>
  <c r="CE280" i="48"/>
  <c r="CF279" i="48"/>
  <c r="CE279" i="48"/>
  <c r="CF278" i="48"/>
  <c r="CE278" i="48"/>
  <c r="CF277" i="48"/>
  <c r="CE277" i="48"/>
  <c r="CF276" i="48"/>
  <c r="CE276" i="48"/>
  <c r="CF274" i="48"/>
  <c r="CE274" i="48"/>
  <c r="CF273" i="48"/>
  <c r="CE273" i="48"/>
  <c r="CF272" i="48"/>
  <c r="CE272" i="48"/>
  <c r="CF271" i="48"/>
  <c r="CE271" i="48"/>
  <c r="CF270" i="48"/>
  <c r="CE270" i="48"/>
  <c r="CF269" i="48"/>
  <c r="CE269" i="48"/>
  <c r="CF268" i="48"/>
  <c r="CE268" i="48"/>
  <c r="CF267" i="48"/>
  <c r="CE267" i="48"/>
  <c r="CF266" i="48"/>
  <c r="CE266" i="48"/>
  <c r="CF265" i="48"/>
  <c r="CE265" i="48"/>
  <c r="CF264" i="48"/>
  <c r="CE264" i="48"/>
  <c r="CF263" i="48"/>
  <c r="CE263" i="48"/>
  <c r="CF262" i="48"/>
  <c r="CE262" i="48"/>
  <c r="CF261" i="48"/>
  <c r="CE261" i="48"/>
  <c r="CF260" i="48"/>
  <c r="CE260" i="48"/>
  <c r="CF259" i="48"/>
  <c r="CE259" i="48"/>
  <c r="CF258" i="48"/>
  <c r="CE258" i="48"/>
  <c r="CF257" i="48"/>
  <c r="CE257" i="48"/>
  <c r="CF256" i="48"/>
  <c r="CE256" i="48"/>
  <c r="CF255" i="48"/>
  <c r="CE255" i="48"/>
  <c r="CF254" i="48"/>
  <c r="CE254" i="48"/>
  <c r="CF253" i="48"/>
  <c r="CE253" i="48"/>
  <c r="CF252" i="48"/>
  <c r="CE252" i="48"/>
  <c r="CF250" i="48"/>
  <c r="CE250" i="48"/>
  <c r="CF249" i="48"/>
  <c r="CE249" i="48"/>
  <c r="CF248" i="48"/>
  <c r="CE248" i="48"/>
  <c r="CF247" i="48"/>
  <c r="CE247" i="48"/>
  <c r="CF246" i="48"/>
  <c r="CE246" i="48"/>
  <c r="CF245" i="48"/>
  <c r="CE245" i="48"/>
  <c r="CF244" i="48"/>
  <c r="CE244" i="48"/>
  <c r="CF243" i="48"/>
  <c r="CE243" i="48"/>
  <c r="CF242" i="48"/>
  <c r="CE242" i="48"/>
  <c r="CF241" i="48"/>
  <c r="CE241" i="48"/>
  <c r="CF240" i="48"/>
  <c r="CE240" i="48"/>
  <c r="CF239" i="48"/>
  <c r="CE239" i="48"/>
  <c r="CF238" i="48"/>
  <c r="CE238" i="48"/>
  <c r="CF237" i="48"/>
  <c r="CE237" i="48"/>
  <c r="CF236" i="48"/>
  <c r="CE236" i="48"/>
  <c r="CF235" i="48"/>
  <c r="CE235" i="48"/>
  <c r="CF234" i="48"/>
  <c r="CE234" i="48"/>
  <c r="CF233" i="48"/>
  <c r="CE233" i="48"/>
  <c r="CF232" i="48"/>
  <c r="CE232" i="48"/>
  <c r="CF231" i="48"/>
  <c r="CE231" i="48"/>
  <c r="CF230" i="48"/>
  <c r="CE230" i="48"/>
  <c r="CF229" i="48"/>
  <c r="CE229" i="48"/>
  <c r="CF228" i="48"/>
  <c r="CE228" i="48"/>
  <c r="CF226" i="48"/>
  <c r="CE226" i="48"/>
  <c r="CF225" i="48"/>
  <c r="CE225" i="48"/>
  <c r="CF224" i="48"/>
  <c r="CE224" i="48"/>
  <c r="CF223" i="48"/>
  <c r="CE223" i="48"/>
  <c r="CF222" i="48"/>
  <c r="CE222" i="48"/>
  <c r="CF221" i="48"/>
  <c r="CE221" i="48"/>
  <c r="CF220" i="48"/>
  <c r="CE220" i="48"/>
  <c r="CF219" i="48"/>
  <c r="CE219" i="48"/>
  <c r="CF218" i="48"/>
  <c r="CE218" i="48"/>
  <c r="CF217" i="48"/>
  <c r="CE217" i="48"/>
  <c r="CF216" i="48"/>
  <c r="CE216" i="48"/>
  <c r="CF215" i="48"/>
  <c r="CE215" i="48"/>
  <c r="CF214" i="48"/>
  <c r="CE214" i="48"/>
  <c r="CF213" i="48"/>
  <c r="CE213" i="48"/>
  <c r="CF212" i="48"/>
  <c r="CE212" i="48"/>
  <c r="CF211" i="48"/>
  <c r="CE211" i="48"/>
  <c r="CF210" i="48"/>
  <c r="CE210" i="48"/>
  <c r="CF209" i="48"/>
  <c r="CE209" i="48"/>
  <c r="CF208" i="48"/>
  <c r="CE208" i="48"/>
  <c r="CF207" i="48"/>
  <c r="CE207" i="48"/>
  <c r="CF206" i="48"/>
  <c r="CE206" i="48"/>
  <c r="CF205" i="48"/>
  <c r="CE205" i="48"/>
  <c r="CF204" i="48"/>
  <c r="CE204" i="48"/>
  <c r="CF202" i="48"/>
  <c r="CE202" i="48"/>
  <c r="CF201" i="48"/>
  <c r="CE201" i="48"/>
  <c r="CF200" i="48"/>
  <c r="CE200" i="48"/>
  <c r="CF199" i="48"/>
  <c r="CE199" i="48"/>
  <c r="CF198" i="48"/>
  <c r="CE198" i="48"/>
  <c r="CF197" i="48"/>
  <c r="CE197" i="48"/>
  <c r="CF196" i="48"/>
  <c r="CE196" i="48"/>
  <c r="CF195" i="48"/>
  <c r="CE195" i="48"/>
  <c r="CF194" i="48"/>
  <c r="CE194" i="48"/>
  <c r="CF193" i="48"/>
  <c r="CE193" i="48"/>
  <c r="CF192" i="48"/>
  <c r="CE192" i="48"/>
  <c r="CF191" i="48"/>
  <c r="CE191" i="48"/>
  <c r="CF190" i="48"/>
  <c r="CE190" i="48"/>
  <c r="CF189" i="48"/>
  <c r="CE189" i="48"/>
  <c r="CF188" i="48"/>
  <c r="CE188" i="48"/>
  <c r="CF187" i="48"/>
  <c r="CE187" i="48"/>
  <c r="CF186" i="48"/>
  <c r="CE186" i="48"/>
  <c r="CF185" i="48"/>
  <c r="CE185" i="48"/>
  <c r="CF184" i="48"/>
  <c r="CE184" i="48"/>
  <c r="CF183" i="48"/>
  <c r="CE183" i="48"/>
  <c r="CF182" i="48"/>
  <c r="CE182" i="48"/>
  <c r="CF181" i="48"/>
  <c r="CE181" i="48"/>
  <c r="CF180" i="48"/>
  <c r="CE180" i="48"/>
  <c r="CF178" i="48"/>
  <c r="CE178" i="48"/>
  <c r="CF177" i="48"/>
  <c r="CE177" i="48"/>
  <c r="CF176" i="48"/>
  <c r="CE176" i="48"/>
  <c r="CF175" i="48"/>
  <c r="CE175" i="48"/>
  <c r="CF174" i="48"/>
  <c r="CE174" i="48"/>
  <c r="CF173" i="48"/>
  <c r="CE173" i="48"/>
  <c r="CF172" i="48"/>
  <c r="CE172" i="48"/>
  <c r="CF171" i="48"/>
  <c r="CE171" i="48"/>
  <c r="CF170" i="48"/>
  <c r="CE170" i="48"/>
  <c r="CF169" i="48"/>
  <c r="CE169" i="48"/>
  <c r="CF168" i="48"/>
  <c r="CE168" i="48"/>
  <c r="CF167" i="48"/>
  <c r="CE167" i="48"/>
  <c r="CF166" i="48"/>
  <c r="CE166" i="48"/>
  <c r="CF165" i="48"/>
  <c r="CE165" i="48"/>
  <c r="CF164" i="48"/>
  <c r="CE164" i="48"/>
  <c r="CF163" i="48"/>
  <c r="CE163" i="48"/>
  <c r="CF162" i="48"/>
  <c r="CE162" i="48"/>
  <c r="CF161" i="48"/>
  <c r="CE161" i="48"/>
  <c r="CF160" i="48"/>
  <c r="CE160" i="48"/>
  <c r="CF159" i="48"/>
  <c r="CE159" i="48"/>
  <c r="CF158" i="48"/>
  <c r="CE158" i="48"/>
  <c r="CF157" i="48"/>
  <c r="CE157" i="48"/>
  <c r="CF156" i="48"/>
  <c r="CE156" i="48"/>
  <c r="CF154" i="48"/>
  <c r="CE154" i="48"/>
  <c r="CF153" i="48"/>
  <c r="CE153" i="48"/>
  <c r="CF152" i="48"/>
  <c r="CE152" i="48"/>
  <c r="CF151" i="48"/>
  <c r="CE151" i="48"/>
  <c r="CF150" i="48"/>
  <c r="CE150" i="48"/>
  <c r="CF149" i="48"/>
  <c r="CE149" i="48"/>
  <c r="CF148" i="48"/>
  <c r="CE148" i="48"/>
  <c r="CF147" i="48"/>
  <c r="CE147" i="48"/>
  <c r="CF146" i="48"/>
  <c r="CE146" i="48"/>
  <c r="CF145" i="48"/>
  <c r="CE145" i="48"/>
  <c r="CF144" i="48"/>
  <c r="CE144" i="48"/>
  <c r="CF143" i="48"/>
  <c r="CE143" i="48"/>
  <c r="CF142" i="48"/>
  <c r="CE142" i="48"/>
  <c r="CF141" i="48"/>
  <c r="CE141" i="48"/>
  <c r="CF140" i="48"/>
  <c r="CE140" i="48"/>
  <c r="CF139" i="48"/>
  <c r="CE139" i="48"/>
  <c r="CF138" i="48"/>
  <c r="CE138" i="48"/>
  <c r="CF137" i="48"/>
  <c r="CE137" i="48"/>
  <c r="CF136" i="48"/>
  <c r="CE136" i="48"/>
  <c r="CF135" i="48"/>
  <c r="CE135" i="48"/>
  <c r="CF134" i="48"/>
  <c r="CE134" i="48"/>
  <c r="CF133" i="48"/>
  <c r="CE133" i="48"/>
  <c r="CF132" i="48"/>
  <c r="CE132" i="48"/>
  <c r="CF130" i="48"/>
  <c r="CE130" i="48"/>
  <c r="CF129" i="48"/>
  <c r="CE129" i="48"/>
  <c r="CF128" i="48"/>
  <c r="CE128" i="48"/>
  <c r="CF127" i="48"/>
  <c r="CE127" i="48"/>
  <c r="CF126" i="48"/>
  <c r="CE126" i="48"/>
  <c r="CF125" i="48"/>
  <c r="CE125" i="48"/>
  <c r="CF124" i="48"/>
  <c r="CE124" i="48"/>
  <c r="CF123" i="48"/>
  <c r="CE123" i="48"/>
  <c r="CF122" i="48"/>
  <c r="CE122" i="48"/>
  <c r="CF121" i="48"/>
  <c r="CE121" i="48"/>
  <c r="CF120" i="48"/>
  <c r="CE120" i="48"/>
  <c r="CF119" i="48"/>
  <c r="CE119" i="48"/>
  <c r="CF118" i="48"/>
  <c r="CE118" i="48"/>
  <c r="CF117" i="48"/>
  <c r="CE117" i="48"/>
  <c r="CF116" i="48"/>
  <c r="CE116" i="48"/>
  <c r="CF115" i="48"/>
  <c r="CE115" i="48"/>
  <c r="CF114" i="48"/>
  <c r="CE114" i="48"/>
  <c r="CF113" i="48"/>
  <c r="CE113" i="48"/>
  <c r="CF112" i="48"/>
  <c r="CE112" i="48"/>
  <c r="CF111" i="48"/>
  <c r="CE111" i="48"/>
  <c r="CF110" i="48"/>
  <c r="CE110" i="48"/>
  <c r="CF109" i="48"/>
  <c r="CE109" i="48"/>
  <c r="CF108" i="48"/>
  <c r="CE108" i="48"/>
  <c r="CF106" i="48"/>
  <c r="CE106" i="48"/>
  <c r="CF105" i="48"/>
  <c r="CE105" i="48"/>
  <c r="CF104" i="48"/>
  <c r="CE104" i="48"/>
  <c r="CF103" i="48"/>
  <c r="CE103" i="48"/>
  <c r="CF102" i="48"/>
  <c r="CE102" i="48"/>
  <c r="CF101" i="48"/>
  <c r="CE101" i="48"/>
  <c r="CF100" i="48"/>
  <c r="CE100" i="48"/>
  <c r="CF99" i="48"/>
  <c r="CE99" i="48"/>
  <c r="CF98" i="48"/>
  <c r="CE98" i="48"/>
  <c r="CF97" i="48"/>
  <c r="CE97" i="48"/>
  <c r="CF96" i="48"/>
  <c r="CE96" i="48"/>
  <c r="CF95" i="48"/>
  <c r="CE95" i="48"/>
  <c r="CF94" i="48"/>
  <c r="CE94" i="48"/>
  <c r="CF93" i="48"/>
  <c r="CE93" i="48"/>
  <c r="CF92" i="48"/>
  <c r="CE92" i="48"/>
  <c r="CF91" i="48"/>
  <c r="CE91" i="48"/>
  <c r="CF90" i="48"/>
  <c r="CE90" i="48"/>
  <c r="CF89" i="48"/>
  <c r="CE89" i="48"/>
  <c r="CF88" i="48"/>
  <c r="CE88" i="48"/>
  <c r="CF87" i="48"/>
  <c r="CE87" i="48"/>
  <c r="CF86" i="48"/>
  <c r="CE86" i="48"/>
  <c r="CF85" i="48"/>
  <c r="CE85" i="48"/>
  <c r="CF84" i="48"/>
  <c r="CE84" i="48"/>
  <c r="CF82" i="48"/>
  <c r="CE82" i="48"/>
  <c r="CF81" i="48"/>
  <c r="CE81" i="48"/>
  <c r="CF80" i="48"/>
  <c r="CE80" i="48"/>
  <c r="CF79" i="48"/>
  <c r="CE79" i="48"/>
  <c r="CF78" i="48"/>
  <c r="CE78" i="48"/>
  <c r="CF77" i="48"/>
  <c r="CE77" i="48"/>
  <c r="CF76" i="48"/>
  <c r="CE76" i="48"/>
  <c r="CF75" i="48"/>
  <c r="CE75" i="48"/>
  <c r="CF74" i="48"/>
  <c r="CE74" i="48"/>
  <c r="CF73" i="48"/>
  <c r="CE73" i="48"/>
  <c r="CF72" i="48"/>
  <c r="CE72" i="48"/>
  <c r="CF71" i="48"/>
  <c r="CE71" i="48"/>
  <c r="CF70" i="48"/>
  <c r="CE70" i="48"/>
  <c r="CF69" i="48"/>
  <c r="CE69" i="48"/>
  <c r="CF68" i="48"/>
  <c r="CE68" i="48"/>
  <c r="CF67" i="48"/>
  <c r="CE67" i="48"/>
  <c r="CF66" i="48"/>
  <c r="CE66" i="48"/>
  <c r="CF65" i="48"/>
  <c r="CE65" i="48"/>
  <c r="CF64" i="48"/>
  <c r="CE64" i="48"/>
  <c r="CF63" i="48"/>
  <c r="CE63" i="48"/>
  <c r="CF62" i="48"/>
  <c r="CE62" i="48"/>
  <c r="CF61" i="48"/>
  <c r="CE61" i="48"/>
  <c r="CF60" i="48"/>
  <c r="CE60" i="48"/>
  <c r="CF58" i="48"/>
  <c r="CE58" i="48"/>
  <c r="CF57" i="48"/>
  <c r="CE57" i="48"/>
  <c r="CF56" i="48"/>
  <c r="CE56" i="48"/>
  <c r="CF55" i="48"/>
  <c r="CE55" i="48"/>
  <c r="CF54" i="48"/>
  <c r="CE54" i="48"/>
  <c r="CF53" i="48"/>
  <c r="CE53" i="48"/>
  <c r="CF52" i="48"/>
  <c r="CE52" i="48"/>
  <c r="CF51" i="48"/>
  <c r="CE51" i="48"/>
  <c r="CF50" i="48"/>
  <c r="CE50" i="48"/>
  <c r="CF49" i="48"/>
  <c r="CE49" i="48"/>
  <c r="CF48" i="48"/>
  <c r="CE48" i="48"/>
  <c r="CF47" i="48"/>
  <c r="CE47" i="48"/>
  <c r="CF46" i="48"/>
  <c r="CE46" i="48"/>
  <c r="CF45" i="48"/>
  <c r="CE45" i="48"/>
  <c r="CF44" i="48"/>
  <c r="CE44" i="48"/>
  <c r="CF43" i="48"/>
  <c r="CE43" i="48"/>
  <c r="CF42" i="48"/>
  <c r="CE42" i="48"/>
  <c r="CF41" i="48"/>
  <c r="CE41" i="48"/>
  <c r="CF40" i="48"/>
  <c r="CE40" i="48"/>
  <c r="CF39" i="48"/>
  <c r="CE39" i="48"/>
  <c r="CF38" i="48"/>
  <c r="CE38" i="48"/>
  <c r="CF37" i="48"/>
  <c r="CE37" i="48"/>
  <c r="CF36" i="48"/>
  <c r="CE36" i="48"/>
  <c r="BR1308" i="48"/>
  <c r="BQ1308" i="48"/>
  <c r="BR1284" i="48"/>
  <c r="BQ1284" i="48"/>
  <c r="BR1260" i="48"/>
  <c r="BQ1260" i="48"/>
  <c r="BR1236" i="48"/>
  <c r="BQ1236" i="48"/>
  <c r="BR1212" i="48"/>
  <c r="BQ1212" i="48"/>
  <c r="BR1188" i="48"/>
  <c r="BQ1188" i="48"/>
  <c r="BR1164" i="48"/>
  <c r="BQ1164" i="48"/>
  <c r="BR1140" i="48"/>
  <c r="BQ1140" i="48"/>
  <c r="BR1116" i="48"/>
  <c r="BQ1116" i="48"/>
  <c r="BR1092" i="48"/>
  <c r="BQ1092" i="48"/>
  <c r="BR1068" i="48"/>
  <c r="BQ1068" i="48"/>
  <c r="BR1044" i="48"/>
  <c r="BQ1044" i="48"/>
  <c r="BR1020" i="48"/>
  <c r="BQ1020" i="48"/>
  <c r="BR996" i="48"/>
  <c r="BQ996" i="48"/>
  <c r="BR972" i="48"/>
  <c r="BQ972" i="48"/>
  <c r="BR948" i="48"/>
  <c r="BQ948" i="48"/>
  <c r="BR924" i="48"/>
  <c r="BQ924" i="48"/>
  <c r="BR900" i="48"/>
  <c r="BQ900" i="48"/>
  <c r="BR876" i="48"/>
  <c r="BQ876" i="48"/>
  <c r="BR852" i="48"/>
  <c r="BQ852" i="48"/>
  <c r="BR828" i="48"/>
  <c r="BQ828" i="48"/>
  <c r="BR804" i="48"/>
  <c r="BQ804" i="48"/>
  <c r="BR780" i="48"/>
  <c r="BQ780" i="48"/>
  <c r="BR756" i="48"/>
  <c r="BQ756" i="48"/>
  <c r="BR732" i="48"/>
  <c r="BQ732" i="48"/>
  <c r="BR708" i="48"/>
  <c r="BQ708" i="48"/>
  <c r="BR684" i="48"/>
  <c r="BQ684" i="48"/>
  <c r="BR660" i="48"/>
  <c r="BQ660" i="48"/>
  <c r="BR636" i="48"/>
  <c r="BQ636" i="48"/>
  <c r="BR612" i="48"/>
  <c r="BQ612" i="48"/>
  <c r="BR588" i="48"/>
  <c r="BQ588" i="48"/>
  <c r="BR564" i="48"/>
  <c r="BQ564" i="48"/>
  <c r="BR540" i="48"/>
  <c r="BQ540" i="48"/>
  <c r="BR516" i="48"/>
  <c r="BQ516" i="48"/>
  <c r="BR492" i="48"/>
  <c r="BQ492" i="48"/>
  <c r="BR468" i="48"/>
  <c r="BQ468" i="48"/>
  <c r="BR444" i="48"/>
  <c r="BQ444" i="48"/>
  <c r="BR420" i="48"/>
  <c r="BQ420" i="48"/>
  <c r="BR396" i="48"/>
  <c r="BQ396" i="48"/>
  <c r="BR372" i="48"/>
  <c r="BQ372" i="48"/>
  <c r="BR348" i="48"/>
  <c r="BQ348" i="48"/>
  <c r="BR324" i="48"/>
  <c r="BQ324" i="48"/>
  <c r="BR300" i="48"/>
  <c r="BQ300" i="48"/>
  <c r="BR276" i="48"/>
  <c r="BQ276" i="48"/>
  <c r="BR252" i="48"/>
  <c r="BQ252" i="48"/>
  <c r="BR228" i="48"/>
  <c r="BQ228" i="48"/>
  <c r="BR204" i="48"/>
  <c r="BQ204" i="48"/>
  <c r="BR180" i="48"/>
  <c r="BQ180" i="48"/>
  <c r="BR156" i="48"/>
  <c r="BQ156" i="48"/>
  <c r="BR132" i="48"/>
  <c r="BQ132" i="48"/>
  <c r="BR108" i="48"/>
  <c r="BQ108" i="48"/>
  <c r="BR84" i="48"/>
  <c r="BQ84" i="48"/>
  <c r="BR60" i="48"/>
  <c r="BQ60" i="48"/>
  <c r="BR36" i="48"/>
  <c r="BQ36" i="48"/>
  <c r="CJ36" i="48" l="1"/>
  <c r="CL36" i="48" s="1"/>
  <c r="CJ84" i="48"/>
  <c r="CL84" i="48" s="1"/>
  <c r="CM84" i="48" s="1"/>
  <c r="CJ132" i="48"/>
  <c r="CL132" i="48" s="1"/>
  <c r="CM132" i="48" s="1"/>
  <c r="CJ228" i="48"/>
  <c r="CL228" i="48" s="1"/>
  <c r="CM228" i="48" s="1"/>
  <c r="CL276" i="48"/>
  <c r="CM276" i="48" s="1"/>
  <c r="CJ324" i="48"/>
  <c r="CL324" i="48" s="1"/>
  <c r="CM324" i="48" s="1"/>
  <c r="CJ372" i="48"/>
  <c r="CL372" i="48" s="1"/>
  <c r="CM372" i="48" s="1"/>
  <c r="CJ420" i="48"/>
  <c r="CL420" i="48" s="1"/>
  <c r="CM420" i="48" s="1"/>
  <c r="CJ468" i="48"/>
  <c r="CL468" i="48" s="1"/>
  <c r="CM468" i="48" s="1"/>
  <c r="CJ516" i="48"/>
  <c r="CL516" i="48" s="1"/>
  <c r="CM516" i="48" s="1"/>
  <c r="CJ564" i="48"/>
  <c r="CL564" i="48" s="1"/>
  <c r="CM564" i="48" s="1"/>
  <c r="CJ612" i="48"/>
  <c r="CL612" i="48" s="1"/>
  <c r="CM612" i="48" s="1"/>
  <c r="CJ660" i="48"/>
  <c r="CL660" i="48" s="1"/>
  <c r="CM660" i="48" s="1"/>
  <c r="CJ708" i="48"/>
  <c r="CL708" i="48" s="1"/>
  <c r="CM708" i="48" s="1"/>
  <c r="CJ756" i="48"/>
  <c r="CL756" i="48" s="1"/>
  <c r="CM756" i="48" s="1"/>
  <c r="CJ804" i="48"/>
  <c r="CL804" i="48" s="1"/>
  <c r="CM804" i="48" s="1"/>
  <c r="CJ852" i="48"/>
  <c r="CL852" i="48" s="1"/>
  <c r="CM852" i="48" s="1"/>
  <c r="CJ900" i="48"/>
  <c r="CL900" i="48" s="1"/>
  <c r="CM900" i="48" s="1"/>
  <c r="CJ948" i="48"/>
  <c r="CL948" i="48" s="1"/>
  <c r="CM948" i="48" s="1"/>
  <c r="CJ996" i="48"/>
  <c r="CL996" i="48" s="1"/>
  <c r="CM996" i="48" s="1"/>
  <c r="CJ1044" i="48"/>
  <c r="CL1044" i="48" s="1"/>
  <c r="CM1044" i="48" s="1"/>
  <c r="CJ1092" i="48"/>
  <c r="CL1092" i="48" s="1"/>
  <c r="CM1092" i="48" s="1"/>
  <c r="CJ1140" i="48"/>
  <c r="CL1140" i="48" s="1"/>
  <c r="CM1140" i="48" s="1"/>
  <c r="CJ1188" i="48"/>
  <c r="CL1188" i="48" s="1"/>
  <c r="CM1188" i="48" s="1"/>
  <c r="CJ1236" i="48"/>
  <c r="CL1236" i="48" s="1"/>
  <c r="CM1236" i="48" s="1"/>
  <c r="CJ1284" i="48"/>
  <c r="CL1284" i="48" s="1"/>
  <c r="CM1284" i="48" s="1"/>
  <c r="CJ180" i="48"/>
  <c r="CL180" i="48" s="1"/>
  <c r="CM180" i="48" s="1"/>
  <c r="CJ60" i="48"/>
  <c r="CL60" i="48" s="1"/>
  <c r="CM60" i="48" s="1"/>
  <c r="CJ108" i="48"/>
  <c r="CL108" i="48" s="1"/>
  <c r="CM108" i="48" s="1"/>
  <c r="CJ156" i="48"/>
  <c r="CL156" i="48" s="1"/>
  <c r="CM156" i="48" s="1"/>
  <c r="CJ204" i="48"/>
  <c r="CL204" i="48" s="1"/>
  <c r="CM204" i="48" s="1"/>
  <c r="CJ252" i="48"/>
  <c r="CL252" i="48" s="1"/>
  <c r="CM252" i="48" s="1"/>
  <c r="CJ300" i="48"/>
  <c r="CL300" i="48" s="1"/>
  <c r="CM300" i="48" s="1"/>
  <c r="CJ348" i="48"/>
  <c r="CL348" i="48" s="1"/>
  <c r="CM348" i="48" s="1"/>
  <c r="CJ396" i="48"/>
  <c r="CL396" i="48" s="1"/>
  <c r="CM396" i="48" s="1"/>
  <c r="CJ444" i="48"/>
  <c r="CL444" i="48" s="1"/>
  <c r="CM444" i="48" s="1"/>
  <c r="CJ492" i="48"/>
  <c r="CL492" i="48" s="1"/>
  <c r="CM492" i="48" s="1"/>
  <c r="CJ540" i="48"/>
  <c r="CL540" i="48" s="1"/>
  <c r="CM540" i="48" s="1"/>
  <c r="CJ588" i="48"/>
  <c r="CL588" i="48" s="1"/>
  <c r="CM588" i="48" s="1"/>
  <c r="CJ636" i="48"/>
  <c r="CL636" i="48" s="1"/>
  <c r="CM636" i="48" s="1"/>
  <c r="CJ684" i="48"/>
  <c r="CL684" i="48" s="1"/>
  <c r="CM684" i="48" s="1"/>
  <c r="CJ732" i="48"/>
  <c r="CL732" i="48" s="1"/>
  <c r="CM732" i="48" s="1"/>
  <c r="CJ780" i="48"/>
  <c r="CL780" i="48" s="1"/>
  <c r="CM780" i="48" s="1"/>
  <c r="CJ828" i="48"/>
  <c r="CL828" i="48" s="1"/>
  <c r="CM828" i="48" s="1"/>
  <c r="CJ876" i="48"/>
  <c r="CL876" i="48" s="1"/>
  <c r="CM876" i="48" s="1"/>
  <c r="CJ924" i="48"/>
  <c r="CL924" i="48" s="1"/>
  <c r="CM924" i="48" s="1"/>
  <c r="CJ972" i="48"/>
  <c r="CL972" i="48" s="1"/>
  <c r="CM972" i="48" s="1"/>
  <c r="CJ1020" i="48"/>
  <c r="CL1020" i="48" s="1"/>
  <c r="CM1020" i="48" s="1"/>
  <c r="CJ1068" i="48"/>
  <c r="CL1068" i="48" s="1"/>
  <c r="CM1068" i="48" s="1"/>
  <c r="CJ1116" i="48"/>
  <c r="CL1116" i="48" s="1"/>
  <c r="CM1116" i="48" s="1"/>
  <c r="CJ1164" i="48"/>
  <c r="CL1164" i="48" s="1"/>
  <c r="CM1164" i="48" s="1"/>
  <c r="CJ1212" i="48"/>
  <c r="CL1212" i="48" s="1"/>
  <c r="CM1212" i="48" s="1"/>
  <c r="CJ1260" i="48"/>
  <c r="CL1260" i="48" s="1"/>
  <c r="CM1260" i="48" s="1"/>
  <c r="CG108" i="48"/>
  <c r="DL1328" i="48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F37" i="48"/>
  <c r="DA37" i="48" s="1"/>
  <c r="DF38" i="48"/>
  <c r="DA38" i="48" s="1"/>
  <c r="DF39" i="48"/>
  <c r="DA39" i="48" s="1"/>
  <c r="DF40" i="48"/>
  <c r="DA40" i="48" s="1"/>
  <c r="DF41" i="48"/>
  <c r="DA41" i="48" s="1"/>
  <c r="DF42" i="48"/>
  <c r="DA42" i="48" s="1"/>
  <c r="DF43" i="48"/>
  <c r="DA43" i="48" s="1"/>
  <c r="DF44" i="48"/>
  <c r="DA44" i="48" s="1"/>
  <c r="DF45" i="48"/>
  <c r="DA45" i="48" s="1"/>
  <c r="DF46" i="48"/>
  <c r="DA46" i="48" s="1"/>
  <c r="DF47" i="48"/>
  <c r="DA47" i="48" s="1"/>
  <c r="DF48" i="48"/>
  <c r="DA48" i="48" s="1"/>
  <c r="DF49" i="48"/>
  <c r="DA49" i="48" s="1"/>
  <c r="DF50" i="48"/>
  <c r="DA50" i="48" s="1"/>
  <c r="DF51" i="48"/>
  <c r="DA51" i="48" s="1"/>
  <c r="DF52" i="48"/>
  <c r="DA52" i="48" s="1"/>
  <c r="DF53" i="48"/>
  <c r="DA53" i="48" s="1"/>
  <c r="DF54" i="48"/>
  <c r="DA54" i="48" s="1"/>
  <c r="DF55" i="48"/>
  <c r="DA55" i="48" s="1"/>
  <c r="DF56" i="48"/>
  <c r="DA56" i="48" s="1"/>
  <c r="DF57" i="48"/>
  <c r="DA57" i="48" s="1"/>
  <c r="DF58" i="48"/>
  <c r="DF60" i="48"/>
  <c r="DF61" i="48"/>
  <c r="DA61" i="48" s="1"/>
  <c r="DF62" i="48"/>
  <c r="DA62" i="48" s="1"/>
  <c r="DF63" i="48"/>
  <c r="DA63" i="48" s="1"/>
  <c r="DF64" i="48"/>
  <c r="DA64" i="48" s="1"/>
  <c r="DF65" i="48"/>
  <c r="DA65" i="48" s="1"/>
  <c r="DF66" i="48"/>
  <c r="DA66" i="48" s="1"/>
  <c r="DF67" i="48"/>
  <c r="DA67" i="48" s="1"/>
  <c r="DF68" i="48"/>
  <c r="DA68" i="48" s="1"/>
  <c r="DF69" i="48"/>
  <c r="DA69" i="48" s="1"/>
  <c r="DF70" i="48"/>
  <c r="DA70" i="48" s="1"/>
  <c r="DF71" i="48"/>
  <c r="DA71" i="48" s="1"/>
  <c r="DF72" i="48"/>
  <c r="DA72" i="48" s="1"/>
  <c r="DF73" i="48"/>
  <c r="DA73" i="48" s="1"/>
  <c r="DF74" i="48"/>
  <c r="DA74" i="48" s="1"/>
  <c r="DF75" i="48"/>
  <c r="DA75" i="48" s="1"/>
  <c r="DF76" i="48"/>
  <c r="DA76" i="48" s="1"/>
  <c r="DF77" i="48"/>
  <c r="DA77" i="48" s="1"/>
  <c r="DF78" i="48"/>
  <c r="DA78" i="48" s="1"/>
  <c r="DF79" i="48"/>
  <c r="DA79" i="48" s="1"/>
  <c r="DF80" i="48"/>
  <c r="DA80" i="48" s="1"/>
  <c r="DF81" i="48"/>
  <c r="DA81" i="48" s="1"/>
  <c r="DF82" i="48"/>
  <c r="DF84" i="48"/>
  <c r="DF85" i="48"/>
  <c r="DA85" i="48" s="1"/>
  <c r="DF86" i="48"/>
  <c r="DA86" i="48" s="1"/>
  <c r="DF87" i="48"/>
  <c r="DA87" i="48" s="1"/>
  <c r="DF88" i="48"/>
  <c r="DA88" i="48" s="1"/>
  <c r="DF89" i="48"/>
  <c r="DA89" i="48" s="1"/>
  <c r="DF90" i="48"/>
  <c r="DA90" i="48" s="1"/>
  <c r="DF91" i="48"/>
  <c r="DA91" i="48" s="1"/>
  <c r="DF92" i="48"/>
  <c r="DA92" i="48" s="1"/>
  <c r="DF93" i="48"/>
  <c r="DA93" i="48" s="1"/>
  <c r="DF94" i="48"/>
  <c r="DA94" i="48" s="1"/>
  <c r="DF95" i="48"/>
  <c r="DA95" i="48" s="1"/>
  <c r="DF96" i="48"/>
  <c r="DA96" i="48" s="1"/>
  <c r="DF97" i="48"/>
  <c r="DA97" i="48" s="1"/>
  <c r="DF98" i="48"/>
  <c r="DA98" i="48" s="1"/>
  <c r="DF99" i="48"/>
  <c r="DA99" i="48" s="1"/>
  <c r="DF100" i="48"/>
  <c r="DA100" i="48" s="1"/>
  <c r="DF101" i="48"/>
  <c r="DA101" i="48" s="1"/>
  <c r="DF102" i="48"/>
  <c r="DA102" i="48" s="1"/>
  <c r="DF103" i="48"/>
  <c r="DA103" i="48" s="1"/>
  <c r="DF104" i="48"/>
  <c r="DA104" i="48" s="1"/>
  <c r="DF105" i="48"/>
  <c r="DA105" i="48" s="1"/>
  <c r="DF106" i="48"/>
  <c r="DF108" i="48"/>
  <c r="DF109" i="48"/>
  <c r="DA109" i="48" s="1"/>
  <c r="DF110" i="48"/>
  <c r="DA110" i="48" s="1"/>
  <c r="DF111" i="48"/>
  <c r="DA111" i="48" s="1"/>
  <c r="DF112" i="48"/>
  <c r="DA112" i="48" s="1"/>
  <c r="DF113" i="48"/>
  <c r="DA113" i="48" s="1"/>
  <c r="DF114" i="48"/>
  <c r="DA114" i="48" s="1"/>
  <c r="DF115" i="48"/>
  <c r="DA115" i="48" s="1"/>
  <c r="DF116" i="48"/>
  <c r="DA116" i="48" s="1"/>
  <c r="DF117" i="48"/>
  <c r="DA117" i="48" s="1"/>
  <c r="DF118" i="48"/>
  <c r="DA118" i="48" s="1"/>
  <c r="DF119" i="48"/>
  <c r="DA119" i="48" s="1"/>
  <c r="DF120" i="48"/>
  <c r="DA120" i="48" s="1"/>
  <c r="DF121" i="48"/>
  <c r="DA121" i="48" s="1"/>
  <c r="DF122" i="48"/>
  <c r="DA122" i="48" s="1"/>
  <c r="DF123" i="48"/>
  <c r="DA123" i="48" s="1"/>
  <c r="DF124" i="48"/>
  <c r="DA124" i="48" s="1"/>
  <c r="DF125" i="48"/>
  <c r="DA125" i="48" s="1"/>
  <c r="DF126" i="48"/>
  <c r="DA126" i="48" s="1"/>
  <c r="DF127" i="48"/>
  <c r="DA127" i="48" s="1"/>
  <c r="DF128" i="48"/>
  <c r="DA128" i="48" s="1"/>
  <c r="DF129" i="48"/>
  <c r="DA129" i="48" s="1"/>
  <c r="DF130" i="48"/>
  <c r="DF132" i="48"/>
  <c r="DF133" i="48"/>
  <c r="DA133" i="48" s="1"/>
  <c r="DF134" i="48"/>
  <c r="DA134" i="48" s="1"/>
  <c r="DF135" i="48"/>
  <c r="DA135" i="48" s="1"/>
  <c r="DF136" i="48"/>
  <c r="DA136" i="48" s="1"/>
  <c r="DF137" i="48"/>
  <c r="DA137" i="48" s="1"/>
  <c r="DF138" i="48"/>
  <c r="DA138" i="48" s="1"/>
  <c r="DF139" i="48"/>
  <c r="DA139" i="48" s="1"/>
  <c r="DF140" i="48"/>
  <c r="DA140" i="48" s="1"/>
  <c r="DF141" i="48"/>
  <c r="DA141" i="48" s="1"/>
  <c r="DF142" i="48"/>
  <c r="DA142" i="48" s="1"/>
  <c r="DF143" i="48"/>
  <c r="DA143" i="48" s="1"/>
  <c r="DF144" i="48"/>
  <c r="DA144" i="48" s="1"/>
  <c r="DF145" i="48"/>
  <c r="DA145" i="48" s="1"/>
  <c r="DF146" i="48"/>
  <c r="DA146" i="48" s="1"/>
  <c r="DF147" i="48"/>
  <c r="DA147" i="48" s="1"/>
  <c r="DF148" i="48"/>
  <c r="DA148" i="48" s="1"/>
  <c r="DF149" i="48"/>
  <c r="DA149" i="48" s="1"/>
  <c r="DF150" i="48"/>
  <c r="DA150" i="48" s="1"/>
  <c r="DF151" i="48"/>
  <c r="DA151" i="48" s="1"/>
  <c r="DF152" i="48"/>
  <c r="DA152" i="48" s="1"/>
  <c r="DF153" i="48"/>
  <c r="DA153" i="48" s="1"/>
  <c r="DF154" i="48"/>
  <c r="DF156" i="48"/>
  <c r="DF157" i="48"/>
  <c r="DA157" i="48" s="1"/>
  <c r="DF158" i="48"/>
  <c r="DA158" i="48" s="1"/>
  <c r="DF159" i="48"/>
  <c r="DA159" i="48" s="1"/>
  <c r="DF160" i="48"/>
  <c r="DA160" i="48" s="1"/>
  <c r="DF161" i="48"/>
  <c r="DA161" i="48" s="1"/>
  <c r="DF162" i="48"/>
  <c r="DA162" i="48" s="1"/>
  <c r="DF163" i="48"/>
  <c r="DA163" i="48" s="1"/>
  <c r="DF164" i="48"/>
  <c r="DA164" i="48" s="1"/>
  <c r="DF165" i="48"/>
  <c r="DA165" i="48" s="1"/>
  <c r="DF166" i="48"/>
  <c r="DA166" i="48" s="1"/>
  <c r="DF167" i="48"/>
  <c r="DA167" i="48" s="1"/>
  <c r="DF168" i="48"/>
  <c r="DA168" i="48" s="1"/>
  <c r="DF169" i="48"/>
  <c r="DA169" i="48" s="1"/>
  <c r="DF170" i="48"/>
  <c r="DA170" i="48" s="1"/>
  <c r="DF171" i="48"/>
  <c r="DA171" i="48" s="1"/>
  <c r="DF172" i="48"/>
  <c r="DA172" i="48" s="1"/>
  <c r="DF173" i="48"/>
  <c r="DA173" i="48" s="1"/>
  <c r="DF174" i="48"/>
  <c r="DA174" i="48" s="1"/>
  <c r="DF175" i="48"/>
  <c r="DA175" i="48" s="1"/>
  <c r="DF176" i="48"/>
  <c r="DA176" i="48" s="1"/>
  <c r="DF177" i="48"/>
  <c r="DA177" i="48" s="1"/>
  <c r="DF178" i="48"/>
  <c r="DF204" i="48"/>
  <c r="DF205" i="48"/>
  <c r="DA205" i="48" s="1"/>
  <c r="DF206" i="48"/>
  <c r="DA206" i="48" s="1"/>
  <c r="DF207" i="48"/>
  <c r="DA207" i="48" s="1"/>
  <c r="DF208" i="48"/>
  <c r="DA208" i="48" s="1"/>
  <c r="DF209" i="48"/>
  <c r="DA209" i="48" s="1"/>
  <c r="DF210" i="48"/>
  <c r="DA210" i="48" s="1"/>
  <c r="DF211" i="48"/>
  <c r="DA211" i="48" s="1"/>
  <c r="DF212" i="48"/>
  <c r="DA212" i="48" s="1"/>
  <c r="DF213" i="48"/>
  <c r="DA213" i="48" s="1"/>
  <c r="DF214" i="48"/>
  <c r="DA214" i="48" s="1"/>
  <c r="DF215" i="48"/>
  <c r="DA215" i="48" s="1"/>
  <c r="DF216" i="48"/>
  <c r="DA216" i="48" s="1"/>
  <c r="DF217" i="48"/>
  <c r="DA217" i="48" s="1"/>
  <c r="DF218" i="48"/>
  <c r="DA218" i="48" s="1"/>
  <c r="DF219" i="48"/>
  <c r="DA219" i="48" s="1"/>
  <c r="DF220" i="48"/>
  <c r="DA220" i="48" s="1"/>
  <c r="DF221" i="48"/>
  <c r="DA221" i="48" s="1"/>
  <c r="DF222" i="48"/>
  <c r="DA222" i="48" s="1"/>
  <c r="DF223" i="48"/>
  <c r="DA223" i="48" s="1"/>
  <c r="DF224" i="48"/>
  <c r="DA224" i="48" s="1"/>
  <c r="DF225" i="48"/>
  <c r="DA225" i="48" s="1"/>
  <c r="DF226" i="48"/>
  <c r="DF250" i="48"/>
  <c r="DF274" i="48"/>
  <c r="DF297" i="48"/>
  <c r="DA297" i="48" s="1"/>
  <c r="DF298" i="48"/>
  <c r="DF300" i="48"/>
  <c r="DF301" i="48"/>
  <c r="DA301" i="48" s="1"/>
  <c r="DF302" i="48"/>
  <c r="DA302" i="48" s="1"/>
  <c r="DF303" i="48"/>
  <c r="DA303" i="48" s="1"/>
  <c r="DF304" i="48"/>
  <c r="DA304" i="48" s="1"/>
  <c r="DF305" i="48"/>
  <c r="DA305" i="48" s="1"/>
  <c r="DF306" i="48"/>
  <c r="DA306" i="48" s="1"/>
  <c r="DF307" i="48"/>
  <c r="DA307" i="48" s="1"/>
  <c r="DF308" i="48"/>
  <c r="DA308" i="48" s="1"/>
  <c r="DF309" i="48"/>
  <c r="DA309" i="48" s="1"/>
  <c r="DF310" i="48"/>
  <c r="DA310" i="48" s="1"/>
  <c r="DF311" i="48"/>
  <c r="DA311" i="48" s="1"/>
  <c r="DF312" i="48"/>
  <c r="DA312" i="48" s="1"/>
  <c r="DF313" i="48"/>
  <c r="DA313" i="48" s="1"/>
  <c r="DF314" i="48"/>
  <c r="DA314" i="48" s="1"/>
  <c r="DF315" i="48"/>
  <c r="DA315" i="48" s="1"/>
  <c r="DF316" i="48"/>
  <c r="DA316" i="48" s="1"/>
  <c r="DF317" i="48"/>
  <c r="DA317" i="48" s="1"/>
  <c r="DF318" i="48"/>
  <c r="DA318" i="48" s="1"/>
  <c r="DF319" i="48"/>
  <c r="DA319" i="48" s="1"/>
  <c r="DF320" i="48"/>
  <c r="DA320" i="48" s="1"/>
  <c r="DF321" i="48"/>
  <c r="DA321" i="48" s="1"/>
  <c r="DF322" i="48"/>
  <c r="DF324" i="48"/>
  <c r="DF325" i="48"/>
  <c r="DA325" i="48" s="1"/>
  <c r="DF326" i="48"/>
  <c r="DA326" i="48" s="1"/>
  <c r="DF327" i="48"/>
  <c r="DA327" i="48" s="1"/>
  <c r="DF328" i="48"/>
  <c r="DA328" i="48" s="1"/>
  <c r="DF329" i="48"/>
  <c r="DA329" i="48" s="1"/>
  <c r="DF330" i="48"/>
  <c r="DA330" i="48" s="1"/>
  <c r="DF331" i="48"/>
  <c r="DA331" i="48" s="1"/>
  <c r="DF332" i="48"/>
  <c r="DA332" i="48" s="1"/>
  <c r="DF333" i="48"/>
  <c r="DA333" i="48" s="1"/>
  <c r="DF334" i="48"/>
  <c r="DA334" i="48" s="1"/>
  <c r="DF335" i="48"/>
  <c r="DA335" i="48" s="1"/>
  <c r="DF336" i="48"/>
  <c r="DA336" i="48" s="1"/>
  <c r="DF337" i="48"/>
  <c r="DA337" i="48" s="1"/>
  <c r="DF338" i="48"/>
  <c r="DA338" i="48" s="1"/>
  <c r="DF339" i="48"/>
  <c r="DA339" i="48" s="1"/>
  <c r="DF340" i="48"/>
  <c r="DA340" i="48" s="1"/>
  <c r="DF341" i="48"/>
  <c r="DA341" i="48" s="1"/>
  <c r="DF342" i="48"/>
  <c r="DA342" i="48" s="1"/>
  <c r="DF343" i="48"/>
  <c r="DA343" i="48" s="1"/>
  <c r="DF344" i="48"/>
  <c r="DA344" i="48" s="1"/>
  <c r="DF345" i="48"/>
  <c r="DA345" i="48" s="1"/>
  <c r="DF346" i="48"/>
  <c r="DF348" i="48"/>
  <c r="DF349" i="48"/>
  <c r="DA349" i="48" s="1"/>
  <c r="DF350" i="48"/>
  <c r="DA350" i="48" s="1"/>
  <c r="DF351" i="48"/>
  <c r="DA351" i="48" s="1"/>
  <c r="DF352" i="48"/>
  <c r="DA352" i="48" s="1"/>
  <c r="DF353" i="48"/>
  <c r="DA353" i="48" s="1"/>
  <c r="DF354" i="48"/>
  <c r="DA354" i="48" s="1"/>
  <c r="DF355" i="48"/>
  <c r="DA355" i="48" s="1"/>
  <c r="DF356" i="48"/>
  <c r="DA356" i="48" s="1"/>
  <c r="DF357" i="48"/>
  <c r="DA357" i="48" s="1"/>
  <c r="DF358" i="48"/>
  <c r="DA358" i="48" s="1"/>
  <c r="DF359" i="48"/>
  <c r="DA359" i="48" s="1"/>
  <c r="DF360" i="48"/>
  <c r="DA360" i="48" s="1"/>
  <c r="DF361" i="48"/>
  <c r="DA361" i="48" s="1"/>
  <c r="DF362" i="48"/>
  <c r="DA362" i="48" s="1"/>
  <c r="DF363" i="48"/>
  <c r="DA363" i="48" s="1"/>
  <c r="DF364" i="48"/>
  <c r="DA364" i="48" s="1"/>
  <c r="DF365" i="48"/>
  <c r="DA365" i="48" s="1"/>
  <c r="DF366" i="48"/>
  <c r="DA366" i="48" s="1"/>
  <c r="DF367" i="48"/>
  <c r="DA367" i="48" s="1"/>
  <c r="DF368" i="48"/>
  <c r="DA368" i="48" s="1"/>
  <c r="DF369" i="48"/>
  <c r="DA369" i="48" s="1"/>
  <c r="DF370" i="48"/>
  <c r="DF372" i="48"/>
  <c r="DF373" i="48"/>
  <c r="DA373" i="48" s="1"/>
  <c r="DF374" i="48"/>
  <c r="DA374" i="48" s="1"/>
  <c r="DF375" i="48"/>
  <c r="DA375" i="48" s="1"/>
  <c r="DF376" i="48"/>
  <c r="DA376" i="48" s="1"/>
  <c r="DF377" i="48"/>
  <c r="DA377" i="48" s="1"/>
  <c r="DF378" i="48"/>
  <c r="DA378" i="48" s="1"/>
  <c r="DF379" i="48"/>
  <c r="DA379" i="48" s="1"/>
  <c r="DF380" i="48"/>
  <c r="DA380" i="48" s="1"/>
  <c r="DF381" i="48"/>
  <c r="DA381" i="48" s="1"/>
  <c r="DF382" i="48"/>
  <c r="DA382" i="48" s="1"/>
  <c r="DF383" i="48"/>
  <c r="DA383" i="48" s="1"/>
  <c r="DF384" i="48"/>
  <c r="DA384" i="48" s="1"/>
  <c r="DF385" i="48"/>
  <c r="DA385" i="48" s="1"/>
  <c r="DF386" i="48"/>
  <c r="DA386" i="48" s="1"/>
  <c r="DF387" i="48"/>
  <c r="DA387" i="48" s="1"/>
  <c r="DF388" i="48"/>
  <c r="DA388" i="48" s="1"/>
  <c r="DF389" i="48"/>
  <c r="DA389" i="48" s="1"/>
  <c r="DF390" i="48"/>
  <c r="DA390" i="48" s="1"/>
  <c r="DF391" i="48"/>
  <c r="DA391" i="48" s="1"/>
  <c r="DF392" i="48"/>
  <c r="DA392" i="48" s="1"/>
  <c r="DF393" i="48"/>
  <c r="DA393" i="48" s="1"/>
  <c r="DF394" i="48"/>
  <c r="DF396" i="48"/>
  <c r="DF397" i="48"/>
  <c r="DA397" i="48" s="1"/>
  <c r="DF398" i="48"/>
  <c r="DA398" i="48" s="1"/>
  <c r="DF399" i="48"/>
  <c r="DA399" i="48" s="1"/>
  <c r="DF400" i="48"/>
  <c r="DA400" i="48" s="1"/>
  <c r="DF401" i="48"/>
  <c r="DA401" i="48" s="1"/>
  <c r="DF402" i="48"/>
  <c r="DA402" i="48" s="1"/>
  <c r="DF403" i="48"/>
  <c r="DA403" i="48" s="1"/>
  <c r="DF404" i="48"/>
  <c r="DA404" i="48" s="1"/>
  <c r="DF405" i="48"/>
  <c r="DA405" i="48" s="1"/>
  <c r="DF406" i="48"/>
  <c r="DA406" i="48" s="1"/>
  <c r="DF407" i="48"/>
  <c r="DA407" i="48" s="1"/>
  <c r="DF408" i="48"/>
  <c r="DA408" i="48" s="1"/>
  <c r="DF409" i="48"/>
  <c r="DA409" i="48" s="1"/>
  <c r="DF410" i="48"/>
  <c r="DA410" i="48" s="1"/>
  <c r="DF411" i="48"/>
  <c r="DA411" i="48" s="1"/>
  <c r="DF412" i="48"/>
  <c r="DA412" i="48" s="1"/>
  <c r="DF413" i="48"/>
  <c r="DA413" i="48" s="1"/>
  <c r="DF414" i="48"/>
  <c r="DA414" i="48" s="1"/>
  <c r="DF415" i="48"/>
  <c r="DA415" i="48" s="1"/>
  <c r="DF416" i="48"/>
  <c r="DA416" i="48" s="1"/>
  <c r="DF417" i="48"/>
  <c r="DA417" i="48" s="1"/>
  <c r="DF418" i="48"/>
  <c r="DF420" i="48"/>
  <c r="DF421" i="48"/>
  <c r="DA421" i="48" s="1"/>
  <c r="DF422" i="48"/>
  <c r="DA422" i="48" s="1"/>
  <c r="DF423" i="48"/>
  <c r="DA423" i="48" s="1"/>
  <c r="DF424" i="48"/>
  <c r="DA424" i="48" s="1"/>
  <c r="DF425" i="48"/>
  <c r="DA425" i="48" s="1"/>
  <c r="DF426" i="48"/>
  <c r="DA426" i="48" s="1"/>
  <c r="DF427" i="48"/>
  <c r="DA427" i="48" s="1"/>
  <c r="DF428" i="48"/>
  <c r="DA428" i="48" s="1"/>
  <c r="DF429" i="48"/>
  <c r="DA429" i="48" s="1"/>
  <c r="DF430" i="48"/>
  <c r="DA430" i="48" s="1"/>
  <c r="DF431" i="48"/>
  <c r="DA431" i="48" s="1"/>
  <c r="DF432" i="48"/>
  <c r="DA432" i="48" s="1"/>
  <c r="DF433" i="48"/>
  <c r="DA433" i="48" s="1"/>
  <c r="DF434" i="48"/>
  <c r="DA434" i="48" s="1"/>
  <c r="DF435" i="48"/>
  <c r="DA435" i="48" s="1"/>
  <c r="DF436" i="48"/>
  <c r="DA436" i="48" s="1"/>
  <c r="DF437" i="48"/>
  <c r="DA437" i="48" s="1"/>
  <c r="DF438" i="48"/>
  <c r="DA438" i="48" s="1"/>
  <c r="DF439" i="48"/>
  <c r="DA439" i="48" s="1"/>
  <c r="DF440" i="48"/>
  <c r="DA440" i="48" s="1"/>
  <c r="DF441" i="48"/>
  <c r="DA441" i="48" s="1"/>
  <c r="DF442" i="48"/>
  <c r="DF444" i="48"/>
  <c r="DF445" i="48"/>
  <c r="DA445" i="48" s="1"/>
  <c r="DF446" i="48"/>
  <c r="DA446" i="48" s="1"/>
  <c r="DF447" i="48"/>
  <c r="DA447" i="48" s="1"/>
  <c r="DF448" i="48"/>
  <c r="DA448" i="48" s="1"/>
  <c r="DF449" i="48"/>
  <c r="DA449" i="48" s="1"/>
  <c r="DF450" i="48"/>
  <c r="DA450" i="48" s="1"/>
  <c r="DF451" i="48"/>
  <c r="DA451" i="48" s="1"/>
  <c r="DF452" i="48"/>
  <c r="DA452" i="48" s="1"/>
  <c r="DF453" i="48"/>
  <c r="DA453" i="48" s="1"/>
  <c r="DF454" i="48"/>
  <c r="DA454" i="48" s="1"/>
  <c r="DF455" i="48"/>
  <c r="DA455" i="48" s="1"/>
  <c r="DF456" i="48"/>
  <c r="DA456" i="48" s="1"/>
  <c r="DF457" i="48"/>
  <c r="DA457" i="48" s="1"/>
  <c r="DF458" i="48"/>
  <c r="DA458" i="48" s="1"/>
  <c r="DF459" i="48"/>
  <c r="DA459" i="48" s="1"/>
  <c r="DF460" i="48"/>
  <c r="DA460" i="48" s="1"/>
  <c r="DF461" i="48"/>
  <c r="DA461" i="48" s="1"/>
  <c r="DF462" i="48"/>
  <c r="DA462" i="48" s="1"/>
  <c r="DF463" i="48"/>
  <c r="DA463" i="48" s="1"/>
  <c r="DF464" i="48"/>
  <c r="DA464" i="48" s="1"/>
  <c r="DF465" i="48"/>
  <c r="DA465" i="48" s="1"/>
  <c r="DF466" i="48"/>
  <c r="DF468" i="48"/>
  <c r="DF469" i="48"/>
  <c r="DA469" i="48" s="1"/>
  <c r="DF470" i="48"/>
  <c r="DA470" i="48" s="1"/>
  <c r="DF471" i="48"/>
  <c r="DA471" i="48" s="1"/>
  <c r="DF472" i="48"/>
  <c r="DA472" i="48" s="1"/>
  <c r="DF473" i="48"/>
  <c r="DA473" i="48" s="1"/>
  <c r="DF474" i="48"/>
  <c r="DA474" i="48" s="1"/>
  <c r="DF475" i="48"/>
  <c r="DA475" i="48" s="1"/>
  <c r="DF476" i="48"/>
  <c r="DA476" i="48" s="1"/>
  <c r="DF477" i="48"/>
  <c r="DA477" i="48" s="1"/>
  <c r="DF478" i="48"/>
  <c r="DA478" i="48" s="1"/>
  <c r="DF479" i="48"/>
  <c r="DA479" i="48" s="1"/>
  <c r="DF480" i="48"/>
  <c r="DA480" i="48" s="1"/>
  <c r="DF481" i="48"/>
  <c r="DA481" i="48" s="1"/>
  <c r="DF482" i="48"/>
  <c r="DA482" i="48" s="1"/>
  <c r="DF483" i="48"/>
  <c r="DA483" i="48" s="1"/>
  <c r="DF484" i="48"/>
  <c r="DA484" i="48" s="1"/>
  <c r="DF485" i="48"/>
  <c r="DA485" i="48" s="1"/>
  <c r="DF486" i="48"/>
  <c r="DA486" i="48" s="1"/>
  <c r="DF487" i="48"/>
  <c r="DA487" i="48" s="1"/>
  <c r="DF488" i="48"/>
  <c r="DA488" i="48" s="1"/>
  <c r="DF489" i="48"/>
  <c r="DA489" i="48" s="1"/>
  <c r="DF490" i="48"/>
  <c r="DF492" i="48"/>
  <c r="DF493" i="48"/>
  <c r="DA493" i="48" s="1"/>
  <c r="DF494" i="48"/>
  <c r="DA494" i="48" s="1"/>
  <c r="DF495" i="48"/>
  <c r="DA495" i="48" s="1"/>
  <c r="DF496" i="48"/>
  <c r="DA496" i="48" s="1"/>
  <c r="DF497" i="48"/>
  <c r="DA497" i="48" s="1"/>
  <c r="DF498" i="48"/>
  <c r="DA498" i="48" s="1"/>
  <c r="DF499" i="48"/>
  <c r="DA499" i="48" s="1"/>
  <c r="DF500" i="48"/>
  <c r="DA500" i="48" s="1"/>
  <c r="DF501" i="48"/>
  <c r="DA501" i="48" s="1"/>
  <c r="DF502" i="48"/>
  <c r="DA502" i="48" s="1"/>
  <c r="DF503" i="48"/>
  <c r="DA503" i="48" s="1"/>
  <c r="DF504" i="48"/>
  <c r="DA504" i="48" s="1"/>
  <c r="DF505" i="48"/>
  <c r="DA505" i="48" s="1"/>
  <c r="DF506" i="48"/>
  <c r="DA506" i="48" s="1"/>
  <c r="DF507" i="48"/>
  <c r="DA507" i="48" s="1"/>
  <c r="DF508" i="48"/>
  <c r="DA508" i="48" s="1"/>
  <c r="DF509" i="48"/>
  <c r="DA509" i="48" s="1"/>
  <c r="DF510" i="48"/>
  <c r="DA510" i="48" s="1"/>
  <c r="DF511" i="48"/>
  <c r="DA511" i="48" s="1"/>
  <c r="DF512" i="48"/>
  <c r="DA512" i="48" s="1"/>
  <c r="DF513" i="48"/>
  <c r="DA513" i="48" s="1"/>
  <c r="DF514" i="48"/>
  <c r="DF516" i="48"/>
  <c r="DF517" i="48"/>
  <c r="DA517" i="48" s="1"/>
  <c r="DF518" i="48"/>
  <c r="DA518" i="48" s="1"/>
  <c r="DF519" i="48"/>
  <c r="DA519" i="48" s="1"/>
  <c r="DF520" i="48"/>
  <c r="DA520" i="48" s="1"/>
  <c r="DF521" i="48"/>
  <c r="DA521" i="48" s="1"/>
  <c r="DF522" i="48"/>
  <c r="DA522" i="48" s="1"/>
  <c r="DF523" i="48"/>
  <c r="DA523" i="48" s="1"/>
  <c r="DF524" i="48"/>
  <c r="DA524" i="48" s="1"/>
  <c r="DF525" i="48"/>
  <c r="DA525" i="48" s="1"/>
  <c r="DF526" i="48"/>
  <c r="DA526" i="48" s="1"/>
  <c r="DF527" i="48"/>
  <c r="DA527" i="48" s="1"/>
  <c r="DF528" i="48"/>
  <c r="DA528" i="48" s="1"/>
  <c r="DF529" i="48"/>
  <c r="DA529" i="48" s="1"/>
  <c r="DF530" i="48"/>
  <c r="DA530" i="48" s="1"/>
  <c r="DF531" i="48"/>
  <c r="DA531" i="48" s="1"/>
  <c r="DF532" i="48"/>
  <c r="DA532" i="48" s="1"/>
  <c r="DF533" i="48"/>
  <c r="DA533" i="48" s="1"/>
  <c r="DF534" i="48"/>
  <c r="DA534" i="48" s="1"/>
  <c r="DF535" i="48"/>
  <c r="DA535" i="48" s="1"/>
  <c r="DF536" i="48"/>
  <c r="DA536" i="48" s="1"/>
  <c r="DF537" i="48"/>
  <c r="DA537" i="48" s="1"/>
  <c r="DF538" i="48"/>
  <c r="DF540" i="48"/>
  <c r="DF541" i="48"/>
  <c r="DA541" i="48" s="1"/>
  <c r="DF542" i="48"/>
  <c r="DA542" i="48" s="1"/>
  <c r="DF543" i="48"/>
  <c r="DA543" i="48" s="1"/>
  <c r="DF544" i="48"/>
  <c r="DA544" i="48" s="1"/>
  <c r="DF545" i="48"/>
  <c r="DA545" i="48" s="1"/>
  <c r="DF546" i="48"/>
  <c r="DA546" i="48" s="1"/>
  <c r="DF547" i="48"/>
  <c r="DA547" i="48" s="1"/>
  <c r="DF548" i="48"/>
  <c r="DA548" i="48" s="1"/>
  <c r="DF549" i="48"/>
  <c r="DA549" i="48" s="1"/>
  <c r="DF550" i="48"/>
  <c r="DA550" i="48" s="1"/>
  <c r="DF551" i="48"/>
  <c r="DA551" i="48" s="1"/>
  <c r="DF552" i="48"/>
  <c r="DA552" i="48" s="1"/>
  <c r="DF553" i="48"/>
  <c r="DA553" i="48" s="1"/>
  <c r="DF554" i="48"/>
  <c r="DA554" i="48" s="1"/>
  <c r="DF555" i="48"/>
  <c r="DA555" i="48" s="1"/>
  <c r="DF556" i="48"/>
  <c r="DA556" i="48" s="1"/>
  <c r="DF557" i="48"/>
  <c r="DA557" i="48" s="1"/>
  <c r="DF558" i="48"/>
  <c r="DA558" i="48" s="1"/>
  <c r="DF559" i="48"/>
  <c r="DA559" i="48" s="1"/>
  <c r="DF560" i="48"/>
  <c r="DA560" i="48" s="1"/>
  <c r="DF561" i="48"/>
  <c r="DA561" i="48" s="1"/>
  <c r="DF562" i="48"/>
  <c r="DF564" i="48"/>
  <c r="DF565" i="48"/>
  <c r="DA565" i="48" s="1"/>
  <c r="DF566" i="48"/>
  <c r="DA566" i="48" s="1"/>
  <c r="DF567" i="48"/>
  <c r="DA567" i="48" s="1"/>
  <c r="DF568" i="48"/>
  <c r="DA568" i="48" s="1"/>
  <c r="DF569" i="48"/>
  <c r="DA569" i="48" s="1"/>
  <c r="DF570" i="48"/>
  <c r="DA570" i="48" s="1"/>
  <c r="DF571" i="48"/>
  <c r="DA571" i="48" s="1"/>
  <c r="DF572" i="48"/>
  <c r="DA572" i="48" s="1"/>
  <c r="DF573" i="48"/>
  <c r="DA573" i="48" s="1"/>
  <c r="DF574" i="48"/>
  <c r="DA574" i="48" s="1"/>
  <c r="DF575" i="48"/>
  <c r="DA575" i="48" s="1"/>
  <c r="DF576" i="48"/>
  <c r="DA576" i="48" s="1"/>
  <c r="DF577" i="48"/>
  <c r="DA577" i="48" s="1"/>
  <c r="DF578" i="48"/>
  <c r="DA578" i="48" s="1"/>
  <c r="DF579" i="48"/>
  <c r="DA579" i="48" s="1"/>
  <c r="DF580" i="48"/>
  <c r="DA580" i="48" s="1"/>
  <c r="DF581" i="48"/>
  <c r="DA581" i="48" s="1"/>
  <c r="DF582" i="48"/>
  <c r="DA582" i="48" s="1"/>
  <c r="DF583" i="48"/>
  <c r="DA583" i="48" s="1"/>
  <c r="DF584" i="48"/>
  <c r="DA584" i="48" s="1"/>
  <c r="DF585" i="48"/>
  <c r="DA585" i="48" s="1"/>
  <c r="DF586" i="48"/>
  <c r="DF588" i="48"/>
  <c r="DF589" i="48"/>
  <c r="DA589" i="48" s="1"/>
  <c r="DF590" i="48"/>
  <c r="DA590" i="48" s="1"/>
  <c r="DF591" i="48"/>
  <c r="DA591" i="48" s="1"/>
  <c r="DF592" i="48"/>
  <c r="DA592" i="48" s="1"/>
  <c r="DF593" i="48"/>
  <c r="DA593" i="48" s="1"/>
  <c r="DF594" i="48"/>
  <c r="DA594" i="48" s="1"/>
  <c r="DF595" i="48"/>
  <c r="DA595" i="48" s="1"/>
  <c r="DF596" i="48"/>
  <c r="DA596" i="48" s="1"/>
  <c r="DF597" i="48"/>
  <c r="DA597" i="48" s="1"/>
  <c r="DF598" i="48"/>
  <c r="DA598" i="48" s="1"/>
  <c r="DF599" i="48"/>
  <c r="DA599" i="48" s="1"/>
  <c r="DF600" i="48"/>
  <c r="DA600" i="48" s="1"/>
  <c r="DF601" i="48"/>
  <c r="DA601" i="48" s="1"/>
  <c r="DF602" i="48"/>
  <c r="DA602" i="48" s="1"/>
  <c r="DF603" i="48"/>
  <c r="DA603" i="48" s="1"/>
  <c r="DF604" i="48"/>
  <c r="DA604" i="48" s="1"/>
  <c r="DF605" i="48"/>
  <c r="DA605" i="48" s="1"/>
  <c r="DF606" i="48"/>
  <c r="DA606" i="48" s="1"/>
  <c r="DF607" i="48"/>
  <c r="DA607" i="48" s="1"/>
  <c r="DF608" i="48"/>
  <c r="DA608" i="48" s="1"/>
  <c r="DF609" i="48"/>
  <c r="DA609" i="48" s="1"/>
  <c r="DF610" i="48"/>
  <c r="DF612" i="48"/>
  <c r="DF613" i="48"/>
  <c r="DA613" i="48" s="1"/>
  <c r="DF614" i="48"/>
  <c r="DA614" i="48" s="1"/>
  <c r="DF615" i="48"/>
  <c r="DA615" i="48" s="1"/>
  <c r="DF616" i="48"/>
  <c r="DA616" i="48" s="1"/>
  <c r="DF617" i="48"/>
  <c r="DA617" i="48" s="1"/>
  <c r="DF618" i="48"/>
  <c r="DA618" i="48" s="1"/>
  <c r="DF619" i="48"/>
  <c r="DA619" i="48" s="1"/>
  <c r="DF620" i="48"/>
  <c r="DA620" i="48" s="1"/>
  <c r="DF621" i="48"/>
  <c r="DA621" i="48" s="1"/>
  <c r="DF622" i="48"/>
  <c r="DA622" i="48" s="1"/>
  <c r="DF623" i="48"/>
  <c r="DA623" i="48" s="1"/>
  <c r="DF624" i="48"/>
  <c r="DA624" i="48" s="1"/>
  <c r="DF625" i="48"/>
  <c r="DA625" i="48" s="1"/>
  <c r="DF626" i="48"/>
  <c r="DA626" i="48" s="1"/>
  <c r="DF627" i="48"/>
  <c r="DA627" i="48" s="1"/>
  <c r="DF628" i="48"/>
  <c r="DA628" i="48" s="1"/>
  <c r="DF629" i="48"/>
  <c r="DA629" i="48" s="1"/>
  <c r="DF630" i="48"/>
  <c r="DA630" i="48" s="1"/>
  <c r="DF631" i="48"/>
  <c r="DA631" i="48" s="1"/>
  <c r="DF632" i="48"/>
  <c r="DA632" i="48" s="1"/>
  <c r="DF633" i="48"/>
  <c r="DA633" i="48" s="1"/>
  <c r="DF634" i="48"/>
  <c r="DF636" i="48"/>
  <c r="DF637" i="48"/>
  <c r="DA637" i="48" s="1"/>
  <c r="DF638" i="48"/>
  <c r="DA638" i="48" s="1"/>
  <c r="DF639" i="48"/>
  <c r="DA639" i="48" s="1"/>
  <c r="DF640" i="48"/>
  <c r="DA640" i="48" s="1"/>
  <c r="DF641" i="48"/>
  <c r="DA641" i="48" s="1"/>
  <c r="DF642" i="48"/>
  <c r="DA642" i="48" s="1"/>
  <c r="DF643" i="48"/>
  <c r="DA643" i="48" s="1"/>
  <c r="DF644" i="48"/>
  <c r="DA644" i="48" s="1"/>
  <c r="DF645" i="48"/>
  <c r="DA645" i="48" s="1"/>
  <c r="DF646" i="48"/>
  <c r="DA646" i="48" s="1"/>
  <c r="DF647" i="48"/>
  <c r="DA647" i="48" s="1"/>
  <c r="DF648" i="48"/>
  <c r="DA648" i="48" s="1"/>
  <c r="DF649" i="48"/>
  <c r="DA649" i="48" s="1"/>
  <c r="DF650" i="48"/>
  <c r="DA650" i="48" s="1"/>
  <c r="DF651" i="48"/>
  <c r="DA651" i="48" s="1"/>
  <c r="DF652" i="48"/>
  <c r="DA652" i="48" s="1"/>
  <c r="DF653" i="48"/>
  <c r="DA653" i="48" s="1"/>
  <c r="DF654" i="48"/>
  <c r="DA654" i="48" s="1"/>
  <c r="DF655" i="48"/>
  <c r="DA655" i="48" s="1"/>
  <c r="DF656" i="48"/>
  <c r="DA656" i="48" s="1"/>
  <c r="DF657" i="48"/>
  <c r="DA657" i="48" s="1"/>
  <c r="DF658" i="48"/>
  <c r="DF660" i="48"/>
  <c r="DF661" i="48"/>
  <c r="DA661" i="48" s="1"/>
  <c r="DF662" i="48"/>
  <c r="DA662" i="48" s="1"/>
  <c r="DF663" i="48"/>
  <c r="DA663" i="48" s="1"/>
  <c r="DF664" i="48"/>
  <c r="DA664" i="48" s="1"/>
  <c r="DF665" i="48"/>
  <c r="DA665" i="48" s="1"/>
  <c r="DF666" i="48"/>
  <c r="DA666" i="48" s="1"/>
  <c r="DF667" i="48"/>
  <c r="DA667" i="48" s="1"/>
  <c r="DF668" i="48"/>
  <c r="DA668" i="48" s="1"/>
  <c r="DF669" i="48"/>
  <c r="DA669" i="48" s="1"/>
  <c r="DF670" i="48"/>
  <c r="DA670" i="48" s="1"/>
  <c r="DF671" i="48"/>
  <c r="DA671" i="48" s="1"/>
  <c r="DF672" i="48"/>
  <c r="DA672" i="48" s="1"/>
  <c r="DF673" i="48"/>
  <c r="DA673" i="48" s="1"/>
  <c r="DF674" i="48"/>
  <c r="DA674" i="48" s="1"/>
  <c r="DF675" i="48"/>
  <c r="DA675" i="48" s="1"/>
  <c r="DF676" i="48"/>
  <c r="DA676" i="48" s="1"/>
  <c r="DF677" i="48"/>
  <c r="DA677" i="48" s="1"/>
  <c r="DF678" i="48"/>
  <c r="DA678" i="48" s="1"/>
  <c r="DF679" i="48"/>
  <c r="DA679" i="48" s="1"/>
  <c r="DF680" i="48"/>
  <c r="DA680" i="48" s="1"/>
  <c r="DF681" i="48"/>
  <c r="DA681" i="48" s="1"/>
  <c r="DF682" i="48"/>
  <c r="DF684" i="48"/>
  <c r="DF685" i="48"/>
  <c r="DA685" i="48" s="1"/>
  <c r="DF686" i="48"/>
  <c r="DA686" i="48" s="1"/>
  <c r="DF687" i="48"/>
  <c r="DA687" i="48" s="1"/>
  <c r="DF688" i="48"/>
  <c r="DA688" i="48" s="1"/>
  <c r="DF689" i="48"/>
  <c r="DA689" i="48" s="1"/>
  <c r="DF690" i="48"/>
  <c r="DA690" i="48" s="1"/>
  <c r="DF691" i="48"/>
  <c r="DA691" i="48" s="1"/>
  <c r="DF692" i="48"/>
  <c r="DA692" i="48" s="1"/>
  <c r="DF693" i="48"/>
  <c r="DA693" i="48" s="1"/>
  <c r="DF694" i="48"/>
  <c r="DA694" i="48" s="1"/>
  <c r="DF695" i="48"/>
  <c r="DA695" i="48" s="1"/>
  <c r="DF696" i="48"/>
  <c r="DA696" i="48" s="1"/>
  <c r="DF697" i="48"/>
  <c r="DA697" i="48" s="1"/>
  <c r="DF698" i="48"/>
  <c r="DA698" i="48" s="1"/>
  <c r="DF699" i="48"/>
  <c r="DA699" i="48" s="1"/>
  <c r="DF700" i="48"/>
  <c r="DA700" i="48" s="1"/>
  <c r="DF701" i="48"/>
  <c r="DA701" i="48" s="1"/>
  <c r="DF702" i="48"/>
  <c r="DA702" i="48" s="1"/>
  <c r="DF703" i="48"/>
  <c r="DA703" i="48" s="1"/>
  <c r="DF704" i="48"/>
  <c r="DA704" i="48" s="1"/>
  <c r="DF705" i="48"/>
  <c r="DA705" i="48" s="1"/>
  <c r="DF706" i="48"/>
  <c r="DF708" i="48"/>
  <c r="DF709" i="48"/>
  <c r="DA709" i="48" s="1"/>
  <c r="DF710" i="48"/>
  <c r="DA710" i="48" s="1"/>
  <c r="DF711" i="48"/>
  <c r="DA711" i="48" s="1"/>
  <c r="DF712" i="48"/>
  <c r="DA712" i="48" s="1"/>
  <c r="DF713" i="48"/>
  <c r="DA713" i="48" s="1"/>
  <c r="DF714" i="48"/>
  <c r="DA714" i="48" s="1"/>
  <c r="DF715" i="48"/>
  <c r="DA715" i="48" s="1"/>
  <c r="DF716" i="48"/>
  <c r="DA716" i="48" s="1"/>
  <c r="DF717" i="48"/>
  <c r="DA717" i="48" s="1"/>
  <c r="DF718" i="48"/>
  <c r="DA718" i="48" s="1"/>
  <c r="DF719" i="48"/>
  <c r="DA719" i="48" s="1"/>
  <c r="DF720" i="48"/>
  <c r="DA720" i="48" s="1"/>
  <c r="DF721" i="48"/>
  <c r="DA721" i="48" s="1"/>
  <c r="DF722" i="48"/>
  <c r="DA722" i="48" s="1"/>
  <c r="DF723" i="48"/>
  <c r="DA723" i="48" s="1"/>
  <c r="DF724" i="48"/>
  <c r="DA724" i="48" s="1"/>
  <c r="DF725" i="48"/>
  <c r="DA725" i="48" s="1"/>
  <c r="DF726" i="48"/>
  <c r="DA726" i="48" s="1"/>
  <c r="DF727" i="48"/>
  <c r="DA727" i="48" s="1"/>
  <c r="DF728" i="48"/>
  <c r="DA728" i="48" s="1"/>
  <c r="DF729" i="48"/>
  <c r="DA729" i="48" s="1"/>
  <c r="DF730" i="48"/>
  <c r="DF732" i="48"/>
  <c r="DF733" i="48"/>
  <c r="DA733" i="48" s="1"/>
  <c r="DF734" i="48"/>
  <c r="DA734" i="48" s="1"/>
  <c r="DF735" i="48"/>
  <c r="DA735" i="48" s="1"/>
  <c r="DF736" i="48"/>
  <c r="DA736" i="48" s="1"/>
  <c r="DF737" i="48"/>
  <c r="DA737" i="48" s="1"/>
  <c r="DF738" i="48"/>
  <c r="DA738" i="48" s="1"/>
  <c r="DF739" i="48"/>
  <c r="DA739" i="48" s="1"/>
  <c r="DF740" i="48"/>
  <c r="DA740" i="48" s="1"/>
  <c r="DF741" i="48"/>
  <c r="DA741" i="48" s="1"/>
  <c r="DF742" i="48"/>
  <c r="DA742" i="48" s="1"/>
  <c r="DF743" i="48"/>
  <c r="DA743" i="48" s="1"/>
  <c r="DF744" i="48"/>
  <c r="DA744" i="48" s="1"/>
  <c r="DF745" i="48"/>
  <c r="DA745" i="48" s="1"/>
  <c r="DF746" i="48"/>
  <c r="DA746" i="48" s="1"/>
  <c r="DF747" i="48"/>
  <c r="DA747" i="48" s="1"/>
  <c r="DF748" i="48"/>
  <c r="DA748" i="48" s="1"/>
  <c r="DF749" i="48"/>
  <c r="DA749" i="48" s="1"/>
  <c r="DF750" i="48"/>
  <c r="DA750" i="48" s="1"/>
  <c r="DF751" i="48"/>
  <c r="DA751" i="48" s="1"/>
  <c r="DF752" i="48"/>
  <c r="DA752" i="48" s="1"/>
  <c r="DF753" i="48"/>
  <c r="DA753" i="48" s="1"/>
  <c r="DF754" i="48"/>
  <c r="DF756" i="48"/>
  <c r="DF757" i="48"/>
  <c r="DA757" i="48" s="1"/>
  <c r="DF758" i="48"/>
  <c r="DA758" i="48" s="1"/>
  <c r="DF759" i="48"/>
  <c r="DA759" i="48" s="1"/>
  <c r="DF760" i="48"/>
  <c r="DA760" i="48" s="1"/>
  <c r="DF761" i="48"/>
  <c r="DA761" i="48" s="1"/>
  <c r="DF762" i="48"/>
  <c r="DA762" i="48" s="1"/>
  <c r="DF763" i="48"/>
  <c r="DA763" i="48" s="1"/>
  <c r="DF764" i="48"/>
  <c r="DA764" i="48" s="1"/>
  <c r="DF765" i="48"/>
  <c r="DA765" i="48" s="1"/>
  <c r="DF766" i="48"/>
  <c r="DA766" i="48" s="1"/>
  <c r="DF767" i="48"/>
  <c r="DA767" i="48" s="1"/>
  <c r="DF768" i="48"/>
  <c r="DA768" i="48" s="1"/>
  <c r="DF769" i="48"/>
  <c r="DA769" i="48" s="1"/>
  <c r="DF770" i="48"/>
  <c r="DA770" i="48" s="1"/>
  <c r="DF771" i="48"/>
  <c r="DA771" i="48" s="1"/>
  <c r="DF772" i="48"/>
  <c r="DA772" i="48" s="1"/>
  <c r="DF773" i="48"/>
  <c r="DA773" i="48" s="1"/>
  <c r="DF774" i="48"/>
  <c r="DA774" i="48" s="1"/>
  <c r="DF775" i="48"/>
  <c r="DA775" i="48" s="1"/>
  <c r="DF776" i="48"/>
  <c r="DA776" i="48" s="1"/>
  <c r="DF777" i="48"/>
  <c r="DA777" i="48" s="1"/>
  <c r="DF778" i="48"/>
  <c r="DF780" i="48"/>
  <c r="DF781" i="48"/>
  <c r="DA781" i="48" s="1"/>
  <c r="DF782" i="48"/>
  <c r="DA782" i="48" s="1"/>
  <c r="DF783" i="48"/>
  <c r="DA783" i="48" s="1"/>
  <c r="DF784" i="48"/>
  <c r="DA784" i="48" s="1"/>
  <c r="DF785" i="48"/>
  <c r="DA785" i="48" s="1"/>
  <c r="DF786" i="48"/>
  <c r="DA786" i="48" s="1"/>
  <c r="DF787" i="48"/>
  <c r="DA787" i="48" s="1"/>
  <c r="DF788" i="48"/>
  <c r="DA788" i="48" s="1"/>
  <c r="DF789" i="48"/>
  <c r="DA789" i="48" s="1"/>
  <c r="DF790" i="48"/>
  <c r="DA790" i="48" s="1"/>
  <c r="DF791" i="48"/>
  <c r="DA791" i="48" s="1"/>
  <c r="DF792" i="48"/>
  <c r="DA792" i="48" s="1"/>
  <c r="DF793" i="48"/>
  <c r="DA793" i="48" s="1"/>
  <c r="DF794" i="48"/>
  <c r="DA794" i="48" s="1"/>
  <c r="DF795" i="48"/>
  <c r="DA795" i="48" s="1"/>
  <c r="DF796" i="48"/>
  <c r="DA796" i="48" s="1"/>
  <c r="DF797" i="48"/>
  <c r="DA797" i="48" s="1"/>
  <c r="DF798" i="48"/>
  <c r="DA798" i="48" s="1"/>
  <c r="DF799" i="48"/>
  <c r="DA799" i="48" s="1"/>
  <c r="DF800" i="48"/>
  <c r="DA800" i="48" s="1"/>
  <c r="DF801" i="48"/>
  <c r="DA801" i="48" s="1"/>
  <c r="DF802" i="48"/>
  <c r="DF804" i="48"/>
  <c r="DF805" i="48"/>
  <c r="DA805" i="48" s="1"/>
  <c r="DF806" i="48"/>
  <c r="DA806" i="48" s="1"/>
  <c r="DF807" i="48"/>
  <c r="DA807" i="48" s="1"/>
  <c r="DF808" i="48"/>
  <c r="DA808" i="48" s="1"/>
  <c r="DF809" i="48"/>
  <c r="DA809" i="48" s="1"/>
  <c r="DF810" i="48"/>
  <c r="DA810" i="48" s="1"/>
  <c r="DF811" i="48"/>
  <c r="DA811" i="48" s="1"/>
  <c r="DF812" i="48"/>
  <c r="DA812" i="48" s="1"/>
  <c r="DF813" i="48"/>
  <c r="DA813" i="48" s="1"/>
  <c r="DF814" i="48"/>
  <c r="DA814" i="48" s="1"/>
  <c r="DF815" i="48"/>
  <c r="DA815" i="48" s="1"/>
  <c r="DF816" i="48"/>
  <c r="DA816" i="48" s="1"/>
  <c r="DF817" i="48"/>
  <c r="DA817" i="48" s="1"/>
  <c r="DF818" i="48"/>
  <c r="DA818" i="48" s="1"/>
  <c r="DF819" i="48"/>
  <c r="DA819" i="48" s="1"/>
  <c r="DF820" i="48"/>
  <c r="DA820" i="48" s="1"/>
  <c r="DF821" i="48"/>
  <c r="DA821" i="48" s="1"/>
  <c r="DF822" i="48"/>
  <c r="DA822" i="48" s="1"/>
  <c r="DF823" i="48"/>
  <c r="DA823" i="48" s="1"/>
  <c r="DF824" i="48"/>
  <c r="DA824" i="48" s="1"/>
  <c r="DF825" i="48"/>
  <c r="DA825" i="48" s="1"/>
  <c r="DF826" i="48"/>
  <c r="DF828" i="48"/>
  <c r="DF829" i="48"/>
  <c r="DA829" i="48" s="1"/>
  <c r="DF830" i="48"/>
  <c r="DA830" i="48" s="1"/>
  <c r="DF831" i="48"/>
  <c r="DA831" i="48" s="1"/>
  <c r="DF832" i="48"/>
  <c r="DA832" i="48" s="1"/>
  <c r="DF833" i="48"/>
  <c r="DA833" i="48" s="1"/>
  <c r="DF834" i="48"/>
  <c r="DA834" i="48" s="1"/>
  <c r="DF835" i="48"/>
  <c r="DA835" i="48" s="1"/>
  <c r="DF836" i="48"/>
  <c r="DA836" i="48" s="1"/>
  <c r="DF837" i="48"/>
  <c r="DA837" i="48" s="1"/>
  <c r="DF838" i="48"/>
  <c r="DA838" i="48" s="1"/>
  <c r="DF839" i="48"/>
  <c r="DA839" i="48" s="1"/>
  <c r="DF840" i="48"/>
  <c r="DA840" i="48" s="1"/>
  <c r="DF841" i="48"/>
  <c r="DA841" i="48" s="1"/>
  <c r="DF842" i="48"/>
  <c r="DA842" i="48" s="1"/>
  <c r="DF843" i="48"/>
  <c r="DA843" i="48" s="1"/>
  <c r="DF844" i="48"/>
  <c r="DA844" i="48" s="1"/>
  <c r="DF845" i="48"/>
  <c r="DA845" i="48" s="1"/>
  <c r="DF846" i="48"/>
  <c r="DA846" i="48" s="1"/>
  <c r="DF847" i="48"/>
  <c r="DA847" i="48" s="1"/>
  <c r="DF848" i="48"/>
  <c r="DA848" i="48" s="1"/>
  <c r="DF849" i="48"/>
  <c r="DA849" i="48" s="1"/>
  <c r="DF850" i="48"/>
  <c r="DF852" i="48"/>
  <c r="DF853" i="48"/>
  <c r="DA853" i="48" s="1"/>
  <c r="DF854" i="48"/>
  <c r="DA854" i="48" s="1"/>
  <c r="DF855" i="48"/>
  <c r="DA855" i="48" s="1"/>
  <c r="DF856" i="48"/>
  <c r="DA856" i="48" s="1"/>
  <c r="DF857" i="48"/>
  <c r="DA857" i="48" s="1"/>
  <c r="DF858" i="48"/>
  <c r="DA858" i="48" s="1"/>
  <c r="DF859" i="48"/>
  <c r="DA859" i="48" s="1"/>
  <c r="DF860" i="48"/>
  <c r="DA860" i="48" s="1"/>
  <c r="DF861" i="48"/>
  <c r="DA861" i="48" s="1"/>
  <c r="DF862" i="48"/>
  <c r="DA862" i="48" s="1"/>
  <c r="DF863" i="48"/>
  <c r="DA863" i="48" s="1"/>
  <c r="DF864" i="48"/>
  <c r="DA864" i="48" s="1"/>
  <c r="DF865" i="48"/>
  <c r="DA865" i="48" s="1"/>
  <c r="DF866" i="48"/>
  <c r="DA866" i="48" s="1"/>
  <c r="DF867" i="48"/>
  <c r="DA867" i="48" s="1"/>
  <c r="DF868" i="48"/>
  <c r="DA868" i="48" s="1"/>
  <c r="DF869" i="48"/>
  <c r="DA869" i="48" s="1"/>
  <c r="DF870" i="48"/>
  <c r="DA870" i="48" s="1"/>
  <c r="DF871" i="48"/>
  <c r="DA871" i="48" s="1"/>
  <c r="DF872" i="48"/>
  <c r="DA872" i="48" s="1"/>
  <c r="DF873" i="48"/>
  <c r="DA873" i="48" s="1"/>
  <c r="DF874" i="48"/>
  <c r="DF876" i="48"/>
  <c r="DF877" i="48"/>
  <c r="DA877" i="48" s="1"/>
  <c r="DF878" i="48"/>
  <c r="DA878" i="48" s="1"/>
  <c r="DF879" i="48"/>
  <c r="DA879" i="48" s="1"/>
  <c r="DF880" i="48"/>
  <c r="DA880" i="48" s="1"/>
  <c r="DF881" i="48"/>
  <c r="DA881" i="48" s="1"/>
  <c r="DF882" i="48"/>
  <c r="DA882" i="48" s="1"/>
  <c r="DF883" i="48"/>
  <c r="DA883" i="48" s="1"/>
  <c r="DF884" i="48"/>
  <c r="DA884" i="48" s="1"/>
  <c r="DF885" i="48"/>
  <c r="DA885" i="48" s="1"/>
  <c r="DF886" i="48"/>
  <c r="DA886" i="48" s="1"/>
  <c r="DF887" i="48"/>
  <c r="DA887" i="48" s="1"/>
  <c r="DF888" i="48"/>
  <c r="DA888" i="48" s="1"/>
  <c r="DF889" i="48"/>
  <c r="DA889" i="48" s="1"/>
  <c r="DF890" i="48"/>
  <c r="DA890" i="48" s="1"/>
  <c r="DF891" i="48"/>
  <c r="DA891" i="48" s="1"/>
  <c r="DF892" i="48"/>
  <c r="DA892" i="48" s="1"/>
  <c r="DF893" i="48"/>
  <c r="DA893" i="48" s="1"/>
  <c r="DF894" i="48"/>
  <c r="DA894" i="48" s="1"/>
  <c r="DF895" i="48"/>
  <c r="DA895" i="48" s="1"/>
  <c r="DF896" i="48"/>
  <c r="DA896" i="48" s="1"/>
  <c r="DF897" i="48"/>
  <c r="DA897" i="48" s="1"/>
  <c r="DF898" i="48"/>
  <c r="DF900" i="48"/>
  <c r="DF901" i="48"/>
  <c r="DA901" i="48" s="1"/>
  <c r="DF902" i="48"/>
  <c r="DA902" i="48" s="1"/>
  <c r="DF903" i="48"/>
  <c r="DA903" i="48" s="1"/>
  <c r="DF904" i="48"/>
  <c r="DA904" i="48" s="1"/>
  <c r="DF905" i="48"/>
  <c r="DA905" i="48" s="1"/>
  <c r="DF906" i="48"/>
  <c r="DA906" i="48" s="1"/>
  <c r="DF907" i="48"/>
  <c r="DA907" i="48" s="1"/>
  <c r="DF908" i="48"/>
  <c r="DA908" i="48" s="1"/>
  <c r="DF909" i="48"/>
  <c r="DA909" i="48" s="1"/>
  <c r="DF910" i="48"/>
  <c r="DA910" i="48" s="1"/>
  <c r="DF911" i="48"/>
  <c r="DA911" i="48" s="1"/>
  <c r="DF912" i="48"/>
  <c r="DA912" i="48" s="1"/>
  <c r="DF913" i="48"/>
  <c r="DA913" i="48" s="1"/>
  <c r="DF914" i="48"/>
  <c r="DA914" i="48" s="1"/>
  <c r="DF915" i="48"/>
  <c r="DA915" i="48" s="1"/>
  <c r="DF916" i="48"/>
  <c r="DA916" i="48" s="1"/>
  <c r="DF917" i="48"/>
  <c r="DA917" i="48" s="1"/>
  <c r="DF918" i="48"/>
  <c r="DA918" i="48" s="1"/>
  <c r="DF919" i="48"/>
  <c r="DA919" i="48" s="1"/>
  <c r="DF920" i="48"/>
  <c r="DA920" i="48" s="1"/>
  <c r="DF921" i="48"/>
  <c r="DA921" i="48" s="1"/>
  <c r="DF922" i="48"/>
  <c r="DF924" i="48"/>
  <c r="DF925" i="48"/>
  <c r="DA925" i="48" s="1"/>
  <c r="DF926" i="48"/>
  <c r="DA926" i="48" s="1"/>
  <c r="DF927" i="48"/>
  <c r="DA927" i="48" s="1"/>
  <c r="DF928" i="48"/>
  <c r="DA928" i="48" s="1"/>
  <c r="DF929" i="48"/>
  <c r="DA929" i="48" s="1"/>
  <c r="DF930" i="48"/>
  <c r="DA930" i="48" s="1"/>
  <c r="DF931" i="48"/>
  <c r="DA931" i="48" s="1"/>
  <c r="DF932" i="48"/>
  <c r="DA932" i="48" s="1"/>
  <c r="DF933" i="48"/>
  <c r="DA933" i="48" s="1"/>
  <c r="DF934" i="48"/>
  <c r="DA934" i="48" s="1"/>
  <c r="DF935" i="48"/>
  <c r="DA935" i="48" s="1"/>
  <c r="DF936" i="48"/>
  <c r="DA936" i="48" s="1"/>
  <c r="DF937" i="48"/>
  <c r="DA937" i="48" s="1"/>
  <c r="DF938" i="48"/>
  <c r="DA938" i="48" s="1"/>
  <c r="DF939" i="48"/>
  <c r="DA939" i="48" s="1"/>
  <c r="DF940" i="48"/>
  <c r="DA940" i="48" s="1"/>
  <c r="DF941" i="48"/>
  <c r="DA941" i="48" s="1"/>
  <c r="DF942" i="48"/>
  <c r="DA942" i="48" s="1"/>
  <c r="DF943" i="48"/>
  <c r="DA943" i="48" s="1"/>
  <c r="DF944" i="48"/>
  <c r="DA944" i="48" s="1"/>
  <c r="DF945" i="48"/>
  <c r="DA945" i="48" s="1"/>
  <c r="DF946" i="48"/>
  <c r="DF948" i="48"/>
  <c r="DF949" i="48"/>
  <c r="DA949" i="48" s="1"/>
  <c r="DF950" i="48"/>
  <c r="DA950" i="48" s="1"/>
  <c r="DF951" i="48"/>
  <c r="DA951" i="48" s="1"/>
  <c r="DF952" i="48"/>
  <c r="DA952" i="48" s="1"/>
  <c r="DF953" i="48"/>
  <c r="DA953" i="48" s="1"/>
  <c r="DF954" i="48"/>
  <c r="DA954" i="48" s="1"/>
  <c r="DF955" i="48"/>
  <c r="DA955" i="48" s="1"/>
  <c r="DF956" i="48"/>
  <c r="DA956" i="48" s="1"/>
  <c r="DF957" i="48"/>
  <c r="DA957" i="48" s="1"/>
  <c r="DF958" i="48"/>
  <c r="DA958" i="48" s="1"/>
  <c r="DF959" i="48"/>
  <c r="DA959" i="48" s="1"/>
  <c r="DF960" i="48"/>
  <c r="DA960" i="48" s="1"/>
  <c r="DF961" i="48"/>
  <c r="DA961" i="48" s="1"/>
  <c r="DF962" i="48"/>
  <c r="DA962" i="48" s="1"/>
  <c r="DF963" i="48"/>
  <c r="DA963" i="48" s="1"/>
  <c r="DF964" i="48"/>
  <c r="DA964" i="48" s="1"/>
  <c r="DF965" i="48"/>
  <c r="DA965" i="48" s="1"/>
  <c r="DF966" i="48"/>
  <c r="DA966" i="48" s="1"/>
  <c r="DF967" i="48"/>
  <c r="DA967" i="48" s="1"/>
  <c r="DF968" i="48"/>
  <c r="DA968" i="48" s="1"/>
  <c r="DF969" i="48"/>
  <c r="DA969" i="48" s="1"/>
  <c r="DF970" i="48"/>
  <c r="DF972" i="48"/>
  <c r="DF973" i="48"/>
  <c r="DA973" i="48" s="1"/>
  <c r="DF974" i="48"/>
  <c r="DA974" i="48" s="1"/>
  <c r="DF975" i="48"/>
  <c r="DA975" i="48" s="1"/>
  <c r="DF976" i="48"/>
  <c r="DA976" i="48" s="1"/>
  <c r="DF977" i="48"/>
  <c r="DA977" i="48" s="1"/>
  <c r="DF978" i="48"/>
  <c r="DA978" i="48" s="1"/>
  <c r="DF979" i="48"/>
  <c r="DA979" i="48" s="1"/>
  <c r="DF980" i="48"/>
  <c r="DA980" i="48" s="1"/>
  <c r="DF981" i="48"/>
  <c r="DA981" i="48" s="1"/>
  <c r="DF982" i="48"/>
  <c r="DA982" i="48" s="1"/>
  <c r="DF983" i="48"/>
  <c r="DA983" i="48" s="1"/>
  <c r="DF984" i="48"/>
  <c r="DA984" i="48" s="1"/>
  <c r="DF985" i="48"/>
  <c r="DA985" i="48" s="1"/>
  <c r="DF986" i="48"/>
  <c r="DA986" i="48" s="1"/>
  <c r="DF987" i="48"/>
  <c r="DA987" i="48" s="1"/>
  <c r="DF988" i="48"/>
  <c r="DA988" i="48" s="1"/>
  <c r="DF989" i="48"/>
  <c r="DA989" i="48" s="1"/>
  <c r="DF990" i="48"/>
  <c r="DA990" i="48" s="1"/>
  <c r="DF991" i="48"/>
  <c r="DA991" i="48" s="1"/>
  <c r="DF992" i="48"/>
  <c r="DA992" i="48" s="1"/>
  <c r="DF993" i="48"/>
  <c r="DA993" i="48" s="1"/>
  <c r="DF994" i="48"/>
  <c r="DF996" i="48"/>
  <c r="DF997" i="48"/>
  <c r="DA997" i="48" s="1"/>
  <c r="DF998" i="48"/>
  <c r="DA998" i="48" s="1"/>
  <c r="DF999" i="48"/>
  <c r="DA999" i="48" s="1"/>
  <c r="DF1000" i="48"/>
  <c r="DA1000" i="48" s="1"/>
  <c r="DF1001" i="48"/>
  <c r="DA1001" i="48" s="1"/>
  <c r="DF1002" i="48"/>
  <c r="DA1002" i="48" s="1"/>
  <c r="DF1003" i="48"/>
  <c r="DA1003" i="48" s="1"/>
  <c r="DF1004" i="48"/>
  <c r="DA1004" i="48" s="1"/>
  <c r="DF1005" i="48"/>
  <c r="DA1005" i="48" s="1"/>
  <c r="DF1006" i="48"/>
  <c r="DA1006" i="48" s="1"/>
  <c r="DF1007" i="48"/>
  <c r="DA1007" i="48" s="1"/>
  <c r="DF1008" i="48"/>
  <c r="DA1008" i="48" s="1"/>
  <c r="DF1009" i="48"/>
  <c r="DA1009" i="48" s="1"/>
  <c r="DF1010" i="48"/>
  <c r="DA1010" i="48" s="1"/>
  <c r="DF1011" i="48"/>
  <c r="DA1011" i="48" s="1"/>
  <c r="DF1012" i="48"/>
  <c r="DA1012" i="48" s="1"/>
  <c r="DF1013" i="48"/>
  <c r="DA1013" i="48" s="1"/>
  <c r="DF1014" i="48"/>
  <c r="DA1014" i="48" s="1"/>
  <c r="DF1015" i="48"/>
  <c r="DA1015" i="48" s="1"/>
  <c r="DF1016" i="48"/>
  <c r="DA1016" i="48" s="1"/>
  <c r="DF1017" i="48"/>
  <c r="DA1017" i="48" s="1"/>
  <c r="DF1018" i="48"/>
  <c r="DF1020" i="48"/>
  <c r="DF1021" i="48"/>
  <c r="DA1021" i="48" s="1"/>
  <c r="DF1022" i="48"/>
  <c r="DA1022" i="48" s="1"/>
  <c r="DF1023" i="48"/>
  <c r="DA1023" i="48" s="1"/>
  <c r="DF1024" i="48"/>
  <c r="DA1024" i="48" s="1"/>
  <c r="DF1025" i="48"/>
  <c r="DA1025" i="48" s="1"/>
  <c r="DF1026" i="48"/>
  <c r="DA1026" i="48" s="1"/>
  <c r="DF1027" i="48"/>
  <c r="DA1027" i="48" s="1"/>
  <c r="DF1028" i="48"/>
  <c r="DA1028" i="48" s="1"/>
  <c r="DF1029" i="48"/>
  <c r="DA1029" i="48" s="1"/>
  <c r="DF1030" i="48"/>
  <c r="DA1030" i="48" s="1"/>
  <c r="DF1031" i="48"/>
  <c r="DA1031" i="48" s="1"/>
  <c r="DF1032" i="48"/>
  <c r="DA1032" i="48" s="1"/>
  <c r="DF1033" i="48"/>
  <c r="DA1033" i="48" s="1"/>
  <c r="DF1034" i="48"/>
  <c r="DA1034" i="48" s="1"/>
  <c r="DF1035" i="48"/>
  <c r="DA1035" i="48" s="1"/>
  <c r="DF1036" i="48"/>
  <c r="DA1036" i="48" s="1"/>
  <c r="DF1037" i="48"/>
  <c r="DA1037" i="48" s="1"/>
  <c r="DF1038" i="48"/>
  <c r="DA1038" i="48" s="1"/>
  <c r="DF1039" i="48"/>
  <c r="DA1039" i="48" s="1"/>
  <c r="DF1040" i="48"/>
  <c r="DA1040" i="48" s="1"/>
  <c r="DF1041" i="48"/>
  <c r="DA1041" i="48" s="1"/>
  <c r="DF1042" i="48"/>
  <c r="DF1044" i="48"/>
  <c r="DF1045" i="48"/>
  <c r="DA1045" i="48" s="1"/>
  <c r="DF1046" i="48"/>
  <c r="DA1046" i="48" s="1"/>
  <c r="DF1047" i="48"/>
  <c r="DA1047" i="48" s="1"/>
  <c r="DF1048" i="48"/>
  <c r="DA1048" i="48" s="1"/>
  <c r="DF1049" i="48"/>
  <c r="DA1049" i="48" s="1"/>
  <c r="DF1050" i="48"/>
  <c r="DA1050" i="48" s="1"/>
  <c r="DF1051" i="48"/>
  <c r="DA1051" i="48" s="1"/>
  <c r="DF1052" i="48"/>
  <c r="DA1052" i="48" s="1"/>
  <c r="DF1053" i="48"/>
  <c r="DA1053" i="48" s="1"/>
  <c r="DF1054" i="48"/>
  <c r="DA1054" i="48" s="1"/>
  <c r="DF1055" i="48"/>
  <c r="DA1055" i="48" s="1"/>
  <c r="DF1056" i="48"/>
  <c r="DA1056" i="48" s="1"/>
  <c r="DF1057" i="48"/>
  <c r="DA1057" i="48" s="1"/>
  <c r="DF1058" i="48"/>
  <c r="DA1058" i="48" s="1"/>
  <c r="DF1059" i="48"/>
  <c r="DA1059" i="48" s="1"/>
  <c r="DF1060" i="48"/>
  <c r="DA1060" i="48" s="1"/>
  <c r="DF1061" i="48"/>
  <c r="DA1061" i="48" s="1"/>
  <c r="DF1062" i="48"/>
  <c r="DA1062" i="48" s="1"/>
  <c r="DF1063" i="48"/>
  <c r="DA1063" i="48" s="1"/>
  <c r="DF1064" i="48"/>
  <c r="DA1064" i="48" s="1"/>
  <c r="DF1065" i="48"/>
  <c r="DA1065" i="48" s="1"/>
  <c r="DF1068" i="48"/>
  <c r="DF1069" i="48"/>
  <c r="DA1069" i="48" s="1"/>
  <c r="DF1070" i="48"/>
  <c r="DA1070" i="48" s="1"/>
  <c r="DF1071" i="48"/>
  <c r="DA1071" i="48" s="1"/>
  <c r="DF1072" i="48"/>
  <c r="DA1072" i="48" s="1"/>
  <c r="DF1073" i="48"/>
  <c r="DA1073" i="48" s="1"/>
  <c r="DF1074" i="48"/>
  <c r="DA1074" i="48" s="1"/>
  <c r="DF1075" i="48"/>
  <c r="DA1075" i="48" s="1"/>
  <c r="DF1076" i="48"/>
  <c r="DA1076" i="48" s="1"/>
  <c r="DF1077" i="48"/>
  <c r="DA1077" i="48" s="1"/>
  <c r="DF1078" i="48"/>
  <c r="DA1078" i="48" s="1"/>
  <c r="DF1079" i="48"/>
  <c r="DA1079" i="48" s="1"/>
  <c r="DF1080" i="48"/>
  <c r="DA1080" i="48" s="1"/>
  <c r="DF1081" i="48"/>
  <c r="DA1081" i="48" s="1"/>
  <c r="DF1082" i="48"/>
  <c r="DA1082" i="48" s="1"/>
  <c r="DF1083" i="48"/>
  <c r="DA1083" i="48" s="1"/>
  <c r="DF1084" i="48"/>
  <c r="DA1084" i="48" s="1"/>
  <c r="DF1085" i="48"/>
  <c r="DA1085" i="48" s="1"/>
  <c r="DF1086" i="48"/>
  <c r="DA1086" i="48" s="1"/>
  <c r="DF1087" i="48"/>
  <c r="DA1087" i="48" s="1"/>
  <c r="DF1088" i="48"/>
  <c r="DA1088" i="48" s="1"/>
  <c r="DF1089" i="48"/>
  <c r="DA1089" i="48" s="1"/>
  <c r="DF1090" i="48"/>
  <c r="DF1092" i="48"/>
  <c r="DF1093" i="48"/>
  <c r="DA1093" i="48" s="1"/>
  <c r="DF1094" i="48"/>
  <c r="DA1094" i="48" s="1"/>
  <c r="DF1095" i="48"/>
  <c r="DA1095" i="48" s="1"/>
  <c r="DF1096" i="48"/>
  <c r="DA1096" i="48" s="1"/>
  <c r="DF1097" i="48"/>
  <c r="DA1097" i="48" s="1"/>
  <c r="DF1098" i="48"/>
  <c r="DA1098" i="48" s="1"/>
  <c r="DF1099" i="48"/>
  <c r="DA1099" i="48" s="1"/>
  <c r="DF1100" i="48"/>
  <c r="DA1100" i="48" s="1"/>
  <c r="DF1101" i="48"/>
  <c r="DA1101" i="48" s="1"/>
  <c r="DF1102" i="48"/>
  <c r="DA1102" i="48" s="1"/>
  <c r="DF1103" i="48"/>
  <c r="DA1103" i="48" s="1"/>
  <c r="DF1104" i="48"/>
  <c r="DA1104" i="48" s="1"/>
  <c r="DF1105" i="48"/>
  <c r="DA1105" i="48" s="1"/>
  <c r="DF1106" i="48"/>
  <c r="DA1106" i="48" s="1"/>
  <c r="DF1107" i="48"/>
  <c r="DA1107" i="48" s="1"/>
  <c r="DF1108" i="48"/>
  <c r="DA1108" i="48" s="1"/>
  <c r="DF1109" i="48"/>
  <c r="DA1109" i="48" s="1"/>
  <c r="DF1110" i="48"/>
  <c r="DA1110" i="48" s="1"/>
  <c r="DF1111" i="48"/>
  <c r="DA1111" i="48" s="1"/>
  <c r="DF1112" i="48"/>
  <c r="DA1112" i="48" s="1"/>
  <c r="DF1113" i="48"/>
  <c r="DA1113" i="48" s="1"/>
  <c r="DF1114" i="48"/>
  <c r="DF1116" i="48"/>
  <c r="DF1117" i="48"/>
  <c r="DA1117" i="48" s="1"/>
  <c r="DF1118" i="48"/>
  <c r="DA1118" i="48" s="1"/>
  <c r="DF1119" i="48"/>
  <c r="DA1119" i="48" s="1"/>
  <c r="DF1120" i="48"/>
  <c r="DA1120" i="48" s="1"/>
  <c r="DF1121" i="48"/>
  <c r="DA1121" i="48" s="1"/>
  <c r="DF1122" i="48"/>
  <c r="DA1122" i="48" s="1"/>
  <c r="DF1123" i="48"/>
  <c r="DA1123" i="48" s="1"/>
  <c r="DF1124" i="48"/>
  <c r="DA1124" i="48" s="1"/>
  <c r="DF1125" i="48"/>
  <c r="DA1125" i="48" s="1"/>
  <c r="DF1126" i="48"/>
  <c r="DA1126" i="48" s="1"/>
  <c r="DF1127" i="48"/>
  <c r="DA1127" i="48" s="1"/>
  <c r="DF1128" i="48"/>
  <c r="DA1128" i="48" s="1"/>
  <c r="DF1129" i="48"/>
  <c r="DA1129" i="48" s="1"/>
  <c r="DF1130" i="48"/>
  <c r="DA1130" i="48" s="1"/>
  <c r="DF1131" i="48"/>
  <c r="DA1131" i="48" s="1"/>
  <c r="DF1132" i="48"/>
  <c r="DA1132" i="48" s="1"/>
  <c r="DF1133" i="48"/>
  <c r="DA1133" i="48" s="1"/>
  <c r="DF1134" i="48"/>
  <c r="DA1134" i="48" s="1"/>
  <c r="DF1135" i="48"/>
  <c r="DA1135" i="48" s="1"/>
  <c r="DF1136" i="48"/>
  <c r="DA1136" i="48" s="1"/>
  <c r="DF1137" i="48"/>
  <c r="DA1137" i="48" s="1"/>
  <c r="DF1138" i="48"/>
  <c r="DF1140" i="48"/>
  <c r="DF1141" i="48"/>
  <c r="DA1141" i="48" s="1"/>
  <c r="DF1142" i="48"/>
  <c r="DA1142" i="48" s="1"/>
  <c r="DF1143" i="48"/>
  <c r="DA1143" i="48" s="1"/>
  <c r="DF1144" i="48"/>
  <c r="DA1144" i="48" s="1"/>
  <c r="DF1145" i="48"/>
  <c r="DA1145" i="48" s="1"/>
  <c r="DF1146" i="48"/>
  <c r="DA1146" i="48" s="1"/>
  <c r="DF1147" i="48"/>
  <c r="DA1147" i="48" s="1"/>
  <c r="DF1148" i="48"/>
  <c r="DA1148" i="48" s="1"/>
  <c r="DF1149" i="48"/>
  <c r="DA1149" i="48" s="1"/>
  <c r="DF1150" i="48"/>
  <c r="DA1150" i="48" s="1"/>
  <c r="DF1151" i="48"/>
  <c r="DA1151" i="48" s="1"/>
  <c r="DF1152" i="48"/>
  <c r="DA1152" i="48" s="1"/>
  <c r="DF1153" i="48"/>
  <c r="DA1153" i="48" s="1"/>
  <c r="DF1154" i="48"/>
  <c r="DA1154" i="48" s="1"/>
  <c r="DF1155" i="48"/>
  <c r="DA1155" i="48" s="1"/>
  <c r="DF1156" i="48"/>
  <c r="DA1156" i="48" s="1"/>
  <c r="DF1157" i="48"/>
  <c r="DA1157" i="48" s="1"/>
  <c r="DF1158" i="48"/>
  <c r="DA1158" i="48" s="1"/>
  <c r="DF1159" i="48"/>
  <c r="DA1159" i="48" s="1"/>
  <c r="DF1160" i="48"/>
  <c r="DA1160" i="48" s="1"/>
  <c r="DF1161" i="48"/>
  <c r="DA1161" i="48" s="1"/>
  <c r="DF1162" i="48"/>
  <c r="DF1164" i="48"/>
  <c r="DF1165" i="48"/>
  <c r="DA1165" i="48" s="1"/>
  <c r="DF1166" i="48"/>
  <c r="DA1166" i="48" s="1"/>
  <c r="DF1167" i="48"/>
  <c r="DA1167" i="48" s="1"/>
  <c r="DF1168" i="48"/>
  <c r="DA1168" i="48" s="1"/>
  <c r="DF1169" i="48"/>
  <c r="DA1169" i="48" s="1"/>
  <c r="DF1170" i="48"/>
  <c r="DA1170" i="48" s="1"/>
  <c r="DF1171" i="48"/>
  <c r="DA1171" i="48" s="1"/>
  <c r="DF1172" i="48"/>
  <c r="DA1172" i="48" s="1"/>
  <c r="DF1173" i="48"/>
  <c r="DA1173" i="48" s="1"/>
  <c r="DF1174" i="48"/>
  <c r="DA1174" i="48" s="1"/>
  <c r="DF1175" i="48"/>
  <c r="DA1175" i="48" s="1"/>
  <c r="DF1176" i="48"/>
  <c r="DA1176" i="48" s="1"/>
  <c r="DF1177" i="48"/>
  <c r="DA1177" i="48" s="1"/>
  <c r="DF1178" i="48"/>
  <c r="DA1178" i="48" s="1"/>
  <c r="DF1179" i="48"/>
  <c r="DA1179" i="48" s="1"/>
  <c r="DF1180" i="48"/>
  <c r="DA1180" i="48" s="1"/>
  <c r="DF1181" i="48"/>
  <c r="DA1181" i="48" s="1"/>
  <c r="DF1182" i="48"/>
  <c r="DA1182" i="48" s="1"/>
  <c r="DF1183" i="48"/>
  <c r="DA1183" i="48" s="1"/>
  <c r="DF1184" i="48"/>
  <c r="DA1184" i="48" s="1"/>
  <c r="DF1185" i="48"/>
  <c r="DA1185" i="48" s="1"/>
  <c r="DF1186" i="48"/>
  <c r="DF1188" i="48"/>
  <c r="DF1189" i="48"/>
  <c r="DA1189" i="48" s="1"/>
  <c r="DF1190" i="48"/>
  <c r="DA1190" i="48" s="1"/>
  <c r="DF1191" i="48"/>
  <c r="DA1191" i="48" s="1"/>
  <c r="DF1192" i="48"/>
  <c r="DA1192" i="48" s="1"/>
  <c r="DF1193" i="48"/>
  <c r="DA1193" i="48" s="1"/>
  <c r="DF1194" i="48"/>
  <c r="DA1194" i="48" s="1"/>
  <c r="DF1195" i="48"/>
  <c r="DA1195" i="48" s="1"/>
  <c r="DF1196" i="48"/>
  <c r="DA1196" i="48" s="1"/>
  <c r="DF1197" i="48"/>
  <c r="DA1197" i="48" s="1"/>
  <c r="DF1198" i="48"/>
  <c r="DA1198" i="48" s="1"/>
  <c r="DF1199" i="48"/>
  <c r="DA1199" i="48" s="1"/>
  <c r="DF1200" i="48"/>
  <c r="DA1200" i="48" s="1"/>
  <c r="DF1201" i="48"/>
  <c r="DA1201" i="48" s="1"/>
  <c r="DF1202" i="48"/>
  <c r="DA1202" i="48" s="1"/>
  <c r="DF1203" i="48"/>
  <c r="DA1203" i="48" s="1"/>
  <c r="DF1204" i="48"/>
  <c r="DA1204" i="48" s="1"/>
  <c r="DF1205" i="48"/>
  <c r="DA1205" i="48" s="1"/>
  <c r="DF1206" i="48"/>
  <c r="DA1206" i="48" s="1"/>
  <c r="DF1207" i="48"/>
  <c r="DA1207" i="48" s="1"/>
  <c r="DF1208" i="48"/>
  <c r="DA1208" i="48" s="1"/>
  <c r="DF1209" i="48"/>
  <c r="DA1209" i="48" s="1"/>
  <c r="DF1210" i="48"/>
  <c r="DF1212" i="48"/>
  <c r="DF1213" i="48"/>
  <c r="DA1213" i="48" s="1"/>
  <c r="DF1214" i="48"/>
  <c r="DA1214" i="48" s="1"/>
  <c r="DF1215" i="48"/>
  <c r="DA1215" i="48" s="1"/>
  <c r="DF1216" i="48"/>
  <c r="DA1216" i="48" s="1"/>
  <c r="DF1217" i="48"/>
  <c r="DA1217" i="48" s="1"/>
  <c r="DF1218" i="48"/>
  <c r="DA1218" i="48" s="1"/>
  <c r="DF1219" i="48"/>
  <c r="DA1219" i="48" s="1"/>
  <c r="DF1220" i="48"/>
  <c r="DA1220" i="48" s="1"/>
  <c r="DF1221" i="48"/>
  <c r="DA1221" i="48" s="1"/>
  <c r="DF1222" i="48"/>
  <c r="DA1222" i="48" s="1"/>
  <c r="DF1223" i="48"/>
  <c r="DA1223" i="48" s="1"/>
  <c r="DF1224" i="48"/>
  <c r="DA1224" i="48" s="1"/>
  <c r="DF1225" i="48"/>
  <c r="DA1225" i="48" s="1"/>
  <c r="DF1226" i="48"/>
  <c r="DA1226" i="48" s="1"/>
  <c r="DF1227" i="48"/>
  <c r="DA1227" i="48" s="1"/>
  <c r="DF1228" i="48"/>
  <c r="DA1228" i="48" s="1"/>
  <c r="DF1229" i="48"/>
  <c r="DA1229" i="48" s="1"/>
  <c r="DF1230" i="48"/>
  <c r="DA1230" i="48" s="1"/>
  <c r="DF1231" i="48"/>
  <c r="DA1231" i="48" s="1"/>
  <c r="DF1232" i="48"/>
  <c r="DA1232" i="48" s="1"/>
  <c r="DF1233" i="48"/>
  <c r="DA1233" i="48" s="1"/>
  <c r="DF1234" i="48"/>
  <c r="DF1236" i="48"/>
  <c r="DF1237" i="48"/>
  <c r="DA1237" i="48" s="1"/>
  <c r="DF1238" i="48"/>
  <c r="DA1238" i="48" s="1"/>
  <c r="DF1239" i="48"/>
  <c r="DA1239" i="48" s="1"/>
  <c r="DF1240" i="48"/>
  <c r="DA1240" i="48" s="1"/>
  <c r="DF1241" i="48"/>
  <c r="DA1241" i="48" s="1"/>
  <c r="DF1242" i="48"/>
  <c r="DA1242" i="48" s="1"/>
  <c r="DF1243" i="48"/>
  <c r="DA1243" i="48" s="1"/>
  <c r="DF1244" i="48"/>
  <c r="DA1244" i="48" s="1"/>
  <c r="DF1245" i="48"/>
  <c r="DA1245" i="48" s="1"/>
  <c r="DF1246" i="48"/>
  <c r="DA1246" i="48" s="1"/>
  <c r="DF1247" i="48"/>
  <c r="DA1247" i="48" s="1"/>
  <c r="DF1248" i="48"/>
  <c r="DA1248" i="48" s="1"/>
  <c r="DF1249" i="48"/>
  <c r="DA1249" i="48" s="1"/>
  <c r="DF1250" i="48"/>
  <c r="DA1250" i="48" s="1"/>
  <c r="DF1251" i="48"/>
  <c r="DA1251" i="48" s="1"/>
  <c r="DF1252" i="48"/>
  <c r="DA1252" i="48" s="1"/>
  <c r="DF1253" i="48"/>
  <c r="DA1253" i="48" s="1"/>
  <c r="DF1254" i="48"/>
  <c r="DA1254" i="48" s="1"/>
  <c r="DF1255" i="48"/>
  <c r="DA1255" i="48" s="1"/>
  <c r="DF1256" i="48"/>
  <c r="DA1256" i="48" s="1"/>
  <c r="DF1257" i="48"/>
  <c r="DA1257" i="48" s="1"/>
  <c r="DF1258" i="48"/>
  <c r="DF1260" i="48"/>
  <c r="DF1261" i="48"/>
  <c r="DA1261" i="48" s="1"/>
  <c r="DF1262" i="48"/>
  <c r="DA1262" i="48" s="1"/>
  <c r="DF1263" i="48"/>
  <c r="DA1263" i="48" s="1"/>
  <c r="DF1264" i="48"/>
  <c r="DA1264" i="48" s="1"/>
  <c r="DF1265" i="48"/>
  <c r="DA1265" i="48" s="1"/>
  <c r="DF1266" i="48"/>
  <c r="DA1266" i="48" s="1"/>
  <c r="DF1267" i="48"/>
  <c r="DA1267" i="48" s="1"/>
  <c r="DF1268" i="48"/>
  <c r="DA1268" i="48" s="1"/>
  <c r="DF1269" i="48"/>
  <c r="DA1269" i="48" s="1"/>
  <c r="DF1270" i="48"/>
  <c r="DA1270" i="48" s="1"/>
  <c r="DF1271" i="48"/>
  <c r="DA1271" i="48" s="1"/>
  <c r="DF1272" i="48"/>
  <c r="DA1272" i="48" s="1"/>
  <c r="DF1273" i="48"/>
  <c r="DA1273" i="48" s="1"/>
  <c r="DF1274" i="48"/>
  <c r="DA1274" i="48" s="1"/>
  <c r="DF1275" i="48"/>
  <c r="DA1275" i="48" s="1"/>
  <c r="DF1276" i="48"/>
  <c r="DA1276" i="48" s="1"/>
  <c r="DF1277" i="48"/>
  <c r="DA1277" i="48" s="1"/>
  <c r="DF1278" i="48"/>
  <c r="DA1278" i="48" s="1"/>
  <c r="DF1279" i="48"/>
  <c r="DA1279" i="48" s="1"/>
  <c r="DF1280" i="48"/>
  <c r="DA1280" i="48" s="1"/>
  <c r="DF1281" i="48"/>
  <c r="DA1281" i="48" s="1"/>
  <c r="DF1284" i="48"/>
  <c r="DF1285" i="48"/>
  <c r="DA1285" i="48" s="1"/>
  <c r="DF1286" i="48"/>
  <c r="DA1286" i="48" s="1"/>
  <c r="DF1287" i="48"/>
  <c r="DA1287" i="48" s="1"/>
  <c r="DF1288" i="48"/>
  <c r="DA1288" i="48" s="1"/>
  <c r="DF1289" i="48"/>
  <c r="DA1289" i="48" s="1"/>
  <c r="DF1290" i="48"/>
  <c r="DA1290" i="48" s="1"/>
  <c r="DF1291" i="48"/>
  <c r="DA1291" i="48" s="1"/>
  <c r="DF1292" i="48"/>
  <c r="DA1292" i="48" s="1"/>
  <c r="DF1293" i="48"/>
  <c r="DA1293" i="48" s="1"/>
  <c r="DF1294" i="48"/>
  <c r="DA1294" i="48" s="1"/>
  <c r="DF1295" i="48"/>
  <c r="DA1295" i="48" s="1"/>
  <c r="DF1296" i="48"/>
  <c r="DA1296" i="48" s="1"/>
  <c r="DF1297" i="48"/>
  <c r="DA1297" i="48" s="1"/>
  <c r="DF1298" i="48"/>
  <c r="DA1298" i="48" s="1"/>
  <c r="DF1299" i="48"/>
  <c r="DA1299" i="48" s="1"/>
  <c r="DF1300" i="48"/>
  <c r="DA1300" i="48" s="1"/>
  <c r="DF1301" i="48"/>
  <c r="DA1301" i="48" s="1"/>
  <c r="DF1302" i="48"/>
  <c r="DA1302" i="48" s="1"/>
  <c r="DF1303" i="48"/>
  <c r="DA1303" i="48" s="1"/>
  <c r="DF1304" i="48"/>
  <c r="DA1304" i="48" s="1"/>
  <c r="DF1305" i="48"/>
  <c r="DA1305" i="48" s="1"/>
  <c r="DF1306" i="48"/>
  <c r="DF1308" i="48"/>
  <c r="DF1309" i="48"/>
  <c r="DA1309" i="48" s="1"/>
  <c r="DF1310" i="48"/>
  <c r="DA1310" i="48" s="1"/>
  <c r="DF1311" i="48"/>
  <c r="DA1311" i="48" s="1"/>
  <c r="DF1312" i="48"/>
  <c r="DA1312" i="48" s="1"/>
  <c r="DF1313" i="48"/>
  <c r="DA1313" i="48" s="1"/>
  <c r="DF1314" i="48"/>
  <c r="DA1314" i="48" s="1"/>
  <c r="DF1315" i="48"/>
  <c r="DA1315" i="48" s="1"/>
  <c r="DF1316" i="48"/>
  <c r="DA1316" i="48" s="1"/>
  <c r="DF1317" i="48"/>
  <c r="DA1317" i="48" s="1"/>
  <c r="DF1318" i="48"/>
  <c r="DA1318" i="48" s="1"/>
  <c r="DF1319" i="48"/>
  <c r="DA1319" i="48" s="1"/>
  <c r="DF1320" i="48"/>
  <c r="DA1320" i="48" s="1"/>
  <c r="DF1321" i="48"/>
  <c r="DA1321" i="48" s="1"/>
  <c r="DF1322" i="48"/>
  <c r="DA1322" i="48" s="1"/>
  <c r="DF1323" i="48"/>
  <c r="DA1323" i="48" s="1"/>
  <c r="DF1324" i="48"/>
  <c r="DA1324" i="48" s="1"/>
  <c r="DF1325" i="48"/>
  <c r="DA1325" i="48" s="1"/>
  <c r="DF1326" i="48"/>
  <c r="DA1326" i="48" s="1"/>
  <c r="DF1327" i="48"/>
  <c r="DA1327" i="48" s="1"/>
  <c r="DF1328" i="48"/>
  <c r="DA1328" i="48" s="1"/>
  <c r="DF1329" i="48"/>
  <c r="DA1329" i="48" s="1"/>
  <c r="DF1330" i="48"/>
  <c r="DF36" i="48"/>
  <c r="E13" i="53"/>
  <c r="C13" i="53"/>
  <c r="DA658" i="48" l="1"/>
  <c r="DF659" i="48"/>
  <c r="DA82" i="48"/>
  <c r="DF83" i="48"/>
  <c r="DA1186" i="48"/>
  <c r="DF1187" i="48"/>
  <c r="DA1018" i="48"/>
  <c r="DF1019" i="48"/>
  <c r="DA826" i="48"/>
  <c r="DF827" i="48"/>
  <c r="DA634" i="48"/>
  <c r="DF635" i="48"/>
  <c r="DA442" i="48"/>
  <c r="DF443" i="48"/>
  <c r="DA1210" i="48"/>
  <c r="DF1211" i="48"/>
  <c r="DA850" i="48"/>
  <c r="DF851" i="48"/>
  <c r="DA1234" i="48"/>
  <c r="DF1235" i="48"/>
  <c r="DA874" i="48"/>
  <c r="DF875" i="48"/>
  <c r="DA682" i="48"/>
  <c r="DF683" i="48"/>
  <c r="DA490" i="48"/>
  <c r="DF491" i="48"/>
  <c r="DA298" i="48"/>
  <c r="DF299" i="48"/>
  <c r="DA106" i="48"/>
  <c r="DF107" i="48"/>
  <c r="DA1258" i="48"/>
  <c r="DF1259" i="48"/>
  <c r="DA898" i="48"/>
  <c r="DF899" i="48"/>
  <c r="DA706" i="48"/>
  <c r="DF707" i="48"/>
  <c r="DA514" i="48"/>
  <c r="DF515" i="48"/>
  <c r="DA322" i="48"/>
  <c r="DF323" i="48"/>
  <c r="DA130" i="48"/>
  <c r="DF131" i="48"/>
  <c r="DA466" i="48"/>
  <c r="DF467" i="48"/>
  <c r="DA1090" i="48"/>
  <c r="DF1091" i="48"/>
  <c r="DA922" i="48"/>
  <c r="DF923" i="48"/>
  <c r="DA730" i="48"/>
  <c r="DF731" i="48"/>
  <c r="DA538" i="48"/>
  <c r="DF539" i="48"/>
  <c r="DA346" i="48"/>
  <c r="DF347" i="48"/>
  <c r="DA274" i="48"/>
  <c r="DF275" i="48"/>
  <c r="DA154" i="48"/>
  <c r="DF155" i="48"/>
  <c r="DA1114" i="48"/>
  <c r="DF1115" i="48"/>
  <c r="DA946" i="48"/>
  <c r="DF947" i="48"/>
  <c r="DA754" i="48"/>
  <c r="DF755" i="48"/>
  <c r="DA562" i="48"/>
  <c r="DF563" i="48"/>
  <c r="DA370" i="48"/>
  <c r="DF371" i="48"/>
  <c r="DA250" i="48"/>
  <c r="DF251" i="48"/>
  <c r="DA178" i="48"/>
  <c r="DF179" i="48"/>
  <c r="DA1042" i="48"/>
  <c r="DF1043" i="48"/>
  <c r="DA1306" i="48"/>
  <c r="DF1307" i="48"/>
  <c r="DA1138" i="48"/>
  <c r="DF1139" i="48"/>
  <c r="DA970" i="48"/>
  <c r="DF971" i="48"/>
  <c r="DA778" i="48"/>
  <c r="DF779" i="48"/>
  <c r="DA586" i="48"/>
  <c r="DF587" i="48"/>
  <c r="DA394" i="48"/>
  <c r="DF395" i="48"/>
  <c r="DA226" i="48"/>
  <c r="DF227" i="48"/>
  <c r="DA1330" i="48"/>
  <c r="DF1331" i="48"/>
  <c r="DA1162" i="48"/>
  <c r="DF1163" i="48"/>
  <c r="DA994" i="48"/>
  <c r="DF995" i="48"/>
  <c r="DA802" i="48"/>
  <c r="DF803" i="48"/>
  <c r="DA610" i="48"/>
  <c r="DF611" i="48"/>
  <c r="DA418" i="48"/>
  <c r="DF419" i="48"/>
  <c r="DA58" i="48"/>
  <c r="DF59" i="48"/>
  <c r="CV1288" i="48"/>
  <c r="CX1288" i="48" s="1"/>
  <c r="DL973" i="48"/>
  <c r="DL209" i="48"/>
  <c r="DL1029" i="48"/>
  <c r="DL385" i="48"/>
  <c r="DL125" i="48"/>
  <c r="DL153" i="48"/>
  <c r="DL494" i="48"/>
  <c r="DL570" i="48"/>
  <c r="DL670" i="48"/>
  <c r="DL770" i="48"/>
  <c r="DL846" i="48"/>
  <c r="DL1071" i="48"/>
  <c r="DL931" i="48"/>
  <c r="DL1031" i="48"/>
  <c r="DL939" i="48"/>
  <c r="DL703" i="48"/>
  <c r="DL444" i="48"/>
  <c r="DL520" i="48"/>
  <c r="DL620" i="48"/>
  <c r="DL720" i="48"/>
  <c r="DL872" i="48"/>
  <c r="DL1305" i="48"/>
  <c r="DL1247" i="48"/>
  <c r="DL1189" i="48"/>
  <c r="DL1147" i="48"/>
  <c r="DL1112" i="48"/>
  <c r="DL1064" i="48"/>
  <c r="DL981" i="48"/>
  <c r="DL813" i="48"/>
  <c r="DL695" i="48"/>
  <c r="DL393" i="48"/>
  <c r="DL276" i="48"/>
  <c r="DL142" i="48"/>
  <c r="DL1280" i="48"/>
  <c r="DL1222" i="48"/>
  <c r="DL1180" i="48"/>
  <c r="DL1141" i="48"/>
  <c r="DL1104" i="48"/>
  <c r="DL1037" i="48"/>
  <c r="DL897" i="48"/>
  <c r="DL805" i="48"/>
  <c r="DL637" i="48"/>
  <c r="DL225" i="48"/>
  <c r="DL84" i="48"/>
  <c r="DL1272" i="48"/>
  <c r="DL1214" i="48"/>
  <c r="DL1174" i="48"/>
  <c r="DL1089" i="48"/>
  <c r="DL856" i="48"/>
  <c r="DL753" i="48"/>
  <c r="DL628" i="48"/>
  <c r="DL460" i="48"/>
  <c r="DL342" i="48"/>
  <c r="DL217" i="48"/>
  <c r="DL75" i="48"/>
  <c r="DL1308" i="48"/>
  <c r="DL1257" i="48"/>
  <c r="DL1207" i="48"/>
  <c r="DL1155" i="48"/>
  <c r="DL989" i="48"/>
  <c r="DL561" i="48"/>
  <c r="DL452" i="48"/>
  <c r="DL284" i="48"/>
  <c r="DL150" i="48"/>
  <c r="CV446" i="48"/>
  <c r="CX446" i="48" s="1"/>
  <c r="DL914" i="48"/>
  <c r="DL1314" i="48"/>
  <c r="DL1241" i="48"/>
  <c r="DL1274" i="48"/>
  <c r="DL137" i="48"/>
  <c r="DL329" i="48"/>
  <c r="DL497" i="48"/>
  <c r="DL665" i="48"/>
  <c r="DL833" i="48"/>
  <c r="DL1001" i="48"/>
  <c r="DL1169" i="48"/>
  <c r="DL113" i="48"/>
  <c r="DL305" i="48"/>
  <c r="DL473" i="48"/>
  <c r="DL641" i="48"/>
  <c r="DL809" i="48"/>
  <c r="DL977" i="48"/>
  <c r="DL1145" i="48"/>
  <c r="DL89" i="48"/>
  <c r="DL281" i="48"/>
  <c r="DL449" i="48"/>
  <c r="DL617" i="48"/>
  <c r="DL953" i="48"/>
  <c r="DL1121" i="48"/>
  <c r="DL1313" i="48"/>
  <c r="DL65" i="48"/>
  <c r="DL257" i="48"/>
  <c r="DL425" i="48"/>
  <c r="DL593" i="48"/>
  <c r="DL785" i="48"/>
  <c r="DL929" i="48"/>
  <c r="DL41" i="48"/>
  <c r="DL233" i="48"/>
  <c r="DL401" i="48"/>
  <c r="DL569" i="48"/>
  <c r="DL761" i="48"/>
  <c r="DL905" i="48"/>
  <c r="DL1097" i="48"/>
  <c r="DL1265" i="48"/>
  <c r="DL185" i="48"/>
  <c r="DL353" i="48"/>
  <c r="DL521" i="48"/>
  <c r="DL713" i="48"/>
  <c r="DL857" i="48"/>
  <c r="DL1049" i="48"/>
  <c r="DL1217" i="48"/>
  <c r="DL161" i="48"/>
  <c r="DL689" i="48"/>
  <c r="DL1025" i="48"/>
  <c r="DL1193" i="48"/>
  <c r="DL881" i="48"/>
  <c r="DL737" i="48"/>
  <c r="DL545" i="48"/>
  <c r="DL377" i="48"/>
  <c r="DL1073" i="48"/>
  <c r="DL1289" i="48"/>
  <c r="DL145" i="48"/>
  <c r="DL337" i="48"/>
  <c r="DL505" i="48"/>
  <c r="DL673" i="48"/>
  <c r="DL841" i="48"/>
  <c r="DL1009" i="48"/>
  <c r="DL1177" i="48"/>
  <c r="DL121" i="48"/>
  <c r="DL313" i="48"/>
  <c r="DL481" i="48"/>
  <c r="DL649" i="48"/>
  <c r="DL817" i="48"/>
  <c r="DL985" i="48"/>
  <c r="DL1153" i="48"/>
  <c r="DL97" i="48"/>
  <c r="DL289" i="48"/>
  <c r="DL457" i="48"/>
  <c r="DL625" i="48"/>
  <c r="DL961" i="48"/>
  <c r="DL1129" i="48"/>
  <c r="DL1321" i="48"/>
  <c r="DL73" i="48"/>
  <c r="DL265" i="48"/>
  <c r="DL433" i="48"/>
  <c r="DL601" i="48"/>
  <c r="DL793" i="48"/>
  <c r="DL937" i="48"/>
  <c r="DL49" i="48"/>
  <c r="DL241" i="48"/>
  <c r="DL409" i="48"/>
  <c r="DL577" i="48"/>
  <c r="DL769" i="48"/>
  <c r="DL913" i="48"/>
  <c r="DL1105" i="48"/>
  <c r="DL1273" i="48"/>
  <c r="DL193" i="48"/>
  <c r="DL361" i="48"/>
  <c r="DL529" i="48"/>
  <c r="DL721" i="48"/>
  <c r="DL865" i="48"/>
  <c r="DL1057" i="48"/>
  <c r="DL1225" i="48"/>
  <c r="DL169" i="48"/>
  <c r="DL697" i="48"/>
  <c r="DL1033" i="48"/>
  <c r="DL1201" i="48"/>
  <c r="DL1081" i="48"/>
  <c r="DL889" i="48"/>
  <c r="DL1297" i="48"/>
  <c r="DL745" i="48"/>
  <c r="DL553" i="48"/>
  <c r="DL1249" i="48"/>
  <c r="DL162" i="48"/>
  <c r="DL690" i="48"/>
  <c r="DL1026" i="48"/>
  <c r="DL1194" i="48"/>
  <c r="DL138" i="48"/>
  <c r="DL330" i="48"/>
  <c r="DL498" i="48"/>
  <c r="DL666" i="48"/>
  <c r="DL834" i="48"/>
  <c r="DL1002" i="48"/>
  <c r="DL1170" i="48"/>
  <c r="DL114" i="48"/>
  <c r="DL306" i="48"/>
  <c r="DL474" i="48"/>
  <c r="DL642" i="48"/>
  <c r="DL810" i="48"/>
  <c r="DL978" i="48"/>
  <c r="DL1146" i="48"/>
  <c r="DL90" i="48"/>
  <c r="DL282" i="48"/>
  <c r="DL450" i="48"/>
  <c r="DL618" i="48"/>
  <c r="DL954" i="48"/>
  <c r="DL66" i="48"/>
  <c r="DL258" i="48"/>
  <c r="DL426" i="48"/>
  <c r="DL594" i="48"/>
  <c r="DL786" i="48"/>
  <c r="DL930" i="48"/>
  <c r="DL1290" i="48"/>
  <c r="DL210" i="48"/>
  <c r="DL378" i="48"/>
  <c r="DL546" i="48"/>
  <c r="DL738" i="48"/>
  <c r="DL882" i="48"/>
  <c r="DL1074" i="48"/>
  <c r="DL1242" i="48"/>
  <c r="DL186" i="48"/>
  <c r="DL354" i="48"/>
  <c r="DL522" i="48"/>
  <c r="DL714" i="48"/>
  <c r="DL858" i="48"/>
  <c r="DL1050" i="48"/>
  <c r="DL1218" i="48"/>
  <c r="DL42" i="48"/>
  <c r="DL1266" i="48"/>
  <c r="DL906" i="48"/>
  <c r="DL402" i="48"/>
  <c r="DL234" i="48"/>
  <c r="DL1122" i="48"/>
  <c r="DL170" i="48"/>
  <c r="DL698" i="48"/>
  <c r="DL1034" i="48"/>
  <c r="DL1202" i="48"/>
  <c r="DL146" i="48"/>
  <c r="DL338" i="48"/>
  <c r="DL506" i="48"/>
  <c r="DL674" i="48"/>
  <c r="DL842" i="48"/>
  <c r="DL1010" i="48"/>
  <c r="DL1178" i="48"/>
  <c r="DL122" i="48"/>
  <c r="DL314" i="48"/>
  <c r="DL482" i="48"/>
  <c r="DL650" i="48"/>
  <c r="DL818" i="48"/>
  <c r="DL986" i="48"/>
  <c r="DL1154" i="48"/>
  <c r="DL98" i="48"/>
  <c r="DL290" i="48"/>
  <c r="DL458" i="48"/>
  <c r="DL626" i="48"/>
  <c r="DL962" i="48"/>
  <c r="DL74" i="48"/>
  <c r="DL266" i="48"/>
  <c r="DL434" i="48"/>
  <c r="DL602" i="48"/>
  <c r="DL794" i="48"/>
  <c r="DL938" i="48"/>
  <c r="DL1298" i="48"/>
  <c r="DL218" i="48"/>
  <c r="DL386" i="48"/>
  <c r="DL554" i="48"/>
  <c r="DL746" i="48"/>
  <c r="DL890" i="48"/>
  <c r="DL1082" i="48"/>
  <c r="DL1250" i="48"/>
  <c r="DL194" i="48"/>
  <c r="DL362" i="48"/>
  <c r="DL530" i="48"/>
  <c r="DL722" i="48"/>
  <c r="DL866" i="48"/>
  <c r="DL1058" i="48"/>
  <c r="DL1226" i="48"/>
  <c r="DL242" i="48"/>
  <c r="DL50" i="48"/>
  <c r="DL1130" i="48"/>
  <c r="DL578" i="48"/>
  <c r="DL1106" i="48"/>
  <c r="DL410" i="48"/>
  <c r="DL1322" i="48"/>
  <c r="DL178" i="48"/>
  <c r="DL706" i="48"/>
  <c r="DL1042" i="48"/>
  <c r="DL1210" i="48"/>
  <c r="DL154" i="48"/>
  <c r="DL346" i="48"/>
  <c r="DL514" i="48"/>
  <c r="DL682" i="48"/>
  <c r="DL850" i="48"/>
  <c r="DL1018" i="48"/>
  <c r="DL1186" i="48"/>
  <c r="DL130" i="48"/>
  <c r="DL322" i="48"/>
  <c r="DL490" i="48"/>
  <c r="DL658" i="48"/>
  <c r="DL826" i="48"/>
  <c r="DL994" i="48"/>
  <c r="DL1162" i="48"/>
  <c r="DL106" i="48"/>
  <c r="DL298" i="48"/>
  <c r="DL466" i="48"/>
  <c r="DL634" i="48"/>
  <c r="DL970" i="48"/>
  <c r="DL82" i="48"/>
  <c r="DL274" i="48"/>
  <c r="DL442" i="48"/>
  <c r="DL610" i="48"/>
  <c r="DL802" i="48"/>
  <c r="DL946" i="48"/>
  <c r="DL1306" i="48"/>
  <c r="DL226" i="48"/>
  <c r="DL394" i="48"/>
  <c r="DL562" i="48"/>
  <c r="DL754" i="48"/>
  <c r="DL898" i="48"/>
  <c r="DL1090" i="48"/>
  <c r="DL1258" i="48"/>
  <c r="DL202" i="48"/>
  <c r="DL370" i="48"/>
  <c r="DL538" i="48"/>
  <c r="DL730" i="48"/>
  <c r="DL874" i="48"/>
  <c r="DL1066" i="48"/>
  <c r="DL1234" i="48"/>
  <c r="DL418" i="48"/>
  <c r="DL1114" i="48"/>
  <c r="DL250" i="48"/>
  <c r="DL58" i="48"/>
  <c r="DL1138" i="48"/>
  <c r="DL1330" i="48"/>
  <c r="DL778" i="48"/>
  <c r="DL1282" i="48"/>
  <c r="DL586" i="48"/>
  <c r="DL1098" i="48"/>
  <c r="DL922" i="48"/>
  <c r="DL762" i="48"/>
  <c r="DL87" i="48"/>
  <c r="DL279" i="48"/>
  <c r="DL447" i="48"/>
  <c r="DL615" i="48"/>
  <c r="DL951" i="48"/>
  <c r="DL1119" i="48"/>
  <c r="DL1311" i="48"/>
  <c r="DL63" i="48"/>
  <c r="DL255" i="48"/>
  <c r="DL423" i="48"/>
  <c r="DL591" i="48"/>
  <c r="DL783" i="48"/>
  <c r="DL927" i="48"/>
  <c r="DL1287" i="48"/>
  <c r="DL39" i="48"/>
  <c r="DL231" i="48"/>
  <c r="DL399" i="48"/>
  <c r="DL567" i="48"/>
  <c r="DL759" i="48"/>
  <c r="DL903" i="48"/>
  <c r="DL1095" i="48"/>
  <c r="DL1263" i="48"/>
  <c r="DL207" i="48"/>
  <c r="DL375" i="48"/>
  <c r="DL543" i="48"/>
  <c r="DL735" i="48"/>
  <c r="DL879" i="48"/>
  <c r="DL183" i="48"/>
  <c r="DL351" i="48"/>
  <c r="DL519" i="48"/>
  <c r="DL711" i="48"/>
  <c r="DL855" i="48"/>
  <c r="DL1047" i="48"/>
  <c r="DL1215" i="48"/>
  <c r="DL135" i="48"/>
  <c r="DL327" i="48"/>
  <c r="DL495" i="48"/>
  <c r="DL663" i="48"/>
  <c r="DL831" i="48"/>
  <c r="DL999" i="48"/>
  <c r="DL1167" i="48"/>
  <c r="DL111" i="48"/>
  <c r="DL303" i="48"/>
  <c r="DL471" i="48"/>
  <c r="DL639" i="48"/>
  <c r="DL807" i="48"/>
  <c r="DL975" i="48"/>
  <c r="DL1143" i="48"/>
  <c r="DL95" i="48"/>
  <c r="DL287" i="48"/>
  <c r="DL455" i="48"/>
  <c r="DL623" i="48"/>
  <c r="DL959" i="48"/>
  <c r="DL1127" i="48"/>
  <c r="DL1319" i="48"/>
  <c r="DL71" i="48"/>
  <c r="DL263" i="48"/>
  <c r="DL431" i="48"/>
  <c r="DL599" i="48"/>
  <c r="DL791" i="48"/>
  <c r="DL935" i="48"/>
  <c r="DL1295" i="48"/>
  <c r="DL47" i="48"/>
  <c r="DL239" i="48"/>
  <c r="DL407" i="48"/>
  <c r="DL575" i="48"/>
  <c r="DL767" i="48"/>
  <c r="DL911" i="48"/>
  <c r="DL1103" i="48"/>
  <c r="DL1271" i="48"/>
  <c r="DL215" i="48"/>
  <c r="DL383" i="48"/>
  <c r="DL551" i="48"/>
  <c r="DL743" i="48"/>
  <c r="DL887" i="48"/>
  <c r="DL191" i="48"/>
  <c r="DL359" i="48"/>
  <c r="DL527" i="48"/>
  <c r="DL719" i="48"/>
  <c r="DL863" i="48"/>
  <c r="DL1055" i="48"/>
  <c r="DL1223" i="48"/>
  <c r="DL143" i="48"/>
  <c r="DL335" i="48"/>
  <c r="DL503" i="48"/>
  <c r="DL671" i="48"/>
  <c r="DL839" i="48"/>
  <c r="DL1007" i="48"/>
  <c r="DL1175" i="48"/>
  <c r="DL119" i="48"/>
  <c r="DL311" i="48"/>
  <c r="DL479" i="48"/>
  <c r="DL647" i="48"/>
  <c r="DL815" i="48"/>
  <c r="DL983" i="48"/>
  <c r="DL1151" i="48"/>
  <c r="DL103" i="48"/>
  <c r="DL295" i="48"/>
  <c r="DL463" i="48"/>
  <c r="DL631" i="48"/>
  <c r="DL967" i="48"/>
  <c r="DL1135" i="48"/>
  <c r="DL1327" i="48"/>
  <c r="DL79" i="48"/>
  <c r="DL271" i="48"/>
  <c r="DL439" i="48"/>
  <c r="DL607" i="48"/>
  <c r="DL799" i="48"/>
  <c r="DL943" i="48"/>
  <c r="DL1303" i="48"/>
  <c r="DL55" i="48"/>
  <c r="DL247" i="48"/>
  <c r="DL415" i="48"/>
  <c r="DL583" i="48"/>
  <c r="DL775" i="48"/>
  <c r="DL919" i="48"/>
  <c r="DL1111" i="48"/>
  <c r="DL1279" i="48"/>
  <c r="DL223" i="48"/>
  <c r="DL391" i="48"/>
  <c r="DL559" i="48"/>
  <c r="DL751" i="48"/>
  <c r="DL895" i="48"/>
  <c r="DL199" i="48"/>
  <c r="DL367" i="48"/>
  <c r="DL535" i="48"/>
  <c r="DL727" i="48"/>
  <c r="DL871" i="48"/>
  <c r="DL1063" i="48"/>
  <c r="DL1231" i="48"/>
  <c r="DL151" i="48"/>
  <c r="DL343" i="48"/>
  <c r="DL511" i="48"/>
  <c r="DL679" i="48"/>
  <c r="DL847" i="48"/>
  <c r="DL1015" i="48"/>
  <c r="DL1183" i="48"/>
  <c r="DL127" i="48"/>
  <c r="DL319" i="48"/>
  <c r="DL487" i="48"/>
  <c r="DL655" i="48"/>
  <c r="DL823" i="48"/>
  <c r="DL991" i="48"/>
  <c r="DL1159" i="48"/>
  <c r="DL1255" i="48"/>
  <c r="DL1079" i="48"/>
  <c r="DL1046" i="48"/>
  <c r="DL1006" i="48"/>
  <c r="DL830" i="48"/>
  <c r="DL787" i="48"/>
  <c r="DL653" i="48"/>
  <c r="DL477" i="48"/>
  <c r="DL301" i="48"/>
  <c r="DL167" i="48"/>
  <c r="DL100" i="48"/>
  <c r="DL112" i="48"/>
  <c r="DL304" i="48"/>
  <c r="DL472" i="48"/>
  <c r="DL640" i="48"/>
  <c r="DL808" i="48"/>
  <c r="DL976" i="48"/>
  <c r="DL1144" i="48"/>
  <c r="DL88" i="48"/>
  <c r="DL280" i="48"/>
  <c r="DL448" i="48"/>
  <c r="DL616" i="48"/>
  <c r="DL952" i="48"/>
  <c r="DL1120" i="48"/>
  <c r="DL1312" i="48"/>
  <c r="DL64" i="48"/>
  <c r="DL256" i="48"/>
  <c r="DL424" i="48"/>
  <c r="DL592" i="48"/>
  <c r="DL784" i="48"/>
  <c r="DL928" i="48"/>
  <c r="DL1288" i="48"/>
  <c r="DL40" i="48"/>
  <c r="DL232" i="48"/>
  <c r="DL400" i="48"/>
  <c r="DL568" i="48"/>
  <c r="DL760" i="48"/>
  <c r="DL904" i="48"/>
  <c r="DL208" i="48"/>
  <c r="DL376" i="48"/>
  <c r="DL544" i="48"/>
  <c r="DL736" i="48"/>
  <c r="DL880" i="48"/>
  <c r="DL1072" i="48"/>
  <c r="DL1240" i="48"/>
  <c r="DL160" i="48"/>
  <c r="DL688" i="48"/>
  <c r="DL1024" i="48"/>
  <c r="DL1192" i="48"/>
  <c r="DL136" i="48"/>
  <c r="DL328" i="48"/>
  <c r="DL496" i="48"/>
  <c r="DL664" i="48"/>
  <c r="DL832" i="48"/>
  <c r="DL1000" i="48"/>
  <c r="DL1168" i="48"/>
  <c r="DL120" i="48"/>
  <c r="DL312" i="48"/>
  <c r="DL480" i="48"/>
  <c r="DL648" i="48"/>
  <c r="DL816" i="48"/>
  <c r="DL984" i="48"/>
  <c r="DL1152" i="48"/>
  <c r="DL96" i="48"/>
  <c r="DL288" i="48"/>
  <c r="DL456" i="48"/>
  <c r="DL624" i="48"/>
  <c r="DL960" i="48"/>
  <c r="DL1128" i="48"/>
  <c r="DL1320" i="48"/>
  <c r="DL72" i="48"/>
  <c r="DL264" i="48"/>
  <c r="DL432" i="48"/>
  <c r="DL600" i="48"/>
  <c r="DL792" i="48"/>
  <c r="DL936" i="48"/>
  <c r="DL1296" i="48"/>
  <c r="DL48" i="48"/>
  <c r="DL240" i="48"/>
  <c r="DL408" i="48"/>
  <c r="DL576" i="48"/>
  <c r="DL768" i="48"/>
  <c r="DL912" i="48"/>
  <c r="DL216" i="48"/>
  <c r="DL384" i="48"/>
  <c r="DL552" i="48"/>
  <c r="DL744" i="48"/>
  <c r="DL888" i="48"/>
  <c r="DL1080" i="48"/>
  <c r="DL1248" i="48"/>
  <c r="DL168" i="48"/>
  <c r="DL696" i="48"/>
  <c r="DL1032" i="48"/>
  <c r="DL1200" i="48"/>
  <c r="DL144" i="48"/>
  <c r="DL336" i="48"/>
  <c r="DL504" i="48"/>
  <c r="DL672" i="48"/>
  <c r="DL840" i="48"/>
  <c r="DL1008" i="48"/>
  <c r="DL1176" i="48"/>
  <c r="DL128" i="48"/>
  <c r="DL320" i="48"/>
  <c r="DL488" i="48"/>
  <c r="DL656" i="48"/>
  <c r="DL824" i="48"/>
  <c r="DL992" i="48"/>
  <c r="DL1160" i="48"/>
  <c r="DL104" i="48"/>
  <c r="DL296" i="48"/>
  <c r="DL464" i="48"/>
  <c r="DL632" i="48"/>
  <c r="DL968" i="48"/>
  <c r="DL1136" i="48"/>
  <c r="DL80" i="48"/>
  <c r="DL272" i="48"/>
  <c r="DL440" i="48"/>
  <c r="DL608" i="48"/>
  <c r="DL800" i="48"/>
  <c r="DL944" i="48"/>
  <c r="DL1304" i="48"/>
  <c r="DL56" i="48"/>
  <c r="DL248" i="48"/>
  <c r="DL416" i="48"/>
  <c r="DL584" i="48"/>
  <c r="DL776" i="48"/>
  <c r="DL920" i="48"/>
  <c r="DL224" i="48"/>
  <c r="DL392" i="48"/>
  <c r="DL560" i="48"/>
  <c r="DL752" i="48"/>
  <c r="DL896" i="48"/>
  <c r="DL1088" i="48"/>
  <c r="DL1256" i="48"/>
  <c r="DL176" i="48"/>
  <c r="DL704" i="48"/>
  <c r="DL1040" i="48"/>
  <c r="DL1208" i="48"/>
  <c r="DL152" i="48"/>
  <c r="DL344" i="48"/>
  <c r="DL512" i="48"/>
  <c r="DL680" i="48"/>
  <c r="DL848" i="48"/>
  <c r="DL1016" i="48"/>
  <c r="DL1184" i="48"/>
  <c r="DL1316" i="48"/>
  <c r="DL1216" i="48"/>
  <c r="DL1182" i="48"/>
  <c r="DL1149" i="48"/>
  <c r="DL1116" i="48"/>
  <c r="DL1039" i="48"/>
  <c r="DL998" i="48"/>
  <c r="DL864" i="48"/>
  <c r="DL821" i="48"/>
  <c r="DL712" i="48"/>
  <c r="DL645" i="48"/>
  <c r="DL469" i="48"/>
  <c r="DL292" i="48"/>
  <c r="DL159" i="48"/>
  <c r="DL92" i="48"/>
  <c r="DL187" i="48"/>
  <c r="DL355" i="48"/>
  <c r="DL523" i="48"/>
  <c r="DL715" i="48"/>
  <c r="DL859" i="48"/>
  <c r="DL1051" i="48"/>
  <c r="DL1219" i="48"/>
  <c r="DL163" i="48"/>
  <c r="DL691" i="48"/>
  <c r="DL1027" i="48"/>
  <c r="DL1195" i="48"/>
  <c r="DL139" i="48"/>
  <c r="DL331" i="48"/>
  <c r="DL499" i="48"/>
  <c r="DL667" i="48"/>
  <c r="DL835" i="48"/>
  <c r="DL1003" i="48"/>
  <c r="DL1171" i="48"/>
  <c r="DL115" i="48"/>
  <c r="DL307" i="48"/>
  <c r="DL475" i="48"/>
  <c r="DL643" i="48"/>
  <c r="DL811" i="48"/>
  <c r="DL979" i="48"/>
  <c r="DL91" i="48"/>
  <c r="DL283" i="48"/>
  <c r="DL451" i="48"/>
  <c r="DL619" i="48"/>
  <c r="DL955" i="48"/>
  <c r="DL1123" i="48"/>
  <c r="DL1315" i="48"/>
  <c r="DL43" i="48"/>
  <c r="DL235" i="48"/>
  <c r="DL403" i="48"/>
  <c r="DL571" i="48"/>
  <c r="DL763" i="48"/>
  <c r="DL907" i="48"/>
  <c r="DL1099" i="48"/>
  <c r="DL1267" i="48"/>
  <c r="DL211" i="48"/>
  <c r="DL379" i="48"/>
  <c r="DL547" i="48"/>
  <c r="DL739" i="48"/>
  <c r="DL883" i="48"/>
  <c r="DL1075" i="48"/>
  <c r="DL1243" i="48"/>
  <c r="DL195" i="48"/>
  <c r="DL363" i="48"/>
  <c r="DL531" i="48"/>
  <c r="DL723" i="48"/>
  <c r="DL867" i="48"/>
  <c r="DL1059" i="48"/>
  <c r="DL1227" i="48"/>
  <c r="DL171" i="48"/>
  <c r="DL699" i="48"/>
  <c r="DL1035" i="48"/>
  <c r="DL1203" i="48"/>
  <c r="DL147" i="48"/>
  <c r="DL339" i="48"/>
  <c r="DL507" i="48"/>
  <c r="DL675" i="48"/>
  <c r="DL843" i="48"/>
  <c r="DL1011" i="48"/>
  <c r="DL1179" i="48"/>
  <c r="DL123" i="48"/>
  <c r="DL315" i="48"/>
  <c r="DL483" i="48"/>
  <c r="DL651" i="48"/>
  <c r="DL819" i="48"/>
  <c r="DL987" i="48"/>
  <c r="DL99" i="48"/>
  <c r="DL291" i="48"/>
  <c r="DL459" i="48"/>
  <c r="DL627" i="48"/>
  <c r="DL963" i="48"/>
  <c r="DL1131" i="48"/>
  <c r="DL1323" i="48"/>
  <c r="DL51" i="48"/>
  <c r="DL243" i="48"/>
  <c r="DL411" i="48"/>
  <c r="DL579" i="48"/>
  <c r="DL771" i="48"/>
  <c r="DL915" i="48"/>
  <c r="DL1107" i="48"/>
  <c r="DL1275" i="48"/>
  <c r="DL219" i="48"/>
  <c r="DL387" i="48"/>
  <c r="DL555" i="48"/>
  <c r="DL747" i="48"/>
  <c r="DL891" i="48"/>
  <c r="DL1083" i="48"/>
  <c r="DL1251" i="48"/>
  <c r="DL1239" i="48"/>
  <c r="DL1205" i="48"/>
  <c r="DL1172" i="48"/>
  <c r="DL1096" i="48"/>
  <c r="DL1062" i="48"/>
  <c r="DL687" i="48"/>
  <c r="DL510" i="48"/>
  <c r="DL334" i="48"/>
  <c r="DL267" i="48"/>
  <c r="DL200" i="48"/>
  <c r="DL134" i="48"/>
  <c r="DL67" i="48"/>
  <c r="DL204" i="48"/>
  <c r="DL372" i="48"/>
  <c r="DL540" i="48"/>
  <c r="DL732" i="48"/>
  <c r="DL876" i="48"/>
  <c r="DL1068" i="48"/>
  <c r="DL1236" i="48"/>
  <c r="DL180" i="48"/>
  <c r="DL348" i="48"/>
  <c r="DL516" i="48"/>
  <c r="DL708" i="48"/>
  <c r="DL852" i="48"/>
  <c r="DL1044" i="48"/>
  <c r="DL1212" i="48"/>
  <c r="DL156" i="48"/>
  <c r="DL684" i="48"/>
  <c r="DL1020" i="48"/>
  <c r="DL1188" i="48"/>
  <c r="DL132" i="48"/>
  <c r="DL324" i="48"/>
  <c r="DL492" i="48"/>
  <c r="DL660" i="48"/>
  <c r="DL828" i="48"/>
  <c r="DL996" i="48"/>
  <c r="DL108" i="48"/>
  <c r="DL300" i="48"/>
  <c r="DL468" i="48"/>
  <c r="DL636" i="48"/>
  <c r="DL804" i="48"/>
  <c r="DL972" i="48"/>
  <c r="DL1140" i="48"/>
  <c r="DL36" i="48"/>
  <c r="DL60" i="48"/>
  <c r="DL252" i="48"/>
  <c r="DL420" i="48"/>
  <c r="DL588" i="48"/>
  <c r="DL780" i="48"/>
  <c r="DL924" i="48"/>
  <c r="DL1284" i="48"/>
  <c r="DL228" i="48"/>
  <c r="DL396" i="48"/>
  <c r="DL564" i="48"/>
  <c r="DL756" i="48"/>
  <c r="DL900" i="48"/>
  <c r="DL1092" i="48"/>
  <c r="DL1260" i="48"/>
  <c r="DL212" i="48"/>
  <c r="DL380" i="48"/>
  <c r="DL548" i="48"/>
  <c r="DL740" i="48"/>
  <c r="DL884" i="48"/>
  <c r="DL1076" i="48"/>
  <c r="DL1244" i="48"/>
  <c r="DL188" i="48"/>
  <c r="DL356" i="48"/>
  <c r="DL524" i="48"/>
  <c r="DL716" i="48"/>
  <c r="DL860" i="48"/>
  <c r="DL1052" i="48"/>
  <c r="DL1220" i="48"/>
  <c r="DL164" i="48"/>
  <c r="DL692" i="48"/>
  <c r="DL1028" i="48"/>
  <c r="DL1196" i="48"/>
  <c r="DL140" i="48"/>
  <c r="DL332" i="48"/>
  <c r="DL500" i="48"/>
  <c r="DL668" i="48"/>
  <c r="DL836" i="48"/>
  <c r="DL1004" i="48"/>
  <c r="DL116" i="48"/>
  <c r="DL308" i="48"/>
  <c r="DL476" i="48"/>
  <c r="DL644" i="48"/>
  <c r="DL812" i="48"/>
  <c r="DL980" i="48"/>
  <c r="DL1148" i="48"/>
  <c r="DL68" i="48"/>
  <c r="DL260" i="48"/>
  <c r="DL428" i="48"/>
  <c r="DL596" i="48"/>
  <c r="DL788" i="48"/>
  <c r="DL932" i="48"/>
  <c r="DL1292" i="48"/>
  <c r="DL44" i="48"/>
  <c r="DL236" i="48"/>
  <c r="DL404" i="48"/>
  <c r="DL572" i="48"/>
  <c r="DL764" i="48"/>
  <c r="DL908" i="48"/>
  <c r="DL1100" i="48"/>
  <c r="DL1268" i="48"/>
  <c r="DL220" i="48"/>
  <c r="DL388" i="48"/>
  <c r="DL556" i="48"/>
  <c r="DL748" i="48"/>
  <c r="DL892" i="48"/>
  <c r="DL1084" i="48"/>
  <c r="DL1252" i="48"/>
  <c r="DL196" i="48"/>
  <c r="DL364" i="48"/>
  <c r="DL532" i="48"/>
  <c r="DL724" i="48"/>
  <c r="DL868" i="48"/>
  <c r="DL1060" i="48"/>
  <c r="DL1228" i="48"/>
  <c r="DL172" i="48"/>
  <c r="DL700" i="48"/>
  <c r="DL1036" i="48"/>
  <c r="DL1204" i="48"/>
  <c r="DL148" i="48"/>
  <c r="DL340" i="48"/>
  <c r="DL508" i="48"/>
  <c r="DL676" i="48"/>
  <c r="DL844" i="48"/>
  <c r="DL1012" i="48"/>
  <c r="DL124" i="48"/>
  <c r="DL316" i="48"/>
  <c r="DL484" i="48"/>
  <c r="DL652" i="48"/>
  <c r="DL820" i="48"/>
  <c r="DL988" i="48"/>
  <c r="DL1156" i="48"/>
  <c r="DL76" i="48"/>
  <c r="DL268" i="48"/>
  <c r="DL436" i="48"/>
  <c r="DL604" i="48"/>
  <c r="DL796" i="48"/>
  <c r="DL940" i="48"/>
  <c r="DL1300" i="48"/>
  <c r="DL52" i="48"/>
  <c r="DL244" i="48"/>
  <c r="DL412" i="48"/>
  <c r="DL580" i="48"/>
  <c r="DL772" i="48"/>
  <c r="DL916" i="48"/>
  <c r="DL1108" i="48"/>
  <c r="DL1276" i="48"/>
  <c r="DL1299" i="48"/>
  <c r="DL1232" i="48"/>
  <c r="DL1199" i="48"/>
  <c r="DL1166" i="48"/>
  <c r="DL1132" i="48"/>
  <c r="DL1056" i="48"/>
  <c r="DL1023" i="48"/>
  <c r="DL964" i="48"/>
  <c r="DL678" i="48"/>
  <c r="DL612" i="48"/>
  <c r="DL502" i="48"/>
  <c r="DL435" i="48"/>
  <c r="DL368" i="48"/>
  <c r="DL326" i="48"/>
  <c r="DL259" i="48"/>
  <c r="DL192" i="48"/>
  <c r="DL37" i="48"/>
  <c r="DL229" i="48"/>
  <c r="DL397" i="48"/>
  <c r="DL565" i="48"/>
  <c r="DL757" i="48"/>
  <c r="DL901" i="48"/>
  <c r="DL1093" i="48"/>
  <c r="DL1261" i="48"/>
  <c r="DL205" i="48"/>
  <c r="DL373" i="48"/>
  <c r="DL541" i="48"/>
  <c r="DL733" i="48"/>
  <c r="DL877" i="48"/>
  <c r="DL1069" i="48"/>
  <c r="DL1237" i="48"/>
  <c r="DL181" i="48"/>
  <c r="DL349" i="48"/>
  <c r="DL517" i="48"/>
  <c r="DL709" i="48"/>
  <c r="DL853" i="48"/>
  <c r="DL1045" i="48"/>
  <c r="DL1213" i="48"/>
  <c r="DL157" i="48"/>
  <c r="DL685" i="48"/>
  <c r="DL133" i="48"/>
  <c r="DL325" i="48"/>
  <c r="DL493" i="48"/>
  <c r="DL661" i="48"/>
  <c r="DL829" i="48"/>
  <c r="DL997" i="48"/>
  <c r="DL1165" i="48"/>
  <c r="DL85" i="48"/>
  <c r="DL277" i="48"/>
  <c r="DL445" i="48"/>
  <c r="DL613" i="48"/>
  <c r="DL949" i="48"/>
  <c r="DL1117" i="48"/>
  <c r="DL1309" i="48"/>
  <c r="DL61" i="48"/>
  <c r="DL253" i="48"/>
  <c r="DL421" i="48"/>
  <c r="DL589" i="48"/>
  <c r="DL781" i="48"/>
  <c r="DL925" i="48"/>
  <c r="DL1285" i="48"/>
  <c r="DL45" i="48"/>
  <c r="DL237" i="48"/>
  <c r="DL405" i="48"/>
  <c r="DL573" i="48"/>
  <c r="DL765" i="48"/>
  <c r="DL909" i="48"/>
  <c r="DL1101" i="48"/>
  <c r="DL1269" i="48"/>
  <c r="DL213" i="48"/>
  <c r="DL381" i="48"/>
  <c r="DL549" i="48"/>
  <c r="DL741" i="48"/>
  <c r="DL885" i="48"/>
  <c r="DL1077" i="48"/>
  <c r="DL1245" i="48"/>
  <c r="DL189" i="48"/>
  <c r="DL357" i="48"/>
  <c r="DL525" i="48"/>
  <c r="DL717" i="48"/>
  <c r="DL861" i="48"/>
  <c r="DL1053" i="48"/>
  <c r="DL1221" i="48"/>
  <c r="DL165" i="48"/>
  <c r="DL693" i="48"/>
  <c r="DL141" i="48"/>
  <c r="DL333" i="48"/>
  <c r="DL501" i="48"/>
  <c r="DL669" i="48"/>
  <c r="DL837" i="48"/>
  <c r="DL1005" i="48"/>
  <c r="DL1173" i="48"/>
  <c r="DL93" i="48"/>
  <c r="DL285" i="48"/>
  <c r="DL453" i="48"/>
  <c r="DL621" i="48"/>
  <c r="DL957" i="48"/>
  <c r="DL1125" i="48"/>
  <c r="DL1317" i="48"/>
  <c r="DL69" i="48"/>
  <c r="DL261" i="48"/>
  <c r="DL429" i="48"/>
  <c r="DL597" i="48"/>
  <c r="DL789" i="48"/>
  <c r="DL933" i="48"/>
  <c r="DL1293" i="48"/>
  <c r="DL53" i="48"/>
  <c r="DL245" i="48"/>
  <c r="DL413" i="48"/>
  <c r="DL581" i="48"/>
  <c r="DL773" i="48"/>
  <c r="DL917" i="48"/>
  <c r="DL1109" i="48"/>
  <c r="DL1277" i="48"/>
  <c r="DL221" i="48"/>
  <c r="DL389" i="48"/>
  <c r="DL557" i="48"/>
  <c r="DL749" i="48"/>
  <c r="DL893" i="48"/>
  <c r="DL1085" i="48"/>
  <c r="DL1253" i="48"/>
  <c r="DL197" i="48"/>
  <c r="DL365" i="48"/>
  <c r="DL533" i="48"/>
  <c r="DL725" i="48"/>
  <c r="DL869" i="48"/>
  <c r="DL1061" i="48"/>
  <c r="DL1229" i="48"/>
  <c r="DL173" i="48"/>
  <c r="DL701" i="48"/>
  <c r="DL149" i="48"/>
  <c r="DL341" i="48"/>
  <c r="DL509" i="48"/>
  <c r="DL677" i="48"/>
  <c r="DL845" i="48"/>
  <c r="DL1013" i="48"/>
  <c r="DL1181" i="48"/>
  <c r="DL101" i="48"/>
  <c r="DL293" i="48"/>
  <c r="DL461" i="48"/>
  <c r="DL629" i="48"/>
  <c r="DL965" i="48"/>
  <c r="DL1133" i="48"/>
  <c r="DL1325" i="48"/>
  <c r="DL77" i="48"/>
  <c r="DL269" i="48"/>
  <c r="DL437" i="48"/>
  <c r="DL605" i="48"/>
  <c r="DL797" i="48"/>
  <c r="DL941" i="48"/>
  <c r="DL1301" i="48"/>
  <c r="DL1326" i="48"/>
  <c r="DL1264" i="48"/>
  <c r="DL1230" i="48"/>
  <c r="DL1197" i="48"/>
  <c r="DL1164" i="48"/>
  <c r="DL1087" i="48"/>
  <c r="DL1054" i="48"/>
  <c r="DL1021" i="48"/>
  <c r="DL956" i="48"/>
  <c r="DL603" i="48"/>
  <c r="DL536" i="48"/>
  <c r="DL427" i="48"/>
  <c r="DL360" i="48"/>
  <c r="DL317" i="48"/>
  <c r="DL184" i="48"/>
  <c r="DL117" i="48"/>
  <c r="DL62" i="48"/>
  <c r="DL254" i="48"/>
  <c r="DL422" i="48"/>
  <c r="DL590" i="48"/>
  <c r="DL782" i="48"/>
  <c r="DL926" i="48"/>
  <c r="DL1286" i="48"/>
  <c r="DL38" i="48"/>
  <c r="DL230" i="48"/>
  <c r="DL398" i="48"/>
  <c r="DL566" i="48"/>
  <c r="DL758" i="48"/>
  <c r="DL902" i="48"/>
  <c r="DL1094" i="48"/>
  <c r="DL1262" i="48"/>
  <c r="DL206" i="48"/>
  <c r="DL374" i="48"/>
  <c r="DL542" i="48"/>
  <c r="DL734" i="48"/>
  <c r="DL878" i="48"/>
  <c r="DL1070" i="48"/>
  <c r="DL1238" i="48"/>
  <c r="DL182" i="48"/>
  <c r="DL350" i="48"/>
  <c r="DL518" i="48"/>
  <c r="DL710" i="48"/>
  <c r="DL854" i="48"/>
  <c r="DL158" i="48"/>
  <c r="DL686" i="48"/>
  <c r="DL1022" i="48"/>
  <c r="DL1190" i="48"/>
  <c r="DL110" i="48"/>
  <c r="DL302" i="48"/>
  <c r="DL470" i="48"/>
  <c r="DL638" i="48"/>
  <c r="DL806" i="48"/>
  <c r="DL974" i="48"/>
  <c r="DL1142" i="48"/>
  <c r="DL86" i="48"/>
  <c r="DL278" i="48"/>
  <c r="DL446" i="48"/>
  <c r="DL614" i="48"/>
  <c r="DL950" i="48"/>
  <c r="DL1118" i="48"/>
  <c r="DL1310" i="48"/>
  <c r="DL70" i="48"/>
  <c r="DL262" i="48"/>
  <c r="DL430" i="48"/>
  <c r="DL598" i="48"/>
  <c r="DL790" i="48"/>
  <c r="DL934" i="48"/>
  <c r="DL1294" i="48"/>
  <c r="DL46" i="48"/>
  <c r="DL238" i="48"/>
  <c r="DL406" i="48"/>
  <c r="DL574" i="48"/>
  <c r="DL766" i="48"/>
  <c r="DL910" i="48"/>
  <c r="DL1102" i="48"/>
  <c r="DL1270" i="48"/>
  <c r="DL214" i="48"/>
  <c r="DL382" i="48"/>
  <c r="DL550" i="48"/>
  <c r="DL742" i="48"/>
  <c r="DL886" i="48"/>
  <c r="DL1078" i="48"/>
  <c r="DL1246" i="48"/>
  <c r="DL190" i="48"/>
  <c r="DL358" i="48"/>
  <c r="DL526" i="48"/>
  <c r="DL718" i="48"/>
  <c r="DL862" i="48"/>
  <c r="DL166" i="48"/>
  <c r="DL694" i="48"/>
  <c r="DL1030" i="48"/>
  <c r="DL1198" i="48"/>
  <c r="DL118" i="48"/>
  <c r="DL310" i="48"/>
  <c r="DL478" i="48"/>
  <c r="DL646" i="48"/>
  <c r="DL814" i="48"/>
  <c r="DL982" i="48"/>
  <c r="DL1150" i="48"/>
  <c r="DL94" i="48"/>
  <c r="DL286" i="48"/>
  <c r="DL454" i="48"/>
  <c r="DL622" i="48"/>
  <c r="DL958" i="48"/>
  <c r="DL1126" i="48"/>
  <c r="DL1318" i="48"/>
  <c r="DL78" i="48"/>
  <c r="DL270" i="48"/>
  <c r="DL438" i="48"/>
  <c r="DL606" i="48"/>
  <c r="DL798" i="48"/>
  <c r="DL942" i="48"/>
  <c r="DL1302" i="48"/>
  <c r="DL54" i="48"/>
  <c r="DL246" i="48"/>
  <c r="DL414" i="48"/>
  <c r="DL582" i="48"/>
  <c r="DL774" i="48"/>
  <c r="DL918" i="48"/>
  <c r="DL1110" i="48"/>
  <c r="DL1278" i="48"/>
  <c r="DL222" i="48"/>
  <c r="DL390" i="48"/>
  <c r="DL558" i="48"/>
  <c r="DL750" i="48"/>
  <c r="DL894" i="48"/>
  <c r="DL1086" i="48"/>
  <c r="DL1254" i="48"/>
  <c r="DL198" i="48"/>
  <c r="DL366" i="48"/>
  <c r="DL534" i="48"/>
  <c r="DL726" i="48"/>
  <c r="DL870" i="48"/>
  <c r="DL174" i="48"/>
  <c r="DL702" i="48"/>
  <c r="DL1038" i="48"/>
  <c r="DL1206" i="48"/>
  <c r="DL126" i="48"/>
  <c r="DL318" i="48"/>
  <c r="DL486" i="48"/>
  <c r="DL654" i="48"/>
  <c r="DL822" i="48"/>
  <c r="DL990" i="48"/>
  <c r="DL1158" i="48"/>
  <c r="DL102" i="48"/>
  <c r="DL294" i="48"/>
  <c r="DL462" i="48"/>
  <c r="DL630" i="48"/>
  <c r="DL966" i="48"/>
  <c r="DL1134" i="48"/>
  <c r="DL1324" i="48"/>
  <c r="DL1291" i="48"/>
  <c r="DL1224" i="48"/>
  <c r="DL1191" i="48"/>
  <c r="DL1157" i="48"/>
  <c r="DL1124" i="48"/>
  <c r="DL1048" i="48"/>
  <c r="DL1014" i="48"/>
  <c r="DL948" i="48"/>
  <c r="DL838" i="48"/>
  <c r="DL795" i="48"/>
  <c r="DL728" i="48"/>
  <c r="DL662" i="48"/>
  <c r="DL595" i="48"/>
  <c r="DL528" i="48"/>
  <c r="DL485" i="48"/>
  <c r="DL352" i="48"/>
  <c r="DL309" i="48"/>
  <c r="DL175" i="48"/>
  <c r="DL109" i="48"/>
  <c r="DL1209" i="48"/>
  <c r="DL1041" i="48"/>
  <c r="DL705" i="48"/>
  <c r="DL177" i="48"/>
  <c r="DL1233" i="48"/>
  <c r="DL1065" i="48"/>
  <c r="DL873" i="48"/>
  <c r="DL729" i="48"/>
  <c r="DL537" i="48"/>
  <c r="DL369" i="48"/>
  <c r="DL201" i="48"/>
  <c r="DL1281" i="48"/>
  <c r="DL1113" i="48"/>
  <c r="DL921" i="48"/>
  <c r="DL777" i="48"/>
  <c r="DL585" i="48"/>
  <c r="DL417" i="48"/>
  <c r="DL249" i="48"/>
  <c r="DL57" i="48"/>
  <c r="DL945" i="48"/>
  <c r="DL801" i="48"/>
  <c r="DL609" i="48"/>
  <c r="DL441" i="48"/>
  <c r="DL273" i="48"/>
  <c r="DL81" i="48"/>
  <c r="DL1329" i="48"/>
  <c r="DL1137" i="48"/>
  <c r="DL969" i="48"/>
  <c r="DL633" i="48"/>
  <c r="DL465" i="48"/>
  <c r="DL297" i="48"/>
  <c r="DL105" i="48"/>
  <c r="DL1161" i="48"/>
  <c r="DL993" i="48"/>
  <c r="DL825" i="48"/>
  <c r="DL657" i="48"/>
  <c r="DL489" i="48"/>
  <c r="DL321" i="48"/>
  <c r="DL129" i="48"/>
  <c r="DL1185" i="48"/>
  <c r="DL1017" i="48"/>
  <c r="DL849" i="48"/>
  <c r="DL681" i="48"/>
  <c r="DL513" i="48"/>
  <c r="DL345" i="48"/>
  <c r="E36" i="53"/>
  <c r="CV157" i="48"/>
  <c r="CX157" i="48" s="1"/>
  <c r="DA1019" i="48" l="1"/>
  <c r="DA803" i="48"/>
  <c r="DA227" i="48"/>
  <c r="DA755" i="48"/>
  <c r="DA683" i="48"/>
  <c r="DA995" i="48"/>
  <c r="DA395" i="48"/>
  <c r="DA1139" i="48"/>
  <c r="DA251" i="48"/>
  <c r="DA947" i="48"/>
  <c r="DA347" i="48"/>
  <c r="DA1091" i="48"/>
  <c r="DA515" i="48"/>
  <c r="DA107" i="48"/>
  <c r="DA875" i="48"/>
  <c r="DA443" i="48"/>
  <c r="DA1187" i="48"/>
  <c r="DA971" i="48"/>
  <c r="DA179" i="48"/>
  <c r="DA1259" i="48"/>
  <c r="DA1211" i="48"/>
  <c r="DA419" i="48"/>
  <c r="DA1163" i="48"/>
  <c r="DA587" i="48"/>
  <c r="DA1307" i="48"/>
  <c r="DA371" i="48"/>
  <c r="DA1115" i="48"/>
  <c r="DA539" i="48"/>
  <c r="DA467" i="48"/>
  <c r="DA707" i="48"/>
  <c r="DA299" i="48"/>
  <c r="DA1235" i="48"/>
  <c r="DA635" i="48"/>
  <c r="DA83" i="48"/>
  <c r="DA323" i="48"/>
  <c r="DA923" i="48"/>
  <c r="DA611" i="48"/>
  <c r="DA1331" i="48"/>
  <c r="DA779" i="48"/>
  <c r="DA1043" i="48"/>
  <c r="DA563" i="48"/>
  <c r="DA155" i="48"/>
  <c r="DA731" i="48"/>
  <c r="DA131" i="48"/>
  <c r="DA899" i="48"/>
  <c r="DA491" i="48"/>
  <c r="DA851" i="48"/>
  <c r="DA827" i="48"/>
  <c r="DA659" i="48"/>
  <c r="DA275" i="48"/>
  <c r="DA59" i="48"/>
  <c r="CV1020" i="48"/>
  <c r="DK1048" i="48"/>
  <c r="DD1048" i="48" s="1"/>
  <c r="DK1288" i="48"/>
  <c r="DC1288" i="48" s="1"/>
  <c r="DK904" i="48"/>
  <c r="DD904" i="48" s="1"/>
  <c r="DK640" i="48"/>
  <c r="DD640" i="48" s="1"/>
  <c r="DK976" i="48"/>
  <c r="DK328" i="48"/>
  <c r="DB328" i="48" s="1"/>
  <c r="DK208" i="48"/>
  <c r="DC208" i="48" s="1"/>
  <c r="DK568" i="48"/>
  <c r="DB568" i="48" s="1"/>
  <c r="DK1144" i="48"/>
  <c r="DB1144" i="48" s="1"/>
  <c r="DK832" i="48"/>
  <c r="DB832" i="48" s="1"/>
  <c r="DK592" i="48"/>
  <c r="DK352" i="48"/>
  <c r="DC352" i="48" s="1"/>
  <c r="DK664" i="48"/>
  <c r="DK424" i="48"/>
  <c r="DD424" i="48" s="1"/>
  <c r="DK64" i="48"/>
  <c r="DC64" i="48" s="1"/>
  <c r="DK1240" i="48"/>
  <c r="DC1240" i="48" s="1"/>
  <c r="DK1192" i="48"/>
  <c r="DC1192" i="48" s="1"/>
  <c r="DK1072" i="48"/>
  <c r="DK448" i="48"/>
  <c r="DD448" i="48" s="1"/>
  <c r="DK1264" i="48"/>
  <c r="DB1264" i="48" s="1"/>
  <c r="DK160" i="48"/>
  <c r="DB160" i="48" s="1"/>
  <c r="DK376" i="48"/>
  <c r="DB376" i="48" s="1"/>
  <c r="CV40" i="48"/>
  <c r="CX40" i="48" s="1"/>
  <c r="DK184" i="48"/>
  <c r="DK304" i="48"/>
  <c r="DD304" i="48" s="1"/>
  <c r="DK232" i="48"/>
  <c r="DD232" i="48" s="1"/>
  <c r="CV468" i="48"/>
  <c r="DK856" i="48"/>
  <c r="DC856" i="48" s="1"/>
  <c r="DK688" i="48"/>
  <c r="DC688" i="48" s="1"/>
  <c r="DK472" i="48"/>
  <c r="DD472" i="48" s="1"/>
  <c r="DK136" i="48"/>
  <c r="DD136" i="48" s="1"/>
  <c r="DK400" i="48"/>
  <c r="DD400" i="48" s="1"/>
  <c r="DK952" i="48"/>
  <c r="DC952" i="48" s="1"/>
  <c r="CV204" i="48"/>
  <c r="DK1096" i="48"/>
  <c r="DD1096" i="48" s="1"/>
  <c r="DK1312" i="48"/>
  <c r="DB1312" i="48" s="1"/>
  <c r="DK520" i="48"/>
  <c r="DK112" i="48"/>
  <c r="DD112" i="48" s="1"/>
  <c r="DK880" i="48"/>
  <c r="DB880" i="48" s="1"/>
  <c r="DK928" i="48"/>
  <c r="DC928" i="48" s="1"/>
  <c r="DK280" i="48"/>
  <c r="DD280" i="48" s="1"/>
  <c r="CV396" i="48"/>
  <c r="DK712" i="48"/>
  <c r="DD712" i="48" s="1"/>
  <c r="DK1120" i="48"/>
  <c r="DC1120" i="48" s="1"/>
  <c r="DK1216" i="48"/>
  <c r="DC1216" i="48" s="1"/>
  <c r="DK1000" i="48"/>
  <c r="DB1000" i="48" s="1"/>
  <c r="DK544" i="48"/>
  <c r="DC544" i="48" s="1"/>
  <c r="DK784" i="48"/>
  <c r="DD784" i="48" s="1"/>
  <c r="DK88" i="48"/>
  <c r="CV448" i="48"/>
  <c r="CX448" i="48" s="1"/>
  <c r="CV328" i="48"/>
  <c r="CX328" i="48" s="1"/>
  <c r="CV564" i="48"/>
  <c r="DK1024" i="48"/>
  <c r="DC1024" i="48" s="1"/>
  <c r="DK1168" i="48"/>
  <c r="DC1168" i="48" s="1"/>
  <c r="DK808" i="48"/>
  <c r="DD808" i="48" s="1"/>
  <c r="DK496" i="48"/>
  <c r="DD496" i="48" s="1"/>
  <c r="DK760" i="48"/>
  <c r="DC760" i="48" s="1"/>
  <c r="DK256" i="48"/>
  <c r="CV64" i="48"/>
  <c r="CX64" i="48" s="1"/>
  <c r="CV784" i="48"/>
  <c r="CX784" i="48" s="1"/>
  <c r="DK1071" i="48"/>
  <c r="DD1071" i="48" s="1"/>
  <c r="CV783" i="48"/>
  <c r="CX783" i="48" s="1"/>
  <c r="CV1143" i="48"/>
  <c r="CX1143" i="48" s="1"/>
  <c r="CV567" i="48"/>
  <c r="CX567" i="48" s="1"/>
  <c r="CV975" i="48"/>
  <c r="CX975" i="48" s="1"/>
  <c r="CV1287" i="48"/>
  <c r="CX1287" i="48" s="1"/>
  <c r="CV855" i="48"/>
  <c r="CX855" i="48" s="1"/>
  <c r="CV1191" i="48"/>
  <c r="CX1191" i="48" s="1"/>
  <c r="CV1239" i="48"/>
  <c r="CX1239" i="48" s="1"/>
  <c r="CV1167" i="48"/>
  <c r="CX1167" i="48" s="1"/>
  <c r="CV1047" i="48"/>
  <c r="CX1047" i="48" s="1"/>
  <c r="CV831" i="48"/>
  <c r="CX831" i="48" s="1"/>
  <c r="CV711" i="48"/>
  <c r="CX711" i="48" s="1"/>
  <c r="CV1023" i="48"/>
  <c r="CX1023" i="48" s="1"/>
  <c r="CV687" i="48"/>
  <c r="CX687" i="48" s="1"/>
  <c r="CV303" i="48"/>
  <c r="CX303" i="48" s="1"/>
  <c r="CV735" i="48"/>
  <c r="CX735" i="48" s="1"/>
  <c r="CV1095" i="48"/>
  <c r="CX1095" i="48" s="1"/>
  <c r="CV1215" i="48"/>
  <c r="CX1215" i="48" s="1"/>
  <c r="CV903" i="48"/>
  <c r="CX903" i="48" s="1"/>
  <c r="CV879" i="48"/>
  <c r="CX879" i="48" s="1"/>
  <c r="CV495" i="48"/>
  <c r="CX495" i="48" s="1"/>
  <c r="CV927" i="48"/>
  <c r="CX927" i="48" s="1"/>
  <c r="CV1071" i="48"/>
  <c r="CX1071" i="48" s="1"/>
  <c r="CV759" i="48"/>
  <c r="CX759" i="48" s="1"/>
  <c r="CV1311" i="48"/>
  <c r="CX1311" i="48" s="1"/>
  <c r="CV615" i="48"/>
  <c r="CX615" i="48" s="1"/>
  <c r="CV87" i="48"/>
  <c r="CX87" i="48" s="1"/>
  <c r="CV39" i="48"/>
  <c r="CX39" i="48" s="1"/>
  <c r="CV207" i="48"/>
  <c r="CX207" i="48" s="1"/>
  <c r="CV135" i="48"/>
  <c r="CX135" i="48" s="1"/>
  <c r="CV111" i="48"/>
  <c r="CX111" i="48" s="1"/>
  <c r="CV231" i="48"/>
  <c r="CX231" i="48" s="1"/>
  <c r="CV279" i="48"/>
  <c r="CX279" i="48" s="1"/>
  <c r="CV1263" i="48"/>
  <c r="CX1263" i="48" s="1"/>
  <c r="CV423" i="48"/>
  <c r="CX423" i="48" s="1"/>
  <c r="CV663" i="48"/>
  <c r="CX663" i="48" s="1"/>
  <c r="CV327" i="48"/>
  <c r="CX327" i="48" s="1"/>
  <c r="CV999" i="48"/>
  <c r="CX999" i="48" s="1"/>
  <c r="CV375" i="48"/>
  <c r="CX375" i="48" s="1"/>
  <c r="CV351" i="48"/>
  <c r="CX351" i="48" s="1"/>
  <c r="CV519" i="48"/>
  <c r="CX519" i="48" s="1"/>
  <c r="CV543" i="48"/>
  <c r="CX543" i="48" s="1"/>
  <c r="CV447" i="48"/>
  <c r="CX447" i="48" s="1"/>
  <c r="CV183" i="48"/>
  <c r="CX183" i="48" s="1"/>
  <c r="CV159" i="48"/>
  <c r="CX159" i="48" s="1"/>
  <c r="CV1119" i="48"/>
  <c r="CX1119" i="48" s="1"/>
  <c r="CV399" i="48"/>
  <c r="CX399" i="48" s="1"/>
  <c r="CV639" i="48"/>
  <c r="CX639" i="48" s="1"/>
  <c r="CV471" i="48"/>
  <c r="CX471" i="48" s="1"/>
  <c r="CV591" i="48"/>
  <c r="CX591" i="48" s="1"/>
  <c r="CV63" i="48"/>
  <c r="CX63" i="48" s="1"/>
  <c r="CV807" i="48"/>
  <c r="CX807" i="48" s="1"/>
  <c r="CV255" i="48"/>
  <c r="CX255" i="48" s="1"/>
  <c r="CV373" i="48"/>
  <c r="CX373" i="48" s="1"/>
  <c r="CV229" i="48"/>
  <c r="CX229" i="48" s="1"/>
  <c r="CV951" i="48"/>
  <c r="CX951" i="48" s="1"/>
  <c r="DK469" i="48"/>
  <c r="DC469" i="48" s="1"/>
  <c r="CV805" i="48"/>
  <c r="CX805" i="48" s="1"/>
  <c r="CV1141" i="48"/>
  <c r="CX1141" i="48" s="1"/>
  <c r="CV1189" i="48"/>
  <c r="CX1189" i="48" s="1"/>
  <c r="CV1117" i="48"/>
  <c r="CX1117" i="48" s="1"/>
  <c r="CV997" i="48"/>
  <c r="CX997" i="48" s="1"/>
  <c r="CV781" i="48"/>
  <c r="CX781" i="48" s="1"/>
  <c r="CV1285" i="48"/>
  <c r="CX1285" i="48" s="1"/>
  <c r="CV973" i="48"/>
  <c r="CX973" i="48" s="1"/>
  <c r="CV685" i="48"/>
  <c r="CX685" i="48" s="1"/>
  <c r="CV1165" i="48"/>
  <c r="CX1165" i="48" s="1"/>
  <c r="CV853" i="48"/>
  <c r="CX853" i="48" s="1"/>
  <c r="CV829" i="48"/>
  <c r="CX829" i="48" s="1"/>
  <c r="CV445" i="48"/>
  <c r="CX445" i="48" s="1"/>
  <c r="CV877" i="48"/>
  <c r="CX877" i="48" s="1"/>
  <c r="CV1237" i="48"/>
  <c r="CX1237" i="48" s="1"/>
  <c r="CV1045" i="48"/>
  <c r="CX1045" i="48" s="1"/>
  <c r="CV709" i="48"/>
  <c r="CX709" i="48" s="1"/>
  <c r="CV1021" i="48"/>
  <c r="CX1021" i="48" s="1"/>
  <c r="CV637" i="48"/>
  <c r="CX637" i="48" s="1"/>
  <c r="CV565" i="48"/>
  <c r="CX565" i="48" s="1"/>
  <c r="CV1309" i="48"/>
  <c r="CX1309" i="48" s="1"/>
  <c r="CV1213" i="48"/>
  <c r="CX1213" i="48" s="1"/>
  <c r="CV901" i="48"/>
  <c r="CX901" i="48" s="1"/>
  <c r="CV733" i="48"/>
  <c r="CX733" i="48" s="1"/>
  <c r="CV1093" i="48"/>
  <c r="CX1093" i="48" s="1"/>
  <c r="CV949" i="48"/>
  <c r="CX949" i="48" s="1"/>
  <c r="CV277" i="48"/>
  <c r="CX277" i="48" s="1"/>
  <c r="CV253" i="48"/>
  <c r="CX253" i="48" s="1"/>
  <c r="CV925" i="48"/>
  <c r="CX925" i="48" s="1"/>
  <c r="CV301" i="48"/>
  <c r="CX301" i="48" s="1"/>
  <c r="CV1261" i="48"/>
  <c r="CX1261" i="48" s="1"/>
  <c r="CV469" i="48"/>
  <c r="CX469" i="48" s="1"/>
  <c r="CV1069" i="48"/>
  <c r="CX1069" i="48" s="1"/>
  <c r="CV37" i="48"/>
  <c r="CX37" i="48" s="1"/>
  <c r="CV493" i="48"/>
  <c r="CX493" i="48" s="1"/>
  <c r="CV397" i="48"/>
  <c r="CX397" i="48" s="1"/>
  <c r="CV133" i="48"/>
  <c r="CX133" i="48" s="1"/>
  <c r="CV349" i="48"/>
  <c r="CX349" i="48" s="1"/>
  <c r="CV325" i="48"/>
  <c r="CX325" i="48" s="1"/>
  <c r="CV589" i="48"/>
  <c r="CX589" i="48" s="1"/>
  <c r="CV109" i="48"/>
  <c r="CX109" i="48" s="1"/>
  <c r="CV421" i="48"/>
  <c r="CX421" i="48" s="1"/>
  <c r="CV541" i="48"/>
  <c r="CX541" i="48" s="1"/>
  <c r="CV613" i="48"/>
  <c r="CX613" i="48" s="1"/>
  <c r="CV517" i="48"/>
  <c r="CX517" i="48" s="1"/>
  <c r="CV205" i="48"/>
  <c r="CX205" i="48" s="1"/>
  <c r="CV61" i="48"/>
  <c r="CX61" i="48" s="1"/>
  <c r="CV661" i="48"/>
  <c r="CX661" i="48" s="1"/>
  <c r="CV757" i="48"/>
  <c r="CX757" i="48" s="1"/>
  <c r="CV85" i="48"/>
  <c r="CX85" i="48" s="1"/>
  <c r="DK1070" i="48"/>
  <c r="DC1070" i="48" s="1"/>
  <c r="CV1238" i="48"/>
  <c r="CX1238" i="48" s="1"/>
  <c r="CV902" i="48"/>
  <c r="CX902" i="48" s="1"/>
  <c r="CV1190" i="48"/>
  <c r="CX1190" i="48" s="1"/>
  <c r="CV1094" i="48"/>
  <c r="CX1094" i="48" s="1"/>
  <c r="CV782" i="48"/>
  <c r="CX782" i="48" s="1"/>
  <c r="CV758" i="48"/>
  <c r="CX758" i="48" s="1"/>
  <c r="CV374" i="48"/>
  <c r="CX374" i="48" s="1"/>
  <c r="CV806" i="48"/>
  <c r="CX806" i="48" s="1"/>
  <c r="CV1166" i="48"/>
  <c r="CX1166" i="48" s="1"/>
  <c r="CV974" i="48"/>
  <c r="CX974" i="48" s="1"/>
  <c r="CV950" i="48"/>
  <c r="CX950" i="48" s="1"/>
  <c r="CV566" i="48"/>
  <c r="CX566" i="48" s="1"/>
  <c r="CV998" i="48"/>
  <c r="CX998" i="48" s="1"/>
  <c r="CV1142" i="48"/>
  <c r="CX1142" i="48" s="1"/>
  <c r="CV830" i="48"/>
  <c r="CX830" i="48" s="1"/>
  <c r="CV662" i="48"/>
  <c r="CX662" i="48" s="1"/>
  <c r="CV1022" i="48"/>
  <c r="CX1022" i="48" s="1"/>
  <c r="CV854" i="48"/>
  <c r="CX854" i="48" s="1"/>
  <c r="CV1214" i="48"/>
  <c r="CX1214" i="48" s="1"/>
  <c r="CV734" i="48"/>
  <c r="CX734" i="48" s="1"/>
  <c r="CV1286" i="48"/>
  <c r="CX1286" i="48" s="1"/>
  <c r="CV1046" i="48"/>
  <c r="CX1046" i="48" s="1"/>
  <c r="CV1070" i="48"/>
  <c r="CX1070" i="48" s="1"/>
  <c r="CV710" i="48"/>
  <c r="CX710" i="48" s="1"/>
  <c r="CV422" i="48"/>
  <c r="CX422" i="48" s="1"/>
  <c r="CV590" i="48"/>
  <c r="CX590" i="48" s="1"/>
  <c r="CV326" i="48"/>
  <c r="CX326" i="48" s="1"/>
  <c r="CV230" i="48"/>
  <c r="CX230" i="48" s="1"/>
  <c r="CV614" i="48"/>
  <c r="CX614" i="48" s="1"/>
  <c r="CV686" i="48"/>
  <c r="CX686" i="48" s="1"/>
  <c r="CV518" i="48"/>
  <c r="CX518" i="48" s="1"/>
  <c r="CV254" i="48"/>
  <c r="CX254" i="48" s="1"/>
  <c r="CV1118" i="48"/>
  <c r="CX1118" i="48" s="1"/>
  <c r="CV494" i="48"/>
  <c r="CX494" i="48" s="1"/>
  <c r="CV350" i="48"/>
  <c r="CX350" i="48" s="1"/>
  <c r="CV470" i="48"/>
  <c r="CX470" i="48" s="1"/>
  <c r="CV302" i="48"/>
  <c r="CX302" i="48" s="1"/>
  <c r="CV1310" i="48"/>
  <c r="CX1310" i="48" s="1"/>
  <c r="CV542" i="48"/>
  <c r="CX542" i="48" s="1"/>
  <c r="CV638" i="48"/>
  <c r="CX638" i="48" s="1"/>
  <c r="CV134" i="48"/>
  <c r="CX134" i="48" s="1"/>
  <c r="CV62" i="48"/>
  <c r="CX62" i="48" s="1"/>
  <c r="CV1262" i="48"/>
  <c r="CX1262" i="48" s="1"/>
  <c r="CV878" i="48"/>
  <c r="CX878" i="48" s="1"/>
  <c r="CV86" i="48"/>
  <c r="CX86" i="48" s="1"/>
  <c r="CV110" i="48"/>
  <c r="CX110" i="48" s="1"/>
  <c r="CV158" i="48"/>
  <c r="CX158" i="48" s="1"/>
  <c r="CV278" i="48"/>
  <c r="CX278" i="48" s="1"/>
  <c r="CV206" i="48"/>
  <c r="CX206" i="48" s="1"/>
  <c r="CV182" i="48"/>
  <c r="CX182" i="48" s="1"/>
  <c r="CV38" i="48"/>
  <c r="CX38" i="48" s="1"/>
  <c r="CV398" i="48"/>
  <c r="CX398" i="48" s="1"/>
  <c r="CV926" i="48"/>
  <c r="CX926" i="48" s="1"/>
  <c r="CV181" i="48"/>
  <c r="CX181" i="48" s="1"/>
  <c r="CV232" i="48"/>
  <c r="CX232" i="48" s="1"/>
  <c r="CV1140" i="48"/>
  <c r="CV496" i="48"/>
  <c r="CX496" i="48" s="1"/>
  <c r="CV588" i="48"/>
  <c r="CV540" i="48"/>
  <c r="CV372" i="48"/>
  <c r="CV592" i="48"/>
  <c r="CX592" i="48" s="1"/>
  <c r="CV472" i="48"/>
  <c r="CX472" i="48" s="1"/>
  <c r="CV324" i="48"/>
  <c r="CV732" i="48"/>
  <c r="CV1264" i="48"/>
  <c r="CX1264" i="48" s="1"/>
  <c r="CV1144" i="48"/>
  <c r="CX1144" i="48" s="1"/>
  <c r="CV304" i="48"/>
  <c r="CX304" i="48" s="1"/>
  <c r="CV856" i="48"/>
  <c r="CX856" i="48" s="1"/>
  <c r="CV348" i="48"/>
  <c r="CV568" i="48"/>
  <c r="CX568" i="48" s="1"/>
  <c r="CV400" i="48"/>
  <c r="CX400" i="48" s="1"/>
  <c r="DK348" i="48"/>
  <c r="DC348" i="48" s="1"/>
  <c r="CV756" i="48"/>
  <c r="CV1116" i="48"/>
  <c r="CV1236" i="48"/>
  <c r="CV924" i="48"/>
  <c r="CV900" i="48"/>
  <c r="CV516" i="48"/>
  <c r="CV444" i="48"/>
  <c r="CV948" i="48"/>
  <c r="CV1092" i="48"/>
  <c r="CV780" i="48"/>
  <c r="CV636" i="48"/>
  <c r="CV972" i="48"/>
  <c r="CV804" i="48"/>
  <c r="CV1164" i="48"/>
  <c r="CV684" i="48"/>
  <c r="CV996" i="48"/>
  <c r="CV1068" i="48"/>
  <c r="CV1308" i="48"/>
  <c r="CV876" i="48"/>
  <c r="CV660" i="48"/>
  <c r="CV1212" i="48"/>
  <c r="CV1260" i="48"/>
  <c r="CV1188" i="48"/>
  <c r="CV852" i="48"/>
  <c r="CV36" i="48"/>
  <c r="CV252" i="48"/>
  <c r="CV132" i="48"/>
  <c r="CV156" i="48"/>
  <c r="CV228" i="48"/>
  <c r="CV376" i="48"/>
  <c r="CX376" i="48" s="1"/>
  <c r="CV708" i="48"/>
  <c r="CV976" i="48"/>
  <c r="CX976" i="48" s="1"/>
  <c r="CV1120" i="48"/>
  <c r="CX1120" i="48" s="1"/>
  <c r="CV808" i="48"/>
  <c r="CX808" i="48" s="1"/>
  <c r="CV1000" i="48"/>
  <c r="CX1000" i="48" s="1"/>
  <c r="CV1168" i="48"/>
  <c r="CX1168" i="48" s="1"/>
  <c r="CV832" i="48"/>
  <c r="CX832" i="48" s="1"/>
  <c r="CV1192" i="48"/>
  <c r="CX1192" i="48" s="1"/>
  <c r="CV712" i="48"/>
  <c r="CX712" i="48" s="1"/>
  <c r="CV1024" i="48"/>
  <c r="CX1024" i="48" s="1"/>
  <c r="CV424" i="48"/>
  <c r="CX424" i="48" s="1"/>
  <c r="CV1096" i="48"/>
  <c r="CX1096" i="48" s="1"/>
  <c r="CV904" i="48"/>
  <c r="CX904" i="48" s="1"/>
  <c r="CV688" i="48"/>
  <c r="CX688" i="48" s="1"/>
  <c r="CV1240" i="48"/>
  <c r="CX1240" i="48" s="1"/>
  <c r="CV1216" i="48"/>
  <c r="CX1216" i="48" s="1"/>
  <c r="CV880" i="48"/>
  <c r="CX880" i="48" s="1"/>
  <c r="CV1048" i="48"/>
  <c r="CX1048" i="48" s="1"/>
  <c r="CV1072" i="48"/>
  <c r="CX1072" i="48" s="1"/>
  <c r="CV760" i="48"/>
  <c r="CX760" i="48" s="1"/>
  <c r="CV1312" i="48"/>
  <c r="CX1312" i="48" s="1"/>
  <c r="CV736" i="48"/>
  <c r="CX736" i="48" s="1"/>
  <c r="CV352" i="48"/>
  <c r="CX352" i="48" s="1"/>
  <c r="CV108" i="48"/>
  <c r="CV280" i="48"/>
  <c r="CX280" i="48" s="1"/>
  <c r="CV160" i="48"/>
  <c r="CX160" i="48" s="1"/>
  <c r="CV184" i="48"/>
  <c r="CX184" i="48" s="1"/>
  <c r="CV256" i="48"/>
  <c r="CX256" i="48" s="1"/>
  <c r="CV616" i="48"/>
  <c r="CX616" i="48" s="1"/>
  <c r="CV1044" i="48"/>
  <c r="CV952" i="48"/>
  <c r="CX952" i="48" s="1"/>
  <c r="CV136" i="48"/>
  <c r="CX136" i="48" s="1"/>
  <c r="CV88" i="48"/>
  <c r="CX88" i="48" s="1"/>
  <c r="CV208" i="48"/>
  <c r="CX208" i="48" s="1"/>
  <c r="CV276" i="48"/>
  <c r="CV664" i="48"/>
  <c r="CX664" i="48" s="1"/>
  <c r="CV828" i="48"/>
  <c r="CV60" i="48"/>
  <c r="CV84" i="48"/>
  <c r="CV612" i="48"/>
  <c r="CV492" i="48"/>
  <c r="CV928" i="48"/>
  <c r="CX928" i="48" s="1"/>
  <c r="DK736" i="48"/>
  <c r="DD736" i="48" s="1"/>
  <c r="DK40" i="48"/>
  <c r="DC40" i="48" s="1"/>
  <c r="DK616" i="48"/>
  <c r="CV112" i="48"/>
  <c r="CX112" i="48" s="1"/>
  <c r="CV180" i="48"/>
  <c r="CV420" i="48"/>
  <c r="CV640" i="48"/>
  <c r="CX640" i="48" s="1"/>
  <c r="CV300" i="48"/>
  <c r="CV520" i="48"/>
  <c r="CX520" i="48" s="1"/>
  <c r="CV544" i="48"/>
  <c r="CX544" i="48" s="1"/>
  <c r="CV1284" i="48"/>
  <c r="DD1144" i="48"/>
  <c r="DC1144" i="48"/>
  <c r="DB448" i="48"/>
  <c r="DC448" i="48"/>
  <c r="DB1048" i="48"/>
  <c r="DD1192" i="48"/>
  <c r="DB976" i="48"/>
  <c r="DB304" i="48"/>
  <c r="DD1072" i="48"/>
  <c r="DD376" i="48"/>
  <c r="DB232" i="48"/>
  <c r="DD592" i="48"/>
  <c r="DC592" i="48"/>
  <c r="DB592" i="48"/>
  <c r="DD1288" i="48"/>
  <c r="DC904" i="48"/>
  <c r="DB904" i="48"/>
  <c r="DD328" i="48"/>
  <c r="DC328" i="48"/>
  <c r="DB760" i="48"/>
  <c r="DB424" i="48"/>
  <c r="DC424" i="48"/>
  <c r="DK1140" i="48"/>
  <c r="DK252" i="48"/>
  <c r="DK996" i="48"/>
  <c r="DK1116" i="48"/>
  <c r="DK1068" i="48"/>
  <c r="DK732" i="48"/>
  <c r="DK1092" i="48"/>
  <c r="DK756" i="48"/>
  <c r="DK396" i="48"/>
  <c r="DK636" i="48"/>
  <c r="DK1164" i="48"/>
  <c r="DK84" i="48"/>
  <c r="DK420" i="48"/>
  <c r="DK948" i="48"/>
  <c r="DK588" i="48"/>
  <c r="DK444" i="48"/>
  <c r="DK780" i="48"/>
  <c r="DK972" i="48"/>
  <c r="DK828" i="48"/>
  <c r="DK324" i="48"/>
  <c r="DK36" i="48"/>
  <c r="DC36" i="48" s="1"/>
  <c r="DK1188" i="48"/>
  <c r="DK1236" i="48"/>
  <c r="DK276" i="48"/>
  <c r="DK924" i="48"/>
  <c r="DK1284" i="48"/>
  <c r="DK1308" i="48"/>
  <c r="DK876" i="48"/>
  <c r="DK540" i="48"/>
  <c r="DK204" i="48"/>
  <c r="DK900" i="48"/>
  <c r="DK564" i="48"/>
  <c r="DK228" i="48"/>
  <c r="DK372" i="48"/>
  <c r="DK612" i="48"/>
  <c r="DK1212" i="48"/>
  <c r="DK1260" i="48"/>
  <c r="DK60" i="48"/>
  <c r="DK300" i="48"/>
  <c r="DK708" i="48"/>
  <c r="DK1238" i="48"/>
  <c r="DK1287" i="48"/>
  <c r="DK422" i="48"/>
  <c r="DK804" i="48"/>
  <c r="DK468" i="48"/>
  <c r="DK108" i="48"/>
  <c r="DK492" i="48"/>
  <c r="DK516" i="48"/>
  <c r="DK1046" i="48"/>
  <c r="DK398" i="48"/>
  <c r="DK783" i="48"/>
  <c r="DK39" i="48"/>
  <c r="DC39" i="48" s="1"/>
  <c r="DK543" i="48"/>
  <c r="DK351" i="48"/>
  <c r="DK1143" i="48"/>
  <c r="DK591" i="48"/>
  <c r="DK375" i="48"/>
  <c r="DK183" i="48"/>
  <c r="DK615" i="48"/>
  <c r="DK327" i="48"/>
  <c r="DK1167" i="48"/>
  <c r="DK423" i="48"/>
  <c r="DK1095" i="48"/>
  <c r="DK207" i="48"/>
  <c r="DK975" i="48"/>
  <c r="DK447" i="48"/>
  <c r="DK1191" i="48"/>
  <c r="DK255" i="48"/>
  <c r="DK903" i="48"/>
  <c r="DK807" i="48"/>
  <c r="DK279" i="48"/>
  <c r="DK63" i="48"/>
  <c r="DK759" i="48"/>
  <c r="DK1047" i="48"/>
  <c r="DK639" i="48"/>
  <c r="DK87" i="48"/>
  <c r="DK567" i="48"/>
  <c r="DK855" i="48"/>
  <c r="DK471" i="48"/>
  <c r="DK399" i="48"/>
  <c r="DK879" i="48"/>
  <c r="DK711" i="48"/>
  <c r="DK303" i="48"/>
  <c r="DK831" i="48"/>
  <c r="DK663" i="48"/>
  <c r="DK999" i="48"/>
  <c r="DK495" i="48"/>
  <c r="DK159" i="48"/>
  <c r="DK735" i="48"/>
  <c r="DK1263" i="48"/>
  <c r="DK519" i="48"/>
  <c r="DK1239" i="48"/>
  <c r="DK111" i="48"/>
  <c r="DK1311" i="48"/>
  <c r="DK927" i="48"/>
  <c r="DK231" i="48"/>
  <c r="DK687" i="48"/>
  <c r="DK135" i="48"/>
  <c r="DK1119" i="48"/>
  <c r="DK951" i="48"/>
  <c r="DK1023" i="48"/>
  <c r="DK1215" i="48"/>
  <c r="DK1069" i="48"/>
  <c r="DK349" i="48"/>
  <c r="DK661" i="48"/>
  <c r="DK253" i="48"/>
  <c r="DK1093" i="48"/>
  <c r="DK805" i="48"/>
  <c r="DK877" i="48"/>
  <c r="DK181" i="48"/>
  <c r="DK685" i="48"/>
  <c r="DK493" i="48"/>
  <c r="DK61" i="48"/>
  <c r="DK901" i="48"/>
  <c r="DK445" i="48"/>
  <c r="DK1285" i="48"/>
  <c r="DK109" i="48"/>
  <c r="DK1261" i="48"/>
  <c r="DK277" i="48"/>
  <c r="DK1237" i="48"/>
  <c r="DK1213" i="48"/>
  <c r="DK85" i="48"/>
  <c r="DK1189" i="48"/>
  <c r="DK733" i="48"/>
  <c r="DK325" i="48"/>
  <c r="DK757" i="48"/>
  <c r="DK301" i="48"/>
  <c r="DK1309" i="48"/>
  <c r="DK541" i="48"/>
  <c r="DK133" i="48"/>
  <c r="DK565" i="48"/>
  <c r="DK613" i="48"/>
  <c r="DK1117" i="48"/>
  <c r="DK373" i="48"/>
  <c r="DK1045" i="48"/>
  <c r="DK157" i="48"/>
  <c r="DK925" i="48"/>
  <c r="DK397" i="48"/>
  <c r="DK1141" i="48"/>
  <c r="DK1021" i="48"/>
  <c r="DK205" i="48"/>
  <c r="DK853" i="48"/>
  <c r="DK781" i="48"/>
  <c r="DK229" i="48"/>
  <c r="DK709" i="48"/>
  <c r="DK997" i="48"/>
  <c r="DK589" i="48"/>
  <c r="DK37" i="48"/>
  <c r="DC37" i="48" s="1"/>
  <c r="DK949" i="48"/>
  <c r="DK973" i="48"/>
  <c r="DK637" i="48"/>
  <c r="DK829" i="48"/>
  <c r="DK1165" i="48"/>
  <c r="DK517" i="48"/>
  <c r="DK421" i="48"/>
  <c r="DK230" i="48"/>
  <c r="DK878" i="48"/>
  <c r="DK254" i="48"/>
  <c r="DK38" i="48"/>
  <c r="DC38" i="48" s="1"/>
  <c r="DK734" i="48"/>
  <c r="DK1022" i="48"/>
  <c r="DK614" i="48"/>
  <c r="DK62" i="48"/>
  <c r="DK542" i="48"/>
  <c r="DK446" i="48"/>
  <c r="DK974" i="48"/>
  <c r="DK1094" i="48"/>
  <c r="DK374" i="48"/>
  <c r="DK854" i="48"/>
  <c r="DK686" i="48"/>
  <c r="DK278" i="48"/>
  <c r="DK662" i="48"/>
  <c r="DK806" i="48"/>
  <c r="DK998" i="48"/>
  <c r="DK494" i="48"/>
  <c r="DK638" i="48"/>
  <c r="DK902" i="48"/>
  <c r="DK206" i="48"/>
  <c r="DK710" i="48"/>
  <c r="DK86" i="48"/>
  <c r="DK926" i="48"/>
  <c r="DK830" i="48"/>
  <c r="DK302" i="48"/>
  <c r="DK1310" i="48"/>
  <c r="DK1286" i="48"/>
  <c r="DK110" i="48"/>
  <c r="DK1262" i="48"/>
  <c r="DK758" i="48"/>
  <c r="DK518" i="48"/>
  <c r="DK782" i="48"/>
  <c r="DK134" i="48"/>
  <c r="DK1118" i="48"/>
  <c r="DK566" i="48"/>
  <c r="DK350" i="48"/>
  <c r="DK158" i="48"/>
  <c r="DK590" i="48"/>
  <c r="DK470" i="48"/>
  <c r="DK1142" i="48"/>
  <c r="DK1190" i="48"/>
  <c r="DK326" i="48"/>
  <c r="DK1166" i="48"/>
  <c r="DK182" i="48"/>
  <c r="DK950" i="48"/>
  <c r="DK1214" i="48"/>
  <c r="DK660" i="48"/>
  <c r="DK156" i="48"/>
  <c r="DK852" i="48"/>
  <c r="DK1044" i="48"/>
  <c r="DK684" i="48"/>
  <c r="DK180" i="48"/>
  <c r="DK132" i="48"/>
  <c r="DK1020" i="48"/>
  <c r="CV161" i="48"/>
  <c r="CX161" i="48" s="1"/>
  <c r="DC304" i="48" l="1"/>
  <c r="DB1192" i="48"/>
  <c r="DC1048" i="48"/>
  <c r="DD688" i="48"/>
  <c r="DD952" i="48"/>
  <c r="DB1288" i="48"/>
  <c r="DC376" i="48"/>
  <c r="DE376" i="48" s="1"/>
  <c r="DD832" i="48"/>
  <c r="DC472" i="48"/>
  <c r="DB472" i="48"/>
  <c r="DC640" i="48"/>
  <c r="DB640" i="48"/>
  <c r="DD1000" i="48"/>
  <c r="DD856" i="48"/>
  <c r="DC136" i="48"/>
  <c r="DB1168" i="48"/>
  <c r="DB112" i="48"/>
  <c r="DC1000" i="48"/>
  <c r="DB469" i="48"/>
  <c r="DC112" i="48"/>
  <c r="DD1168" i="48"/>
  <c r="DD469" i="48"/>
  <c r="DD928" i="48"/>
  <c r="DC1096" i="48"/>
  <c r="DB256" i="48"/>
  <c r="DB712" i="48"/>
  <c r="DD348" i="48"/>
  <c r="DC976" i="48"/>
  <c r="DC664" i="48"/>
  <c r="DD976" i="48"/>
  <c r="DB520" i="48"/>
  <c r="DD1024" i="48"/>
  <c r="DB664" i="48"/>
  <c r="DC160" i="48"/>
  <c r="DC520" i="48"/>
  <c r="DD160" i="48"/>
  <c r="DB1071" i="48"/>
  <c r="DD520" i="48"/>
  <c r="DB688" i="48"/>
  <c r="DE688" i="48" s="1"/>
  <c r="DC1071" i="48"/>
  <c r="DB1216" i="48"/>
  <c r="DD1216" i="48"/>
  <c r="DB1024" i="48"/>
  <c r="DD664" i="48"/>
  <c r="DB64" i="48"/>
  <c r="DD1240" i="48"/>
  <c r="DC808" i="48"/>
  <c r="DD208" i="48"/>
  <c r="DC880" i="48"/>
  <c r="DB184" i="48"/>
  <c r="DB496" i="48"/>
  <c r="DD256" i="48"/>
  <c r="DD64" i="48"/>
  <c r="DD880" i="48"/>
  <c r="DB208" i="48"/>
  <c r="DB808" i="48"/>
  <c r="DB544" i="48"/>
  <c r="DD544" i="48"/>
  <c r="DB136" i="48"/>
  <c r="DE136" i="48" s="1"/>
  <c r="DC496" i="48"/>
  <c r="DC184" i="48"/>
  <c r="DC568" i="48"/>
  <c r="DB784" i="48"/>
  <c r="DD184" i="48"/>
  <c r="DD568" i="48"/>
  <c r="DC784" i="48"/>
  <c r="DB400" i="48"/>
  <c r="DC400" i="48"/>
  <c r="DB1240" i="48"/>
  <c r="DB928" i="48"/>
  <c r="DD352" i="48"/>
  <c r="DC256" i="48"/>
  <c r="DC832" i="48"/>
  <c r="DD1264" i="48"/>
  <c r="DB616" i="48"/>
  <c r="DB736" i="48"/>
  <c r="DC232" i="48"/>
  <c r="DE232" i="48" s="1"/>
  <c r="DC1312" i="48"/>
  <c r="DB1072" i="48"/>
  <c r="DB352" i="48"/>
  <c r="DC1264" i="48"/>
  <c r="DC616" i="48"/>
  <c r="DC736" i="48"/>
  <c r="DD1120" i="48"/>
  <c r="DD1312" i="48"/>
  <c r="DC1072" i="48"/>
  <c r="DD616" i="48"/>
  <c r="DB1120" i="48"/>
  <c r="DB856" i="48"/>
  <c r="DB40" i="48"/>
  <c r="DB348" i="48"/>
  <c r="DD760" i="48"/>
  <c r="DE760" i="48" s="1"/>
  <c r="DC712" i="48"/>
  <c r="DB88" i="48"/>
  <c r="DB1096" i="48"/>
  <c r="DC88" i="48"/>
  <c r="DD1070" i="48"/>
  <c r="DD88" i="48"/>
  <c r="DB280" i="48"/>
  <c r="DB1070" i="48"/>
  <c r="DB952" i="48"/>
  <c r="DE952" i="48" s="1"/>
  <c r="DC280" i="48"/>
  <c r="DD40" i="48"/>
  <c r="CV353" i="48"/>
  <c r="CX353" i="48" s="1"/>
  <c r="CV89" i="48"/>
  <c r="CX89" i="48" s="1"/>
  <c r="CV425" i="48"/>
  <c r="CX425" i="48" s="1"/>
  <c r="CV185" i="48"/>
  <c r="CX185" i="48" s="1"/>
  <c r="CV113" i="48"/>
  <c r="CX113" i="48" s="1"/>
  <c r="CV593" i="48"/>
  <c r="CX593" i="48" s="1"/>
  <c r="CV1217" i="48"/>
  <c r="CX1217" i="48" s="1"/>
  <c r="CV449" i="48"/>
  <c r="CX449" i="48" s="1"/>
  <c r="CV41" i="48"/>
  <c r="CX41" i="48" s="1"/>
  <c r="CV257" i="48"/>
  <c r="CX257" i="48" s="1"/>
  <c r="CV209" i="48"/>
  <c r="CX209" i="48" s="1"/>
  <c r="CV137" i="48"/>
  <c r="CX137" i="48" s="1"/>
  <c r="DK953" i="48"/>
  <c r="CV617" i="48"/>
  <c r="CX617" i="48" s="1"/>
  <c r="CV833" i="48"/>
  <c r="CX833" i="48" s="1"/>
  <c r="CV1001" i="48"/>
  <c r="CX1001" i="48" s="1"/>
  <c r="CV1169" i="48"/>
  <c r="CX1169" i="48" s="1"/>
  <c r="CV377" i="48"/>
  <c r="CX377" i="48" s="1"/>
  <c r="CV977" i="48"/>
  <c r="CX977" i="48" s="1"/>
  <c r="CV1025" i="48"/>
  <c r="CX1025" i="48" s="1"/>
  <c r="CV1241" i="48"/>
  <c r="CX1241" i="48" s="1"/>
  <c r="CV1313" i="48"/>
  <c r="CX1313" i="48" s="1"/>
  <c r="CV281" i="48"/>
  <c r="CX281" i="48" s="1"/>
  <c r="CV1121" i="48"/>
  <c r="CX1121" i="48" s="1"/>
  <c r="CV329" i="48"/>
  <c r="CX329" i="48" s="1"/>
  <c r="CV1049" i="48"/>
  <c r="CX1049" i="48" s="1"/>
  <c r="CV1097" i="48"/>
  <c r="CX1097" i="48" s="1"/>
  <c r="CV1145" i="48"/>
  <c r="CX1145" i="48" s="1"/>
  <c r="CV305" i="48"/>
  <c r="CX305" i="48" s="1"/>
  <c r="CV473" i="48"/>
  <c r="CX473" i="48" s="1"/>
  <c r="CV1073" i="48"/>
  <c r="CX1073" i="48" s="1"/>
  <c r="CV521" i="48"/>
  <c r="CX521" i="48" s="1"/>
  <c r="CV1265" i="48"/>
  <c r="CX1265" i="48" s="1"/>
  <c r="CV401" i="48"/>
  <c r="CX401" i="48" s="1"/>
  <c r="CV665" i="48"/>
  <c r="CX665" i="48" s="1"/>
  <c r="CV857" i="48"/>
  <c r="CX857" i="48" s="1"/>
  <c r="CV641" i="48"/>
  <c r="CX641" i="48" s="1"/>
  <c r="CV497" i="48"/>
  <c r="CX497" i="48" s="1"/>
  <c r="CV1193" i="48"/>
  <c r="CX1193" i="48" s="1"/>
  <c r="CV881" i="48"/>
  <c r="CX881" i="48" s="1"/>
  <c r="CV953" i="48"/>
  <c r="CX953" i="48" s="1"/>
  <c r="CV737" i="48"/>
  <c r="CX737" i="48" s="1"/>
  <c r="CV545" i="48"/>
  <c r="CX545" i="48" s="1"/>
  <c r="CV809" i="48"/>
  <c r="CX809" i="48" s="1"/>
  <c r="CV785" i="48"/>
  <c r="CX785" i="48" s="1"/>
  <c r="CV1289" i="48"/>
  <c r="CX1289" i="48" s="1"/>
  <c r="CV689" i="48"/>
  <c r="CX689" i="48" s="1"/>
  <c r="CV569" i="48"/>
  <c r="CX569" i="48" s="1"/>
  <c r="CV713" i="48"/>
  <c r="CX713" i="48" s="1"/>
  <c r="CV233" i="48"/>
  <c r="CX233" i="48" s="1"/>
  <c r="CV929" i="48"/>
  <c r="CX929" i="48" s="1"/>
  <c r="CV761" i="48"/>
  <c r="CX761" i="48" s="1"/>
  <c r="CV65" i="48"/>
  <c r="CX65" i="48" s="1"/>
  <c r="CV905" i="48"/>
  <c r="CX905" i="48" s="1"/>
  <c r="DE424" i="48"/>
  <c r="DE448" i="48"/>
  <c r="DE328" i="48"/>
  <c r="DE304" i="48"/>
  <c r="DE904" i="48"/>
  <c r="DE1048" i="48"/>
  <c r="DD1044" i="48"/>
  <c r="DC1044" i="48"/>
  <c r="DB1044" i="48"/>
  <c r="DB758" i="48"/>
  <c r="DC758" i="48"/>
  <c r="DD758" i="48"/>
  <c r="DD180" i="48"/>
  <c r="DC180" i="48"/>
  <c r="DB180" i="48"/>
  <c r="DB156" i="48"/>
  <c r="DD156" i="48"/>
  <c r="DC156" i="48"/>
  <c r="DD182" i="48"/>
  <c r="DC182" i="48"/>
  <c r="DB182" i="48"/>
  <c r="DD1142" i="48"/>
  <c r="DC1142" i="48"/>
  <c r="DB1142" i="48"/>
  <c r="DD350" i="48"/>
  <c r="DC350" i="48"/>
  <c r="DB350" i="48"/>
  <c r="DD782" i="48"/>
  <c r="DC782" i="48"/>
  <c r="DB782" i="48"/>
  <c r="DD110" i="48"/>
  <c r="DC110" i="48"/>
  <c r="DB110" i="48"/>
  <c r="DB830" i="48"/>
  <c r="DD830" i="48"/>
  <c r="DC830" i="48"/>
  <c r="DD206" i="48"/>
  <c r="DC206" i="48"/>
  <c r="DB206" i="48"/>
  <c r="DC998" i="48"/>
  <c r="DB998" i="48"/>
  <c r="DD998" i="48"/>
  <c r="DD686" i="48"/>
  <c r="DC686" i="48"/>
  <c r="DB686" i="48"/>
  <c r="DD974" i="48"/>
  <c r="DC974" i="48"/>
  <c r="DB974" i="48"/>
  <c r="DD614" i="48"/>
  <c r="DC614" i="48"/>
  <c r="DB614" i="48"/>
  <c r="DD254" i="48"/>
  <c r="DC254" i="48"/>
  <c r="DB254" i="48"/>
  <c r="DD517" i="48"/>
  <c r="DC517" i="48"/>
  <c r="DB517" i="48"/>
  <c r="DB973" i="48"/>
  <c r="DD973" i="48"/>
  <c r="DC973" i="48"/>
  <c r="DD997" i="48"/>
  <c r="DC997" i="48"/>
  <c r="DB997" i="48"/>
  <c r="DB853" i="48"/>
  <c r="DD853" i="48"/>
  <c r="DC853" i="48"/>
  <c r="DB397" i="48"/>
  <c r="DC397" i="48"/>
  <c r="DD397" i="48"/>
  <c r="DB373" i="48"/>
  <c r="DD373" i="48"/>
  <c r="DC373" i="48"/>
  <c r="DD133" i="48"/>
  <c r="DC133" i="48"/>
  <c r="DB133" i="48"/>
  <c r="DD757" i="48"/>
  <c r="DC757" i="48"/>
  <c r="DB757" i="48"/>
  <c r="DC85" i="48"/>
  <c r="DD85" i="48"/>
  <c r="DB85" i="48"/>
  <c r="DD1261" i="48"/>
  <c r="DC1261" i="48"/>
  <c r="DB1261" i="48"/>
  <c r="DC901" i="48"/>
  <c r="DB901" i="48"/>
  <c r="DD901" i="48"/>
  <c r="DB181" i="48"/>
  <c r="DD181" i="48"/>
  <c r="DC181" i="48"/>
  <c r="DB253" i="48"/>
  <c r="DD253" i="48"/>
  <c r="DC253" i="48"/>
  <c r="DD1119" i="48"/>
  <c r="DC1119" i="48"/>
  <c r="DB1119" i="48"/>
  <c r="DD927" i="48"/>
  <c r="DB927" i="48"/>
  <c r="DC927" i="48"/>
  <c r="DD519" i="48"/>
  <c r="DC519" i="48"/>
  <c r="DB519" i="48"/>
  <c r="DD495" i="48"/>
  <c r="DB495" i="48"/>
  <c r="DC495" i="48"/>
  <c r="DC303" i="48"/>
  <c r="DB303" i="48"/>
  <c r="DD303" i="48"/>
  <c r="DD471" i="48"/>
  <c r="DB471" i="48"/>
  <c r="DC471" i="48"/>
  <c r="DC639" i="48"/>
  <c r="DB639" i="48"/>
  <c r="DD639" i="48"/>
  <c r="DC279" i="48"/>
  <c r="DB279" i="48"/>
  <c r="DD279" i="48"/>
  <c r="DD1191" i="48"/>
  <c r="DC1191" i="48"/>
  <c r="DB1191" i="48"/>
  <c r="DB1095" i="48"/>
  <c r="DD1095" i="48"/>
  <c r="DC1095" i="48"/>
  <c r="DD615" i="48"/>
  <c r="DC615" i="48"/>
  <c r="DB615" i="48"/>
  <c r="DB1143" i="48"/>
  <c r="DD1143" i="48"/>
  <c r="DC1143" i="48"/>
  <c r="DD783" i="48"/>
  <c r="DC783" i="48"/>
  <c r="DB783" i="48"/>
  <c r="DD398" i="48"/>
  <c r="DC398" i="48"/>
  <c r="DB398" i="48"/>
  <c r="DC492" i="48"/>
  <c r="DD492" i="48"/>
  <c r="DB492" i="48"/>
  <c r="DB422" i="48"/>
  <c r="DD422" i="48"/>
  <c r="DC422" i="48"/>
  <c r="DD300" i="48"/>
  <c r="DB300" i="48"/>
  <c r="DC300" i="48"/>
  <c r="DB612" i="48"/>
  <c r="DD612" i="48"/>
  <c r="DC612" i="48"/>
  <c r="DC900" i="48"/>
  <c r="DB900" i="48"/>
  <c r="DD900" i="48"/>
  <c r="DB1308" i="48"/>
  <c r="DD1308" i="48"/>
  <c r="DC1308" i="48"/>
  <c r="DB1236" i="48"/>
  <c r="DC1236" i="48"/>
  <c r="DD1236" i="48"/>
  <c r="DB780" i="48"/>
  <c r="DD780" i="48"/>
  <c r="DC780" i="48"/>
  <c r="DD420" i="48"/>
  <c r="DC420" i="48"/>
  <c r="DB420" i="48"/>
  <c r="DB396" i="48"/>
  <c r="DC396" i="48"/>
  <c r="DD396" i="48"/>
  <c r="DD1068" i="48"/>
  <c r="DC1068" i="48"/>
  <c r="DB1068" i="48"/>
  <c r="DC1140" i="48"/>
  <c r="DB1140" i="48"/>
  <c r="DD1140" i="48"/>
  <c r="DE1288" i="48"/>
  <c r="DE592" i="48"/>
  <c r="DE1144" i="48"/>
  <c r="DD1214" i="48"/>
  <c r="DC1214" i="48"/>
  <c r="DB1214" i="48"/>
  <c r="DC1118" i="48"/>
  <c r="DB1118" i="48"/>
  <c r="DD1118" i="48"/>
  <c r="DC684" i="48"/>
  <c r="DB684" i="48"/>
  <c r="DD684" i="48"/>
  <c r="DD660" i="48"/>
  <c r="DC660" i="48"/>
  <c r="DB660" i="48"/>
  <c r="DD1166" i="48"/>
  <c r="DC1166" i="48"/>
  <c r="DB1166" i="48"/>
  <c r="DC470" i="48"/>
  <c r="DD470" i="48"/>
  <c r="DB470" i="48"/>
  <c r="DB566" i="48"/>
  <c r="DD566" i="48"/>
  <c r="DC566" i="48"/>
  <c r="DC518" i="48"/>
  <c r="DB518" i="48"/>
  <c r="DD518" i="48"/>
  <c r="DD1286" i="48"/>
  <c r="DC1286" i="48"/>
  <c r="DB1286" i="48"/>
  <c r="DD926" i="48"/>
  <c r="DC926" i="48"/>
  <c r="DB926" i="48"/>
  <c r="DD902" i="48"/>
  <c r="DC902" i="48"/>
  <c r="DB902" i="48"/>
  <c r="DC806" i="48"/>
  <c r="DB806" i="48"/>
  <c r="DD806" i="48"/>
  <c r="DD854" i="48"/>
  <c r="DC854" i="48"/>
  <c r="DB854" i="48"/>
  <c r="DD446" i="48"/>
  <c r="DB446" i="48"/>
  <c r="DC446" i="48"/>
  <c r="DD1022" i="48"/>
  <c r="DB1022" i="48"/>
  <c r="DC1022" i="48"/>
  <c r="DB878" i="48"/>
  <c r="DD878" i="48"/>
  <c r="DC878" i="48"/>
  <c r="DB1165" i="48"/>
  <c r="DD1165" i="48"/>
  <c r="DC1165" i="48"/>
  <c r="DC949" i="48"/>
  <c r="DB949" i="48"/>
  <c r="DD949" i="48"/>
  <c r="DB709" i="48"/>
  <c r="DD709" i="48"/>
  <c r="DC709" i="48"/>
  <c r="DD205" i="48"/>
  <c r="DC205" i="48"/>
  <c r="DB205" i="48"/>
  <c r="DB925" i="48"/>
  <c r="DC925" i="48"/>
  <c r="DD925" i="48"/>
  <c r="DD1117" i="48"/>
  <c r="DC1117" i="48"/>
  <c r="DB1117" i="48"/>
  <c r="DC541" i="48"/>
  <c r="DB541" i="48"/>
  <c r="DD541" i="48"/>
  <c r="DD325" i="48"/>
  <c r="DC325" i="48"/>
  <c r="DB325" i="48"/>
  <c r="DD1213" i="48"/>
  <c r="DC1213" i="48"/>
  <c r="DB1213" i="48"/>
  <c r="DB109" i="48"/>
  <c r="DD109" i="48"/>
  <c r="DC109" i="48"/>
  <c r="DD877" i="48"/>
  <c r="DC877" i="48"/>
  <c r="DB877" i="48"/>
  <c r="DD661" i="48"/>
  <c r="DC661" i="48"/>
  <c r="DB661" i="48"/>
  <c r="DB1215" i="48"/>
  <c r="DD1215" i="48"/>
  <c r="DC1215" i="48"/>
  <c r="DB135" i="48"/>
  <c r="DD135" i="48"/>
  <c r="DC135" i="48"/>
  <c r="DD1311" i="48"/>
  <c r="DC1311" i="48"/>
  <c r="DB1311" i="48"/>
  <c r="DD1263" i="48"/>
  <c r="DC1263" i="48"/>
  <c r="DB1263" i="48"/>
  <c r="DD999" i="48"/>
  <c r="DC999" i="48"/>
  <c r="DB999" i="48"/>
  <c r="DD711" i="48"/>
  <c r="DC711" i="48"/>
  <c r="DB711" i="48"/>
  <c r="DD855" i="48"/>
  <c r="DC855" i="48"/>
  <c r="DB855" i="48"/>
  <c r="DD1047" i="48"/>
  <c r="DC1047" i="48"/>
  <c r="DB1047" i="48"/>
  <c r="DD807" i="48"/>
  <c r="DC807" i="48"/>
  <c r="DB807" i="48"/>
  <c r="DB447" i="48"/>
  <c r="DD447" i="48"/>
  <c r="DC447" i="48"/>
  <c r="DC423" i="48"/>
  <c r="DB423" i="48"/>
  <c r="DD423" i="48"/>
  <c r="DC183" i="48"/>
  <c r="DB183" i="48"/>
  <c r="DD183" i="48"/>
  <c r="DB351" i="48"/>
  <c r="DD351" i="48"/>
  <c r="DC351" i="48"/>
  <c r="DD108" i="48"/>
  <c r="DC108" i="48"/>
  <c r="DB108" i="48"/>
  <c r="DB1287" i="48"/>
  <c r="DD1287" i="48"/>
  <c r="DC1287" i="48"/>
  <c r="DD372" i="48"/>
  <c r="DC372" i="48"/>
  <c r="DB372" i="48"/>
  <c r="DC204" i="48"/>
  <c r="DB204" i="48"/>
  <c r="DD204" i="48"/>
  <c r="DC1284" i="48"/>
  <c r="DB1284" i="48"/>
  <c r="DD1284" i="48"/>
  <c r="DB1188" i="48"/>
  <c r="DC1188" i="48"/>
  <c r="DD1188" i="48"/>
  <c r="DD324" i="48"/>
  <c r="DC324" i="48"/>
  <c r="DB324" i="48"/>
  <c r="DB444" i="48"/>
  <c r="DC444" i="48"/>
  <c r="DD444" i="48"/>
  <c r="DB84" i="48"/>
  <c r="DD84" i="48"/>
  <c r="DC84" i="48"/>
  <c r="DD756" i="48"/>
  <c r="DC756" i="48"/>
  <c r="DB756" i="48"/>
  <c r="DD1116" i="48"/>
  <c r="DC1116" i="48"/>
  <c r="DB1116" i="48"/>
  <c r="DD1310" i="48"/>
  <c r="DC1310" i="48"/>
  <c r="DB1310" i="48"/>
  <c r="DB86" i="48"/>
  <c r="DD86" i="48"/>
  <c r="DC86" i="48"/>
  <c r="DB638" i="48"/>
  <c r="DD638" i="48"/>
  <c r="DC638" i="48"/>
  <c r="DB662" i="48"/>
  <c r="DD662" i="48"/>
  <c r="DC662" i="48"/>
  <c r="DD374" i="48"/>
  <c r="DC374" i="48"/>
  <c r="DB374" i="48"/>
  <c r="DD542" i="48"/>
  <c r="DC542" i="48"/>
  <c r="DB542" i="48"/>
  <c r="DB734" i="48"/>
  <c r="DD734" i="48"/>
  <c r="DC734" i="48"/>
  <c r="DB230" i="48"/>
  <c r="DD230" i="48"/>
  <c r="DC230" i="48"/>
  <c r="DD829" i="48"/>
  <c r="DC829" i="48"/>
  <c r="DB829" i="48"/>
  <c r="DC229" i="48"/>
  <c r="DB229" i="48"/>
  <c r="DD229" i="48"/>
  <c r="DB1021" i="48"/>
  <c r="DD1021" i="48"/>
  <c r="DC1021" i="48"/>
  <c r="DD157" i="48"/>
  <c r="DC157" i="48"/>
  <c r="DB157" i="48"/>
  <c r="DB613" i="48"/>
  <c r="DD613" i="48"/>
  <c r="DC613" i="48"/>
  <c r="DC1309" i="48"/>
  <c r="DB1309" i="48"/>
  <c r="DD1309" i="48"/>
  <c r="DD733" i="48"/>
  <c r="DB733" i="48"/>
  <c r="DC733" i="48"/>
  <c r="DB1237" i="48"/>
  <c r="DD1237" i="48"/>
  <c r="DC1237" i="48"/>
  <c r="DC1285" i="48"/>
  <c r="DB1285" i="48"/>
  <c r="DD1285" i="48"/>
  <c r="DC493" i="48"/>
  <c r="DD493" i="48"/>
  <c r="DB493" i="48"/>
  <c r="DC805" i="48"/>
  <c r="DB805" i="48"/>
  <c r="DD805" i="48"/>
  <c r="DC349" i="48"/>
  <c r="DB349" i="48"/>
  <c r="DD349" i="48"/>
  <c r="DD1023" i="48"/>
  <c r="DC1023" i="48"/>
  <c r="DB1023" i="48"/>
  <c r="DB687" i="48"/>
  <c r="DD687" i="48"/>
  <c r="DC687" i="48"/>
  <c r="DC111" i="48"/>
  <c r="DB111" i="48"/>
  <c r="DD111" i="48"/>
  <c r="DC735" i="48"/>
  <c r="DD735" i="48"/>
  <c r="DB735" i="48"/>
  <c r="DC663" i="48"/>
  <c r="DB663" i="48"/>
  <c r="DD663" i="48"/>
  <c r="DC879" i="48"/>
  <c r="DB879" i="48"/>
  <c r="DD879" i="48"/>
  <c r="DC567" i="48"/>
  <c r="DB567" i="48"/>
  <c r="DD567" i="48"/>
  <c r="DC759" i="48"/>
  <c r="DD759" i="48"/>
  <c r="DB759" i="48"/>
  <c r="DB903" i="48"/>
  <c r="DD903" i="48"/>
  <c r="DC903" i="48"/>
  <c r="DD975" i="48"/>
  <c r="DC975" i="48"/>
  <c r="DB975" i="48"/>
  <c r="DD1167" i="48"/>
  <c r="DC1167" i="48"/>
  <c r="DB1167" i="48"/>
  <c r="DD375" i="48"/>
  <c r="DB375" i="48"/>
  <c r="DC375" i="48"/>
  <c r="DD543" i="48"/>
  <c r="DC543" i="48"/>
  <c r="DB543" i="48"/>
  <c r="DD1046" i="48"/>
  <c r="DC1046" i="48"/>
  <c r="DB1046" i="48"/>
  <c r="DD468" i="48"/>
  <c r="DB468" i="48"/>
  <c r="DC468" i="48"/>
  <c r="DD1238" i="48"/>
  <c r="DC1238" i="48"/>
  <c r="DB1238" i="48"/>
  <c r="DD1260" i="48"/>
  <c r="DC1260" i="48"/>
  <c r="DB1260" i="48"/>
  <c r="DD228" i="48"/>
  <c r="DC228" i="48"/>
  <c r="DB228" i="48"/>
  <c r="DC540" i="48"/>
  <c r="DB540" i="48"/>
  <c r="DD540" i="48"/>
  <c r="DB924" i="48"/>
  <c r="DD924" i="48"/>
  <c r="DC924" i="48"/>
  <c r="DC828" i="48"/>
  <c r="DD828" i="48"/>
  <c r="DB828" i="48"/>
  <c r="DB588" i="48"/>
  <c r="DD588" i="48"/>
  <c r="DC588" i="48"/>
  <c r="DB1164" i="48"/>
  <c r="DD1164" i="48"/>
  <c r="DC1164" i="48"/>
  <c r="DC1092" i="48"/>
  <c r="DB1092" i="48"/>
  <c r="DD1092" i="48"/>
  <c r="DD996" i="48"/>
  <c r="DC996" i="48"/>
  <c r="DB996" i="48"/>
  <c r="DB1020" i="48"/>
  <c r="DC1020" i="48"/>
  <c r="DD1020" i="48"/>
  <c r="DB326" i="48"/>
  <c r="DD326" i="48"/>
  <c r="DC326" i="48"/>
  <c r="DD590" i="48"/>
  <c r="DC590" i="48"/>
  <c r="DB590" i="48"/>
  <c r="DC132" i="48"/>
  <c r="DB132" i="48"/>
  <c r="DD132" i="48"/>
  <c r="DB852" i="48"/>
  <c r="DD852" i="48"/>
  <c r="DC852" i="48"/>
  <c r="DD950" i="48"/>
  <c r="DC950" i="48"/>
  <c r="DB950" i="48"/>
  <c r="DD1190" i="48"/>
  <c r="DC1190" i="48"/>
  <c r="DB1190" i="48"/>
  <c r="DC158" i="48"/>
  <c r="DB158" i="48"/>
  <c r="DD158" i="48"/>
  <c r="DD134" i="48"/>
  <c r="DC134" i="48"/>
  <c r="DB134" i="48"/>
  <c r="DC1262" i="48"/>
  <c r="DB1262" i="48"/>
  <c r="DD1262" i="48"/>
  <c r="DB302" i="48"/>
  <c r="DD302" i="48"/>
  <c r="DC302" i="48"/>
  <c r="DD710" i="48"/>
  <c r="DC710" i="48"/>
  <c r="DB710" i="48"/>
  <c r="DC494" i="48"/>
  <c r="DD494" i="48"/>
  <c r="DB494" i="48"/>
  <c r="DD278" i="48"/>
  <c r="DC278" i="48"/>
  <c r="DB278" i="48"/>
  <c r="DD1094" i="48"/>
  <c r="DC1094" i="48"/>
  <c r="DB1094" i="48"/>
  <c r="DD421" i="48"/>
  <c r="DC421" i="48"/>
  <c r="DB421" i="48"/>
  <c r="DD637" i="48"/>
  <c r="DC637" i="48"/>
  <c r="DB637" i="48"/>
  <c r="DC589" i="48"/>
  <c r="DB589" i="48"/>
  <c r="DD589" i="48"/>
  <c r="DB781" i="48"/>
  <c r="DC781" i="48"/>
  <c r="DD781" i="48"/>
  <c r="DC1141" i="48"/>
  <c r="DB1141" i="48"/>
  <c r="DD1141" i="48"/>
  <c r="DB1045" i="48"/>
  <c r="DD1045" i="48"/>
  <c r="DC1045" i="48"/>
  <c r="DD565" i="48"/>
  <c r="DC565" i="48"/>
  <c r="DB565" i="48"/>
  <c r="DD301" i="48"/>
  <c r="DB301" i="48"/>
  <c r="DC301" i="48"/>
  <c r="DB1189" i="48"/>
  <c r="DD1189" i="48"/>
  <c r="DC1189" i="48"/>
  <c r="DB277" i="48"/>
  <c r="DD277" i="48"/>
  <c r="DC277" i="48"/>
  <c r="DC445" i="48"/>
  <c r="DB445" i="48"/>
  <c r="DD445" i="48"/>
  <c r="DC685" i="48"/>
  <c r="DB685" i="48"/>
  <c r="DD685" i="48"/>
  <c r="DC1093" i="48"/>
  <c r="DB1093" i="48"/>
  <c r="DD1093" i="48"/>
  <c r="DD1069" i="48"/>
  <c r="DC1069" i="48"/>
  <c r="DB1069" i="48"/>
  <c r="DB951" i="48"/>
  <c r="DD951" i="48"/>
  <c r="DC951" i="48"/>
  <c r="DD231" i="48"/>
  <c r="DC231" i="48"/>
  <c r="DB231" i="48"/>
  <c r="DB1239" i="48"/>
  <c r="DD1239" i="48"/>
  <c r="DC1239" i="48"/>
  <c r="DD159" i="48"/>
  <c r="DC159" i="48"/>
  <c r="DB159" i="48"/>
  <c r="DC831" i="48"/>
  <c r="DD831" i="48"/>
  <c r="DB831" i="48"/>
  <c r="DD399" i="48"/>
  <c r="DB399" i="48"/>
  <c r="DC399" i="48"/>
  <c r="DC87" i="48"/>
  <c r="DD87" i="48"/>
  <c r="DB87" i="48"/>
  <c r="DC255" i="48"/>
  <c r="DB255" i="48"/>
  <c r="DD255" i="48"/>
  <c r="DB207" i="48"/>
  <c r="DD207" i="48"/>
  <c r="DC207" i="48"/>
  <c r="DB327" i="48"/>
  <c r="DD327" i="48"/>
  <c r="DC327" i="48"/>
  <c r="DD591" i="48"/>
  <c r="DC591" i="48"/>
  <c r="DB591" i="48"/>
  <c r="DD516" i="48"/>
  <c r="DC516" i="48"/>
  <c r="DB516" i="48"/>
  <c r="DD804" i="48"/>
  <c r="DC804" i="48"/>
  <c r="DB804" i="48"/>
  <c r="DB708" i="48"/>
  <c r="DD708" i="48"/>
  <c r="DC708" i="48"/>
  <c r="DD1212" i="48"/>
  <c r="DC1212" i="48"/>
  <c r="DB1212" i="48"/>
  <c r="DD564" i="48"/>
  <c r="DC564" i="48"/>
  <c r="DB564" i="48"/>
  <c r="DD876" i="48"/>
  <c r="DC876" i="48"/>
  <c r="DB876" i="48"/>
  <c r="DC276" i="48"/>
  <c r="DB276" i="48"/>
  <c r="DD276" i="48"/>
  <c r="DB972" i="48"/>
  <c r="DD972" i="48"/>
  <c r="DC972" i="48"/>
  <c r="DC948" i="48"/>
  <c r="DB948" i="48"/>
  <c r="DD948" i="48"/>
  <c r="DC636" i="48"/>
  <c r="DB636" i="48"/>
  <c r="DD636" i="48"/>
  <c r="DC732" i="48"/>
  <c r="DD732" i="48"/>
  <c r="DB732" i="48"/>
  <c r="DD252" i="48"/>
  <c r="DC252" i="48"/>
  <c r="DB252" i="48"/>
  <c r="DE1192" i="48"/>
  <c r="DB62" i="48"/>
  <c r="DC62" i="48"/>
  <c r="DD62" i="48"/>
  <c r="DD60" i="48"/>
  <c r="DC60" i="48"/>
  <c r="DB60" i="48"/>
  <c r="DD61" i="48"/>
  <c r="DC61" i="48"/>
  <c r="DB61" i="48"/>
  <c r="DC63" i="48"/>
  <c r="DB63" i="48"/>
  <c r="DD63" i="48"/>
  <c r="DD36" i="48"/>
  <c r="DB36" i="48"/>
  <c r="DD38" i="48"/>
  <c r="DB38" i="48"/>
  <c r="DD39" i="48"/>
  <c r="DB39" i="48"/>
  <c r="DB37" i="48"/>
  <c r="DD37" i="48"/>
  <c r="DK1001" i="48"/>
  <c r="DK1097" i="48"/>
  <c r="DK209" i="48"/>
  <c r="DK449" i="48"/>
  <c r="DK377" i="48"/>
  <c r="DK137" i="48"/>
  <c r="DK1025" i="48"/>
  <c r="DK1217" i="48"/>
  <c r="DK425" i="48"/>
  <c r="DK833" i="48"/>
  <c r="DK161" i="48"/>
  <c r="DK353" i="48"/>
  <c r="DK497" i="48"/>
  <c r="DK665" i="48"/>
  <c r="DK1145" i="48"/>
  <c r="DK1289" i="48"/>
  <c r="DK1313" i="48"/>
  <c r="DK569" i="48"/>
  <c r="DK905" i="48"/>
  <c r="DK1265" i="48"/>
  <c r="DK1073" i="48"/>
  <c r="DK545" i="48"/>
  <c r="DK1049" i="48"/>
  <c r="DK1193" i="48"/>
  <c r="DK401" i="48"/>
  <c r="DK593" i="48"/>
  <c r="DK809" i="48"/>
  <c r="DK785" i="48"/>
  <c r="DK761" i="48"/>
  <c r="DK737" i="48"/>
  <c r="DK329" i="48"/>
  <c r="DK41" i="48"/>
  <c r="DC41" i="48" s="1"/>
  <c r="DK257" i="48"/>
  <c r="DK713" i="48"/>
  <c r="DK977" i="48"/>
  <c r="DK113" i="48"/>
  <c r="DK1241" i="48"/>
  <c r="DK473" i="48"/>
  <c r="DK65" i="48"/>
  <c r="DK1121" i="48"/>
  <c r="DK929" i="48"/>
  <c r="DK521" i="48"/>
  <c r="DK881" i="48"/>
  <c r="DK305" i="48"/>
  <c r="DK185" i="48"/>
  <c r="DK641" i="48"/>
  <c r="DK233" i="48"/>
  <c r="DK857" i="48"/>
  <c r="DK1169" i="48"/>
  <c r="DK89" i="48"/>
  <c r="DK281" i="48"/>
  <c r="DK617" i="48"/>
  <c r="DK689" i="48"/>
  <c r="CV138" i="48"/>
  <c r="CX138" i="48" s="1"/>
  <c r="DE832" i="48" l="1"/>
  <c r="DE472" i="48"/>
  <c r="DE640" i="48"/>
  <c r="DE469" i="48"/>
  <c r="DE712" i="48"/>
  <c r="DE856" i="48"/>
  <c r="DE1000" i="48"/>
  <c r="DE112" i="48"/>
  <c r="DE1168" i="48"/>
  <c r="DE1072" i="48"/>
  <c r="DE736" i="48"/>
  <c r="DE40" i="48"/>
  <c r="DE1312" i="48"/>
  <c r="DE928" i="48"/>
  <c r="DC953" i="48"/>
  <c r="DE520" i="48"/>
  <c r="DE1096" i="48"/>
  <c r="DE1024" i="48"/>
  <c r="DE976" i="48"/>
  <c r="DE496" i="48"/>
  <c r="DE64" i="48"/>
  <c r="DE544" i="48"/>
  <c r="DE1071" i="48"/>
  <c r="DE664" i="48"/>
  <c r="DE256" i="48"/>
  <c r="DE1240" i="48"/>
  <c r="DE160" i="48"/>
  <c r="DE348" i="48"/>
  <c r="DE1216" i="48"/>
  <c r="DE808" i="48"/>
  <c r="DE208" i="48"/>
  <c r="DE880" i="48"/>
  <c r="DE184" i="48"/>
  <c r="DE400" i="48"/>
  <c r="DE1120" i="48"/>
  <c r="DE352" i="48"/>
  <c r="DE280" i="48"/>
  <c r="DE784" i="48"/>
  <c r="DB953" i="48"/>
  <c r="DE88" i="48"/>
  <c r="DE616" i="48"/>
  <c r="DE1264" i="48"/>
  <c r="DE1070" i="48"/>
  <c r="DE568" i="48"/>
  <c r="DD953" i="48"/>
  <c r="CV786" i="48"/>
  <c r="CX786" i="48" s="1"/>
  <c r="CV906" i="48"/>
  <c r="CX906" i="48" s="1"/>
  <c r="CV714" i="48"/>
  <c r="CX714" i="48" s="1"/>
  <c r="DK354" i="48"/>
  <c r="DC354" i="48" s="1"/>
  <c r="CV114" i="48"/>
  <c r="CX114" i="48" s="1"/>
  <c r="CV1266" i="48"/>
  <c r="CX1266" i="48" s="1"/>
  <c r="CV234" i="48"/>
  <c r="CX234" i="48" s="1"/>
  <c r="CV954" i="48"/>
  <c r="CX954" i="48" s="1"/>
  <c r="CV378" i="48"/>
  <c r="CX378" i="48" s="1"/>
  <c r="CV858" i="48"/>
  <c r="CX858" i="48" s="1"/>
  <c r="CV1098" i="48"/>
  <c r="CX1098" i="48" s="1"/>
  <c r="CV1290" i="48"/>
  <c r="CX1290" i="48" s="1"/>
  <c r="CV1170" i="48"/>
  <c r="CX1170" i="48" s="1"/>
  <c r="CV426" i="48"/>
  <c r="CX426" i="48" s="1"/>
  <c r="CV90" i="48"/>
  <c r="CX90" i="48" s="1"/>
  <c r="CV1242" i="48"/>
  <c r="CX1242" i="48" s="1"/>
  <c r="CV306" i="48"/>
  <c r="CX306" i="48" s="1"/>
  <c r="CV978" i="48"/>
  <c r="CX978" i="48" s="1"/>
  <c r="CV642" i="48"/>
  <c r="CX642" i="48" s="1"/>
  <c r="CV282" i="48"/>
  <c r="CX282" i="48" s="1"/>
  <c r="CV258" i="48"/>
  <c r="CX258" i="48" s="1"/>
  <c r="CV738" i="48"/>
  <c r="CX738" i="48" s="1"/>
  <c r="CV1314" i="48"/>
  <c r="CX1314" i="48" s="1"/>
  <c r="CV762" i="48"/>
  <c r="CX762" i="48" s="1"/>
  <c r="CV1026" i="48"/>
  <c r="CX1026" i="48" s="1"/>
  <c r="CV834" i="48"/>
  <c r="CX834" i="48" s="1"/>
  <c r="CV162" i="48"/>
  <c r="CX162" i="48" s="1"/>
  <c r="CV66" i="48"/>
  <c r="CX66" i="48" s="1"/>
  <c r="CV402" i="48"/>
  <c r="CX402" i="48" s="1"/>
  <c r="CV522" i="48"/>
  <c r="CX522" i="48" s="1"/>
  <c r="CV1146" i="48"/>
  <c r="CX1146" i="48" s="1"/>
  <c r="CV450" i="48"/>
  <c r="CX450" i="48" s="1"/>
  <c r="CV1194" i="48"/>
  <c r="CX1194" i="48" s="1"/>
  <c r="CV930" i="48"/>
  <c r="CX930" i="48" s="1"/>
  <c r="CV882" i="48"/>
  <c r="CX882" i="48" s="1"/>
  <c r="CV186" i="48"/>
  <c r="CX186" i="48" s="1"/>
  <c r="CV618" i="48"/>
  <c r="CX618" i="48" s="1"/>
  <c r="CV570" i="48"/>
  <c r="CX570" i="48" s="1"/>
  <c r="CV42" i="48"/>
  <c r="CX42" i="48" s="1"/>
  <c r="CV1002" i="48"/>
  <c r="CX1002" i="48" s="1"/>
  <c r="CV1050" i="48"/>
  <c r="CX1050" i="48" s="1"/>
  <c r="CV210" i="48"/>
  <c r="CX210" i="48" s="1"/>
  <c r="CV546" i="48"/>
  <c r="CX546" i="48" s="1"/>
  <c r="CV498" i="48"/>
  <c r="CX498" i="48" s="1"/>
  <c r="CV1074" i="48"/>
  <c r="CX1074" i="48" s="1"/>
  <c r="CV594" i="48"/>
  <c r="CX594" i="48" s="1"/>
  <c r="CV474" i="48"/>
  <c r="CX474" i="48" s="1"/>
  <c r="CV1122" i="48"/>
  <c r="CX1122" i="48" s="1"/>
  <c r="CV354" i="48"/>
  <c r="CX354" i="48" s="1"/>
  <c r="CV666" i="48"/>
  <c r="CX666" i="48" s="1"/>
  <c r="CV690" i="48"/>
  <c r="CX690" i="48" s="1"/>
  <c r="CV810" i="48"/>
  <c r="CX810" i="48" s="1"/>
  <c r="CV330" i="48"/>
  <c r="CX330" i="48" s="1"/>
  <c r="CV1218" i="48"/>
  <c r="CX1218" i="48" s="1"/>
  <c r="DE1143" i="48"/>
  <c r="DE447" i="48"/>
  <c r="DE276" i="48"/>
  <c r="DE564" i="48"/>
  <c r="DE516" i="48"/>
  <c r="DE590" i="48"/>
  <c r="DE733" i="48"/>
  <c r="DE1309" i="48"/>
  <c r="DE230" i="48"/>
  <c r="DE734" i="48"/>
  <c r="DE638" i="48"/>
  <c r="DE86" i="48"/>
  <c r="DE756" i="48"/>
  <c r="DE444" i="48"/>
  <c r="DE204" i="48"/>
  <c r="DE1213" i="48"/>
  <c r="DE1117" i="48"/>
  <c r="DE205" i="48"/>
  <c r="DE158" i="48"/>
  <c r="DE396" i="48"/>
  <c r="DE471" i="48"/>
  <c r="DE495" i="48"/>
  <c r="DE519" i="48"/>
  <c r="DE927" i="48"/>
  <c r="DE901" i="48"/>
  <c r="DE997" i="48"/>
  <c r="DE517" i="48"/>
  <c r="DE254" i="48"/>
  <c r="DE84" i="48"/>
  <c r="DE1284" i="48"/>
  <c r="DE949" i="48"/>
  <c r="DE878" i="48"/>
  <c r="DE1286" i="48"/>
  <c r="DE518" i="48"/>
  <c r="DE566" i="48"/>
  <c r="DE1118" i="48"/>
  <c r="DE1092" i="48"/>
  <c r="DE109" i="48"/>
  <c r="DE135" i="48"/>
  <c r="DE1022" i="48"/>
  <c r="DE423" i="48"/>
  <c r="DE301" i="48"/>
  <c r="DE637" i="48"/>
  <c r="DE421" i="48"/>
  <c r="DE1190" i="48"/>
  <c r="DE950" i="48"/>
  <c r="DE852" i="48"/>
  <c r="DE543" i="48"/>
  <c r="DE375" i="48"/>
  <c r="DE1167" i="48"/>
  <c r="DE229" i="48"/>
  <c r="DE661" i="48"/>
  <c r="DE255" i="48"/>
  <c r="DE399" i="48"/>
  <c r="DE1093" i="48"/>
  <c r="DE1189" i="48"/>
  <c r="DE494" i="48"/>
  <c r="DE1023" i="48"/>
  <c r="DE1310" i="48"/>
  <c r="DE108" i="48"/>
  <c r="DE684" i="48"/>
  <c r="DE1068" i="48"/>
  <c r="DE780" i="48"/>
  <c r="DE900" i="48"/>
  <c r="DE612" i="48"/>
  <c r="DE253" i="48"/>
  <c r="DE373" i="48"/>
  <c r="DE853" i="48"/>
  <c r="DE998" i="48"/>
  <c r="DE782" i="48"/>
  <c r="DE350" i="48"/>
  <c r="DE156" i="48"/>
  <c r="DE180" i="48"/>
  <c r="DE183" i="48"/>
  <c r="DE159" i="48"/>
  <c r="DE685" i="48"/>
  <c r="DE445" i="48"/>
  <c r="DE1045" i="48"/>
  <c r="DE1094" i="48"/>
  <c r="DE1262" i="48"/>
  <c r="DE1164" i="48"/>
  <c r="DE228" i="48"/>
  <c r="DE903" i="48"/>
  <c r="DE759" i="48"/>
  <c r="DE1215" i="48"/>
  <c r="DE300" i="48"/>
  <c r="DE973" i="48"/>
  <c r="DE277" i="48"/>
  <c r="DE924" i="48"/>
  <c r="DE1238" i="48"/>
  <c r="DE1095" i="48"/>
  <c r="DB89" i="48"/>
  <c r="DD89" i="48"/>
  <c r="DC89" i="48"/>
  <c r="DD737" i="48"/>
  <c r="DC737" i="48"/>
  <c r="DB737" i="48"/>
  <c r="DD137" i="48"/>
  <c r="DC137" i="48"/>
  <c r="DB137" i="48"/>
  <c r="DE278" i="48"/>
  <c r="DE735" i="48"/>
  <c r="DE279" i="48"/>
  <c r="DD641" i="48"/>
  <c r="DC641" i="48"/>
  <c r="DB641" i="48"/>
  <c r="DD713" i="48"/>
  <c r="DC713" i="48"/>
  <c r="DB713" i="48"/>
  <c r="DC569" i="48"/>
  <c r="DB569" i="48"/>
  <c r="DD569" i="48"/>
  <c r="DD1169" i="48"/>
  <c r="DB1169" i="48"/>
  <c r="DC1169" i="48"/>
  <c r="DC425" i="48"/>
  <c r="DB425" i="48"/>
  <c r="DD425" i="48"/>
  <c r="DE876" i="48"/>
  <c r="DE708" i="48"/>
  <c r="DE804" i="48"/>
  <c r="DE87" i="48"/>
  <c r="DE951" i="48"/>
  <c r="DE565" i="48"/>
  <c r="DE975" i="48"/>
  <c r="DE542" i="48"/>
  <c r="DE374" i="48"/>
  <c r="DE1116" i="48"/>
  <c r="DE324" i="48"/>
  <c r="DE372" i="48"/>
  <c r="DE877" i="48"/>
  <c r="DE1214" i="48"/>
  <c r="DE1119" i="48"/>
  <c r="DE1142" i="48"/>
  <c r="DE182" i="48"/>
  <c r="DD521" i="48"/>
  <c r="DC521" i="48"/>
  <c r="DB521" i="48"/>
  <c r="DB593" i="48"/>
  <c r="DD593" i="48"/>
  <c r="DC593" i="48"/>
  <c r="DC665" i="48"/>
  <c r="DB665" i="48"/>
  <c r="DD665" i="48"/>
  <c r="DB1097" i="48"/>
  <c r="DC1097" i="48"/>
  <c r="DD1097" i="48"/>
  <c r="DB185" i="48"/>
  <c r="DD185" i="48"/>
  <c r="DC185" i="48"/>
  <c r="DB1241" i="48"/>
  <c r="DD1241" i="48"/>
  <c r="DC1241" i="48"/>
  <c r="DC761" i="48"/>
  <c r="DD761" i="48"/>
  <c r="DB761" i="48"/>
  <c r="DD1073" i="48"/>
  <c r="DC1073" i="48"/>
  <c r="DB1073" i="48"/>
  <c r="DD497" i="48"/>
  <c r="DB497" i="48"/>
  <c r="DC497" i="48"/>
  <c r="DD1001" i="48"/>
  <c r="DC1001" i="48"/>
  <c r="DB1001" i="48"/>
  <c r="DD617" i="48"/>
  <c r="DC617" i="48"/>
  <c r="DB617" i="48"/>
  <c r="DD857" i="48"/>
  <c r="DB857" i="48"/>
  <c r="DC857" i="48"/>
  <c r="DC305" i="48"/>
  <c r="DD305" i="48"/>
  <c r="DB305" i="48"/>
  <c r="DD1121" i="48"/>
  <c r="DC1121" i="48"/>
  <c r="DB1121" i="48"/>
  <c r="DB113" i="48"/>
  <c r="DD113" i="48"/>
  <c r="DC113" i="48"/>
  <c r="DC785" i="48"/>
  <c r="DB785" i="48"/>
  <c r="DD785" i="48"/>
  <c r="DD1193" i="48"/>
  <c r="DC1193" i="48"/>
  <c r="DB1193" i="48"/>
  <c r="DD1265" i="48"/>
  <c r="DC1265" i="48"/>
  <c r="DB1265" i="48"/>
  <c r="DB1289" i="48"/>
  <c r="DD1289" i="48"/>
  <c r="DC1289" i="48"/>
  <c r="DC353" i="48"/>
  <c r="DB353" i="48"/>
  <c r="DD353" i="48"/>
  <c r="DB1217" i="48"/>
  <c r="DD1217" i="48"/>
  <c r="DC1217" i="48"/>
  <c r="DC449" i="48"/>
  <c r="DB449" i="48"/>
  <c r="DD449" i="48"/>
  <c r="DE948" i="48"/>
  <c r="DE972" i="48"/>
  <c r="DE327" i="48"/>
  <c r="DE207" i="48"/>
  <c r="DE1239" i="48"/>
  <c r="DE1069" i="48"/>
  <c r="DE710" i="48"/>
  <c r="DE1020" i="48"/>
  <c r="DE828" i="48"/>
  <c r="DE468" i="48"/>
  <c r="DE349" i="48"/>
  <c r="DE805" i="48"/>
  <c r="DE1285" i="48"/>
  <c r="DE1021" i="48"/>
  <c r="DE829" i="48"/>
  <c r="DE1188" i="48"/>
  <c r="DE351" i="48"/>
  <c r="DE807" i="48"/>
  <c r="DE1047" i="48"/>
  <c r="DE855" i="48"/>
  <c r="DE711" i="48"/>
  <c r="DE999" i="48"/>
  <c r="DE1263" i="48"/>
  <c r="DE1311" i="48"/>
  <c r="DE541" i="48"/>
  <c r="DE925" i="48"/>
  <c r="DE709" i="48"/>
  <c r="DE1165" i="48"/>
  <c r="DE854" i="48"/>
  <c r="DE902" i="48"/>
  <c r="DE926" i="48"/>
  <c r="DE470" i="48"/>
  <c r="DE1166" i="48"/>
  <c r="DE420" i="48"/>
  <c r="DE1236" i="48"/>
  <c r="DE1308" i="48"/>
  <c r="DE422" i="48"/>
  <c r="DE492" i="48"/>
  <c r="DE398" i="48"/>
  <c r="DE783" i="48"/>
  <c r="DE615" i="48"/>
  <c r="DE1191" i="48"/>
  <c r="DE85" i="48"/>
  <c r="DE757" i="48"/>
  <c r="DE133" i="48"/>
  <c r="DE974" i="48"/>
  <c r="DE830" i="48"/>
  <c r="DE110" i="48"/>
  <c r="DE758" i="48"/>
  <c r="DC473" i="48"/>
  <c r="DD473" i="48"/>
  <c r="DB473" i="48"/>
  <c r="DD545" i="48"/>
  <c r="DC545" i="48"/>
  <c r="DB545" i="48"/>
  <c r="DD833" i="48"/>
  <c r="DC833" i="48"/>
  <c r="DB833" i="48"/>
  <c r="DB689" i="48"/>
  <c r="DD689" i="48"/>
  <c r="DC689" i="48"/>
  <c r="DD929" i="48"/>
  <c r="DC929" i="48"/>
  <c r="DB929" i="48"/>
  <c r="DB257" i="48"/>
  <c r="DD257" i="48"/>
  <c r="DC257" i="48"/>
  <c r="DD401" i="48"/>
  <c r="DC401" i="48"/>
  <c r="DB401" i="48"/>
  <c r="DD1313" i="48"/>
  <c r="DC1313" i="48"/>
  <c r="DB1313" i="48"/>
  <c r="DB377" i="48"/>
  <c r="DC377" i="48"/>
  <c r="DD377" i="48"/>
  <c r="DE732" i="48"/>
  <c r="DB281" i="48"/>
  <c r="DD281" i="48"/>
  <c r="DC281" i="48"/>
  <c r="DC233" i="48"/>
  <c r="DB233" i="48"/>
  <c r="DD233" i="48"/>
  <c r="DC881" i="48"/>
  <c r="DB881" i="48"/>
  <c r="DD881" i="48"/>
  <c r="DD977" i="48"/>
  <c r="DC977" i="48"/>
  <c r="DB977" i="48"/>
  <c r="DB329" i="48"/>
  <c r="DD329" i="48"/>
  <c r="DC329" i="48"/>
  <c r="DD809" i="48"/>
  <c r="DC809" i="48"/>
  <c r="DB809" i="48"/>
  <c r="DB1049" i="48"/>
  <c r="DD1049" i="48"/>
  <c r="DC1049" i="48"/>
  <c r="DB905" i="48"/>
  <c r="DD905" i="48"/>
  <c r="DC905" i="48"/>
  <c r="DB1145" i="48"/>
  <c r="DD1145" i="48"/>
  <c r="DC1145" i="48"/>
  <c r="DC161" i="48"/>
  <c r="DB161" i="48"/>
  <c r="DD161" i="48"/>
  <c r="DD1025" i="48"/>
  <c r="DC1025" i="48"/>
  <c r="DB1025" i="48"/>
  <c r="DD209" i="48"/>
  <c r="DC209" i="48"/>
  <c r="DB209" i="48"/>
  <c r="DE252" i="48"/>
  <c r="DE636" i="48"/>
  <c r="DE1212" i="48"/>
  <c r="DE591" i="48"/>
  <c r="DE831" i="48"/>
  <c r="DE231" i="48"/>
  <c r="DE1141" i="48"/>
  <c r="DE781" i="48"/>
  <c r="DE589" i="48"/>
  <c r="DE302" i="48"/>
  <c r="DE134" i="48"/>
  <c r="DE132" i="48"/>
  <c r="DE326" i="48"/>
  <c r="DE996" i="48"/>
  <c r="DE588" i="48"/>
  <c r="DE540" i="48"/>
  <c r="DE1260" i="48"/>
  <c r="DE1046" i="48"/>
  <c r="DE567" i="48"/>
  <c r="DE879" i="48"/>
  <c r="DE663" i="48"/>
  <c r="DE111" i="48"/>
  <c r="DE687" i="48"/>
  <c r="DE493" i="48"/>
  <c r="DE1237" i="48"/>
  <c r="DE613" i="48"/>
  <c r="DE157" i="48"/>
  <c r="DE662" i="48"/>
  <c r="DE1287" i="48"/>
  <c r="DE325" i="48"/>
  <c r="DE446" i="48"/>
  <c r="DE806" i="48"/>
  <c r="DE660" i="48"/>
  <c r="DE1140" i="48"/>
  <c r="DE639" i="48"/>
  <c r="DE303" i="48"/>
  <c r="DE181" i="48"/>
  <c r="DE1261" i="48"/>
  <c r="DE397" i="48"/>
  <c r="DE614" i="48"/>
  <c r="DE686" i="48"/>
  <c r="DE206" i="48"/>
  <c r="DE1044" i="48"/>
  <c r="DE63" i="48"/>
  <c r="DE60" i="48"/>
  <c r="DE61" i="48"/>
  <c r="DE62" i="48"/>
  <c r="DC65" i="48"/>
  <c r="DB65" i="48"/>
  <c r="DD65" i="48"/>
  <c r="DE39" i="48"/>
  <c r="DE37" i="48"/>
  <c r="DB41" i="48"/>
  <c r="DD41" i="48"/>
  <c r="DE38" i="48"/>
  <c r="DE36" i="48"/>
  <c r="DK90" i="48"/>
  <c r="DK210" i="48"/>
  <c r="DK930" i="48"/>
  <c r="DK474" i="48"/>
  <c r="DK1074" i="48"/>
  <c r="DK1026" i="48"/>
  <c r="DK954" i="48"/>
  <c r="DK1002" i="48"/>
  <c r="DK1194" i="48"/>
  <c r="DK282" i="48"/>
  <c r="DK906" i="48"/>
  <c r="DK186" i="48"/>
  <c r="DK1146" i="48"/>
  <c r="DK714" i="48"/>
  <c r="DK690" i="48"/>
  <c r="DK498" i="48"/>
  <c r="DK426" i="48"/>
  <c r="DK66" i="48"/>
  <c r="DK858" i="48"/>
  <c r="DK1314" i="48"/>
  <c r="DK546" i="48"/>
  <c r="DK138" i="48"/>
  <c r="DK1122" i="48"/>
  <c r="DK594" i="48"/>
  <c r="DK786" i="48"/>
  <c r="DK978" i="48"/>
  <c r="DK1266" i="48"/>
  <c r="DK258" i="48"/>
  <c r="DK1050" i="48"/>
  <c r="DK762" i="48"/>
  <c r="DK618" i="48"/>
  <c r="DK666" i="48"/>
  <c r="DK234" i="48"/>
  <c r="DK738" i="48"/>
  <c r="DK114" i="48"/>
  <c r="DK1098" i="48"/>
  <c r="DK306" i="48"/>
  <c r="DK450" i="48"/>
  <c r="DK162" i="48"/>
  <c r="DK522" i="48"/>
  <c r="DK810" i="48"/>
  <c r="DK330" i="48"/>
  <c r="DK1170" i="48"/>
  <c r="DK642" i="48"/>
  <c r="DK1290" i="48"/>
  <c r="DK570" i="48"/>
  <c r="DK1242" i="48"/>
  <c r="DK42" i="48"/>
  <c r="DC42" i="48" s="1"/>
  <c r="DK834" i="48"/>
  <c r="DK402" i="48"/>
  <c r="DK882" i="48"/>
  <c r="DK1218" i="48"/>
  <c r="DK378" i="48"/>
  <c r="CV259" i="48"/>
  <c r="CX259" i="48" s="1"/>
  <c r="DB354" i="48" l="1"/>
  <c r="DD354" i="48"/>
  <c r="DE953" i="48"/>
  <c r="CV283" i="48"/>
  <c r="CX283" i="48" s="1"/>
  <c r="CV91" i="48"/>
  <c r="CX91" i="48" s="1"/>
  <c r="CV547" i="48"/>
  <c r="CX547" i="48" s="1"/>
  <c r="CV1075" i="48"/>
  <c r="CX1075" i="48" s="1"/>
  <c r="CV211" i="48"/>
  <c r="CX211" i="48" s="1"/>
  <c r="CV1267" i="48"/>
  <c r="CX1267" i="48" s="1"/>
  <c r="CV187" i="48"/>
  <c r="CX187" i="48" s="1"/>
  <c r="CV1195" i="48"/>
  <c r="CX1195" i="48" s="1"/>
  <c r="CV1027" i="48"/>
  <c r="CX1027" i="48" s="1"/>
  <c r="CV571" i="48"/>
  <c r="CX571" i="48" s="1"/>
  <c r="CV1315" i="48"/>
  <c r="CX1315" i="48" s="1"/>
  <c r="CV235" i="48"/>
  <c r="CX235" i="48" s="1"/>
  <c r="DK187" i="48"/>
  <c r="DC187" i="48" s="1"/>
  <c r="CV907" i="48"/>
  <c r="CX907" i="48" s="1"/>
  <c r="CV715" i="48"/>
  <c r="CX715" i="48" s="1"/>
  <c r="CV451" i="48"/>
  <c r="CX451" i="48" s="1"/>
  <c r="CV979" i="48"/>
  <c r="CX979" i="48" s="1"/>
  <c r="CV523" i="48"/>
  <c r="CX523" i="48" s="1"/>
  <c r="CV475" i="48"/>
  <c r="CX475" i="48" s="1"/>
  <c r="CV355" i="48"/>
  <c r="CX355" i="48" s="1"/>
  <c r="CV1123" i="48"/>
  <c r="CX1123" i="48" s="1"/>
  <c r="CV1051" i="48"/>
  <c r="CX1051" i="48" s="1"/>
  <c r="CV427" i="48"/>
  <c r="CX427" i="48" s="1"/>
  <c r="CV163" i="48"/>
  <c r="CX163" i="48" s="1"/>
  <c r="CV739" i="48"/>
  <c r="CX739" i="48" s="1"/>
  <c r="CV787" i="48"/>
  <c r="CX787" i="48" s="1"/>
  <c r="CV139" i="48"/>
  <c r="CX139" i="48" s="1"/>
  <c r="CV115" i="48"/>
  <c r="CX115" i="48" s="1"/>
  <c r="CV67" i="48"/>
  <c r="CX67" i="48" s="1"/>
  <c r="CV883" i="48"/>
  <c r="CX883" i="48" s="1"/>
  <c r="CV811" i="48"/>
  <c r="CX811" i="48" s="1"/>
  <c r="CV1147" i="48"/>
  <c r="CX1147" i="48" s="1"/>
  <c r="CV859" i="48"/>
  <c r="CX859" i="48" s="1"/>
  <c r="CV331" i="48"/>
  <c r="CX331" i="48" s="1"/>
  <c r="CV595" i="48"/>
  <c r="CX595" i="48" s="1"/>
  <c r="CV1243" i="48"/>
  <c r="CX1243" i="48" s="1"/>
  <c r="CV619" i="48"/>
  <c r="CX619" i="48" s="1"/>
  <c r="CV1171" i="48"/>
  <c r="CX1171" i="48" s="1"/>
  <c r="CV499" i="48"/>
  <c r="CX499" i="48" s="1"/>
  <c r="CV691" i="48"/>
  <c r="CX691" i="48" s="1"/>
  <c r="CV43" i="48"/>
  <c r="CX43" i="48" s="1"/>
  <c r="CV403" i="48"/>
  <c r="CX403" i="48" s="1"/>
  <c r="CV643" i="48"/>
  <c r="CX643" i="48" s="1"/>
  <c r="CV1291" i="48"/>
  <c r="CX1291" i="48" s="1"/>
  <c r="CV1003" i="48"/>
  <c r="CX1003" i="48" s="1"/>
  <c r="CV763" i="48"/>
  <c r="CX763" i="48" s="1"/>
  <c r="CV307" i="48"/>
  <c r="CX307" i="48" s="1"/>
  <c r="CV835" i="48"/>
  <c r="CX835" i="48" s="1"/>
  <c r="CV955" i="48"/>
  <c r="CX955" i="48" s="1"/>
  <c r="CV667" i="48"/>
  <c r="CX667" i="48" s="1"/>
  <c r="CV1099" i="48"/>
  <c r="CX1099" i="48" s="1"/>
  <c r="CV379" i="48"/>
  <c r="CX379" i="48" s="1"/>
  <c r="CV1219" i="48"/>
  <c r="CX1219" i="48" s="1"/>
  <c r="CV931" i="48"/>
  <c r="CX931" i="48" s="1"/>
  <c r="DE881" i="48"/>
  <c r="DE233" i="48"/>
  <c r="DE281" i="48"/>
  <c r="DE929" i="48"/>
  <c r="DE833" i="48"/>
  <c r="DE545" i="48"/>
  <c r="DE1217" i="48"/>
  <c r="DE1289" i="48"/>
  <c r="DE1121" i="48"/>
  <c r="DE857" i="48"/>
  <c r="DE617" i="48"/>
  <c r="DE1001" i="48"/>
  <c r="DE89" i="48"/>
  <c r="DE1169" i="48"/>
  <c r="DE713" i="48"/>
  <c r="DE641" i="48"/>
  <c r="DE161" i="48"/>
  <c r="DE1145" i="48"/>
  <c r="DE905" i="48"/>
  <c r="DE1049" i="48"/>
  <c r="DE665" i="48"/>
  <c r="DE257" i="48"/>
  <c r="DE113" i="48"/>
  <c r="DE329" i="48"/>
  <c r="DE1313" i="48"/>
  <c r="DE401" i="48"/>
  <c r="DE1265" i="48"/>
  <c r="DE1193" i="48"/>
  <c r="DE1097" i="48"/>
  <c r="DE137" i="48"/>
  <c r="DE209" i="48"/>
  <c r="DE497" i="48"/>
  <c r="DE1073" i="48"/>
  <c r="DB882" i="48"/>
  <c r="DD882" i="48"/>
  <c r="DC882" i="48"/>
  <c r="DD162" i="48"/>
  <c r="DC162" i="48"/>
  <c r="DB162" i="48"/>
  <c r="DD618" i="48"/>
  <c r="DC618" i="48"/>
  <c r="DB618" i="48"/>
  <c r="DC1122" i="48"/>
  <c r="DB1122" i="48"/>
  <c r="DD1122" i="48"/>
  <c r="DD402" i="48"/>
  <c r="DC402" i="48"/>
  <c r="DB402" i="48"/>
  <c r="DB330" i="48"/>
  <c r="DD330" i="48"/>
  <c r="DC330" i="48"/>
  <c r="DC738" i="48"/>
  <c r="DD738" i="48"/>
  <c r="DB738" i="48"/>
  <c r="DD1218" i="48"/>
  <c r="DC1218" i="48"/>
  <c r="DB1218" i="48"/>
  <c r="DC642" i="48"/>
  <c r="DB642" i="48"/>
  <c r="DD642" i="48"/>
  <c r="DD522" i="48"/>
  <c r="DC522" i="48"/>
  <c r="DB522" i="48"/>
  <c r="DD1098" i="48"/>
  <c r="DC1098" i="48"/>
  <c r="DB1098" i="48"/>
  <c r="DB666" i="48"/>
  <c r="DD666" i="48"/>
  <c r="DC666" i="48"/>
  <c r="DC258" i="48"/>
  <c r="DB258" i="48"/>
  <c r="DD258" i="48"/>
  <c r="DD594" i="48"/>
  <c r="DC594" i="48"/>
  <c r="DB594" i="48"/>
  <c r="DD1314" i="48"/>
  <c r="DC1314" i="48"/>
  <c r="DB1314" i="48"/>
  <c r="DC498" i="48"/>
  <c r="DD498" i="48"/>
  <c r="DB498" i="48"/>
  <c r="DC186" i="48"/>
  <c r="DB186" i="48"/>
  <c r="DD186" i="48"/>
  <c r="DC1002" i="48"/>
  <c r="DB1002" i="48"/>
  <c r="DD1002" i="48"/>
  <c r="DC474" i="48"/>
  <c r="DD474" i="48"/>
  <c r="DB474" i="48"/>
  <c r="DE1025" i="48"/>
  <c r="DE377" i="48"/>
  <c r="DE689" i="48"/>
  <c r="DE473" i="48"/>
  <c r="DE449" i="48"/>
  <c r="DE353" i="48"/>
  <c r="DE785" i="48"/>
  <c r="DE305" i="48"/>
  <c r="DE761" i="48"/>
  <c r="DE1241" i="48"/>
  <c r="DE185" i="48"/>
  <c r="DE521" i="48"/>
  <c r="DD906" i="48"/>
  <c r="DC906" i="48"/>
  <c r="DB906" i="48"/>
  <c r="DD954" i="48"/>
  <c r="DC954" i="48"/>
  <c r="DB954" i="48"/>
  <c r="DD930" i="48"/>
  <c r="DC930" i="48"/>
  <c r="DB930" i="48"/>
  <c r="DD1170" i="48"/>
  <c r="DC1170" i="48"/>
  <c r="DB1170" i="48"/>
  <c r="DC1266" i="48"/>
  <c r="DB1266" i="48"/>
  <c r="DD1266" i="48"/>
  <c r="DD858" i="48"/>
  <c r="DC858" i="48"/>
  <c r="DB858" i="48"/>
  <c r="DB762" i="48"/>
  <c r="DD762" i="48"/>
  <c r="DC762" i="48"/>
  <c r="DD978" i="48"/>
  <c r="DC978" i="48"/>
  <c r="DB978" i="48"/>
  <c r="DB138" i="48"/>
  <c r="DD138" i="48"/>
  <c r="DC138" i="48"/>
  <c r="DD714" i="48"/>
  <c r="DC714" i="48"/>
  <c r="DB714" i="48"/>
  <c r="DC282" i="48"/>
  <c r="DB282" i="48"/>
  <c r="DD282" i="48"/>
  <c r="DD1026" i="48"/>
  <c r="DC1026" i="48"/>
  <c r="DB1026" i="48"/>
  <c r="DB210" i="48"/>
  <c r="DD210" i="48"/>
  <c r="DC210" i="48"/>
  <c r="DD1242" i="48"/>
  <c r="DC1242" i="48"/>
  <c r="DB1242" i="48"/>
  <c r="DC114" i="48"/>
  <c r="DB114" i="48"/>
  <c r="DD114" i="48"/>
  <c r="DD690" i="48"/>
  <c r="DC690" i="48"/>
  <c r="DB690" i="48"/>
  <c r="DB570" i="48"/>
  <c r="DD570" i="48"/>
  <c r="DC570" i="48"/>
  <c r="DC450" i="48"/>
  <c r="DB450" i="48"/>
  <c r="DD450" i="48"/>
  <c r="DB378" i="48"/>
  <c r="DD378" i="48"/>
  <c r="DC378" i="48"/>
  <c r="DD834" i="48"/>
  <c r="DB834" i="48"/>
  <c r="DC834" i="48"/>
  <c r="DD1290" i="48"/>
  <c r="DC1290" i="48"/>
  <c r="DB1290" i="48"/>
  <c r="DC810" i="48"/>
  <c r="DD810" i="48"/>
  <c r="DB810" i="48"/>
  <c r="DB306" i="48"/>
  <c r="DD306" i="48"/>
  <c r="DC306" i="48"/>
  <c r="DD234" i="48"/>
  <c r="DC234" i="48"/>
  <c r="DB234" i="48"/>
  <c r="DB1050" i="48"/>
  <c r="DD1050" i="48"/>
  <c r="DC1050" i="48"/>
  <c r="DD786" i="48"/>
  <c r="DC786" i="48"/>
  <c r="DB786" i="48"/>
  <c r="DD546" i="48"/>
  <c r="DC546" i="48"/>
  <c r="DB546" i="48"/>
  <c r="DB426" i="48"/>
  <c r="DC426" i="48"/>
  <c r="DD426" i="48"/>
  <c r="DD1146" i="48"/>
  <c r="DC1146" i="48"/>
  <c r="DB1146" i="48"/>
  <c r="DD1194" i="48"/>
  <c r="DC1194" i="48"/>
  <c r="DB1194" i="48"/>
  <c r="DC1074" i="48"/>
  <c r="DB1074" i="48"/>
  <c r="DD1074" i="48"/>
  <c r="DD90" i="48"/>
  <c r="DB90" i="48"/>
  <c r="DC90" i="48"/>
  <c r="DE809" i="48"/>
  <c r="DE977" i="48"/>
  <c r="DE593" i="48"/>
  <c r="DE425" i="48"/>
  <c r="DE569" i="48"/>
  <c r="DE737" i="48"/>
  <c r="DE65" i="48"/>
  <c r="DB66" i="48"/>
  <c r="DD66" i="48"/>
  <c r="DC66" i="48"/>
  <c r="DB42" i="48"/>
  <c r="DD42" i="48"/>
  <c r="DE41" i="48"/>
  <c r="DK955" i="48"/>
  <c r="DK571" i="48"/>
  <c r="DK523" i="48"/>
  <c r="DK763" i="48"/>
  <c r="DK1099" i="48"/>
  <c r="DK499" i="48"/>
  <c r="DK859" i="48"/>
  <c r="DK403" i="48"/>
  <c r="DK475" i="48"/>
  <c r="DK691" i="48"/>
  <c r="DK595" i="48"/>
  <c r="DK283" i="48"/>
  <c r="DK451" i="48"/>
  <c r="DK835" i="48"/>
  <c r="DK883" i="48"/>
  <c r="DK1219" i="48"/>
  <c r="DK427" i="48"/>
  <c r="DK1267" i="48"/>
  <c r="DK355" i="48"/>
  <c r="DK67" i="48"/>
  <c r="DK379" i="48"/>
  <c r="DK979" i="48"/>
  <c r="DK739" i="48"/>
  <c r="DK1243" i="48"/>
  <c r="DK139" i="48"/>
  <c r="DK331" i="48"/>
  <c r="DK91" i="48"/>
  <c r="DK235" i="48"/>
  <c r="DK619" i="48"/>
  <c r="DK907" i="48"/>
  <c r="DK115" i="48"/>
  <c r="DK1315" i="48"/>
  <c r="DK1027" i="48"/>
  <c r="DK163" i="48"/>
  <c r="DK43" i="48"/>
  <c r="DC43" i="48" s="1"/>
  <c r="DK1051" i="48"/>
  <c r="DK211" i="48"/>
  <c r="DK931" i="48"/>
  <c r="DK1075" i="48"/>
  <c r="DK307" i="48"/>
  <c r="DK1291" i="48"/>
  <c r="DK643" i="48"/>
  <c r="DK1123" i="48"/>
  <c r="DK1171" i="48"/>
  <c r="DK1147" i="48"/>
  <c r="DK547" i="48"/>
  <c r="DK811" i="48"/>
  <c r="DK787" i="48"/>
  <c r="DK259" i="48"/>
  <c r="DK667" i="48"/>
  <c r="DK715" i="48"/>
  <c r="DK1195" i="48"/>
  <c r="DE354" i="48" l="1"/>
  <c r="DD187" i="48"/>
  <c r="DB187" i="48"/>
  <c r="DK548" i="48"/>
  <c r="CV620" i="48"/>
  <c r="CX620" i="48" s="1"/>
  <c r="CV1220" i="48"/>
  <c r="CX1220" i="48" s="1"/>
  <c r="CV116" i="48"/>
  <c r="CX116" i="48" s="1"/>
  <c r="CV644" i="48"/>
  <c r="CX644" i="48" s="1"/>
  <c r="CV740" i="48"/>
  <c r="CX740" i="48" s="1"/>
  <c r="CV140" i="48"/>
  <c r="CX140" i="48" s="1"/>
  <c r="CV668" i="48"/>
  <c r="CX668" i="48" s="1"/>
  <c r="CV68" i="48"/>
  <c r="CX68" i="48" s="1"/>
  <c r="CV1052" i="48"/>
  <c r="CX1052" i="48" s="1"/>
  <c r="CV212" i="48"/>
  <c r="CX212" i="48" s="1"/>
  <c r="CV1196" i="48"/>
  <c r="CX1196" i="48" s="1"/>
  <c r="CV284" i="48"/>
  <c r="CX284" i="48" s="1"/>
  <c r="CV236" i="48"/>
  <c r="CX236" i="48" s="1"/>
  <c r="DE90" i="48"/>
  <c r="DE498" i="48"/>
  <c r="DE1314" i="48"/>
  <c r="DE834" i="48"/>
  <c r="DE450" i="48"/>
  <c r="DE570" i="48"/>
  <c r="DE1242" i="48"/>
  <c r="DE978" i="48"/>
  <c r="DE762" i="48"/>
  <c r="DE954" i="48"/>
  <c r="DE906" i="48"/>
  <c r="DE474" i="48"/>
  <c r="DE282" i="48"/>
  <c r="DE882" i="48"/>
  <c r="DE426" i="48"/>
  <c r="DE1290" i="48"/>
  <c r="DE930" i="48"/>
  <c r="DE186" i="48"/>
  <c r="DE786" i="48"/>
  <c r="DE714" i="48"/>
  <c r="DE138" i="48"/>
  <c r="DE666" i="48"/>
  <c r="DC307" i="48"/>
  <c r="DB307" i="48"/>
  <c r="DD307" i="48"/>
  <c r="DD283" i="48"/>
  <c r="DC283" i="48"/>
  <c r="DB283" i="48"/>
  <c r="DD1171" i="48"/>
  <c r="DC1171" i="48"/>
  <c r="DB1171" i="48"/>
  <c r="DB235" i="48"/>
  <c r="DD235" i="48"/>
  <c r="DC235" i="48"/>
  <c r="DB1219" i="48"/>
  <c r="DD1219" i="48"/>
  <c r="DC1219" i="48"/>
  <c r="DB595" i="48"/>
  <c r="DD595" i="48"/>
  <c r="DC595" i="48"/>
  <c r="DE1002" i="48"/>
  <c r="DD1195" i="48"/>
  <c r="DC1195" i="48"/>
  <c r="DB1195" i="48"/>
  <c r="DD1315" i="48"/>
  <c r="DC1315" i="48"/>
  <c r="DB1315" i="48"/>
  <c r="DC763" i="48"/>
  <c r="DB763" i="48"/>
  <c r="DD763" i="48"/>
  <c r="DD811" i="48"/>
  <c r="DB811" i="48"/>
  <c r="DC811" i="48"/>
  <c r="DD1075" i="48"/>
  <c r="DC1075" i="48"/>
  <c r="DB1075" i="48"/>
  <c r="DC91" i="48"/>
  <c r="DB91" i="48"/>
  <c r="DD91" i="48"/>
  <c r="DD355" i="48"/>
  <c r="DC355" i="48"/>
  <c r="DB355" i="48"/>
  <c r="DD859" i="48"/>
  <c r="DC859" i="48"/>
  <c r="DB859" i="48"/>
  <c r="DE378" i="48"/>
  <c r="DE1170" i="48"/>
  <c r="DC667" i="48"/>
  <c r="DB667" i="48"/>
  <c r="DD667" i="48"/>
  <c r="DD547" i="48"/>
  <c r="DC547" i="48"/>
  <c r="DB547" i="48"/>
  <c r="DD643" i="48"/>
  <c r="DC643" i="48"/>
  <c r="DB643" i="48"/>
  <c r="DD931" i="48"/>
  <c r="DB931" i="48"/>
  <c r="DC931" i="48"/>
  <c r="DB163" i="48"/>
  <c r="DD163" i="48"/>
  <c r="DC163" i="48"/>
  <c r="DB907" i="48"/>
  <c r="DD907" i="48"/>
  <c r="DC907" i="48"/>
  <c r="DB331" i="48"/>
  <c r="DD331" i="48"/>
  <c r="DC331" i="48"/>
  <c r="DD979" i="48"/>
  <c r="DC979" i="48"/>
  <c r="DB979" i="48"/>
  <c r="DD1267" i="48"/>
  <c r="DC1267" i="48"/>
  <c r="DB1267" i="48"/>
  <c r="DD835" i="48"/>
  <c r="DC835" i="48"/>
  <c r="DB835" i="48"/>
  <c r="DB691" i="48"/>
  <c r="DD691" i="48"/>
  <c r="DC691" i="48"/>
  <c r="DD499" i="48"/>
  <c r="DB499" i="48"/>
  <c r="DC499" i="48"/>
  <c r="DC571" i="48"/>
  <c r="DB571" i="48"/>
  <c r="DD571" i="48"/>
  <c r="DE1194" i="48"/>
  <c r="DE1146" i="48"/>
  <c r="DE546" i="48"/>
  <c r="DE234" i="48"/>
  <c r="DE810" i="48"/>
  <c r="DE114" i="48"/>
  <c r="DE1266" i="48"/>
  <c r="DE258" i="48"/>
  <c r="DE1098" i="48"/>
  <c r="DE330" i="48"/>
  <c r="DE618" i="48"/>
  <c r="DE162" i="48"/>
  <c r="DB787" i="48"/>
  <c r="DD787" i="48"/>
  <c r="DC787" i="48"/>
  <c r="DC1051" i="48"/>
  <c r="DB1051" i="48"/>
  <c r="DD1051" i="48"/>
  <c r="DB1243" i="48"/>
  <c r="DD1243" i="48"/>
  <c r="DC1243" i="48"/>
  <c r="DD403" i="48"/>
  <c r="DB403" i="48"/>
  <c r="DC403" i="48"/>
  <c r="DD715" i="48"/>
  <c r="DC715" i="48"/>
  <c r="DB715" i="48"/>
  <c r="DD1123" i="48"/>
  <c r="DC1123" i="48"/>
  <c r="DB1123" i="48"/>
  <c r="DD115" i="48"/>
  <c r="DC115" i="48"/>
  <c r="DB115" i="48"/>
  <c r="DD739" i="48"/>
  <c r="DB739" i="48"/>
  <c r="DC739" i="48"/>
  <c r="DC883" i="48"/>
  <c r="DB883" i="48"/>
  <c r="DD883" i="48"/>
  <c r="DB523" i="48"/>
  <c r="DD523" i="48"/>
  <c r="DC523" i="48"/>
  <c r="DE306" i="48"/>
  <c r="DE690" i="48"/>
  <c r="DE210" i="48"/>
  <c r="DE858" i="48"/>
  <c r="DD259" i="48"/>
  <c r="DC259" i="48"/>
  <c r="DB259" i="48"/>
  <c r="DB1147" i="48"/>
  <c r="DD1147" i="48"/>
  <c r="DC1147" i="48"/>
  <c r="DB1291" i="48"/>
  <c r="DD1291" i="48"/>
  <c r="DC1291" i="48"/>
  <c r="DD211" i="48"/>
  <c r="DC211" i="48"/>
  <c r="DB211" i="48"/>
  <c r="DC1027" i="48"/>
  <c r="DB1027" i="48"/>
  <c r="DD1027" i="48"/>
  <c r="DD619" i="48"/>
  <c r="DC619" i="48"/>
  <c r="DB619" i="48"/>
  <c r="DD139" i="48"/>
  <c r="DC139" i="48"/>
  <c r="DB139" i="48"/>
  <c r="DC379" i="48"/>
  <c r="DB379" i="48"/>
  <c r="DD379" i="48"/>
  <c r="DC427" i="48"/>
  <c r="DB427" i="48"/>
  <c r="DD427" i="48"/>
  <c r="DD451" i="48"/>
  <c r="DC451" i="48"/>
  <c r="DB451" i="48"/>
  <c r="DB475" i="48"/>
  <c r="DD475" i="48"/>
  <c r="DC475" i="48"/>
  <c r="DB1099" i="48"/>
  <c r="DD1099" i="48"/>
  <c r="DC1099" i="48"/>
  <c r="DB955" i="48"/>
  <c r="DD955" i="48"/>
  <c r="DC955" i="48"/>
  <c r="DE1074" i="48"/>
  <c r="DE1050" i="48"/>
  <c r="DE1026" i="48"/>
  <c r="DE594" i="48"/>
  <c r="DE522" i="48"/>
  <c r="DE642" i="48"/>
  <c r="DE1218" i="48"/>
  <c r="DE738" i="48"/>
  <c r="DE402" i="48"/>
  <c r="DE1122" i="48"/>
  <c r="DC67" i="48"/>
  <c r="DB67" i="48"/>
  <c r="DD67" i="48"/>
  <c r="DE66" i="48"/>
  <c r="DE42" i="48"/>
  <c r="DD43" i="48"/>
  <c r="DB43" i="48"/>
  <c r="DK524" i="48"/>
  <c r="DK1052" i="48"/>
  <c r="DK860" i="48"/>
  <c r="DK812" i="48"/>
  <c r="DK260" i="48"/>
  <c r="DK980" i="48"/>
  <c r="DK572" i="48"/>
  <c r="DK596" i="48"/>
  <c r="DK1268" i="48"/>
  <c r="DK836" i="48"/>
  <c r="DK644" i="48"/>
  <c r="DK500" i="48"/>
  <c r="DK308" i="48"/>
  <c r="DK140" i="48"/>
  <c r="DK428" i="48"/>
  <c r="DE187" i="48" l="1"/>
  <c r="DC548" i="48"/>
  <c r="DB548" i="48"/>
  <c r="DD548" i="48"/>
  <c r="DE739" i="48"/>
  <c r="DE1315" i="48"/>
  <c r="DE331" i="48"/>
  <c r="DE1075" i="48"/>
  <c r="DE1051" i="48"/>
  <c r="DE667" i="48"/>
  <c r="DE499" i="48"/>
  <c r="DE859" i="48"/>
  <c r="DE307" i="48"/>
  <c r="DE955" i="48"/>
  <c r="DE1099" i="48"/>
  <c r="DE475" i="48"/>
  <c r="DE451" i="48"/>
  <c r="DE1027" i="48"/>
  <c r="DE1291" i="48"/>
  <c r="DE1147" i="48"/>
  <c r="DE115" i="48"/>
  <c r="DE835" i="48"/>
  <c r="DE595" i="48"/>
  <c r="DE1219" i="48"/>
  <c r="DE235" i="48"/>
  <c r="DE259" i="48"/>
  <c r="DE355" i="48"/>
  <c r="DE91" i="48"/>
  <c r="DE763" i="48"/>
  <c r="DE1123" i="48"/>
  <c r="DE907" i="48"/>
  <c r="DD140" i="48"/>
  <c r="DC140" i="48"/>
  <c r="DB140" i="48"/>
  <c r="DB308" i="48"/>
  <c r="DD308" i="48"/>
  <c r="DC308" i="48"/>
  <c r="DC1268" i="48"/>
  <c r="DB1268" i="48"/>
  <c r="DD1268" i="48"/>
  <c r="DB260" i="48"/>
  <c r="DD260" i="48"/>
  <c r="DC260" i="48"/>
  <c r="DB524" i="48"/>
  <c r="DD524" i="48"/>
  <c r="DC524" i="48"/>
  <c r="DE427" i="48"/>
  <c r="DE379" i="48"/>
  <c r="DC500" i="48"/>
  <c r="DB500" i="48"/>
  <c r="DD500" i="48"/>
  <c r="DD596" i="48"/>
  <c r="DC596" i="48"/>
  <c r="DB596" i="48"/>
  <c r="DC812" i="48"/>
  <c r="DD812" i="48"/>
  <c r="DB812" i="48"/>
  <c r="DE619" i="48"/>
  <c r="DE211" i="48"/>
  <c r="DE883" i="48"/>
  <c r="DE1243" i="48"/>
  <c r="DE787" i="48"/>
  <c r="DE571" i="48"/>
  <c r="DB428" i="48"/>
  <c r="DC428" i="48"/>
  <c r="DD428" i="48"/>
  <c r="DC644" i="48"/>
  <c r="DB644" i="48"/>
  <c r="DD644" i="48"/>
  <c r="DB572" i="48"/>
  <c r="DD572" i="48"/>
  <c r="DC572" i="48"/>
  <c r="DD860" i="48"/>
  <c r="DC860" i="48"/>
  <c r="DB860" i="48"/>
  <c r="DE139" i="48"/>
  <c r="DE523" i="48"/>
  <c r="DE715" i="48"/>
  <c r="DE403" i="48"/>
  <c r="DE691" i="48"/>
  <c r="DE163" i="48"/>
  <c r="DE931" i="48"/>
  <c r="DE643" i="48"/>
  <c r="DE547" i="48"/>
  <c r="DD836" i="48"/>
  <c r="DC836" i="48"/>
  <c r="DB836" i="48"/>
  <c r="DD980" i="48"/>
  <c r="DC980" i="48"/>
  <c r="DB980" i="48"/>
  <c r="DC1052" i="48"/>
  <c r="DB1052" i="48"/>
  <c r="DD1052" i="48"/>
  <c r="DE1267" i="48"/>
  <c r="DE979" i="48"/>
  <c r="DE811" i="48"/>
  <c r="DE1195" i="48"/>
  <c r="DE1171" i="48"/>
  <c r="DE283" i="48"/>
  <c r="DE67" i="48"/>
  <c r="DE43" i="48"/>
  <c r="DE548" i="48" l="1"/>
  <c r="DE572" i="48"/>
  <c r="DE812" i="48"/>
  <c r="DE500" i="48"/>
  <c r="DE308" i="48"/>
  <c r="DE140" i="48"/>
  <c r="DE980" i="48"/>
  <c r="DE644" i="48"/>
  <c r="DE1052" i="48"/>
  <c r="DE836" i="48"/>
  <c r="DE596" i="48"/>
  <c r="DE860" i="48"/>
  <c r="DE428" i="48"/>
  <c r="DE524" i="48"/>
  <c r="DE260" i="48"/>
  <c r="DE1268" i="48"/>
  <c r="BX1330" i="48" l="1"/>
  <c r="BW1330" i="48"/>
  <c r="BX1329" i="48"/>
  <c r="BW1329" i="48"/>
  <c r="BX1328" i="48"/>
  <c r="BW1328" i="48"/>
  <c r="BX1327" i="48"/>
  <c r="BW1327" i="48"/>
  <c r="BX1326" i="48"/>
  <c r="BW1326" i="48"/>
  <c r="BX1325" i="48"/>
  <c r="BW1325" i="48"/>
  <c r="BX1324" i="48"/>
  <c r="BW1324" i="48"/>
  <c r="BX1323" i="48"/>
  <c r="BW1323" i="48"/>
  <c r="BX1322" i="48"/>
  <c r="BW1322" i="48"/>
  <c r="BX1321" i="48"/>
  <c r="BW1321" i="48"/>
  <c r="BX1320" i="48"/>
  <c r="BW1320" i="48"/>
  <c r="BX1319" i="48"/>
  <c r="BW1319" i="48"/>
  <c r="BX1318" i="48"/>
  <c r="BW1318" i="48"/>
  <c r="BX1317" i="48"/>
  <c r="BW1317" i="48"/>
  <c r="BX1316" i="48"/>
  <c r="BW1316" i="48"/>
  <c r="BX1315" i="48"/>
  <c r="BW1315" i="48"/>
  <c r="BX1314" i="48"/>
  <c r="BW1314" i="48"/>
  <c r="BX1313" i="48"/>
  <c r="BW1313" i="48"/>
  <c r="BX1312" i="48"/>
  <c r="BW1312" i="48"/>
  <c r="BX1311" i="48"/>
  <c r="BW1311" i="48"/>
  <c r="BX1310" i="48"/>
  <c r="BW1310" i="48"/>
  <c r="BX1309" i="48"/>
  <c r="BW1309" i="48"/>
  <c r="BX1308" i="48"/>
  <c r="BW1308" i="48"/>
  <c r="BX1306" i="48"/>
  <c r="BW1306" i="48"/>
  <c r="BX1305" i="48"/>
  <c r="BW1305" i="48"/>
  <c r="BX1304" i="48"/>
  <c r="BW1304" i="48"/>
  <c r="BX1303" i="48"/>
  <c r="BW1303" i="48"/>
  <c r="BX1302" i="48"/>
  <c r="BW1302" i="48"/>
  <c r="BX1301" i="48"/>
  <c r="BW1301" i="48"/>
  <c r="BX1300" i="48"/>
  <c r="BW1300" i="48"/>
  <c r="BX1299" i="48"/>
  <c r="BW1299" i="48"/>
  <c r="BX1298" i="48"/>
  <c r="BW1298" i="48"/>
  <c r="BX1297" i="48"/>
  <c r="BW1297" i="48"/>
  <c r="BX1296" i="48"/>
  <c r="BW1296" i="48"/>
  <c r="BX1295" i="48"/>
  <c r="BW1295" i="48"/>
  <c r="BX1294" i="48"/>
  <c r="BW1294" i="48"/>
  <c r="BX1293" i="48"/>
  <c r="BW1293" i="48"/>
  <c r="BX1292" i="48"/>
  <c r="BW1292" i="48"/>
  <c r="BX1291" i="48"/>
  <c r="BW1291" i="48"/>
  <c r="BX1290" i="48"/>
  <c r="BW1290" i="48"/>
  <c r="BX1289" i="48"/>
  <c r="BW1289" i="48"/>
  <c r="BX1288" i="48"/>
  <c r="BW1288" i="48"/>
  <c r="BX1287" i="48"/>
  <c r="BW1287" i="48"/>
  <c r="BX1286" i="48"/>
  <c r="BW1286" i="48"/>
  <c r="BX1285" i="48"/>
  <c r="BW1285" i="48"/>
  <c r="BX1284" i="48"/>
  <c r="BW1284" i="48"/>
  <c r="BX1282" i="48"/>
  <c r="BW1282" i="48"/>
  <c r="BX1281" i="48"/>
  <c r="BW1281" i="48"/>
  <c r="BX1280" i="48"/>
  <c r="BW1280" i="48"/>
  <c r="BX1279" i="48"/>
  <c r="BW1279" i="48"/>
  <c r="BX1278" i="48"/>
  <c r="BW1278" i="48"/>
  <c r="BX1277" i="48"/>
  <c r="BW1277" i="48"/>
  <c r="BX1276" i="48"/>
  <c r="BW1276" i="48"/>
  <c r="BX1275" i="48"/>
  <c r="BW1275" i="48"/>
  <c r="BX1274" i="48"/>
  <c r="BW1274" i="48"/>
  <c r="BX1273" i="48"/>
  <c r="BW1273" i="48"/>
  <c r="BX1272" i="48"/>
  <c r="BW1272" i="48"/>
  <c r="BX1271" i="48"/>
  <c r="BW1271" i="48"/>
  <c r="BX1270" i="48"/>
  <c r="BW1270" i="48"/>
  <c r="BX1269" i="48"/>
  <c r="BW1269" i="48"/>
  <c r="BX1268" i="48"/>
  <c r="BW1268" i="48"/>
  <c r="BX1267" i="48"/>
  <c r="BW1267" i="48"/>
  <c r="BX1266" i="48"/>
  <c r="BW1266" i="48"/>
  <c r="BX1265" i="48"/>
  <c r="BW1265" i="48"/>
  <c r="BX1264" i="48"/>
  <c r="BW1264" i="48"/>
  <c r="BX1263" i="48"/>
  <c r="BW1263" i="48"/>
  <c r="BX1262" i="48"/>
  <c r="BW1262" i="48"/>
  <c r="BX1261" i="48"/>
  <c r="BW1261" i="48"/>
  <c r="BX1260" i="48"/>
  <c r="BW1260" i="48"/>
  <c r="BX1258" i="48"/>
  <c r="BW1258" i="48"/>
  <c r="BX1257" i="48"/>
  <c r="BW1257" i="48"/>
  <c r="BX1256" i="48"/>
  <c r="BW1256" i="48"/>
  <c r="BX1255" i="48"/>
  <c r="BW1255" i="48"/>
  <c r="BX1254" i="48"/>
  <c r="BW1254" i="48"/>
  <c r="BX1253" i="48"/>
  <c r="BW1253" i="48"/>
  <c r="BX1252" i="48"/>
  <c r="BW1252" i="48"/>
  <c r="BX1251" i="48"/>
  <c r="BW1251" i="48"/>
  <c r="BX1250" i="48"/>
  <c r="BW1250" i="48"/>
  <c r="BX1249" i="48"/>
  <c r="BW1249" i="48"/>
  <c r="BX1248" i="48"/>
  <c r="BW1248" i="48"/>
  <c r="BX1247" i="48"/>
  <c r="BW1247" i="48"/>
  <c r="BX1246" i="48"/>
  <c r="BW1246" i="48"/>
  <c r="BX1245" i="48"/>
  <c r="BW1245" i="48"/>
  <c r="BX1244" i="48"/>
  <c r="BW1244" i="48"/>
  <c r="BX1243" i="48"/>
  <c r="BW1243" i="48"/>
  <c r="BX1242" i="48"/>
  <c r="BW1242" i="48"/>
  <c r="BX1241" i="48"/>
  <c r="BW1241" i="48"/>
  <c r="BX1240" i="48"/>
  <c r="BW1240" i="48"/>
  <c r="BX1239" i="48"/>
  <c r="BW1239" i="48"/>
  <c r="BX1238" i="48"/>
  <c r="BW1238" i="48"/>
  <c r="BX1237" i="48"/>
  <c r="BW1237" i="48"/>
  <c r="BX1236" i="48"/>
  <c r="BW1236" i="48"/>
  <c r="BX1234" i="48"/>
  <c r="BW1234" i="48"/>
  <c r="BX1233" i="48"/>
  <c r="BW1233" i="48"/>
  <c r="BX1232" i="48"/>
  <c r="BW1232" i="48"/>
  <c r="BX1231" i="48"/>
  <c r="BW1231" i="48"/>
  <c r="BX1230" i="48"/>
  <c r="BW1230" i="48"/>
  <c r="BX1229" i="48"/>
  <c r="BW1229" i="48"/>
  <c r="BX1228" i="48"/>
  <c r="BW1228" i="48"/>
  <c r="BX1227" i="48"/>
  <c r="BW1227" i="48"/>
  <c r="BX1226" i="48"/>
  <c r="BW1226" i="48"/>
  <c r="BX1225" i="48"/>
  <c r="BW1225" i="48"/>
  <c r="BX1224" i="48"/>
  <c r="BW1224" i="48"/>
  <c r="BX1223" i="48"/>
  <c r="BW1223" i="48"/>
  <c r="BX1222" i="48"/>
  <c r="BW1222" i="48"/>
  <c r="BX1221" i="48"/>
  <c r="BW1221" i="48"/>
  <c r="BX1220" i="48"/>
  <c r="BW1220" i="48"/>
  <c r="BX1219" i="48"/>
  <c r="BW1219" i="48"/>
  <c r="BX1218" i="48"/>
  <c r="BW1218" i="48"/>
  <c r="BX1217" i="48"/>
  <c r="BW1217" i="48"/>
  <c r="BX1216" i="48"/>
  <c r="BW1216" i="48"/>
  <c r="BX1215" i="48"/>
  <c r="BW1215" i="48"/>
  <c r="BX1214" i="48"/>
  <c r="BW1214" i="48"/>
  <c r="BX1213" i="48"/>
  <c r="BW1213" i="48"/>
  <c r="BX1212" i="48"/>
  <c r="BW1212" i="48"/>
  <c r="BX1210" i="48"/>
  <c r="BW1210" i="48"/>
  <c r="BX1209" i="48"/>
  <c r="BW1209" i="48"/>
  <c r="BX1208" i="48"/>
  <c r="BW1208" i="48"/>
  <c r="BX1207" i="48"/>
  <c r="BW1207" i="48"/>
  <c r="BX1206" i="48"/>
  <c r="BW1206" i="48"/>
  <c r="BX1205" i="48"/>
  <c r="BW1205" i="48"/>
  <c r="BX1204" i="48"/>
  <c r="BW1204" i="48"/>
  <c r="BX1203" i="48"/>
  <c r="BW1203" i="48"/>
  <c r="BX1202" i="48"/>
  <c r="BW1202" i="48"/>
  <c r="BX1201" i="48"/>
  <c r="BW1201" i="48"/>
  <c r="BX1200" i="48"/>
  <c r="BW1200" i="48"/>
  <c r="BX1199" i="48"/>
  <c r="BW1199" i="48"/>
  <c r="BX1198" i="48"/>
  <c r="BW1198" i="48"/>
  <c r="BX1197" i="48"/>
  <c r="BW1197" i="48"/>
  <c r="BX1196" i="48"/>
  <c r="BW1196" i="48"/>
  <c r="BX1195" i="48"/>
  <c r="BW1195" i="48"/>
  <c r="BX1194" i="48"/>
  <c r="BW1194" i="48"/>
  <c r="BX1193" i="48"/>
  <c r="BW1193" i="48"/>
  <c r="BX1192" i="48"/>
  <c r="BW1192" i="48"/>
  <c r="BX1191" i="48"/>
  <c r="BW1191" i="48"/>
  <c r="BX1190" i="48"/>
  <c r="BW1190" i="48"/>
  <c r="BX1189" i="48"/>
  <c r="BW1189" i="48"/>
  <c r="BX1188" i="48"/>
  <c r="BW1188" i="48"/>
  <c r="BX1186" i="48"/>
  <c r="BW1186" i="48"/>
  <c r="BX1185" i="48"/>
  <c r="BW1185" i="48"/>
  <c r="BX1184" i="48"/>
  <c r="BW1184" i="48"/>
  <c r="BX1183" i="48"/>
  <c r="BW1183" i="48"/>
  <c r="BX1182" i="48"/>
  <c r="BW1182" i="48"/>
  <c r="BX1181" i="48"/>
  <c r="BW1181" i="48"/>
  <c r="BX1180" i="48"/>
  <c r="BW1180" i="48"/>
  <c r="BX1179" i="48"/>
  <c r="BW1179" i="48"/>
  <c r="BX1178" i="48"/>
  <c r="BW1178" i="48"/>
  <c r="BX1177" i="48"/>
  <c r="BW1177" i="48"/>
  <c r="BX1176" i="48"/>
  <c r="BW1176" i="48"/>
  <c r="BX1175" i="48"/>
  <c r="BW1175" i="48"/>
  <c r="BX1174" i="48"/>
  <c r="BW1174" i="48"/>
  <c r="BX1173" i="48"/>
  <c r="BW1173" i="48"/>
  <c r="BX1172" i="48"/>
  <c r="BW1172" i="48"/>
  <c r="BX1171" i="48"/>
  <c r="BW1171" i="48"/>
  <c r="BX1170" i="48"/>
  <c r="BW1170" i="48"/>
  <c r="BX1169" i="48"/>
  <c r="BW1169" i="48"/>
  <c r="BX1168" i="48"/>
  <c r="BW1168" i="48"/>
  <c r="BX1167" i="48"/>
  <c r="BW1167" i="48"/>
  <c r="BX1166" i="48"/>
  <c r="BW1166" i="48"/>
  <c r="BX1165" i="48"/>
  <c r="BW1165" i="48"/>
  <c r="BX1164" i="48"/>
  <c r="BW1164" i="48"/>
  <c r="BX1162" i="48"/>
  <c r="BW1162" i="48"/>
  <c r="BX1161" i="48"/>
  <c r="BW1161" i="48"/>
  <c r="BX1160" i="48"/>
  <c r="BW1160" i="48"/>
  <c r="BX1159" i="48"/>
  <c r="BW1159" i="48"/>
  <c r="BX1158" i="48"/>
  <c r="BW1158" i="48"/>
  <c r="BX1157" i="48"/>
  <c r="BW1157" i="48"/>
  <c r="BX1156" i="48"/>
  <c r="BW1156" i="48"/>
  <c r="BX1155" i="48"/>
  <c r="BW1155" i="48"/>
  <c r="BX1154" i="48"/>
  <c r="BW1154" i="48"/>
  <c r="BX1153" i="48"/>
  <c r="BW1153" i="48"/>
  <c r="BX1152" i="48"/>
  <c r="BW1152" i="48"/>
  <c r="BX1151" i="48"/>
  <c r="BW1151" i="48"/>
  <c r="BX1150" i="48"/>
  <c r="BW1150" i="48"/>
  <c r="BX1149" i="48"/>
  <c r="BW1149" i="48"/>
  <c r="BX1148" i="48"/>
  <c r="BW1148" i="48"/>
  <c r="BX1147" i="48"/>
  <c r="BW1147" i="48"/>
  <c r="BX1146" i="48"/>
  <c r="BW1146" i="48"/>
  <c r="BX1145" i="48"/>
  <c r="BW1145" i="48"/>
  <c r="BX1144" i="48"/>
  <c r="BW1144" i="48"/>
  <c r="BX1143" i="48"/>
  <c r="BW1143" i="48"/>
  <c r="BX1142" i="48"/>
  <c r="BW1142" i="48"/>
  <c r="BX1141" i="48"/>
  <c r="BW1141" i="48"/>
  <c r="BX1140" i="48"/>
  <c r="BW1140" i="48"/>
  <c r="BX1138" i="48"/>
  <c r="BW1138" i="48"/>
  <c r="BX1137" i="48"/>
  <c r="BW1137" i="48"/>
  <c r="BX1136" i="48"/>
  <c r="BW1136" i="48"/>
  <c r="BX1135" i="48"/>
  <c r="BW1135" i="48"/>
  <c r="BX1134" i="48"/>
  <c r="BW1134" i="48"/>
  <c r="BX1133" i="48"/>
  <c r="BW1133" i="48"/>
  <c r="BX1132" i="48"/>
  <c r="BW1132" i="48"/>
  <c r="BX1131" i="48"/>
  <c r="BW1131" i="48"/>
  <c r="BX1130" i="48"/>
  <c r="BW1130" i="48"/>
  <c r="BX1129" i="48"/>
  <c r="BW1129" i="48"/>
  <c r="BX1128" i="48"/>
  <c r="BW1128" i="48"/>
  <c r="BX1127" i="48"/>
  <c r="BW1127" i="48"/>
  <c r="BX1126" i="48"/>
  <c r="BW1126" i="48"/>
  <c r="BX1125" i="48"/>
  <c r="BW1125" i="48"/>
  <c r="BX1124" i="48"/>
  <c r="BW1124" i="48"/>
  <c r="BX1123" i="48"/>
  <c r="BW1123" i="48"/>
  <c r="BX1122" i="48"/>
  <c r="BW1122" i="48"/>
  <c r="BX1121" i="48"/>
  <c r="BW1121" i="48"/>
  <c r="BX1120" i="48"/>
  <c r="BW1120" i="48"/>
  <c r="BX1119" i="48"/>
  <c r="BW1119" i="48"/>
  <c r="BX1118" i="48"/>
  <c r="BW1118" i="48"/>
  <c r="BX1117" i="48"/>
  <c r="BW1117" i="48"/>
  <c r="BX1116" i="48"/>
  <c r="BW1116" i="48"/>
  <c r="BX1114" i="48"/>
  <c r="BW1114" i="48"/>
  <c r="BX1113" i="48"/>
  <c r="BW1113" i="48"/>
  <c r="BX1112" i="48"/>
  <c r="BW1112" i="48"/>
  <c r="BX1111" i="48"/>
  <c r="BW1111" i="48"/>
  <c r="BX1110" i="48"/>
  <c r="BW1110" i="48"/>
  <c r="BX1109" i="48"/>
  <c r="BW1109" i="48"/>
  <c r="BX1108" i="48"/>
  <c r="BW1108" i="48"/>
  <c r="BX1107" i="48"/>
  <c r="BW1107" i="48"/>
  <c r="BX1106" i="48"/>
  <c r="BW1106" i="48"/>
  <c r="BX1105" i="48"/>
  <c r="BW1105" i="48"/>
  <c r="BX1104" i="48"/>
  <c r="BW1104" i="48"/>
  <c r="BX1103" i="48"/>
  <c r="BW1103" i="48"/>
  <c r="BX1102" i="48"/>
  <c r="BW1102" i="48"/>
  <c r="BX1101" i="48"/>
  <c r="BW1101" i="48"/>
  <c r="BX1100" i="48"/>
  <c r="BW1100" i="48"/>
  <c r="BX1099" i="48"/>
  <c r="BW1099" i="48"/>
  <c r="BX1098" i="48"/>
  <c r="BW1098" i="48"/>
  <c r="BX1097" i="48"/>
  <c r="BW1097" i="48"/>
  <c r="BX1096" i="48"/>
  <c r="BW1096" i="48"/>
  <c r="BX1095" i="48"/>
  <c r="BW1095" i="48"/>
  <c r="BX1094" i="48"/>
  <c r="BW1094" i="48"/>
  <c r="BX1093" i="48"/>
  <c r="BW1093" i="48"/>
  <c r="BX1092" i="48"/>
  <c r="BW1092" i="48"/>
  <c r="BX1090" i="48"/>
  <c r="BW1090" i="48"/>
  <c r="BX1089" i="48"/>
  <c r="BW1089" i="48"/>
  <c r="BX1088" i="48"/>
  <c r="BW1088" i="48"/>
  <c r="BX1087" i="48"/>
  <c r="BW1087" i="48"/>
  <c r="BX1086" i="48"/>
  <c r="BW1086" i="48"/>
  <c r="BX1085" i="48"/>
  <c r="BW1085" i="48"/>
  <c r="BX1084" i="48"/>
  <c r="BW1084" i="48"/>
  <c r="BX1083" i="48"/>
  <c r="BW1083" i="48"/>
  <c r="BX1082" i="48"/>
  <c r="BW1082" i="48"/>
  <c r="BX1081" i="48"/>
  <c r="BW1081" i="48"/>
  <c r="BX1080" i="48"/>
  <c r="BW1080" i="48"/>
  <c r="BX1079" i="48"/>
  <c r="BW1079" i="48"/>
  <c r="BX1078" i="48"/>
  <c r="BW1078" i="48"/>
  <c r="BX1077" i="48"/>
  <c r="BW1077" i="48"/>
  <c r="BX1076" i="48"/>
  <c r="BW1076" i="48"/>
  <c r="BX1075" i="48"/>
  <c r="BW1075" i="48"/>
  <c r="BX1074" i="48"/>
  <c r="BW1074" i="48"/>
  <c r="BX1073" i="48"/>
  <c r="BW1073" i="48"/>
  <c r="BX1072" i="48"/>
  <c r="BW1072" i="48"/>
  <c r="BX1071" i="48"/>
  <c r="BW1071" i="48"/>
  <c r="BX1070" i="48"/>
  <c r="BW1070" i="48"/>
  <c r="BX1069" i="48"/>
  <c r="BW1069" i="48"/>
  <c r="BX1068" i="48"/>
  <c r="BW1068" i="48"/>
  <c r="BX1066" i="48"/>
  <c r="BW1066" i="48"/>
  <c r="BX1065" i="48"/>
  <c r="BW1065" i="48"/>
  <c r="BX1064" i="48"/>
  <c r="BW1064" i="48"/>
  <c r="BX1063" i="48"/>
  <c r="BW1063" i="48"/>
  <c r="BX1062" i="48"/>
  <c r="BW1062" i="48"/>
  <c r="BX1061" i="48"/>
  <c r="BW1061" i="48"/>
  <c r="BX1060" i="48"/>
  <c r="BW1060" i="48"/>
  <c r="BX1059" i="48"/>
  <c r="BW1059" i="48"/>
  <c r="BX1058" i="48"/>
  <c r="BW1058" i="48"/>
  <c r="BX1057" i="48"/>
  <c r="BW1057" i="48"/>
  <c r="BX1056" i="48"/>
  <c r="BW1056" i="48"/>
  <c r="BX1055" i="48"/>
  <c r="BW1055" i="48"/>
  <c r="BX1054" i="48"/>
  <c r="BW1054" i="48"/>
  <c r="BX1053" i="48"/>
  <c r="BW1053" i="48"/>
  <c r="BX1052" i="48"/>
  <c r="BW1052" i="48"/>
  <c r="BX1051" i="48"/>
  <c r="BW1051" i="48"/>
  <c r="BX1050" i="48"/>
  <c r="BW1050" i="48"/>
  <c r="BX1049" i="48"/>
  <c r="BW1049" i="48"/>
  <c r="BX1048" i="48"/>
  <c r="BW1048" i="48"/>
  <c r="BX1047" i="48"/>
  <c r="BW1047" i="48"/>
  <c r="BX1046" i="48"/>
  <c r="BW1046" i="48"/>
  <c r="BX1045" i="48"/>
  <c r="BW1045" i="48"/>
  <c r="BX1044" i="48"/>
  <c r="BW1044" i="48"/>
  <c r="BX1042" i="48"/>
  <c r="BW1042" i="48"/>
  <c r="BX1041" i="48"/>
  <c r="BW1041" i="48"/>
  <c r="BX1040" i="48"/>
  <c r="BW1040" i="48"/>
  <c r="BX1039" i="48"/>
  <c r="BW1039" i="48"/>
  <c r="BX1038" i="48"/>
  <c r="BW1038" i="48"/>
  <c r="BX1037" i="48"/>
  <c r="BW1037" i="48"/>
  <c r="BX1036" i="48"/>
  <c r="BW1036" i="48"/>
  <c r="BX1035" i="48"/>
  <c r="BW1035" i="48"/>
  <c r="BX1034" i="48"/>
  <c r="BW1034" i="48"/>
  <c r="BX1033" i="48"/>
  <c r="BW1033" i="48"/>
  <c r="BX1032" i="48"/>
  <c r="BW1032" i="48"/>
  <c r="BX1031" i="48"/>
  <c r="BW1031" i="48"/>
  <c r="BX1030" i="48"/>
  <c r="BW1030" i="48"/>
  <c r="BX1029" i="48"/>
  <c r="BW1029" i="48"/>
  <c r="BX1028" i="48"/>
  <c r="BW1028" i="48"/>
  <c r="BX1027" i="48"/>
  <c r="BW1027" i="48"/>
  <c r="BX1026" i="48"/>
  <c r="BW1026" i="48"/>
  <c r="BX1025" i="48"/>
  <c r="BW1025" i="48"/>
  <c r="BX1024" i="48"/>
  <c r="BW1024" i="48"/>
  <c r="BX1023" i="48"/>
  <c r="BW1023" i="48"/>
  <c r="BX1022" i="48"/>
  <c r="BW1022" i="48"/>
  <c r="BX1021" i="48"/>
  <c r="BW1021" i="48"/>
  <c r="BX1020" i="48"/>
  <c r="BW1020" i="48"/>
  <c r="BX1018" i="48"/>
  <c r="BW1018" i="48"/>
  <c r="BX1017" i="48"/>
  <c r="BW1017" i="48"/>
  <c r="BX1016" i="48"/>
  <c r="BW1016" i="48"/>
  <c r="BX1015" i="48"/>
  <c r="BW1015" i="48"/>
  <c r="BX1014" i="48"/>
  <c r="BW1014" i="48"/>
  <c r="BX1013" i="48"/>
  <c r="BW1013" i="48"/>
  <c r="BX1012" i="48"/>
  <c r="BW1012" i="48"/>
  <c r="BX1011" i="48"/>
  <c r="BW1011" i="48"/>
  <c r="BX1010" i="48"/>
  <c r="BW1010" i="48"/>
  <c r="BX1009" i="48"/>
  <c r="BW1009" i="48"/>
  <c r="BX1008" i="48"/>
  <c r="BW1008" i="48"/>
  <c r="BX1007" i="48"/>
  <c r="BW1007" i="48"/>
  <c r="BX1006" i="48"/>
  <c r="BW1006" i="48"/>
  <c r="BX1005" i="48"/>
  <c r="BW1005" i="48"/>
  <c r="BX1004" i="48"/>
  <c r="BW1004" i="48"/>
  <c r="BX1003" i="48"/>
  <c r="BW1003" i="48"/>
  <c r="BX1002" i="48"/>
  <c r="BW1002" i="48"/>
  <c r="BX1001" i="48"/>
  <c r="BW1001" i="48"/>
  <c r="BX1000" i="48"/>
  <c r="BW1000" i="48"/>
  <c r="BX999" i="48"/>
  <c r="BW999" i="48"/>
  <c r="BX998" i="48"/>
  <c r="BW998" i="48"/>
  <c r="BX997" i="48"/>
  <c r="BW997" i="48"/>
  <c r="BX996" i="48"/>
  <c r="BW996" i="48"/>
  <c r="BX994" i="48"/>
  <c r="BW994" i="48"/>
  <c r="BX993" i="48"/>
  <c r="BW993" i="48"/>
  <c r="BX992" i="48"/>
  <c r="BW992" i="48"/>
  <c r="BX991" i="48"/>
  <c r="BW991" i="48"/>
  <c r="BX990" i="48"/>
  <c r="BW990" i="48"/>
  <c r="BX989" i="48"/>
  <c r="BW989" i="48"/>
  <c r="BX988" i="48"/>
  <c r="BW988" i="48"/>
  <c r="BX987" i="48"/>
  <c r="BW987" i="48"/>
  <c r="BX986" i="48"/>
  <c r="BW986" i="48"/>
  <c r="BX985" i="48"/>
  <c r="BW985" i="48"/>
  <c r="BX984" i="48"/>
  <c r="BW984" i="48"/>
  <c r="BX983" i="48"/>
  <c r="BW983" i="48"/>
  <c r="BX982" i="48"/>
  <c r="BW982" i="48"/>
  <c r="BX981" i="48"/>
  <c r="BW981" i="48"/>
  <c r="BX980" i="48"/>
  <c r="BW980" i="48"/>
  <c r="BX979" i="48"/>
  <c r="BW979" i="48"/>
  <c r="BX978" i="48"/>
  <c r="BW978" i="48"/>
  <c r="BX977" i="48"/>
  <c r="BW977" i="48"/>
  <c r="BX976" i="48"/>
  <c r="BW976" i="48"/>
  <c r="BX975" i="48"/>
  <c r="BW975" i="48"/>
  <c r="BX974" i="48"/>
  <c r="BW974" i="48"/>
  <c r="BX973" i="48"/>
  <c r="BW973" i="48"/>
  <c r="BX972" i="48"/>
  <c r="BW972" i="48"/>
  <c r="BX970" i="48"/>
  <c r="BW970" i="48"/>
  <c r="BX969" i="48"/>
  <c r="BW969" i="48"/>
  <c r="BX968" i="48"/>
  <c r="BW968" i="48"/>
  <c r="BX967" i="48"/>
  <c r="BW967" i="48"/>
  <c r="BX966" i="48"/>
  <c r="BW966" i="48"/>
  <c r="BX965" i="48"/>
  <c r="BW965" i="48"/>
  <c r="BX964" i="48"/>
  <c r="BW964" i="48"/>
  <c r="BX963" i="48"/>
  <c r="BW963" i="48"/>
  <c r="BX962" i="48"/>
  <c r="BW962" i="48"/>
  <c r="BX961" i="48"/>
  <c r="BW961" i="48"/>
  <c r="BX960" i="48"/>
  <c r="BW960" i="48"/>
  <c r="BX959" i="48"/>
  <c r="BW959" i="48"/>
  <c r="BX958" i="48"/>
  <c r="BW958" i="48"/>
  <c r="BX957" i="48"/>
  <c r="BW957" i="48"/>
  <c r="BX956" i="48"/>
  <c r="BW956" i="48"/>
  <c r="BX955" i="48"/>
  <c r="BW955" i="48"/>
  <c r="BX954" i="48"/>
  <c r="BW954" i="48"/>
  <c r="BX953" i="48"/>
  <c r="BW953" i="48"/>
  <c r="BX952" i="48"/>
  <c r="BW952" i="48"/>
  <c r="BX951" i="48"/>
  <c r="BW951" i="48"/>
  <c r="BX950" i="48"/>
  <c r="BW950" i="48"/>
  <c r="BX949" i="48"/>
  <c r="BW949" i="48"/>
  <c r="BX948" i="48"/>
  <c r="BW948" i="48"/>
  <c r="BX946" i="48"/>
  <c r="BW946" i="48"/>
  <c r="BX945" i="48"/>
  <c r="BW945" i="48"/>
  <c r="BX944" i="48"/>
  <c r="BW944" i="48"/>
  <c r="BX943" i="48"/>
  <c r="BW943" i="48"/>
  <c r="BX942" i="48"/>
  <c r="BW942" i="48"/>
  <c r="BX941" i="48"/>
  <c r="BW941" i="48"/>
  <c r="BX940" i="48"/>
  <c r="BW940" i="48"/>
  <c r="BX939" i="48"/>
  <c r="BW939" i="48"/>
  <c r="BX938" i="48"/>
  <c r="BW938" i="48"/>
  <c r="BX937" i="48"/>
  <c r="BW937" i="48"/>
  <c r="BX936" i="48"/>
  <c r="BW936" i="48"/>
  <c r="BX935" i="48"/>
  <c r="BW935" i="48"/>
  <c r="BX934" i="48"/>
  <c r="BW934" i="48"/>
  <c r="BX933" i="48"/>
  <c r="BW933" i="48"/>
  <c r="BX932" i="48"/>
  <c r="BW932" i="48"/>
  <c r="BX931" i="48"/>
  <c r="BW931" i="48"/>
  <c r="BX930" i="48"/>
  <c r="BW930" i="48"/>
  <c r="BX929" i="48"/>
  <c r="BW929" i="48"/>
  <c r="BX928" i="48"/>
  <c r="BW928" i="48"/>
  <c r="BX927" i="48"/>
  <c r="BW927" i="48"/>
  <c r="BX926" i="48"/>
  <c r="BW926" i="48"/>
  <c r="BX925" i="48"/>
  <c r="BW925" i="48"/>
  <c r="BX924" i="48"/>
  <c r="BW924" i="48"/>
  <c r="BX922" i="48"/>
  <c r="BW922" i="48"/>
  <c r="BX921" i="48"/>
  <c r="BW921" i="48"/>
  <c r="BX920" i="48"/>
  <c r="BW920" i="48"/>
  <c r="BX919" i="48"/>
  <c r="BW919" i="48"/>
  <c r="BX918" i="48"/>
  <c r="BW918" i="48"/>
  <c r="BX917" i="48"/>
  <c r="BW917" i="48"/>
  <c r="BX916" i="48"/>
  <c r="BW916" i="48"/>
  <c r="BX915" i="48"/>
  <c r="BW915" i="48"/>
  <c r="BX914" i="48"/>
  <c r="BW914" i="48"/>
  <c r="BX913" i="48"/>
  <c r="BW913" i="48"/>
  <c r="BX912" i="48"/>
  <c r="BW912" i="48"/>
  <c r="BX911" i="48"/>
  <c r="BW911" i="48"/>
  <c r="BX910" i="48"/>
  <c r="BW910" i="48"/>
  <c r="BX909" i="48"/>
  <c r="BW909" i="48"/>
  <c r="BX908" i="48"/>
  <c r="BW908" i="48"/>
  <c r="BX907" i="48"/>
  <c r="BW907" i="48"/>
  <c r="BX906" i="48"/>
  <c r="BW906" i="48"/>
  <c r="BX905" i="48"/>
  <c r="BW905" i="48"/>
  <c r="BX904" i="48"/>
  <c r="BW904" i="48"/>
  <c r="BX903" i="48"/>
  <c r="BW903" i="48"/>
  <c r="BX902" i="48"/>
  <c r="BW902" i="48"/>
  <c r="BX901" i="48"/>
  <c r="BW901" i="48"/>
  <c r="BX900" i="48"/>
  <c r="BW900" i="48"/>
  <c r="BX898" i="48"/>
  <c r="BW898" i="48"/>
  <c r="BX897" i="48"/>
  <c r="BW897" i="48"/>
  <c r="BX896" i="48"/>
  <c r="BW896" i="48"/>
  <c r="BX895" i="48"/>
  <c r="BW895" i="48"/>
  <c r="BX894" i="48"/>
  <c r="BW894" i="48"/>
  <c r="BX893" i="48"/>
  <c r="BW893" i="48"/>
  <c r="BX892" i="48"/>
  <c r="BW892" i="48"/>
  <c r="BX891" i="48"/>
  <c r="BW891" i="48"/>
  <c r="BX890" i="48"/>
  <c r="BW890" i="48"/>
  <c r="BX889" i="48"/>
  <c r="BW889" i="48"/>
  <c r="BX888" i="48"/>
  <c r="BW888" i="48"/>
  <c r="BX887" i="48"/>
  <c r="BW887" i="48"/>
  <c r="BX886" i="48"/>
  <c r="BW886" i="48"/>
  <c r="BX885" i="48"/>
  <c r="BW885" i="48"/>
  <c r="BX884" i="48"/>
  <c r="BW884" i="48"/>
  <c r="BX883" i="48"/>
  <c r="BW883" i="48"/>
  <c r="BX882" i="48"/>
  <c r="BW882" i="48"/>
  <c r="BX881" i="48"/>
  <c r="BW881" i="48"/>
  <c r="BX880" i="48"/>
  <c r="BW880" i="48"/>
  <c r="BX879" i="48"/>
  <c r="BW879" i="48"/>
  <c r="BX878" i="48"/>
  <c r="BW878" i="48"/>
  <c r="BX877" i="48"/>
  <c r="BW877" i="48"/>
  <c r="BX876" i="48"/>
  <c r="BW876" i="48"/>
  <c r="BX874" i="48"/>
  <c r="BW874" i="48"/>
  <c r="BX873" i="48"/>
  <c r="BW873" i="48"/>
  <c r="BX872" i="48"/>
  <c r="BW872" i="48"/>
  <c r="BX871" i="48"/>
  <c r="BW871" i="48"/>
  <c r="BX870" i="48"/>
  <c r="BW870" i="48"/>
  <c r="BX869" i="48"/>
  <c r="BW869" i="48"/>
  <c r="BX868" i="48"/>
  <c r="BW868" i="48"/>
  <c r="BX867" i="48"/>
  <c r="BW867" i="48"/>
  <c r="BX866" i="48"/>
  <c r="BW866" i="48"/>
  <c r="BX865" i="48"/>
  <c r="BW865" i="48"/>
  <c r="BX864" i="48"/>
  <c r="BW864" i="48"/>
  <c r="BX863" i="48"/>
  <c r="BW863" i="48"/>
  <c r="BX862" i="48"/>
  <c r="BW862" i="48"/>
  <c r="BX861" i="48"/>
  <c r="BW861" i="48"/>
  <c r="BX860" i="48"/>
  <c r="BW860" i="48"/>
  <c r="BX859" i="48"/>
  <c r="BW859" i="48"/>
  <c r="BX858" i="48"/>
  <c r="BW858" i="48"/>
  <c r="BX857" i="48"/>
  <c r="BW857" i="48"/>
  <c r="BX856" i="48"/>
  <c r="BW856" i="48"/>
  <c r="BX855" i="48"/>
  <c r="BW855" i="48"/>
  <c r="BX854" i="48"/>
  <c r="BW854" i="48"/>
  <c r="BX853" i="48"/>
  <c r="BW853" i="48"/>
  <c r="BX852" i="48"/>
  <c r="BW852" i="48"/>
  <c r="BX850" i="48"/>
  <c r="BW850" i="48"/>
  <c r="BX849" i="48"/>
  <c r="BW849" i="48"/>
  <c r="BX848" i="48"/>
  <c r="BW848" i="48"/>
  <c r="BX847" i="48"/>
  <c r="BW847" i="48"/>
  <c r="BX846" i="48"/>
  <c r="BW846" i="48"/>
  <c r="BX845" i="48"/>
  <c r="BW845" i="48"/>
  <c r="BX844" i="48"/>
  <c r="BW844" i="48"/>
  <c r="BX843" i="48"/>
  <c r="BW843" i="48"/>
  <c r="BX842" i="48"/>
  <c r="BW842" i="48"/>
  <c r="BX841" i="48"/>
  <c r="BW841" i="48"/>
  <c r="BX840" i="48"/>
  <c r="BW840" i="48"/>
  <c r="BX839" i="48"/>
  <c r="BW839" i="48"/>
  <c r="BX838" i="48"/>
  <c r="BW838" i="48"/>
  <c r="BX837" i="48"/>
  <c r="BW837" i="48"/>
  <c r="BX836" i="48"/>
  <c r="BW836" i="48"/>
  <c r="BX835" i="48"/>
  <c r="BW835" i="48"/>
  <c r="BX834" i="48"/>
  <c r="BW834" i="48"/>
  <c r="BX833" i="48"/>
  <c r="BW833" i="48"/>
  <c r="BX832" i="48"/>
  <c r="BW832" i="48"/>
  <c r="BX831" i="48"/>
  <c r="BW831" i="48"/>
  <c r="BX830" i="48"/>
  <c r="BW830" i="48"/>
  <c r="BX829" i="48"/>
  <c r="BW829" i="48"/>
  <c r="BX828" i="48"/>
  <c r="BW828" i="48"/>
  <c r="BX826" i="48"/>
  <c r="BW826" i="48"/>
  <c r="BX825" i="48"/>
  <c r="BW825" i="48"/>
  <c r="BX824" i="48"/>
  <c r="BW824" i="48"/>
  <c r="BX823" i="48"/>
  <c r="BW823" i="48"/>
  <c r="BX822" i="48"/>
  <c r="BW822" i="48"/>
  <c r="BX821" i="48"/>
  <c r="BW821" i="48"/>
  <c r="BX820" i="48"/>
  <c r="BW820" i="48"/>
  <c r="BX819" i="48"/>
  <c r="BW819" i="48"/>
  <c r="BX818" i="48"/>
  <c r="BW818" i="48"/>
  <c r="BX817" i="48"/>
  <c r="BW817" i="48"/>
  <c r="BX816" i="48"/>
  <c r="BW816" i="48"/>
  <c r="BX815" i="48"/>
  <c r="BW815" i="48"/>
  <c r="BX814" i="48"/>
  <c r="BW814" i="48"/>
  <c r="BX813" i="48"/>
  <c r="BW813" i="48"/>
  <c r="BX812" i="48"/>
  <c r="BW812" i="48"/>
  <c r="BX811" i="48"/>
  <c r="BW811" i="48"/>
  <c r="BX810" i="48"/>
  <c r="BW810" i="48"/>
  <c r="BX809" i="48"/>
  <c r="BW809" i="48"/>
  <c r="BX808" i="48"/>
  <c r="BW808" i="48"/>
  <c r="BX807" i="48"/>
  <c r="BW807" i="48"/>
  <c r="BX806" i="48"/>
  <c r="BW806" i="48"/>
  <c r="BX805" i="48"/>
  <c r="BW805" i="48"/>
  <c r="BX804" i="48"/>
  <c r="BW804" i="48"/>
  <c r="BX802" i="48"/>
  <c r="BW802" i="48"/>
  <c r="BX801" i="48"/>
  <c r="BW801" i="48"/>
  <c r="BX800" i="48"/>
  <c r="BW800" i="48"/>
  <c r="BX799" i="48"/>
  <c r="BW799" i="48"/>
  <c r="BX798" i="48"/>
  <c r="BW798" i="48"/>
  <c r="BX797" i="48"/>
  <c r="BW797" i="48"/>
  <c r="BX796" i="48"/>
  <c r="BW796" i="48"/>
  <c r="BX795" i="48"/>
  <c r="BW795" i="48"/>
  <c r="BX794" i="48"/>
  <c r="BW794" i="48"/>
  <c r="BX793" i="48"/>
  <c r="BW793" i="48"/>
  <c r="BX792" i="48"/>
  <c r="BW792" i="48"/>
  <c r="BX791" i="48"/>
  <c r="BW791" i="48"/>
  <c r="BX790" i="48"/>
  <c r="BW790" i="48"/>
  <c r="BX789" i="48"/>
  <c r="BW789" i="48"/>
  <c r="BX788" i="48"/>
  <c r="BW788" i="48"/>
  <c r="BX787" i="48"/>
  <c r="BW787" i="48"/>
  <c r="BX786" i="48"/>
  <c r="BW786" i="48"/>
  <c r="BX785" i="48"/>
  <c r="BW785" i="48"/>
  <c r="BX784" i="48"/>
  <c r="BW784" i="48"/>
  <c r="BX783" i="48"/>
  <c r="BW783" i="48"/>
  <c r="BX782" i="48"/>
  <c r="BW782" i="48"/>
  <c r="BX781" i="48"/>
  <c r="BW781" i="48"/>
  <c r="BX780" i="48"/>
  <c r="BW780" i="48"/>
  <c r="BX778" i="48"/>
  <c r="BW778" i="48"/>
  <c r="BX777" i="48"/>
  <c r="BW777" i="48"/>
  <c r="BX776" i="48"/>
  <c r="BW776" i="48"/>
  <c r="BX775" i="48"/>
  <c r="BW775" i="48"/>
  <c r="BX774" i="48"/>
  <c r="BW774" i="48"/>
  <c r="BX773" i="48"/>
  <c r="BW773" i="48"/>
  <c r="BX772" i="48"/>
  <c r="BW772" i="48"/>
  <c r="BX771" i="48"/>
  <c r="BW771" i="48"/>
  <c r="BX770" i="48"/>
  <c r="BW770" i="48"/>
  <c r="BX769" i="48"/>
  <c r="BW769" i="48"/>
  <c r="BX768" i="48"/>
  <c r="BW768" i="48"/>
  <c r="BX767" i="48"/>
  <c r="BW767" i="48"/>
  <c r="BX766" i="48"/>
  <c r="BW766" i="48"/>
  <c r="BX765" i="48"/>
  <c r="BW765" i="48"/>
  <c r="BX764" i="48"/>
  <c r="BW764" i="48"/>
  <c r="BX763" i="48"/>
  <c r="BW763" i="48"/>
  <c r="BX762" i="48"/>
  <c r="BW762" i="48"/>
  <c r="BX761" i="48"/>
  <c r="BW761" i="48"/>
  <c r="BX760" i="48"/>
  <c r="BW760" i="48"/>
  <c r="BX759" i="48"/>
  <c r="BW759" i="48"/>
  <c r="BX758" i="48"/>
  <c r="BW758" i="48"/>
  <c r="BX757" i="48"/>
  <c r="BW757" i="48"/>
  <c r="BX756" i="48"/>
  <c r="BW756" i="48"/>
  <c r="BX754" i="48"/>
  <c r="BW754" i="48"/>
  <c r="BX753" i="48"/>
  <c r="BW753" i="48"/>
  <c r="BX752" i="48"/>
  <c r="BW752" i="48"/>
  <c r="BX751" i="48"/>
  <c r="BW751" i="48"/>
  <c r="BX750" i="48"/>
  <c r="BW750" i="48"/>
  <c r="BX749" i="48"/>
  <c r="BW749" i="48"/>
  <c r="BX748" i="48"/>
  <c r="BW748" i="48"/>
  <c r="BX747" i="48"/>
  <c r="BW747" i="48"/>
  <c r="BX746" i="48"/>
  <c r="BW746" i="48"/>
  <c r="BX745" i="48"/>
  <c r="BW745" i="48"/>
  <c r="BX744" i="48"/>
  <c r="BW744" i="48"/>
  <c r="BX743" i="48"/>
  <c r="BW743" i="48"/>
  <c r="BX742" i="48"/>
  <c r="BW742" i="48"/>
  <c r="BX741" i="48"/>
  <c r="BW741" i="48"/>
  <c r="BX740" i="48"/>
  <c r="BW740" i="48"/>
  <c r="BX739" i="48"/>
  <c r="BW739" i="48"/>
  <c r="BX738" i="48"/>
  <c r="BW738" i="48"/>
  <c r="BX737" i="48"/>
  <c r="BW737" i="48"/>
  <c r="BX736" i="48"/>
  <c r="BW736" i="48"/>
  <c r="BX735" i="48"/>
  <c r="BW735" i="48"/>
  <c r="BX734" i="48"/>
  <c r="BW734" i="48"/>
  <c r="BX733" i="48"/>
  <c r="BW733" i="48"/>
  <c r="BX732" i="48"/>
  <c r="BW732" i="48"/>
  <c r="BX730" i="48"/>
  <c r="BW730" i="48"/>
  <c r="BX729" i="48"/>
  <c r="BW729" i="48"/>
  <c r="BX728" i="48"/>
  <c r="BW728" i="48"/>
  <c r="BX727" i="48"/>
  <c r="BW727" i="48"/>
  <c r="BX726" i="48"/>
  <c r="BW726" i="48"/>
  <c r="BX725" i="48"/>
  <c r="BW725" i="48"/>
  <c r="BX724" i="48"/>
  <c r="BW724" i="48"/>
  <c r="BX723" i="48"/>
  <c r="BW723" i="48"/>
  <c r="BX722" i="48"/>
  <c r="BW722" i="48"/>
  <c r="BX721" i="48"/>
  <c r="BW721" i="48"/>
  <c r="BX720" i="48"/>
  <c r="BW720" i="48"/>
  <c r="BX719" i="48"/>
  <c r="BW719" i="48"/>
  <c r="BX718" i="48"/>
  <c r="BW718" i="48"/>
  <c r="BX717" i="48"/>
  <c r="BW717" i="48"/>
  <c r="BX716" i="48"/>
  <c r="BW716" i="48"/>
  <c r="BX715" i="48"/>
  <c r="BW715" i="48"/>
  <c r="BX714" i="48"/>
  <c r="BW714" i="48"/>
  <c r="BX713" i="48"/>
  <c r="BW713" i="48"/>
  <c r="BX712" i="48"/>
  <c r="BW712" i="48"/>
  <c r="BX711" i="48"/>
  <c r="BW711" i="48"/>
  <c r="BX710" i="48"/>
  <c r="BW710" i="48"/>
  <c r="BX709" i="48"/>
  <c r="BW709" i="48"/>
  <c r="BX708" i="48"/>
  <c r="BW708" i="48"/>
  <c r="BX706" i="48"/>
  <c r="BW706" i="48"/>
  <c r="BX705" i="48"/>
  <c r="BW705" i="48"/>
  <c r="BX704" i="48"/>
  <c r="BW704" i="48"/>
  <c r="BX703" i="48"/>
  <c r="BW703" i="48"/>
  <c r="BX702" i="48"/>
  <c r="BW702" i="48"/>
  <c r="BX701" i="48"/>
  <c r="BW701" i="48"/>
  <c r="BX700" i="48"/>
  <c r="BW700" i="48"/>
  <c r="BX699" i="48"/>
  <c r="BW699" i="48"/>
  <c r="BX698" i="48"/>
  <c r="BW698" i="48"/>
  <c r="BX697" i="48"/>
  <c r="BW697" i="48"/>
  <c r="BX696" i="48"/>
  <c r="BW696" i="48"/>
  <c r="BX695" i="48"/>
  <c r="BW695" i="48"/>
  <c r="BX694" i="48"/>
  <c r="BW694" i="48"/>
  <c r="BX693" i="48"/>
  <c r="BW693" i="48"/>
  <c r="BX692" i="48"/>
  <c r="BW692" i="48"/>
  <c r="BX691" i="48"/>
  <c r="BW691" i="48"/>
  <c r="BX690" i="48"/>
  <c r="BW690" i="48"/>
  <c r="BX689" i="48"/>
  <c r="BW689" i="48"/>
  <c r="BX688" i="48"/>
  <c r="BW688" i="48"/>
  <c r="BX687" i="48"/>
  <c r="BW687" i="48"/>
  <c r="BX686" i="48"/>
  <c r="BW686" i="48"/>
  <c r="BX685" i="48"/>
  <c r="BW685" i="48"/>
  <c r="BX684" i="48"/>
  <c r="BW684" i="48"/>
  <c r="BX682" i="48"/>
  <c r="BW682" i="48"/>
  <c r="BX681" i="48"/>
  <c r="BW681" i="48"/>
  <c r="BX680" i="48"/>
  <c r="BW680" i="48"/>
  <c r="BX679" i="48"/>
  <c r="BW679" i="48"/>
  <c r="BX678" i="48"/>
  <c r="BW678" i="48"/>
  <c r="BX677" i="48"/>
  <c r="BW677" i="48"/>
  <c r="BX676" i="48"/>
  <c r="BW676" i="48"/>
  <c r="BX675" i="48"/>
  <c r="BW675" i="48"/>
  <c r="BX674" i="48"/>
  <c r="BW674" i="48"/>
  <c r="BX673" i="48"/>
  <c r="BW673" i="48"/>
  <c r="BX672" i="48"/>
  <c r="BW672" i="48"/>
  <c r="BX671" i="48"/>
  <c r="BW671" i="48"/>
  <c r="BX670" i="48"/>
  <c r="BW670" i="48"/>
  <c r="BX669" i="48"/>
  <c r="BW669" i="48"/>
  <c r="BX668" i="48"/>
  <c r="BW668" i="48"/>
  <c r="BX667" i="48"/>
  <c r="BW667" i="48"/>
  <c r="BX666" i="48"/>
  <c r="BW666" i="48"/>
  <c r="BX665" i="48"/>
  <c r="BW665" i="48"/>
  <c r="BX664" i="48"/>
  <c r="BW664" i="48"/>
  <c r="BX663" i="48"/>
  <c r="BW663" i="48"/>
  <c r="BX662" i="48"/>
  <c r="BW662" i="48"/>
  <c r="BX661" i="48"/>
  <c r="BW661" i="48"/>
  <c r="BX660" i="48"/>
  <c r="BW660" i="48"/>
  <c r="BX658" i="48"/>
  <c r="BW658" i="48"/>
  <c r="BX657" i="48"/>
  <c r="BW657" i="48"/>
  <c r="BX656" i="48"/>
  <c r="BW656" i="48"/>
  <c r="BX655" i="48"/>
  <c r="BW655" i="48"/>
  <c r="BX654" i="48"/>
  <c r="BW654" i="48"/>
  <c r="BX653" i="48"/>
  <c r="BW653" i="48"/>
  <c r="BX652" i="48"/>
  <c r="BW652" i="48"/>
  <c r="BX651" i="48"/>
  <c r="BW651" i="48"/>
  <c r="BX650" i="48"/>
  <c r="BW650" i="48"/>
  <c r="BX649" i="48"/>
  <c r="BW649" i="48"/>
  <c r="BX648" i="48"/>
  <c r="BW648" i="48"/>
  <c r="BX647" i="48"/>
  <c r="BW647" i="48"/>
  <c r="BX646" i="48"/>
  <c r="BW646" i="48"/>
  <c r="BX645" i="48"/>
  <c r="BW645" i="48"/>
  <c r="BX644" i="48"/>
  <c r="BW644" i="48"/>
  <c r="BX643" i="48"/>
  <c r="BW643" i="48"/>
  <c r="BX642" i="48"/>
  <c r="BW642" i="48"/>
  <c r="BX641" i="48"/>
  <c r="BW641" i="48"/>
  <c r="BX640" i="48"/>
  <c r="BW640" i="48"/>
  <c r="BX639" i="48"/>
  <c r="BW639" i="48"/>
  <c r="BX638" i="48"/>
  <c r="BW638" i="48"/>
  <c r="BX637" i="48"/>
  <c r="BW637" i="48"/>
  <c r="BX636" i="48"/>
  <c r="BW636" i="48"/>
  <c r="BX634" i="48"/>
  <c r="BW634" i="48"/>
  <c r="BX633" i="48"/>
  <c r="BW633" i="48"/>
  <c r="BX632" i="48"/>
  <c r="BW632" i="48"/>
  <c r="BX631" i="48"/>
  <c r="BW631" i="48"/>
  <c r="BX630" i="48"/>
  <c r="BW630" i="48"/>
  <c r="BX629" i="48"/>
  <c r="BW629" i="48"/>
  <c r="BX628" i="48"/>
  <c r="BW628" i="48"/>
  <c r="BX627" i="48"/>
  <c r="BW627" i="48"/>
  <c r="BX626" i="48"/>
  <c r="BW626" i="48"/>
  <c r="BX625" i="48"/>
  <c r="BW625" i="48"/>
  <c r="BX624" i="48"/>
  <c r="BW624" i="48"/>
  <c r="BX623" i="48"/>
  <c r="BW623" i="48"/>
  <c r="BX622" i="48"/>
  <c r="BW622" i="48"/>
  <c r="BX621" i="48"/>
  <c r="BW621" i="48"/>
  <c r="BX620" i="48"/>
  <c r="BW620" i="48"/>
  <c r="BX619" i="48"/>
  <c r="BW619" i="48"/>
  <c r="BX618" i="48"/>
  <c r="BW618" i="48"/>
  <c r="BX617" i="48"/>
  <c r="BW617" i="48"/>
  <c r="BX616" i="48"/>
  <c r="BW616" i="48"/>
  <c r="BX615" i="48"/>
  <c r="BW615" i="48"/>
  <c r="BX614" i="48"/>
  <c r="BW614" i="48"/>
  <c r="BX613" i="48"/>
  <c r="BW613" i="48"/>
  <c r="BX612" i="48"/>
  <c r="BW612" i="48"/>
  <c r="BX610" i="48"/>
  <c r="BW610" i="48"/>
  <c r="BX609" i="48"/>
  <c r="BW609" i="48"/>
  <c r="BX608" i="48"/>
  <c r="BW608" i="48"/>
  <c r="BX607" i="48"/>
  <c r="BW607" i="48"/>
  <c r="BX606" i="48"/>
  <c r="BW606" i="48"/>
  <c r="BX605" i="48"/>
  <c r="BW605" i="48"/>
  <c r="BX604" i="48"/>
  <c r="BW604" i="48"/>
  <c r="BX603" i="48"/>
  <c r="BW603" i="48"/>
  <c r="BX602" i="48"/>
  <c r="BW602" i="48"/>
  <c r="BX601" i="48"/>
  <c r="BW601" i="48"/>
  <c r="BX600" i="48"/>
  <c r="BW600" i="48"/>
  <c r="BX599" i="48"/>
  <c r="BW599" i="48"/>
  <c r="BX598" i="48"/>
  <c r="BW598" i="48"/>
  <c r="BX597" i="48"/>
  <c r="BW597" i="48"/>
  <c r="BX596" i="48"/>
  <c r="BW596" i="48"/>
  <c r="BX595" i="48"/>
  <c r="BW595" i="48"/>
  <c r="BX594" i="48"/>
  <c r="BW594" i="48"/>
  <c r="BX593" i="48"/>
  <c r="BW593" i="48"/>
  <c r="BX592" i="48"/>
  <c r="BW592" i="48"/>
  <c r="BX591" i="48"/>
  <c r="BW591" i="48"/>
  <c r="BX590" i="48"/>
  <c r="BW590" i="48"/>
  <c r="BX589" i="48"/>
  <c r="BW589" i="48"/>
  <c r="BX588" i="48"/>
  <c r="BW588" i="48"/>
  <c r="BX586" i="48"/>
  <c r="BW586" i="48"/>
  <c r="BX585" i="48"/>
  <c r="BW585" i="48"/>
  <c r="BX584" i="48"/>
  <c r="BW584" i="48"/>
  <c r="BX583" i="48"/>
  <c r="BW583" i="48"/>
  <c r="BX582" i="48"/>
  <c r="BW582" i="48"/>
  <c r="BX581" i="48"/>
  <c r="BW581" i="48"/>
  <c r="BX580" i="48"/>
  <c r="BW580" i="48"/>
  <c r="BX579" i="48"/>
  <c r="BW579" i="48"/>
  <c r="BX578" i="48"/>
  <c r="BW578" i="48"/>
  <c r="BX577" i="48"/>
  <c r="BW577" i="48"/>
  <c r="BX576" i="48"/>
  <c r="BW576" i="48"/>
  <c r="BX575" i="48"/>
  <c r="BW575" i="48"/>
  <c r="BX574" i="48"/>
  <c r="BW574" i="48"/>
  <c r="BX573" i="48"/>
  <c r="BW573" i="48"/>
  <c r="BX572" i="48"/>
  <c r="BW572" i="48"/>
  <c r="BX571" i="48"/>
  <c r="BW571" i="48"/>
  <c r="BX570" i="48"/>
  <c r="BW570" i="48"/>
  <c r="BX569" i="48"/>
  <c r="BW569" i="48"/>
  <c r="BX568" i="48"/>
  <c r="BW568" i="48"/>
  <c r="BX567" i="48"/>
  <c r="BW567" i="48"/>
  <c r="BX566" i="48"/>
  <c r="BW566" i="48"/>
  <c r="BX565" i="48"/>
  <c r="BW565" i="48"/>
  <c r="BX564" i="48"/>
  <c r="BW564" i="48"/>
  <c r="BX562" i="48"/>
  <c r="BW562" i="48"/>
  <c r="BX561" i="48"/>
  <c r="BW561" i="48"/>
  <c r="BX560" i="48"/>
  <c r="BW560" i="48"/>
  <c r="BX559" i="48"/>
  <c r="BW559" i="48"/>
  <c r="BX558" i="48"/>
  <c r="BW558" i="48"/>
  <c r="BX557" i="48"/>
  <c r="BW557" i="48"/>
  <c r="BX556" i="48"/>
  <c r="BW556" i="48"/>
  <c r="BX555" i="48"/>
  <c r="BW555" i="48"/>
  <c r="BX554" i="48"/>
  <c r="BW554" i="48"/>
  <c r="BX553" i="48"/>
  <c r="BW553" i="48"/>
  <c r="BX552" i="48"/>
  <c r="BW552" i="48"/>
  <c r="BX551" i="48"/>
  <c r="BW551" i="48"/>
  <c r="BX550" i="48"/>
  <c r="BW550" i="48"/>
  <c r="BX549" i="48"/>
  <c r="BW549" i="48"/>
  <c r="BX548" i="48"/>
  <c r="BW548" i="48"/>
  <c r="BX547" i="48"/>
  <c r="BW547" i="48"/>
  <c r="BX546" i="48"/>
  <c r="BW546" i="48"/>
  <c r="BX545" i="48"/>
  <c r="BW545" i="48"/>
  <c r="BX544" i="48"/>
  <c r="BW544" i="48"/>
  <c r="BX543" i="48"/>
  <c r="BW543" i="48"/>
  <c r="BX542" i="48"/>
  <c r="BW542" i="48"/>
  <c r="BX541" i="48"/>
  <c r="BW541" i="48"/>
  <c r="BX540" i="48"/>
  <c r="BW540" i="48"/>
  <c r="BX538" i="48"/>
  <c r="BW538" i="48"/>
  <c r="BX537" i="48"/>
  <c r="BW537" i="48"/>
  <c r="BX536" i="48"/>
  <c r="BW536" i="48"/>
  <c r="BX535" i="48"/>
  <c r="BW535" i="48"/>
  <c r="BX534" i="48"/>
  <c r="BW534" i="48"/>
  <c r="BX533" i="48"/>
  <c r="BW533" i="48"/>
  <c r="BX532" i="48"/>
  <c r="BW532" i="48"/>
  <c r="BX531" i="48"/>
  <c r="BW531" i="48"/>
  <c r="BX530" i="48"/>
  <c r="BW530" i="48"/>
  <c r="BX529" i="48"/>
  <c r="BW529" i="48"/>
  <c r="BX528" i="48"/>
  <c r="BW528" i="48"/>
  <c r="BX527" i="48"/>
  <c r="BW527" i="48"/>
  <c r="BX526" i="48"/>
  <c r="BW526" i="48"/>
  <c r="BX525" i="48"/>
  <c r="BW525" i="48"/>
  <c r="BX524" i="48"/>
  <c r="BW524" i="48"/>
  <c r="BX523" i="48"/>
  <c r="BW523" i="48"/>
  <c r="BX522" i="48"/>
  <c r="BW522" i="48"/>
  <c r="BX521" i="48"/>
  <c r="BW521" i="48"/>
  <c r="BX520" i="48"/>
  <c r="BW520" i="48"/>
  <c r="BX519" i="48"/>
  <c r="BW519" i="48"/>
  <c r="BX518" i="48"/>
  <c r="BW518" i="48"/>
  <c r="BX517" i="48"/>
  <c r="BW517" i="48"/>
  <c r="BX516" i="48"/>
  <c r="BW516" i="48"/>
  <c r="BX514" i="48"/>
  <c r="BW514" i="48"/>
  <c r="BX513" i="48"/>
  <c r="BW513" i="48"/>
  <c r="BX512" i="48"/>
  <c r="BW512" i="48"/>
  <c r="BX511" i="48"/>
  <c r="BW511" i="48"/>
  <c r="BX510" i="48"/>
  <c r="BW510" i="48"/>
  <c r="BX509" i="48"/>
  <c r="BW509" i="48"/>
  <c r="BX508" i="48"/>
  <c r="BW508" i="48"/>
  <c r="BX507" i="48"/>
  <c r="BW507" i="48"/>
  <c r="BX506" i="48"/>
  <c r="BW506" i="48"/>
  <c r="BX505" i="48"/>
  <c r="BW505" i="48"/>
  <c r="BX504" i="48"/>
  <c r="BW504" i="48"/>
  <c r="BX503" i="48"/>
  <c r="BW503" i="48"/>
  <c r="BX502" i="48"/>
  <c r="BW502" i="48"/>
  <c r="BX501" i="48"/>
  <c r="BW501" i="48"/>
  <c r="BX500" i="48"/>
  <c r="BW500" i="48"/>
  <c r="BX499" i="48"/>
  <c r="BW499" i="48"/>
  <c r="BX498" i="48"/>
  <c r="BW498" i="48"/>
  <c r="BX497" i="48"/>
  <c r="BW497" i="48"/>
  <c r="BX496" i="48"/>
  <c r="BW496" i="48"/>
  <c r="BX495" i="48"/>
  <c r="BW495" i="48"/>
  <c r="BX494" i="48"/>
  <c r="BW494" i="48"/>
  <c r="BX493" i="48"/>
  <c r="BW493" i="48"/>
  <c r="BX492" i="48"/>
  <c r="BW492" i="48"/>
  <c r="BX490" i="48"/>
  <c r="BW490" i="48"/>
  <c r="BX489" i="48"/>
  <c r="BW489" i="48"/>
  <c r="BX488" i="48"/>
  <c r="BW488" i="48"/>
  <c r="BX487" i="48"/>
  <c r="BW487" i="48"/>
  <c r="BX486" i="48"/>
  <c r="BW486" i="48"/>
  <c r="BX485" i="48"/>
  <c r="BW485" i="48"/>
  <c r="BX484" i="48"/>
  <c r="BW484" i="48"/>
  <c r="BX483" i="48"/>
  <c r="BW483" i="48"/>
  <c r="BX482" i="48"/>
  <c r="BW482" i="48"/>
  <c r="BX481" i="48"/>
  <c r="BW481" i="48"/>
  <c r="BX480" i="48"/>
  <c r="BW480" i="48"/>
  <c r="BX479" i="48"/>
  <c r="BW479" i="48"/>
  <c r="BX478" i="48"/>
  <c r="BW478" i="48"/>
  <c r="BX477" i="48"/>
  <c r="BW477" i="48"/>
  <c r="BX476" i="48"/>
  <c r="BW476" i="48"/>
  <c r="BX475" i="48"/>
  <c r="BW475" i="48"/>
  <c r="BX474" i="48"/>
  <c r="BW474" i="48"/>
  <c r="BX473" i="48"/>
  <c r="BW473" i="48"/>
  <c r="BX472" i="48"/>
  <c r="BW472" i="48"/>
  <c r="BX471" i="48"/>
  <c r="BW471" i="48"/>
  <c r="BX470" i="48"/>
  <c r="BW470" i="48"/>
  <c r="BX469" i="48"/>
  <c r="BW469" i="48"/>
  <c r="BX468" i="48"/>
  <c r="BW468" i="48"/>
  <c r="BX466" i="48"/>
  <c r="BW466" i="48"/>
  <c r="BX465" i="48"/>
  <c r="BW465" i="48"/>
  <c r="BX464" i="48"/>
  <c r="BW464" i="48"/>
  <c r="BX463" i="48"/>
  <c r="BW463" i="48"/>
  <c r="BX462" i="48"/>
  <c r="BW462" i="48"/>
  <c r="BX461" i="48"/>
  <c r="BW461" i="48"/>
  <c r="BX460" i="48"/>
  <c r="BW460" i="48"/>
  <c r="BX459" i="48"/>
  <c r="BW459" i="48"/>
  <c r="BX458" i="48"/>
  <c r="BW458" i="48"/>
  <c r="BX457" i="48"/>
  <c r="BW457" i="48"/>
  <c r="BX456" i="48"/>
  <c r="BW456" i="48"/>
  <c r="BX455" i="48"/>
  <c r="BW455" i="48"/>
  <c r="BX454" i="48"/>
  <c r="BW454" i="48"/>
  <c r="BX453" i="48"/>
  <c r="BW453" i="48"/>
  <c r="BX452" i="48"/>
  <c r="BW452" i="48"/>
  <c r="BX451" i="48"/>
  <c r="BW451" i="48"/>
  <c r="BX450" i="48"/>
  <c r="BW450" i="48"/>
  <c r="BX449" i="48"/>
  <c r="BW449" i="48"/>
  <c r="BX448" i="48"/>
  <c r="BW448" i="48"/>
  <c r="BX447" i="48"/>
  <c r="BW447" i="48"/>
  <c r="BX446" i="48"/>
  <c r="BW446" i="48"/>
  <c r="BX445" i="48"/>
  <c r="BW445" i="48"/>
  <c r="BX444" i="48"/>
  <c r="BW444" i="48"/>
  <c r="BX442" i="48"/>
  <c r="BW442" i="48"/>
  <c r="BX441" i="48"/>
  <c r="BW441" i="48"/>
  <c r="BX440" i="48"/>
  <c r="BW440" i="48"/>
  <c r="BX439" i="48"/>
  <c r="BW439" i="48"/>
  <c r="BX438" i="48"/>
  <c r="BW438" i="48"/>
  <c r="BX437" i="48"/>
  <c r="BW437" i="48"/>
  <c r="BX436" i="48"/>
  <c r="BW436" i="48"/>
  <c r="BX435" i="48"/>
  <c r="BW435" i="48"/>
  <c r="BX434" i="48"/>
  <c r="BW434" i="48"/>
  <c r="BX433" i="48"/>
  <c r="BW433" i="48"/>
  <c r="BX432" i="48"/>
  <c r="BW432" i="48"/>
  <c r="BX431" i="48"/>
  <c r="BW431" i="48"/>
  <c r="BX430" i="48"/>
  <c r="BW430" i="48"/>
  <c r="BX429" i="48"/>
  <c r="BW429" i="48"/>
  <c r="BX428" i="48"/>
  <c r="BW428" i="48"/>
  <c r="BX427" i="48"/>
  <c r="BW427" i="48"/>
  <c r="BX426" i="48"/>
  <c r="BW426" i="48"/>
  <c r="BX425" i="48"/>
  <c r="BW425" i="48"/>
  <c r="BX424" i="48"/>
  <c r="BW424" i="48"/>
  <c r="BX423" i="48"/>
  <c r="BW423" i="48"/>
  <c r="BX422" i="48"/>
  <c r="BW422" i="48"/>
  <c r="BX421" i="48"/>
  <c r="BW421" i="48"/>
  <c r="BX420" i="48"/>
  <c r="BW420" i="48"/>
  <c r="BX418" i="48"/>
  <c r="BW418" i="48"/>
  <c r="BX417" i="48"/>
  <c r="BW417" i="48"/>
  <c r="BX416" i="48"/>
  <c r="BW416" i="48"/>
  <c r="BX415" i="48"/>
  <c r="BW415" i="48"/>
  <c r="BX414" i="48"/>
  <c r="BW414" i="48"/>
  <c r="BX413" i="48"/>
  <c r="BW413" i="48"/>
  <c r="BX412" i="48"/>
  <c r="BW412" i="48"/>
  <c r="BX411" i="48"/>
  <c r="BW411" i="48"/>
  <c r="BX410" i="48"/>
  <c r="BW410" i="48"/>
  <c r="BX409" i="48"/>
  <c r="BW409" i="48"/>
  <c r="BX408" i="48"/>
  <c r="BW408" i="48"/>
  <c r="BX407" i="48"/>
  <c r="BW407" i="48"/>
  <c r="BX406" i="48"/>
  <c r="BW406" i="48"/>
  <c r="BX405" i="48"/>
  <c r="BW405" i="48"/>
  <c r="BX404" i="48"/>
  <c r="BW404" i="48"/>
  <c r="BX403" i="48"/>
  <c r="BW403" i="48"/>
  <c r="BX402" i="48"/>
  <c r="BW402" i="48"/>
  <c r="BX401" i="48"/>
  <c r="BW401" i="48"/>
  <c r="BX400" i="48"/>
  <c r="BW400" i="48"/>
  <c r="BX399" i="48"/>
  <c r="BW399" i="48"/>
  <c r="BX398" i="48"/>
  <c r="BW398" i="48"/>
  <c r="BX397" i="48"/>
  <c r="BW397" i="48"/>
  <c r="BX396" i="48"/>
  <c r="BW396" i="48"/>
  <c r="BX394" i="48"/>
  <c r="BW394" i="48"/>
  <c r="BX393" i="48"/>
  <c r="BW393" i="48"/>
  <c r="BX392" i="48"/>
  <c r="BW392" i="48"/>
  <c r="BX391" i="48"/>
  <c r="BW391" i="48"/>
  <c r="BX390" i="48"/>
  <c r="BW390" i="48"/>
  <c r="BX389" i="48"/>
  <c r="BW389" i="48"/>
  <c r="BX388" i="48"/>
  <c r="BW388" i="48"/>
  <c r="BX387" i="48"/>
  <c r="BW387" i="48"/>
  <c r="BX386" i="48"/>
  <c r="BW386" i="48"/>
  <c r="BX385" i="48"/>
  <c r="BW385" i="48"/>
  <c r="BX384" i="48"/>
  <c r="BW384" i="48"/>
  <c r="BX383" i="48"/>
  <c r="BW383" i="48"/>
  <c r="BX382" i="48"/>
  <c r="BW382" i="48"/>
  <c r="BX381" i="48"/>
  <c r="BW381" i="48"/>
  <c r="BX380" i="48"/>
  <c r="BW380" i="48"/>
  <c r="BX379" i="48"/>
  <c r="BW379" i="48"/>
  <c r="BX378" i="48"/>
  <c r="BW378" i="48"/>
  <c r="BX377" i="48"/>
  <c r="BW377" i="48"/>
  <c r="BX376" i="48"/>
  <c r="BW376" i="48"/>
  <c r="BX375" i="48"/>
  <c r="BW375" i="48"/>
  <c r="BX374" i="48"/>
  <c r="BW374" i="48"/>
  <c r="BX373" i="48"/>
  <c r="BW373" i="48"/>
  <c r="BX372" i="48"/>
  <c r="BW372" i="48"/>
  <c r="BX370" i="48"/>
  <c r="BW370" i="48"/>
  <c r="BX369" i="48"/>
  <c r="BW369" i="48"/>
  <c r="BX368" i="48"/>
  <c r="BW368" i="48"/>
  <c r="BX367" i="48"/>
  <c r="BW367" i="48"/>
  <c r="BX366" i="48"/>
  <c r="BW366" i="48"/>
  <c r="BX365" i="48"/>
  <c r="BW365" i="48"/>
  <c r="BX364" i="48"/>
  <c r="BW364" i="48"/>
  <c r="BX363" i="48"/>
  <c r="BW363" i="48"/>
  <c r="BX362" i="48"/>
  <c r="BW362" i="48"/>
  <c r="BX361" i="48"/>
  <c r="BW361" i="48"/>
  <c r="BX360" i="48"/>
  <c r="BW360" i="48"/>
  <c r="BX359" i="48"/>
  <c r="BW359" i="48"/>
  <c r="BX358" i="48"/>
  <c r="BW358" i="48"/>
  <c r="BX357" i="48"/>
  <c r="BW357" i="48"/>
  <c r="BX356" i="48"/>
  <c r="BW356" i="48"/>
  <c r="BX355" i="48"/>
  <c r="BW355" i="48"/>
  <c r="BX354" i="48"/>
  <c r="BW354" i="48"/>
  <c r="BX353" i="48"/>
  <c r="BW353" i="48"/>
  <c r="BX352" i="48"/>
  <c r="BW352" i="48"/>
  <c r="BX351" i="48"/>
  <c r="BW351" i="48"/>
  <c r="BX350" i="48"/>
  <c r="BW350" i="48"/>
  <c r="BX349" i="48"/>
  <c r="BW349" i="48"/>
  <c r="BX348" i="48"/>
  <c r="BW348" i="48"/>
  <c r="BX346" i="48"/>
  <c r="BW346" i="48"/>
  <c r="BX345" i="48"/>
  <c r="BW345" i="48"/>
  <c r="BX344" i="48"/>
  <c r="BW344" i="48"/>
  <c r="BX343" i="48"/>
  <c r="BW343" i="48"/>
  <c r="BX342" i="48"/>
  <c r="BW342" i="48"/>
  <c r="BX341" i="48"/>
  <c r="BW341" i="48"/>
  <c r="BX340" i="48"/>
  <c r="BW340" i="48"/>
  <c r="BX339" i="48"/>
  <c r="BW339" i="48"/>
  <c r="BX338" i="48"/>
  <c r="BW338" i="48"/>
  <c r="BX337" i="48"/>
  <c r="BW337" i="48"/>
  <c r="BX336" i="48"/>
  <c r="BW336" i="48"/>
  <c r="BX335" i="48"/>
  <c r="BW335" i="48"/>
  <c r="BX334" i="48"/>
  <c r="BW334" i="48"/>
  <c r="BX333" i="48"/>
  <c r="BW333" i="48"/>
  <c r="BX332" i="48"/>
  <c r="BW332" i="48"/>
  <c r="BX331" i="48"/>
  <c r="BW331" i="48"/>
  <c r="BX330" i="48"/>
  <c r="BW330" i="48"/>
  <c r="BX329" i="48"/>
  <c r="BW329" i="48"/>
  <c r="BX328" i="48"/>
  <c r="BW328" i="48"/>
  <c r="BX327" i="48"/>
  <c r="BW327" i="48"/>
  <c r="BX326" i="48"/>
  <c r="BW326" i="48"/>
  <c r="BX325" i="48"/>
  <c r="BW325" i="48"/>
  <c r="BX324" i="48"/>
  <c r="BW324" i="48"/>
  <c r="BX322" i="48"/>
  <c r="BW322" i="48"/>
  <c r="BX321" i="48"/>
  <c r="BW321" i="48"/>
  <c r="BX320" i="48"/>
  <c r="BW320" i="48"/>
  <c r="BX319" i="48"/>
  <c r="BW319" i="48"/>
  <c r="BX318" i="48"/>
  <c r="BW318" i="48"/>
  <c r="BX317" i="48"/>
  <c r="BW317" i="48"/>
  <c r="BX316" i="48"/>
  <c r="BW316" i="48"/>
  <c r="BX315" i="48"/>
  <c r="BW315" i="48"/>
  <c r="BX314" i="48"/>
  <c r="BW314" i="48"/>
  <c r="BX313" i="48"/>
  <c r="BW313" i="48"/>
  <c r="BX312" i="48"/>
  <c r="BW312" i="48"/>
  <c r="BX311" i="48"/>
  <c r="BW311" i="48"/>
  <c r="BX310" i="48"/>
  <c r="BW310" i="48"/>
  <c r="BX309" i="48"/>
  <c r="BW309" i="48"/>
  <c r="BX308" i="48"/>
  <c r="BW308" i="48"/>
  <c r="BX307" i="48"/>
  <c r="BW307" i="48"/>
  <c r="BX306" i="48"/>
  <c r="BW306" i="48"/>
  <c r="BX305" i="48"/>
  <c r="BW305" i="48"/>
  <c r="BX304" i="48"/>
  <c r="BW304" i="48"/>
  <c r="BX303" i="48"/>
  <c r="BW303" i="48"/>
  <c r="BX302" i="48"/>
  <c r="BW302" i="48"/>
  <c r="BX301" i="48"/>
  <c r="BW301" i="48"/>
  <c r="BX300" i="48"/>
  <c r="BW300" i="48"/>
  <c r="BX298" i="48"/>
  <c r="BW298" i="48"/>
  <c r="BX297" i="48"/>
  <c r="BW297" i="48"/>
  <c r="BX296" i="48"/>
  <c r="BW296" i="48"/>
  <c r="BX295" i="48"/>
  <c r="BW295" i="48"/>
  <c r="BX294" i="48"/>
  <c r="BW294" i="48"/>
  <c r="BX293" i="48"/>
  <c r="BW293" i="48"/>
  <c r="BX292" i="48"/>
  <c r="BW292" i="48"/>
  <c r="BX291" i="48"/>
  <c r="BW291" i="48"/>
  <c r="BX290" i="48"/>
  <c r="BW290" i="48"/>
  <c r="BX289" i="48"/>
  <c r="BW289" i="48"/>
  <c r="BX288" i="48"/>
  <c r="BW288" i="48"/>
  <c r="BX287" i="48"/>
  <c r="BW287" i="48"/>
  <c r="BX286" i="48"/>
  <c r="BW286" i="48"/>
  <c r="BX285" i="48"/>
  <c r="BW285" i="48"/>
  <c r="BX284" i="48"/>
  <c r="BW284" i="48"/>
  <c r="BX283" i="48"/>
  <c r="BW283" i="48"/>
  <c r="BX282" i="48"/>
  <c r="BW282" i="48"/>
  <c r="BX281" i="48"/>
  <c r="BW281" i="48"/>
  <c r="BX280" i="48"/>
  <c r="BW280" i="48"/>
  <c r="BX279" i="48"/>
  <c r="BW279" i="48"/>
  <c r="BX278" i="48"/>
  <c r="BW278" i="48"/>
  <c r="BX277" i="48"/>
  <c r="BW277" i="48"/>
  <c r="BX276" i="48"/>
  <c r="BW276" i="48"/>
  <c r="BX274" i="48"/>
  <c r="BW274" i="48"/>
  <c r="BX273" i="48"/>
  <c r="BW273" i="48"/>
  <c r="BX272" i="48"/>
  <c r="BW272" i="48"/>
  <c r="BX271" i="48"/>
  <c r="BW271" i="48"/>
  <c r="BX270" i="48"/>
  <c r="BW270" i="48"/>
  <c r="BX269" i="48"/>
  <c r="BW269" i="48"/>
  <c r="BX268" i="48"/>
  <c r="BW268" i="48"/>
  <c r="BX267" i="48"/>
  <c r="BW267" i="48"/>
  <c r="BX266" i="48"/>
  <c r="BW266" i="48"/>
  <c r="BX265" i="48"/>
  <c r="BW265" i="48"/>
  <c r="BX264" i="48"/>
  <c r="BW264" i="48"/>
  <c r="BX263" i="48"/>
  <c r="BW263" i="48"/>
  <c r="BX262" i="48"/>
  <c r="BW262" i="48"/>
  <c r="BX261" i="48"/>
  <c r="BW261" i="48"/>
  <c r="BX260" i="48"/>
  <c r="BW260" i="48"/>
  <c r="BX259" i="48"/>
  <c r="BW259" i="48"/>
  <c r="BX258" i="48"/>
  <c r="BW258" i="48"/>
  <c r="BX257" i="48"/>
  <c r="BW257" i="48"/>
  <c r="BX256" i="48"/>
  <c r="BW256" i="48"/>
  <c r="BX255" i="48"/>
  <c r="BW255" i="48"/>
  <c r="BX254" i="48"/>
  <c r="BW254" i="48"/>
  <c r="BX253" i="48"/>
  <c r="BW253" i="48"/>
  <c r="BX252" i="48"/>
  <c r="BW252" i="48"/>
  <c r="BX250" i="48"/>
  <c r="BW250" i="48"/>
  <c r="BX249" i="48"/>
  <c r="BW249" i="48"/>
  <c r="BX248" i="48"/>
  <c r="BW248" i="48"/>
  <c r="BX247" i="48"/>
  <c r="BW247" i="48"/>
  <c r="BX246" i="48"/>
  <c r="BW246" i="48"/>
  <c r="BX245" i="48"/>
  <c r="BW245" i="48"/>
  <c r="BX244" i="48"/>
  <c r="BW244" i="48"/>
  <c r="BX243" i="48"/>
  <c r="BW243" i="48"/>
  <c r="BX242" i="48"/>
  <c r="BW242" i="48"/>
  <c r="BX241" i="48"/>
  <c r="BW241" i="48"/>
  <c r="BX240" i="48"/>
  <c r="BW240" i="48"/>
  <c r="BX239" i="48"/>
  <c r="BW239" i="48"/>
  <c r="BX238" i="48"/>
  <c r="BW238" i="48"/>
  <c r="BX237" i="48"/>
  <c r="BW237" i="48"/>
  <c r="BX236" i="48"/>
  <c r="BW236" i="48"/>
  <c r="BX235" i="48"/>
  <c r="BW235" i="48"/>
  <c r="BX234" i="48"/>
  <c r="BW234" i="48"/>
  <c r="BX233" i="48"/>
  <c r="BW233" i="48"/>
  <c r="BX232" i="48"/>
  <c r="BW232" i="48"/>
  <c r="BX231" i="48"/>
  <c r="BW231" i="48"/>
  <c r="BX230" i="48"/>
  <c r="BW230" i="48"/>
  <c r="BX229" i="48"/>
  <c r="BW229" i="48"/>
  <c r="BX228" i="48"/>
  <c r="BW228" i="48"/>
  <c r="BX226" i="48"/>
  <c r="BW226" i="48"/>
  <c r="BX225" i="48"/>
  <c r="BW225" i="48"/>
  <c r="BX224" i="48"/>
  <c r="BW224" i="48"/>
  <c r="BX223" i="48"/>
  <c r="BW223" i="48"/>
  <c r="BX222" i="48"/>
  <c r="BW222" i="48"/>
  <c r="BX221" i="48"/>
  <c r="BW221" i="48"/>
  <c r="BX220" i="48"/>
  <c r="BW220" i="48"/>
  <c r="BX219" i="48"/>
  <c r="BW219" i="48"/>
  <c r="BX218" i="48"/>
  <c r="BW218" i="48"/>
  <c r="BX217" i="48"/>
  <c r="BW217" i="48"/>
  <c r="BX216" i="48"/>
  <c r="BW216" i="48"/>
  <c r="BX215" i="48"/>
  <c r="BW215" i="48"/>
  <c r="BX214" i="48"/>
  <c r="BW214" i="48"/>
  <c r="BX213" i="48"/>
  <c r="BW213" i="48"/>
  <c r="BX212" i="48"/>
  <c r="BW212" i="48"/>
  <c r="BX211" i="48"/>
  <c r="BW211" i="48"/>
  <c r="BX210" i="48"/>
  <c r="BW210" i="48"/>
  <c r="BX209" i="48"/>
  <c r="BW209" i="48"/>
  <c r="BX208" i="48"/>
  <c r="BW208" i="48"/>
  <c r="BX207" i="48"/>
  <c r="BW207" i="48"/>
  <c r="BX206" i="48"/>
  <c r="BW206" i="48"/>
  <c r="BX205" i="48"/>
  <c r="BW205" i="48"/>
  <c r="BX204" i="48"/>
  <c r="BW204" i="48"/>
  <c r="BX202" i="48"/>
  <c r="BW202" i="48"/>
  <c r="BX201" i="48"/>
  <c r="BW201" i="48"/>
  <c r="BX200" i="48"/>
  <c r="BW200" i="48"/>
  <c r="BX199" i="48"/>
  <c r="BW199" i="48"/>
  <c r="BX198" i="48"/>
  <c r="BW198" i="48"/>
  <c r="BX197" i="48"/>
  <c r="BW197" i="48"/>
  <c r="BX196" i="48"/>
  <c r="BW196" i="48"/>
  <c r="BX195" i="48"/>
  <c r="BW195" i="48"/>
  <c r="BX194" i="48"/>
  <c r="BW194" i="48"/>
  <c r="BX193" i="48"/>
  <c r="BW193" i="48"/>
  <c r="BX192" i="48"/>
  <c r="BW192" i="48"/>
  <c r="BX191" i="48"/>
  <c r="BW191" i="48"/>
  <c r="BX190" i="48"/>
  <c r="BW190" i="48"/>
  <c r="BX189" i="48"/>
  <c r="BW189" i="48"/>
  <c r="BX188" i="48"/>
  <c r="BW188" i="48"/>
  <c r="BX187" i="48"/>
  <c r="BW187" i="48"/>
  <c r="BX186" i="48"/>
  <c r="BW186" i="48"/>
  <c r="BX185" i="48"/>
  <c r="BW185" i="48"/>
  <c r="BX184" i="48"/>
  <c r="BW184" i="48"/>
  <c r="BX183" i="48"/>
  <c r="BW183" i="48"/>
  <c r="BX182" i="48"/>
  <c r="BW182" i="48"/>
  <c r="BX181" i="48"/>
  <c r="BW181" i="48"/>
  <c r="BX180" i="48"/>
  <c r="BW180" i="48"/>
  <c r="BX178" i="48"/>
  <c r="BW178" i="48"/>
  <c r="BX177" i="48"/>
  <c r="BW177" i="48"/>
  <c r="BX176" i="48"/>
  <c r="BW176" i="48"/>
  <c r="BX175" i="48"/>
  <c r="BW175" i="48"/>
  <c r="BX174" i="48"/>
  <c r="BW174" i="48"/>
  <c r="BX173" i="48"/>
  <c r="BW173" i="48"/>
  <c r="BX172" i="48"/>
  <c r="BW172" i="48"/>
  <c r="BX171" i="48"/>
  <c r="BW171" i="48"/>
  <c r="BX170" i="48"/>
  <c r="BW170" i="48"/>
  <c r="BX169" i="48"/>
  <c r="BW169" i="48"/>
  <c r="BX168" i="48"/>
  <c r="BW168" i="48"/>
  <c r="BX167" i="48"/>
  <c r="BW167" i="48"/>
  <c r="BX166" i="48"/>
  <c r="BW166" i="48"/>
  <c r="BX165" i="48"/>
  <c r="BW165" i="48"/>
  <c r="BX164" i="48"/>
  <c r="BW164" i="48"/>
  <c r="BX163" i="48"/>
  <c r="BW163" i="48"/>
  <c r="BX162" i="48"/>
  <c r="BW162" i="48"/>
  <c r="BX161" i="48"/>
  <c r="BW161" i="48"/>
  <c r="BX160" i="48"/>
  <c r="BW160" i="48"/>
  <c r="BX159" i="48"/>
  <c r="BW159" i="48"/>
  <c r="BX158" i="48"/>
  <c r="BW158" i="48"/>
  <c r="BX157" i="48"/>
  <c r="BW157" i="48"/>
  <c r="BX156" i="48"/>
  <c r="BW156" i="48"/>
  <c r="BX154" i="48"/>
  <c r="BW154" i="48"/>
  <c r="BX153" i="48"/>
  <c r="BW153" i="48"/>
  <c r="BX152" i="48"/>
  <c r="BW152" i="48"/>
  <c r="BX151" i="48"/>
  <c r="BW151" i="48"/>
  <c r="BX150" i="48"/>
  <c r="BW150" i="48"/>
  <c r="BX149" i="48"/>
  <c r="BW149" i="48"/>
  <c r="BX148" i="48"/>
  <c r="BW148" i="48"/>
  <c r="BX147" i="48"/>
  <c r="BW147" i="48"/>
  <c r="BX146" i="48"/>
  <c r="BW146" i="48"/>
  <c r="BX145" i="48"/>
  <c r="BW145" i="48"/>
  <c r="BX144" i="48"/>
  <c r="BW144" i="48"/>
  <c r="BX143" i="48"/>
  <c r="BW143" i="48"/>
  <c r="BX142" i="48"/>
  <c r="BW142" i="48"/>
  <c r="BX141" i="48"/>
  <c r="BW141" i="48"/>
  <c r="BX140" i="48"/>
  <c r="BW140" i="48"/>
  <c r="BX139" i="48"/>
  <c r="BW139" i="48"/>
  <c r="BX138" i="48"/>
  <c r="BW138" i="48"/>
  <c r="BX137" i="48"/>
  <c r="BW137" i="48"/>
  <c r="BX136" i="48"/>
  <c r="BW136" i="48"/>
  <c r="BX135" i="48"/>
  <c r="BW135" i="48"/>
  <c r="BX134" i="48"/>
  <c r="BW134" i="48"/>
  <c r="BX133" i="48"/>
  <c r="BW133" i="48"/>
  <c r="BX132" i="48"/>
  <c r="BW132" i="48"/>
  <c r="BX130" i="48"/>
  <c r="BW130" i="48"/>
  <c r="BX129" i="48"/>
  <c r="BW129" i="48"/>
  <c r="BX128" i="48"/>
  <c r="BW128" i="48"/>
  <c r="BX127" i="48"/>
  <c r="BW127" i="48"/>
  <c r="BX126" i="48"/>
  <c r="BW126" i="48"/>
  <c r="BX125" i="48"/>
  <c r="BW125" i="48"/>
  <c r="BX124" i="48"/>
  <c r="BW124" i="48"/>
  <c r="BX123" i="48"/>
  <c r="BW123" i="48"/>
  <c r="BX122" i="48"/>
  <c r="BW122" i="48"/>
  <c r="BX121" i="48"/>
  <c r="BW121" i="48"/>
  <c r="BX120" i="48"/>
  <c r="BW120" i="48"/>
  <c r="BX119" i="48"/>
  <c r="BW119" i="48"/>
  <c r="BX118" i="48"/>
  <c r="BW118" i="48"/>
  <c r="BX117" i="48"/>
  <c r="BW117" i="48"/>
  <c r="BX116" i="48"/>
  <c r="BW116" i="48"/>
  <c r="BX115" i="48"/>
  <c r="BW115" i="48"/>
  <c r="BX114" i="48"/>
  <c r="BW114" i="48"/>
  <c r="BX113" i="48"/>
  <c r="BW113" i="48"/>
  <c r="BX112" i="48"/>
  <c r="BW112" i="48"/>
  <c r="BX111" i="48"/>
  <c r="BW111" i="48"/>
  <c r="BX110" i="48"/>
  <c r="BW110" i="48"/>
  <c r="BX109" i="48"/>
  <c r="BW109" i="48"/>
  <c r="BX108" i="48"/>
  <c r="BW108" i="48"/>
  <c r="BX106" i="48"/>
  <c r="BW106" i="48"/>
  <c r="BX105" i="48"/>
  <c r="BW105" i="48"/>
  <c r="BX104" i="48"/>
  <c r="BW104" i="48"/>
  <c r="BX103" i="48"/>
  <c r="BW103" i="48"/>
  <c r="BX102" i="48"/>
  <c r="BW102" i="48"/>
  <c r="BX101" i="48"/>
  <c r="BW101" i="48"/>
  <c r="BX100" i="48"/>
  <c r="BW100" i="48"/>
  <c r="BX99" i="48"/>
  <c r="BW99" i="48"/>
  <c r="BX98" i="48"/>
  <c r="BW98" i="48"/>
  <c r="BX97" i="48"/>
  <c r="BW97" i="48"/>
  <c r="BX96" i="48"/>
  <c r="BW96" i="48"/>
  <c r="BX95" i="48"/>
  <c r="BW95" i="48"/>
  <c r="BX94" i="48"/>
  <c r="BW94" i="48"/>
  <c r="BX93" i="48"/>
  <c r="BW93" i="48"/>
  <c r="BX92" i="48"/>
  <c r="BW92" i="48"/>
  <c r="BX91" i="48"/>
  <c r="BW91" i="48"/>
  <c r="BX90" i="48"/>
  <c r="BW90" i="48"/>
  <c r="BX89" i="48"/>
  <c r="BW89" i="48"/>
  <c r="BX88" i="48"/>
  <c r="BW88" i="48"/>
  <c r="BX87" i="48"/>
  <c r="BW87" i="48"/>
  <c r="BX86" i="48"/>
  <c r="BW86" i="48"/>
  <c r="BX85" i="48"/>
  <c r="BW85" i="48"/>
  <c r="BX84" i="48"/>
  <c r="BW84" i="48"/>
  <c r="BX82" i="48"/>
  <c r="BW82" i="48"/>
  <c r="BX81" i="48"/>
  <c r="BW81" i="48"/>
  <c r="BX80" i="48"/>
  <c r="BW80" i="48"/>
  <c r="BX79" i="48"/>
  <c r="BW79" i="48"/>
  <c r="BX78" i="48"/>
  <c r="BW78" i="48"/>
  <c r="BX77" i="48"/>
  <c r="BW77" i="48"/>
  <c r="BX76" i="48"/>
  <c r="BW76" i="48"/>
  <c r="BX75" i="48"/>
  <c r="BW75" i="48"/>
  <c r="BX74" i="48"/>
  <c r="BW74" i="48"/>
  <c r="BX73" i="48"/>
  <c r="BW73" i="48"/>
  <c r="BX72" i="48"/>
  <c r="BW72" i="48"/>
  <c r="BX71" i="48"/>
  <c r="BW71" i="48"/>
  <c r="BX70" i="48"/>
  <c r="BW70" i="48"/>
  <c r="BX69" i="48"/>
  <c r="BW69" i="48"/>
  <c r="BX68" i="48"/>
  <c r="BW68" i="48"/>
  <c r="BX67" i="48"/>
  <c r="BW67" i="48"/>
  <c r="BX66" i="48"/>
  <c r="BW66" i="48"/>
  <c r="BX65" i="48"/>
  <c r="BW65" i="48"/>
  <c r="BX64" i="48"/>
  <c r="BW64" i="48"/>
  <c r="BX63" i="48"/>
  <c r="BW63" i="48"/>
  <c r="BX62" i="48"/>
  <c r="BW62" i="48"/>
  <c r="BX61" i="48"/>
  <c r="BW61" i="48"/>
  <c r="BX60" i="48"/>
  <c r="BW60" i="48"/>
  <c r="BX58" i="48"/>
  <c r="BW58" i="48"/>
  <c r="BX57" i="48"/>
  <c r="BW57" i="48"/>
  <c r="BX56" i="48"/>
  <c r="BW56" i="48"/>
  <c r="BX55" i="48"/>
  <c r="BW55" i="48"/>
  <c r="BX54" i="48"/>
  <c r="BW54" i="48"/>
  <c r="BX53" i="48"/>
  <c r="BW53" i="48"/>
  <c r="BX52" i="48"/>
  <c r="BW52" i="48"/>
  <c r="BX51" i="48"/>
  <c r="BW51" i="48"/>
  <c r="BX50" i="48"/>
  <c r="BW50" i="48"/>
  <c r="BX49" i="48"/>
  <c r="BW49" i="48"/>
  <c r="BX48" i="48"/>
  <c r="BW48" i="48"/>
  <c r="BX47" i="48"/>
  <c r="BW47" i="48"/>
  <c r="BX46" i="48"/>
  <c r="BW46" i="48"/>
  <c r="BX45" i="48"/>
  <c r="BW45" i="48"/>
  <c r="BX44" i="48"/>
  <c r="BW44" i="48"/>
  <c r="BX43" i="48"/>
  <c r="BW43" i="48"/>
  <c r="BX42" i="48"/>
  <c r="BW42" i="48"/>
  <c r="BX41" i="48"/>
  <c r="BW41" i="48"/>
  <c r="BX40" i="48"/>
  <c r="BW40" i="48"/>
  <c r="BX39" i="48"/>
  <c r="BW39" i="48"/>
  <c r="BX38" i="48"/>
  <c r="BW38" i="48"/>
  <c r="BX37" i="48"/>
  <c r="BW37" i="48"/>
  <c r="BX36" i="48"/>
  <c r="BW36" i="48"/>
  <c r="CV1135" i="48" l="1"/>
  <c r="CX1135" i="48" s="1"/>
  <c r="CV724" i="48"/>
  <c r="CX724" i="48" s="1"/>
  <c r="CV718" i="48"/>
  <c r="CX718" i="48" s="1"/>
  <c r="CV680" i="48"/>
  <c r="CX680" i="48" s="1"/>
  <c r="CV1103" i="48"/>
  <c r="CX1103" i="48" s="1"/>
  <c r="CV1034" i="48"/>
  <c r="CX1034" i="48" s="1"/>
  <c r="CV909" i="48"/>
  <c r="CX909" i="48" s="1"/>
  <c r="CV870" i="48"/>
  <c r="CX870" i="48" s="1"/>
  <c r="CV800" i="48"/>
  <c r="CX800" i="48" s="1"/>
  <c r="CV1084" i="48"/>
  <c r="CX1084" i="48" s="1"/>
  <c r="CV1178" i="48"/>
  <c r="CX1178" i="48" s="1"/>
  <c r="CV102" i="48"/>
  <c r="CX102" i="48" s="1"/>
  <c r="CV338" i="48"/>
  <c r="CX338" i="48" s="1"/>
  <c r="CV502" i="48"/>
  <c r="CX502" i="48" s="1"/>
  <c r="CV841" i="48"/>
  <c r="CX841" i="48" s="1"/>
  <c r="CV142" i="48"/>
  <c r="CX142" i="48" s="1"/>
  <c r="CV242" i="48"/>
  <c r="CX242" i="48" s="1"/>
  <c r="CV129" i="48"/>
  <c r="CX129" i="48" s="1"/>
  <c r="CV1227" i="48"/>
  <c r="CX1227" i="48" s="1"/>
  <c r="CV344" i="48"/>
  <c r="CX344" i="48" s="1"/>
  <c r="CV1053" i="48"/>
  <c r="CX1053" i="48" s="1"/>
  <c r="CV462" i="48"/>
  <c r="CX462" i="48" s="1"/>
  <c r="CV57" i="48"/>
  <c r="CX57" i="48" s="1"/>
  <c r="CV406" i="48"/>
  <c r="CX406" i="48" s="1"/>
  <c r="CV726" i="48"/>
  <c r="CX726" i="48" s="1"/>
  <c r="CV392" i="48"/>
  <c r="CX392" i="48" s="1"/>
  <c r="CV1174" i="48"/>
  <c r="CX1174" i="48" s="1"/>
  <c r="CV81" i="48"/>
  <c r="CX81" i="48" s="1"/>
  <c r="CV845" i="48"/>
  <c r="CX845" i="48" s="1"/>
  <c r="CV600" i="48"/>
  <c r="CX600" i="48" s="1"/>
  <c r="CV1039" i="48"/>
  <c r="CX1039" i="48" s="1"/>
  <c r="CV103" i="48"/>
  <c r="CX103" i="48" s="1"/>
  <c r="CV1274" i="48"/>
  <c r="CX1274" i="48" s="1"/>
  <c r="CV48" i="48"/>
  <c r="CX48" i="48" s="1"/>
  <c r="CV745" i="48"/>
  <c r="CX745" i="48" s="1"/>
  <c r="CV119" i="48"/>
  <c r="CX119" i="48" s="1"/>
  <c r="CV750" i="48"/>
  <c r="CX750" i="48" s="1"/>
  <c r="CV695" i="48"/>
  <c r="CX695" i="48" s="1"/>
  <c r="CV333" i="48"/>
  <c r="CX333" i="48" s="1"/>
  <c r="CV1108" i="48"/>
  <c r="CX1108" i="48" s="1"/>
  <c r="CV246" i="48"/>
  <c r="CX246" i="48" s="1"/>
  <c r="CV1226" i="48"/>
  <c r="CX1226" i="48" s="1"/>
  <c r="CV610" i="48"/>
  <c r="CX610" i="48" s="1"/>
  <c r="CV274" i="48"/>
  <c r="CX274" i="48" s="1"/>
  <c r="CV483" i="48"/>
  <c r="CX483" i="48" s="1"/>
  <c r="CV621" i="48"/>
  <c r="CX621" i="48" s="1"/>
  <c r="CV585" i="48"/>
  <c r="CX585" i="48" s="1"/>
  <c r="CV1296" i="48"/>
  <c r="CX1296" i="48" s="1"/>
  <c r="CV1278" i="48"/>
  <c r="CX1278" i="48" s="1"/>
  <c r="CV490" i="48"/>
  <c r="CX490" i="48" s="1"/>
  <c r="CV221" i="48"/>
  <c r="CX221" i="48" s="1"/>
  <c r="CV557" i="48"/>
  <c r="CX557" i="48" s="1"/>
  <c r="CV1176" i="48"/>
  <c r="CX1176" i="48" s="1"/>
  <c r="CV1185" i="48"/>
  <c r="CX1185" i="48" s="1"/>
  <c r="CV441" i="48"/>
  <c r="CX441" i="48" s="1"/>
  <c r="CV1249" i="48"/>
  <c r="CX1249" i="48" s="1"/>
  <c r="CV961" i="48"/>
  <c r="CX961" i="48" s="1"/>
  <c r="CV677" i="48"/>
  <c r="CX677" i="48" s="1"/>
  <c r="CV773" i="48"/>
  <c r="CX773" i="48" s="1"/>
  <c r="CV1152" i="48"/>
  <c r="CX1152" i="48" s="1"/>
  <c r="CV120" i="48"/>
  <c r="CX120" i="48" s="1"/>
  <c r="CV357" i="48"/>
  <c r="CX357" i="48" s="1"/>
  <c r="CV1276" i="48"/>
  <c r="CX1276" i="48" s="1"/>
  <c r="CV1107" i="48"/>
  <c r="CX1107" i="48" s="1"/>
  <c r="CV1316" i="48"/>
  <c r="CX1316" i="48" s="1"/>
  <c r="CV751" i="48"/>
  <c r="CX751" i="48" s="1"/>
  <c r="CV290" i="48"/>
  <c r="CX290" i="48" s="1"/>
  <c r="CV692" i="48"/>
  <c r="CX692" i="48" s="1"/>
  <c r="CV1229" i="48"/>
  <c r="CX1229" i="48" s="1"/>
  <c r="CV1202" i="48"/>
  <c r="CX1202" i="48" s="1"/>
  <c r="CV679" i="48"/>
  <c r="CX679" i="48" s="1"/>
  <c r="CV1030" i="48"/>
  <c r="CX1030" i="48" s="1"/>
  <c r="CV654" i="48"/>
  <c r="CX654" i="48" s="1"/>
  <c r="CV790" i="48"/>
  <c r="CX790" i="48" s="1"/>
  <c r="CV313" i="48"/>
  <c r="CX313" i="48" s="1"/>
  <c r="CV678" i="48"/>
  <c r="CX678" i="48" s="1"/>
  <c r="CV411" i="48"/>
  <c r="CX411" i="48" s="1"/>
  <c r="CV1134" i="48"/>
  <c r="CX1134" i="48" s="1"/>
  <c r="CV500" i="48"/>
  <c r="CX500" i="48" s="1"/>
  <c r="CV170" i="48"/>
  <c r="CX170" i="48" s="1"/>
  <c r="CV838" i="48"/>
  <c r="CX838" i="48" s="1"/>
  <c r="CV529" i="48"/>
  <c r="CX529" i="48" s="1"/>
  <c r="CV562" i="48"/>
  <c r="CX562" i="48" s="1"/>
  <c r="CV696" i="48"/>
  <c r="CX696" i="48" s="1"/>
  <c r="CV1270" i="48"/>
  <c r="CX1270" i="48" s="1"/>
  <c r="CV1011" i="48"/>
  <c r="CX1011" i="48" s="1"/>
  <c r="CV548" i="48"/>
  <c r="CX548" i="48" s="1"/>
  <c r="CV224" i="48"/>
  <c r="CX224" i="48" s="1"/>
  <c r="CV1018" i="48"/>
  <c r="CX1018" i="48" s="1"/>
  <c r="CV342" i="48"/>
  <c r="CX342" i="48" s="1"/>
  <c r="CV1077" i="48"/>
  <c r="CX1077" i="48" s="1"/>
  <c r="CV46" i="48"/>
  <c r="CX46" i="48" s="1"/>
  <c r="CV1253" i="48"/>
  <c r="CX1253" i="48" s="1"/>
  <c r="CV887" i="48"/>
  <c r="CX887" i="48" s="1"/>
  <c r="CV410" i="48"/>
  <c r="CX410" i="48" s="1"/>
  <c r="CV70" i="48"/>
  <c r="CX70" i="48" s="1"/>
  <c r="CV1131" i="48"/>
  <c r="CX1131" i="48" s="1"/>
  <c r="CV94" i="48"/>
  <c r="CX94" i="48" s="1"/>
  <c r="CV890" i="48"/>
  <c r="CX890" i="48" s="1"/>
  <c r="CV894" i="48"/>
  <c r="CX894" i="48" s="1"/>
  <c r="CV215" i="48"/>
  <c r="CX215" i="48" s="1"/>
  <c r="CV992" i="48"/>
  <c r="CX992" i="48" s="1"/>
  <c r="CV118" i="48"/>
  <c r="CX118" i="48" s="1"/>
  <c r="CV776" i="48"/>
  <c r="CX776" i="48" s="1"/>
  <c r="CV608" i="48"/>
  <c r="CX608" i="48" s="1"/>
  <c r="CV128" i="48"/>
  <c r="CX128" i="48" s="1"/>
  <c r="CV656" i="48"/>
  <c r="CX656" i="48" s="1"/>
  <c r="CV194" i="48"/>
  <c r="CX194" i="48" s="1"/>
  <c r="CV586" i="48"/>
  <c r="CX586" i="48" s="1"/>
  <c r="CV1078" i="48"/>
  <c r="CX1078" i="48" s="1"/>
  <c r="CV149" i="48"/>
  <c r="CX149" i="48" s="1"/>
  <c r="CV932" i="48"/>
  <c r="CX932" i="48" s="1"/>
  <c r="CV891" i="48"/>
  <c r="CX891" i="48" s="1"/>
  <c r="CV792" i="48"/>
  <c r="CX792" i="48" s="1"/>
  <c r="CV53" i="48"/>
  <c r="CX53" i="48" s="1"/>
  <c r="CV1089" i="48"/>
  <c r="CX1089" i="48" s="1"/>
  <c r="CV742" i="48"/>
  <c r="CX742" i="48" s="1"/>
  <c r="CV1271" i="48"/>
  <c r="CX1271" i="48" s="1"/>
  <c r="CV189" i="48"/>
  <c r="CX189" i="48" s="1"/>
  <c r="CV631" i="48"/>
  <c r="CX631" i="48" s="1"/>
  <c r="CV560" i="48"/>
  <c r="CX560" i="48" s="1"/>
  <c r="CV1036" i="48"/>
  <c r="CX1036" i="48" s="1"/>
  <c r="CV1184" i="48"/>
  <c r="CX1184" i="48" s="1"/>
  <c r="CV632" i="48"/>
  <c r="CX632" i="48" s="1"/>
  <c r="CV1223" i="48"/>
  <c r="CX1223" i="48" s="1"/>
  <c r="CV1182" i="48"/>
  <c r="CX1182" i="48" s="1"/>
  <c r="CV1317" i="48"/>
  <c r="CX1317" i="48" s="1"/>
  <c r="CV1110" i="48"/>
  <c r="CX1110" i="48" s="1"/>
  <c r="CV308" i="48"/>
  <c r="CX308" i="48" s="1"/>
  <c r="CV966" i="48"/>
  <c r="CX966" i="48" s="1"/>
  <c r="CV816" i="48"/>
  <c r="CX816" i="48" s="1"/>
  <c r="CV362" i="48"/>
  <c r="CX362" i="48" s="1"/>
  <c r="CV670" i="48"/>
  <c r="CX670" i="48" s="1"/>
  <c r="CV1203" i="48"/>
  <c r="CX1203" i="48" s="1"/>
  <c r="CV200" i="48"/>
  <c r="CX200" i="48" s="1"/>
  <c r="CV918" i="48"/>
  <c r="CX918" i="48" s="1"/>
  <c r="CV117" i="48"/>
  <c r="CX117" i="48" s="1"/>
  <c r="CV1209" i="48"/>
  <c r="CX1209" i="48" s="1"/>
  <c r="CV720" i="48"/>
  <c r="CX720" i="48" s="1"/>
  <c r="CV1005" i="48"/>
  <c r="CX1005" i="48" s="1"/>
  <c r="CV92" i="48"/>
  <c r="CX92" i="48" s="1"/>
  <c r="CV1029" i="48"/>
  <c r="CX1029" i="48" s="1"/>
  <c r="CV1101" i="48"/>
  <c r="CX1101" i="48" s="1"/>
  <c r="CV1269" i="48"/>
  <c r="CX1269" i="48" s="1"/>
  <c r="CV417" i="48"/>
  <c r="CX417" i="48" s="1"/>
  <c r="CV1250" i="48"/>
  <c r="CX1250" i="48" s="1"/>
  <c r="CV359" i="48"/>
  <c r="CX359" i="48" s="1"/>
  <c r="CV774" i="48"/>
  <c r="CX774" i="48" s="1"/>
  <c r="CV673" i="48"/>
  <c r="CX673" i="48" s="1"/>
  <c r="CV935" i="48"/>
  <c r="CX935" i="48" s="1"/>
  <c r="CV669" i="48"/>
  <c r="CX669" i="48" s="1"/>
  <c r="CV843" i="48"/>
  <c r="CX843" i="48" s="1"/>
  <c r="CV676" i="48"/>
  <c r="CX676" i="48" s="1"/>
  <c r="CV777" i="48"/>
  <c r="CX777" i="48" s="1"/>
  <c r="CV393" i="48"/>
  <c r="CX393" i="48" s="1"/>
  <c r="CV596" i="48"/>
  <c r="CX596" i="48" s="1"/>
  <c r="CV524" i="48"/>
  <c r="CX524" i="48" s="1"/>
  <c r="CV746" i="48"/>
  <c r="CX746" i="48" s="1"/>
  <c r="CV1076" i="48"/>
  <c r="CX1076" i="48" s="1"/>
  <c r="CV485" i="48"/>
  <c r="CX485" i="48" s="1"/>
  <c r="CV481" i="48"/>
  <c r="CX481" i="48" s="1"/>
  <c r="CV320" i="48"/>
  <c r="CX320" i="48" s="1"/>
  <c r="CV967" i="48"/>
  <c r="CX967" i="48" s="1"/>
  <c r="CV388" i="48"/>
  <c r="CX388" i="48" s="1"/>
  <c r="CV97" i="48"/>
  <c r="CX97" i="48" s="1"/>
  <c r="CV598" i="48"/>
  <c r="CX598" i="48" s="1"/>
  <c r="CV1330" i="48"/>
  <c r="CX1330" i="48" s="1"/>
  <c r="CV390" i="48"/>
  <c r="CX390" i="48" s="1"/>
  <c r="CV82" i="48"/>
  <c r="CX82" i="48" s="1"/>
  <c r="CV458" i="48"/>
  <c r="CX458" i="48" s="1"/>
  <c r="CV1228" i="48"/>
  <c r="CX1228" i="48" s="1"/>
  <c r="CV1114" i="48"/>
  <c r="CX1114" i="48" s="1"/>
  <c r="CV897" i="48"/>
  <c r="CX897" i="48" s="1"/>
  <c r="CV243" i="48"/>
  <c r="CX243" i="48" s="1"/>
  <c r="CV250" i="48"/>
  <c r="CX250" i="48" s="1"/>
  <c r="CV1275" i="48"/>
  <c r="CX1275" i="48" s="1"/>
  <c r="CV1294" i="48"/>
  <c r="CX1294" i="48" s="1"/>
  <c r="CV75" i="48"/>
  <c r="CX75" i="48" s="1"/>
  <c r="CV871" i="48"/>
  <c r="CX871" i="48" s="1"/>
  <c r="CV533" i="48"/>
  <c r="CX533" i="48" s="1"/>
  <c r="CV764" i="48"/>
  <c r="CX764" i="48" s="1"/>
  <c r="CV151" i="48"/>
  <c r="CX151" i="48" s="1"/>
  <c r="CV1087" i="48"/>
  <c r="CX1087" i="48" s="1"/>
  <c r="CV599" i="48"/>
  <c r="CX599" i="48" s="1"/>
  <c r="CV962" i="48"/>
  <c r="CX962" i="48" s="1"/>
  <c r="CV1295" i="48"/>
  <c r="CX1295" i="48" s="1"/>
  <c r="CV1160" i="48"/>
  <c r="CX1160" i="48" s="1"/>
  <c r="CV1035" i="48"/>
  <c r="CX1035" i="48" s="1"/>
  <c r="CV244" i="48"/>
  <c r="CX244" i="48" s="1"/>
  <c r="CV202" i="48"/>
  <c r="CX202" i="48" s="1"/>
  <c r="CV460" i="48"/>
  <c r="CX460" i="48" s="1"/>
  <c r="CV1303" i="48"/>
  <c r="CX1303" i="48" s="1"/>
  <c r="CV56" i="48"/>
  <c r="CX56" i="48" s="1"/>
  <c r="CV1256" i="48"/>
  <c r="CX1256" i="48" s="1"/>
  <c r="CV455" i="48"/>
  <c r="CX455" i="48" s="1"/>
  <c r="CV1156" i="48"/>
  <c r="CX1156" i="48" s="1"/>
  <c r="CV1179" i="48"/>
  <c r="CX1179" i="48" s="1"/>
  <c r="CV106" i="48"/>
  <c r="CX106" i="48" s="1"/>
  <c r="CV98" i="48"/>
  <c r="CX98" i="48" s="1"/>
  <c r="CV387" i="48"/>
  <c r="CX387" i="48" s="1"/>
  <c r="CV432" i="48"/>
  <c r="CX432" i="48" s="1"/>
  <c r="CV437" i="48"/>
  <c r="CX437" i="48" s="1"/>
  <c r="CV765" i="48"/>
  <c r="CX765" i="48" s="1"/>
  <c r="CV895" i="48"/>
  <c r="CX895" i="48" s="1"/>
  <c r="CV223" i="48"/>
  <c r="CX223" i="48" s="1"/>
  <c r="CV1041" i="48"/>
  <c r="CX1041" i="48" s="1"/>
  <c r="CV384" i="48"/>
  <c r="CX384" i="48" s="1"/>
  <c r="CV1106" i="48"/>
  <c r="CX1106" i="48" s="1"/>
  <c r="CV1254" i="48"/>
  <c r="CX1254" i="48" s="1"/>
  <c r="CV842" i="48"/>
  <c r="CX842" i="48" s="1"/>
  <c r="CV58" i="48"/>
  <c r="CX58" i="48" s="1"/>
  <c r="CV873" i="48"/>
  <c r="CX873" i="48" s="1"/>
  <c r="CV289" i="48"/>
  <c r="CX289" i="48" s="1"/>
  <c r="CV150" i="48"/>
  <c r="CX150" i="48" s="1"/>
  <c r="CV226" i="48"/>
  <c r="CX226" i="48" s="1"/>
  <c r="CV508" i="48"/>
  <c r="CX508" i="48" s="1"/>
  <c r="CV1247" i="48"/>
  <c r="CX1247" i="48" s="1"/>
  <c r="CV1252" i="48"/>
  <c r="CX1252" i="48" s="1"/>
  <c r="CV144" i="48"/>
  <c r="CX144" i="48" s="1"/>
  <c r="CV1198" i="48"/>
  <c r="CX1198" i="48" s="1"/>
  <c r="CV893" i="48"/>
  <c r="CX893" i="48" s="1"/>
  <c r="CV604" i="48"/>
  <c r="CX604" i="48" s="1"/>
  <c r="CV650" i="48"/>
  <c r="CX650" i="48" s="1"/>
  <c r="CV1132" i="48"/>
  <c r="CX1132" i="48" s="1"/>
  <c r="CV865" i="48"/>
  <c r="CX865" i="48" s="1"/>
  <c r="CV176" i="48"/>
  <c r="CX176" i="48" s="1"/>
  <c r="CV826" i="48"/>
  <c r="CX826" i="48" s="1"/>
  <c r="CV912" i="48"/>
  <c r="CX912" i="48" s="1"/>
  <c r="CV938" i="48"/>
  <c r="CX938" i="48" s="1"/>
  <c r="CV193" i="48"/>
  <c r="CX193" i="48" s="1"/>
  <c r="CV796" i="48"/>
  <c r="CX796" i="48" s="1"/>
  <c r="CV862" i="48"/>
  <c r="CX862" i="48" s="1"/>
  <c r="CV45" i="48"/>
  <c r="CX45" i="48" s="1"/>
  <c r="CV1004" i="48"/>
  <c r="CX1004" i="48" s="1"/>
  <c r="CV794" i="48"/>
  <c r="CX794" i="48" s="1"/>
  <c r="CV550" i="48"/>
  <c r="CX550" i="48" s="1"/>
  <c r="CV964" i="48"/>
  <c r="CX964" i="48" s="1"/>
  <c r="CV269" i="48"/>
  <c r="CX269" i="48" s="1"/>
  <c r="CV480" i="48"/>
  <c r="CX480" i="48" s="1"/>
  <c r="CV1183" i="48"/>
  <c r="CX1183" i="48" s="1"/>
  <c r="CV1281" i="48"/>
  <c r="CX1281" i="48" s="1"/>
  <c r="CV489" i="48"/>
  <c r="CX489" i="48" s="1"/>
  <c r="CV1221" i="48"/>
  <c r="CX1221" i="48" s="1"/>
  <c r="CV363" i="48"/>
  <c r="CX363" i="48" s="1"/>
  <c r="CV844" i="48"/>
  <c r="CX844" i="48" s="1"/>
  <c r="CV105" i="48"/>
  <c r="CX105" i="48" s="1"/>
  <c r="CV719" i="48"/>
  <c r="CX719" i="48" s="1"/>
  <c r="CV913" i="48"/>
  <c r="CX913" i="48" s="1"/>
  <c r="CV1201" i="48"/>
  <c r="CX1201" i="48" s="1"/>
  <c r="CV366" i="48"/>
  <c r="CX366" i="48" s="1"/>
  <c r="CV943" i="48"/>
  <c r="CX943" i="48" s="1"/>
  <c r="CV168" i="48"/>
  <c r="CX168" i="48" s="1"/>
  <c r="CV553" i="48"/>
  <c r="CX553" i="48" s="1"/>
  <c r="CV559" i="48"/>
  <c r="CX559" i="48" s="1"/>
  <c r="CV1066" i="48"/>
  <c r="CX1066" i="48" s="1"/>
  <c r="CV1305" i="48"/>
  <c r="CX1305" i="48" s="1"/>
  <c r="CV778" i="48"/>
  <c r="CX778" i="48" s="1"/>
  <c r="CV896" i="48"/>
  <c r="CX896" i="48" s="1"/>
  <c r="CV1082" i="48"/>
  <c r="CX1082" i="48" s="1"/>
  <c r="CV868" i="48"/>
  <c r="CX868" i="48" s="1"/>
  <c r="CV459" i="48"/>
  <c r="CX459" i="48" s="1"/>
  <c r="CV1085" i="48"/>
  <c r="CX1085" i="48" s="1"/>
  <c r="CV164" i="48"/>
  <c r="CX164" i="48" s="1"/>
  <c r="CV860" i="48"/>
  <c r="CX860" i="48" s="1"/>
  <c r="CV798" i="48"/>
  <c r="CX798" i="48" s="1"/>
  <c r="CV389" i="48"/>
  <c r="CX389" i="48" s="1"/>
  <c r="CV1162" i="48"/>
  <c r="CX1162" i="48" s="1"/>
  <c r="CV1302" i="48"/>
  <c r="CX1302" i="48" s="1"/>
  <c r="CV1199" i="48"/>
  <c r="CX1199" i="48" s="1"/>
  <c r="CV143" i="48"/>
  <c r="CX143" i="48" s="1"/>
  <c r="CV1206" i="48"/>
  <c r="CX1206" i="48" s="1"/>
  <c r="CV122" i="48"/>
  <c r="CX122" i="48" s="1"/>
  <c r="CV702" i="48"/>
  <c r="CX702" i="48" s="1"/>
  <c r="CV623" i="48"/>
  <c r="CX623" i="48" s="1"/>
  <c r="CV597" i="48"/>
  <c r="CX597" i="48" s="1"/>
  <c r="CV264" i="48"/>
  <c r="CX264" i="48" s="1"/>
  <c r="CV435" i="48"/>
  <c r="CX435" i="48" s="1"/>
  <c r="CV345" i="48"/>
  <c r="CX345" i="48" s="1"/>
  <c r="CV914" i="48"/>
  <c r="CX914" i="48" s="1"/>
  <c r="CV647" i="48"/>
  <c r="CX647" i="48" s="1"/>
  <c r="CV1014" i="48"/>
  <c r="CX1014" i="48" s="1"/>
  <c r="CV383" i="48"/>
  <c r="CX383" i="48" s="1"/>
  <c r="CV980" i="48"/>
  <c r="CX980" i="48" s="1"/>
  <c r="CV849" i="48"/>
  <c r="CX849" i="48" s="1"/>
  <c r="CV1006" i="48"/>
  <c r="CX1006" i="48" s="1"/>
  <c r="CV263" i="48"/>
  <c r="CX263" i="48" s="1"/>
  <c r="CV884" i="48"/>
  <c r="CX884" i="48" s="1"/>
  <c r="CV625" i="48"/>
  <c r="CX625" i="48" s="1"/>
  <c r="CV334" i="48"/>
  <c r="CX334" i="48" s="1"/>
  <c r="CV337" i="48"/>
  <c r="CX337" i="48" s="1"/>
  <c r="CV609" i="48"/>
  <c r="CX609" i="48" s="1"/>
  <c r="CV572" i="48"/>
  <c r="CX572" i="48" s="1"/>
  <c r="CV629" i="48"/>
  <c r="CX629" i="48" s="1"/>
  <c r="CV1037" i="48"/>
  <c r="CX1037" i="48" s="1"/>
  <c r="CV573" i="48"/>
  <c r="CX573" i="48" s="1"/>
  <c r="CV439" i="48"/>
  <c r="CX439" i="48" s="1"/>
  <c r="CV836" i="48"/>
  <c r="CX836" i="48" s="1"/>
  <c r="CV818" i="48"/>
  <c r="CX818" i="48" s="1"/>
  <c r="CV169" i="48"/>
  <c r="CX169" i="48" s="1"/>
  <c r="CV504" i="48"/>
  <c r="CX504" i="48" s="1"/>
  <c r="CV488" i="48"/>
  <c r="CX488" i="48" s="1"/>
  <c r="CV293" i="48"/>
  <c r="CX293" i="48" s="1"/>
  <c r="CV801" i="48"/>
  <c r="CX801" i="48" s="1"/>
  <c r="CV968" i="48"/>
  <c r="CX968" i="48" s="1"/>
  <c r="CV386" i="48"/>
  <c r="CX386" i="48" s="1"/>
  <c r="CV866" i="48"/>
  <c r="CX866" i="48" s="1"/>
  <c r="CV655" i="48"/>
  <c r="CX655" i="48" s="1"/>
  <c r="CV921" i="48"/>
  <c r="CX921" i="48" s="1"/>
  <c r="CV1257" i="48"/>
  <c r="CX1257" i="48" s="1"/>
  <c r="CV916" i="48"/>
  <c r="CX916" i="48" s="1"/>
  <c r="CV1086" i="48"/>
  <c r="CX1086" i="48" s="1"/>
  <c r="CV1208" i="48"/>
  <c r="CX1208" i="48" s="1"/>
  <c r="CV178" i="48"/>
  <c r="CX178" i="48" s="1"/>
  <c r="CV463" i="48"/>
  <c r="CX463" i="48" s="1"/>
  <c r="CV1016" i="48"/>
  <c r="CX1016" i="48" s="1"/>
  <c r="CV220" i="48"/>
  <c r="CX220" i="48" s="1"/>
  <c r="CV260" i="48"/>
  <c r="CX260" i="48" s="1"/>
  <c r="CV525" i="48"/>
  <c r="CX525" i="48" s="1"/>
  <c r="CV335" i="48"/>
  <c r="CX335" i="48" s="1"/>
  <c r="CV1100" i="48"/>
  <c r="CX1100" i="48" s="1"/>
  <c r="CV1128" i="48"/>
  <c r="CX1128" i="48" s="1"/>
  <c r="CV54" i="48"/>
  <c r="CX54" i="48" s="1"/>
  <c r="CV356" i="48"/>
  <c r="CX356" i="48" s="1"/>
  <c r="CV602" i="48"/>
  <c r="CX602" i="48" s="1"/>
  <c r="CV196" i="48"/>
  <c r="CX196" i="48" s="1"/>
  <c r="CV799" i="48"/>
  <c r="CX799" i="48" s="1"/>
  <c r="CV723" i="48"/>
  <c r="CX723" i="48" s="1"/>
  <c r="CV1234" i="48"/>
  <c r="CX1234" i="48" s="1"/>
  <c r="CV1038" i="48"/>
  <c r="CX1038" i="48" s="1"/>
  <c r="CV1186" i="48"/>
  <c r="CX1186" i="48" s="1"/>
  <c r="CV1153" i="48"/>
  <c r="CX1153" i="48" s="1"/>
  <c r="CV268" i="48"/>
  <c r="CX268" i="48" s="1"/>
  <c r="CV823" i="48"/>
  <c r="CX823" i="48" s="1"/>
  <c r="CV874" i="48"/>
  <c r="CX874" i="48" s="1"/>
  <c r="CV769" i="48"/>
  <c r="CX769" i="48" s="1"/>
  <c r="CV892" i="48"/>
  <c r="CX892" i="48" s="1"/>
  <c r="CV1104" i="48"/>
  <c r="CX1104" i="48" s="1"/>
  <c r="CV722" i="48"/>
  <c r="CX722" i="48" s="1"/>
  <c r="CV1292" i="48"/>
  <c r="CX1292" i="48" s="1"/>
  <c r="CV1081" i="48"/>
  <c r="CX1081" i="48" s="1"/>
  <c r="CV1059" i="48"/>
  <c r="CX1059" i="48" s="1"/>
  <c r="CV1158" i="48"/>
  <c r="CX1158" i="48" s="1"/>
  <c r="CV820" i="48"/>
  <c r="CX820" i="48" s="1"/>
  <c r="CV605" i="48"/>
  <c r="CX605" i="48" s="1"/>
  <c r="CV1130" i="48"/>
  <c r="CX1130" i="48" s="1"/>
  <c r="CV1105" i="48"/>
  <c r="CX1105" i="48" s="1"/>
  <c r="CV1327" i="48"/>
  <c r="CX1327" i="48" s="1"/>
  <c r="CV55" i="48"/>
  <c r="CX55" i="48" s="1"/>
  <c r="CV414" i="48"/>
  <c r="CX414" i="48" s="1"/>
  <c r="CV1207" i="48"/>
  <c r="CX1207" i="48" s="1"/>
  <c r="CV340" i="48"/>
  <c r="CX340" i="48" s="1"/>
  <c r="CV960" i="48"/>
  <c r="CX960" i="48" s="1"/>
  <c r="CV817" i="48"/>
  <c r="CX817" i="48" s="1"/>
  <c r="CV1282" i="48"/>
  <c r="CX1282" i="48" s="1"/>
  <c r="CV1040" i="48"/>
  <c r="CX1040" i="48" s="1"/>
  <c r="CV510" i="48"/>
  <c r="CX510" i="48" s="1"/>
  <c r="CV721" i="48"/>
  <c r="CX721" i="48" s="1"/>
  <c r="CV1280" i="48"/>
  <c r="CX1280" i="48" s="1"/>
  <c r="CV380" i="48"/>
  <c r="CX380" i="48" s="1"/>
  <c r="CV1204" i="48"/>
  <c r="CX1204" i="48" s="1"/>
  <c r="CV646" i="48"/>
  <c r="CX646" i="48" s="1"/>
  <c r="CV1268" i="48"/>
  <c r="CX1268" i="48" s="1"/>
  <c r="CV248" i="48"/>
  <c r="CX248" i="48" s="1"/>
  <c r="CV538" i="48"/>
  <c r="CX538" i="48" s="1"/>
  <c r="CV1326" i="48"/>
  <c r="CX1326" i="48" s="1"/>
  <c r="CV413" i="48"/>
  <c r="CX413" i="48" s="1"/>
  <c r="CV191" i="48"/>
  <c r="CX191" i="48" s="1"/>
  <c r="CV1297" i="48"/>
  <c r="CX1297" i="48" s="1"/>
  <c r="CV653" i="48"/>
  <c r="CX653" i="48" s="1"/>
  <c r="CV822" i="48"/>
  <c r="CX822" i="48" s="1"/>
  <c r="CV195" i="48"/>
  <c r="CX195" i="48" s="1"/>
  <c r="CV509" i="48"/>
  <c r="CX509" i="48" s="1"/>
  <c r="CV273" i="48"/>
  <c r="CX273" i="48" s="1"/>
  <c r="CV1321" i="48"/>
  <c r="CX1321" i="48" s="1"/>
  <c r="CV124" i="48"/>
  <c r="CX124" i="48" s="1"/>
  <c r="CV1197" i="48"/>
  <c r="CX1197" i="48" s="1"/>
  <c r="CV271" i="48"/>
  <c r="CX271" i="48" s="1"/>
  <c r="CV839" i="48"/>
  <c r="CX839" i="48" s="1"/>
  <c r="CV837" i="48"/>
  <c r="CX837" i="48" s="1"/>
  <c r="CV791" i="48"/>
  <c r="CX791" i="48" s="1"/>
  <c r="CV846" i="48"/>
  <c r="CX846" i="48" s="1"/>
  <c r="CV430" i="48"/>
  <c r="CX430" i="48" s="1"/>
  <c r="CV634" i="48"/>
  <c r="CX634" i="48" s="1"/>
  <c r="CV1277" i="48"/>
  <c r="CX1277" i="48" s="1"/>
  <c r="CV1090" i="48"/>
  <c r="CX1090" i="48" s="1"/>
  <c r="CV125" i="48"/>
  <c r="CX125" i="48" s="1"/>
  <c r="CV1057" i="48"/>
  <c r="CX1057" i="48" s="1"/>
  <c r="CV657" i="48"/>
  <c r="CX657" i="48" s="1"/>
  <c r="CV704" i="48"/>
  <c r="CX704" i="48" s="1"/>
  <c r="CV580" i="48"/>
  <c r="CX580" i="48" s="1"/>
  <c r="CV1272" i="48"/>
  <c r="CX1272" i="48" s="1"/>
  <c r="CV578" i="48"/>
  <c r="CX578" i="48" s="1"/>
  <c r="CV1012" i="48"/>
  <c r="CX1012" i="48" s="1"/>
  <c r="CV1031" i="48"/>
  <c r="CX1031" i="48" s="1"/>
  <c r="CV946" i="48"/>
  <c r="CX946" i="48" s="1"/>
  <c r="CV1159" i="48"/>
  <c r="CX1159" i="48" s="1"/>
  <c r="CV793" i="48"/>
  <c r="CX793" i="48" s="1"/>
  <c r="CV988" i="48"/>
  <c r="CX988" i="48" s="1"/>
  <c r="CV1323" i="48"/>
  <c r="CX1323" i="48" s="1"/>
  <c r="CV910" i="48"/>
  <c r="CX910" i="48" s="1"/>
  <c r="CV44" i="48"/>
  <c r="CX44" i="48" s="1"/>
  <c r="CV982" i="48"/>
  <c r="CX982" i="48" s="1"/>
  <c r="CV486" i="48"/>
  <c r="CX486" i="48" s="1"/>
  <c r="CV908" i="48"/>
  <c r="CX908" i="48" s="1"/>
  <c r="CV199" i="48"/>
  <c r="CX199" i="48" s="1"/>
  <c r="CV1017" i="48"/>
  <c r="CX1017" i="48" s="1"/>
  <c r="CV1177" i="48"/>
  <c r="CX1177" i="48" s="1"/>
  <c r="CV771" i="48"/>
  <c r="CX771" i="48" s="1"/>
  <c r="CV945" i="48"/>
  <c r="CX945" i="48" s="1"/>
  <c r="CV1109" i="48"/>
  <c r="CX1109" i="48" s="1"/>
  <c r="CV700" i="48"/>
  <c r="CX700" i="48" s="1"/>
  <c r="CV741" i="48"/>
  <c r="CX741" i="48" s="1"/>
  <c r="CV429" i="48"/>
  <c r="CX429" i="48" s="1"/>
  <c r="CV554" i="48"/>
  <c r="CX554" i="48" s="1"/>
  <c r="CV1136" i="48"/>
  <c r="CX1136" i="48" s="1"/>
  <c r="CV911" i="48"/>
  <c r="CX911" i="48" s="1"/>
  <c r="CV717" i="48"/>
  <c r="CX717" i="48" s="1"/>
  <c r="CV442" i="48"/>
  <c r="CX442" i="48" s="1"/>
  <c r="CV1102" i="48"/>
  <c r="CX1102" i="48" s="1"/>
  <c r="CV482" i="48"/>
  <c r="CX482" i="48" s="1"/>
  <c r="CV219" i="48"/>
  <c r="CX219" i="48" s="1"/>
  <c r="CV218" i="48"/>
  <c r="CX218" i="48" s="1"/>
  <c r="CV433" i="48"/>
  <c r="CX433" i="48" s="1"/>
  <c r="CV671" i="48"/>
  <c r="CX671" i="48" s="1"/>
  <c r="CV753" i="48"/>
  <c r="CX753" i="48" s="1"/>
  <c r="CV531" i="48"/>
  <c r="CX531" i="48" s="1"/>
  <c r="CV558" i="48"/>
  <c r="CX558" i="48" s="1"/>
  <c r="CV361" i="48"/>
  <c r="CX361" i="48" s="1"/>
  <c r="CV440" i="48"/>
  <c r="CX440" i="48" s="1"/>
  <c r="CV549" i="48"/>
  <c r="CX549" i="48" s="1"/>
  <c r="CV412" i="48"/>
  <c r="CX412" i="48" s="1"/>
  <c r="CV658" i="48"/>
  <c r="CX658" i="48" s="1"/>
  <c r="CV551" i="48"/>
  <c r="CX551" i="48" s="1"/>
  <c r="CV1009" i="48"/>
  <c r="CX1009" i="48" s="1"/>
  <c r="CV1083" i="48"/>
  <c r="CX1083" i="48" s="1"/>
  <c r="CV847" i="48"/>
  <c r="CX847" i="48" s="1"/>
  <c r="CV922" i="48"/>
  <c r="CX922" i="48" s="1"/>
  <c r="CV319" i="48"/>
  <c r="CX319" i="48" s="1"/>
  <c r="CV79" i="48"/>
  <c r="CX79" i="48" s="1"/>
  <c r="CV1060" i="48"/>
  <c r="CX1060" i="48" s="1"/>
  <c r="CV391" i="48"/>
  <c r="CX391" i="48" s="1"/>
  <c r="CV1325" i="48"/>
  <c r="CX1325" i="48" s="1"/>
  <c r="CV749" i="48"/>
  <c r="CX749" i="48" s="1"/>
  <c r="CV747" i="48"/>
  <c r="CX747" i="48" s="1"/>
  <c r="CV297" i="48"/>
  <c r="CX297" i="48" s="1"/>
  <c r="CV1126" i="48"/>
  <c r="CX1126" i="48" s="1"/>
  <c r="CV311" i="48"/>
  <c r="CX311" i="48" s="1"/>
  <c r="CV152" i="48"/>
  <c r="CX152" i="48" s="1"/>
  <c r="CV1061" i="48"/>
  <c r="CX1061" i="48" s="1"/>
  <c r="CV984" i="48"/>
  <c r="CX984" i="48" s="1"/>
  <c r="CV986" i="48"/>
  <c r="CX986" i="48" s="1"/>
  <c r="CV261" i="48"/>
  <c r="CX261" i="48" s="1"/>
  <c r="CV265" i="48"/>
  <c r="CX265" i="48" s="1"/>
  <c r="CV198" i="48"/>
  <c r="CX198" i="48" s="1"/>
  <c r="CV514" i="48"/>
  <c r="CX514" i="48" s="1"/>
  <c r="CV146" i="48"/>
  <c r="CX146" i="48" s="1"/>
  <c r="CV1129" i="48"/>
  <c r="CX1129" i="48" s="1"/>
  <c r="CV795" i="48"/>
  <c r="CX795" i="48" s="1"/>
  <c r="CV1200" i="48"/>
  <c r="CX1200" i="48" s="1"/>
  <c r="CV464" i="48"/>
  <c r="CX464" i="48" s="1"/>
  <c r="CV527" i="48"/>
  <c r="CX527" i="48" s="1"/>
  <c r="CV536" i="48"/>
  <c r="CX536" i="48" s="1"/>
  <c r="CV526" i="48"/>
  <c r="CX526" i="48" s="1"/>
  <c r="CV991" i="48"/>
  <c r="CX991" i="48" s="1"/>
  <c r="CV889" i="48"/>
  <c r="CX889" i="48" s="1"/>
  <c r="CV819" i="48"/>
  <c r="CX819" i="48" s="1"/>
  <c r="CV863" i="48"/>
  <c r="CX863" i="48" s="1"/>
  <c r="CV1055" i="48"/>
  <c r="CX1055" i="48" s="1"/>
  <c r="CV456" i="48"/>
  <c r="CX456" i="48" s="1"/>
  <c r="CV1124" i="48"/>
  <c r="CX1124" i="48" s="1"/>
  <c r="CV167" i="48"/>
  <c r="CX167" i="48" s="1"/>
  <c r="CV648" i="48"/>
  <c r="CX648" i="48" s="1"/>
  <c r="CV99" i="48"/>
  <c r="CX99" i="48" s="1"/>
  <c r="CV321" i="48"/>
  <c r="CX321" i="48" s="1"/>
  <c r="CV770" i="48"/>
  <c r="CX770" i="48" s="1"/>
  <c r="CV743" i="48"/>
  <c r="CX743" i="48" s="1"/>
  <c r="CV651" i="48"/>
  <c r="CX651" i="48" s="1"/>
  <c r="CV78" i="48"/>
  <c r="CX78" i="48" s="1"/>
  <c r="CV1008" i="48"/>
  <c r="CX1008" i="48" s="1"/>
  <c r="CV693" i="48"/>
  <c r="CX693" i="48" s="1"/>
  <c r="CV1127" i="48"/>
  <c r="CX1127" i="48" s="1"/>
  <c r="CV336" i="48"/>
  <c r="CX336" i="48" s="1"/>
  <c r="CV814" i="48"/>
  <c r="CX814" i="48" s="1"/>
  <c r="CV317" i="48"/>
  <c r="CX317" i="48" s="1"/>
  <c r="CV729" i="48"/>
  <c r="CX729" i="48" s="1"/>
  <c r="CV941" i="48"/>
  <c r="CX941" i="48" s="1"/>
  <c r="CV245" i="48"/>
  <c r="CX245" i="48" s="1"/>
  <c r="CV934" i="48"/>
  <c r="CX934" i="48" s="1"/>
  <c r="CV716" i="48"/>
  <c r="CX716" i="48" s="1"/>
  <c r="CV50" i="48"/>
  <c r="CX50" i="48" s="1"/>
  <c r="CV772" i="48"/>
  <c r="CX772" i="48" s="1"/>
  <c r="CV365" i="48"/>
  <c r="CX365" i="48" s="1"/>
  <c r="CV436" i="48"/>
  <c r="CX436" i="48" s="1"/>
  <c r="CV583" i="48"/>
  <c r="CX583" i="48" s="1"/>
  <c r="CV1244" i="48"/>
  <c r="CX1244" i="48" s="1"/>
  <c r="CV174" i="48"/>
  <c r="CX174" i="48" s="1"/>
  <c r="CV813" i="48"/>
  <c r="CX813" i="48" s="1"/>
  <c r="CV1157" i="48"/>
  <c r="CX1157" i="48" s="1"/>
  <c r="CV812" i="48"/>
  <c r="CX812" i="48" s="1"/>
  <c r="CV267" i="48"/>
  <c r="CX267" i="48" s="1"/>
  <c r="CV1318" i="48"/>
  <c r="CX1318" i="48" s="1"/>
  <c r="CV1245" i="48"/>
  <c r="CX1245" i="48" s="1"/>
  <c r="CV452" i="48"/>
  <c r="CX452" i="48" s="1"/>
  <c r="CV1125" i="48"/>
  <c r="CX1125" i="48" s="1"/>
  <c r="CV360" i="48"/>
  <c r="CX360" i="48" s="1"/>
  <c r="CV730" i="48"/>
  <c r="CX730" i="48" s="1"/>
  <c r="CV576" i="48"/>
  <c r="CX576" i="48" s="1"/>
  <c r="CV728" i="48"/>
  <c r="CX728" i="48" s="1"/>
  <c r="CV987" i="48"/>
  <c r="CX987" i="48" s="1"/>
  <c r="CV1173" i="48"/>
  <c r="CX1173" i="48" s="1"/>
  <c r="CV287" i="48"/>
  <c r="CX287" i="48" s="1"/>
  <c r="CV584" i="48"/>
  <c r="CX584" i="48" s="1"/>
  <c r="CV1246" i="48"/>
  <c r="CX1246" i="48" s="1"/>
  <c r="CV940" i="48"/>
  <c r="CX940" i="48" s="1"/>
  <c r="CV1010" i="48"/>
  <c r="CX1010" i="48" s="1"/>
  <c r="CV465" i="48"/>
  <c r="CX465" i="48" s="1"/>
  <c r="CV775" i="48"/>
  <c r="CX775" i="48" s="1"/>
  <c r="CV825" i="48"/>
  <c r="CX825" i="48" s="1"/>
  <c r="CV1279" i="48"/>
  <c r="CX1279" i="48" s="1"/>
  <c r="CV217" i="48"/>
  <c r="CX217" i="48" s="1"/>
  <c r="CV197" i="48"/>
  <c r="CX197" i="48" s="1"/>
  <c r="CV240" i="48"/>
  <c r="CX240" i="48" s="1"/>
  <c r="CV101" i="48"/>
  <c r="CX101" i="48" s="1"/>
  <c r="CV314" i="48"/>
  <c r="CX314" i="48" s="1"/>
  <c r="CV1064" i="48"/>
  <c r="CX1064" i="48" s="1"/>
  <c r="CV885" i="48"/>
  <c r="CX885" i="48" s="1"/>
  <c r="CV788" i="48"/>
  <c r="CX788" i="48" s="1"/>
  <c r="CV69" i="48"/>
  <c r="CX69" i="48" s="1"/>
  <c r="CV454" i="48"/>
  <c r="CX454" i="48" s="1"/>
  <c r="CV1148" i="48"/>
  <c r="CX1148" i="48" s="1"/>
  <c r="CV147" i="48"/>
  <c r="CX147" i="48" s="1"/>
  <c r="CV701" i="48"/>
  <c r="CX701" i="48" s="1"/>
  <c r="CV1079" i="48"/>
  <c r="CX1079" i="48" s="1"/>
  <c r="CV477" i="48"/>
  <c r="CX477" i="48" s="1"/>
  <c r="CV993" i="48"/>
  <c r="CX993" i="48" s="1"/>
  <c r="CV381" i="48"/>
  <c r="CX381" i="48" s="1"/>
  <c r="CV1172" i="48"/>
  <c r="CX1172" i="48" s="1"/>
  <c r="CV915" i="48"/>
  <c r="CX915" i="48" s="1"/>
  <c r="CV1113" i="48"/>
  <c r="CX1113" i="48" s="1"/>
  <c r="CV963" i="48"/>
  <c r="CX963" i="48" s="1"/>
  <c r="CV802" i="48"/>
  <c r="CX802" i="48" s="1"/>
  <c r="CV970" i="48"/>
  <c r="CX970" i="48" s="1"/>
  <c r="CV513" i="48"/>
  <c r="CX513" i="48" s="1"/>
  <c r="CV478" i="48"/>
  <c r="CX478" i="48" s="1"/>
  <c r="CV767" i="48"/>
  <c r="CX767" i="48" s="1"/>
  <c r="CV1013" i="48"/>
  <c r="CX1013" i="48" s="1"/>
  <c r="CV957" i="48"/>
  <c r="CX957" i="48" s="1"/>
  <c r="CV1324" i="48"/>
  <c r="CX1324" i="48" s="1"/>
  <c r="CV77" i="48"/>
  <c r="CX77" i="48" s="1"/>
  <c r="CV1304" i="48"/>
  <c r="CX1304" i="48" s="1"/>
  <c r="CV249" i="48"/>
  <c r="CX249" i="48" s="1"/>
  <c r="CV298" i="48"/>
  <c r="CX298" i="48" s="1"/>
  <c r="CV575" i="48"/>
  <c r="CX575" i="48" s="1"/>
  <c r="CV1322" i="48"/>
  <c r="CX1322" i="48" s="1"/>
  <c r="CV1301" i="48"/>
  <c r="CX1301" i="48" s="1"/>
  <c r="CV73" i="48"/>
  <c r="CX73" i="48" s="1"/>
  <c r="CV1210" i="48"/>
  <c r="CX1210" i="48" s="1"/>
  <c r="CV1224" i="48"/>
  <c r="CX1224" i="48" s="1"/>
  <c r="CV438" i="48"/>
  <c r="CX438" i="48" s="1"/>
  <c r="CV512" i="48"/>
  <c r="CX512" i="48" s="1"/>
  <c r="CV864" i="48"/>
  <c r="CX864" i="48" s="1"/>
  <c r="CV476" i="48"/>
  <c r="CX476" i="48" s="1"/>
  <c r="CV681" i="48"/>
  <c r="CX681" i="48" s="1"/>
  <c r="CV766" i="48"/>
  <c r="CX766" i="48" s="1"/>
  <c r="CV121" i="48"/>
  <c r="CX121" i="48" s="1"/>
  <c r="CV148" i="48"/>
  <c r="CX148" i="48" s="1"/>
  <c r="CV96" i="48"/>
  <c r="CX96" i="48" s="1"/>
  <c r="CV294" i="48"/>
  <c r="CX294" i="48" s="1"/>
  <c r="CV649" i="48"/>
  <c r="CX649" i="48" s="1"/>
  <c r="CV453" i="48"/>
  <c r="CX453" i="48" s="1"/>
  <c r="CV917" i="48"/>
  <c r="CX917" i="48" s="1"/>
  <c r="CV699" i="48"/>
  <c r="CX699" i="48" s="1"/>
  <c r="CV123" i="48"/>
  <c r="CX123" i="48" s="1"/>
  <c r="CV171" i="48"/>
  <c r="CX171" i="48" s="1"/>
  <c r="CV815" i="48"/>
  <c r="CX815" i="48" s="1"/>
  <c r="CV177" i="48"/>
  <c r="CX177" i="48" s="1"/>
  <c r="CV332" i="48"/>
  <c r="CX332" i="48" s="1"/>
  <c r="CV368" i="48"/>
  <c r="CX368" i="48" s="1"/>
  <c r="CV506" i="48"/>
  <c r="CX506" i="48" s="1"/>
  <c r="CV153" i="48"/>
  <c r="CX153" i="48" s="1"/>
  <c r="CV238" i="48"/>
  <c r="CX238" i="48" s="1"/>
  <c r="CV675" i="48"/>
  <c r="CX675" i="48" s="1"/>
  <c r="CV535" i="48"/>
  <c r="CX535" i="48" s="1"/>
  <c r="CV705" i="48"/>
  <c r="CX705" i="48" s="1"/>
  <c r="CV942" i="48"/>
  <c r="CX942" i="48" s="1"/>
  <c r="CV983" i="48"/>
  <c r="CX983" i="48" s="1"/>
  <c r="CV994" i="48"/>
  <c r="CX994" i="48" s="1"/>
  <c r="CV933" i="48"/>
  <c r="CX933" i="48" s="1"/>
  <c r="CV416" i="48"/>
  <c r="CX416" i="48" s="1"/>
  <c r="CV919" i="48"/>
  <c r="CX919" i="48" s="1"/>
  <c r="CV505" i="48"/>
  <c r="CX505" i="48" s="1"/>
  <c r="CV343" i="48"/>
  <c r="CX343" i="48" s="1"/>
  <c r="CV534" i="48"/>
  <c r="CX534" i="48" s="1"/>
  <c r="CV956" i="48"/>
  <c r="CX956" i="48" s="1"/>
  <c r="CV418" i="48"/>
  <c r="CX418" i="48" s="1"/>
  <c r="CV1319" i="48"/>
  <c r="CX1319" i="48" s="1"/>
  <c r="CV434" i="48"/>
  <c r="CX434" i="48" s="1"/>
  <c r="CV285" i="48"/>
  <c r="CX285" i="48" s="1"/>
  <c r="CV341" i="48"/>
  <c r="CX341" i="48" s="1"/>
  <c r="CV511" i="48"/>
  <c r="CX511" i="48" s="1"/>
  <c r="CV241" i="48"/>
  <c r="CX241" i="48" s="1"/>
  <c r="CV1065" i="48"/>
  <c r="CX1065" i="48" s="1"/>
  <c r="CV1088" i="48"/>
  <c r="CX1088" i="48" s="1"/>
  <c r="CV130" i="48"/>
  <c r="CX130" i="48" s="1"/>
  <c r="CV127" i="48"/>
  <c r="CX127" i="48" s="1"/>
  <c r="CV1232" i="48"/>
  <c r="CX1232" i="48" s="1"/>
  <c r="CV574" i="48"/>
  <c r="CX574" i="48" s="1"/>
  <c r="CV552" i="48"/>
  <c r="CX552" i="48" s="1"/>
  <c r="CV310" i="48"/>
  <c r="CX310" i="48" s="1"/>
  <c r="CV727" i="48"/>
  <c r="CX727" i="48" s="1"/>
  <c r="CV1032" i="48"/>
  <c r="CX1032" i="48" s="1"/>
  <c r="CV555" i="48"/>
  <c r="CX555" i="48" s="1"/>
  <c r="CV944" i="48"/>
  <c r="CX944" i="48" s="1"/>
  <c r="CV428" i="48"/>
  <c r="CX428" i="48" s="1"/>
  <c r="CV768" i="48"/>
  <c r="CX768" i="48" s="1"/>
  <c r="CV172" i="48"/>
  <c r="CX172" i="48" s="1"/>
  <c r="CV247" i="48"/>
  <c r="CX247" i="48" s="1"/>
  <c r="CV457" i="48"/>
  <c r="CX457" i="48" s="1"/>
  <c r="CV577" i="48"/>
  <c r="CX577" i="48" s="1"/>
  <c r="CV1258" i="48"/>
  <c r="CX1258" i="48" s="1"/>
  <c r="CV959" i="48"/>
  <c r="CX959" i="48" s="1"/>
  <c r="CV192" i="48"/>
  <c r="CX192" i="48" s="1"/>
  <c r="CV1028" i="48"/>
  <c r="CX1028" i="48" s="1"/>
  <c r="CV339" i="48"/>
  <c r="CX339" i="48" s="1"/>
  <c r="CV1111" i="48"/>
  <c r="CX1111" i="48" s="1"/>
  <c r="CV706" i="48"/>
  <c r="CX706" i="48" s="1"/>
  <c r="CV622" i="48"/>
  <c r="CX622" i="48" s="1"/>
  <c r="CV385" i="48"/>
  <c r="CX385" i="48" s="1"/>
  <c r="CV501" i="48"/>
  <c r="CX501" i="48" s="1"/>
  <c r="CV633" i="48"/>
  <c r="CX633" i="48" s="1"/>
  <c r="CV1251" i="48"/>
  <c r="CX1251" i="48" s="1"/>
  <c r="CV322" i="48"/>
  <c r="CX322" i="48" s="1"/>
  <c r="CV394" i="48"/>
  <c r="CX394" i="48" s="1"/>
  <c r="CV630" i="48"/>
  <c r="CX630" i="48" s="1"/>
  <c r="CV965" i="48"/>
  <c r="CX965" i="48" s="1"/>
  <c r="CV848" i="48"/>
  <c r="CX848" i="48" s="1"/>
  <c r="CV703" i="48"/>
  <c r="CX703" i="48" s="1"/>
  <c r="CV318" i="48"/>
  <c r="CX318" i="48" s="1"/>
  <c r="CV886" i="48"/>
  <c r="CX886" i="48" s="1"/>
  <c r="CV645" i="48"/>
  <c r="CX645" i="48" s="1"/>
  <c r="CV1137" i="48"/>
  <c r="CX1137" i="48" s="1"/>
  <c r="CV694" i="48"/>
  <c r="CX694" i="48" s="1"/>
  <c r="CV201" i="48"/>
  <c r="CX201" i="48" s="1"/>
  <c r="CV346" i="48"/>
  <c r="CX346" i="48" s="1"/>
  <c r="CV989" i="48"/>
  <c r="CX989" i="48" s="1"/>
  <c r="CV861" i="48"/>
  <c r="CX861" i="48" s="1"/>
  <c r="CV603" i="48"/>
  <c r="CX603" i="48" s="1"/>
  <c r="CV1058" i="48"/>
  <c r="CX1058" i="48" s="1"/>
  <c r="CV1151" i="48"/>
  <c r="CX1151" i="48" s="1"/>
  <c r="CV969" i="48"/>
  <c r="CX969" i="48" s="1"/>
  <c r="CV1230" i="48"/>
  <c r="CX1230" i="48" s="1"/>
  <c r="CV1175" i="48"/>
  <c r="CX1175" i="48" s="1"/>
  <c r="CV415" i="48"/>
  <c r="CX415" i="48" s="1"/>
  <c r="CV507" i="48"/>
  <c r="CX507" i="48" s="1"/>
  <c r="CV80" i="48"/>
  <c r="CX80" i="48" s="1"/>
  <c r="CV1205" i="48"/>
  <c r="CX1205" i="48" s="1"/>
  <c r="CV682" i="48"/>
  <c r="CX682" i="48" s="1"/>
  <c r="CV316" i="48"/>
  <c r="CX316" i="48" s="1"/>
  <c r="CV1150" i="48"/>
  <c r="CX1150" i="48" s="1"/>
  <c r="CV288" i="48"/>
  <c r="CX288" i="48" s="1"/>
  <c r="CV872" i="48"/>
  <c r="CX872" i="48" s="1"/>
  <c r="CV1180" i="48"/>
  <c r="CX1180" i="48" s="1"/>
  <c r="CV824" i="48"/>
  <c r="CX824" i="48" s="1"/>
  <c r="CV409" i="48"/>
  <c r="CX409" i="48" s="1"/>
  <c r="CV358" i="48"/>
  <c r="CX358" i="48" s="1"/>
  <c r="CV990" i="48"/>
  <c r="CX990" i="48" s="1"/>
  <c r="CV431" i="48"/>
  <c r="CX431" i="48" s="1"/>
  <c r="CV1112" i="48"/>
  <c r="CX1112" i="48" s="1"/>
  <c r="CV532" i="48"/>
  <c r="CX532" i="48" s="1"/>
  <c r="CV104" i="48"/>
  <c r="CX104" i="48" s="1"/>
  <c r="CV789" i="48"/>
  <c r="CX789" i="48" s="1"/>
  <c r="CV312" i="48"/>
  <c r="CX312" i="48" s="1"/>
  <c r="CV1007" i="48"/>
  <c r="CX1007" i="48" s="1"/>
  <c r="CV479" i="48"/>
  <c r="CX479" i="48" s="1"/>
  <c r="CV309" i="48"/>
  <c r="CX309" i="48" s="1"/>
  <c r="CV1231" i="48"/>
  <c r="CX1231" i="48" s="1"/>
  <c r="CV1299" i="48"/>
  <c r="CX1299" i="48" s="1"/>
  <c r="CV1080" i="48"/>
  <c r="CX1080" i="48" s="1"/>
  <c r="CV1306" i="48"/>
  <c r="CX1306" i="48" s="1"/>
  <c r="CV1015" i="48"/>
  <c r="CX1015" i="48" s="1"/>
  <c r="CV369" i="48"/>
  <c r="CX369" i="48" s="1"/>
  <c r="CV295" i="48"/>
  <c r="CX295" i="48" s="1"/>
  <c r="CV404" i="48"/>
  <c r="CX404" i="48" s="1"/>
  <c r="CV1155" i="48"/>
  <c r="CX1155" i="48" s="1"/>
  <c r="CV1063" i="48"/>
  <c r="CX1063" i="48" s="1"/>
  <c r="CV165" i="48"/>
  <c r="CX165" i="48" s="1"/>
  <c r="CV291" i="48"/>
  <c r="CX291" i="48" s="1"/>
  <c r="CV725" i="48"/>
  <c r="CX725" i="48" s="1"/>
  <c r="CV222" i="48"/>
  <c r="CX222" i="48" s="1"/>
  <c r="CV607" i="48"/>
  <c r="CX607" i="48" s="1"/>
  <c r="CV1138" i="48"/>
  <c r="CX1138" i="48" s="1"/>
  <c r="CV797" i="48"/>
  <c r="CX797" i="48" s="1"/>
  <c r="CV697" i="48"/>
  <c r="CX697" i="48" s="1"/>
  <c r="CV188" i="48"/>
  <c r="CX188" i="48" s="1"/>
  <c r="CV272" i="48"/>
  <c r="CX272" i="48" s="1"/>
  <c r="CV145" i="48"/>
  <c r="CX145" i="48" s="1"/>
  <c r="CV315" i="48"/>
  <c r="CX315" i="48" s="1"/>
  <c r="CV537" i="48"/>
  <c r="CX537" i="48" s="1"/>
  <c r="CV936" i="48"/>
  <c r="CX936" i="48" s="1"/>
  <c r="CV624" i="48"/>
  <c r="CX624" i="48" s="1"/>
  <c r="CV214" i="48"/>
  <c r="CX214" i="48" s="1"/>
  <c r="CV382" i="48"/>
  <c r="CX382" i="48" s="1"/>
  <c r="CV370" i="48"/>
  <c r="CX370" i="48" s="1"/>
  <c r="CV175" i="48"/>
  <c r="CX175" i="48" s="1"/>
  <c r="CV1329" i="48"/>
  <c r="CX1329" i="48" s="1"/>
  <c r="CV606" i="48"/>
  <c r="CX606" i="48" s="1"/>
  <c r="CV627" i="48"/>
  <c r="CX627" i="48" s="1"/>
  <c r="CV466" i="48"/>
  <c r="CX466" i="48" s="1"/>
  <c r="CV652" i="48"/>
  <c r="CX652" i="48" s="1"/>
  <c r="CV405" i="48"/>
  <c r="CX405" i="48" s="1"/>
  <c r="CV698" i="48"/>
  <c r="CX698" i="48" s="1"/>
  <c r="CV1222" i="48"/>
  <c r="CX1222" i="48" s="1"/>
  <c r="CV49" i="48"/>
  <c r="CX49" i="48" s="1"/>
  <c r="CV408" i="48"/>
  <c r="CX408" i="48" s="1"/>
  <c r="CV582" i="48"/>
  <c r="CX582" i="48" s="1"/>
  <c r="CV601" i="48"/>
  <c r="CX601" i="48" s="1"/>
  <c r="CV1056" i="48"/>
  <c r="CX1056" i="48" s="1"/>
  <c r="CV190" i="48"/>
  <c r="CX190" i="48" s="1"/>
  <c r="CV407" i="48"/>
  <c r="CX407" i="48" s="1"/>
  <c r="CV47" i="48"/>
  <c r="CX47" i="48" s="1"/>
  <c r="CV530" i="48"/>
  <c r="CX530" i="48" s="1"/>
  <c r="CV628" i="48"/>
  <c r="CX628" i="48" s="1"/>
  <c r="CV1273" i="48"/>
  <c r="CX1273" i="48" s="1"/>
  <c r="CV1181" i="48"/>
  <c r="CX1181" i="48" s="1"/>
  <c r="CV1154" i="48"/>
  <c r="CX1154" i="48" s="1"/>
  <c r="CV95" i="48"/>
  <c r="CX95" i="48" s="1"/>
  <c r="CV821" i="48"/>
  <c r="CX821" i="48" s="1"/>
  <c r="CV173" i="48"/>
  <c r="CX173" i="48" s="1"/>
  <c r="CV958" i="48"/>
  <c r="CX958" i="48" s="1"/>
  <c r="CV74" i="48"/>
  <c r="CX74" i="48" s="1"/>
  <c r="CV484" i="48"/>
  <c r="CX484" i="48" s="1"/>
  <c r="CV1298" i="48"/>
  <c r="CX1298" i="48" s="1"/>
  <c r="CV487" i="48"/>
  <c r="CX487" i="48" s="1"/>
  <c r="CV1300" i="48"/>
  <c r="CX1300" i="48" s="1"/>
  <c r="CV850" i="48"/>
  <c r="CX850" i="48" s="1"/>
  <c r="CV754" i="48"/>
  <c r="CX754" i="48" s="1"/>
  <c r="CV744" i="48"/>
  <c r="CX744" i="48" s="1"/>
  <c r="CV561" i="48"/>
  <c r="CX561" i="48" s="1"/>
  <c r="CV296" i="48"/>
  <c r="CX296" i="48" s="1"/>
  <c r="CV1248" i="48"/>
  <c r="CX1248" i="48" s="1"/>
  <c r="CV888" i="48"/>
  <c r="CX888" i="48" s="1"/>
  <c r="CV867" i="48"/>
  <c r="CX867" i="48" s="1"/>
  <c r="CV1149" i="48"/>
  <c r="CX1149" i="48" s="1"/>
  <c r="CV840" i="48"/>
  <c r="CX840" i="48" s="1"/>
  <c r="CV1225" i="48"/>
  <c r="CX1225" i="48" s="1"/>
  <c r="CV286" i="48"/>
  <c r="CX286" i="48" s="1"/>
  <c r="CV51" i="48"/>
  <c r="CX51" i="48" s="1"/>
  <c r="CV126" i="48"/>
  <c r="CX126" i="48" s="1"/>
  <c r="CV270" i="48"/>
  <c r="CX270" i="48" s="1"/>
  <c r="CV1054" i="48"/>
  <c r="CX1054" i="48" s="1"/>
  <c r="CV237" i="48"/>
  <c r="CX237" i="48" s="1"/>
  <c r="CV937" i="48"/>
  <c r="CX937" i="48" s="1"/>
  <c r="CV1328" i="48"/>
  <c r="CX1328" i="48" s="1"/>
  <c r="CV1293" i="48"/>
  <c r="CX1293" i="48" s="1"/>
  <c r="CV981" i="48"/>
  <c r="CX981" i="48" s="1"/>
  <c r="CV985" i="48"/>
  <c r="CX985" i="48" s="1"/>
  <c r="CV1320" i="48"/>
  <c r="CX1320" i="48" s="1"/>
  <c r="CV752" i="48"/>
  <c r="CX752" i="48" s="1"/>
  <c r="CV920" i="48"/>
  <c r="CX920" i="48" s="1"/>
  <c r="CV869" i="48"/>
  <c r="CX869" i="48" s="1"/>
  <c r="CV748" i="48"/>
  <c r="CX748" i="48" s="1"/>
  <c r="CV76" i="48"/>
  <c r="CX76" i="48" s="1"/>
  <c r="CV239" i="48"/>
  <c r="CX239" i="48" s="1"/>
  <c r="CV579" i="48"/>
  <c r="CX579" i="48" s="1"/>
  <c r="CV939" i="48"/>
  <c r="CX939" i="48" s="1"/>
  <c r="CV672" i="48"/>
  <c r="CX672" i="48" s="1"/>
  <c r="CV216" i="48"/>
  <c r="CX216" i="48" s="1"/>
  <c r="CV581" i="48"/>
  <c r="CX581" i="48" s="1"/>
  <c r="CV71" i="48"/>
  <c r="CX71" i="48" s="1"/>
  <c r="CV1133" i="48"/>
  <c r="CX1133" i="48" s="1"/>
  <c r="CV1033" i="48"/>
  <c r="CX1033" i="48" s="1"/>
  <c r="CV503" i="48"/>
  <c r="CX503" i="48" s="1"/>
  <c r="CV154" i="48"/>
  <c r="CX154" i="48" s="1"/>
  <c r="CV262" i="48"/>
  <c r="CX262" i="48" s="1"/>
  <c r="CV292" i="48"/>
  <c r="CX292" i="48" s="1"/>
  <c r="CV93" i="48"/>
  <c r="CX93" i="48" s="1"/>
  <c r="CV166" i="48"/>
  <c r="CX166" i="48" s="1"/>
  <c r="CV461" i="48"/>
  <c r="CX461" i="48" s="1"/>
  <c r="CV674" i="48"/>
  <c r="CX674" i="48" s="1"/>
  <c r="CV1161" i="48"/>
  <c r="CX1161" i="48" s="1"/>
  <c r="CV52" i="48"/>
  <c r="CX52" i="48" s="1"/>
  <c r="CV1233" i="48"/>
  <c r="CX1233" i="48" s="1"/>
  <c r="CV364" i="48"/>
  <c r="CX364" i="48" s="1"/>
  <c r="CV266" i="48"/>
  <c r="CX266" i="48" s="1"/>
  <c r="CV626" i="48"/>
  <c r="CX626" i="48" s="1"/>
  <c r="CV1042" i="48"/>
  <c r="CX1042" i="48" s="1"/>
  <c r="CV1255" i="48"/>
  <c r="CX1255" i="48" s="1"/>
  <c r="CV141" i="48"/>
  <c r="CX141" i="48" s="1"/>
  <c r="CV528" i="48"/>
  <c r="CX528" i="48" s="1"/>
  <c r="CV213" i="48"/>
  <c r="CX213" i="48" s="1"/>
  <c r="CV556" i="48"/>
  <c r="CX556" i="48" s="1"/>
  <c r="CV72" i="48"/>
  <c r="CX72" i="48" s="1"/>
  <c r="CV367" i="48"/>
  <c r="CX367" i="48" s="1"/>
  <c r="CV1062" i="48"/>
  <c r="CX1062" i="48" s="1"/>
  <c r="CV100" i="48"/>
  <c r="CX100" i="48" s="1"/>
  <c r="CV898" i="48"/>
  <c r="CX898" i="48" s="1"/>
  <c r="CV225" i="48"/>
  <c r="CX225" i="48" s="1"/>
  <c r="CG1268" i="48"/>
  <c r="CG1272" i="48"/>
  <c r="CG1276" i="48"/>
  <c r="CG1280" i="48"/>
  <c r="CG1285" i="48"/>
  <c r="CG1289" i="48"/>
  <c r="CG1293" i="48"/>
  <c r="CG1297" i="48"/>
  <c r="CG1301" i="48"/>
  <c r="CG1305" i="48"/>
  <c r="CG1310" i="48"/>
  <c r="CG1314" i="48"/>
  <c r="CG1318" i="48"/>
  <c r="CG1322" i="48"/>
  <c r="CG1326" i="48"/>
  <c r="CG1330" i="48"/>
  <c r="CG39" i="48"/>
  <c r="CG43" i="48"/>
  <c r="CG47" i="48"/>
  <c r="CG51" i="48"/>
  <c r="CG55" i="48"/>
  <c r="CG60" i="48"/>
  <c r="CG64" i="48"/>
  <c r="CG68" i="48"/>
  <c r="CG72" i="48"/>
  <c r="CG76" i="48"/>
  <c r="CG80" i="48"/>
  <c r="CG85" i="48"/>
  <c r="CG89" i="48"/>
  <c r="CG93" i="48"/>
  <c r="CG97" i="48"/>
  <c r="CG101" i="48"/>
  <c r="CG105" i="48"/>
  <c r="CG110" i="48"/>
  <c r="CG114" i="48"/>
  <c r="CG118" i="48"/>
  <c r="CG122" i="48"/>
  <c r="CG126" i="48"/>
  <c r="CG130" i="48"/>
  <c r="CG135" i="48"/>
  <c r="CG139" i="48"/>
  <c r="CG143" i="48"/>
  <c r="CG147" i="48"/>
  <c r="CG151" i="48"/>
  <c r="CG156" i="48"/>
  <c r="CG160" i="48"/>
  <c r="CG164" i="48"/>
  <c r="CG168" i="48"/>
  <c r="CG172" i="48"/>
  <c r="CG176" i="48"/>
  <c r="CG181" i="48"/>
  <c r="CG185" i="48"/>
  <c r="CG189" i="48"/>
  <c r="CG193" i="48"/>
  <c r="CG197" i="48"/>
  <c r="CG201" i="48"/>
  <c r="CG206" i="48"/>
  <c r="CG210" i="48"/>
  <c r="CG214" i="48"/>
  <c r="CG218" i="48"/>
  <c r="CG222" i="48"/>
  <c r="CG226" i="48"/>
  <c r="CG231" i="48"/>
  <c r="CG235" i="48"/>
  <c r="CG239" i="48"/>
  <c r="CG243" i="48"/>
  <c r="CG247" i="48"/>
  <c r="CG252" i="48"/>
  <c r="CG256" i="48"/>
  <c r="CG260" i="48"/>
  <c r="CG264" i="48"/>
  <c r="CG268" i="48"/>
  <c r="CG272" i="48"/>
  <c r="CG277" i="48"/>
  <c r="CG281" i="48"/>
  <c r="CG285" i="48"/>
  <c r="CG289" i="48"/>
  <c r="CG293" i="48"/>
  <c r="CG297" i="48"/>
  <c r="CG302" i="48"/>
  <c r="CG306" i="48"/>
  <c r="CG310" i="48"/>
  <c r="CG314" i="48"/>
  <c r="CG318" i="48"/>
  <c r="CG322" i="48"/>
  <c r="CG327" i="48"/>
  <c r="CG331" i="48"/>
  <c r="CG335" i="48"/>
  <c r="CG339" i="48"/>
  <c r="CG343" i="48"/>
  <c r="CG349" i="48"/>
  <c r="CG353" i="48"/>
  <c r="CG357" i="48"/>
  <c r="CG361" i="48"/>
  <c r="CG365" i="48"/>
  <c r="CG369" i="48"/>
  <c r="CG374" i="48"/>
  <c r="CG378" i="48"/>
  <c r="CG382" i="48"/>
  <c r="CG386" i="48"/>
  <c r="CG390" i="48"/>
  <c r="CG394" i="48"/>
  <c r="CG399" i="48"/>
  <c r="CG403" i="48"/>
  <c r="CG407" i="48"/>
  <c r="CG411" i="48"/>
  <c r="CG415" i="48"/>
  <c r="CG420" i="48"/>
  <c r="CG424" i="48"/>
  <c r="CG428" i="48"/>
  <c r="CG432" i="48"/>
  <c r="CG436" i="48"/>
  <c r="CG440" i="48"/>
  <c r="CG445" i="48"/>
  <c r="CG449" i="48"/>
  <c r="CG453" i="48"/>
  <c r="CG457" i="48"/>
  <c r="CG461" i="48"/>
  <c r="CG465" i="48"/>
  <c r="CG470" i="48"/>
  <c r="CG474" i="48"/>
  <c r="CG478" i="48"/>
  <c r="CG482" i="48"/>
  <c r="CG486" i="48"/>
  <c r="CG490" i="48"/>
  <c r="CG495" i="48"/>
  <c r="CG499" i="48"/>
  <c r="CG503" i="48"/>
  <c r="CG507" i="48"/>
  <c r="CG511" i="48"/>
  <c r="CG517" i="48"/>
  <c r="CG521" i="48"/>
  <c r="CG525" i="48"/>
  <c r="CG529" i="48"/>
  <c r="CG533" i="48"/>
  <c r="CG537" i="48"/>
  <c r="CG542" i="48"/>
  <c r="CG546" i="48"/>
  <c r="CG550" i="48"/>
  <c r="CG554" i="48"/>
  <c r="CG558" i="48"/>
  <c r="CG562" i="48"/>
  <c r="CG567" i="48"/>
  <c r="CG571" i="48"/>
  <c r="CG575" i="48"/>
  <c r="CG579" i="48"/>
  <c r="CG583" i="48"/>
  <c r="CG588" i="48"/>
  <c r="CG592" i="48"/>
  <c r="CG596" i="48"/>
  <c r="CG600" i="48"/>
  <c r="CG604" i="48"/>
  <c r="CG608" i="48"/>
  <c r="CG1325" i="48"/>
  <c r="CG1270" i="48"/>
  <c r="CG1274" i="48"/>
  <c r="CG1278" i="48"/>
  <c r="CG1282" i="48"/>
  <c r="CG1287" i="48"/>
  <c r="CG1291" i="48"/>
  <c r="CG1295" i="48"/>
  <c r="CG1299" i="48"/>
  <c r="CG1303" i="48"/>
  <c r="CG1308" i="48"/>
  <c r="CG1312" i="48"/>
  <c r="CG1316" i="48"/>
  <c r="CG1320" i="48"/>
  <c r="CG1324" i="48"/>
  <c r="CG1328" i="48"/>
  <c r="CG613" i="48"/>
  <c r="CG617" i="48"/>
  <c r="CG621" i="48"/>
  <c r="CG625" i="48"/>
  <c r="CG629" i="48"/>
  <c r="CG633" i="48"/>
  <c r="CG638" i="48"/>
  <c r="CG642" i="48"/>
  <c r="CG646" i="48"/>
  <c r="CG650" i="48"/>
  <c r="CG654" i="48"/>
  <c r="CG1329" i="48"/>
  <c r="CG36" i="48"/>
  <c r="CG40" i="48"/>
  <c r="CG44" i="48"/>
  <c r="CG48" i="48"/>
  <c r="CG52" i="48"/>
  <c r="CG56" i="48"/>
  <c r="CG61" i="48"/>
  <c r="CG65" i="48"/>
  <c r="CG69" i="48"/>
  <c r="CG73" i="48"/>
  <c r="CG77" i="48"/>
  <c r="CG81" i="48"/>
  <c r="CG86" i="48"/>
  <c r="CG90" i="48"/>
  <c r="CG94" i="48"/>
  <c r="CG98" i="48"/>
  <c r="CG102" i="48"/>
  <c r="CG106" i="48"/>
  <c r="CG111" i="48"/>
  <c r="CG115" i="48"/>
  <c r="CG119" i="48"/>
  <c r="CG123" i="48"/>
  <c r="CG127" i="48"/>
  <c r="CG132" i="48"/>
  <c r="CG136" i="48"/>
  <c r="CG140" i="48"/>
  <c r="CG144" i="48"/>
  <c r="CG148" i="48"/>
  <c r="CG152" i="48"/>
  <c r="CG157" i="48"/>
  <c r="CG161" i="48"/>
  <c r="CG165" i="48"/>
  <c r="CG169" i="48"/>
  <c r="CG173" i="48"/>
  <c r="CG177" i="48"/>
  <c r="CG182" i="48"/>
  <c r="CG186" i="48"/>
  <c r="CG190" i="48"/>
  <c r="CG194" i="48"/>
  <c r="CG198" i="48"/>
  <c r="CG202" i="48"/>
  <c r="CG207" i="48"/>
  <c r="CG211" i="48"/>
  <c r="CG215" i="48"/>
  <c r="CG219" i="48"/>
  <c r="CG223" i="48"/>
  <c r="CG228" i="48"/>
  <c r="CG232" i="48"/>
  <c r="CG236" i="48"/>
  <c r="CG240" i="48"/>
  <c r="CG244" i="48"/>
  <c r="CG248" i="48"/>
  <c r="CG253" i="48"/>
  <c r="CG257" i="48"/>
  <c r="CG261" i="48"/>
  <c r="CG265" i="48"/>
  <c r="CG269" i="48"/>
  <c r="CG273" i="48"/>
  <c r="CG278" i="48"/>
  <c r="CG282" i="48"/>
  <c r="CG286" i="48"/>
  <c r="CG290" i="48"/>
  <c r="CG294" i="48"/>
  <c r="CG298" i="48"/>
  <c r="CG303" i="48"/>
  <c r="CG307" i="48"/>
  <c r="CG311" i="48"/>
  <c r="CG315" i="48"/>
  <c r="CG319" i="48"/>
  <c r="CG324" i="48"/>
  <c r="CG328" i="48"/>
  <c r="CG332" i="48"/>
  <c r="CG336" i="48"/>
  <c r="CG340" i="48"/>
  <c r="CG344" i="48"/>
  <c r="CG350" i="48"/>
  <c r="CG354" i="48"/>
  <c r="CG358" i="48"/>
  <c r="CG362" i="48"/>
  <c r="CG366" i="48"/>
  <c r="CG370" i="48"/>
  <c r="CG375" i="48"/>
  <c r="CG379" i="48"/>
  <c r="CG383" i="48"/>
  <c r="CG387" i="48"/>
  <c r="CG391" i="48"/>
  <c r="CG396" i="48"/>
  <c r="CG400" i="48"/>
  <c r="CG404" i="48"/>
  <c r="CG408" i="48"/>
  <c r="CG412" i="48"/>
  <c r="CG416" i="48"/>
  <c r="CG421" i="48"/>
  <c r="CG425" i="48"/>
  <c r="CG429" i="48"/>
  <c r="CG433" i="48"/>
  <c r="CG437" i="48"/>
  <c r="CG441" i="48"/>
  <c r="CG446" i="48"/>
  <c r="CG450" i="48"/>
  <c r="CG454" i="48"/>
  <c r="CG458" i="48"/>
  <c r="CG462" i="48"/>
  <c r="CG466" i="48"/>
  <c r="CG471" i="48"/>
  <c r="CG475" i="48"/>
  <c r="CG479" i="48"/>
  <c r="CG483" i="48"/>
  <c r="CG487" i="48"/>
  <c r="CG492" i="48"/>
  <c r="CG496" i="48"/>
  <c r="CG500" i="48"/>
  <c r="CG504" i="48"/>
  <c r="CG508" i="48"/>
  <c r="CG512" i="48"/>
  <c r="CG518" i="48"/>
  <c r="CG522" i="48"/>
  <c r="CG526" i="48"/>
  <c r="CG530" i="48"/>
  <c r="CG534" i="48"/>
  <c r="CG538" i="48"/>
  <c r="CG543" i="48"/>
  <c r="CG547" i="48"/>
  <c r="CG551" i="48"/>
  <c r="CG555" i="48"/>
  <c r="CG559" i="48"/>
  <c r="CG564" i="48"/>
  <c r="CG568" i="48"/>
  <c r="CG572" i="48"/>
  <c r="CG576" i="48"/>
  <c r="CG580" i="48"/>
  <c r="CG584" i="48"/>
  <c r="CG589" i="48"/>
  <c r="CG593" i="48"/>
  <c r="CG597" i="48"/>
  <c r="CG601" i="48"/>
  <c r="CG605" i="48"/>
  <c r="CG609" i="48"/>
  <c r="CG614" i="48"/>
  <c r="CG618" i="48"/>
  <c r="CG622" i="48"/>
  <c r="CG626" i="48"/>
  <c r="CG630" i="48"/>
  <c r="CG634" i="48"/>
  <c r="CG639" i="48"/>
  <c r="CG643" i="48"/>
  <c r="CG647" i="48"/>
  <c r="CG651" i="48"/>
  <c r="CG655" i="48"/>
  <c r="CG660" i="48"/>
  <c r="CG664" i="48"/>
  <c r="CG668" i="48"/>
  <c r="CG672" i="48"/>
  <c r="CG676" i="48"/>
  <c r="CG680" i="48"/>
  <c r="CG685" i="48"/>
  <c r="CG689" i="48"/>
  <c r="CG693" i="48"/>
  <c r="CG697" i="48"/>
  <c r="CG701" i="48"/>
  <c r="CG705" i="48"/>
  <c r="CG710" i="48"/>
  <c r="CG714" i="48"/>
  <c r="CG718" i="48"/>
  <c r="CG722" i="48"/>
  <c r="CG726" i="48"/>
  <c r="CG730" i="48"/>
  <c r="CG735" i="48"/>
  <c r="CG739" i="48"/>
  <c r="CG743" i="48"/>
  <c r="CG747" i="48"/>
  <c r="CG751" i="48"/>
  <c r="CG756" i="48"/>
  <c r="CG760" i="48"/>
  <c r="CG764" i="48"/>
  <c r="CG768" i="48"/>
  <c r="CG772" i="48"/>
  <c r="CG776" i="48"/>
  <c r="CG781" i="48"/>
  <c r="CG785" i="48"/>
  <c r="CG789" i="48"/>
  <c r="CG793" i="48"/>
  <c r="CG797" i="48"/>
  <c r="CG801" i="48"/>
  <c r="CG807" i="48"/>
  <c r="CG811" i="48"/>
  <c r="CG815" i="48"/>
  <c r="CG819" i="48"/>
  <c r="CG823" i="48"/>
  <c r="CG828" i="48"/>
  <c r="CG832" i="48"/>
  <c r="CG836" i="48"/>
  <c r="CG840" i="48"/>
  <c r="CG844" i="48"/>
  <c r="CG848" i="48"/>
  <c r="CG854" i="48"/>
  <c r="CG858" i="48"/>
  <c r="CG862" i="48"/>
  <c r="CG866" i="48"/>
  <c r="CG870" i="48"/>
  <c r="CG874" i="48"/>
  <c r="CG879" i="48"/>
  <c r="CG883" i="48"/>
  <c r="CG887" i="48"/>
  <c r="CG891" i="48"/>
  <c r="CG895" i="48"/>
  <c r="CG900" i="48"/>
  <c r="CG904" i="48"/>
  <c r="CG908" i="48"/>
  <c r="CG912" i="48"/>
  <c r="CG916" i="48"/>
  <c r="CG920" i="48"/>
  <c r="CG925" i="48"/>
  <c r="CG929" i="48"/>
  <c r="CG933" i="48"/>
  <c r="CG1275" i="48"/>
  <c r="CG1279" i="48"/>
  <c r="CG1284" i="48"/>
  <c r="CG1288" i="48"/>
  <c r="CG1292" i="48"/>
  <c r="CG1296" i="48"/>
  <c r="CG1300" i="48"/>
  <c r="CG1304" i="48"/>
  <c r="CG1309" i="48"/>
  <c r="CG1313" i="48"/>
  <c r="CG1317" i="48"/>
  <c r="CG1321" i="48"/>
  <c r="CG937" i="48"/>
  <c r="CG941" i="48"/>
  <c r="CG945" i="48"/>
  <c r="CG950" i="48"/>
  <c r="CG954" i="48"/>
  <c r="CG958" i="48"/>
  <c r="CG962" i="48"/>
  <c r="CG966" i="48"/>
  <c r="CG970" i="48"/>
  <c r="CG975" i="48"/>
  <c r="CG979" i="48"/>
  <c r="CG983" i="48"/>
  <c r="CG987" i="48"/>
  <c r="CG991" i="48"/>
  <c r="CG996" i="48"/>
  <c r="CG1000" i="48"/>
  <c r="CG1004" i="48"/>
  <c r="CG1008" i="48"/>
  <c r="CG1012" i="48"/>
  <c r="CG1016" i="48"/>
  <c r="CG1021" i="48"/>
  <c r="CG1025" i="48"/>
  <c r="CG1029" i="48"/>
  <c r="CG1033" i="48"/>
  <c r="CG1037" i="48"/>
  <c r="CG1041" i="48"/>
  <c r="CG1046" i="48"/>
  <c r="CG1050" i="48"/>
  <c r="CG1054" i="48"/>
  <c r="CG1058" i="48"/>
  <c r="CG1062" i="48"/>
  <c r="CG1066" i="48"/>
  <c r="CG1071" i="48"/>
  <c r="CG1075" i="48"/>
  <c r="CG1079" i="48"/>
  <c r="CG1083" i="48"/>
  <c r="CG1087" i="48"/>
  <c r="CG1092" i="48"/>
  <c r="CG1096" i="48"/>
  <c r="CG1100" i="48"/>
  <c r="CG1104" i="48"/>
  <c r="CG1108" i="48"/>
  <c r="CG1112" i="48"/>
  <c r="CG1118" i="48"/>
  <c r="CG1122" i="48"/>
  <c r="CG1126" i="48"/>
  <c r="CG1130" i="48"/>
  <c r="CG1134" i="48"/>
  <c r="CG1138" i="48"/>
  <c r="CG1143" i="48"/>
  <c r="CG1147" i="48"/>
  <c r="CG1151" i="48"/>
  <c r="CG1155" i="48"/>
  <c r="CG1159" i="48"/>
  <c r="CG1164" i="48"/>
  <c r="CG1168" i="48"/>
  <c r="CG1172" i="48"/>
  <c r="CG1176" i="48"/>
  <c r="CG1180" i="48"/>
  <c r="CG1184" i="48"/>
  <c r="CG1189" i="48"/>
  <c r="CG1193" i="48"/>
  <c r="CG1197" i="48"/>
  <c r="CG1201" i="48"/>
  <c r="CG1205" i="48"/>
  <c r="CG1209" i="48"/>
  <c r="CG1214" i="48"/>
  <c r="CG1218" i="48"/>
  <c r="CG1222" i="48"/>
  <c r="CG1226" i="48"/>
  <c r="CG1230" i="48"/>
  <c r="CG1234" i="48"/>
  <c r="CG1239" i="48"/>
  <c r="CG1243" i="48"/>
  <c r="CG1247" i="48"/>
  <c r="CG1251" i="48"/>
  <c r="CG1255" i="48"/>
  <c r="CG1260" i="48"/>
  <c r="CG1264" i="48"/>
  <c r="CG38" i="48"/>
  <c r="CG42" i="48"/>
  <c r="CG46" i="48"/>
  <c r="CG50" i="48"/>
  <c r="CG54" i="48"/>
  <c r="CG58" i="48"/>
  <c r="CG63" i="48"/>
  <c r="CG67" i="48"/>
  <c r="CG71" i="48"/>
  <c r="CG75" i="48"/>
  <c r="CG79" i="48"/>
  <c r="CG84" i="48"/>
  <c r="CG88" i="48"/>
  <c r="CG92" i="48"/>
  <c r="CG96" i="48"/>
  <c r="CG100" i="48"/>
  <c r="CG104" i="48"/>
  <c r="CG109" i="48"/>
  <c r="CG113" i="48"/>
  <c r="CG117" i="48"/>
  <c r="CG121" i="48"/>
  <c r="CG125" i="48"/>
  <c r="CG129" i="48"/>
  <c r="CG134" i="48"/>
  <c r="CG138" i="48"/>
  <c r="CG142" i="48"/>
  <c r="CG146" i="48"/>
  <c r="CG150" i="48"/>
  <c r="CG154" i="48"/>
  <c r="CG159" i="48"/>
  <c r="CG163" i="48"/>
  <c r="CG167" i="48"/>
  <c r="CG171" i="48"/>
  <c r="CG175" i="48"/>
  <c r="CG180" i="48"/>
  <c r="CG184" i="48"/>
  <c r="CG188" i="48"/>
  <c r="CG192" i="48"/>
  <c r="CG196" i="48"/>
  <c r="CG200" i="48"/>
  <c r="CG205" i="48"/>
  <c r="CG209" i="48"/>
  <c r="CG213" i="48"/>
  <c r="CG217" i="48"/>
  <c r="CG221" i="48"/>
  <c r="CG225" i="48"/>
  <c r="CG230" i="48"/>
  <c r="CG234" i="48"/>
  <c r="CG238" i="48"/>
  <c r="CG242" i="48"/>
  <c r="CG246" i="48"/>
  <c r="CG250" i="48"/>
  <c r="CG255" i="48"/>
  <c r="CG259" i="48"/>
  <c r="CG263" i="48"/>
  <c r="CG267" i="48"/>
  <c r="CG271" i="48"/>
  <c r="CG276" i="48"/>
  <c r="CG280" i="48"/>
  <c r="CG284" i="48"/>
  <c r="CG288" i="48"/>
  <c r="CG292" i="48"/>
  <c r="CG296" i="48"/>
  <c r="CG301" i="48"/>
  <c r="CG305" i="48"/>
  <c r="CG309" i="48"/>
  <c r="CG313" i="48"/>
  <c r="CG317" i="48"/>
  <c r="CG321" i="48"/>
  <c r="CG326" i="48"/>
  <c r="CG330" i="48"/>
  <c r="CG334" i="48"/>
  <c r="CG338" i="48"/>
  <c r="CG342" i="48"/>
  <c r="CG346" i="48"/>
  <c r="CG348" i="48"/>
  <c r="CG352" i="48"/>
  <c r="CG356" i="48"/>
  <c r="CG360" i="48"/>
  <c r="CG364" i="48"/>
  <c r="CG368" i="48"/>
  <c r="CG373" i="48"/>
  <c r="CG377" i="48"/>
  <c r="CG381" i="48"/>
  <c r="CG385" i="48"/>
  <c r="CG389" i="48"/>
  <c r="CG393" i="48"/>
  <c r="CG398" i="48"/>
  <c r="CG402" i="48"/>
  <c r="CG406" i="48"/>
  <c r="CG410" i="48"/>
  <c r="CG414" i="48"/>
  <c r="CG418" i="48"/>
  <c r="CG423" i="48"/>
  <c r="CG427" i="48"/>
  <c r="CG431" i="48"/>
  <c r="CG435" i="48"/>
  <c r="CG439" i="48"/>
  <c r="CG444" i="48"/>
  <c r="CG448" i="48"/>
  <c r="CG452" i="48"/>
  <c r="CG456" i="48"/>
  <c r="CG460" i="48"/>
  <c r="CG464" i="48"/>
  <c r="CG469" i="48"/>
  <c r="CG473" i="48"/>
  <c r="CG477" i="48"/>
  <c r="CG481" i="48"/>
  <c r="CG485" i="48"/>
  <c r="CG489" i="48"/>
  <c r="CG494" i="48"/>
  <c r="CG498" i="48"/>
  <c r="CG502" i="48"/>
  <c r="CG506" i="48"/>
  <c r="CG510" i="48"/>
  <c r="CG514" i="48"/>
  <c r="CG516" i="48"/>
  <c r="CG520" i="48"/>
  <c r="CG524" i="48"/>
  <c r="CG528" i="48"/>
  <c r="CG532" i="48"/>
  <c r="CG536" i="48"/>
  <c r="CG541" i="48"/>
  <c r="CG545" i="48"/>
  <c r="CG549" i="48"/>
  <c r="CG553" i="48"/>
  <c r="CG557" i="48"/>
  <c r="CG561" i="48"/>
  <c r="CG566" i="48"/>
  <c r="CG570" i="48"/>
  <c r="CG574" i="48"/>
  <c r="CG578" i="48"/>
  <c r="CG582" i="48"/>
  <c r="CG586" i="48"/>
  <c r="CG591" i="48"/>
  <c r="CG595" i="48"/>
  <c r="CG599" i="48"/>
  <c r="CG603" i="48"/>
  <c r="CG607" i="48"/>
  <c r="CG612" i="48"/>
  <c r="CG616" i="48"/>
  <c r="CG620" i="48"/>
  <c r="CG624" i="48"/>
  <c r="CG628" i="48"/>
  <c r="CG632" i="48"/>
  <c r="CG637" i="48"/>
  <c r="CG641" i="48"/>
  <c r="CG645" i="48"/>
  <c r="CG649" i="48"/>
  <c r="CG653" i="48"/>
  <c r="CG657" i="48"/>
  <c r="CG662" i="48"/>
  <c r="CG666" i="48"/>
  <c r="CG670" i="48"/>
  <c r="CG674" i="48"/>
  <c r="CG678" i="48"/>
  <c r="CG682" i="48"/>
  <c r="CG687" i="48"/>
  <c r="CG691" i="48"/>
  <c r="CG37" i="48"/>
  <c r="CG41" i="48"/>
  <c r="CG45" i="48"/>
  <c r="CG49" i="48"/>
  <c r="CG53" i="48"/>
  <c r="CG57" i="48"/>
  <c r="CG62" i="48"/>
  <c r="CG66" i="48"/>
  <c r="CG70" i="48"/>
  <c r="CG74" i="48"/>
  <c r="CG78" i="48"/>
  <c r="CG82" i="48"/>
  <c r="CG87" i="48"/>
  <c r="CG91" i="48"/>
  <c r="CG95" i="48"/>
  <c r="CG99" i="48"/>
  <c r="CG103" i="48"/>
  <c r="CG112" i="48"/>
  <c r="CG116" i="48"/>
  <c r="CG120" i="48"/>
  <c r="CG124" i="48"/>
  <c r="CG128" i="48"/>
  <c r="CG133" i="48"/>
  <c r="CG137" i="48"/>
  <c r="CG141" i="48"/>
  <c r="CG145" i="48"/>
  <c r="CG149" i="48"/>
  <c r="CG153" i="48"/>
  <c r="CG158" i="48"/>
  <c r="CG162" i="48"/>
  <c r="CG166" i="48"/>
  <c r="CG170" i="48"/>
  <c r="CG174" i="48"/>
  <c r="CG178" i="48"/>
  <c r="CG183" i="48"/>
  <c r="CG187" i="48"/>
  <c r="CG191" i="48"/>
  <c r="CG195" i="48"/>
  <c r="CG199" i="48"/>
  <c r="CG204" i="48"/>
  <c r="CG208" i="48"/>
  <c r="CG212" i="48"/>
  <c r="CG216" i="48"/>
  <c r="CG220" i="48"/>
  <c r="CG224" i="48"/>
  <c r="CG229" i="48"/>
  <c r="CG233" i="48"/>
  <c r="CG237" i="48"/>
  <c r="CG241" i="48"/>
  <c r="CG245" i="48"/>
  <c r="CG249" i="48"/>
  <c r="CG254" i="48"/>
  <c r="CG258" i="48"/>
  <c r="CG262" i="48"/>
  <c r="CG266" i="48"/>
  <c r="CG270" i="48"/>
  <c r="CG274" i="48"/>
  <c r="CG279" i="48"/>
  <c r="CG283" i="48"/>
  <c r="CG287" i="48"/>
  <c r="CG291" i="48"/>
  <c r="CG295" i="48"/>
  <c r="CG300" i="48"/>
  <c r="CG304" i="48"/>
  <c r="CG308" i="48"/>
  <c r="CG312" i="48"/>
  <c r="CG316" i="48"/>
  <c r="CG320" i="48"/>
  <c r="CG325" i="48"/>
  <c r="CG329" i="48"/>
  <c r="CG333" i="48"/>
  <c r="CG337" i="48"/>
  <c r="CG341" i="48"/>
  <c r="CG345" i="48"/>
  <c r="CG351" i="48"/>
  <c r="CG355" i="48"/>
  <c r="CG359" i="48"/>
  <c r="CG363" i="48"/>
  <c r="CG367" i="48"/>
  <c r="CG372" i="48"/>
  <c r="CG376" i="48"/>
  <c r="CG380" i="48"/>
  <c r="CG384" i="48"/>
  <c r="CG388" i="48"/>
  <c r="CG392" i="48"/>
  <c r="CG397" i="48"/>
  <c r="CG401" i="48"/>
  <c r="CG405" i="48"/>
  <c r="CG409" i="48"/>
  <c r="CG413" i="48"/>
  <c r="CG417" i="48"/>
  <c r="CG422" i="48"/>
  <c r="CG426" i="48"/>
  <c r="CG430" i="48"/>
  <c r="CG434" i="48"/>
  <c r="CG438" i="48"/>
  <c r="CG442" i="48"/>
  <c r="CG447" i="48"/>
  <c r="CG451" i="48"/>
  <c r="CG455" i="48"/>
  <c r="CG459" i="48"/>
  <c r="CG463" i="48"/>
  <c r="CG468" i="48"/>
  <c r="CG472" i="48"/>
  <c r="CG476" i="48"/>
  <c r="CG480" i="48"/>
  <c r="CG484" i="48"/>
  <c r="CG488" i="48"/>
  <c r="CG493" i="48"/>
  <c r="CG497" i="48"/>
  <c r="CG501" i="48"/>
  <c r="CG505" i="48"/>
  <c r="CG509" i="48"/>
  <c r="CG513" i="48"/>
  <c r="CG519" i="48"/>
  <c r="CG523" i="48"/>
  <c r="CG527" i="48"/>
  <c r="CG531" i="48"/>
  <c r="CG535" i="48"/>
  <c r="CG540" i="48"/>
  <c r="CG544" i="48"/>
  <c r="CG548" i="48"/>
  <c r="CG552" i="48"/>
  <c r="CG556" i="48"/>
  <c r="CG560" i="48"/>
  <c r="CG565" i="48"/>
  <c r="CG569" i="48"/>
  <c r="CG573" i="48"/>
  <c r="CG577" i="48"/>
  <c r="CG581" i="48"/>
  <c r="CG585" i="48"/>
  <c r="CG590" i="48"/>
  <c r="CG594" i="48"/>
  <c r="CG598" i="48"/>
  <c r="CG602" i="48"/>
  <c r="CG606" i="48"/>
  <c r="CG610" i="48"/>
  <c r="CG615" i="48"/>
  <c r="CG619" i="48"/>
  <c r="CG623" i="48"/>
  <c r="CG627" i="48"/>
  <c r="CG631" i="48"/>
  <c r="CG636" i="48"/>
  <c r="CG640" i="48"/>
  <c r="CG644" i="48"/>
  <c r="CG648" i="48"/>
  <c r="CG695" i="48"/>
  <c r="CG699" i="48"/>
  <c r="CG703" i="48"/>
  <c r="CG708" i="48"/>
  <c r="CG712" i="48"/>
  <c r="CG716" i="48"/>
  <c r="CG720" i="48"/>
  <c r="CG724" i="48"/>
  <c r="CG728" i="48"/>
  <c r="CG733" i="48"/>
  <c r="CG737" i="48"/>
  <c r="CG741" i="48"/>
  <c r="CG745" i="48"/>
  <c r="CG749" i="48"/>
  <c r="CG753" i="48"/>
  <c r="CG758" i="48"/>
  <c r="CG762" i="48"/>
  <c r="CG766" i="48"/>
  <c r="CG770" i="48"/>
  <c r="CG774" i="48"/>
  <c r="CG778" i="48"/>
  <c r="CG783" i="48"/>
  <c r="CG787" i="48"/>
  <c r="CG791" i="48"/>
  <c r="CG795" i="48"/>
  <c r="CG799" i="48"/>
  <c r="CG805" i="48"/>
  <c r="CG809" i="48"/>
  <c r="CG813" i="48"/>
  <c r="CG817" i="48"/>
  <c r="CG821" i="48"/>
  <c r="CG825" i="48"/>
  <c r="CG830" i="48"/>
  <c r="CG834" i="48"/>
  <c r="CG838" i="48"/>
  <c r="CG842" i="48"/>
  <c r="CG846" i="48"/>
  <c r="CG850" i="48"/>
  <c r="CG852" i="48"/>
  <c r="CG856" i="48"/>
  <c r="CG860" i="48"/>
  <c r="CG864" i="48"/>
  <c r="CG868" i="48"/>
  <c r="CG872" i="48"/>
  <c r="CG877" i="48"/>
  <c r="CG881" i="48"/>
  <c r="CG885" i="48"/>
  <c r="CG889" i="48"/>
  <c r="CG893" i="48"/>
  <c r="CG897" i="48"/>
  <c r="CG902" i="48"/>
  <c r="CG906" i="48"/>
  <c r="CG910" i="48"/>
  <c r="CG914" i="48"/>
  <c r="CG918" i="48"/>
  <c r="CG922" i="48"/>
  <c r="CG927" i="48"/>
  <c r="CG931" i="48"/>
  <c r="CG935" i="48"/>
  <c r="CG939" i="48"/>
  <c r="CG943" i="48"/>
  <c r="CG948" i="48"/>
  <c r="CG952" i="48"/>
  <c r="CG956" i="48"/>
  <c r="CG960" i="48"/>
  <c r="CG964" i="48"/>
  <c r="CG968" i="48"/>
  <c r="CG973" i="48"/>
  <c r="CG977" i="48"/>
  <c r="CG981" i="48"/>
  <c r="CG985" i="48"/>
  <c r="CG989" i="48"/>
  <c r="CG993" i="48"/>
  <c r="CG998" i="48"/>
  <c r="CG658" i="48"/>
  <c r="CG663" i="48"/>
  <c r="CG667" i="48"/>
  <c r="CG671" i="48"/>
  <c r="CG675" i="48"/>
  <c r="CG679" i="48"/>
  <c r="CG684" i="48"/>
  <c r="CG688" i="48"/>
  <c r="CG692" i="48"/>
  <c r="CG696" i="48"/>
  <c r="CG700" i="48"/>
  <c r="CG704" i="48"/>
  <c r="CG709" i="48"/>
  <c r="CG713" i="48"/>
  <c r="CG717" i="48"/>
  <c r="CG721" i="48"/>
  <c r="CG725" i="48"/>
  <c r="CG729" i="48"/>
  <c r="CG734" i="48"/>
  <c r="CG738" i="48"/>
  <c r="CG742" i="48"/>
  <c r="CG746" i="48"/>
  <c r="CG750" i="48"/>
  <c r="CG754" i="48"/>
  <c r="CG759" i="48"/>
  <c r="CG763" i="48"/>
  <c r="CG767" i="48"/>
  <c r="CG771" i="48"/>
  <c r="CG775" i="48"/>
  <c r="CG780" i="48"/>
  <c r="CG784" i="48"/>
  <c r="CG788" i="48"/>
  <c r="CG792" i="48"/>
  <c r="CG796" i="48"/>
  <c r="CG800" i="48"/>
  <c r="CG806" i="48"/>
  <c r="CG810" i="48"/>
  <c r="CG814" i="48"/>
  <c r="CG818" i="48"/>
  <c r="CG822" i="48"/>
  <c r="CG826" i="48"/>
  <c r="CG831" i="48"/>
  <c r="CG835" i="48"/>
  <c r="CG839" i="48"/>
  <c r="CG843" i="48"/>
  <c r="CG847" i="48"/>
  <c r="CG853" i="48"/>
  <c r="CG857" i="48"/>
  <c r="CG861" i="48"/>
  <c r="CG865" i="48"/>
  <c r="CG869" i="48"/>
  <c r="CG873" i="48"/>
  <c r="CG878" i="48"/>
  <c r="CG882" i="48"/>
  <c r="CG886" i="48"/>
  <c r="CG890" i="48"/>
  <c r="CG894" i="48"/>
  <c r="CG898" i="48"/>
  <c r="CG903" i="48"/>
  <c r="CG907" i="48"/>
  <c r="CG911" i="48"/>
  <c r="CG915" i="48"/>
  <c r="CG919" i="48"/>
  <c r="CG924" i="48"/>
  <c r="CG928" i="48"/>
  <c r="CG932" i="48"/>
  <c r="CG936" i="48"/>
  <c r="CG940" i="48"/>
  <c r="CG652" i="48"/>
  <c r="CG656" i="48"/>
  <c r="CG661" i="48"/>
  <c r="CG665" i="48"/>
  <c r="CG669" i="48"/>
  <c r="CG673" i="48"/>
  <c r="CG677" i="48"/>
  <c r="CG681" i="48"/>
  <c r="CG686" i="48"/>
  <c r="CG690" i="48"/>
  <c r="CG694" i="48"/>
  <c r="CG698" i="48"/>
  <c r="CG702" i="48"/>
  <c r="CG706" i="48"/>
  <c r="CG711" i="48"/>
  <c r="CG715" i="48"/>
  <c r="CG719" i="48"/>
  <c r="CG723" i="48"/>
  <c r="CG727" i="48"/>
  <c r="CG732" i="48"/>
  <c r="CG736" i="48"/>
  <c r="CG740" i="48"/>
  <c r="CG744" i="48"/>
  <c r="CG748" i="48"/>
  <c r="CG752" i="48"/>
  <c r="CG757" i="48"/>
  <c r="CG761" i="48"/>
  <c r="CG765" i="48"/>
  <c r="CG769" i="48"/>
  <c r="CG773" i="48"/>
  <c r="CG777" i="48"/>
  <c r="CG782" i="48"/>
  <c r="CG786" i="48"/>
  <c r="CG790" i="48"/>
  <c r="CG794" i="48"/>
  <c r="CG798" i="48"/>
  <c r="CG802" i="48"/>
  <c r="CG804" i="48"/>
  <c r="CG808" i="48"/>
  <c r="CG812" i="48"/>
  <c r="CG816" i="48"/>
  <c r="CG820" i="48"/>
  <c r="CG824" i="48"/>
  <c r="CG829" i="48"/>
  <c r="CG833" i="48"/>
  <c r="CG837" i="48"/>
  <c r="CG841" i="48"/>
  <c r="CG845" i="48"/>
  <c r="CG849" i="48"/>
  <c r="CG855" i="48"/>
  <c r="CG859" i="48"/>
  <c r="CG863" i="48"/>
  <c r="CG867" i="48"/>
  <c r="CG871" i="48"/>
  <c r="CG876" i="48"/>
  <c r="CG880" i="48"/>
  <c r="CG884" i="48"/>
  <c r="CG888" i="48"/>
  <c r="CG892" i="48"/>
  <c r="CG896" i="48"/>
  <c r="CG901" i="48"/>
  <c r="CG905" i="48"/>
  <c r="CG909" i="48"/>
  <c r="CG913" i="48"/>
  <c r="CG917" i="48"/>
  <c r="CG921" i="48"/>
  <c r="CG926" i="48"/>
  <c r="CG930" i="48"/>
  <c r="CG934" i="48"/>
  <c r="CG938" i="48"/>
  <c r="CG1002" i="48"/>
  <c r="CG1006" i="48"/>
  <c r="CG1010" i="48"/>
  <c r="CG1014" i="48"/>
  <c r="CG1018" i="48"/>
  <c r="CG1023" i="48"/>
  <c r="CG1027" i="48"/>
  <c r="CG1031" i="48"/>
  <c r="CG1035" i="48"/>
  <c r="CG1039" i="48"/>
  <c r="CG1044" i="48"/>
  <c r="CG1048" i="48"/>
  <c r="CG1052" i="48"/>
  <c r="CG1056" i="48"/>
  <c r="CG1060" i="48"/>
  <c r="CG1064" i="48"/>
  <c r="CG1069" i="48"/>
  <c r="CG1073" i="48"/>
  <c r="CG1077" i="48"/>
  <c r="CG1081" i="48"/>
  <c r="CG1085" i="48"/>
  <c r="CG1089" i="48"/>
  <c r="CG1094" i="48"/>
  <c r="CG1098" i="48"/>
  <c r="CG1102" i="48"/>
  <c r="CG1106" i="48"/>
  <c r="CG1110" i="48"/>
  <c r="CG1114" i="48"/>
  <c r="CG1116" i="48"/>
  <c r="CG1120" i="48"/>
  <c r="CG1124" i="48"/>
  <c r="CG1128" i="48"/>
  <c r="CG1132" i="48"/>
  <c r="CG1136" i="48"/>
  <c r="CG1141" i="48"/>
  <c r="CG1145" i="48"/>
  <c r="CG1149" i="48"/>
  <c r="CG1153" i="48"/>
  <c r="CG1157" i="48"/>
  <c r="CG1161" i="48"/>
  <c r="CG1166" i="48"/>
  <c r="CG1170" i="48"/>
  <c r="CG1174" i="48"/>
  <c r="CG1178" i="48"/>
  <c r="CG1182" i="48"/>
  <c r="CG1186" i="48"/>
  <c r="CG1191" i="48"/>
  <c r="CG1195" i="48"/>
  <c r="CG1199" i="48"/>
  <c r="CG1203" i="48"/>
  <c r="CG1207" i="48"/>
  <c r="CG1212" i="48"/>
  <c r="CG1216" i="48"/>
  <c r="CG1220" i="48"/>
  <c r="CG1224" i="48"/>
  <c r="CG1228" i="48"/>
  <c r="CG1232" i="48"/>
  <c r="CG1237" i="48"/>
  <c r="CG1241" i="48"/>
  <c r="CG1245" i="48"/>
  <c r="CG1249" i="48"/>
  <c r="CG1253" i="48"/>
  <c r="CG1257" i="48"/>
  <c r="CG1262" i="48"/>
  <c r="CG1266" i="48"/>
  <c r="CG944" i="48"/>
  <c r="CG949" i="48"/>
  <c r="CG953" i="48"/>
  <c r="CG957" i="48"/>
  <c r="CG961" i="48"/>
  <c r="CG965" i="48"/>
  <c r="CG969" i="48"/>
  <c r="CG974" i="48"/>
  <c r="CG978" i="48"/>
  <c r="CG982" i="48"/>
  <c r="CG986" i="48"/>
  <c r="CG990" i="48"/>
  <c r="CG994" i="48"/>
  <c r="CG999" i="48"/>
  <c r="CG1003" i="48"/>
  <c r="CG1007" i="48"/>
  <c r="CG1011" i="48"/>
  <c r="CG1015" i="48"/>
  <c r="CG1020" i="48"/>
  <c r="CG1024" i="48"/>
  <c r="CG1028" i="48"/>
  <c r="CG1032" i="48"/>
  <c r="CG1036" i="48"/>
  <c r="CG1040" i="48"/>
  <c r="CG1045" i="48"/>
  <c r="CG1049" i="48"/>
  <c r="CG1053" i="48"/>
  <c r="CG1057" i="48"/>
  <c r="CG1061" i="48"/>
  <c r="CG1065" i="48"/>
  <c r="CG1070" i="48"/>
  <c r="CG1074" i="48"/>
  <c r="CG1078" i="48"/>
  <c r="CG1082" i="48"/>
  <c r="CG1086" i="48"/>
  <c r="CG1090" i="48"/>
  <c r="CG1095" i="48"/>
  <c r="CG1099" i="48"/>
  <c r="CG1103" i="48"/>
  <c r="CG1107" i="48"/>
  <c r="CG1111" i="48"/>
  <c r="CG1117" i="48"/>
  <c r="CG1121" i="48"/>
  <c r="CG1125" i="48"/>
  <c r="CG1129" i="48"/>
  <c r="CG1133" i="48"/>
  <c r="CG1137" i="48"/>
  <c r="CG1142" i="48"/>
  <c r="CG1146" i="48"/>
  <c r="CG1150" i="48"/>
  <c r="CG1154" i="48"/>
  <c r="CG1158" i="48"/>
  <c r="CG1162" i="48"/>
  <c r="CG1167" i="48"/>
  <c r="CG1171" i="48"/>
  <c r="CG1175" i="48"/>
  <c r="CG1179" i="48"/>
  <c r="CG1183" i="48"/>
  <c r="CG1188" i="48"/>
  <c r="CG1192" i="48"/>
  <c r="CG1196" i="48"/>
  <c r="CG1200" i="48"/>
  <c r="CG1204" i="48"/>
  <c r="CG1208" i="48"/>
  <c r="CG1213" i="48"/>
  <c r="CG1217" i="48"/>
  <c r="CG1221" i="48"/>
  <c r="CG1225" i="48"/>
  <c r="CG1229" i="48"/>
  <c r="CG1233" i="48"/>
  <c r="CG1238" i="48"/>
  <c r="CG1242" i="48"/>
  <c r="CG1246" i="48"/>
  <c r="CG1250" i="48"/>
  <c r="CG1254" i="48"/>
  <c r="CG1258" i="48"/>
  <c r="CG1263" i="48"/>
  <c r="CG1267" i="48"/>
  <c r="CG1271" i="48"/>
  <c r="CG942" i="48"/>
  <c r="CG946" i="48"/>
  <c r="CG951" i="48"/>
  <c r="CG955" i="48"/>
  <c r="CG959" i="48"/>
  <c r="CG963" i="48"/>
  <c r="CG967" i="48"/>
  <c r="CG972" i="48"/>
  <c r="CG976" i="48"/>
  <c r="CG980" i="48"/>
  <c r="CG984" i="48"/>
  <c r="CG988" i="48"/>
  <c r="CG992" i="48"/>
  <c r="CG997" i="48"/>
  <c r="CG1001" i="48"/>
  <c r="CG1005" i="48"/>
  <c r="CG1009" i="48"/>
  <c r="CG1013" i="48"/>
  <c r="CG1017" i="48"/>
  <c r="CG1022" i="48"/>
  <c r="CG1026" i="48"/>
  <c r="CG1030" i="48"/>
  <c r="CG1034" i="48"/>
  <c r="CG1038" i="48"/>
  <c r="CG1042" i="48"/>
  <c r="CG1047" i="48"/>
  <c r="CG1051" i="48"/>
  <c r="CG1055" i="48"/>
  <c r="CG1059" i="48"/>
  <c r="CG1063" i="48"/>
  <c r="CG1068" i="48"/>
  <c r="CG1072" i="48"/>
  <c r="CG1076" i="48"/>
  <c r="CG1080" i="48"/>
  <c r="CG1084" i="48"/>
  <c r="CG1088" i="48"/>
  <c r="CG1093" i="48"/>
  <c r="CG1097" i="48"/>
  <c r="CG1101" i="48"/>
  <c r="CG1105" i="48"/>
  <c r="CG1109" i="48"/>
  <c r="CG1113" i="48"/>
  <c r="CG1119" i="48"/>
  <c r="CG1123" i="48"/>
  <c r="CG1127" i="48"/>
  <c r="CG1131" i="48"/>
  <c r="CG1135" i="48"/>
  <c r="CG1140" i="48"/>
  <c r="CG1144" i="48"/>
  <c r="CG1148" i="48"/>
  <c r="CG1152" i="48"/>
  <c r="CG1156" i="48"/>
  <c r="CG1160" i="48"/>
  <c r="CG1165" i="48"/>
  <c r="CG1169" i="48"/>
  <c r="CG1173" i="48"/>
  <c r="CG1177" i="48"/>
  <c r="CG1181" i="48"/>
  <c r="CG1185" i="48"/>
  <c r="CG1190" i="48"/>
  <c r="CG1194" i="48"/>
  <c r="CG1198" i="48"/>
  <c r="CG1202" i="48"/>
  <c r="CG1206" i="48"/>
  <c r="CG1210" i="48"/>
  <c r="CG1215" i="48"/>
  <c r="CG1219" i="48"/>
  <c r="CG1223" i="48"/>
  <c r="CG1227" i="48"/>
  <c r="CG1231" i="48"/>
  <c r="CG1236" i="48"/>
  <c r="CG1240" i="48"/>
  <c r="CG1244" i="48"/>
  <c r="CG1248" i="48"/>
  <c r="CG1252" i="48"/>
  <c r="CG1256" i="48"/>
  <c r="CG1261" i="48"/>
  <c r="CG1265" i="48"/>
  <c r="CG1269" i="48"/>
  <c r="CG1273" i="48"/>
  <c r="CG1277" i="48"/>
  <c r="CG1281" i="48"/>
  <c r="CG1286" i="48"/>
  <c r="CG1290" i="48"/>
  <c r="CG1294" i="48"/>
  <c r="CG1298" i="48"/>
  <c r="CG1302" i="48"/>
  <c r="CG1306" i="48"/>
  <c r="CG1311" i="48"/>
  <c r="CG1315" i="48"/>
  <c r="CG1319" i="48"/>
  <c r="CG1323" i="48"/>
  <c r="CG1327" i="48"/>
  <c r="DK1003" i="48"/>
  <c r="DK1298" i="48"/>
  <c r="DK1205" i="48"/>
  <c r="DK1079" i="48"/>
  <c r="DK775" i="48"/>
  <c r="DK332" i="48"/>
  <c r="DK334" i="48"/>
  <c r="DK579" i="48"/>
  <c r="DK628" i="48"/>
  <c r="DK1208" i="48"/>
  <c r="DK269" i="48"/>
  <c r="DK261" i="48"/>
  <c r="DK839" i="48"/>
  <c r="DK1292" i="48"/>
  <c r="DK94" i="48"/>
  <c r="DK772" i="48"/>
  <c r="DK271" i="48"/>
  <c r="DK57" i="48"/>
  <c r="DC57" i="48" s="1"/>
  <c r="DK98" i="48"/>
  <c r="DK173" i="48"/>
  <c r="DK1090" i="48"/>
  <c r="DK286" i="48"/>
  <c r="DK226" i="48"/>
  <c r="DK1034" i="48"/>
  <c r="DK1059" i="48"/>
  <c r="DK242" i="48"/>
  <c r="DK557" i="48"/>
  <c r="DK1329" i="48"/>
  <c r="DK250" i="48"/>
  <c r="DK274" i="48"/>
  <c r="DK144" i="48"/>
  <c r="DK692" i="48"/>
  <c r="DK289" i="48"/>
  <c r="DK284" i="48"/>
  <c r="DK1057" i="48"/>
  <c r="DK1017" i="48"/>
  <c r="DK867" i="48"/>
  <c r="DK490" i="48"/>
  <c r="DK1330" i="48"/>
  <c r="DK288" i="48"/>
  <c r="DK1280" i="48"/>
  <c r="DK983" i="48"/>
  <c r="DK991" i="48"/>
  <c r="DK1036" i="48"/>
  <c r="DK1160" i="48"/>
  <c r="DK646" i="48"/>
  <c r="DK740" i="48"/>
  <c r="DK650" i="48"/>
  <c r="DK1015" i="48"/>
  <c r="DK528" i="48"/>
  <c r="DK932" i="48"/>
  <c r="DK909" i="48"/>
  <c r="DK263" i="48"/>
  <c r="DK721" i="48"/>
  <c r="DK1038" i="48"/>
  <c r="DK1053" i="48"/>
  <c r="DK311" i="48"/>
  <c r="DK935" i="48"/>
  <c r="DK674" i="48"/>
  <c r="DK96" i="48"/>
  <c r="DK244" i="48"/>
  <c r="DK872" i="48"/>
  <c r="DK777" i="48"/>
  <c r="DK336" i="48"/>
  <c r="DK1156" i="48"/>
  <c r="DK1112" i="48"/>
  <c r="DK530" i="48"/>
  <c r="DK103" i="48"/>
  <c r="DK320" i="48"/>
  <c r="DK631" i="48"/>
  <c r="DK1317" i="48"/>
  <c r="DK1135" i="48"/>
  <c r="DK939" i="48"/>
  <c r="DK54" i="48"/>
  <c r="DC54" i="48" s="1"/>
  <c r="DK893" i="48"/>
  <c r="DK967" i="48"/>
  <c r="DK1104" i="48"/>
  <c r="DK915" i="48"/>
  <c r="DK507" i="48"/>
  <c r="DK357" i="48"/>
  <c r="DK1174" i="48"/>
  <c r="DK55" i="48"/>
  <c r="DC55" i="48" s="1"/>
  <c r="DK824" i="48"/>
  <c r="DK554" i="48"/>
  <c r="DK1161" i="48"/>
  <c r="DK1063" i="48"/>
  <c r="DK798" i="48"/>
  <c r="DK1133" i="48"/>
  <c r="DK1175" i="48"/>
  <c r="DK167" i="48"/>
  <c r="DK586" i="48"/>
  <c r="DK673" i="48"/>
  <c r="DK988" i="48"/>
  <c r="DK49" i="48"/>
  <c r="DC49" i="48" s="1"/>
  <c r="DK676" i="48"/>
  <c r="DK1158" i="48"/>
  <c r="DK432" i="48"/>
  <c r="DK413" i="48"/>
  <c r="DK1077" i="48"/>
  <c r="DK73" i="48"/>
  <c r="DK818" i="48"/>
  <c r="DK668" i="48"/>
  <c r="DK868" i="48"/>
  <c r="DK190" i="48"/>
  <c r="DK770" i="48"/>
  <c r="DK1042" i="48"/>
  <c r="DK647" i="48"/>
  <c r="DK1100" i="48"/>
  <c r="DK119" i="48"/>
  <c r="DK753" i="48"/>
  <c r="DK1088" i="48"/>
  <c r="DK366" i="48"/>
  <c r="DK418" i="48"/>
  <c r="DK1180" i="48"/>
  <c r="DK239" i="48"/>
  <c r="DK583" i="48"/>
  <c r="DK719" i="48"/>
  <c r="DK189" i="48"/>
  <c r="DK792" i="48"/>
  <c r="DK815" i="48"/>
  <c r="DK561" i="48"/>
  <c r="DK1254" i="48"/>
  <c r="DK333" i="48"/>
  <c r="DK506" i="48"/>
  <c r="DK199" i="48"/>
  <c r="DK152" i="48"/>
  <c r="DK1138" i="48"/>
  <c r="DK957" i="48"/>
  <c r="DK1081" i="48"/>
  <c r="DK319" i="48"/>
  <c r="DK220" i="48"/>
  <c r="DK455" i="48"/>
  <c r="DK1125" i="48"/>
  <c r="DK219" i="48"/>
  <c r="DK44" i="48"/>
  <c r="DC44" i="48" s="1"/>
  <c r="DK813" i="48"/>
  <c r="DK864" i="48"/>
  <c r="DK1319" i="48"/>
  <c r="DK941" i="48"/>
  <c r="DK361" i="48"/>
  <c r="DK1010" i="48"/>
  <c r="DK266" i="48"/>
  <c r="DK439" i="48"/>
  <c r="DK1137" i="48"/>
  <c r="DK1058" i="48"/>
  <c r="DK625" i="48"/>
  <c r="DK961" i="48"/>
  <c r="DK610" i="48"/>
  <c r="DK176" i="48"/>
  <c r="DK1202" i="48"/>
  <c r="DK1273" i="48"/>
  <c r="DK1041" i="48"/>
  <c r="DK1124" i="48"/>
  <c r="DK1109" i="48"/>
  <c r="DK992" i="48"/>
  <c r="DK869" i="48"/>
  <c r="DK1172" i="48"/>
  <c r="DK58" i="48"/>
  <c r="DC58" i="48" s="1"/>
  <c r="DK1256" i="48"/>
  <c r="DK245" i="48"/>
  <c r="DK1114" i="48"/>
  <c r="DK748" i="48"/>
  <c r="DK1155" i="48"/>
  <c r="DK70" i="48"/>
  <c r="DK201" i="48"/>
  <c r="DK502" i="48"/>
  <c r="DK297" i="48"/>
  <c r="DK850" i="48"/>
  <c r="DK1248" i="48"/>
  <c r="DK1008" i="48"/>
  <c r="DK1247" i="48"/>
  <c r="DK464" i="48"/>
  <c r="DK1251" i="48"/>
  <c r="DK316" i="48"/>
  <c r="DK1040" i="48"/>
  <c r="DK580" i="48"/>
  <c r="DK454" i="48"/>
  <c r="DK1282" i="48"/>
  <c r="DK535" i="48"/>
  <c r="DK465" i="48"/>
  <c r="DK1324" i="48"/>
  <c r="DK146" i="48"/>
  <c r="DK1318" i="48"/>
  <c r="DK237" i="48"/>
  <c r="DK100" i="48"/>
  <c r="DK987" i="48"/>
  <c r="DK218" i="48"/>
  <c r="DK388" i="48"/>
  <c r="DK1065" i="48"/>
  <c r="DK270" i="48"/>
  <c r="DK79" i="48"/>
  <c r="DK1257" i="48"/>
  <c r="DK848" i="48"/>
  <c r="DK767" i="48"/>
  <c r="DK751" i="48"/>
  <c r="DK633" i="48"/>
  <c r="DK1325" i="48"/>
  <c r="DK823" i="48"/>
  <c r="DK607" i="48"/>
  <c r="DK1246" i="48"/>
  <c r="DK532" i="48"/>
  <c r="DK648" i="48"/>
  <c r="DK170" i="48"/>
  <c r="DK742" i="48"/>
  <c r="DK394" i="48"/>
  <c r="DK706" i="48"/>
  <c r="DK849" i="48"/>
  <c r="DK720" i="48"/>
  <c r="DK820" i="48"/>
  <c r="DK718" i="48"/>
  <c r="DK702" i="48"/>
  <c r="DK910" i="48"/>
  <c r="DK346" i="48"/>
  <c r="DK126" i="48"/>
  <c r="DK53" i="48"/>
  <c r="DC53" i="48" s="1"/>
  <c r="DK862" i="48"/>
  <c r="DK749" i="48"/>
  <c r="DK1199" i="48"/>
  <c r="DK558" i="48"/>
  <c r="DK913" i="48"/>
  <c r="DK716" i="48"/>
  <c r="DK743" i="48"/>
  <c r="DK466" i="48"/>
  <c r="DK865" i="48"/>
  <c r="DK796" i="48"/>
  <c r="DK846" i="48"/>
  <c r="DK387" i="48"/>
  <c r="DK1032" i="48"/>
  <c r="DK1277" i="48"/>
  <c r="DK360" i="48"/>
  <c r="DK958" i="48"/>
  <c r="DK123" i="48"/>
  <c r="DK965" i="48"/>
  <c r="DK310" i="48"/>
  <c r="DK1154" i="48"/>
  <c r="DK1226" i="48"/>
  <c r="DK1035" i="48"/>
  <c r="DK442" i="48"/>
  <c r="DK1128" i="48"/>
  <c r="DK678" i="48"/>
  <c r="DK487" i="48"/>
  <c r="DK621" i="48"/>
  <c r="DK1295" i="48"/>
  <c r="DK453" i="48"/>
  <c r="DK1233" i="48"/>
  <c r="DK1129" i="48"/>
  <c r="DK431" i="48"/>
  <c r="DK217" i="48"/>
  <c r="DK52" i="48"/>
  <c r="DC52" i="48" s="1"/>
  <c r="DK1178" i="48"/>
  <c r="DK697" i="48"/>
  <c r="DK93" i="48"/>
  <c r="DK1031" i="48"/>
  <c r="DK752" i="48"/>
  <c r="DK512" i="48"/>
  <c r="DK536" i="48"/>
  <c r="DK1255" i="48"/>
  <c r="DK581" i="48"/>
  <c r="DK726" i="48"/>
  <c r="DK72" i="48"/>
  <c r="DK896" i="48"/>
  <c r="DK130" i="48"/>
  <c r="DK632" i="48"/>
  <c r="DK194" i="48"/>
  <c r="DK670" i="48"/>
  <c r="DK555" i="48"/>
  <c r="DK1106" i="48"/>
  <c r="DK1157" i="48"/>
  <c r="DK1055" i="48"/>
  <c r="DK238" i="48"/>
  <c r="DK1279" i="48"/>
  <c r="DK994" i="48"/>
  <c r="DK793" i="48"/>
  <c r="DK46" i="48"/>
  <c r="DC46" i="48" s="1"/>
  <c r="DK1227" i="48"/>
  <c r="DK236" i="48"/>
  <c r="DK717" i="48"/>
  <c r="DK724" i="48"/>
  <c r="DK436" i="48"/>
  <c r="DK727" i="48"/>
  <c r="DK342" i="48"/>
  <c r="DK802" i="48"/>
  <c r="DK817" i="48"/>
  <c r="DK602" i="48"/>
  <c r="DK143" i="48"/>
  <c r="DK680" i="48"/>
  <c r="DK1108" i="48"/>
  <c r="DK704" i="48"/>
  <c r="DK981" i="48"/>
  <c r="DK837" i="48"/>
  <c r="DK390" i="48"/>
  <c r="DK694" i="48"/>
  <c r="DK911" i="48"/>
  <c r="DK600" i="48"/>
  <c r="DK441" i="48"/>
  <c r="DK1276" i="48"/>
  <c r="DK313" i="48"/>
  <c r="DK1182" i="48"/>
  <c r="DK1220" i="48"/>
  <c r="DK287" i="48"/>
  <c r="DK1272" i="48"/>
  <c r="DK944" i="48"/>
  <c r="DK359" i="48"/>
  <c r="DK573" i="48"/>
  <c r="DK309" i="48"/>
  <c r="DK582" i="48"/>
  <c r="DK362" i="48"/>
  <c r="DK285" i="48"/>
  <c r="DK741" i="48"/>
  <c r="DK551" i="48"/>
  <c r="DK1107" i="48"/>
  <c r="DK578" i="48"/>
  <c r="DK919" i="48"/>
  <c r="DK343" i="48"/>
  <c r="DK840" i="48"/>
  <c r="DK576" i="48"/>
  <c r="DK151" i="48"/>
  <c r="DK80" i="48"/>
  <c r="DK1274" i="48"/>
  <c r="DK166" i="48"/>
  <c r="DK1016" i="48"/>
  <c r="DK92" i="48"/>
  <c r="DK585" i="48"/>
  <c r="DK101" i="48"/>
  <c r="DK476" i="48"/>
  <c r="DK1056" i="48"/>
  <c r="DK525" i="48"/>
  <c r="DK989" i="48"/>
  <c r="DK936" i="48"/>
  <c r="DK969" i="48"/>
  <c r="DK1186" i="48"/>
  <c r="DK747" i="48"/>
  <c r="DK937" i="48"/>
  <c r="DK1150" i="48"/>
  <c r="DK556" i="48"/>
  <c r="DK433" i="48"/>
  <c r="DK826" i="48"/>
  <c r="DK191" i="48"/>
  <c r="DK106" i="48"/>
  <c r="DK560" i="48"/>
  <c r="DK48" i="48"/>
  <c r="DC48" i="48" s="1"/>
  <c r="DK1271" i="48"/>
  <c r="DK358" i="48"/>
  <c r="DK1196" i="48"/>
  <c r="DK1061" i="48"/>
  <c r="DK1303" i="48"/>
  <c r="DK291" i="48"/>
  <c r="DK367" i="48"/>
  <c r="DK213" i="48"/>
  <c r="DK102" i="48"/>
  <c r="DK1005" i="48"/>
  <c r="DK653" i="48"/>
  <c r="DK1293" i="48"/>
  <c r="DK486" i="48"/>
  <c r="DK1297" i="48"/>
  <c r="DK505" i="48"/>
  <c r="DK599" i="48"/>
  <c r="DK392" i="48"/>
  <c r="DK750" i="48"/>
  <c r="DK1113" i="48"/>
  <c r="DK1321" i="48"/>
  <c r="DK1039" i="48"/>
  <c r="DK1301" i="48"/>
  <c r="DK916" i="48"/>
  <c r="DK1013" i="48"/>
  <c r="DK1222" i="48"/>
  <c r="DK1018" i="48"/>
  <c r="DK1201" i="48"/>
  <c r="DK1209" i="48"/>
  <c r="DK246" i="48"/>
  <c r="DK870" i="48"/>
  <c r="DK529" i="48"/>
  <c r="DK894" i="48"/>
  <c r="DK693" i="48"/>
  <c r="DK416" i="48"/>
  <c r="DK1151" i="48"/>
  <c r="DK69" i="48"/>
  <c r="DK627" i="48"/>
  <c r="DK128" i="48"/>
  <c r="DK1328" i="48"/>
  <c r="DK1082" i="48"/>
  <c r="DK1012" i="48"/>
  <c r="DK677" i="48"/>
  <c r="DK1184" i="48"/>
  <c r="DK814" i="48"/>
  <c r="DK1062" i="48"/>
  <c r="DK484" i="48"/>
  <c r="DK1177" i="48"/>
  <c r="DK74" i="48"/>
  <c r="DK1060" i="48"/>
  <c r="DK816" i="48"/>
  <c r="DK679" i="48"/>
  <c r="DK700" i="48"/>
  <c r="DK223" i="48"/>
  <c r="DK933" i="48"/>
  <c r="DK344" i="48"/>
  <c r="DK895" i="48"/>
  <c r="DK1083" i="48"/>
  <c r="DK1210" i="48"/>
  <c r="DK1305" i="48"/>
  <c r="DK369" i="48"/>
  <c r="DK212" i="48"/>
  <c r="DK457" i="48"/>
  <c r="DK794" i="48"/>
  <c r="DK1229" i="48"/>
  <c r="DK463" i="48"/>
  <c r="DK462" i="48"/>
  <c r="DK531" i="48"/>
  <c r="DK407" i="48"/>
  <c r="DK956" i="48"/>
  <c r="DK391" i="48"/>
  <c r="DK1181" i="48"/>
  <c r="DK404" i="48"/>
  <c r="DK1198" i="48"/>
  <c r="DK1134" i="48"/>
  <c r="DK174" i="48"/>
  <c r="DK605" i="48"/>
  <c r="DK908" i="48"/>
  <c r="DK321" i="48"/>
  <c r="DK221" i="48"/>
  <c r="DK121" i="48"/>
  <c r="DK273" i="48"/>
  <c r="DK292" i="48"/>
  <c r="DK681" i="48"/>
  <c r="DK871" i="48"/>
  <c r="DK478" i="48"/>
  <c r="DK164" i="48"/>
  <c r="DK1304" i="48"/>
  <c r="DK963" i="48"/>
  <c r="DK1173" i="48"/>
  <c r="DK105" i="48"/>
  <c r="DK722" i="48"/>
  <c r="DK410" i="48"/>
  <c r="DK1028" i="48"/>
  <c r="DK264" i="48"/>
  <c r="DK1103" i="48"/>
  <c r="DK1197" i="48"/>
  <c r="DK196" i="48"/>
  <c r="DK917" i="48"/>
  <c r="DK267" i="48"/>
  <c r="DK985" i="48"/>
  <c r="DK124" i="48"/>
  <c r="DK723" i="48"/>
  <c r="DK728" i="48"/>
  <c r="DK1136" i="48"/>
  <c r="DK1030" i="48"/>
  <c r="DK790" i="48"/>
  <c r="DK1300" i="48"/>
  <c r="DK559" i="48"/>
  <c r="DK703" i="48"/>
  <c r="DK669" i="48"/>
  <c r="DK776" i="48"/>
  <c r="DK863" i="48"/>
  <c r="DK764" i="48"/>
  <c r="DK549" i="48"/>
  <c r="DK698" i="48"/>
  <c r="DK483" i="48"/>
  <c r="DK200" i="48"/>
  <c r="DK842" i="48"/>
  <c r="DK623" i="48"/>
  <c r="DK1327" i="48"/>
  <c r="DK990" i="48"/>
  <c r="DK800" i="48"/>
  <c r="DK1009" i="48"/>
  <c r="DK918" i="48"/>
  <c r="DK1086" i="48"/>
  <c r="DK766" i="48"/>
  <c r="DK575" i="48"/>
  <c r="DK658" i="48"/>
  <c r="DK477" i="48"/>
  <c r="DK1250" i="48"/>
  <c r="DK725" i="48"/>
  <c r="DK892" i="48"/>
  <c r="DK891" i="48"/>
  <c r="DK620" i="48"/>
  <c r="DK1316" i="48"/>
  <c r="DK1149" i="48"/>
  <c r="DK120" i="48"/>
  <c r="DK265" i="48"/>
  <c r="DK68" i="48"/>
  <c r="DK993" i="48"/>
  <c r="DK148" i="48"/>
  <c r="DK290" i="48"/>
  <c r="DK1207" i="48"/>
  <c r="DK1221" i="48"/>
  <c r="DK577" i="48"/>
  <c r="DK195" i="48"/>
  <c r="DK657" i="48"/>
  <c r="DK363" i="48"/>
  <c r="DK964" i="48"/>
  <c r="DK97" i="48"/>
  <c r="DK76" i="48"/>
  <c r="DK385" i="48"/>
  <c r="DK534" i="48"/>
  <c r="DK56" i="48"/>
  <c r="DC56" i="48" s="1"/>
  <c r="DK503" i="48"/>
  <c r="DK50" i="48"/>
  <c r="DC50" i="48" s="1"/>
  <c r="DK414" i="48"/>
  <c r="DK141" i="48"/>
  <c r="DK482" i="48"/>
  <c r="DK338" i="48"/>
  <c r="DK45" i="48"/>
  <c r="DC45" i="48" s="1"/>
  <c r="DK768" i="48"/>
  <c r="DK821" i="48"/>
  <c r="DK1130" i="48"/>
  <c r="DK511" i="48"/>
  <c r="DK225" i="48"/>
  <c r="DK440" i="48"/>
  <c r="DK1223" i="48"/>
  <c r="DK553" i="48"/>
  <c r="DK656" i="48"/>
  <c r="DK1249" i="48"/>
  <c r="DK370" i="48"/>
  <c r="DK533" i="48"/>
  <c r="DK514" i="48"/>
  <c r="DK1323" i="48"/>
  <c r="DK380" i="48"/>
  <c r="DK885" i="48"/>
  <c r="DK799" i="48"/>
  <c r="DK389" i="48"/>
  <c r="DK788" i="48"/>
  <c r="DK651" i="48"/>
  <c r="DK1278" i="48"/>
  <c r="DK699" i="48"/>
  <c r="DK438" i="48"/>
  <c r="DK897" i="48"/>
  <c r="DK295" i="48"/>
  <c r="DK1102" i="48"/>
  <c r="DK272" i="48"/>
  <c r="DK934" i="48"/>
  <c r="DK1296" i="48"/>
  <c r="DK1126" i="48"/>
  <c r="DK116" i="48"/>
  <c r="DK1152" i="48"/>
  <c r="DK705" i="48"/>
  <c r="DK696" i="48"/>
  <c r="DK315" i="48"/>
  <c r="DK147" i="48"/>
  <c r="DK293" i="48"/>
  <c r="DK921" i="48"/>
  <c r="DK172" i="48"/>
  <c r="DK82" i="48"/>
  <c r="DK1225" i="48"/>
  <c r="DK1281" i="48"/>
  <c r="DK598" i="48"/>
  <c r="DK1234" i="48"/>
  <c r="DK940" i="48"/>
  <c r="DK652" i="48"/>
  <c r="DK984" i="48"/>
  <c r="DK841" i="48"/>
  <c r="DK527" i="48"/>
  <c r="DK435" i="48"/>
  <c r="DK1252" i="48"/>
  <c r="DK99" i="48"/>
  <c r="DK744" i="48"/>
  <c r="DK1245" i="48"/>
  <c r="DK629" i="48"/>
  <c r="DK884" i="48"/>
  <c r="DK197" i="48"/>
  <c r="DK459" i="48"/>
  <c r="DK601" i="48"/>
  <c r="DK671" i="48"/>
  <c r="DK458" i="48"/>
  <c r="DK847" i="48"/>
  <c r="DK938" i="48"/>
  <c r="DK898" i="48"/>
  <c r="DK222" i="48"/>
  <c r="DK365" i="48"/>
  <c r="DK192" i="48"/>
  <c r="DK383" i="48"/>
  <c r="DK1326" i="48"/>
  <c r="DK168" i="48"/>
  <c r="DK634" i="48"/>
  <c r="DK188" i="48"/>
  <c r="DK340" i="48"/>
  <c r="DK1159" i="48"/>
  <c r="DK552" i="48"/>
  <c r="DK75" i="48"/>
  <c r="DK337" i="48"/>
  <c r="DK1179" i="48"/>
  <c r="DK649" i="48"/>
  <c r="DK914" i="48"/>
  <c r="DK510" i="48"/>
  <c r="DK729" i="48"/>
  <c r="DK1306" i="48"/>
  <c r="DK1064" i="48"/>
  <c r="DK504" i="48"/>
  <c r="DK513" i="48"/>
  <c r="DK822" i="48"/>
  <c r="DK986" i="48"/>
  <c r="DK47" i="48"/>
  <c r="DC47" i="48" s="1"/>
  <c r="DK356" i="48"/>
  <c r="DK216" i="48"/>
  <c r="DK675" i="48"/>
  <c r="DK1269" i="48"/>
  <c r="DK645" i="48"/>
  <c r="DK1206" i="48"/>
  <c r="DK95" i="48"/>
  <c r="DK125" i="48"/>
  <c r="DK215" i="48"/>
  <c r="DK1089" i="48"/>
  <c r="DK127" i="48"/>
  <c r="DK887" i="48"/>
  <c r="DK861" i="48"/>
  <c r="DK165" i="48"/>
  <c r="DK1004" i="48"/>
  <c r="DK1294" i="48"/>
  <c r="DK1066" i="48"/>
  <c r="DK844" i="48"/>
  <c r="DK434" i="48"/>
  <c r="DK1302" i="48"/>
  <c r="DK1203" i="48"/>
  <c r="DK412" i="48"/>
  <c r="DK655" i="48"/>
  <c r="DK1080" i="48"/>
  <c r="DK381" i="48"/>
  <c r="DK966" i="48"/>
  <c r="DK406" i="48"/>
  <c r="DK672" i="48"/>
  <c r="DK1244" i="48"/>
  <c r="DK224" i="48"/>
  <c r="DK1078" i="48"/>
  <c r="DK262" i="48"/>
  <c r="DK411" i="48"/>
  <c r="DK1185" i="48"/>
  <c r="DK104" i="48"/>
  <c r="DK1101" i="48"/>
  <c r="DK1127" i="48"/>
  <c r="DK959" i="48"/>
  <c r="DK888" i="48"/>
  <c r="DK481" i="48"/>
  <c r="DK247" i="48"/>
  <c r="DK345" i="48"/>
  <c r="DK241" i="48"/>
  <c r="DK1153" i="48"/>
  <c r="DK129" i="48"/>
  <c r="DK526" i="48"/>
  <c r="DK298" i="48"/>
  <c r="DK193" i="48"/>
  <c r="DK843" i="48"/>
  <c r="DK584" i="48"/>
  <c r="DK890" i="48"/>
  <c r="DK78" i="48"/>
  <c r="DK268" i="48"/>
  <c r="DK177" i="48"/>
  <c r="DK730" i="48"/>
  <c r="DK1322" i="48"/>
  <c r="DK341" i="48"/>
  <c r="DK695" i="48"/>
  <c r="DK754" i="48"/>
  <c r="DK77" i="48"/>
  <c r="DK682" i="48"/>
  <c r="DK382" i="48"/>
  <c r="DK1076" i="48"/>
  <c r="DK920" i="48"/>
  <c r="DK51" i="48"/>
  <c r="DC51" i="48" s="1"/>
  <c r="DK1014" i="48"/>
  <c r="DK1253" i="48"/>
  <c r="DK912" i="48"/>
  <c r="DK198" i="48"/>
  <c r="DK339" i="48"/>
  <c r="DK819" i="48"/>
  <c r="DK117" i="48"/>
  <c r="DK746" i="48"/>
  <c r="DK1320" i="48"/>
  <c r="DK118" i="48"/>
  <c r="DK122" i="48"/>
  <c r="DK479" i="48"/>
  <c r="DK778" i="48"/>
  <c r="DK1131" i="48"/>
  <c r="DK1228" i="48"/>
  <c r="DK626" i="48"/>
  <c r="DK202" i="48"/>
  <c r="DK970" i="48"/>
  <c r="DK312" i="48"/>
  <c r="DK982" i="48"/>
  <c r="DK874" i="48"/>
  <c r="DK795" i="48"/>
  <c r="DK1148" i="48"/>
  <c r="DK1200" i="48"/>
  <c r="DK452" i="48"/>
  <c r="DK889" i="48"/>
  <c r="DK1299" i="48"/>
  <c r="DK243" i="48"/>
  <c r="DK488" i="48"/>
  <c r="DK943" i="48"/>
  <c r="DK1270" i="48"/>
  <c r="DK597" i="48"/>
  <c r="DK322" i="48"/>
  <c r="DK480" i="48"/>
  <c r="DK1029" i="48"/>
  <c r="DK489" i="48"/>
  <c r="DK562" i="48"/>
  <c r="DK1085" i="48"/>
  <c r="DK145" i="48"/>
  <c r="DK789" i="48"/>
  <c r="DK945" i="48"/>
  <c r="DK460" i="48"/>
  <c r="DK150" i="48"/>
  <c r="DK408" i="48"/>
  <c r="DK501" i="48"/>
  <c r="DK405" i="48"/>
  <c r="DK248" i="48"/>
  <c r="DK142" i="48"/>
  <c r="DK873" i="48"/>
  <c r="DK1162" i="48"/>
  <c r="DK384" i="48"/>
  <c r="DK701" i="48"/>
  <c r="DK386" i="48"/>
  <c r="DK171" i="48"/>
  <c r="DK437" i="48"/>
  <c r="DK797" i="48"/>
  <c r="DK608" i="48"/>
  <c r="DK393" i="48"/>
  <c r="DK745" i="48"/>
  <c r="DK1183" i="48"/>
  <c r="DK1231" i="48"/>
  <c r="DK149" i="48"/>
  <c r="DK606" i="48"/>
  <c r="DK153" i="48"/>
  <c r="DK774" i="48"/>
  <c r="DK368" i="48"/>
  <c r="DK603" i="48"/>
  <c r="DK801" i="48"/>
  <c r="DK962" i="48"/>
  <c r="DK296" i="48"/>
  <c r="DK1111" i="48"/>
  <c r="DK430" i="48"/>
  <c r="DK604" i="48"/>
  <c r="DK1275" i="48"/>
  <c r="DK946" i="48"/>
  <c r="DK866" i="48"/>
  <c r="DK240" i="48"/>
  <c r="DK960" i="48"/>
  <c r="DK845" i="48"/>
  <c r="DK771" i="48"/>
  <c r="DK169" i="48"/>
  <c r="DK1230" i="48"/>
  <c r="DK622" i="48"/>
  <c r="DK1084" i="48"/>
  <c r="DK942" i="48"/>
  <c r="DK81" i="48"/>
  <c r="DK624" i="48"/>
  <c r="DK294" i="48"/>
  <c r="DK318" i="48"/>
  <c r="DK71" i="48"/>
  <c r="DK886" i="48"/>
  <c r="DK1011" i="48"/>
  <c r="DK175" i="48"/>
  <c r="DK1132" i="48"/>
  <c r="DK825" i="48"/>
  <c r="DK1087" i="48"/>
  <c r="DK1054" i="48"/>
  <c r="DK415" i="48"/>
  <c r="DK417" i="48"/>
  <c r="DK630" i="48"/>
  <c r="DK1258" i="48"/>
  <c r="DK1037" i="48"/>
  <c r="DK335" i="48"/>
  <c r="DK154" i="48"/>
  <c r="DK364" i="48"/>
  <c r="DK922" i="48"/>
  <c r="DK1110" i="48"/>
  <c r="DK773" i="48"/>
  <c r="DK461" i="48"/>
  <c r="DK409" i="48"/>
  <c r="DK317" i="48"/>
  <c r="DK654" i="48"/>
  <c r="DK765" i="48"/>
  <c r="DK178" i="48"/>
  <c r="DK574" i="48"/>
  <c r="DK838" i="48"/>
  <c r="DK214" i="48"/>
  <c r="DK791" i="48"/>
  <c r="DK1007" i="48"/>
  <c r="DK1006" i="48"/>
  <c r="DK429" i="48"/>
  <c r="DK249" i="48"/>
  <c r="DK1176" i="48"/>
  <c r="DK550" i="48"/>
  <c r="DK1033" i="48"/>
  <c r="DK537" i="48"/>
  <c r="DK769" i="48"/>
  <c r="DK508" i="48"/>
  <c r="DK456" i="48"/>
  <c r="DK1224" i="48"/>
  <c r="DK1105" i="48"/>
  <c r="DK968" i="48"/>
  <c r="DK485" i="48"/>
  <c r="DK538" i="48"/>
  <c r="DK509" i="48"/>
  <c r="DK314" i="48"/>
  <c r="DK609" i="48"/>
  <c r="DK1232" i="48"/>
  <c r="DK1204" i="48"/>
  <c r="BV1308" i="48"/>
  <c r="BV1284" i="48"/>
  <c r="BV1260" i="48"/>
  <c r="BV1236" i="48"/>
  <c r="BV1212" i="48"/>
  <c r="BV1188" i="48"/>
  <c r="BV1164" i="48"/>
  <c r="BV1140" i="48"/>
  <c r="BV1116" i="48"/>
  <c r="BV1092" i="48"/>
  <c r="BV1068" i="48"/>
  <c r="BV1044" i="48"/>
  <c r="BV1020" i="48"/>
  <c r="BV996" i="48"/>
  <c r="BV972" i="48"/>
  <c r="BV948" i="48"/>
  <c r="BV924" i="48"/>
  <c r="BV900" i="48"/>
  <c r="BV876" i="48"/>
  <c r="BV852" i="48"/>
  <c r="BV828" i="48"/>
  <c r="BV804" i="48"/>
  <c r="BV780" i="48"/>
  <c r="BV756" i="48"/>
  <c r="BV732" i="48"/>
  <c r="BV708" i="48"/>
  <c r="BV684" i="48"/>
  <c r="BV660" i="48"/>
  <c r="BV636" i="48"/>
  <c r="BV612" i="48"/>
  <c r="BV588" i="48"/>
  <c r="BV564" i="48"/>
  <c r="BV540" i="48"/>
  <c r="BV516" i="48"/>
  <c r="BV492" i="48"/>
  <c r="BV468" i="48"/>
  <c r="BV444" i="48"/>
  <c r="BV420" i="48"/>
  <c r="BV396" i="48"/>
  <c r="BV372" i="48"/>
  <c r="BV348" i="48"/>
  <c r="BV324" i="48"/>
  <c r="BV300" i="48"/>
  <c r="BV276" i="48"/>
  <c r="BV252" i="48"/>
  <c r="BV228" i="48"/>
  <c r="BV204" i="48"/>
  <c r="BV156" i="48"/>
  <c r="BV132" i="48"/>
  <c r="BV108" i="48"/>
  <c r="BV84" i="48"/>
  <c r="BV60" i="48"/>
  <c r="BV36" i="48"/>
  <c r="CX35" i="48" l="1"/>
  <c r="DB1162" i="48"/>
  <c r="DD1162" i="48"/>
  <c r="DC1162" i="48"/>
  <c r="DD405" i="48"/>
  <c r="DC405" i="48"/>
  <c r="DB405" i="48"/>
  <c r="DC460" i="48"/>
  <c r="DD460" i="48"/>
  <c r="DB460" i="48"/>
  <c r="DD1085" i="48"/>
  <c r="DC1085" i="48"/>
  <c r="DB1085" i="48"/>
  <c r="DD480" i="48"/>
  <c r="DB480" i="48"/>
  <c r="DC480" i="48"/>
  <c r="DC943" i="48"/>
  <c r="DB943" i="48"/>
  <c r="DD943" i="48"/>
  <c r="DC889" i="48"/>
  <c r="DB889" i="48"/>
  <c r="DD889" i="48"/>
  <c r="DB795" i="48"/>
  <c r="DD795" i="48"/>
  <c r="DC795" i="48"/>
  <c r="DB970" i="48"/>
  <c r="DD970" i="48"/>
  <c r="DC970" i="48"/>
  <c r="DD1131" i="48"/>
  <c r="DC1131" i="48"/>
  <c r="DB1131" i="48"/>
  <c r="DD118" i="48"/>
  <c r="DC118" i="48"/>
  <c r="DB118" i="48"/>
  <c r="DD819" i="48"/>
  <c r="DB819" i="48"/>
  <c r="DC819" i="48"/>
  <c r="DB1253" i="48"/>
  <c r="DD1253" i="48"/>
  <c r="DC1253" i="48"/>
  <c r="DC1076" i="48"/>
  <c r="DB1076" i="48"/>
  <c r="DD1076" i="48"/>
  <c r="DD754" i="48"/>
  <c r="DC754" i="48"/>
  <c r="DB754" i="48"/>
  <c r="DC730" i="48"/>
  <c r="DB730" i="48"/>
  <c r="DD730" i="48"/>
  <c r="DB890" i="48"/>
  <c r="DD890" i="48"/>
  <c r="DC890" i="48"/>
  <c r="DC298" i="48"/>
  <c r="DB298" i="48"/>
  <c r="DD298" i="48"/>
  <c r="DC241" i="48"/>
  <c r="DB241" i="48"/>
  <c r="DD241" i="48"/>
  <c r="DB888" i="48"/>
  <c r="DD888" i="48"/>
  <c r="DC888" i="48"/>
  <c r="DB104" i="48"/>
  <c r="DD104" i="48"/>
  <c r="DC104" i="48"/>
  <c r="DC1078" i="48"/>
  <c r="DD1078" i="48"/>
  <c r="DB1078" i="48"/>
  <c r="DD406" i="48"/>
  <c r="DC406" i="48"/>
  <c r="DB406" i="48"/>
  <c r="DD655" i="48"/>
  <c r="DC655" i="48"/>
  <c r="DB655" i="48"/>
  <c r="DB434" i="48"/>
  <c r="DC434" i="48"/>
  <c r="DD434" i="48"/>
  <c r="DC1004" i="48"/>
  <c r="DB1004" i="48"/>
  <c r="DD1004" i="48"/>
  <c r="DC127" i="48"/>
  <c r="DB127" i="48"/>
  <c r="DD127" i="48"/>
  <c r="DC95" i="48"/>
  <c r="DB95" i="48"/>
  <c r="DD95" i="48"/>
  <c r="DC675" i="48"/>
  <c r="DB675" i="48"/>
  <c r="DD675" i="48"/>
  <c r="DD986" i="48"/>
  <c r="DC986" i="48"/>
  <c r="DB986" i="48"/>
  <c r="DD1064" i="48"/>
  <c r="DC1064" i="48"/>
  <c r="DB1064" i="48"/>
  <c r="DD914" i="48"/>
  <c r="DC914" i="48"/>
  <c r="DB914" i="48"/>
  <c r="DB188" i="48"/>
  <c r="DD188" i="48"/>
  <c r="DC188" i="48"/>
  <c r="DD383" i="48"/>
  <c r="DB383" i="48"/>
  <c r="DC383" i="48"/>
  <c r="DC898" i="48"/>
  <c r="DB898" i="48"/>
  <c r="DD898" i="48"/>
  <c r="DC671" i="48"/>
  <c r="DB671" i="48"/>
  <c r="DD671" i="48"/>
  <c r="DB884" i="48"/>
  <c r="DD884" i="48"/>
  <c r="DC884" i="48"/>
  <c r="DD99" i="48"/>
  <c r="DB99" i="48"/>
  <c r="DC99" i="48"/>
  <c r="DB841" i="48"/>
  <c r="DD841" i="48"/>
  <c r="DC841" i="48"/>
  <c r="DB1234" i="48"/>
  <c r="DD1234" i="48"/>
  <c r="DC1234" i="48"/>
  <c r="DD147" i="48"/>
  <c r="DC147" i="48"/>
  <c r="DB147" i="48"/>
  <c r="DD1152" i="48"/>
  <c r="DC1152" i="48"/>
  <c r="DB1152" i="48"/>
  <c r="DD934" i="48"/>
  <c r="DC934" i="48"/>
  <c r="DB934" i="48"/>
  <c r="DC897" i="48"/>
  <c r="DB897" i="48"/>
  <c r="DD897" i="48"/>
  <c r="DD651" i="48"/>
  <c r="DC651" i="48"/>
  <c r="DB651" i="48"/>
  <c r="DC885" i="48"/>
  <c r="DB885" i="48"/>
  <c r="DD885" i="48"/>
  <c r="DC533" i="48"/>
  <c r="DB533" i="48"/>
  <c r="DD533" i="48"/>
  <c r="DD553" i="48"/>
  <c r="DC553" i="48"/>
  <c r="DB553" i="48"/>
  <c r="DD511" i="48"/>
  <c r="DC511" i="48"/>
  <c r="DB511" i="48"/>
  <c r="DD414" i="48"/>
  <c r="DC414" i="48"/>
  <c r="DB414" i="48"/>
  <c r="DB534" i="48"/>
  <c r="DD534" i="48"/>
  <c r="DC534" i="48"/>
  <c r="DD964" i="48"/>
  <c r="DC964" i="48"/>
  <c r="DB964" i="48"/>
  <c r="DC577" i="48"/>
  <c r="DB577" i="48"/>
  <c r="DD577" i="48"/>
  <c r="DD148" i="48"/>
  <c r="DC148" i="48"/>
  <c r="DB148" i="48"/>
  <c r="DD120" i="48"/>
  <c r="DC120" i="48"/>
  <c r="DB120" i="48"/>
  <c r="DC891" i="48"/>
  <c r="DB891" i="48"/>
  <c r="DD891" i="48"/>
  <c r="DC477" i="48"/>
  <c r="DB477" i="48"/>
  <c r="DD477" i="48"/>
  <c r="DC1086" i="48"/>
  <c r="DB1086" i="48"/>
  <c r="DD1086" i="48"/>
  <c r="DD990" i="48"/>
  <c r="DC990" i="48"/>
  <c r="DB990" i="48"/>
  <c r="DD200" i="48"/>
  <c r="DC200" i="48"/>
  <c r="DB200" i="48"/>
  <c r="DB764" i="48"/>
  <c r="DD764" i="48"/>
  <c r="DC764" i="48"/>
  <c r="DB703" i="48"/>
  <c r="DD703" i="48"/>
  <c r="DC703" i="48"/>
  <c r="DD1030" i="48"/>
  <c r="DB1030" i="48"/>
  <c r="DC1030" i="48"/>
  <c r="DB124" i="48"/>
  <c r="DD124" i="48"/>
  <c r="DC124" i="48"/>
  <c r="DB196" i="48"/>
  <c r="DD196" i="48"/>
  <c r="DC196" i="48"/>
  <c r="DD1028" i="48"/>
  <c r="DC1028" i="48"/>
  <c r="DB1028" i="48"/>
  <c r="DD1173" i="48"/>
  <c r="DB1173" i="48"/>
  <c r="DC1173" i="48"/>
  <c r="DC478" i="48"/>
  <c r="DD478" i="48"/>
  <c r="DB478" i="48"/>
  <c r="DB273" i="48"/>
  <c r="DD273" i="48"/>
  <c r="DC273" i="48"/>
  <c r="DD908" i="48"/>
  <c r="DC908" i="48"/>
  <c r="DB908" i="48"/>
  <c r="DD1198" i="48"/>
  <c r="DC1198" i="48"/>
  <c r="DB1198" i="48"/>
  <c r="DD956" i="48"/>
  <c r="DC956" i="48"/>
  <c r="DB956" i="48"/>
  <c r="DD463" i="48"/>
  <c r="DB463" i="48"/>
  <c r="DC463" i="48"/>
  <c r="DD212" i="48"/>
  <c r="DC212" i="48"/>
  <c r="DB212" i="48"/>
  <c r="DD1083" i="48"/>
  <c r="DC1083" i="48"/>
  <c r="DB1083" i="48"/>
  <c r="DD223" i="48"/>
  <c r="DC223" i="48"/>
  <c r="DB223" i="48"/>
  <c r="DD1060" i="48"/>
  <c r="DC1060" i="48"/>
  <c r="DB1060" i="48"/>
  <c r="DD1062" i="48"/>
  <c r="DC1062" i="48"/>
  <c r="DB1062" i="48"/>
  <c r="DD1012" i="48"/>
  <c r="DC1012" i="48"/>
  <c r="DB1012" i="48"/>
  <c r="DD627" i="48"/>
  <c r="DC627" i="48"/>
  <c r="DB627" i="48"/>
  <c r="DB693" i="48"/>
  <c r="DD693" i="48"/>
  <c r="DC693" i="48"/>
  <c r="DB246" i="48"/>
  <c r="DD246" i="48"/>
  <c r="DC246" i="48"/>
  <c r="DD1222" i="48"/>
  <c r="DC1222" i="48"/>
  <c r="DB1222" i="48"/>
  <c r="DD1039" i="48"/>
  <c r="DC1039" i="48"/>
  <c r="DB1039" i="48"/>
  <c r="DD392" i="48"/>
  <c r="DC392" i="48"/>
  <c r="DB392" i="48"/>
  <c r="DD486" i="48"/>
  <c r="DB486" i="48"/>
  <c r="DC486" i="48"/>
  <c r="DB102" i="48"/>
  <c r="DC102" i="48"/>
  <c r="DD102" i="48"/>
  <c r="DB1303" i="48"/>
  <c r="DD1303" i="48"/>
  <c r="DC1303" i="48"/>
  <c r="DD1271" i="48"/>
  <c r="DC1271" i="48"/>
  <c r="DB1271" i="48"/>
  <c r="DC191" i="48"/>
  <c r="DB191" i="48"/>
  <c r="DD191" i="48"/>
  <c r="DD1150" i="48"/>
  <c r="DC1150" i="48"/>
  <c r="DB1150" i="48"/>
  <c r="DB969" i="48"/>
  <c r="DD969" i="48"/>
  <c r="DC969" i="48"/>
  <c r="DD1056" i="48"/>
  <c r="DC1056" i="48"/>
  <c r="DB1056" i="48"/>
  <c r="DC92" i="48"/>
  <c r="DD92" i="48"/>
  <c r="DB92" i="48"/>
  <c r="DB343" i="48"/>
  <c r="DD343" i="48"/>
  <c r="DC343" i="48"/>
  <c r="DD551" i="48"/>
  <c r="DC551" i="48"/>
  <c r="DB551" i="48"/>
  <c r="DB582" i="48"/>
  <c r="DD582" i="48"/>
  <c r="DC582" i="48"/>
  <c r="DB944" i="48"/>
  <c r="DD944" i="48"/>
  <c r="DC944" i="48"/>
  <c r="DD1182" i="48"/>
  <c r="DC1182" i="48"/>
  <c r="DB1182" i="48"/>
  <c r="DD600" i="48"/>
  <c r="DC600" i="48"/>
  <c r="DB600" i="48"/>
  <c r="DD837" i="48"/>
  <c r="DC837" i="48"/>
  <c r="DB837" i="48"/>
  <c r="DB680" i="48"/>
  <c r="DD680" i="48"/>
  <c r="DC680" i="48"/>
  <c r="DD802" i="48"/>
  <c r="DC802" i="48"/>
  <c r="DB802" i="48"/>
  <c r="DB724" i="48"/>
  <c r="DD724" i="48"/>
  <c r="DC724" i="48"/>
  <c r="DB238" i="48"/>
  <c r="DD238" i="48"/>
  <c r="DC238" i="48"/>
  <c r="DD555" i="48"/>
  <c r="DC555" i="48"/>
  <c r="DB555" i="48"/>
  <c r="DC130" i="48"/>
  <c r="DB130" i="48"/>
  <c r="DD130" i="48"/>
  <c r="DC581" i="48"/>
  <c r="DB581" i="48"/>
  <c r="DD581" i="48"/>
  <c r="DC752" i="48"/>
  <c r="DD752" i="48"/>
  <c r="DB752" i="48"/>
  <c r="DD1178" i="48"/>
  <c r="DC1178" i="48"/>
  <c r="DB1178" i="48"/>
  <c r="DD1129" i="48"/>
  <c r="DC1129" i="48"/>
  <c r="DB1129" i="48"/>
  <c r="DD621" i="48"/>
  <c r="DC621" i="48"/>
  <c r="DB621" i="48"/>
  <c r="DB442" i="48"/>
  <c r="DC442" i="48"/>
  <c r="DD442" i="48"/>
  <c r="DB310" i="48"/>
  <c r="DC310" i="48"/>
  <c r="DD310" i="48"/>
  <c r="DD360" i="48"/>
  <c r="DC360" i="48"/>
  <c r="DB360" i="48"/>
  <c r="DD846" i="48"/>
  <c r="DC846" i="48"/>
  <c r="DB846" i="48"/>
  <c r="DD743" i="48"/>
  <c r="DC743" i="48"/>
  <c r="DB743" i="48"/>
  <c r="DD1199" i="48"/>
  <c r="DC1199" i="48"/>
  <c r="DB1199" i="48"/>
  <c r="DD126" i="48"/>
  <c r="DC126" i="48"/>
  <c r="DB126" i="48"/>
  <c r="DD718" i="48"/>
  <c r="DC718" i="48"/>
  <c r="DB718" i="48"/>
  <c r="DB706" i="48"/>
  <c r="DD706" i="48"/>
  <c r="DC706" i="48"/>
  <c r="DC648" i="48"/>
  <c r="DB648" i="48"/>
  <c r="DD648" i="48"/>
  <c r="DD823" i="48"/>
  <c r="DC823" i="48"/>
  <c r="DB823" i="48"/>
  <c r="DC767" i="48"/>
  <c r="DD767" i="48"/>
  <c r="DB767" i="48"/>
  <c r="DD270" i="48"/>
  <c r="DC270" i="48"/>
  <c r="DB270" i="48"/>
  <c r="DD987" i="48"/>
  <c r="DC987" i="48"/>
  <c r="DB987" i="48"/>
  <c r="DB146" i="48"/>
  <c r="DD146" i="48"/>
  <c r="DC146" i="48"/>
  <c r="DC1282" i="48"/>
  <c r="DB1282" i="48"/>
  <c r="DD1282" i="48"/>
  <c r="DC316" i="48"/>
  <c r="DB316" i="48"/>
  <c r="DD316" i="48"/>
  <c r="DC1008" i="48"/>
  <c r="DB1008" i="48"/>
  <c r="DD1008" i="48"/>
  <c r="DC502" i="48"/>
  <c r="DD502" i="48"/>
  <c r="DB502" i="48"/>
  <c r="DC748" i="48"/>
  <c r="DD748" i="48"/>
  <c r="DB748" i="48"/>
  <c r="DB1109" i="48"/>
  <c r="DC1109" i="48"/>
  <c r="DD1109" i="48"/>
  <c r="DD1202" i="48"/>
  <c r="DC1202" i="48"/>
  <c r="DB1202" i="48"/>
  <c r="DD625" i="48"/>
  <c r="DC625" i="48"/>
  <c r="DB625" i="48"/>
  <c r="DC266" i="48"/>
  <c r="DB266" i="48"/>
  <c r="DD266" i="48"/>
  <c r="DD1319" i="48"/>
  <c r="DC1319" i="48"/>
  <c r="DB1319" i="48"/>
  <c r="DC219" i="48"/>
  <c r="DB219" i="48"/>
  <c r="DD219" i="48"/>
  <c r="DD319" i="48"/>
  <c r="DC319" i="48"/>
  <c r="DB319" i="48"/>
  <c r="DC152" i="48"/>
  <c r="DB152" i="48"/>
  <c r="DD152" i="48"/>
  <c r="DD1254" i="48"/>
  <c r="DC1254" i="48"/>
  <c r="DB1254" i="48"/>
  <c r="DD189" i="48"/>
  <c r="DC189" i="48"/>
  <c r="DB189" i="48"/>
  <c r="DD1180" i="48"/>
  <c r="DC1180" i="48"/>
  <c r="DB1180" i="48"/>
  <c r="DD753" i="48"/>
  <c r="DC753" i="48"/>
  <c r="DB753" i="48"/>
  <c r="DD1042" i="48"/>
  <c r="DC1042" i="48"/>
  <c r="DB1042" i="48"/>
  <c r="DB668" i="48"/>
  <c r="DD668" i="48"/>
  <c r="DC668" i="48"/>
  <c r="DD413" i="48"/>
  <c r="DB413" i="48"/>
  <c r="DC413" i="48"/>
  <c r="DD167" i="48"/>
  <c r="DC167" i="48"/>
  <c r="DB167" i="48"/>
  <c r="DD1063" i="48"/>
  <c r="DC1063" i="48"/>
  <c r="DB1063" i="48"/>
  <c r="DB915" i="48"/>
  <c r="DD915" i="48"/>
  <c r="DC915" i="48"/>
  <c r="DD631" i="48"/>
  <c r="DB631" i="48"/>
  <c r="DC631" i="48"/>
  <c r="DD1112" i="48"/>
  <c r="DB1112" i="48"/>
  <c r="DC1112" i="48"/>
  <c r="DD872" i="48"/>
  <c r="DC872" i="48"/>
  <c r="DB872" i="48"/>
  <c r="DB935" i="48"/>
  <c r="DD935" i="48"/>
  <c r="DC935" i="48"/>
  <c r="DD721" i="48"/>
  <c r="DC721" i="48"/>
  <c r="DB721" i="48"/>
  <c r="DB528" i="48"/>
  <c r="DD528" i="48"/>
  <c r="DC528" i="48"/>
  <c r="DC646" i="48"/>
  <c r="DB646" i="48"/>
  <c r="DD646" i="48"/>
  <c r="DD983" i="48"/>
  <c r="DC983" i="48"/>
  <c r="DB983" i="48"/>
  <c r="DC490" i="48"/>
  <c r="DB490" i="48"/>
  <c r="DD490" i="48"/>
  <c r="DB284" i="48"/>
  <c r="DD284" i="48"/>
  <c r="DC284" i="48"/>
  <c r="DC274" i="48"/>
  <c r="DB274" i="48"/>
  <c r="DD274" i="48"/>
  <c r="DD242" i="48"/>
  <c r="DC242" i="48"/>
  <c r="DB242" i="48"/>
  <c r="DD286" i="48"/>
  <c r="DC286" i="48"/>
  <c r="DB286" i="48"/>
  <c r="DD1292" i="48"/>
  <c r="DC1292" i="48"/>
  <c r="DB1292" i="48"/>
  <c r="DD1208" i="48"/>
  <c r="DC1208" i="48"/>
  <c r="DB1208" i="48"/>
  <c r="DB332" i="48"/>
  <c r="DD332" i="48"/>
  <c r="DC332" i="48"/>
  <c r="DD1298" i="48"/>
  <c r="DC1298" i="48"/>
  <c r="DB1298" i="48"/>
  <c r="DB1105" i="48"/>
  <c r="DC1105" i="48"/>
  <c r="DD1105" i="48"/>
  <c r="DC769" i="48"/>
  <c r="DD769" i="48"/>
  <c r="DB769" i="48"/>
  <c r="DB574" i="48"/>
  <c r="DD574" i="48"/>
  <c r="DC574" i="48"/>
  <c r="DD1110" i="48"/>
  <c r="DC1110" i="48"/>
  <c r="DB1110" i="48"/>
  <c r="DD417" i="48"/>
  <c r="DB417" i="48"/>
  <c r="DC417" i="48"/>
  <c r="DB886" i="48"/>
  <c r="DD886" i="48"/>
  <c r="DC886" i="48"/>
  <c r="DD622" i="48"/>
  <c r="DC622" i="48"/>
  <c r="DB622" i="48"/>
  <c r="DB946" i="48"/>
  <c r="DD946" i="48"/>
  <c r="DC946" i="48"/>
  <c r="DB603" i="48"/>
  <c r="DD603" i="48"/>
  <c r="DC603" i="48"/>
  <c r="DD745" i="48"/>
  <c r="DC745" i="48"/>
  <c r="DB745" i="48"/>
  <c r="DD384" i="48"/>
  <c r="DC384" i="48"/>
  <c r="DB384" i="48"/>
  <c r="DD150" i="48"/>
  <c r="DC150" i="48"/>
  <c r="DB150" i="48"/>
  <c r="DB1029" i="48"/>
  <c r="DD1029" i="48"/>
  <c r="DC1029" i="48"/>
  <c r="DB1299" i="48"/>
  <c r="DD1299" i="48"/>
  <c r="DC1299" i="48"/>
  <c r="DB312" i="48"/>
  <c r="DD312" i="48"/>
  <c r="DC312" i="48"/>
  <c r="DC122" i="48"/>
  <c r="DB122" i="48"/>
  <c r="DD122" i="48"/>
  <c r="DD912" i="48"/>
  <c r="DC912" i="48"/>
  <c r="DB912" i="48"/>
  <c r="DB1153" i="48"/>
  <c r="DD1153" i="48"/>
  <c r="DC1153" i="48"/>
  <c r="DB1101" i="48"/>
  <c r="DC1101" i="48"/>
  <c r="DD1101" i="48"/>
  <c r="DB672" i="48"/>
  <c r="DD672" i="48"/>
  <c r="DC672" i="48"/>
  <c r="DD1302" i="48"/>
  <c r="DC1302" i="48"/>
  <c r="DB1302" i="48"/>
  <c r="DC887" i="48"/>
  <c r="DB887" i="48"/>
  <c r="DD887" i="48"/>
  <c r="DC510" i="48"/>
  <c r="DB510" i="48"/>
  <c r="DD510" i="48"/>
  <c r="DB340" i="48"/>
  <c r="DD340" i="48"/>
  <c r="DC340" i="48"/>
  <c r="DC222" i="48"/>
  <c r="DB222" i="48"/>
  <c r="DD222" i="48"/>
  <c r="DC458" i="48"/>
  <c r="DD458" i="48"/>
  <c r="DB458" i="48"/>
  <c r="DC744" i="48"/>
  <c r="DD744" i="48"/>
  <c r="DB744" i="48"/>
  <c r="DB940" i="48"/>
  <c r="DD940" i="48"/>
  <c r="DC940" i="48"/>
  <c r="DD293" i="48"/>
  <c r="DC293" i="48"/>
  <c r="DB293" i="48"/>
  <c r="DD1296" i="48"/>
  <c r="DC1296" i="48"/>
  <c r="DB1296" i="48"/>
  <c r="DC1278" i="48"/>
  <c r="DB1278" i="48"/>
  <c r="DD1278" i="48"/>
  <c r="DD514" i="48"/>
  <c r="DC514" i="48"/>
  <c r="DB514" i="48"/>
  <c r="DD225" i="48"/>
  <c r="DC225" i="48"/>
  <c r="DB225" i="48"/>
  <c r="DC141" i="48"/>
  <c r="DB141" i="48"/>
  <c r="DD141" i="48"/>
  <c r="DB97" i="48"/>
  <c r="DD97" i="48"/>
  <c r="DC97" i="48"/>
  <c r="DC290" i="48"/>
  <c r="DB290" i="48"/>
  <c r="DD290" i="48"/>
  <c r="DD620" i="48"/>
  <c r="DC620" i="48"/>
  <c r="DB620" i="48"/>
  <c r="DB766" i="48"/>
  <c r="DC766" i="48"/>
  <c r="DD766" i="48"/>
  <c r="DD842" i="48"/>
  <c r="DC842" i="48"/>
  <c r="DB842" i="48"/>
  <c r="DC669" i="48"/>
  <c r="DB669" i="48"/>
  <c r="DD669" i="48"/>
  <c r="DC723" i="48"/>
  <c r="DD723" i="48"/>
  <c r="DB723" i="48"/>
  <c r="DB105" i="48"/>
  <c r="DD105" i="48"/>
  <c r="DC105" i="48"/>
  <c r="DB292" i="48"/>
  <c r="DD292" i="48"/>
  <c r="DC292" i="48"/>
  <c r="DC1134" i="48"/>
  <c r="DB1134" i="48"/>
  <c r="DD1134" i="48"/>
  <c r="DB391" i="48"/>
  <c r="DD391" i="48"/>
  <c r="DC391" i="48"/>
  <c r="DD1210" i="48"/>
  <c r="DC1210" i="48"/>
  <c r="DB1210" i="48"/>
  <c r="DC816" i="48"/>
  <c r="DD816" i="48"/>
  <c r="DB816" i="48"/>
  <c r="DC677" i="48"/>
  <c r="DB677" i="48"/>
  <c r="DD677" i="48"/>
  <c r="DD416" i="48"/>
  <c r="DC416" i="48"/>
  <c r="DB416" i="48"/>
  <c r="DB1018" i="48"/>
  <c r="DD1018" i="48"/>
  <c r="DC1018" i="48"/>
  <c r="DC750" i="48"/>
  <c r="DB750" i="48"/>
  <c r="DD750" i="48"/>
  <c r="DD1005" i="48"/>
  <c r="DC1005" i="48"/>
  <c r="DB1005" i="48"/>
  <c r="DD358" i="48"/>
  <c r="DC358" i="48"/>
  <c r="DB358" i="48"/>
  <c r="DD556" i="48"/>
  <c r="DC556" i="48"/>
  <c r="DB556" i="48"/>
  <c r="DC525" i="48"/>
  <c r="DB525" i="48"/>
  <c r="DD525" i="48"/>
  <c r="DC1274" i="48"/>
  <c r="DB1274" i="48"/>
  <c r="DD1274" i="48"/>
  <c r="DB1107" i="48"/>
  <c r="DD1107" i="48"/>
  <c r="DC1107" i="48"/>
  <c r="DD359" i="48"/>
  <c r="DC359" i="48"/>
  <c r="DB359" i="48"/>
  <c r="DD1220" i="48"/>
  <c r="DC1220" i="48"/>
  <c r="DB1220" i="48"/>
  <c r="DD390" i="48"/>
  <c r="DB390" i="48"/>
  <c r="DC390" i="48"/>
  <c r="DD817" i="48"/>
  <c r="DC817" i="48"/>
  <c r="DB817" i="48"/>
  <c r="DB1227" i="48"/>
  <c r="DD1227" i="48"/>
  <c r="DC1227" i="48"/>
  <c r="DD1106" i="48"/>
  <c r="DC1106" i="48"/>
  <c r="DB1106" i="48"/>
  <c r="DB726" i="48"/>
  <c r="DD726" i="48"/>
  <c r="DC726" i="48"/>
  <c r="DC431" i="48"/>
  <c r="DB431" i="48"/>
  <c r="DD431" i="48"/>
  <c r="DC1128" i="48"/>
  <c r="DB1128" i="48"/>
  <c r="DD1128" i="48"/>
  <c r="DD958" i="48"/>
  <c r="DC958" i="48"/>
  <c r="DB958" i="48"/>
  <c r="DD466" i="48"/>
  <c r="DB466" i="48"/>
  <c r="DC466" i="48"/>
  <c r="DD558" i="48"/>
  <c r="DC558" i="48"/>
  <c r="DB558" i="48"/>
  <c r="DD702" i="48"/>
  <c r="DC702" i="48"/>
  <c r="DB702" i="48"/>
  <c r="DD170" i="48"/>
  <c r="DC170" i="48"/>
  <c r="DB170" i="48"/>
  <c r="DD751" i="48"/>
  <c r="DC751" i="48"/>
  <c r="DB751" i="48"/>
  <c r="DD218" i="48"/>
  <c r="DC218" i="48"/>
  <c r="DB218" i="48"/>
  <c r="DC535" i="48"/>
  <c r="DB535" i="48"/>
  <c r="DD535" i="48"/>
  <c r="DB1247" i="48"/>
  <c r="DD1247" i="48"/>
  <c r="DC1247" i="48"/>
  <c r="DB1155" i="48"/>
  <c r="DD1155" i="48"/>
  <c r="DC1155" i="48"/>
  <c r="DD992" i="48"/>
  <c r="DC992" i="48"/>
  <c r="DB992" i="48"/>
  <c r="DB961" i="48"/>
  <c r="DD961" i="48"/>
  <c r="DC961" i="48"/>
  <c r="DC941" i="48"/>
  <c r="DB941" i="48"/>
  <c r="DD941" i="48"/>
  <c r="DD220" i="48"/>
  <c r="DC220" i="48"/>
  <c r="DB220" i="48"/>
  <c r="DB333" i="48"/>
  <c r="DC333" i="48"/>
  <c r="DD333" i="48"/>
  <c r="DD239" i="48"/>
  <c r="DC239" i="48"/>
  <c r="DB239" i="48"/>
  <c r="DD647" i="48"/>
  <c r="DC647" i="48"/>
  <c r="DB647" i="48"/>
  <c r="DD1077" i="48"/>
  <c r="DC1077" i="48"/>
  <c r="DB1077" i="48"/>
  <c r="DB586" i="48"/>
  <c r="DD586" i="48"/>
  <c r="DC586" i="48"/>
  <c r="DC824" i="48"/>
  <c r="DD824" i="48"/>
  <c r="DB824" i="48"/>
  <c r="DC893" i="48"/>
  <c r="DB893" i="48"/>
  <c r="DD893" i="48"/>
  <c r="DB530" i="48"/>
  <c r="DD530" i="48"/>
  <c r="DC530" i="48"/>
  <c r="DB674" i="48"/>
  <c r="DD674" i="48"/>
  <c r="DC674" i="48"/>
  <c r="DD932" i="48"/>
  <c r="DC932" i="48"/>
  <c r="DB932" i="48"/>
  <c r="DD991" i="48"/>
  <c r="DC991" i="48"/>
  <c r="DB991" i="48"/>
  <c r="DD1057" i="48"/>
  <c r="DC1057" i="48"/>
  <c r="DB1057" i="48"/>
  <c r="DD557" i="48"/>
  <c r="DC557" i="48"/>
  <c r="DB557" i="48"/>
  <c r="DD98" i="48"/>
  <c r="DC98" i="48"/>
  <c r="DB98" i="48"/>
  <c r="DD269" i="48"/>
  <c r="DC269" i="48"/>
  <c r="DB269" i="48"/>
  <c r="DD1205" i="48"/>
  <c r="DC1205" i="48"/>
  <c r="DB1205" i="48"/>
  <c r="DD873" i="48"/>
  <c r="DB873" i="48"/>
  <c r="DC873" i="48"/>
  <c r="DD501" i="48"/>
  <c r="DB501" i="48"/>
  <c r="DC501" i="48"/>
  <c r="DC945" i="48"/>
  <c r="DB945" i="48"/>
  <c r="DD945" i="48"/>
  <c r="DD562" i="48"/>
  <c r="DC562" i="48"/>
  <c r="DB562" i="48"/>
  <c r="DD322" i="48"/>
  <c r="DC322" i="48"/>
  <c r="DB322" i="48"/>
  <c r="DD488" i="48"/>
  <c r="DB488" i="48"/>
  <c r="DC488" i="48"/>
  <c r="DD452" i="48"/>
  <c r="DC452" i="48"/>
  <c r="DB452" i="48"/>
  <c r="DD874" i="48"/>
  <c r="DC874" i="48"/>
  <c r="DB874" i="48"/>
  <c r="DC202" i="48"/>
  <c r="DB202" i="48"/>
  <c r="DD202" i="48"/>
  <c r="DB778" i="48"/>
  <c r="DD778" i="48"/>
  <c r="DC778" i="48"/>
  <c r="DD1320" i="48"/>
  <c r="DC1320" i="48"/>
  <c r="DB1320" i="48"/>
  <c r="DB339" i="48"/>
  <c r="DD339" i="48"/>
  <c r="DC339" i="48"/>
  <c r="DC1014" i="48"/>
  <c r="DB1014" i="48"/>
  <c r="DD1014" i="48"/>
  <c r="DD382" i="48"/>
  <c r="DC382" i="48"/>
  <c r="DB382" i="48"/>
  <c r="DB695" i="48"/>
  <c r="DD695" i="48"/>
  <c r="DC695" i="48"/>
  <c r="DC177" i="48"/>
  <c r="DB177" i="48"/>
  <c r="DD177" i="48"/>
  <c r="DB584" i="48"/>
  <c r="DD584" i="48"/>
  <c r="DC584" i="48"/>
  <c r="DB526" i="48"/>
  <c r="DD526" i="48"/>
  <c r="DC526" i="48"/>
  <c r="DB345" i="48"/>
  <c r="DD345" i="48"/>
  <c r="DC345" i="48"/>
  <c r="DB959" i="48"/>
  <c r="DD959" i="48"/>
  <c r="DC959" i="48"/>
  <c r="DC1185" i="48"/>
  <c r="DB1185" i="48"/>
  <c r="DD1185" i="48"/>
  <c r="DB224" i="48"/>
  <c r="DD224" i="48"/>
  <c r="DC224" i="48"/>
  <c r="DD966" i="48"/>
  <c r="DC966" i="48"/>
  <c r="DB966" i="48"/>
  <c r="DD412" i="48"/>
  <c r="DC412" i="48"/>
  <c r="DB412" i="48"/>
  <c r="DD844" i="48"/>
  <c r="DC844" i="48"/>
  <c r="DB844" i="48"/>
  <c r="DD165" i="48"/>
  <c r="DC165" i="48"/>
  <c r="DB165" i="48"/>
  <c r="DD1089" i="48"/>
  <c r="DC1089" i="48"/>
  <c r="DB1089" i="48"/>
  <c r="DD1206" i="48"/>
  <c r="DC1206" i="48"/>
  <c r="DB1206" i="48"/>
  <c r="DC216" i="48"/>
  <c r="DB216" i="48"/>
  <c r="DD216" i="48"/>
  <c r="DC822" i="48"/>
  <c r="DB822" i="48"/>
  <c r="DD822" i="48"/>
  <c r="DB1306" i="48"/>
  <c r="DD1306" i="48"/>
  <c r="DC1306" i="48"/>
  <c r="DD649" i="48"/>
  <c r="DC649" i="48"/>
  <c r="DB649" i="48"/>
  <c r="DD552" i="48"/>
  <c r="DC552" i="48"/>
  <c r="DB552" i="48"/>
  <c r="DC634" i="48"/>
  <c r="DB634" i="48"/>
  <c r="DD634" i="48"/>
  <c r="DD192" i="48"/>
  <c r="DC192" i="48"/>
  <c r="DB192" i="48"/>
  <c r="DD938" i="48"/>
  <c r="DC938" i="48"/>
  <c r="DB938" i="48"/>
  <c r="DB601" i="48"/>
  <c r="DD601" i="48"/>
  <c r="DC601" i="48"/>
  <c r="DD629" i="48"/>
  <c r="DC629" i="48"/>
  <c r="DB629" i="48"/>
  <c r="DD1252" i="48"/>
  <c r="DC1252" i="48"/>
  <c r="DB1252" i="48"/>
  <c r="DD984" i="48"/>
  <c r="DC984" i="48"/>
  <c r="DB984" i="48"/>
  <c r="DD598" i="48"/>
  <c r="DC598" i="48"/>
  <c r="DB598" i="48"/>
  <c r="DC172" i="48"/>
  <c r="DB172" i="48"/>
  <c r="DD172" i="48"/>
  <c r="DD315" i="48"/>
  <c r="DC315" i="48"/>
  <c r="DB315" i="48"/>
  <c r="DB116" i="48"/>
  <c r="DD116" i="48"/>
  <c r="DC116" i="48"/>
  <c r="DD272" i="48"/>
  <c r="DC272" i="48"/>
  <c r="DB272" i="48"/>
  <c r="DB438" i="48"/>
  <c r="DD438" i="48"/>
  <c r="DC438" i="48"/>
  <c r="DD788" i="48"/>
  <c r="DB788" i="48"/>
  <c r="DC788" i="48"/>
  <c r="DC380" i="48"/>
  <c r="DB380" i="48"/>
  <c r="DD380" i="48"/>
  <c r="DD370" i="48"/>
  <c r="DC370" i="48"/>
  <c r="DB370" i="48"/>
  <c r="DB1223" i="48"/>
  <c r="DD1223" i="48"/>
  <c r="DC1223" i="48"/>
  <c r="DC1130" i="48"/>
  <c r="DB1130" i="48"/>
  <c r="DD1130" i="48"/>
  <c r="DB338" i="48"/>
  <c r="DC338" i="48"/>
  <c r="DD338" i="48"/>
  <c r="DB385" i="48"/>
  <c r="DC385" i="48"/>
  <c r="DD385" i="48"/>
  <c r="DD363" i="48"/>
  <c r="DB363" i="48"/>
  <c r="DC363" i="48"/>
  <c r="DB1221" i="48"/>
  <c r="DD1221" i="48"/>
  <c r="DC1221" i="48"/>
  <c r="DD993" i="48"/>
  <c r="DC993" i="48"/>
  <c r="DB993" i="48"/>
  <c r="DB1149" i="48"/>
  <c r="DD1149" i="48"/>
  <c r="DC1149" i="48"/>
  <c r="DB892" i="48"/>
  <c r="DD892" i="48"/>
  <c r="DC892" i="48"/>
  <c r="DD658" i="48"/>
  <c r="DC658" i="48"/>
  <c r="DB658" i="48"/>
  <c r="DD918" i="48"/>
  <c r="DC918" i="48"/>
  <c r="DB918" i="48"/>
  <c r="DD1327" i="48"/>
  <c r="DC1327" i="48"/>
  <c r="DB1327" i="48"/>
  <c r="DC483" i="48"/>
  <c r="DD483" i="48"/>
  <c r="DB483" i="48"/>
  <c r="DD863" i="48"/>
  <c r="DC863" i="48"/>
  <c r="DB863" i="48"/>
  <c r="DD559" i="48"/>
  <c r="DC559" i="48"/>
  <c r="DB559" i="48"/>
  <c r="DC1136" i="48"/>
  <c r="DB1136" i="48"/>
  <c r="DD1136" i="48"/>
  <c r="DD985" i="48"/>
  <c r="DC985" i="48"/>
  <c r="DB985" i="48"/>
  <c r="DD1197" i="48"/>
  <c r="DC1197" i="48"/>
  <c r="DB1197" i="48"/>
  <c r="DD410" i="48"/>
  <c r="DC410" i="48"/>
  <c r="DB410" i="48"/>
  <c r="DB963" i="48"/>
  <c r="DD963" i="48"/>
  <c r="DC963" i="48"/>
  <c r="DD871" i="48"/>
  <c r="DC871" i="48"/>
  <c r="DB871" i="48"/>
  <c r="DB121" i="48"/>
  <c r="DD121" i="48"/>
  <c r="DC121" i="48"/>
  <c r="DB605" i="48"/>
  <c r="DD605" i="48"/>
  <c r="DC605" i="48"/>
  <c r="DD404" i="48"/>
  <c r="DC404" i="48"/>
  <c r="DB404" i="48"/>
  <c r="DD407" i="48"/>
  <c r="DC407" i="48"/>
  <c r="DB407" i="48"/>
  <c r="DB1229" i="48"/>
  <c r="DD1229" i="48"/>
  <c r="DC1229" i="48"/>
  <c r="DD369" i="48"/>
  <c r="DC369" i="48"/>
  <c r="DB369" i="48"/>
  <c r="DC895" i="48"/>
  <c r="DB895" i="48"/>
  <c r="DD895" i="48"/>
  <c r="DD700" i="48"/>
  <c r="DC700" i="48"/>
  <c r="DB700" i="48"/>
  <c r="DC814" i="48"/>
  <c r="DB814" i="48"/>
  <c r="DD814" i="48"/>
  <c r="DC1082" i="48"/>
  <c r="DB1082" i="48"/>
  <c r="DD1082" i="48"/>
  <c r="DB894" i="48"/>
  <c r="DD894" i="48"/>
  <c r="DC894" i="48"/>
  <c r="DD1209" i="48"/>
  <c r="DC1209" i="48"/>
  <c r="DB1209" i="48"/>
  <c r="DB1013" i="48"/>
  <c r="DC1013" i="48"/>
  <c r="DD1013" i="48"/>
  <c r="DD1321" i="48"/>
  <c r="DC1321" i="48"/>
  <c r="DB1321" i="48"/>
  <c r="DB599" i="48"/>
  <c r="DD599" i="48"/>
  <c r="DC599" i="48"/>
  <c r="DB1293" i="48"/>
  <c r="DD1293" i="48"/>
  <c r="DC1293" i="48"/>
  <c r="DC213" i="48"/>
  <c r="DB213" i="48"/>
  <c r="DD213" i="48"/>
  <c r="DD1061" i="48"/>
  <c r="DC1061" i="48"/>
  <c r="DB1061" i="48"/>
  <c r="DC826" i="48"/>
  <c r="DD826" i="48"/>
  <c r="DB826" i="48"/>
  <c r="DB937" i="48"/>
  <c r="DD937" i="48"/>
  <c r="DC937" i="48"/>
  <c r="DD936" i="48"/>
  <c r="DC936" i="48"/>
  <c r="DB936" i="48"/>
  <c r="DB476" i="48"/>
  <c r="DD476" i="48"/>
  <c r="DC476" i="48"/>
  <c r="DB1016" i="48"/>
  <c r="DD1016" i="48"/>
  <c r="DC1016" i="48"/>
  <c r="DB151" i="48"/>
  <c r="DD151" i="48"/>
  <c r="DC151" i="48"/>
  <c r="DB919" i="48"/>
  <c r="DD919" i="48"/>
  <c r="DC919" i="48"/>
  <c r="DD741" i="48"/>
  <c r="DC741" i="48"/>
  <c r="DB741" i="48"/>
  <c r="DC309" i="48"/>
  <c r="DB309" i="48"/>
  <c r="DD309" i="48"/>
  <c r="DC1272" i="48"/>
  <c r="DB1272" i="48"/>
  <c r="DD1272" i="48"/>
  <c r="DC313" i="48"/>
  <c r="DD313" i="48"/>
  <c r="DB313" i="48"/>
  <c r="DB911" i="48"/>
  <c r="DD911" i="48"/>
  <c r="DC911" i="48"/>
  <c r="DD981" i="48"/>
  <c r="DC981" i="48"/>
  <c r="DB981" i="48"/>
  <c r="DB143" i="48"/>
  <c r="DD143" i="48"/>
  <c r="DC143" i="48"/>
  <c r="DB342" i="48"/>
  <c r="DD342" i="48"/>
  <c r="DC342" i="48"/>
  <c r="DD717" i="48"/>
  <c r="DC717" i="48"/>
  <c r="DB717" i="48"/>
  <c r="DC793" i="48"/>
  <c r="DB793" i="48"/>
  <c r="DD793" i="48"/>
  <c r="DD1055" i="48"/>
  <c r="DC1055" i="48"/>
  <c r="DB1055" i="48"/>
  <c r="DB670" i="48"/>
  <c r="DD670" i="48"/>
  <c r="DC670" i="48"/>
  <c r="DB896" i="48"/>
  <c r="DD896" i="48"/>
  <c r="DC896" i="48"/>
  <c r="DB1255" i="48"/>
  <c r="DD1255" i="48"/>
  <c r="DC1255" i="48"/>
  <c r="DD1031" i="48"/>
  <c r="DC1031" i="48"/>
  <c r="DB1031" i="48"/>
  <c r="DC1233" i="48"/>
  <c r="DB1233" i="48"/>
  <c r="DD1233" i="48"/>
  <c r="DC487" i="48"/>
  <c r="DD487" i="48"/>
  <c r="DB487" i="48"/>
  <c r="DC1035" i="48"/>
  <c r="DB1035" i="48"/>
  <c r="DD1035" i="48"/>
  <c r="DB965" i="48"/>
  <c r="DD965" i="48"/>
  <c r="DC965" i="48"/>
  <c r="DD1277" i="48"/>
  <c r="DC1277" i="48"/>
  <c r="DB1277" i="48"/>
  <c r="DD796" i="48"/>
  <c r="DB796" i="48"/>
  <c r="DC796" i="48"/>
  <c r="DD716" i="48"/>
  <c r="DC716" i="48"/>
  <c r="DB716" i="48"/>
  <c r="DD749" i="48"/>
  <c r="DC749" i="48"/>
  <c r="DB749" i="48"/>
  <c r="DB346" i="48"/>
  <c r="DD346" i="48"/>
  <c r="DC346" i="48"/>
  <c r="DC820" i="48"/>
  <c r="DD820" i="48"/>
  <c r="DB820" i="48"/>
  <c r="DB394" i="48"/>
  <c r="DC394" i="48"/>
  <c r="DD394" i="48"/>
  <c r="DB532" i="48"/>
  <c r="DD532" i="48"/>
  <c r="DC532" i="48"/>
  <c r="DD1325" i="48"/>
  <c r="DC1325" i="48"/>
  <c r="DB1325" i="48"/>
  <c r="DD848" i="48"/>
  <c r="DC848" i="48"/>
  <c r="DB848" i="48"/>
  <c r="DD1065" i="48"/>
  <c r="DC1065" i="48"/>
  <c r="DB1065" i="48"/>
  <c r="DC100" i="48"/>
  <c r="DB100" i="48"/>
  <c r="DD100" i="48"/>
  <c r="DD1324" i="48"/>
  <c r="DC1324" i="48"/>
  <c r="DB1324" i="48"/>
  <c r="DD454" i="48"/>
  <c r="DC454" i="48"/>
  <c r="DB454" i="48"/>
  <c r="DB1251" i="48"/>
  <c r="DD1251" i="48"/>
  <c r="DC1251" i="48"/>
  <c r="DD1248" i="48"/>
  <c r="DC1248" i="48"/>
  <c r="DB1248" i="48"/>
  <c r="DB201" i="48"/>
  <c r="DD201" i="48"/>
  <c r="DC201" i="48"/>
  <c r="DD1114" i="48"/>
  <c r="DC1114" i="48"/>
  <c r="DB1114" i="48"/>
  <c r="DD1172" i="48"/>
  <c r="DC1172" i="48"/>
  <c r="DB1172" i="48"/>
  <c r="DC1124" i="48"/>
  <c r="DB1124" i="48"/>
  <c r="DD1124" i="48"/>
  <c r="DD176" i="48"/>
  <c r="DC176" i="48"/>
  <c r="DB176" i="48"/>
  <c r="DD1058" i="48"/>
  <c r="DC1058" i="48"/>
  <c r="DB1058" i="48"/>
  <c r="DD1010" i="48"/>
  <c r="DC1010" i="48"/>
  <c r="DB1010" i="48"/>
  <c r="DD864" i="48"/>
  <c r="DC864" i="48"/>
  <c r="DB864" i="48"/>
  <c r="DD1125" i="48"/>
  <c r="DC1125" i="48"/>
  <c r="DB1125" i="48"/>
  <c r="DD1081" i="48"/>
  <c r="DC1081" i="48"/>
  <c r="DB1081" i="48"/>
  <c r="DC199" i="48"/>
  <c r="DB199" i="48"/>
  <c r="DD199" i="48"/>
  <c r="DD561" i="48"/>
  <c r="DC561" i="48"/>
  <c r="DB561" i="48"/>
  <c r="DD719" i="48"/>
  <c r="DC719" i="48"/>
  <c r="DB719" i="48"/>
  <c r="DD418" i="48"/>
  <c r="DC418" i="48"/>
  <c r="DB418" i="48"/>
  <c r="DC119" i="48"/>
  <c r="DB119" i="48"/>
  <c r="DD119" i="48"/>
  <c r="DB770" i="48"/>
  <c r="DD770" i="48"/>
  <c r="DC770" i="48"/>
  <c r="DC818" i="48"/>
  <c r="DD818" i="48"/>
  <c r="DB818" i="48"/>
  <c r="DB432" i="48"/>
  <c r="DC432" i="48"/>
  <c r="DD432" i="48"/>
  <c r="DD988" i="48"/>
  <c r="DC988" i="48"/>
  <c r="DB988" i="48"/>
  <c r="DD1175" i="48"/>
  <c r="DC1175" i="48"/>
  <c r="DB1175" i="48"/>
  <c r="DB1161" i="48"/>
  <c r="DD1161" i="48"/>
  <c r="DC1161" i="48"/>
  <c r="DD1174" i="48"/>
  <c r="DC1174" i="48"/>
  <c r="DB1174" i="48"/>
  <c r="DD1104" i="48"/>
  <c r="DB1104" i="48"/>
  <c r="DC1104" i="48"/>
  <c r="DB939" i="48"/>
  <c r="DD939" i="48"/>
  <c r="DC939" i="48"/>
  <c r="DC320" i="48"/>
  <c r="DB320" i="48"/>
  <c r="DD320" i="48"/>
  <c r="DD1156" i="48"/>
  <c r="DC1156" i="48"/>
  <c r="DB1156" i="48"/>
  <c r="DC244" i="48"/>
  <c r="DB244" i="48"/>
  <c r="DD244" i="48"/>
  <c r="DC311" i="48"/>
  <c r="DD311" i="48"/>
  <c r="DB311" i="48"/>
  <c r="DC263" i="48"/>
  <c r="DB263" i="48"/>
  <c r="DD263" i="48"/>
  <c r="DB1015" i="48"/>
  <c r="DD1015" i="48"/>
  <c r="DC1015" i="48"/>
  <c r="DD1160" i="48"/>
  <c r="DC1160" i="48"/>
  <c r="DB1160" i="48"/>
  <c r="DC1280" i="48"/>
  <c r="DB1280" i="48"/>
  <c r="DD1280" i="48"/>
  <c r="DD867" i="48"/>
  <c r="DC867" i="48"/>
  <c r="DB867" i="48"/>
  <c r="DB289" i="48"/>
  <c r="DD289" i="48"/>
  <c r="DC289" i="48"/>
  <c r="DD250" i="48"/>
  <c r="DC250" i="48"/>
  <c r="DB250" i="48"/>
  <c r="DD1059" i="48"/>
  <c r="DC1059" i="48"/>
  <c r="DB1059" i="48"/>
  <c r="DC1090" i="48"/>
  <c r="DB1090" i="48"/>
  <c r="DD1090" i="48"/>
  <c r="DC271" i="48"/>
  <c r="DB271" i="48"/>
  <c r="DD271" i="48"/>
  <c r="DC839" i="48"/>
  <c r="DB839" i="48"/>
  <c r="DD839" i="48"/>
  <c r="DD628" i="48"/>
  <c r="DC628" i="48"/>
  <c r="DB628" i="48"/>
  <c r="DC775" i="48"/>
  <c r="DD775" i="48"/>
  <c r="DB775" i="48"/>
  <c r="DD1003" i="48"/>
  <c r="DC1003" i="48"/>
  <c r="DB1003" i="48"/>
  <c r="DD1204" i="48"/>
  <c r="DC1204" i="48"/>
  <c r="DB1204" i="48"/>
  <c r="DD509" i="48"/>
  <c r="DC509" i="48"/>
  <c r="DB509" i="48"/>
  <c r="DD1176" i="48"/>
  <c r="DC1176" i="48"/>
  <c r="DB1176" i="48"/>
  <c r="DD1007" i="48"/>
  <c r="DC1007" i="48"/>
  <c r="DB1007" i="48"/>
  <c r="DD317" i="48"/>
  <c r="DC317" i="48"/>
  <c r="DB317" i="48"/>
  <c r="DB335" i="48"/>
  <c r="DD335" i="48"/>
  <c r="DC335" i="48"/>
  <c r="DD825" i="48"/>
  <c r="DC825" i="48"/>
  <c r="DB825" i="48"/>
  <c r="DD624" i="48"/>
  <c r="DC624" i="48"/>
  <c r="DB624" i="48"/>
  <c r="DB845" i="48"/>
  <c r="DD845" i="48"/>
  <c r="DC845" i="48"/>
  <c r="DB1111" i="48"/>
  <c r="DD1111" i="48"/>
  <c r="DC1111" i="48"/>
  <c r="DD606" i="48"/>
  <c r="DC606" i="48"/>
  <c r="DB606" i="48"/>
  <c r="DC437" i="48"/>
  <c r="DB437" i="48"/>
  <c r="DD437" i="48"/>
  <c r="DD248" i="48"/>
  <c r="DC248" i="48"/>
  <c r="DB248" i="48"/>
  <c r="DD145" i="48"/>
  <c r="DC145" i="48"/>
  <c r="DB145" i="48"/>
  <c r="DC1270" i="48"/>
  <c r="DB1270" i="48"/>
  <c r="DD1270" i="48"/>
  <c r="DD1148" i="48"/>
  <c r="DC1148" i="48"/>
  <c r="DB1148" i="48"/>
  <c r="DD1228" i="48"/>
  <c r="DC1228" i="48"/>
  <c r="DB1228" i="48"/>
  <c r="DD117" i="48"/>
  <c r="DC117" i="48"/>
  <c r="DB117" i="48"/>
  <c r="DD920" i="48"/>
  <c r="DC920" i="48"/>
  <c r="DB920" i="48"/>
  <c r="DD1322" i="48"/>
  <c r="DC1322" i="48"/>
  <c r="DB1322" i="48"/>
  <c r="DB193" i="48"/>
  <c r="DD193" i="48"/>
  <c r="DC193" i="48"/>
  <c r="DC481" i="48"/>
  <c r="DB481" i="48"/>
  <c r="DD481" i="48"/>
  <c r="DD262" i="48"/>
  <c r="DC262" i="48"/>
  <c r="DB262" i="48"/>
  <c r="DC1080" i="48"/>
  <c r="DB1080" i="48"/>
  <c r="DD1080" i="48"/>
  <c r="DD1294" i="48"/>
  <c r="DC1294" i="48"/>
  <c r="DB1294" i="48"/>
  <c r="DD125" i="48"/>
  <c r="DC125" i="48"/>
  <c r="DB125" i="48"/>
  <c r="DD1269" i="48"/>
  <c r="DC1269" i="48"/>
  <c r="DB1269" i="48"/>
  <c r="DC504" i="48"/>
  <c r="DB504" i="48"/>
  <c r="DD504" i="48"/>
  <c r="DB337" i="48"/>
  <c r="DD337" i="48"/>
  <c r="DC337" i="48"/>
  <c r="DD1326" i="48"/>
  <c r="DC1326" i="48"/>
  <c r="DB1326" i="48"/>
  <c r="DD197" i="48"/>
  <c r="DC197" i="48"/>
  <c r="DB197" i="48"/>
  <c r="DC527" i="48"/>
  <c r="DB527" i="48"/>
  <c r="DD527" i="48"/>
  <c r="DB1225" i="48"/>
  <c r="DD1225" i="48"/>
  <c r="DC1225" i="48"/>
  <c r="DB705" i="48"/>
  <c r="DD705" i="48"/>
  <c r="DC705" i="48"/>
  <c r="DC295" i="48"/>
  <c r="DB295" i="48"/>
  <c r="DD295" i="48"/>
  <c r="DD799" i="48"/>
  <c r="DC799" i="48"/>
  <c r="DB799" i="48"/>
  <c r="DC656" i="48"/>
  <c r="DB656" i="48"/>
  <c r="DD656" i="48"/>
  <c r="DB768" i="48"/>
  <c r="DD768" i="48"/>
  <c r="DC768" i="48"/>
  <c r="DD195" i="48"/>
  <c r="DC195" i="48"/>
  <c r="DB195" i="48"/>
  <c r="DB265" i="48"/>
  <c r="DD265" i="48"/>
  <c r="DC265" i="48"/>
  <c r="DD1250" i="48"/>
  <c r="DC1250" i="48"/>
  <c r="DB1250" i="48"/>
  <c r="DD800" i="48"/>
  <c r="DC800" i="48"/>
  <c r="DB800" i="48"/>
  <c r="DD549" i="48"/>
  <c r="DC549" i="48"/>
  <c r="DB549" i="48"/>
  <c r="DD790" i="48"/>
  <c r="DC790" i="48"/>
  <c r="DB790" i="48"/>
  <c r="DB917" i="48"/>
  <c r="DD917" i="48"/>
  <c r="DC917" i="48"/>
  <c r="DD264" i="48"/>
  <c r="DC264" i="48"/>
  <c r="DB264" i="48"/>
  <c r="DC164" i="48"/>
  <c r="DB164" i="48"/>
  <c r="DD164" i="48"/>
  <c r="DD321" i="48"/>
  <c r="DC321" i="48"/>
  <c r="DB321" i="48"/>
  <c r="DC462" i="48"/>
  <c r="DD462" i="48"/>
  <c r="DB462" i="48"/>
  <c r="DD457" i="48"/>
  <c r="DB457" i="48"/>
  <c r="DC457" i="48"/>
  <c r="DB933" i="48"/>
  <c r="DD933" i="48"/>
  <c r="DC933" i="48"/>
  <c r="DD484" i="48"/>
  <c r="DB484" i="48"/>
  <c r="DC484" i="48"/>
  <c r="DD128" i="48"/>
  <c r="DC128" i="48"/>
  <c r="DB128" i="48"/>
  <c r="DD870" i="48"/>
  <c r="DC870" i="48"/>
  <c r="DB870" i="48"/>
  <c r="DB1301" i="48"/>
  <c r="DD1301" i="48"/>
  <c r="DC1301" i="48"/>
  <c r="DB1297" i="48"/>
  <c r="DD1297" i="48"/>
  <c r="DC1297" i="48"/>
  <c r="DD291" i="48"/>
  <c r="DC291" i="48"/>
  <c r="DB291" i="48"/>
  <c r="DD106" i="48"/>
  <c r="DC106" i="48"/>
  <c r="DB106" i="48"/>
  <c r="DB1186" i="48"/>
  <c r="DD1186" i="48"/>
  <c r="DC1186" i="48"/>
  <c r="DC585" i="48"/>
  <c r="DB585" i="48"/>
  <c r="DD585" i="48"/>
  <c r="DD840" i="48"/>
  <c r="DC840" i="48"/>
  <c r="DB840" i="48"/>
  <c r="DD362" i="48"/>
  <c r="DC362" i="48"/>
  <c r="DB362" i="48"/>
  <c r="DC441" i="48"/>
  <c r="DB441" i="48"/>
  <c r="DD441" i="48"/>
  <c r="DD1108" i="48"/>
  <c r="DB1108" i="48"/>
  <c r="DC1108" i="48"/>
  <c r="DB436" i="48"/>
  <c r="DD436" i="48"/>
  <c r="DC436" i="48"/>
  <c r="DD1279" i="48"/>
  <c r="DC1279" i="48"/>
  <c r="DB1279" i="48"/>
  <c r="DC632" i="48"/>
  <c r="DB632" i="48"/>
  <c r="DD632" i="48"/>
  <c r="DC512" i="48"/>
  <c r="DB512" i="48"/>
  <c r="DD512" i="48"/>
  <c r="DB697" i="48"/>
  <c r="DD697" i="48"/>
  <c r="DC697" i="48"/>
  <c r="DB1295" i="48"/>
  <c r="DD1295" i="48"/>
  <c r="DC1295" i="48"/>
  <c r="DD1154" i="48"/>
  <c r="DC1154" i="48"/>
  <c r="DB1154" i="48"/>
  <c r="DB387" i="48"/>
  <c r="DD387" i="48"/>
  <c r="DC387" i="48"/>
  <c r="DB849" i="48"/>
  <c r="DD849" i="48"/>
  <c r="DC849" i="48"/>
  <c r="DB607" i="48"/>
  <c r="DD607" i="48"/>
  <c r="DC607" i="48"/>
  <c r="DD1318" i="48"/>
  <c r="DC1318" i="48"/>
  <c r="DB1318" i="48"/>
  <c r="DD1040" i="48"/>
  <c r="DC1040" i="48"/>
  <c r="DB1040" i="48"/>
  <c r="DB297" i="48"/>
  <c r="DD297" i="48"/>
  <c r="DC297" i="48"/>
  <c r="DD1256" i="48"/>
  <c r="DC1256" i="48"/>
  <c r="DB1256" i="48"/>
  <c r="DD1273" i="48"/>
  <c r="DC1273" i="48"/>
  <c r="DB1273" i="48"/>
  <c r="DC439" i="48"/>
  <c r="DB439" i="48"/>
  <c r="DD439" i="48"/>
  <c r="DC1138" i="48"/>
  <c r="DB1138" i="48"/>
  <c r="DD1138" i="48"/>
  <c r="DD792" i="48"/>
  <c r="DC792" i="48"/>
  <c r="DB792" i="48"/>
  <c r="DC1088" i="48"/>
  <c r="DB1088" i="48"/>
  <c r="DD1088" i="48"/>
  <c r="DD868" i="48"/>
  <c r="DC868" i="48"/>
  <c r="DB868" i="48"/>
  <c r="DB676" i="48"/>
  <c r="DD676" i="48"/>
  <c r="DC676" i="48"/>
  <c r="DD798" i="48"/>
  <c r="DC798" i="48"/>
  <c r="DB798" i="48"/>
  <c r="DD507" i="48"/>
  <c r="DC507" i="48"/>
  <c r="DB507" i="48"/>
  <c r="DD1317" i="48"/>
  <c r="DC1317" i="48"/>
  <c r="DB1317" i="48"/>
  <c r="DC777" i="48"/>
  <c r="DD777" i="48"/>
  <c r="DB777" i="48"/>
  <c r="DD1038" i="48"/>
  <c r="DB1038" i="48"/>
  <c r="DC1038" i="48"/>
  <c r="DC740" i="48"/>
  <c r="DD740" i="48"/>
  <c r="DB740" i="48"/>
  <c r="DD1330" i="48"/>
  <c r="DC1330" i="48"/>
  <c r="DB1330" i="48"/>
  <c r="DC144" i="48"/>
  <c r="DB144" i="48"/>
  <c r="DD144" i="48"/>
  <c r="DD226" i="48"/>
  <c r="DC226" i="48"/>
  <c r="DB226" i="48"/>
  <c r="DB94" i="48"/>
  <c r="DC94" i="48"/>
  <c r="DD94" i="48"/>
  <c r="DB334" i="48"/>
  <c r="DC334" i="48"/>
  <c r="DD334" i="48"/>
  <c r="DD1232" i="48"/>
  <c r="DC1232" i="48"/>
  <c r="DB1232" i="48"/>
  <c r="DC538" i="48"/>
  <c r="DB538" i="48"/>
  <c r="DD538" i="48"/>
  <c r="DD1224" i="48"/>
  <c r="DC1224" i="48"/>
  <c r="DB1224" i="48"/>
  <c r="DC537" i="48"/>
  <c r="DB537" i="48"/>
  <c r="DD537" i="48"/>
  <c r="DC249" i="48"/>
  <c r="DB249" i="48"/>
  <c r="DD249" i="48"/>
  <c r="DD791" i="48"/>
  <c r="DC791" i="48"/>
  <c r="DB791" i="48"/>
  <c r="DD178" i="48"/>
  <c r="DC178" i="48"/>
  <c r="DB178" i="48"/>
  <c r="DD409" i="48"/>
  <c r="DB409" i="48"/>
  <c r="DC409" i="48"/>
  <c r="DB922" i="48"/>
  <c r="DC922" i="48"/>
  <c r="DD922" i="48"/>
  <c r="DB1037" i="48"/>
  <c r="DD1037" i="48"/>
  <c r="DC1037" i="48"/>
  <c r="DD415" i="48"/>
  <c r="DB415" i="48"/>
  <c r="DC415" i="48"/>
  <c r="DC1132" i="48"/>
  <c r="DB1132" i="48"/>
  <c r="DD1132" i="48"/>
  <c r="DD1230" i="48"/>
  <c r="DC1230" i="48"/>
  <c r="DB1230" i="48"/>
  <c r="DD960" i="48"/>
  <c r="DC960" i="48"/>
  <c r="DB960" i="48"/>
  <c r="DD1275" i="48"/>
  <c r="DC1275" i="48"/>
  <c r="DB1275" i="48"/>
  <c r="DD296" i="48"/>
  <c r="DC296" i="48"/>
  <c r="DB296" i="48"/>
  <c r="DD368" i="48"/>
  <c r="DC368" i="48"/>
  <c r="DB368" i="48"/>
  <c r="DC149" i="48"/>
  <c r="DB149" i="48"/>
  <c r="DD149" i="48"/>
  <c r="DB393" i="48"/>
  <c r="DC393" i="48"/>
  <c r="DD393" i="48"/>
  <c r="DB171" i="48"/>
  <c r="DD171" i="48"/>
  <c r="DC171" i="48"/>
  <c r="DB609" i="48"/>
  <c r="DD609" i="48"/>
  <c r="DC609" i="48"/>
  <c r="DC485" i="48"/>
  <c r="DB485" i="48"/>
  <c r="DD485" i="48"/>
  <c r="DC456" i="48"/>
  <c r="DD456" i="48"/>
  <c r="DB456" i="48"/>
  <c r="DD1033" i="48"/>
  <c r="DC1033" i="48"/>
  <c r="DB1033" i="48"/>
  <c r="DC429" i="48"/>
  <c r="DB429" i="48"/>
  <c r="DD429" i="48"/>
  <c r="DD214" i="48"/>
  <c r="DC214" i="48"/>
  <c r="DB214" i="48"/>
  <c r="DC765" i="48"/>
  <c r="DD765" i="48"/>
  <c r="DB765" i="48"/>
  <c r="DD461" i="48"/>
  <c r="DB461" i="48"/>
  <c r="DC461" i="48"/>
  <c r="DD364" i="48"/>
  <c r="DC364" i="48"/>
  <c r="DB364" i="48"/>
  <c r="DD1258" i="48"/>
  <c r="DC1258" i="48"/>
  <c r="DB1258" i="48"/>
  <c r="DD1054" i="48"/>
  <c r="DC1054" i="48"/>
  <c r="DB1054" i="48"/>
  <c r="DD175" i="48"/>
  <c r="DC175" i="48"/>
  <c r="DB175" i="48"/>
  <c r="DC318" i="48"/>
  <c r="DB318" i="48"/>
  <c r="DD318" i="48"/>
  <c r="DB942" i="48"/>
  <c r="DD942" i="48"/>
  <c r="DC942" i="48"/>
  <c r="DC169" i="48"/>
  <c r="DB169" i="48"/>
  <c r="DD169" i="48"/>
  <c r="DD240" i="48"/>
  <c r="DC240" i="48"/>
  <c r="DB240" i="48"/>
  <c r="DD604" i="48"/>
  <c r="DC604" i="48"/>
  <c r="DB604" i="48"/>
  <c r="DD962" i="48"/>
  <c r="DC962" i="48"/>
  <c r="DB962" i="48"/>
  <c r="DB774" i="48"/>
  <c r="DC774" i="48"/>
  <c r="DD774" i="48"/>
  <c r="DB1231" i="48"/>
  <c r="DD1231" i="48"/>
  <c r="DC1231" i="48"/>
  <c r="DD608" i="48"/>
  <c r="DC608" i="48"/>
  <c r="DB608" i="48"/>
  <c r="DD386" i="48"/>
  <c r="DB386" i="48"/>
  <c r="DC386" i="48"/>
  <c r="DB314" i="48"/>
  <c r="DD314" i="48"/>
  <c r="DC314" i="48"/>
  <c r="DD968" i="48"/>
  <c r="DC968" i="48"/>
  <c r="DB968" i="48"/>
  <c r="DC508" i="48"/>
  <c r="DB508" i="48"/>
  <c r="DD508" i="48"/>
  <c r="DD550" i="48"/>
  <c r="DC550" i="48"/>
  <c r="DB550" i="48"/>
  <c r="DC1006" i="48"/>
  <c r="DB1006" i="48"/>
  <c r="DD1006" i="48"/>
  <c r="DD838" i="48"/>
  <c r="DC838" i="48"/>
  <c r="DB838" i="48"/>
  <c r="DC654" i="48"/>
  <c r="DB654" i="48"/>
  <c r="DD654" i="48"/>
  <c r="DC773" i="48"/>
  <c r="DD773" i="48"/>
  <c r="DB773" i="48"/>
  <c r="DB154" i="48"/>
  <c r="DD154" i="48"/>
  <c r="DC154" i="48"/>
  <c r="DC630" i="48"/>
  <c r="DD630" i="48"/>
  <c r="DB630" i="48"/>
  <c r="DD1087" i="48"/>
  <c r="DC1087" i="48"/>
  <c r="DB1087" i="48"/>
  <c r="DB1011" i="48"/>
  <c r="DD1011" i="48"/>
  <c r="DC1011" i="48"/>
  <c r="DD294" i="48"/>
  <c r="DC294" i="48"/>
  <c r="DB294" i="48"/>
  <c r="DC1084" i="48"/>
  <c r="DB1084" i="48"/>
  <c r="DD1084" i="48"/>
  <c r="DC771" i="48"/>
  <c r="DB771" i="48"/>
  <c r="DD771" i="48"/>
  <c r="DD866" i="48"/>
  <c r="DC866" i="48"/>
  <c r="DB866" i="48"/>
  <c r="DB430" i="48"/>
  <c r="DD430" i="48"/>
  <c r="DC430" i="48"/>
  <c r="DC801" i="48"/>
  <c r="DB801" i="48"/>
  <c r="DD801" i="48"/>
  <c r="DD153" i="48"/>
  <c r="DC153" i="48"/>
  <c r="DB153" i="48"/>
  <c r="DD1183" i="48"/>
  <c r="DC1183" i="48"/>
  <c r="DB1183" i="48"/>
  <c r="DD797" i="48"/>
  <c r="DC797" i="48"/>
  <c r="DB797" i="48"/>
  <c r="DB701" i="48"/>
  <c r="DD701" i="48"/>
  <c r="DC701" i="48"/>
  <c r="DD142" i="48"/>
  <c r="DC142" i="48"/>
  <c r="DB142" i="48"/>
  <c r="DD408" i="48"/>
  <c r="DC408" i="48"/>
  <c r="DB408" i="48"/>
  <c r="DD789" i="48"/>
  <c r="DC789" i="48"/>
  <c r="DB789" i="48"/>
  <c r="DC489" i="48"/>
  <c r="DB489" i="48"/>
  <c r="DD489" i="48"/>
  <c r="DB597" i="48"/>
  <c r="DD597" i="48"/>
  <c r="DC597" i="48"/>
  <c r="DB243" i="48"/>
  <c r="DD243" i="48"/>
  <c r="DC243" i="48"/>
  <c r="DD1200" i="48"/>
  <c r="DC1200" i="48"/>
  <c r="DB1200" i="48"/>
  <c r="DD982" i="48"/>
  <c r="DC982" i="48"/>
  <c r="DB982" i="48"/>
  <c r="DD626" i="48"/>
  <c r="DC626" i="48"/>
  <c r="DB626" i="48"/>
  <c r="DD479" i="48"/>
  <c r="DB479" i="48"/>
  <c r="DC479" i="48"/>
  <c r="DC746" i="48"/>
  <c r="DD746" i="48"/>
  <c r="DB746" i="48"/>
  <c r="DD198" i="48"/>
  <c r="DC198" i="48"/>
  <c r="DB198" i="48"/>
  <c r="DC682" i="48"/>
  <c r="DB682" i="48"/>
  <c r="DD682" i="48"/>
  <c r="DB341" i="48"/>
  <c r="DD341" i="48"/>
  <c r="DC341" i="48"/>
  <c r="DB268" i="48"/>
  <c r="DD268" i="48"/>
  <c r="DC268" i="48"/>
  <c r="DB843" i="48"/>
  <c r="DD843" i="48"/>
  <c r="DC843" i="48"/>
  <c r="DB129" i="48"/>
  <c r="DD129" i="48"/>
  <c r="DC129" i="48"/>
  <c r="DD247" i="48"/>
  <c r="DC247" i="48"/>
  <c r="DB247" i="48"/>
  <c r="DD1127" i="48"/>
  <c r="DC1127" i="48"/>
  <c r="DB1127" i="48"/>
  <c r="DD411" i="48"/>
  <c r="DC411" i="48"/>
  <c r="DB411" i="48"/>
  <c r="DD1244" i="48"/>
  <c r="DC1244" i="48"/>
  <c r="DB1244" i="48"/>
  <c r="DD381" i="48"/>
  <c r="DC381" i="48"/>
  <c r="DB381" i="48"/>
  <c r="DD1203" i="48"/>
  <c r="DC1203" i="48"/>
  <c r="DB1203" i="48"/>
  <c r="DD1066" i="48"/>
  <c r="DC1066" i="48"/>
  <c r="DB1066" i="48"/>
  <c r="DD861" i="48"/>
  <c r="DB861" i="48"/>
  <c r="DC861" i="48"/>
  <c r="DB215" i="48"/>
  <c r="DD215" i="48"/>
  <c r="DC215" i="48"/>
  <c r="DD645" i="48"/>
  <c r="DC645" i="48"/>
  <c r="DB645" i="48"/>
  <c r="DD356" i="48"/>
  <c r="DC356" i="48"/>
  <c r="DB356" i="48"/>
  <c r="DD513" i="48"/>
  <c r="DC513" i="48"/>
  <c r="DB513" i="48"/>
  <c r="DC729" i="48"/>
  <c r="DD729" i="48"/>
  <c r="DB729" i="48"/>
  <c r="DD1179" i="48"/>
  <c r="DC1179" i="48"/>
  <c r="DB1179" i="48"/>
  <c r="DB1159" i="48"/>
  <c r="DD1159" i="48"/>
  <c r="DC1159" i="48"/>
  <c r="DD168" i="48"/>
  <c r="DC168" i="48"/>
  <c r="DB168" i="48"/>
  <c r="DD365" i="48"/>
  <c r="DC365" i="48"/>
  <c r="DB365" i="48"/>
  <c r="DB847" i="48"/>
  <c r="DD847" i="48"/>
  <c r="DC847" i="48"/>
  <c r="DD459" i="48"/>
  <c r="DB459" i="48"/>
  <c r="DC459" i="48"/>
  <c r="DB1245" i="48"/>
  <c r="DD1245" i="48"/>
  <c r="DC1245" i="48"/>
  <c r="DC435" i="48"/>
  <c r="DB435" i="48"/>
  <c r="DD435" i="48"/>
  <c r="DC652" i="48"/>
  <c r="DB652" i="48"/>
  <c r="DD652" i="48"/>
  <c r="DD1281" i="48"/>
  <c r="DC1281" i="48"/>
  <c r="DB1281" i="48"/>
  <c r="DB921" i="48"/>
  <c r="DD921" i="48"/>
  <c r="DC921" i="48"/>
  <c r="DD696" i="48"/>
  <c r="DC696" i="48"/>
  <c r="DB696" i="48"/>
  <c r="DC1126" i="48"/>
  <c r="DB1126" i="48"/>
  <c r="DD1126" i="48"/>
  <c r="DD1102" i="48"/>
  <c r="DC1102" i="48"/>
  <c r="DB1102" i="48"/>
  <c r="DB699" i="48"/>
  <c r="DD699" i="48"/>
  <c r="DC699" i="48"/>
  <c r="DB389" i="48"/>
  <c r="DC389" i="48"/>
  <c r="DD389" i="48"/>
  <c r="DD1323" i="48"/>
  <c r="DC1323" i="48"/>
  <c r="DB1323" i="48"/>
  <c r="DB1249" i="48"/>
  <c r="DD1249" i="48"/>
  <c r="DC1249" i="48"/>
  <c r="DB440" i="48"/>
  <c r="DD440" i="48"/>
  <c r="DC440" i="48"/>
  <c r="DD821" i="48"/>
  <c r="DC821" i="48"/>
  <c r="DB821" i="48"/>
  <c r="DD482" i="48"/>
  <c r="DB482" i="48"/>
  <c r="DC482" i="48"/>
  <c r="DD503" i="48"/>
  <c r="DB503" i="48"/>
  <c r="DC503" i="48"/>
  <c r="DD657" i="48"/>
  <c r="DC657" i="48"/>
  <c r="DB657" i="48"/>
  <c r="DD1207" i="48"/>
  <c r="DC1207" i="48"/>
  <c r="DB1207" i="48"/>
  <c r="DD1316" i="48"/>
  <c r="DC1316" i="48"/>
  <c r="DB1316" i="48"/>
  <c r="DC725" i="48"/>
  <c r="DB725" i="48"/>
  <c r="DD725" i="48"/>
  <c r="DC575" i="48"/>
  <c r="DB575" i="48"/>
  <c r="DD575" i="48"/>
  <c r="DB1009" i="48"/>
  <c r="DD1009" i="48"/>
  <c r="DC1009" i="48"/>
  <c r="DD623" i="48"/>
  <c r="DC623" i="48"/>
  <c r="DB623" i="48"/>
  <c r="DD698" i="48"/>
  <c r="DC698" i="48"/>
  <c r="DB698" i="48"/>
  <c r="DB776" i="48"/>
  <c r="DD776" i="48"/>
  <c r="DC776" i="48"/>
  <c r="DD1300" i="48"/>
  <c r="DC1300" i="48"/>
  <c r="DB1300" i="48"/>
  <c r="DB728" i="48"/>
  <c r="DC728" i="48"/>
  <c r="DD728" i="48"/>
  <c r="DD267" i="48"/>
  <c r="DC267" i="48"/>
  <c r="DB267" i="48"/>
  <c r="DB1103" i="48"/>
  <c r="DD1103" i="48"/>
  <c r="DC1103" i="48"/>
  <c r="DB722" i="48"/>
  <c r="DD722" i="48"/>
  <c r="DC722" i="48"/>
  <c r="DD1304" i="48"/>
  <c r="DC1304" i="48"/>
  <c r="DB1304" i="48"/>
  <c r="DC681" i="48"/>
  <c r="DB681" i="48"/>
  <c r="DD681" i="48"/>
  <c r="DB221" i="48"/>
  <c r="DD221" i="48"/>
  <c r="DC221" i="48"/>
  <c r="DB174" i="48"/>
  <c r="DD174" i="48"/>
  <c r="DC174" i="48"/>
  <c r="DD1181" i="48"/>
  <c r="DB1181" i="48"/>
  <c r="DC1181" i="48"/>
  <c r="DC531" i="48"/>
  <c r="DB531" i="48"/>
  <c r="DD531" i="48"/>
  <c r="DD794" i="48"/>
  <c r="DC794" i="48"/>
  <c r="DB794" i="48"/>
  <c r="DB1305" i="48"/>
  <c r="DD1305" i="48"/>
  <c r="DC1305" i="48"/>
  <c r="DB344" i="48"/>
  <c r="DD344" i="48"/>
  <c r="DC344" i="48"/>
  <c r="DC679" i="48"/>
  <c r="DB679" i="48"/>
  <c r="DD679" i="48"/>
  <c r="DD1177" i="48"/>
  <c r="DB1177" i="48"/>
  <c r="DC1177" i="48"/>
  <c r="DD1184" i="48"/>
  <c r="DC1184" i="48"/>
  <c r="DB1184" i="48"/>
  <c r="DD1328" i="48"/>
  <c r="DC1328" i="48"/>
  <c r="DB1328" i="48"/>
  <c r="DB1151" i="48"/>
  <c r="DD1151" i="48"/>
  <c r="DC1151" i="48"/>
  <c r="DC529" i="48"/>
  <c r="DB529" i="48"/>
  <c r="DD529" i="48"/>
  <c r="DD1201" i="48"/>
  <c r="DC1201" i="48"/>
  <c r="DB1201" i="48"/>
  <c r="DD916" i="48"/>
  <c r="DC916" i="48"/>
  <c r="DB916" i="48"/>
  <c r="DB1113" i="48"/>
  <c r="DC1113" i="48"/>
  <c r="DD1113" i="48"/>
  <c r="DD505" i="48"/>
  <c r="DB505" i="48"/>
  <c r="DC505" i="48"/>
  <c r="DD653" i="48"/>
  <c r="DC653" i="48"/>
  <c r="DB653" i="48"/>
  <c r="DD367" i="48"/>
  <c r="DB367" i="48"/>
  <c r="DC367" i="48"/>
  <c r="DD1196" i="48"/>
  <c r="DC1196" i="48"/>
  <c r="DB1196" i="48"/>
  <c r="DD560" i="48"/>
  <c r="DC560" i="48"/>
  <c r="DB560" i="48"/>
  <c r="DC433" i="48"/>
  <c r="DB433" i="48"/>
  <c r="DD433" i="48"/>
  <c r="DD747" i="48"/>
  <c r="DB747" i="48"/>
  <c r="DC747" i="48"/>
  <c r="DD989" i="48"/>
  <c r="DC989" i="48"/>
  <c r="DB989" i="48"/>
  <c r="DD101" i="48"/>
  <c r="DC101" i="48"/>
  <c r="DB101" i="48"/>
  <c r="DB166" i="48"/>
  <c r="DD166" i="48"/>
  <c r="DC166" i="48"/>
  <c r="DB576" i="48"/>
  <c r="DD576" i="48"/>
  <c r="DC576" i="48"/>
  <c r="DB578" i="48"/>
  <c r="DD578" i="48"/>
  <c r="DC578" i="48"/>
  <c r="DD285" i="48"/>
  <c r="DC285" i="48"/>
  <c r="DB285" i="48"/>
  <c r="DC573" i="48"/>
  <c r="DB573" i="48"/>
  <c r="DD573" i="48"/>
  <c r="DC287" i="48"/>
  <c r="DB287" i="48"/>
  <c r="DD287" i="48"/>
  <c r="DC1276" i="48"/>
  <c r="DB1276" i="48"/>
  <c r="DD1276" i="48"/>
  <c r="DD694" i="48"/>
  <c r="DC694" i="48"/>
  <c r="DB694" i="48"/>
  <c r="DD704" i="48"/>
  <c r="DC704" i="48"/>
  <c r="DB704" i="48"/>
  <c r="DD602" i="48"/>
  <c r="DC602" i="48"/>
  <c r="DB602" i="48"/>
  <c r="DC727" i="48"/>
  <c r="DD727" i="48"/>
  <c r="DB727" i="48"/>
  <c r="DC236" i="48"/>
  <c r="DB236" i="48"/>
  <c r="DD236" i="48"/>
  <c r="DD994" i="48"/>
  <c r="DC994" i="48"/>
  <c r="DB994" i="48"/>
  <c r="DB1157" i="48"/>
  <c r="DD1157" i="48"/>
  <c r="DC1157" i="48"/>
  <c r="DC194" i="48"/>
  <c r="DB194" i="48"/>
  <c r="DD194" i="48"/>
  <c r="DB536" i="48"/>
  <c r="DD536" i="48"/>
  <c r="DC536" i="48"/>
  <c r="DD93" i="48"/>
  <c r="DC93" i="48"/>
  <c r="DB93" i="48"/>
  <c r="DD217" i="48"/>
  <c r="DC217" i="48"/>
  <c r="DB217" i="48"/>
  <c r="DD453" i="48"/>
  <c r="DB453" i="48"/>
  <c r="DC453" i="48"/>
  <c r="DB678" i="48"/>
  <c r="DD678" i="48"/>
  <c r="DC678" i="48"/>
  <c r="DD1226" i="48"/>
  <c r="DC1226" i="48"/>
  <c r="DB1226" i="48"/>
  <c r="DD123" i="48"/>
  <c r="DC123" i="48"/>
  <c r="DB123" i="48"/>
  <c r="DD1032" i="48"/>
  <c r="DC1032" i="48"/>
  <c r="DB1032" i="48"/>
  <c r="DD865" i="48"/>
  <c r="DB865" i="48"/>
  <c r="DC865" i="48"/>
  <c r="DB913" i="48"/>
  <c r="DD913" i="48"/>
  <c r="DC913" i="48"/>
  <c r="DD862" i="48"/>
  <c r="DC862" i="48"/>
  <c r="DB862" i="48"/>
  <c r="DD910" i="48"/>
  <c r="DC910" i="48"/>
  <c r="DB910" i="48"/>
  <c r="DD720" i="48"/>
  <c r="DC720" i="48"/>
  <c r="DB720" i="48"/>
  <c r="DC742" i="48"/>
  <c r="DB742" i="48"/>
  <c r="DD742" i="48"/>
  <c r="DD1246" i="48"/>
  <c r="DC1246" i="48"/>
  <c r="DB1246" i="48"/>
  <c r="DD633" i="48"/>
  <c r="DC633" i="48"/>
  <c r="DB633" i="48"/>
  <c r="DB1257" i="48"/>
  <c r="DD1257" i="48"/>
  <c r="DC1257" i="48"/>
  <c r="DD388" i="48"/>
  <c r="DC388" i="48"/>
  <c r="DB388" i="48"/>
  <c r="DD237" i="48"/>
  <c r="DC237" i="48"/>
  <c r="DB237" i="48"/>
  <c r="DD465" i="48"/>
  <c r="DB465" i="48"/>
  <c r="DC465" i="48"/>
  <c r="DB580" i="48"/>
  <c r="DD580" i="48"/>
  <c r="DC580" i="48"/>
  <c r="DC464" i="48"/>
  <c r="DD464" i="48"/>
  <c r="DB464" i="48"/>
  <c r="DB850" i="48"/>
  <c r="DD850" i="48"/>
  <c r="DC850" i="48"/>
  <c r="DD245" i="48"/>
  <c r="DC245" i="48"/>
  <c r="DB245" i="48"/>
  <c r="DD869" i="48"/>
  <c r="DB869" i="48"/>
  <c r="DC869" i="48"/>
  <c r="DD1041" i="48"/>
  <c r="DC1041" i="48"/>
  <c r="DB1041" i="48"/>
  <c r="DB610" i="48"/>
  <c r="DD610" i="48"/>
  <c r="DC610" i="48"/>
  <c r="DD1137" i="48"/>
  <c r="DC1137" i="48"/>
  <c r="DB1137" i="48"/>
  <c r="DD361" i="48"/>
  <c r="DB361" i="48"/>
  <c r="DC361" i="48"/>
  <c r="DD813" i="48"/>
  <c r="DC813" i="48"/>
  <c r="DB813" i="48"/>
  <c r="DB455" i="48"/>
  <c r="DC455" i="48"/>
  <c r="DD455" i="48"/>
  <c r="DB957" i="48"/>
  <c r="DD957" i="48"/>
  <c r="DC957" i="48"/>
  <c r="DC506" i="48"/>
  <c r="DD506" i="48"/>
  <c r="DB506" i="48"/>
  <c r="DD815" i="48"/>
  <c r="DC815" i="48"/>
  <c r="DB815" i="48"/>
  <c r="DC583" i="48"/>
  <c r="DB583" i="48"/>
  <c r="DD583" i="48"/>
  <c r="DD366" i="48"/>
  <c r="DC366" i="48"/>
  <c r="DB366" i="48"/>
  <c r="DD1100" i="48"/>
  <c r="DB1100" i="48"/>
  <c r="DC1100" i="48"/>
  <c r="DD190" i="48"/>
  <c r="DC190" i="48"/>
  <c r="DB190" i="48"/>
  <c r="DD1158" i="48"/>
  <c r="DC1158" i="48"/>
  <c r="DB1158" i="48"/>
  <c r="DC673" i="48"/>
  <c r="DB673" i="48"/>
  <c r="DD673" i="48"/>
  <c r="DD1133" i="48"/>
  <c r="DC1133" i="48"/>
  <c r="DB1133" i="48"/>
  <c r="DD554" i="48"/>
  <c r="DC554" i="48"/>
  <c r="DB554" i="48"/>
  <c r="DD357" i="48"/>
  <c r="DC357" i="48"/>
  <c r="DB357" i="48"/>
  <c r="DB967" i="48"/>
  <c r="DD967" i="48"/>
  <c r="DC967" i="48"/>
  <c r="DD1135" i="48"/>
  <c r="DC1135" i="48"/>
  <c r="DB1135" i="48"/>
  <c r="DC103" i="48"/>
  <c r="DB103" i="48"/>
  <c r="DD103" i="48"/>
  <c r="DB336" i="48"/>
  <c r="DD336" i="48"/>
  <c r="DC336" i="48"/>
  <c r="DD96" i="48"/>
  <c r="DB96" i="48"/>
  <c r="DC96" i="48"/>
  <c r="DD1053" i="48"/>
  <c r="DC1053" i="48"/>
  <c r="DB1053" i="48"/>
  <c r="DB909" i="48"/>
  <c r="DD909" i="48"/>
  <c r="DC909" i="48"/>
  <c r="DC650" i="48"/>
  <c r="DB650" i="48"/>
  <c r="DD650" i="48"/>
  <c r="DD1036" i="48"/>
  <c r="DC1036" i="48"/>
  <c r="DB1036" i="48"/>
  <c r="DD288" i="48"/>
  <c r="DC288" i="48"/>
  <c r="DB288" i="48"/>
  <c r="DB1017" i="48"/>
  <c r="DD1017" i="48"/>
  <c r="DC1017" i="48"/>
  <c r="DD692" i="48"/>
  <c r="DC692" i="48"/>
  <c r="DB692" i="48"/>
  <c r="DD1329" i="48"/>
  <c r="DC1329" i="48"/>
  <c r="DB1329" i="48"/>
  <c r="DD1034" i="48"/>
  <c r="DC1034" i="48"/>
  <c r="DB1034" i="48"/>
  <c r="DD173" i="48"/>
  <c r="DC173" i="48"/>
  <c r="DB173" i="48"/>
  <c r="DB772" i="48"/>
  <c r="DD772" i="48"/>
  <c r="DC772" i="48"/>
  <c r="DD261" i="48"/>
  <c r="DC261" i="48"/>
  <c r="DB261" i="48"/>
  <c r="DC579" i="48"/>
  <c r="DB579" i="48"/>
  <c r="DD579" i="48"/>
  <c r="DD1079" i="48"/>
  <c r="DC1079" i="48"/>
  <c r="DB1079" i="48"/>
  <c r="CM36" i="48"/>
  <c r="DB72" i="48"/>
  <c r="DC72" i="48"/>
  <c r="DD72" i="48"/>
  <c r="DC77" i="48"/>
  <c r="DB77" i="48"/>
  <c r="DD77" i="48"/>
  <c r="DB78" i="48"/>
  <c r="DD78" i="48"/>
  <c r="DC78" i="48"/>
  <c r="DC79" i="48"/>
  <c r="DD79" i="48"/>
  <c r="DB79" i="48"/>
  <c r="DB68" i="48"/>
  <c r="DC68" i="48"/>
  <c r="DD68" i="48"/>
  <c r="DC73" i="48"/>
  <c r="DB73" i="48"/>
  <c r="DD73" i="48"/>
  <c r="DC71" i="48"/>
  <c r="DD71" i="48"/>
  <c r="DB71" i="48"/>
  <c r="DC81" i="48"/>
  <c r="DB81" i="48"/>
  <c r="DD81" i="48"/>
  <c r="DC75" i="48"/>
  <c r="DB75" i="48"/>
  <c r="DD75" i="48"/>
  <c r="DD82" i="48"/>
  <c r="DC82" i="48"/>
  <c r="DB82" i="48"/>
  <c r="DB80" i="48"/>
  <c r="DC80" i="48"/>
  <c r="DD80" i="48"/>
  <c r="DB76" i="48"/>
  <c r="DD76" i="48"/>
  <c r="DC76" i="48"/>
  <c r="DB70" i="48"/>
  <c r="DC70" i="48"/>
  <c r="DD70" i="48"/>
  <c r="DB74" i="48"/>
  <c r="DC74" i="48"/>
  <c r="DD74" i="48"/>
  <c r="DC69" i="48"/>
  <c r="DD69" i="48"/>
  <c r="DB69" i="48"/>
  <c r="DB58" i="48"/>
  <c r="DD58" i="48"/>
  <c r="DD47" i="48"/>
  <c r="DB47" i="48"/>
  <c r="DD56" i="48"/>
  <c r="DB56" i="48"/>
  <c r="DB53" i="48"/>
  <c r="DD53" i="48"/>
  <c r="DD44" i="48"/>
  <c r="DB44" i="48"/>
  <c r="DD51" i="48"/>
  <c r="DB51" i="48"/>
  <c r="DB45" i="48"/>
  <c r="DD45" i="48"/>
  <c r="DB46" i="48"/>
  <c r="DD46" i="48"/>
  <c r="DB49" i="48"/>
  <c r="DD49" i="48"/>
  <c r="DD55" i="48"/>
  <c r="DB55" i="48"/>
  <c r="DD54" i="48"/>
  <c r="DB54" i="48"/>
  <c r="DB57" i="48"/>
  <c r="DD57" i="48"/>
  <c r="DD50" i="48"/>
  <c r="DB50" i="48"/>
  <c r="DD48" i="48"/>
  <c r="DB48" i="48"/>
  <c r="DD52" i="48"/>
  <c r="DB52" i="48"/>
  <c r="CY467" i="48" l="1"/>
  <c r="DE388" i="48"/>
  <c r="DE1257" i="48"/>
  <c r="DE1246" i="48"/>
  <c r="DE698" i="48"/>
  <c r="DE1009" i="48"/>
  <c r="DE1249" i="48"/>
  <c r="DE699" i="48"/>
  <c r="DE1102" i="48"/>
  <c r="DE696" i="48"/>
  <c r="DE921" i="48"/>
  <c r="DE652" i="48"/>
  <c r="DE1245" i="48"/>
  <c r="DE847" i="48"/>
  <c r="DE843" i="48"/>
  <c r="DE336" i="48"/>
  <c r="DE720" i="48"/>
  <c r="DE910" i="48"/>
  <c r="DE862" i="48"/>
  <c r="DE913" i="48"/>
  <c r="DE268" i="48"/>
  <c r="DE173" i="48"/>
  <c r="DE1135" i="48"/>
  <c r="DE357" i="48"/>
  <c r="DE1133" i="48"/>
  <c r="DE464" i="48"/>
  <c r="DE580" i="48"/>
  <c r="DE1226" i="48"/>
  <c r="DE678" i="48"/>
  <c r="DE453" i="48"/>
  <c r="DE217" i="48"/>
  <c r="DE1276" i="48"/>
  <c r="DE989" i="48"/>
  <c r="DE747" i="48"/>
  <c r="DE367" i="48"/>
  <c r="DE653" i="48"/>
  <c r="DE505" i="48"/>
  <c r="DE1201" i="48"/>
  <c r="DE1328" i="48"/>
  <c r="DE1177" i="48"/>
  <c r="DE1181" i="48"/>
  <c r="DE174" i="48"/>
  <c r="DE681" i="48"/>
  <c r="DE1304" i="48"/>
  <c r="DE722" i="48"/>
  <c r="DE1179" i="48"/>
  <c r="DE513" i="48"/>
  <c r="DE356" i="48"/>
  <c r="DE645" i="48"/>
  <c r="DE489" i="48"/>
  <c r="DE701" i="48"/>
  <c r="DE1084" i="48"/>
  <c r="DE968" i="48"/>
  <c r="DE314" i="48"/>
  <c r="DE386" i="48"/>
  <c r="DE608" i="48"/>
  <c r="DE604" i="48"/>
  <c r="DE318" i="48"/>
  <c r="DE175" i="48"/>
  <c r="DE429" i="48"/>
  <c r="DE485" i="48"/>
  <c r="DE249" i="48"/>
  <c r="DE226" i="48"/>
  <c r="DE798" i="48"/>
  <c r="DE792" i="48"/>
  <c r="DE1138" i="48"/>
  <c r="DE439" i="48"/>
  <c r="DE1040" i="48"/>
  <c r="DE436" i="48"/>
  <c r="DE1108" i="48"/>
  <c r="DE441" i="48"/>
  <c r="DE585" i="48"/>
  <c r="DE917" i="48"/>
  <c r="DE1250" i="48"/>
  <c r="DE265" i="48"/>
  <c r="DE195" i="48"/>
  <c r="DE527" i="48"/>
  <c r="DE337" i="48"/>
  <c r="DE504" i="48"/>
  <c r="DE1080" i="48"/>
  <c r="DE262" i="48"/>
  <c r="DE920" i="48"/>
  <c r="DE1148" i="48"/>
  <c r="DE1090" i="48"/>
  <c r="DE1015" i="48"/>
  <c r="DE244" i="48"/>
  <c r="DE848" i="48"/>
  <c r="DE532" i="48"/>
  <c r="DE394" i="48"/>
  <c r="DE716" i="48"/>
  <c r="DE1035" i="48"/>
  <c r="DE1233" i="48"/>
  <c r="DE896" i="48"/>
  <c r="DE670" i="48"/>
  <c r="DE793" i="48"/>
  <c r="DE911" i="48"/>
  <c r="DE313" i="48"/>
  <c r="DE919" i="48"/>
  <c r="DE1016" i="48"/>
  <c r="DE1061" i="48"/>
  <c r="DE918" i="48"/>
  <c r="DE892" i="48"/>
  <c r="DE385" i="48"/>
  <c r="DE338" i="48"/>
  <c r="DE380" i="48"/>
  <c r="DE438" i="48"/>
  <c r="DE315" i="48"/>
  <c r="DE634" i="48"/>
  <c r="DE1206" i="48"/>
  <c r="DE224" i="48"/>
  <c r="DE202" i="48"/>
  <c r="DE488" i="48"/>
  <c r="DE98" i="48"/>
  <c r="DE333" i="48"/>
  <c r="DE220" i="48"/>
  <c r="DE961" i="48"/>
  <c r="DE1155" i="48"/>
  <c r="DE1247" i="48"/>
  <c r="DE751" i="48"/>
  <c r="DE723" i="48"/>
  <c r="DE842" i="48"/>
  <c r="DE766" i="48"/>
  <c r="DE620" i="48"/>
  <c r="DE744" i="48"/>
  <c r="DE458" i="48"/>
  <c r="DE384" i="48"/>
  <c r="DE603" i="48"/>
  <c r="DE946" i="48"/>
  <c r="DE622" i="48"/>
  <c r="DE1110" i="48"/>
  <c r="DE769" i="48"/>
  <c r="DE332" i="48"/>
  <c r="DE1208" i="48"/>
  <c r="DE490" i="48"/>
  <c r="DE528" i="48"/>
  <c r="DE987" i="48"/>
  <c r="DE270" i="48"/>
  <c r="DE846" i="48"/>
  <c r="DE442" i="48"/>
  <c r="DE752" i="48"/>
  <c r="DE802" i="48"/>
  <c r="DE680" i="48"/>
  <c r="DE837" i="48"/>
  <c r="DE551" i="48"/>
  <c r="DE627" i="48"/>
  <c r="DE478" i="48"/>
  <c r="DE1028" i="48"/>
  <c r="DE124" i="48"/>
  <c r="DE914" i="48"/>
  <c r="DE1032" i="48"/>
  <c r="DE199" i="48"/>
  <c r="DE864" i="48"/>
  <c r="DE1124" i="48"/>
  <c r="DE1114" i="48"/>
  <c r="DE151" i="48"/>
  <c r="DE105" i="48"/>
  <c r="DE312" i="48"/>
  <c r="DE286" i="48"/>
  <c r="DE152" i="48"/>
  <c r="DE581" i="48"/>
  <c r="DE130" i="48"/>
  <c r="DE102" i="48"/>
  <c r="DE223" i="48"/>
  <c r="DE1034" i="48"/>
  <c r="DE692" i="48"/>
  <c r="DE1017" i="48"/>
  <c r="DE288" i="48"/>
  <c r="DE366" i="48"/>
  <c r="DE957" i="48"/>
  <c r="DE610" i="48"/>
  <c r="DE93" i="48"/>
  <c r="DE221" i="48"/>
  <c r="DE1036" i="48"/>
  <c r="DE1157" i="48"/>
  <c r="DE578" i="48"/>
  <c r="DE576" i="48"/>
  <c r="DE166" i="48"/>
  <c r="DE101" i="48"/>
  <c r="DE168" i="48"/>
  <c r="DE1244" i="48"/>
  <c r="DE626" i="48"/>
  <c r="DE1200" i="48"/>
  <c r="DE243" i="48"/>
  <c r="DE1011" i="48"/>
  <c r="DE154" i="48"/>
  <c r="DE364" i="48"/>
  <c r="DE765" i="48"/>
  <c r="DE960" i="48"/>
  <c r="DE1037" i="48"/>
  <c r="DE933" i="48"/>
  <c r="DE656" i="48"/>
  <c r="DE193" i="48"/>
  <c r="DE1111" i="48"/>
  <c r="DE845" i="48"/>
  <c r="DE624" i="48"/>
  <c r="DE335" i="48"/>
  <c r="DE1176" i="48"/>
  <c r="DE1204" i="48"/>
  <c r="DE775" i="48"/>
  <c r="DE628" i="48"/>
  <c r="DE1156" i="48"/>
  <c r="DE320" i="48"/>
  <c r="DE939" i="48"/>
  <c r="DE1174" i="48"/>
  <c r="DE1161" i="48"/>
  <c r="DE432" i="48"/>
  <c r="DE1248" i="48"/>
  <c r="DE1251" i="48"/>
  <c r="DE1293" i="48"/>
  <c r="DE599" i="48"/>
  <c r="DE700" i="48"/>
  <c r="DE1229" i="48"/>
  <c r="DE404" i="48"/>
  <c r="DE605" i="48"/>
  <c r="DE121" i="48"/>
  <c r="DE598" i="48"/>
  <c r="DE1252" i="48"/>
  <c r="DE601" i="48"/>
  <c r="DE938" i="48"/>
  <c r="DE192" i="48"/>
  <c r="DE959" i="48"/>
  <c r="DE345" i="48"/>
  <c r="DE932" i="48"/>
  <c r="DE586" i="48"/>
  <c r="DE702" i="48"/>
  <c r="DE558" i="48"/>
  <c r="DE958" i="48"/>
  <c r="DE1106" i="48"/>
  <c r="DE1227" i="48"/>
  <c r="DE390" i="48"/>
  <c r="DE1107" i="48"/>
  <c r="DE556" i="48"/>
  <c r="DE358" i="48"/>
  <c r="DE750" i="48"/>
  <c r="DE1018" i="48"/>
  <c r="DE416" i="48"/>
  <c r="DE391" i="48"/>
  <c r="DE340" i="48"/>
  <c r="DE510" i="48"/>
  <c r="DE1153" i="48"/>
  <c r="DE912" i="48"/>
  <c r="DE122" i="48"/>
  <c r="DE767" i="48"/>
  <c r="DE648" i="48"/>
  <c r="DE706" i="48"/>
  <c r="DE718" i="48"/>
  <c r="DE969" i="48"/>
  <c r="DE1150" i="48"/>
  <c r="DE703" i="48"/>
  <c r="DE577" i="48"/>
  <c r="DE964" i="48"/>
  <c r="DE533" i="48"/>
  <c r="DE885" i="48"/>
  <c r="DE897" i="48"/>
  <c r="DE1234" i="48"/>
  <c r="DE841" i="48"/>
  <c r="DE383" i="48"/>
  <c r="DE127" i="48"/>
  <c r="DE434" i="48"/>
  <c r="DE406" i="48"/>
  <c r="DE104" i="48"/>
  <c r="DE889" i="48"/>
  <c r="DE943" i="48"/>
  <c r="DE480" i="48"/>
  <c r="DE1112" i="48"/>
  <c r="DE1180" i="48"/>
  <c r="DE266" i="48"/>
  <c r="DE1202" i="48"/>
  <c r="DE990" i="48"/>
  <c r="DE477" i="48"/>
  <c r="DE148" i="48"/>
  <c r="DE1253" i="48"/>
  <c r="DE118" i="48"/>
  <c r="DE772" i="48"/>
  <c r="DE1053" i="48"/>
  <c r="DE96" i="48"/>
  <c r="DE673" i="48"/>
  <c r="DE1158" i="48"/>
  <c r="DE465" i="48"/>
  <c r="DE237" i="48"/>
  <c r="DE536" i="48"/>
  <c r="DE194" i="48"/>
  <c r="DE704" i="48"/>
  <c r="DE287" i="48"/>
  <c r="DE433" i="48"/>
  <c r="DE1113" i="48"/>
  <c r="DE916" i="48"/>
  <c r="DE529" i="48"/>
  <c r="DE679" i="48"/>
  <c r="DE794" i="48"/>
  <c r="DE531" i="48"/>
  <c r="DE267" i="48"/>
  <c r="DE682" i="48"/>
  <c r="DE789" i="48"/>
  <c r="DE801" i="48"/>
  <c r="DE430" i="48"/>
  <c r="DE771" i="48"/>
  <c r="DE1006" i="48"/>
  <c r="DE942" i="48"/>
  <c r="DE1033" i="48"/>
  <c r="DE456" i="48"/>
  <c r="DE368" i="48"/>
  <c r="DE791" i="48"/>
  <c r="DE1330" i="48"/>
  <c r="DE740" i="48"/>
  <c r="DE1317" i="48"/>
  <c r="DE507" i="48"/>
  <c r="DE676" i="48"/>
  <c r="DE1088" i="48"/>
  <c r="DE1273" i="48"/>
  <c r="DE1318" i="48"/>
  <c r="DE632" i="48"/>
  <c r="DE1279" i="48"/>
  <c r="DE106" i="48"/>
  <c r="DE128" i="48"/>
  <c r="DE264" i="48"/>
  <c r="DE197" i="48"/>
  <c r="DE1294" i="48"/>
  <c r="DE1322" i="48"/>
  <c r="DE117" i="48"/>
  <c r="DE248" i="48"/>
  <c r="DE1059" i="48"/>
  <c r="DE250" i="48"/>
  <c r="DE418" i="48"/>
  <c r="DE719" i="48"/>
  <c r="DE561" i="48"/>
  <c r="DE1065" i="48"/>
  <c r="DE1325" i="48"/>
  <c r="DE820" i="48"/>
  <c r="DE749" i="48"/>
  <c r="DE1277" i="48"/>
  <c r="DE1031" i="48"/>
  <c r="DE1055" i="48"/>
  <c r="DE717" i="48"/>
  <c r="DE213" i="48"/>
  <c r="DE871" i="48"/>
  <c r="DE1197" i="48"/>
  <c r="DE985" i="48"/>
  <c r="DE1136" i="48"/>
  <c r="DE559" i="48"/>
  <c r="DE863" i="48"/>
  <c r="DE1327" i="48"/>
  <c r="DE658" i="48"/>
  <c r="DE993" i="48"/>
  <c r="DE363" i="48"/>
  <c r="DE1130" i="48"/>
  <c r="DE370" i="48"/>
  <c r="DE272" i="48"/>
  <c r="DE649" i="48"/>
  <c r="DE822" i="48"/>
  <c r="DE844" i="48"/>
  <c r="DE966" i="48"/>
  <c r="DE382" i="48"/>
  <c r="DE1320" i="48"/>
  <c r="DE97" i="48"/>
  <c r="DE225" i="48"/>
  <c r="DE940" i="48"/>
  <c r="DE983" i="48"/>
  <c r="DE721" i="48"/>
  <c r="DE631" i="48"/>
  <c r="DE1063" i="48"/>
  <c r="DE167" i="48"/>
  <c r="DE1319" i="48"/>
  <c r="DE1199" i="48"/>
  <c r="DE743" i="48"/>
  <c r="DE621" i="48"/>
  <c r="DE1129" i="48"/>
  <c r="DE724" i="48"/>
  <c r="DE944" i="48"/>
  <c r="DE582" i="48"/>
  <c r="DE1271" i="48"/>
  <c r="DE1012" i="48"/>
  <c r="DE1062" i="48"/>
  <c r="DE1060" i="48"/>
  <c r="DE463" i="48"/>
  <c r="DE1086" i="48"/>
  <c r="DE579" i="48"/>
  <c r="DE1329" i="48"/>
  <c r="DE967" i="48"/>
  <c r="DE554" i="48"/>
  <c r="DE190" i="48"/>
  <c r="DE815" i="48"/>
  <c r="DE506" i="48"/>
  <c r="DE813" i="48"/>
  <c r="DE361" i="48"/>
  <c r="DE1137" i="48"/>
  <c r="DE1041" i="48"/>
  <c r="DE869" i="48"/>
  <c r="DE245" i="48"/>
  <c r="DE727" i="48"/>
  <c r="DE602" i="48"/>
  <c r="DE694" i="48"/>
  <c r="DE285" i="48"/>
  <c r="DE560" i="48"/>
  <c r="DE1196" i="48"/>
  <c r="DE1151" i="48"/>
  <c r="DE1184" i="48"/>
  <c r="DE344" i="48"/>
  <c r="DE1305" i="48"/>
  <c r="DE1300" i="48"/>
  <c r="DE776" i="48"/>
  <c r="DE575" i="48"/>
  <c r="DE725" i="48"/>
  <c r="DE482" i="48"/>
  <c r="DE389" i="48"/>
  <c r="DE435" i="48"/>
  <c r="DE1159" i="48"/>
  <c r="DE729" i="48"/>
  <c r="DE215" i="48"/>
  <c r="DE861" i="48"/>
  <c r="DE1066" i="48"/>
  <c r="DE1203" i="48"/>
  <c r="DE381" i="48"/>
  <c r="DE411" i="48"/>
  <c r="DE1127" i="48"/>
  <c r="DE247" i="48"/>
  <c r="DE341" i="48"/>
  <c r="DE198" i="48"/>
  <c r="DE746" i="48"/>
  <c r="DE479" i="48"/>
  <c r="DE866" i="48"/>
  <c r="DE294" i="48"/>
  <c r="DE1087" i="48"/>
  <c r="DE630" i="48"/>
  <c r="DE169" i="48"/>
  <c r="DE1258" i="48"/>
  <c r="DE461" i="48"/>
  <c r="DE393" i="48"/>
  <c r="DE149" i="48"/>
  <c r="DE296" i="48"/>
  <c r="DE1275" i="48"/>
  <c r="DE1230" i="48"/>
  <c r="DE1132" i="48"/>
  <c r="DE415" i="48"/>
  <c r="DE409" i="48"/>
  <c r="DE178" i="48"/>
  <c r="DE537" i="48"/>
  <c r="DE538" i="48"/>
  <c r="DE334" i="48"/>
  <c r="DE94" i="48"/>
  <c r="DE144" i="48"/>
  <c r="DE1297" i="48"/>
  <c r="DE1301" i="48"/>
  <c r="DE870" i="48"/>
  <c r="DE457" i="48"/>
  <c r="DE321" i="48"/>
  <c r="DE164" i="48"/>
  <c r="DE790" i="48"/>
  <c r="DE800" i="48"/>
  <c r="DE799" i="48"/>
  <c r="DE825" i="48"/>
  <c r="DE317" i="48"/>
  <c r="DE1007" i="48"/>
  <c r="DE509" i="48"/>
  <c r="DE1003" i="48"/>
  <c r="DE1160" i="48"/>
  <c r="DE263" i="48"/>
  <c r="DE311" i="48"/>
  <c r="DE1175" i="48"/>
  <c r="DE818" i="48"/>
  <c r="DE1010" i="48"/>
  <c r="DE1058" i="48"/>
  <c r="DE176" i="48"/>
  <c r="DE1172" i="48"/>
  <c r="DE201" i="48"/>
  <c r="DE454" i="48"/>
  <c r="DE1324" i="48"/>
  <c r="DE309" i="48"/>
  <c r="DE476" i="48"/>
  <c r="DE936" i="48"/>
  <c r="DE937" i="48"/>
  <c r="DE826" i="48"/>
  <c r="DE1321" i="48"/>
  <c r="DE1209" i="48"/>
  <c r="DE1082" i="48"/>
  <c r="DE814" i="48"/>
  <c r="DE369" i="48"/>
  <c r="DE407" i="48"/>
  <c r="DE116" i="48"/>
  <c r="DE172" i="48"/>
  <c r="DE629" i="48"/>
  <c r="DE412" i="48"/>
  <c r="DE945" i="48"/>
  <c r="DE557" i="48"/>
  <c r="DE1057" i="48"/>
  <c r="DE991" i="48"/>
  <c r="DE824" i="48"/>
  <c r="DE1077" i="48"/>
  <c r="DE647" i="48"/>
  <c r="DE239" i="48"/>
  <c r="DE941" i="48"/>
  <c r="DE992" i="48"/>
  <c r="DE535" i="48"/>
  <c r="DE218" i="48"/>
  <c r="DE170" i="48"/>
  <c r="DE466" i="48"/>
  <c r="DE1128" i="48"/>
  <c r="DE726" i="48"/>
  <c r="DE817" i="48"/>
  <c r="DE1220" i="48"/>
  <c r="DE359" i="48"/>
  <c r="DE1274" i="48"/>
  <c r="DE1005" i="48"/>
  <c r="DE816" i="48"/>
  <c r="DE1210" i="48"/>
  <c r="DE1134" i="48"/>
  <c r="DE669" i="48"/>
  <c r="DE1296" i="48"/>
  <c r="DE222" i="48"/>
  <c r="DE886" i="48"/>
  <c r="DE574" i="48"/>
  <c r="DE1105" i="48"/>
  <c r="DE1298" i="48"/>
  <c r="DE1292" i="48"/>
  <c r="DE242" i="48"/>
  <c r="DE668" i="48"/>
  <c r="DE1254" i="48"/>
  <c r="DE319" i="48"/>
  <c r="DE1109" i="48"/>
  <c r="DE146" i="48"/>
  <c r="DE823" i="48"/>
  <c r="DE238" i="48"/>
  <c r="DE600" i="48"/>
  <c r="DE1182" i="48"/>
  <c r="DE343" i="48"/>
  <c r="DE92" i="48"/>
  <c r="DE486" i="48"/>
  <c r="DE392" i="48"/>
  <c r="DE693" i="48"/>
  <c r="DE1083" i="48"/>
  <c r="DE196" i="48"/>
  <c r="DE414" i="48"/>
  <c r="DE934" i="48"/>
  <c r="DE1152" i="48"/>
  <c r="DE1064" i="48"/>
  <c r="DE986" i="48"/>
  <c r="DE675" i="48"/>
  <c r="DE1004" i="48"/>
  <c r="DE655" i="48"/>
  <c r="DE1078" i="48"/>
  <c r="DE298" i="48"/>
  <c r="DE890" i="48"/>
  <c r="DE730" i="48"/>
  <c r="DE970" i="48"/>
  <c r="DE795" i="48"/>
  <c r="DE1162" i="48"/>
  <c r="DE891" i="48"/>
  <c r="DE534" i="48"/>
  <c r="DE511" i="48"/>
  <c r="DE553" i="48"/>
  <c r="DE651" i="48"/>
  <c r="DE147" i="48"/>
  <c r="DE884" i="48"/>
  <c r="DE671" i="48"/>
  <c r="DE898" i="48"/>
  <c r="DE188" i="48"/>
  <c r="DE888" i="48"/>
  <c r="DE241" i="48"/>
  <c r="DE1131" i="48"/>
  <c r="DE1085" i="48"/>
  <c r="DE460" i="48"/>
  <c r="DE405" i="48"/>
  <c r="DE1079" i="48"/>
  <c r="DE261" i="48"/>
  <c r="DE650" i="48"/>
  <c r="DE909" i="48"/>
  <c r="DE103" i="48"/>
  <c r="DE1100" i="48"/>
  <c r="DE583" i="48"/>
  <c r="DE455" i="48"/>
  <c r="DE850" i="48"/>
  <c r="DE633" i="48"/>
  <c r="DE742" i="48"/>
  <c r="DE865" i="48"/>
  <c r="DE123" i="48"/>
  <c r="DE994" i="48"/>
  <c r="DE236" i="48"/>
  <c r="DE573" i="48"/>
  <c r="DE1103" i="48"/>
  <c r="DE728" i="48"/>
  <c r="DE623" i="48"/>
  <c r="DE1316" i="48"/>
  <c r="DE1207" i="48"/>
  <c r="DE657" i="48"/>
  <c r="DE503" i="48"/>
  <c r="DE821" i="48"/>
  <c r="DE440" i="48"/>
  <c r="DE1323" i="48"/>
  <c r="DE1126" i="48"/>
  <c r="DE1281" i="48"/>
  <c r="DE459" i="48"/>
  <c r="DE365" i="48"/>
  <c r="DE129" i="48"/>
  <c r="DE982" i="48"/>
  <c r="DE597" i="48"/>
  <c r="DE408" i="48"/>
  <c r="DE142" i="48"/>
  <c r="DE797" i="48"/>
  <c r="DE1183" i="48"/>
  <c r="DE153" i="48"/>
  <c r="DE773" i="48"/>
  <c r="DE654" i="48"/>
  <c r="DE838" i="48"/>
  <c r="DE550" i="48"/>
  <c r="DE508" i="48"/>
  <c r="DE1231" i="48"/>
  <c r="DE774" i="48"/>
  <c r="DE962" i="48"/>
  <c r="DE240" i="48"/>
  <c r="DE1054" i="48"/>
  <c r="DE214" i="48"/>
  <c r="DE609" i="48"/>
  <c r="DE171" i="48"/>
  <c r="DE922" i="48"/>
  <c r="DE1224" i="48"/>
  <c r="DE1232" i="48"/>
  <c r="DE1038" i="48"/>
  <c r="DE777" i="48"/>
  <c r="DE868" i="48"/>
  <c r="DE1256" i="48"/>
  <c r="DE297" i="48"/>
  <c r="DE607" i="48"/>
  <c r="DE849" i="48"/>
  <c r="DE387" i="48"/>
  <c r="DE1154" i="48"/>
  <c r="DE1295" i="48"/>
  <c r="DE697" i="48"/>
  <c r="DE512" i="48"/>
  <c r="DE362" i="48"/>
  <c r="DE840" i="48"/>
  <c r="DE1186" i="48"/>
  <c r="DE291" i="48"/>
  <c r="DE484" i="48"/>
  <c r="DE462" i="48"/>
  <c r="DE549" i="48"/>
  <c r="DE768" i="48"/>
  <c r="DE295" i="48"/>
  <c r="DE705" i="48"/>
  <c r="DE1225" i="48"/>
  <c r="DE1326" i="48"/>
  <c r="DE1269" i="48"/>
  <c r="DE125" i="48"/>
  <c r="DE481" i="48"/>
  <c r="DE1228" i="48"/>
  <c r="DE1270" i="48"/>
  <c r="DE145" i="48"/>
  <c r="DE437" i="48"/>
  <c r="DE606" i="48"/>
  <c r="DE839" i="48"/>
  <c r="DE271" i="48"/>
  <c r="DE289" i="48"/>
  <c r="DE867" i="48"/>
  <c r="DE1280" i="48"/>
  <c r="DE1104" i="48"/>
  <c r="DE988" i="48"/>
  <c r="DE770" i="48"/>
  <c r="DE119" i="48"/>
  <c r="DE1081" i="48"/>
  <c r="DE1125" i="48"/>
  <c r="DE100" i="48"/>
  <c r="DE346" i="48"/>
  <c r="DE796" i="48"/>
  <c r="DE965" i="48"/>
  <c r="DE487" i="48"/>
  <c r="DE1255" i="48"/>
  <c r="DE342" i="48"/>
  <c r="DE143" i="48"/>
  <c r="DE981" i="48"/>
  <c r="DE1272" i="48"/>
  <c r="DE741" i="48"/>
  <c r="DE1013" i="48"/>
  <c r="DE894" i="48"/>
  <c r="DE895" i="48"/>
  <c r="DE963" i="48"/>
  <c r="DE410" i="48"/>
  <c r="DE483" i="48"/>
  <c r="DE1149" i="48"/>
  <c r="DE1221" i="48"/>
  <c r="DE1223" i="48"/>
  <c r="DE788" i="48"/>
  <c r="DE984" i="48"/>
  <c r="DE552" i="48"/>
  <c r="DE1306" i="48"/>
  <c r="DE216" i="48"/>
  <c r="DE1089" i="48"/>
  <c r="DE165" i="48"/>
  <c r="DE1185" i="48"/>
  <c r="DE526" i="48"/>
  <c r="DE584" i="48"/>
  <c r="DE177" i="48"/>
  <c r="DE695" i="48"/>
  <c r="DE1014" i="48"/>
  <c r="DE339" i="48"/>
  <c r="DE778" i="48"/>
  <c r="DE874" i="48"/>
  <c r="DE452" i="48"/>
  <c r="DE322" i="48"/>
  <c r="DE562" i="48"/>
  <c r="DE501" i="48"/>
  <c r="DE873" i="48"/>
  <c r="DE1205" i="48"/>
  <c r="DE269" i="48"/>
  <c r="DE674" i="48"/>
  <c r="DE530" i="48"/>
  <c r="DE893" i="48"/>
  <c r="DE431" i="48"/>
  <c r="DE525" i="48"/>
  <c r="DE677" i="48"/>
  <c r="DE292" i="48"/>
  <c r="DE290" i="48"/>
  <c r="DE141" i="48"/>
  <c r="DE514" i="48"/>
  <c r="DE1278" i="48"/>
  <c r="DE293" i="48"/>
  <c r="DE887" i="48"/>
  <c r="DE1302" i="48"/>
  <c r="DE672" i="48"/>
  <c r="DE1101" i="48"/>
  <c r="DE1299" i="48"/>
  <c r="DE1029" i="48"/>
  <c r="DE150" i="48"/>
  <c r="DE745" i="48"/>
  <c r="DE417" i="48"/>
  <c r="DE274" i="48"/>
  <c r="DE284" i="48"/>
  <c r="DE646" i="48"/>
  <c r="DE935" i="48"/>
  <c r="DE872" i="48"/>
  <c r="DE915" i="48"/>
  <c r="DE413" i="48"/>
  <c r="DE1042" i="48"/>
  <c r="DE753" i="48"/>
  <c r="DE189" i="48"/>
  <c r="DE219" i="48"/>
  <c r="DE625" i="48"/>
  <c r="DE748" i="48"/>
  <c r="DE502" i="48"/>
  <c r="DE1008" i="48"/>
  <c r="DE316" i="48"/>
  <c r="DE1282" i="48"/>
  <c r="DE126" i="48"/>
  <c r="DE360" i="48"/>
  <c r="DE310" i="48"/>
  <c r="DE1178" i="48"/>
  <c r="DE555" i="48"/>
  <c r="DE1056" i="48"/>
  <c r="DE191" i="48"/>
  <c r="DE1303" i="48"/>
  <c r="DE1039" i="48"/>
  <c r="DE1222" i="48"/>
  <c r="DE246" i="48"/>
  <c r="DE212" i="48"/>
  <c r="DE956" i="48"/>
  <c r="DE1198" i="48"/>
  <c r="DE908" i="48"/>
  <c r="DE273" i="48"/>
  <c r="DE1173" i="48"/>
  <c r="DE1030" i="48"/>
  <c r="DE764" i="48"/>
  <c r="DE200" i="48"/>
  <c r="DE120" i="48"/>
  <c r="DE99" i="48"/>
  <c r="DE95" i="48"/>
  <c r="DE754" i="48"/>
  <c r="DE1076" i="48"/>
  <c r="DE819" i="48"/>
  <c r="DE76" i="48"/>
  <c r="DE75" i="48"/>
  <c r="DE81" i="48"/>
  <c r="DE73" i="48"/>
  <c r="DE77" i="48"/>
  <c r="DE69" i="48"/>
  <c r="DE74" i="48"/>
  <c r="DE70" i="48"/>
  <c r="DE71" i="48"/>
  <c r="DE68" i="48"/>
  <c r="DE79" i="48"/>
  <c r="DE72" i="48"/>
  <c r="DE80" i="48"/>
  <c r="DE82" i="48"/>
  <c r="DE78" i="48"/>
  <c r="DE58" i="48"/>
  <c r="DE51" i="48"/>
  <c r="DE52" i="48"/>
  <c r="DE48" i="48"/>
  <c r="DE53" i="48"/>
  <c r="DE47" i="48"/>
  <c r="DE50" i="48"/>
  <c r="DE55" i="48"/>
  <c r="DE49" i="48"/>
  <c r="DE45" i="48"/>
  <c r="DE44" i="48"/>
  <c r="DE57" i="48"/>
  <c r="DE54" i="48"/>
  <c r="DE46" i="48"/>
  <c r="DE56" i="48"/>
  <c r="DX36" i="48"/>
  <c r="DZ36" i="48"/>
  <c r="EB36" i="48"/>
  <c r="ED36" i="48"/>
  <c r="EF36" i="48"/>
  <c r="DX37" i="48"/>
  <c r="DZ37" i="48"/>
  <c r="EB37" i="48"/>
  <c r="ED37" i="48"/>
  <c r="EF37" i="48"/>
  <c r="DX38" i="48"/>
  <c r="DZ38" i="48"/>
  <c r="EB38" i="48"/>
  <c r="ED38" i="48"/>
  <c r="EF38" i="48"/>
  <c r="DX39" i="48"/>
  <c r="DZ39" i="48"/>
  <c r="EB39" i="48"/>
  <c r="ED39" i="48"/>
  <c r="EF39" i="48"/>
  <c r="DX40" i="48"/>
  <c r="DZ40" i="48"/>
  <c r="EB40" i="48"/>
  <c r="ED40" i="48"/>
  <c r="EF40" i="48"/>
  <c r="DX41" i="48"/>
  <c r="DZ41" i="48"/>
  <c r="EB41" i="48"/>
  <c r="ED41" i="48"/>
  <c r="EF41" i="48"/>
  <c r="DX42" i="48"/>
  <c r="DZ42" i="48"/>
  <c r="EB42" i="48"/>
  <c r="ED42" i="48"/>
  <c r="EF42" i="48"/>
  <c r="DX43" i="48"/>
  <c r="DZ43" i="48"/>
  <c r="EB43" i="48"/>
  <c r="ED43" i="48"/>
  <c r="EF43" i="48"/>
  <c r="DX44" i="48"/>
  <c r="DZ44" i="48"/>
  <c r="EB44" i="48"/>
  <c r="ED44" i="48"/>
  <c r="EF44" i="48"/>
  <c r="DX45" i="48"/>
  <c r="DZ45" i="48"/>
  <c r="EB45" i="48"/>
  <c r="ED45" i="48"/>
  <c r="EF45" i="48"/>
  <c r="DX46" i="48"/>
  <c r="DZ46" i="48"/>
  <c r="EB46" i="48"/>
  <c r="ED46" i="48"/>
  <c r="EF46" i="48"/>
  <c r="DX47" i="48"/>
  <c r="DZ47" i="48"/>
  <c r="EB47" i="48"/>
  <c r="ED47" i="48"/>
  <c r="EF47" i="48"/>
  <c r="DX48" i="48"/>
  <c r="DZ48" i="48"/>
  <c r="EB48" i="48"/>
  <c r="ED48" i="48"/>
  <c r="EF48" i="48"/>
  <c r="DX49" i="48"/>
  <c r="DZ49" i="48"/>
  <c r="EB49" i="48"/>
  <c r="ED49" i="48"/>
  <c r="EF49" i="48"/>
  <c r="DX50" i="48"/>
  <c r="DZ50" i="48"/>
  <c r="EB50" i="48"/>
  <c r="ED50" i="48"/>
  <c r="EF50" i="48"/>
  <c r="DX51" i="48"/>
  <c r="DZ51" i="48"/>
  <c r="EB51" i="48"/>
  <c r="ED51" i="48"/>
  <c r="EF51" i="48"/>
  <c r="DX52" i="48"/>
  <c r="DZ52" i="48"/>
  <c r="EB52" i="48"/>
  <c r="ED52" i="48"/>
  <c r="EF52" i="48"/>
  <c r="DX53" i="48"/>
  <c r="DZ53" i="48"/>
  <c r="EB53" i="48"/>
  <c r="ED53" i="48"/>
  <c r="EF53" i="48"/>
  <c r="DX54" i="48"/>
  <c r="DZ54" i="48"/>
  <c r="EB54" i="48"/>
  <c r="ED54" i="48"/>
  <c r="EF54" i="48"/>
  <c r="DX55" i="48"/>
  <c r="DZ55" i="48"/>
  <c r="EB55" i="48"/>
  <c r="ED55" i="48"/>
  <c r="EF55" i="48"/>
  <c r="DX56" i="48"/>
  <c r="DZ56" i="48"/>
  <c r="EB56" i="48"/>
  <c r="ED56" i="48"/>
  <c r="EF56" i="48"/>
  <c r="DX57" i="48"/>
  <c r="DZ57" i="48"/>
  <c r="EB57" i="48"/>
  <c r="ED57" i="48"/>
  <c r="EF57" i="48"/>
  <c r="DX58" i="48"/>
  <c r="DZ58" i="48"/>
  <c r="EB58" i="48"/>
  <c r="ED58" i="48"/>
  <c r="EF58" i="48"/>
  <c r="DX60" i="48"/>
  <c r="DZ60" i="48"/>
  <c r="EB60" i="48"/>
  <c r="ED60" i="48"/>
  <c r="EF60" i="48"/>
  <c r="DX61" i="48"/>
  <c r="DZ61" i="48"/>
  <c r="EB61" i="48"/>
  <c r="ED61" i="48"/>
  <c r="EF61" i="48"/>
  <c r="DX62" i="48"/>
  <c r="DZ62" i="48"/>
  <c r="EB62" i="48"/>
  <c r="ED62" i="48"/>
  <c r="EF62" i="48"/>
  <c r="DX63" i="48"/>
  <c r="DZ63" i="48"/>
  <c r="EB63" i="48"/>
  <c r="ED63" i="48"/>
  <c r="EF63" i="48"/>
  <c r="DX64" i="48"/>
  <c r="DZ64" i="48"/>
  <c r="EB64" i="48"/>
  <c r="ED64" i="48"/>
  <c r="EF64" i="48"/>
  <c r="DX65" i="48"/>
  <c r="DZ65" i="48"/>
  <c r="EB65" i="48"/>
  <c r="ED65" i="48"/>
  <c r="EF65" i="48"/>
  <c r="DX66" i="48"/>
  <c r="DZ66" i="48"/>
  <c r="EB66" i="48"/>
  <c r="ED66" i="48"/>
  <c r="EF66" i="48"/>
  <c r="DX67" i="48"/>
  <c r="DZ67" i="48"/>
  <c r="EB67" i="48"/>
  <c r="ED67" i="48"/>
  <c r="EF67" i="48"/>
  <c r="DX68" i="48"/>
  <c r="DZ68" i="48"/>
  <c r="EB68" i="48"/>
  <c r="ED68" i="48"/>
  <c r="EF68" i="48"/>
  <c r="DX69" i="48"/>
  <c r="DZ69" i="48"/>
  <c r="EB69" i="48"/>
  <c r="ED69" i="48"/>
  <c r="EF69" i="48"/>
  <c r="DX70" i="48"/>
  <c r="DZ70" i="48"/>
  <c r="EB70" i="48"/>
  <c r="ED70" i="48"/>
  <c r="EF70" i="48"/>
  <c r="DX71" i="48"/>
  <c r="DZ71" i="48"/>
  <c r="EB71" i="48"/>
  <c r="ED71" i="48"/>
  <c r="EF71" i="48"/>
  <c r="DX72" i="48"/>
  <c r="DZ72" i="48"/>
  <c r="EB72" i="48"/>
  <c r="ED72" i="48"/>
  <c r="EF72" i="48"/>
  <c r="DX73" i="48"/>
  <c r="DZ73" i="48"/>
  <c r="EB73" i="48"/>
  <c r="ED73" i="48"/>
  <c r="EF73" i="48"/>
  <c r="DX74" i="48"/>
  <c r="DZ74" i="48"/>
  <c r="EB74" i="48"/>
  <c r="ED74" i="48"/>
  <c r="EF74" i="48"/>
  <c r="DX75" i="48"/>
  <c r="DZ75" i="48"/>
  <c r="EB75" i="48"/>
  <c r="ED75" i="48"/>
  <c r="EF75" i="48"/>
  <c r="DX76" i="48"/>
  <c r="DZ76" i="48"/>
  <c r="EB76" i="48"/>
  <c r="ED76" i="48"/>
  <c r="EF76" i="48"/>
  <c r="DX77" i="48"/>
  <c r="DZ77" i="48"/>
  <c r="EB77" i="48"/>
  <c r="ED77" i="48"/>
  <c r="EF77" i="48"/>
  <c r="DX78" i="48"/>
  <c r="DZ78" i="48"/>
  <c r="EB78" i="48"/>
  <c r="ED78" i="48"/>
  <c r="EF78" i="48"/>
  <c r="DX79" i="48"/>
  <c r="DZ79" i="48"/>
  <c r="EB79" i="48"/>
  <c r="ED79" i="48"/>
  <c r="EF79" i="48"/>
  <c r="DX80" i="48"/>
  <c r="DZ80" i="48"/>
  <c r="EB80" i="48"/>
  <c r="ED80" i="48"/>
  <c r="EF80" i="48"/>
  <c r="DX81" i="48"/>
  <c r="DZ81" i="48"/>
  <c r="EB81" i="48"/>
  <c r="ED81" i="48"/>
  <c r="EF81" i="48"/>
  <c r="DX82" i="48"/>
  <c r="DZ82" i="48"/>
  <c r="EB82" i="48"/>
  <c r="ED82" i="48"/>
  <c r="EF82" i="48"/>
  <c r="DX84" i="48"/>
  <c r="DZ84" i="48"/>
  <c r="EB84" i="48"/>
  <c r="ED84" i="48"/>
  <c r="EF84" i="48"/>
  <c r="DX85" i="48"/>
  <c r="DZ85" i="48"/>
  <c r="EB85" i="48"/>
  <c r="ED85" i="48"/>
  <c r="EF85" i="48"/>
  <c r="DX86" i="48"/>
  <c r="DZ86" i="48"/>
  <c r="EB86" i="48"/>
  <c r="ED86" i="48"/>
  <c r="EF86" i="48"/>
  <c r="DX87" i="48"/>
  <c r="DZ87" i="48"/>
  <c r="EB87" i="48"/>
  <c r="ED87" i="48"/>
  <c r="EF87" i="48"/>
  <c r="DX88" i="48"/>
  <c r="DZ88" i="48"/>
  <c r="EB88" i="48"/>
  <c r="ED88" i="48"/>
  <c r="EF88" i="48"/>
  <c r="DV94" i="48"/>
  <c r="Q1329" i="48"/>
  <c r="Q1090" i="48"/>
  <c r="Q1066" i="48"/>
  <c r="Q1042" i="48"/>
  <c r="Q946" i="48"/>
  <c r="Q690" i="48"/>
  <c r="Q370" i="48"/>
  <c r="Q369" i="48"/>
  <c r="Q322" i="48"/>
  <c r="Q321" i="48"/>
  <c r="Q320" i="48"/>
  <c r="Q319" i="48"/>
  <c r="Q318" i="48"/>
  <c r="Q317" i="48"/>
  <c r="Q316" i="48"/>
  <c r="Q315" i="48"/>
  <c r="Q314" i="48"/>
  <c r="Q313" i="48"/>
  <c r="Q312" i="48"/>
  <c r="Q311" i="48"/>
  <c r="Q310" i="48"/>
  <c r="Q309" i="48"/>
  <c r="Q308" i="48"/>
  <c r="Q307" i="48"/>
  <c r="Q306" i="48"/>
  <c r="Q298" i="48"/>
  <c r="Q297" i="48"/>
  <c r="Q296" i="48"/>
  <c r="Q295" i="48"/>
  <c r="Q294" i="48"/>
  <c r="Q293" i="48"/>
  <c r="Q292" i="48"/>
  <c r="Q291" i="48"/>
  <c r="Q290" i="48"/>
  <c r="Q289" i="48"/>
  <c r="Q288" i="48"/>
  <c r="Q287" i="48"/>
  <c r="Q286" i="48"/>
  <c r="Q285" i="48"/>
  <c r="Q284" i="48"/>
  <c r="Q283" i="48"/>
  <c r="Q282" i="48"/>
  <c r="Q274" i="48"/>
  <c r="Q258" i="48"/>
  <c r="Q202" i="48"/>
  <c r="Q186" i="48"/>
  <c r="Q178" i="48"/>
  <c r="Q138" i="48"/>
  <c r="DP58" i="48"/>
  <c r="DP57" i="48"/>
  <c r="DP56" i="48"/>
  <c r="DP55" i="48"/>
  <c r="DP54" i="48"/>
  <c r="DP53" i="48"/>
  <c r="DP52" i="48"/>
  <c r="DP51" i="48"/>
  <c r="DP50" i="48"/>
  <c r="DP49" i="48"/>
  <c r="DP48" i="48"/>
  <c r="DP47" i="48"/>
  <c r="DP46" i="48"/>
  <c r="DP45" i="48"/>
  <c r="DP44" i="48"/>
  <c r="DP43" i="48"/>
  <c r="DP42" i="48"/>
  <c r="DP41" i="48"/>
  <c r="DP40" i="48"/>
  <c r="DP39" i="48"/>
  <c r="DP38" i="48"/>
  <c r="DP37" i="48"/>
  <c r="BT1330" i="48"/>
  <c r="BS1330" i="48"/>
  <c r="BT1329" i="48"/>
  <c r="BS1329" i="48"/>
  <c r="AZ1329" i="48"/>
  <c r="BT1328" i="48"/>
  <c r="BS1328" i="48"/>
  <c r="AZ1328" i="48"/>
  <c r="P1328" i="48"/>
  <c r="J1328" i="48"/>
  <c r="BT1327" i="48"/>
  <c r="BS1327" i="48"/>
  <c r="AZ1327" i="48"/>
  <c r="P1327" i="48"/>
  <c r="J1327" i="48"/>
  <c r="BT1326" i="48"/>
  <c r="BS1326" i="48"/>
  <c r="AZ1326" i="48"/>
  <c r="P1326" i="48"/>
  <c r="J1326" i="48"/>
  <c r="BT1325" i="48"/>
  <c r="BS1325" i="48"/>
  <c r="AZ1325" i="48"/>
  <c r="P1325" i="48"/>
  <c r="J1325" i="48"/>
  <c r="BT1324" i="48"/>
  <c r="BS1324" i="48"/>
  <c r="AZ1324" i="48"/>
  <c r="P1324" i="48"/>
  <c r="J1324" i="48"/>
  <c r="BT1323" i="48"/>
  <c r="BS1323" i="48"/>
  <c r="AZ1323" i="48"/>
  <c r="P1323" i="48"/>
  <c r="J1323" i="48"/>
  <c r="BT1322" i="48"/>
  <c r="BS1322" i="48"/>
  <c r="AZ1322" i="48"/>
  <c r="P1322" i="48"/>
  <c r="J1322" i="48"/>
  <c r="BT1321" i="48"/>
  <c r="BS1321" i="48"/>
  <c r="AZ1321" i="48"/>
  <c r="P1321" i="48"/>
  <c r="J1321" i="48"/>
  <c r="BT1320" i="48"/>
  <c r="BS1320" i="48"/>
  <c r="AZ1320" i="48"/>
  <c r="P1320" i="48"/>
  <c r="J1320" i="48"/>
  <c r="BT1319" i="48"/>
  <c r="BS1319" i="48"/>
  <c r="AZ1319" i="48"/>
  <c r="P1319" i="48"/>
  <c r="J1319" i="48"/>
  <c r="BT1318" i="48"/>
  <c r="BS1318" i="48"/>
  <c r="AZ1318" i="48"/>
  <c r="P1318" i="48"/>
  <c r="J1318" i="48"/>
  <c r="BT1317" i="48"/>
  <c r="BS1317" i="48"/>
  <c r="AZ1317" i="48"/>
  <c r="P1317" i="48"/>
  <c r="J1317" i="48"/>
  <c r="BT1316" i="48"/>
  <c r="BS1316" i="48"/>
  <c r="AZ1316" i="48"/>
  <c r="P1316" i="48"/>
  <c r="J1316" i="48"/>
  <c r="BT1315" i="48"/>
  <c r="BS1315" i="48"/>
  <c r="AZ1315" i="48"/>
  <c r="P1315" i="48"/>
  <c r="J1315" i="48"/>
  <c r="BT1314" i="48"/>
  <c r="BS1314" i="48"/>
  <c r="AZ1314" i="48"/>
  <c r="P1314" i="48"/>
  <c r="J1314" i="48"/>
  <c r="BT1313" i="48"/>
  <c r="BS1313" i="48"/>
  <c r="AZ1313" i="48"/>
  <c r="BT1312" i="48"/>
  <c r="BS1312" i="48"/>
  <c r="AZ1312" i="48"/>
  <c r="BT1311" i="48"/>
  <c r="BS1311" i="48"/>
  <c r="AZ1311" i="48"/>
  <c r="BT1310" i="48"/>
  <c r="BS1310" i="48"/>
  <c r="AZ1310" i="48"/>
  <c r="BT1309" i="48"/>
  <c r="BS1309" i="48"/>
  <c r="AZ1309" i="48"/>
  <c r="BT1308" i="48"/>
  <c r="BS1308" i="48"/>
  <c r="BU1308" i="48"/>
  <c r="AZ1308" i="48"/>
  <c r="BT1306" i="48"/>
  <c r="BS1306" i="48"/>
  <c r="AZ1306" i="48"/>
  <c r="P1306" i="48"/>
  <c r="J1306" i="48"/>
  <c r="BT1305" i="48"/>
  <c r="BS1305" i="48"/>
  <c r="AZ1305" i="48"/>
  <c r="P1305" i="48"/>
  <c r="J1305" i="48"/>
  <c r="BT1304" i="48"/>
  <c r="BS1304" i="48"/>
  <c r="AZ1304" i="48"/>
  <c r="P1304" i="48"/>
  <c r="J1304" i="48"/>
  <c r="BT1303" i="48"/>
  <c r="BS1303" i="48"/>
  <c r="AZ1303" i="48"/>
  <c r="P1303" i="48"/>
  <c r="J1303" i="48"/>
  <c r="BT1302" i="48"/>
  <c r="BS1302" i="48"/>
  <c r="AZ1302" i="48"/>
  <c r="P1302" i="48"/>
  <c r="J1302" i="48"/>
  <c r="BT1301" i="48"/>
  <c r="BS1301" i="48"/>
  <c r="AZ1301" i="48"/>
  <c r="P1301" i="48"/>
  <c r="J1301" i="48"/>
  <c r="BT1300" i="48"/>
  <c r="BS1300" i="48"/>
  <c r="AZ1300" i="48"/>
  <c r="P1300" i="48"/>
  <c r="J1300" i="48"/>
  <c r="BT1299" i="48"/>
  <c r="BS1299" i="48"/>
  <c r="AZ1299" i="48"/>
  <c r="P1299" i="48"/>
  <c r="J1299" i="48"/>
  <c r="BT1298" i="48"/>
  <c r="BS1298" i="48"/>
  <c r="AZ1298" i="48"/>
  <c r="P1298" i="48"/>
  <c r="J1298" i="48"/>
  <c r="BT1297" i="48"/>
  <c r="BS1297" i="48"/>
  <c r="AZ1297" i="48"/>
  <c r="P1297" i="48"/>
  <c r="J1297" i="48"/>
  <c r="BT1296" i="48"/>
  <c r="BS1296" i="48"/>
  <c r="AZ1296" i="48"/>
  <c r="P1296" i="48"/>
  <c r="J1296" i="48"/>
  <c r="BT1295" i="48"/>
  <c r="BS1295" i="48"/>
  <c r="AZ1295" i="48"/>
  <c r="P1295" i="48"/>
  <c r="J1295" i="48"/>
  <c r="BT1294" i="48"/>
  <c r="BS1294" i="48"/>
  <c r="AZ1294" i="48"/>
  <c r="P1294" i="48"/>
  <c r="J1294" i="48"/>
  <c r="BT1293" i="48"/>
  <c r="BS1293" i="48"/>
  <c r="AZ1293" i="48"/>
  <c r="P1293" i="48"/>
  <c r="J1293" i="48"/>
  <c r="AZ1292" i="48"/>
  <c r="P1292" i="48"/>
  <c r="J1292" i="48"/>
  <c r="BT1291" i="48"/>
  <c r="BS1291" i="48"/>
  <c r="AZ1291" i="48"/>
  <c r="P1291" i="48"/>
  <c r="J1291" i="48"/>
  <c r="BT1290" i="48"/>
  <c r="BS1290" i="48"/>
  <c r="AZ1290" i="48"/>
  <c r="P1290" i="48"/>
  <c r="J1290" i="48"/>
  <c r="BT1289" i="48"/>
  <c r="BS1289" i="48"/>
  <c r="AZ1289" i="48"/>
  <c r="BT1288" i="48"/>
  <c r="BS1288" i="48"/>
  <c r="AZ1288" i="48"/>
  <c r="BT1287" i="48"/>
  <c r="BS1287" i="48"/>
  <c r="AZ1287" i="48"/>
  <c r="BT1286" i="48"/>
  <c r="BS1286" i="48"/>
  <c r="AZ1286" i="48"/>
  <c r="BT1285" i="48"/>
  <c r="BS1285" i="48"/>
  <c r="AZ1285" i="48"/>
  <c r="BT1284" i="48"/>
  <c r="BS1284" i="48"/>
  <c r="BU1284" i="48"/>
  <c r="AZ1284" i="48"/>
  <c r="BT1282" i="48"/>
  <c r="BS1282" i="48"/>
  <c r="AZ1282" i="48"/>
  <c r="P1282" i="48"/>
  <c r="J1282" i="48"/>
  <c r="BT1281" i="48"/>
  <c r="BS1281" i="48"/>
  <c r="AZ1281" i="48"/>
  <c r="P1281" i="48"/>
  <c r="J1281" i="48"/>
  <c r="BT1280" i="48"/>
  <c r="BS1280" i="48"/>
  <c r="AZ1280" i="48"/>
  <c r="P1280" i="48"/>
  <c r="J1280" i="48"/>
  <c r="BT1279" i="48"/>
  <c r="BS1279" i="48"/>
  <c r="AZ1279" i="48"/>
  <c r="P1279" i="48"/>
  <c r="J1279" i="48"/>
  <c r="BT1278" i="48"/>
  <c r="BS1278" i="48"/>
  <c r="AZ1278" i="48"/>
  <c r="P1278" i="48"/>
  <c r="J1278" i="48"/>
  <c r="BT1277" i="48"/>
  <c r="BS1277" i="48"/>
  <c r="AZ1277" i="48"/>
  <c r="P1277" i="48"/>
  <c r="J1277" i="48"/>
  <c r="BT1276" i="48"/>
  <c r="BS1276" i="48"/>
  <c r="AZ1276" i="48"/>
  <c r="P1276" i="48"/>
  <c r="J1276" i="48"/>
  <c r="BT1275" i="48"/>
  <c r="BS1275" i="48"/>
  <c r="AZ1275" i="48"/>
  <c r="P1275" i="48"/>
  <c r="J1275" i="48"/>
  <c r="BT1274" i="48"/>
  <c r="BS1274" i="48"/>
  <c r="AZ1274" i="48"/>
  <c r="P1274" i="48"/>
  <c r="J1274" i="48"/>
  <c r="BT1273" i="48"/>
  <c r="BS1273" i="48"/>
  <c r="AZ1273" i="48"/>
  <c r="P1273" i="48"/>
  <c r="J1273" i="48"/>
  <c r="BT1272" i="48"/>
  <c r="BS1272" i="48"/>
  <c r="AZ1272" i="48"/>
  <c r="P1272" i="48"/>
  <c r="J1272" i="48"/>
  <c r="BT1271" i="48"/>
  <c r="BS1271" i="48"/>
  <c r="AZ1271" i="48"/>
  <c r="P1271" i="48"/>
  <c r="J1271" i="48"/>
  <c r="BT1270" i="48"/>
  <c r="BS1270" i="48"/>
  <c r="AZ1270" i="48"/>
  <c r="P1270" i="48"/>
  <c r="J1270" i="48"/>
  <c r="BT1269" i="48"/>
  <c r="BS1269" i="48"/>
  <c r="AZ1269" i="48"/>
  <c r="P1269" i="48"/>
  <c r="J1269" i="48"/>
  <c r="BT1268" i="48"/>
  <c r="BS1268" i="48"/>
  <c r="AZ1268" i="48"/>
  <c r="P1268" i="48"/>
  <c r="J1268" i="48"/>
  <c r="BT1267" i="48"/>
  <c r="BS1267" i="48"/>
  <c r="AZ1267" i="48"/>
  <c r="P1267" i="48"/>
  <c r="J1267" i="48"/>
  <c r="BT1266" i="48"/>
  <c r="BS1266" i="48"/>
  <c r="AZ1266" i="48"/>
  <c r="P1266" i="48"/>
  <c r="J1266" i="48"/>
  <c r="BT1265" i="48"/>
  <c r="BS1265" i="48"/>
  <c r="AZ1265" i="48"/>
  <c r="BT1264" i="48"/>
  <c r="BS1264" i="48"/>
  <c r="AZ1264" i="48"/>
  <c r="BT1263" i="48"/>
  <c r="BS1263" i="48"/>
  <c r="AZ1263" i="48"/>
  <c r="BT1262" i="48"/>
  <c r="BS1262" i="48"/>
  <c r="AZ1262" i="48"/>
  <c r="BT1261" i="48"/>
  <c r="BS1261" i="48"/>
  <c r="AZ1261" i="48"/>
  <c r="BT1260" i="48"/>
  <c r="BS1260" i="48"/>
  <c r="BU1260" i="48"/>
  <c r="AZ1260" i="48"/>
  <c r="BT1258" i="48"/>
  <c r="BS1258" i="48"/>
  <c r="P1258" i="48"/>
  <c r="J1258" i="48"/>
  <c r="BT1257" i="48"/>
  <c r="BS1257" i="48"/>
  <c r="AZ1257" i="48"/>
  <c r="P1257" i="48"/>
  <c r="J1257" i="48"/>
  <c r="BT1256" i="48"/>
  <c r="BS1256" i="48"/>
  <c r="AZ1256" i="48"/>
  <c r="P1256" i="48"/>
  <c r="J1256" i="48"/>
  <c r="BT1255" i="48"/>
  <c r="BS1255" i="48"/>
  <c r="AZ1255" i="48"/>
  <c r="P1255" i="48"/>
  <c r="J1255" i="48"/>
  <c r="BT1254" i="48"/>
  <c r="BS1254" i="48"/>
  <c r="AZ1254" i="48"/>
  <c r="P1254" i="48"/>
  <c r="J1254" i="48"/>
  <c r="BT1253" i="48"/>
  <c r="BS1253" i="48"/>
  <c r="AZ1253" i="48"/>
  <c r="P1253" i="48"/>
  <c r="J1253" i="48"/>
  <c r="BT1252" i="48"/>
  <c r="BS1252" i="48"/>
  <c r="AZ1252" i="48"/>
  <c r="P1252" i="48"/>
  <c r="J1252" i="48"/>
  <c r="BT1251" i="48"/>
  <c r="BS1251" i="48"/>
  <c r="AZ1251" i="48"/>
  <c r="P1251" i="48"/>
  <c r="J1251" i="48"/>
  <c r="BT1250" i="48"/>
  <c r="BS1250" i="48"/>
  <c r="AZ1250" i="48"/>
  <c r="P1250" i="48"/>
  <c r="J1250" i="48"/>
  <c r="BT1249" i="48"/>
  <c r="BS1249" i="48"/>
  <c r="AZ1249" i="48"/>
  <c r="P1249" i="48"/>
  <c r="J1249" i="48"/>
  <c r="BT1248" i="48"/>
  <c r="BS1248" i="48"/>
  <c r="AZ1248" i="48"/>
  <c r="P1248" i="48"/>
  <c r="J1248" i="48"/>
  <c r="BT1247" i="48"/>
  <c r="BS1247" i="48"/>
  <c r="AZ1247" i="48"/>
  <c r="P1247" i="48"/>
  <c r="J1247" i="48"/>
  <c r="BT1246" i="48"/>
  <c r="BS1246" i="48"/>
  <c r="AZ1246" i="48"/>
  <c r="P1246" i="48"/>
  <c r="J1246" i="48"/>
  <c r="BT1245" i="48"/>
  <c r="BS1245" i="48"/>
  <c r="AZ1245" i="48"/>
  <c r="P1245" i="48"/>
  <c r="J1245" i="48"/>
  <c r="BT1244" i="48"/>
  <c r="BS1244" i="48"/>
  <c r="AZ1244" i="48"/>
  <c r="P1244" i="48"/>
  <c r="J1244" i="48"/>
  <c r="BT1243" i="48"/>
  <c r="BS1243" i="48"/>
  <c r="AZ1243" i="48"/>
  <c r="P1243" i="48"/>
  <c r="J1243" i="48"/>
  <c r="BT1242" i="48"/>
  <c r="BS1242" i="48"/>
  <c r="AZ1242" i="48"/>
  <c r="P1242" i="48"/>
  <c r="J1242" i="48"/>
  <c r="BT1241" i="48"/>
  <c r="BS1241" i="48"/>
  <c r="AZ1241" i="48"/>
  <c r="BT1240" i="48"/>
  <c r="BS1240" i="48"/>
  <c r="AZ1240" i="48"/>
  <c r="BT1239" i="48"/>
  <c r="BS1239" i="48"/>
  <c r="AZ1239" i="48"/>
  <c r="BT1238" i="48"/>
  <c r="BS1238" i="48"/>
  <c r="AZ1238" i="48"/>
  <c r="BT1237" i="48"/>
  <c r="BS1237" i="48"/>
  <c r="AZ1237" i="48"/>
  <c r="BT1236" i="48"/>
  <c r="BS1236" i="48"/>
  <c r="BU1236" i="48"/>
  <c r="AZ1236" i="48"/>
  <c r="BT1234" i="48"/>
  <c r="BS1234" i="48"/>
  <c r="P1234" i="48"/>
  <c r="J1234" i="48"/>
  <c r="BT1233" i="48"/>
  <c r="BS1233" i="48"/>
  <c r="AZ1233" i="48"/>
  <c r="P1233" i="48"/>
  <c r="J1233" i="48"/>
  <c r="BT1232" i="48"/>
  <c r="BS1232" i="48"/>
  <c r="AZ1232" i="48"/>
  <c r="P1232" i="48"/>
  <c r="J1232" i="48"/>
  <c r="BT1231" i="48"/>
  <c r="BS1231" i="48"/>
  <c r="AZ1231" i="48"/>
  <c r="P1231" i="48"/>
  <c r="J1231" i="48"/>
  <c r="BT1230" i="48"/>
  <c r="BS1230" i="48"/>
  <c r="AZ1230" i="48"/>
  <c r="P1230" i="48"/>
  <c r="J1230" i="48"/>
  <c r="BT1229" i="48"/>
  <c r="BS1229" i="48"/>
  <c r="AZ1229" i="48"/>
  <c r="P1229" i="48"/>
  <c r="J1229" i="48"/>
  <c r="BT1228" i="48"/>
  <c r="BS1228" i="48"/>
  <c r="AZ1228" i="48"/>
  <c r="P1228" i="48"/>
  <c r="J1228" i="48"/>
  <c r="BT1227" i="48"/>
  <c r="BS1227" i="48"/>
  <c r="AZ1227" i="48"/>
  <c r="P1227" i="48"/>
  <c r="J1227" i="48"/>
  <c r="BT1226" i="48"/>
  <c r="BS1226" i="48"/>
  <c r="AZ1226" i="48"/>
  <c r="P1226" i="48"/>
  <c r="J1226" i="48"/>
  <c r="BT1225" i="48"/>
  <c r="BS1225" i="48"/>
  <c r="AZ1225" i="48"/>
  <c r="P1225" i="48"/>
  <c r="J1225" i="48"/>
  <c r="BT1224" i="48"/>
  <c r="BS1224" i="48"/>
  <c r="AZ1224" i="48"/>
  <c r="P1224" i="48"/>
  <c r="J1224" i="48"/>
  <c r="BT1223" i="48"/>
  <c r="BS1223" i="48"/>
  <c r="AZ1223" i="48"/>
  <c r="P1223" i="48"/>
  <c r="J1223" i="48"/>
  <c r="BT1222" i="48"/>
  <c r="BS1222" i="48"/>
  <c r="AZ1222" i="48"/>
  <c r="P1222" i="48"/>
  <c r="J1222" i="48"/>
  <c r="BT1221" i="48"/>
  <c r="BS1221" i="48"/>
  <c r="AZ1221" i="48"/>
  <c r="P1221" i="48"/>
  <c r="J1221" i="48"/>
  <c r="BT1220" i="48"/>
  <c r="BS1220" i="48"/>
  <c r="AZ1220" i="48"/>
  <c r="P1220" i="48"/>
  <c r="J1220" i="48"/>
  <c r="BT1219" i="48"/>
  <c r="BS1219" i="48"/>
  <c r="AZ1219" i="48"/>
  <c r="P1219" i="48"/>
  <c r="J1219" i="48"/>
  <c r="BT1218" i="48"/>
  <c r="BS1218" i="48"/>
  <c r="AZ1218" i="48"/>
  <c r="P1218" i="48"/>
  <c r="J1218" i="48"/>
  <c r="BT1217" i="48"/>
  <c r="BS1217" i="48"/>
  <c r="AZ1217" i="48"/>
  <c r="BT1216" i="48"/>
  <c r="BS1216" i="48"/>
  <c r="AZ1216" i="48"/>
  <c r="BT1215" i="48"/>
  <c r="BS1215" i="48"/>
  <c r="AZ1215" i="48"/>
  <c r="BT1214" i="48"/>
  <c r="BS1214" i="48"/>
  <c r="AZ1214" i="48"/>
  <c r="BT1213" i="48"/>
  <c r="BS1213" i="48"/>
  <c r="AZ1213" i="48"/>
  <c r="BT1212" i="48"/>
  <c r="BS1212" i="48"/>
  <c r="BU1212" i="48"/>
  <c r="AZ1212" i="48"/>
  <c r="BT1210" i="48"/>
  <c r="BS1210" i="48"/>
  <c r="AZ1210" i="48"/>
  <c r="P1210" i="48"/>
  <c r="J1210" i="48"/>
  <c r="BT1209" i="48"/>
  <c r="BS1209" i="48"/>
  <c r="AZ1209" i="48"/>
  <c r="P1209" i="48"/>
  <c r="J1209" i="48"/>
  <c r="BT1208" i="48"/>
  <c r="BS1208" i="48"/>
  <c r="AZ1208" i="48"/>
  <c r="P1208" i="48"/>
  <c r="J1208" i="48"/>
  <c r="BT1207" i="48"/>
  <c r="BS1207" i="48"/>
  <c r="AZ1207" i="48"/>
  <c r="P1207" i="48"/>
  <c r="J1207" i="48"/>
  <c r="BT1206" i="48"/>
  <c r="BS1206" i="48"/>
  <c r="AZ1206" i="48"/>
  <c r="P1206" i="48"/>
  <c r="J1206" i="48"/>
  <c r="BT1205" i="48"/>
  <c r="BS1205" i="48"/>
  <c r="AZ1205" i="48"/>
  <c r="P1205" i="48"/>
  <c r="J1205" i="48"/>
  <c r="BT1204" i="48"/>
  <c r="BS1204" i="48"/>
  <c r="AZ1204" i="48"/>
  <c r="P1204" i="48"/>
  <c r="J1204" i="48"/>
  <c r="BT1203" i="48"/>
  <c r="BS1203" i="48"/>
  <c r="AZ1203" i="48"/>
  <c r="P1203" i="48"/>
  <c r="J1203" i="48"/>
  <c r="BT1202" i="48"/>
  <c r="BS1202" i="48"/>
  <c r="AZ1202" i="48"/>
  <c r="P1202" i="48"/>
  <c r="J1202" i="48"/>
  <c r="BT1201" i="48"/>
  <c r="BS1201" i="48"/>
  <c r="AZ1201" i="48"/>
  <c r="P1201" i="48"/>
  <c r="J1201" i="48"/>
  <c r="BT1200" i="48"/>
  <c r="BS1200" i="48"/>
  <c r="AZ1200" i="48"/>
  <c r="P1200" i="48"/>
  <c r="J1200" i="48"/>
  <c r="BT1199" i="48"/>
  <c r="BS1199" i="48"/>
  <c r="AZ1199" i="48"/>
  <c r="P1199" i="48"/>
  <c r="J1199" i="48"/>
  <c r="BT1198" i="48"/>
  <c r="BS1198" i="48"/>
  <c r="AZ1198" i="48"/>
  <c r="P1198" i="48"/>
  <c r="J1198" i="48"/>
  <c r="BT1197" i="48"/>
  <c r="BS1197" i="48"/>
  <c r="AZ1197" i="48"/>
  <c r="P1197" i="48"/>
  <c r="J1197" i="48"/>
  <c r="BT1196" i="48"/>
  <c r="BS1196" i="48"/>
  <c r="AZ1196" i="48"/>
  <c r="P1196" i="48"/>
  <c r="J1196" i="48"/>
  <c r="BT1195" i="48"/>
  <c r="BS1195" i="48"/>
  <c r="AZ1195" i="48"/>
  <c r="P1195" i="48"/>
  <c r="J1195" i="48"/>
  <c r="BT1194" i="48"/>
  <c r="BS1194" i="48"/>
  <c r="AZ1194" i="48"/>
  <c r="P1194" i="48"/>
  <c r="J1194" i="48"/>
  <c r="BT1193" i="48"/>
  <c r="BS1193" i="48"/>
  <c r="AZ1193" i="48"/>
  <c r="BT1192" i="48"/>
  <c r="BS1192" i="48"/>
  <c r="AZ1192" i="48"/>
  <c r="BT1191" i="48"/>
  <c r="BS1191" i="48"/>
  <c r="AZ1191" i="48"/>
  <c r="BT1190" i="48"/>
  <c r="BS1190" i="48"/>
  <c r="AZ1190" i="48"/>
  <c r="BT1189" i="48"/>
  <c r="BS1189" i="48"/>
  <c r="AZ1189" i="48"/>
  <c r="BT1188" i="48"/>
  <c r="BS1188" i="48"/>
  <c r="BU1188" i="48"/>
  <c r="AZ1188" i="48"/>
  <c r="BT1186" i="48"/>
  <c r="BS1186" i="48"/>
  <c r="AZ1186" i="48"/>
  <c r="P1186" i="48"/>
  <c r="J1186" i="48"/>
  <c r="BT1185" i="48"/>
  <c r="BS1185" i="48"/>
  <c r="AZ1185" i="48"/>
  <c r="P1185" i="48"/>
  <c r="J1185" i="48"/>
  <c r="BT1184" i="48"/>
  <c r="BS1184" i="48"/>
  <c r="AZ1184" i="48"/>
  <c r="P1184" i="48"/>
  <c r="J1184" i="48"/>
  <c r="BT1183" i="48"/>
  <c r="BS1183" i="48"/>
  <c r="AZ1183" i="48"/>
  <c r="P1183" i="48"/>
  <c r="J1183" i="48"/>
  <c r="BT1182" i="48"/>
  <c r="BS1182" i="48"/>
  <c r="AZ1182" i="48"/>
  <c r="P1182" i="48"/>
  <c r="J1182" i="48"/>
  <c r="BT1181" i="48"/>
  <c r="BS1181" i="48"/>
  <c r="AZ1181" i="48"/>
  <c r="P1181" i="48"/>
  <c r="J1181" i="48"/>
  <c r="BT1180" i="48"/>
  <c r="BS1180" i="48"/>
  <c r="AZ1180" i="48"/>
  <c r="P1180" i="48"/>
  <c r="J1180" i="48"/>
  <c r="BT1179" i="48"/>
  <c r="BS1179" i="48"/>
  <c r="AZ1179" i="48"/>
  <c r="P1179" i="48"/>
  <c r="J1179" i="48"/>
  <c r="BT1178" i="48"/>
  <c r="BS1178" i="48"/>
  <c r="AZ1178" i="48"/>
  <c r="P1178" i="48"/>
  <c r="J1178" i="48"/>
  <c r="BT1177" i="48"/>
  <c r="BS1177" i="48"/>
  <c r="AZ1177" i="48"/>
  <c r="P1177" i="48"/>
  <c r="J1177" i="48"/>
  <c r="BT1176" i="48"/>
  <c r="BS1176" i="48"/>
  <c r="AZ1176" i="48"/>
  <c r="P1176" i="48"/>
  <c r="J1176" i="48"/>
  <c r="BT1175" i="48"/>
  <c r="BS1175" i="48"/>
  <c r="AZ1175" i="48"/>
  <c r="P1175" i="48"/>
  <c r="J1175" i="48"/>
  <c r="BT1174" i="48"/>
  <c r="BS1174" i="48"/>
  <c r="AZ1174" i="48"/>
  <c r="P1174" i="48"/>
  <c r="J1174" i="48"/>
  <c r="BT1173" i="48"/>
  <c r="BS1173" i="48"/>
  <c r="AZ1173" i="48"/>
  <c r="P1173" i="48"/>
  <c r="J1173" i="48"/>
  <c r="BT1172" i="48"/>
  <c r="BS1172" i="48"/>
  <c r="AZ1172" i="48"/>
  <c r="P1172" i="48"/>
  <c r="J1172" i="48"/>
  <c r="BT1171" i="48"/>
  <c r="BS1171" i="48"/>
  <c r="AZ1171" i="48"/>
  <c r="P1171" i="48"/>
  <c r="J1171" i="48"/>
  <c r="BT1170" i="48"/>
  <c r="BS1170" i="48"/>
  <c r="AZ1170" i="48"/>
  <c r="P1170" i="48"/>
  <c r="J1170" i="48"/>
  <c r="BT1169" i="48"/>
  <c r="BS1169" i="48"/>
  <c r="AZ1169" i="48"/>
  <c r="BT1168" i="48"/>
  <c r="BS1168" i="48"/>
  <c r="AZ1168" i="48"/>
  <c r="BT1167" i="48"/>
  <c r="BS1167" i="48"/>
  <c r="AZ1167" i="48"/>
  <c r="BT1166" i="48"/>
  <c r="BS1166" i="48"/>
  <c r="AZ1166" i="48"/>
  <c r="BT1165" i="48"/>
  <c r="BS1165" i="48"/>
  <c r="AZ1165" i="48"/>
  <c r="BT1164" i="48"/>
  <c r="BS1164" i="48"/>
  <c r="BU1164" i="48"/>
  <c r="AZ1164" i="48"/>
  <c r="BT1162" i="48"/>
  <c r="BS1162" i="48"/>
  <c r="AZ1162" i="48"/>
  <c r="AI1162" i="48" s="1"/>
  <c r="P1162" i="48"/>
  <c r="J1162" i="48"/>
  <c r="BT1161" i="48"/>
  <c r="BS1161" i="48"/>
  <c r="AZ1161" i="48"/>
  <c r="P1161" i="48"/>
  <c r="J1161" i="48"/>
  <c r="BT1160" i="48"/>
  <c r="BS1160" i="48"/>
  <c r="AZ1160" i="48"/>
  <c r="P1160" i="48"/>
  <c r="J1160" i="48"/>
  <c r="BT1159" i="48"/>
  <c r="BS1159" i="48"/>
  <c r="AZ1159" i="48"/>
  <c r="P1159" i="48"/>
  <c r="J1159" i="48"/>
  <c r="BT1158" i="48"/>
  <c r="BS1158" i="48"/>
  <c r="AZ1158" i="48"/>
  <c r="P1158" i="48"/>
  <c r="J1158" i="48"/>
  <c r="BT1157" i="48"/>
  <c r="BS1157" i="48"/>
  <c r="AZ1157" i="48"/>
  <c r="P1157" i="48"/>
  <c r="J1157" i="48"/>
  <c r="BT1156" i="48"/>
  <c r="BS1156" i="48"/>
  <c r="AZ1156" i="48"/>
  <c r="P1156" i="48"/>
  <c r="J1156" i="48"/>
  <c r="BT1155" i="48"/>
  <c r="BS1155" i="48"/>
  <c r="AZ1155" i="48"/>
  <c r="P1155" i="48"/>
  <c r="J1155" i="48"/>
  <c r="BT1154" i="48"/>
  <c r="BS1154" i="48"/>
  <c r="AZ1154" i="48"/>
  <c r="P1154" i="48"/>
  <c r="J1154" i="48"/>
  <c r="BT1153" i="48"/>
  <c r="BS1153" i="48"/>
  <c r="AZ1153" i="48"/>
  <c r="P1153" i="48"/>
  <c r="J1153" i="48"/>
  <c r="BT1152" i="48"/>
  <c r="BS1152" i="48"/>
  <c r="AZ1152" i="48"/>
  <c r="P1152" i="48"/>
  <c r="J1152" i="48"/>
  <c r="BT1151" i="48"/>
  <c r="BS1151" i="48"/>
  <c r="AZ1151" i="48"/>
  <c r="P1151" i="48"/>
  <c r="J1151" i="48"/>
  <c r="BT1150" i="48"/>
  <c r="BS1150" i="48"/>
  <c r="AZ1150" i="48"/>
  <c r="P1150" i="48"/>
  <c r="J1150" i="48"/>
  <c r="BT1149" i="48"/>
  <c r="BS1149" i="48"/>
  <c r="AZ1149" i="48"/>
  <c r="P1149" i="48"/>
  <c r="J1149" i="48"/>
  <c r="BT1148" i="48"/>
  <c r="BS1148" i="48"/>
  <c r="AZ1148" i="48"/>
  <c r="P1148" i="48"/>
  <c r="J1148" i="48"/>
  <c r="BT1147" i="48"/>
  <c r="BS1147" i="48"/>
  <c r="AZ1147" i="48"/>
  <c r="P1147" i="48"/>
  <c r="J1147" i="48"/>
  <c r="BT1146" i="48"/>
  <c r="BS1146" i="48"/>
  <c r="AZ1146" i="48"/>
  <c r="P1146" i="48"/>
  <c r="J1146" i="48"/>
  <c r="BT1145" i="48"/>
  <c r="BS1145" i="48"/>
  <c r="AZ1145" i="48"/>
  <c r="BT1144" i="48"/>
  <c r="BS1144" i="48"/>
  <c r="AZ1144" i="48"/>
  <c r="BT1143" i="48"/>
  <c r="BS1143" i="48"/>
  <c r="AZ1143" i="48"/>
  <c r="BT1142" i="48"/>
  <c r="BS1142" i="48"/>
  <c r="AZ1142" i="48"/>
  <c r="BT1141" i="48"/>
  <c r="BS1141" i="48"/>
  <c r="AZ1141" i="48"/>
  <c r="BT1140" i="48"/>
  <c r="BS1140" i="48"/>
  <c r="BU1140" i="48"/>
  <c r="AZ1140" i="48"/>
  <c r="BT1138" i="48"/>
  <c r="BS1138" i="48"/>
  <c r="AZ1138" i="48"/>
  <c r="P1138" i="48"/>
  <c r="J1138" i="48"/>
  <c r="BT1137" i="48"/>
  <c r="BS1137" i="48"/>
  <c r="AZ1137" i="48"/>
  <c r="P1137" i="48"/>
  <c r="J1137" i="48"/>
  <c r="BT1136" i="48"/>
  <c r="BS1136" i="48"/>
  <c r="AZ1136" i="48"/>
  <c r="P1136" i="48"/>
  <c r="J1136" i="48"/>
  <c r="BT1135" i="48"/>
  <c r="BS1135" i="48"/>
  <c r="AZ1135" i="48"/>
  <c r="P1135" i="48"/>
  <c r="J1135" i="48"/>
  <c r="BT1134" i="48"/>
  <c r="BS1134" i="48"/>
  <c r="AZ1134" i="48"/>
  <c r="P1134" i="48"/>
  <c r="J1134" i="48"/>
  <c r="BT1133" i="48"/>
  <c r="BS1133" i="48"/>
  <c r="AZ1133" i="48"/>
  <c r="P1133" i="48"/>
  <c r="J1133" i="48"/>
  <c r="BT1132" i="48"/>
  <c r="BS1132" i="48"/>
  <c r="AZ1132" i="48"/>
  <c r="P1132" i="48"/>
  <c r="J1132" i="48"/>
  <c r="BT1131" i="48"/>
  <c r="BS1131" i="48"/>
  <c r="AZ1131" i="48"/>
  <c r="P1131" i="48"/>
  <c r="J1131" i="48"/>
  <c r="BT1130" i="48"/>
  <c r="BS1130" i="48"/>
  <c r="AZ1130" i="48"/>
  <c r="P1130" i="48"/>
  <c r="J1130" i="48"/>
  <c r="BT1129" i="48"/>
  <c r="BS1129" i="48"/>
  <c r="AZ1129" i="48"/>
  <c r="P1129" i="48"/>
  <c r="J1129" i="48"/>
  <c r="BT1128" i="48"/>
  <c r="BS1128" i="48"/>
  <c r="AZ1128" i="48"/>
  <c r="P1128" i="48"/>
  <c r="J1128" i="48"/>
  <c r="BT1127" i="48"/>
  <c r="BS1127" i="48"/>
  <c r="AZ1127" i="48"/>
  <c r="P1127" i="48"/>
  <c r="J1127" i="48"/>
  <c r="BT1126" i="48"/>
  <c r="BS1126" i="48"/>
  <c r="AZ1126" i="48"/>
  <c r="P1126" i="48"/>
  <c r="J1126" i="48"/>
  <c r="BT1125" i="48"/>
  <c r="BS1125" i="48"/>
  <c r="AZ1125" i="48"/>
  <c r="P1125" i="48"/>
  <c r="J1125" i="48"/>
  <c r="BT1124" i="48"/>
  <c r="BS1124" i="48"/>
  <c r="AZ1124" i="48"/>
  <c r="P1124" i="48"/>
  <c r="J1124" i="48"/>
  <c r="BT1123" i="48"/>
  <c r="BS1123" i="48"/>
  <c r="AZ1123" i="48"/>
  <c r="P1123" i="48"/>
  <c r="J1123" i="48"/>
  <c r="BT1122" i="48"/>
  <c r="BS1122" i="48"/>
  <c r="AZ1122" i="48"/>
  <c r="P1122" i="48"/>
  <c r="J1122" i="48"/>
  <c r="BT1121" i="48"/>
  <c r="BS1121" i="48"/>
  <c r="AZ1121" i="48"/>
  <c r="BT1120" i="48"/>
  <c r="BS1120" i="48"/>
  <c r="AZ1120" i="48"/>
  <c r="BT1119" i="48"/>
  <c r="BS1119" i="48"/>
  <c r="AZ1119" i="48"/>
  <c r="BT1118" i="48"/>
  <c r="BS1118" i="48"/>
  <c r="AZ1118" i="48"/>
  <c r="BT1117" i="48"/>
  <c r="BS1117" i="48"/>
  <c r="AZ1117" i="48"/>
  <c r="BT1116" i="48"/>
  <c r="BS1116" i="48"/>
  <c r="BU1116" i="48"/>
  <c r="AZ1116" i="48"/>
  <c r="BT1114" i="48"/>
  <c r="BS1114" i="48"/>
  <c r="AZ1114" i="48"/>
  <c r="P1114" i="48"/>
  <c r="J1114" i="48"/>
  <c r="BT1113" i="48"/>
  <c r="BS1113" i="48"/>
  <c r="AZ1113" i="48"/>
  <c r="P1113" i="48"/>
  <c r="J1113" i="48"/>
  <c r="BT1112" i="48"/>
  <c r="BS1112" i="48"/>
  <c r="AZ1112" i="48"/>
  <c r="P1112" i="48"/>
  <c r="J1112" i="48"/>
  <c r="BT1111" i="48"/>
  <c r="BS1111" i="48"/>
  <c r="AZ1111" i="48"/>
  <c r="P1111" i="48"/>
  <c r="J1111" i="48"/>
  <c r="BT1110" i="48"/>
  <c r="BS1110" i="48"/>
  <c r="AZ1110" i="48"/>
  <c r="P1110" i="48"/>
  <c r="J1110" i="48"/>
  <c r="BT1109" i="48"/>
  <c r="BS1109" i="48"/>
  <c r="AZ1109" i="48"/>
  <c r="P1109" i="48"/>
  <c r="J1109" i="48"/>
  <c r="BT1108" i="48"/>
  <c r="BS1108" i="48"/>
  <c r="AZ1108" i="48"/>
  <c r="P1108" i="48"/>
  <c r="J1108" i="48"/>
  <c r="BT1107" i="48"/>
  <c r="BS1107" i="48"/>
  <c r="AZ1107" i="48"/>
  <c r="P1107" i="48"/>
  <c r="J1107" i="48"/>
  <c r="BT1106" i="48"/>
  <c r="BS1106" i="48"/>
  <c r="AZ1106" i="48"/>
  <c r="P1106" i="48"/>
  <c r="J1106" i="48"/>
  <c r="BT1105" i="48"/>
  <c r="BS1105" i="48"/>
  <c r="AZ1105" i="48"/>
  <c r="P1105" i="48"/>
  <c r="J1105" i="48"/>
  <c r="BT1104" i="48"/>
  <c r="BS1104" i="48"/>
  <c r="AZ1104" i="48"/>
  <c r="P1104" i="48"/>
  <c r="J1104" i="48"/>
  <c r="BT1103" i="48"/>
  <c r="BS1103" i="48"/>
  <c r="AZ1103" i="48"/>
  <c r="P1103" i="48"/>
  <c r="J1103" i="48"/>
  <c r="BT1102" i="48"/>
  <c r="BS1102" i="48"/>
  <c r="AZ1102" i="48"/>
  <c r="P1102" i="48"/>
  <c r="J1102" i="48"/>
  <c r="BT1101" i="48"/>
  <c r="BS1101" i="48"/>
  <c r="AZ1101" i="48"/>
  <c r="P1101" i="48"/>
  <c r="J1101" i="48"/>
  <c r="BT1100" i="48"/>
  <c r="BS1100" i="48"/>
  <c r="AZ1100" i="48"/>
  <c r="P1100" i="48"/>
  <c r="J1100" i="48"/>
  <c r="BT1099" i="48"/>
  <c r="BS1099" i="48"/>
  <c r="AZ1099" i="48"/>
  <c r="P1099" i="48"/>
  <c r="J1099" i="48"/>
  <c r="BT1098" i="48"/>
  <c r="BS1098" i="48"/>
  <c r="AZ1098" i="48"/>
  <c r="P1098" i="48"/>
  <c r="J1098" i="48"/>
  <c r="BT1097" i="48"/>
  <c r="BS1097" i="48"/>
  <c r="AZ1097" i="48"/>
  <c r="BT1096" i="48"/>
  <c r="BS1096" i="48"/>
  <c r="AZ1096" i="48"/>
  <c r="BT1095" i="48"/>
  <c r="BS1095" i="48"/>
  <c r="AZ1095" i="48"/>
  <c r="BT1094" i="48"/>
  <c r="BS1094" i="48"/>
  <c r="AZ1094" i="48"/>
  <c r="BT1093" i="48"/>
  <c r="BS1093" i="48"/>
  <c r="AZ1093" i="48"/>
  <c r="BT1092" i="48"/>
  <c r="BS1092" i="48"/>
  <c r="BU1092" i="48"/>
  <c r="AZ1092" i="48"/>
  <c r="BT1090" i="48"/>
  <c r="BS1090" i="48"/>
  <c r="AZ1090" i="48"/>
  <c r="AI1090" i="48" s="1"/>
  <c r="BT1089" i="48"/>
  <c r="BS1089" i="48"/>
  <c r="AZ1089" i="48"/>
  <c r="P1089" i="48"/>
  <c r="J1089" i="48"/>
  <c r="BT1088" i="48"/>
  <c r="BS1088" i="48"/>
  <c r="AZ1088" i="48"/>
  <c r="P1088" i="48"/>
  <c r="J1088" i="48"/>
  <c r="BT1087" i="48"/>
  <c r="BS1087" i="48"/>
  <c r="AZ1087" i="48"/>
  <c r="P1087" i="48"/>
  <c r="J1087" i="48"/>
  <c r="BT1086" i="48"/>
  <c r="BS1086" i="48"/>
  <c r="AZ1086" i="48"/>
  <c r="P1086" i="48"/>
  <c r="J1086" i="48"/>
  <c r="BT1085" i="48"/>
  <c r="BS1085" i="48"/>
  <c r="AZ1085" i="48"/>
  <c r="P1085" i="48"/>
  <c r="J1085" i="48"/>
  <c r="BT1084" i="48"/>
  <c r="BS1084" i="48"/>
  <c r="AZ1084" i="48"/>
  <c r="P1084" i="48"/>
  <c r="J1084" i="48"/>
  <c r="BT1083" i="48"/>
  <c r="BS1083" i="48"/>
  <c r="AZ1083" i="48"/>
  <c r="P1083" i="48"/>
  <c r="J1083" i="48"/>
  <c r="BT1082" i="48"/>
  <c r="BS1082" i="48"/>
  <c r="AZ1082" i="48"/>
  <c r="P1082" i="48"/>
  <c r="J1082" i="48"/>
  <c r="BT1081" i="48"/>
  <c r="BS1081" i="48"/>
  <c r="AZ1081" i="48"/>
  <c r="P1081" i="48"/>
  <c r="J1081" i="48"/>
  <c r="BT1080" i="48"/>
  <c r="BS1080" i="48"/>
  <c r="AZ1080" i="48"/>
  <c r="P1080" i="48"/>
  <c r="J1080" i="48"/>
  <c r="BT1079" i="48"/>
  <c r="BS1079" i="48"/>
  <c r="AZ1079" i="48"/>
  <c r="P1079" i="48"/>
  <c r="J1079" i="48"/>
  <c r="BT1078" i="48"/>
  <c r="BS1078" i="48"/>
  <c r="AZ1078" i="48"/>
  <c r="P1078" i="48"/>
  <c r="J1078" i="48"/>
  <c r="BT1077" i="48"/>
  <c r="BS1077" i="48"/>
  <c r="AZ1077" i="48"/>
  <c r="P1077" i="48"/>
  <c r="J1077" i="48"/>
  <c r="BT1076" i="48"/>
  <c r="BS1076" i="48"/>
  <c r="AZ1076" i="48"/>
  <c r="P1076" i="48"/>
  <c r="J1076" i="48"/>
  <c r="BT1075" i="48"/>
  <c r="BS1075" i="48"/>
  <c r="AZ1075" i="48"/>
  <c r="P1075" i="48"/>
  <c r="J1075" i="48"/>
  <c r="BT1074" i="48"/>
  <c r="BS1074" i="48"/>
  <c r="AZ1074" i="48"/>
  <c r="P1074" i="48"/>
  <c r="J1074" i="48"/>
  <c r="BT1073" i="48"/>
  <c r="BS1073" i="48"/>
  <c r="AZ1073" i="48"/>
  <c r="BT1072" i="48"/>
  <c r="BS1072" i="48"/>
  <c r="AZ1072" i="48"/>
  <c r="BT1071" i="48"/>
  <c r="BS1071" i="48"/>
  <c r="AZ1071" i="48"/>
  <c r="BT1070" i="48"/>
  <c r="BS1070" i="48"/>
  <c r="AZ1070" i="48"/>
  <c r="BT1069" i="48"/>
  <c r="BS1069" i="48"/>
  <c r="AZ1069" i="48"/>
  <c r="BT1068" i="48"/>
  <c r="BS1068" i="48"/>
  <c r="BU1068" i="48"/>
  <c r="AZ1068" i="48"/>
  <c r="BT1066" i="48"/>
  <c r="BS1066" i="48"/>
  <c r="BT1065" i="48"/>
  <c r="BS1065" i="48"/>
  <c r="AZ1065" i="48"/>
  <c r="P1065" i="48"/>
  <c r="BT1064" i="48"/>
  <c r="BS1064" i="48"/>
  <c r="AZ1064" i="48"/>
  <c r="P1064" i="48"/>
  <c r="J1064" i="48"/>
  <c r="BT1063" i="48"/>
  <c r="BS1063" i="48"/>
  <c r="AZ1063" i="48"/>
  <c r="P1063" i="48"/>
  <c r="J1063" i="48"/>
  <c r="BT1062" i="48"/>
  <c r="BS1062" i="48"/>
  <c r="AZ1062" i="48"/>
  <c r="P1062" i="48"/>
  <c r="J1062" i="48"/>
  <c r="BT1061" i="48"/>
  <c r="BS1061" i="48"/>
  <c r="AZ1061" i="48"/>
  <c r="P1061" i="48"/>
  <c r="J1061" i="48"/>
  <c r="BT1060" i="48"/>
  <c r="BS1060" i="48"/>
  <c r="AZ1060" i="48"/>
  <c r="P1060" i="48"/>
  <c r="J1060" i="48"/>
  <c r="BT1059" i="48"/>
  <c r="BS1059" i="48"/>
  <c r="AZ1059" i="48"/>
  <c r="P1059" i="48"/>
  <c r="J1059" i="48"/>
  <c r="BT1058" i="48"/>
  <c r="BS1058" i="48"/>
  <c r="AZ1058" i="48"/>
  <c r="P1058" i="48"/>
  <c r="J1058" i="48"/>
  <c r="BT1057" i="48"/>
  <c r="BS1057" i="48"/>
  <c r="AZ1057" i="48"/>
  <c r="P1057" i="48"/>
  <c r="J1057" i="48"/>
  <c r="BT1056" i="48"/>
  <c r="BS1056" i="48"/>
  <c r="AZ1056" i="48"/>
  <c r="P1056" i="48"/>
  <c r="J1056" i="48"/>
  <c r="BT1055" i="48"/>
  <c r="BS1055" i="48"/>
  <c r="AZ1055" i="48"/>
  <c r="P1055" i="48"/>
  <c r="J1055" i="48"/>
  <c r="BT1054" i="48"/>
  <c r="BS1054" i="48"/>
  <c r="AZ1054" i="48"/>
  <c r="P1054" i="48"/>
  <c r="J1054" i="48"/>
  <c r="BT1053" i="48"/>
  <c r="BS1053" i="48"/>
  <c r="AZ1053" i="48"/>
  <c r="P1053" i="48"/>
  <c r="J1053" i="48"/>
  <c r="BT1052" i="48"/>
  <c r="BS1052" i="48"/>
  <c r="AZ1052" i="48"/>
  <c r="P1052" i="48"/>
  <c r="J1052" i="48"/>
  <c r="BT1051" i="48"/>
  <c r="BS1051" i="48"/>
  <c r="AZ1051" i="48"/>
  <c r="P1051" i="48"/>
  <c r="J1051" i="48"/>
  <c r="BT1050" i="48"/>
  <c r="BS1050" i="48"/>
  <c r="AZ1050" i="48"/>
  <c r="P1050" i="48"/>
  <c r="J1050" i="48"/>
  <c r="BT1049" i="48"/>
  <c r="BS1049" i="48"/>
  <c r="AZ1049" i="48"/>
  <c r="BT1048" i="48"/>
  <c r="BS1048" i="48"/>
  <c r="AZ1048" i="48"/>
  <c r="BT1047" i="48"/>
  <c r="BS1047" i="48"/>
  <c r="AZ1047" i="48"/>
  <c r="BT1046" i="48"/>
  <c r="BS1046" i="48"/>
  <c r="AZ1046" i="48"/>
  <c r="BT1045" i="48"/>
  <c r="BS1045" i="48"/>
  <c r="AZ1045" i="48"/>
  <c r="BT1044" i="48"/>
  <c r="BS1044" i="48"/>
  <c r="BU1044" i="48"/>
  <c r="AZ1044" i="48"/>
  <c r="BT1042" i="48"/>
  <c r="BS1042" i="48"/>
  <c r="BT1041" i="48"/>
  <c r="BS1041" i="48"/>
  <c r="AZ1041" i="48"/>
  <c r="P1041" i="48"/>
  <c r="J1041" i="48"/>
  <c r="BT1040" i="48"/>
  <c r="BS1040" i="48"/>
  <c r="AZ1040" i="48"/>
  <c r="P1040" i="48"/>
  <c r="J1040" i="48"/>
  <c r="BT1039" i="48"/>
  <c r="BS1039" i="48"/>
  <c r="AZ1039" i="48"/>
  <c r="P1039" i="48"/>
  <c r="J1039" i="48"/>
  <c r="BT1038" i="48"/>
  <c r="BS1038" i="48"/>
  <c r="AZ1038" i="48"/>
  <c r="P1038" i="48"/>
  <c r="J1038" i="48"/>
  <c r="BT1037" i="48"/>
  <c r="BS1037" i="48"/>
  <c r="AZ1037" i="48"/>
  <c r="P1037" i="48"/>
  <c r="J1037" i="48"/>
  <c r="BT1036" i="48"/>
  <c r="BS1036" i="48"/>
  <c r="AZ1036" i="48"/>
  <c r="P1036" i="48"/>
  <c r="J1036" i="48"/>
  <c r="BT1035" i="48"/>
  <c r="BS1035" i="48"/>
  <c r="AZ1035" i="48"/>
  <c r="P1035" i="48"/>
  <c r="J1035" i="48"/>
  <c r="BT1034" i="48"/>
  <c r="BS1034" i="48"/>
  <c r="AZ1034" i="48"/>
  <c r="P1034" i="48"/>
  <c r="J1034" i="48"/>
  <c r="BT1033" i="48"/>
  <c r="BS1033" i="48"/>
  <c r="AZ1033" i="48"/>
  <c r="P1033" i="48"/>
  <c r="J1033" i="48"/>
  <c r="BT1032" i="48"/>
  <c r="BS1032" i="48"/>
  <c r="AZ1032" i="48"/>
  <c r="P1032" i="48"/>
  <c r="J1032" i="48"/>
  <c r="BT1031" i="48"/>
  <c r="BS1031" i="48"/>
  <c r="AZ1031" i="48"/>
  <c r="P1031" i="48"/>
  <c r="J1031" i="48"/>
  <c r="BT1030" i="48"/>
  <c r="BS1030" i="48"/>
  <c r="AZ1030" i="48"/>
  <c r="P1030" i="48"/>
  <c r="J1030" i="48"/>
  <c r="BT1029" i="48"/>
  <c r="BS1029" i="48"/>
  <c r="AZ1029" i="48"/>
  <c r="P1029" i="48"/>
  <c r="J1029" i="48"/>
  <c r="BT1028" i="48"/>
  <c r="BS1028" i="48"/>
  <c r="AZ1028" i="48"/>
  <c r="P1028" i="48"/>
  <c r="J1028" i="48"/>
  <c r="BT1027" i="48"/>
  <c r="BS1027" i="48"/>
  <c r="AZ1027" i="48"/>
  <c r="BA1027" i="48" s="1"/>
  <c r="P1027" i="48"/>
  <c r="J1027" i="48"/>
  <c r="BT1026" i="48"/>
  <c r="BS1026" i="48"/>
  <c r="P1026" i="48"/>
  <c r="J1026" i="48"/>
  <c r="BT1025" i="48"/>
  <c r="BS1025" i="48"/>
  <c r="BT1024" i="48"/>
  <c r="BS1024" i="48"/>
  <c r="BT1023" i="48"/>
  <c r="BS1023" i="48"/>
  <c r="AZ1023" i="48"/>
  <c r="BT1022" i="48"/>
  <c r="BS1022" i="48"/>
  <c r="AZ1022" i="48"/>
  <c r="BT1021" i="48"/>
  <c r="BS1021" i="48"/>
  <c r="AZ1021" i="48"/>
  <c r="BT1020" i="48"/>
  <c r="BS1020" i="48"/>
  <c r="BU1020" i="48"/>
  <c r="AZ1020" i="48"/>
  <c r="BT1018" i="48"/>
  <c r="BS1018" i="48"/>
  <c r="AZ1018" i="48"/>
  <c r="AI1018" i="48" s="1"/>
  <c r="P1018" i="48"/>
  <c r="J1018" i="48"/>
  <c r="BT1017" i="48"/>
  <c r="BS1017" i="48"/>
  <c r="AZ1017" i="48"/>
  <c r="P1017" i="48"/>
  <c r="J1017" i="48"/>
  <c r="BT1016" i="48"/>
  <c r="BS1016" i="48"/>
  <c r="AZ1016" i="48"/>
  <c r="P1016" i="48"/>
  <c r="J1016" i="48"/>
  <c r="BT1015" i="48"/>
  <c r="BS1015" i="48"/>
  <c r="AZ1015" i="48"/>
  <c r="P1015" i="48"/>
  <c r="J1015" i="48"/>
  <c r="BT1014" i="48"/>
  <c r="BS1014" i="48"/>
  <c r="AZ1014" i="48"/>
  <c r="P1014" i="48"/>
  <c r="J1014" i="48"/>
  <c r="BT1013" i="48"/>
  <c r="BS1013" i="48"/>
  <c r="AZ1013" i="48"/>
  <c r="P1013" i="48"/>
  <c r="J1013" i="48"/>
  <c r="BT1012" i="48"/>
  <c r="BS1012" i="48"/>
  <c r="AZ1012" i="48"/>
  <c r="P1012" i="48"/>
  <c r="J1012" i="48"/>
  <c r="BT1011" i="48"/>
  <c r="BS1011" i="48"/>
  <c r="AZ1011" i="48"/>
  <c r="P1011" i="48"/>
  <c r="J1011" i="48"/>
  <c r="BT1010" i="48"/>
  <c r="BS1010" i="48"/>
  <c r="AZ1010" i="48"/>
  <c r="P1010" i="48"/>
  <c r="J1010" i="48"/>
  <c r="BT1009" i="48"/>
  <c r="BS1009" i="48"/>
  <c r="AZ1009" i="48"/>
  <c r="P1009" i="48"/>
  <c r="J1009" i="48"/>
  <c r="BT1008" i="48"/>
  <c r="BS1008" i="48"/>
  <c r="AZ1008" i="48"/>
  <c r="P1008" i="48"/>
  <c r="J1008" i="48"/>
  <c r="BT1007" i="48"/>
  <c r="BS1007" i="48"/>
  <c r="AZ1007" i="48"/>
  <c r="P1007" i="48"/>
  <c r="J1007" i="48"/>
  <c r="BT1006" i="48"/>
  <c r="BS1006" i="48"/>
  <c r="AZ1006" i="48"/>
  <c r="P1006" i="48"/>
  <c r="J1006" i="48"/>
  <c r="BT1005" i="48"/>
  <c r="BS1005" i="48"/>
  <c r="AZ1005" i="48"/>
  <c r="P1005" i="48"/>
  <c r="J1005" i="48"/>
  <c r="BT1004" i="48"/>
  <c r="BS1004" i="48"/>
  <c r="AZ1004" i="48"/>
  <c r="P1004" i="48"/>
  <c r="J1004" i="48"/>
  <c r="BT1003" i="48"/>
  <c r="BS1003" i="48"/>
  <c r="AZ1003" i="48"/>
  <c r="P1003" i="48"/>
  <c r="J1003" i="48"/>
  <c r="BT1002" i="48"/>
  <c r="BS1002" i="48"/>
  <c r="AZ1002" i="48"/>
  <c r="P1002" i="48"/>
  <c r="J1002" i="48"/>
  <c r="BT1001" i="48"/>
  <c r="BS1001" i="48"/>
  <c r="AZ1001" i="48"/>
  <c r="BT1000" i="48"/>
  <c r="BS1000" i="48"/>
  <c r="AZ1000" i="48"/>
  <c r="BT999" i="48"/>
  <c r="BS999" i="48"/>
  <c r="AZ999" i="48"/>
  <c r="BT998" i="48"/>
  <c r="BS998" i="48"/>
  <c r="AZ998" i="48"/>
  <c r="BT997" i="48"/>
  <c r="BS997" i="48"/>
  <c r="AZ997" i="48"/>
  <c r="BT996" i="48"/>
  <c r="BS996" i="48"/>
  <c r="BU996" i="48"/>
  <c r="AZ996" i="48"/>
  <c r="BT994" i="48"/>
  <c r="BS994" i="48"/>
  <c r="P994" i="48"/>
  <c r="J994" i="48"/>
  <c r="BT993" i="48"/>
  <c r="BS993" i="48"/>
  <c r="AZ993" i="48"/>
  <c r="P993" i="48"/>
  <c r="J993" i="48"/>
  <c r="BT992" i="48"/>
  <c r="BS992" i="48"/>
  <c r="AZ992" i="48"/>
  <c r="P992" i="48"/>
  <c r="J992" i="48"/>
  <c r="BT991" i="48"/>
  <c r="BS991" i="48"/>
  <c r="AZ991" i="48"/>
  <c r="P991" i="48"/>
  <c r="J991" i="48"/>
  <c r="BT990" i="48"/>
  <c r="BS990" i="48"/>
  <c r="AZ990" i="48"/>
  <c r="P990" i="48"/>
  <c r="J990" i="48"/>
  <c r="BT989" i="48"/>
  <c r="BS989" i="48"/>
  <c r="AZ989" i="48"/>
  <c r="P989" i="48"/>
  <c r="J989" i="48"/>
  <c r="BT988" i="48"/>
  <c r="BS988" i="48"/>
  <c r="AZ988" i="48"/>
  <c r="P988" i="48"/>
  <c r="J988" i="48"/>
  <c r="BT987" i="48"/>
  <c r="BS987" i="48"/>
  <c r="AZ987" i="48"/>
  <c r="P987" i="48"/>
  <c r="J987" i="48"/>
  <c r="BT986" i="48"/>
  <c r="BS986" i="48"/>
  <c r="AZ986" i="48"/>
  <c r="P986" i="48"/>
  <c r="J986" i="48"/>
  <c r="BT985" i="48"/>
  <c r="BS985" i="48"/>
  <c r="AZ985" i="48"/>
  <c r="P985" i="48"/>
  <c r="J985" i="48"/>
  <c r="BT984" i="48"/>
  <c r="BS984" i="48"/>
  <c r="AZ984" i="48"/>
  <c r="P984" i="48"/>
  <c r="J984" i="48"/>
  <c r="BT983" i="48"/>
  <c r="BS983" i="48"/>
  <c r="AZ983" i="48"/>
  <c r="P983" i="48"/>
  <c r="J983" i="48"/>
  <c r="BT982" i="48"/>
  <c r="BS982" i="48"/>
  <c r="AZ982" i="48"/>
  <c r="P982" i="48"/>
  <c r="J982" i="48"/>
  <c r="BT981" i="48"/>
  <c r="BS981" i="48"/>
  <c r="AZ981" i="48"/>
  <c r="P981" i="48"/>
  <c r="J981" i="48"/>
  <c r="BT980" i="48"/>
  <c r="BS980" i="48"/>
  <c r="AZ980" i="48"/>
  <c r="P980" i="48"/>
  <c r="J980" i="48"/>
  <c r="BT979" i="48"/>
  <c r="BS979" i="48"/>
  <c r="AZ979" i="48"/>
  <c r="P979" i="48"/>
  <c r="J979" i="48"/>
  <c r="BT978" i="48"/>
  <c r="BS978" i="48"/>
  <c r="AZ978" i="48"/>
  <c r="P978" i="48"/>
  <c r="J978" i="48"/>
  <c r="BT977" i="48"/>
  <c r="BS977" i="48"/>
  <c r="AZ977" i="48"/>
  <c r="BT976" i="48"/>
  <c r="BS976" i="48"/>
  <c r="AZ976" i="48"/>
  <c r="BT975" i="48"/>
  <c r="BS975" i="48"/>
  <c r="AZ975" i="48"/>
  <c r="BT974" i="48"/>
  <c r="BS974" i="48"/>
  <c r="AZ974" i="48"/>
  <c r="BT973" i="48"/>
  <c r="BS973" i="48"/>
  <c r="AZ973" i="48"/>
  <c r="BT972" i="48"/>
  <c r="BS972" i="48"/>
  <c r="BU972" i="48"/>
  <c r="AZ972" i="48"/>
  <c r="BT970" i="48"/>
  <c r="BS970" i="48"/>
  <c r="AZ970" i="48"/>
  <c r="P970" i="48"/>
  <c r="J970" i="48"/>
  <c r="BT969" i="48"/>
  <c r="BS969" i="48"/>
  <c r="AZ969" i="48"/>
  <c r="P969" i="48"/>
  <c r="J969" i="48"/>
  <c r="BT968" i="48"/>
  <c r="BS968" i="48"/>
  <c r="AZ968" i="48"/>
  <c r="P968" i="48"/>
  <c r="J968" i="48"/>
  <c r="BT967" i="48"/>
  <c r="BS967" i="48"/>
  <c r="AZ967" i="48"/>
  <c r="P967" i="48"/>
  <c r="J967" i="48"/>
  <c r="BT966" i="48"/>
  <c r="BS966" i="48"/>
  <c r="AZ966" i="48"/>
  <c r="P966" i="48"/>
  <c r="J966" i="48"/>
  <c r="BT965" i="48"/>
  <c r="BS965" i="48"/>
  <c r="AZ965" i="48"/>
  <c r="P965" i="48"/>
  <c r="J965" i="48"/>
  <c r="BT964" i="48"/>
  <c r="BS964" i="48"/>
  <c r="AZ964" i="48"/>
  <c r="P964" i="48"/>
  <c r="J964" i="48"/>
  <c r="BT963" i="48"/>
  <c r="BS963" i="48"/>
  <c r="AZ963" i="48"/>
  <c r="P963" i="48"/>
  <c r="J963" i="48"/>
  <c r="BT962" i="48"/>
  <c r="BS962" i="48"/>
  <c r="AZ962" i="48"/>
  <c r="P962" i="48"/>
  <c r="J962" i="48"/>
  <c r="BT961" i="48"/>
  <c r="BS961" i="48"/>
  <c r="AZ961" i="48"/>
  <c r="P961" i="48"/>
  <c r="J961" i="48"/>
  <c r="BT960" i="48"/>
  <c r="BS960" i="48"/>
  <c r="AZ960" i="48"/>
  <c r="P960" i="48"/>
  <c r="J960" i="48"/>
  <c r="BT959" i="48"/>
  <c r="BS959" i="48"/>
  <c r="AZ959" i="48"/>
  <c r="P959" i="48"/>
  <c r="J959" i="48"/>
  <c r="BT958" i="48"/>
  <c r="BS958" i="48"/>
  <c r="AZ958" i="48"/>
  <c r="P958" i="48"/>
  <c r="J958" i="48"/>
  <c r="BT957" i="48"/>
  <c r="BS957" i="48"/>
  <c r="AZ957" i="48"/>
  <c r="P957" i="48"/>
  <c r="J957" i="48"/>
  <c r="BT956" i="48"/>
  <c r="BS956" i="48"/>
  <c r="AZ956" i="48"/>
  <c r="P956" i="48"/>
  <c r="J956" i="48"/>
  <c r="BT955" i="48"/>
  <c r="BS955" i="48"/>
  <c r="AZ955" i="48"/>
  <c r="P955" i="48"/>
  <c r="J955" i="48"/>
  <c r="BT954" i="48"/>
  <c r="BS954" i="48"/>
  <c r="AZ954" i="48"/>
  <c r="P954" i="48"/>
  <c r="J954" i="48"/>
  <c r="BT953" i="48"/>
  <c r="BS953" i="48"/>
  <c r="AZ953" i="48"/>
  <c r="BT952" i="48"/>
  <c r="BS952" i="48"/>
  <c r="AZ952" i="48"/>
  <c r="BT951" i="48"/>
  <c r="BS951" i="48"/>
  <c r="AZ951" i="48"/>
  <c r="BT950" i="48"/>
  <c r="BS950" i="48"/>
  <c r="AZ950" i="48"/>
  <c r="BT949" i="48"/>
  <c r="BS949" i="48"/>
  <c r="AZ949" i="48"/>
  <c r="BT948" i="48"/>
  <c r="BS948" i="48"/>
  <c r="BU948" i="48"/>
  <c r="AZ948" i="48"/>
  <c r="BT946" i="48"/>
  <c r="BS946" i="48"/>
  <c r="BT945" i="48"/>
  <c r="BS945" i="48"/>
  <c r="AZ945" i="48"/>
  <c r="P945" i="48"/>
  <c r="J945" i="48"/>
  <c r="BT944" i="48"/>
  <c r="BS944" i="48"/>
  <c r="AZ944" i="48"/>
  <c r="P944" i="48"/>
  <c r="J944" i="48"/>
  <c r="BT943" i="48"/>
  <c r="BS943" i="48"/>
  <c r="AZ943" i="48"/>
  <c r="P943" i="48"/>
  <c r="J943" i="48"/>
  <c r="BT942" i="48"/>
  <c r="BS942" i="48"/>
  <c r="AZ942" i="48"/>
  <c r="P942" i="48"/>
  <c r="J942" i="48"/>
  <c r="BT941" i="48"/>
  <c r="BS941" i="48"/>
  <c r="AZ941" i="48"/>
  <c r="P941" i="48"/>
  <c r="J941" i="48"/>
  <c r="BT940" i="48"/>
  <c r="BS940" i="48"/>
  <c r="AZ940" i="48"/>
  <c r="P940" i="48"/>
  <c r="J940" i="48"/>
  <c r="BT939" i="48"/>
  <c r="BS939" i="48"/>
  <c r="AZ939" i="48"/>
  <c r="P939" i="48"/>
  <c r="J939" i="48"/>
  <c r="BT938" i="48"/>
  <c r="BS938" i="48"/>
  <c r="AZ938" i="48"/>
  <c r="P938" i="48"/>
  <c r="J938" i="48"/>
  <c r="BT937" i="48"/>
  <c r="BS937" i="48"/>
  <c r="AZ937" i="48"/>
  <c r="P937" i="48"/>
  <c r="J937" i="48"/>
  <c r="BT936" i="48"/>
  <c r="BS936" i="48"/>
  <c r="AZ936" i="48"/>
  <c r="P936" i="48"/>
  <c r="J936" i="48"/>
  <c r="BT935" i="48"/>
  <c r="BS935" i="48"/>
  <c r="AZ935" i="48"/>
  <c r="P935" i="48"/>
  <c r="J935" i="48"/>
  <c r="BT934" i="48"/>
  <c r="BS934" i="48"/>
  <c r="AZ934" i="48"/>
  <c r="P934" i="48"/>
  <c r="J934" i="48"/>
  <c r="BT933" i="48"/>
  <c r="BS933" i="48"/>
  <c r="AZ933" i="48"/>
  <c r="P933" i="48"/>
  <c r="J933" i="48"/>
  <c r="BT932" i="48"/>
  <c r="BS932" i="48"/>
  <c r="AZ932" i="48"/>
  <c r="P932" i="48"/>
  <c r="J932" i="48"/>
  <c r="BT931" i="48"/>
  <c r="BS931" i="48"/>
  <c r="AZ931" i="48"/>
  <c r="P931" i="48"/>
  <c r="J931" i="48"/>
  <c r="BT930" i="48"/>
  <c r="BS930" i="48"/>
  <c r="AZ930" i="48"/>
  <c r="P930" i="48"/>
  <c r="J930" i="48"/>
  <c r="BT929" i="48"/>
  <c r="BS929" i="48"/>
  <c r="AZ929" i="48"/>
  <c r="BT928" i="48"/>
  <c r="BS928" i="48"/>
  <c r="AZ928" i="48"/>
  <c r="BT927" i="48"/>
  <c r="BS927" i="48"/>
  <c r="AZ927" i="48"/>
  <c r="BT926" i="48"/>
  <c r="BS926" i="48"/>
  <c r="AZ926" i="48"/>
  <c r="BT925" i="48"/>
  <c r="BS925" i="48"/>
  <c r="AZ925" i="48"/>
  <c r="BT924" i="48"/>
  <c r="BS924" i="48"/>
  <c r="BU924" i="48"/>
  <c r="AZ924" i="48"/>
  <c r="BT922" i="48"/>
  <c r="BS922" i="48"/>
  <c r="P922" i="48"/>
  <c r="J922" i="48"/>
  <c r="BT921" i="48"/>
  <c r="BS921" i="48"/>
  <c r="AZ921" i="48"/>
  <c r="P921" i="48"/>
  <c r="J921" i="48"/>
  <c r="BT920" i="48"/>
  <c r="BS920" i="48"/>
  <c r="AZ920" i="48"/>
  <c r="P920" i="48"/>
  <c r="J920" i="48"/>
  <c r="BT919" i="48"/>
  <c r="BS919" i="48"/>
  <c r="AZ919" i="48"/>
  <c r="P919" i="48"/>
  <c r="J919" i="48"/>
  <c r="BT918" i="48"/>
  <c r="BS918" i="48"/>
  <c r="AZ918" i="48"/>
  <c r="P918" i="48"/>
  <c r="J918" i="48"/>
  <c r="BT917" i="48"/>
  <c r="BS917" i="48"/>
  <c r="AZ917" i="48"/>
  <c r="P917" i="48"/>
  <c r="J917" i="48"/>
  <c r="BT916" i="48"/>
  <c r="BS916" i="48"/>
  <c r="AZ916" i="48"/>
  <c r="P916" i="48"/>
  <c r="J916" i="48"/>
  <c r="BT915" i="48"/>
  <c r="BS915" i="48"/>
  <c r="AZ915" i="48"/>
  <c r="P915" i="48"/>
  <c r="J915" i="48"/>
  <c r="BT914" i="48"/>
  <c r="BS914" i="48"/>
  <c r="AZ914" i="48"/>
  <c r="P914" i="48"/>
  <c r="J914" i="48"/>
  <c r="BT913" i="48"/>
  <c r="BS913" i="48"/>
  <c r="AZ913" i="48"/>
  <c r="P913" i="48"/>
  <c r="J913" i="48"/>
  <c r="BT912" i="48"/>
  <c r="BS912" i="48"/>
  <c r="AZ912" i="48"/>
  <c r="P912" i="48"/>
  <c r="J912" i="48"/>
  <c r="BT911" i="48"/>
  <c r="BS911" i="48"/>
  <c r="AZ911" i="48"/>
  <c r="P911" i="48"/>
  <c r="J911" i="48"/>
  <c r="BT910" i="48"/>
  <c r="BS910" i="48"/>
  <c r="AZ910" i="48"/>
  <c r="P910" i="48"/>
  <c r="J910" i="48"/>
  <c r="BT909" i="48"/>
  <c r="BS909" i="48"/>
  <c r="AZ909" i="48"/>
  <c r="P909" i="48"/>
  <c r="J909" i="48"/>
  <c r="BT908" i="48"/>
  <c r="BS908" i="48"/>
  <c r="AZ908" i="48"/>
  <c r="P908" i="48"/>
  <c r="J908" i="48"/>
  <c r="BT907" i="48"/>
  <c r="BS907" i="48"/>
  <c r="AZ907" i="48"/>
  <c r="P907" i="48"/>
  <c r="J907" i="48"/>
  <c r="BT906" i="48"/>
  <c r="BS906" i="48"/>
  <c r="AZ906" i="48"/>
  <c r="P906" i="48"/>
  <c r="J906" i="48"/>
  <c r="BT905" i="48"/>
  <c r="BS905" i="48"/>
  <c r="AZ905" i="48"/>
  <c r="BT904" i="48"/>
  <c r="BS904" i="48"/>
  <c r="AZ904" i="48"/>
  <c r="BT903" i="48"/>
  <c r="BS903" i="48"/>
  <c r="AZ903" i="48"/>
  <c r="BT902" i="48"/>
  <c r="BS902" i="48"/>
  <c r="AZ902" i="48"/>
  <c r="BT901" i="48"/>
  <c r="BS901" i="48"/>
  <c r="AZ901" i="48"/>
  <c r="BT900" i="48"/>
  <c r="BS900" i="48"/>
  <c r="BU900" i="48"/>
  <c r="AZ900" i="48"/>
  <c r="BT898" i="48"/>
  <c r="BS898" i="48"/>
  <c r="AZ898" i="48"/>
  <c r="P898" i="48"/>
  <c r="J898" i="48"/>
  <c r="BT897" i="48"/>
  <c r="BS897" i="48"/>
  <c r="AZ897" i="48"/>
  <c r="P897" i="48"/>
  <c r="J897" i="48"/>
  <c r="BT896" i="48"/>
  <c r="BS896" i="48"/>
  <c r="AZ896" i="48"/>
  <c r="P896" i="48"/>
  <c r="J896" i="48"/>
  <c r="BT895" i="48"/>
  <c r="BS895" i="48"/>
  <c r="AZ895" i="48"/>
  <c r="P895" i="48"/>
  <c r="J895" i="48"/>
  <c r="BT894" i="48"/>
  <c r="BS894" i="48"/>
  <c r="AZ894" i="48"/>
  <c r="P894" i="48"/>
  <c r="J894" i="48"/>
  <c r="BT893" i="48"/>
  <c r="BS893" i="48"/>
  <c r="AZ893" i="48"/>
  <c r="P893" i="48"/>
  <c r="J893" i="48"/>
  <c r="BT892" i="48"/>
  <c r="BS892" i="48"/>
  <c r="AZ892" i="48"/>
  <c r="P892" i="48"/>
  <c r="J892" i="48"/>
  <c r="BT891" i="48"/>
  <c r="BS891" i="48"/>
  <c r="AZ891" i="48"/>
  <c r="P891" i="48"/>
  <c r="J891" i="48"/>
  <c r="BT890" i="48"/>
  <c r="BS890" i="48"/>
  <c r="AZ890" i="48"/>
  <c r="P890" i="48"/>
  <c r="J890" i="48"/>
  <c r="BT889" i="48"/>
  <c r="BS889" i="48"/>
  <c r="AZ889" i="48"/>
  <c r="P889" i="48"/>
  <c r="J889" i="48"/>
  <c r="BT888" i="48"/>
  <c r="BS888" i="48"/>
  <c r="AZ888" i="48"/>
  <c r="P888" i="48"/>
  <c r="J888" i="48"/>
  <c r="BT887" i="48"/>
  <c r="BS887" i="48"/>
  <c r="AZ887" i="48"/>
  <c r="P887" i="48"/>
  <c r="J887" i="48"/>
  <c r="BT886" i="48"/>
  <c r="BS886" i="48"/>
  <c r="AZ886" i="48"/>
  <c r="P886" i="48"/>
  <c r="J886" i="48"/>
  <c r="BT885" i="48"/>
  <c r="BS885" i="48"/>
  <c r="AZ885" i="48"/>
  <c r="P885" i="48"/>
  <c r="J885" i="48"/>
  <c r="BT884" i="48"/>
  <c r="BS884" i="48"/>
  <c r="AZ884" i="48"/>
  <c r="P884" i="48"/>
  <c r="J884" i="48"/>
  <c r="BT883" i="48"/>
  <c r="BS883" i="48"/>
  <c r="AZ883" i="48"/>
  <c r="P883" i="48"/>
  <c r="J883" i="48"/>
  <c r="BT882" i="48"/>
  <c r="BS882" i="48"/>
  <c r="AZ882" i="48"/>
  <c r="P882" i="48"/>
  <c r="J882" i="48"/>
  <c r="BT881" i="48"/>
  <c r="BS881" i="48"/>
  <c r="AZ881" i="48"/>
  <c r="BT880" i="48"/>
  <c r="BS880" i="48"/>
  <c r="AZ880" i="48"/>
  <c r="BT879" i="48"/>
  <c r="BS879" i="48"/>
  <c r="AZ879" i="48"/>
  <c r="BT878" i="48"/>
  <c r="BS878" i="48"/>
  <c r="AZ878" i="48"/>
  <c r="BT877" i="48"/>
  <c r="BS877" i="48"/>
  <c r="AZ877" i="48"/>
  <c r="BT876" i="48"/>
  <c r="BS876" i="48"/>
  <c r="BU876" i="48"/>
  <c r="AZ876" i="48"/>
  <c r="BT874" i="48"/>
  <c r="BS874" i="48"/>
  <c r="AZ874" i="48"/>
  <c r="P874" i="48"/>
  <c r="J874" i="48"/>
  <c r="BT873" i="48"/>
  <c r="BS873" i="48"/>
  <c r="AZ873" i="48"/>
  <c r="P873" i="48"/>
  <c r="J873" i="48"/>
  <c r="BT872" i="48"/>
  <c r="BS872" i="48"/>
  <c r="AZ872" i="48"/>
  <c r="P872" i="48"/>
  <c r="J872" i="48"/>
  <c r="BT871" i="48"/>
  <c r="BS871" i="48"/>
  <c r="AZ871" i="48"/>
  <c r="P871" i="48"/>
  <c r="J871" i="48"/>
  <c r="BT870" i="48"/>
  <c r="BS870" i="48"/>
  <c r="AZ870" i="48"/>
  <c r="P870" i="48"/>
  <c r="J870" i="48"/>
  <c r="BT869" i="48"/>
  <c r="BS869" i="48"/>
  <c r="AZ869" i="48"/>
  <c r="P869" i="48"/>
  <c r="J869" i="48"/>
  <c r="BT868" i="48"/>
  <c r="BS868" i="48"/>
  <c r="AZ868" i="48"/>
  <c r="P868" i="48"/>
  <c r="J868" i="48"/>
  <c r="BT867" i="48"/>
  <c r="BS867" i="48"/>
  <c r="AZ867" i="48"/>
  <c r="P867" i="48"/>
  <c r="J867" i="48"/>
  <c r="BT866" i="48"/>
  <c r="BS866" i="48"/>
  <c r="AZ866" i="48"/>
  <c r="P866" i="48"/>
  <c r="J866" i="48"/>
  <c r="BT865" i="48"/>
  <c r="BS865" i="48"/>
  <c r="AZ865" i="48"/>
  <c r="P865" i="48"/>
  <c r="J865" i="48"/>
  <c r="BT864" i="48"/>
  <c r="BS864" i="48"/>
  <c r="AZ864" i="48"/>
  <c r="P864" i="48"/>
  <c r="J864" i="48"/>
  <c r="BT863" i="48"/>
  <c r="BS863" i="48"/>
  <c r="AZ863" i="48"/>
  <c r="P863" i="48"/>
  <c r="J863" i="48"/>
  <c r="BT862" i="48"/>
  <c r="BS862" i="48"/>
  <c r="AZ862" i="48"/>
  <c r="P862" i="48"/>
  <c r="J862" i="48"/>
  <c r="BT861" i="48"/>
  <c r="BS861" i="48"/>
  <c r="AZ861" i="48"/>
  <c r="P861" i="48"/>
  <c r="J861" i="48"/>
  <c r="BT860" i="48"/>
  <c r="BS860" i="48"/>
  <c r="AZ860" i="48"/>
  <c r="P860" i="48"/>
  <c r="J860" i="48"/>
  <c r="BT859" i="48"/>
  <c r="BS859" i="48"/>
  <c r="AZ859" i="48"/>
  <c r="P859" i="48"/>
  <c r="J859" i="48"/>
  <c r="BT858" i="48"/>
  <c r="BS858" i="48"/>
  <c r="AZ858" i="48"/>
  <c r="P858" i="48"/>
  <c r="J858" i="48"/>
  <c r="BT857" i="48"/>
  <c r="BS857" i="48"/>
  <c r="AZ857" i="48"/>
  <c r="BT856" i="48"/>
  <c r="BS856" i="48"/>
  <c r="AZ856" i="48"/>
  <c r="BT855" i="48"/>
  <c r="BS855" i="48"/>
  <c r="AZ855" i="48"/>
  <c r="BT854" i="48"/>
  <c r="BS854" i="48"/>
  <c r="AZ854" i="48"/>
  <c r="BT853" i="48"/>
  <c r="BS853" i="48"/>
  <c r="AZ853" i="48"/>
  <c r="BT852" i="48"/>
  <c r="BS852" i="48"/>
  <c r="BU852" i="48"/>
  <c r="AZ852" i="48"/>
  <c r="BT850" i="48"/>
  <c r="BS850" i="48"/>
  <c r="P850" i="48"/>
  <c r="J850" i="48"/>
  <c r="BT849" i="48"/>
  <c r="BS849" i="48"/>
  <c r="AZ849" i="48"/>
  <c r="P849" i="48"/>
  <c r="J849" i="48"/>
  <c r="BT848" i="48"/>
  <c r="BS848" i="48"/>
  <c r="AZ848" i="48"/>
  <c r="P848" i="48"/>
  <c r="J848" i="48"/>
  <c r="BT847" i="48"/>
  <c r="BS847" i="48"/>
  <c r="AZ847" i="48"/>
  <c r="P847" i="48"/>
  <c r="J847" i="48"/>
  <c r="BT846" i="48"/>
  <c r="BS846" i="48"/>
  <c r="AZ846" i="48"/>
  <c r="P846" i="48"/>
  <c r="J846" i="48"/>
  <c r="BT845" i="48"/>
  <c r="BS845" i="48"/>
  <c r="AZ845" i="48"/>
  <c r="P845" i="48"/>
  <c r="J845" i="48"/>
  <c r="BT844" i="48"/>
  <c r="BS844" i="48"/>
  <c r="AZ844" i="48"/>
  <c r="P844" i="48"/>
  <c r="J844" i="48"/>
  <c r="BT843" i="48"/>
  <c r="BS843" i="48"/>
  <c r="AZ843" i="48"/>
  <c r="P843" i="48"/>
  <c r="J843" i="48"/>
  <c r="BT842" i="48"/>
  <c r="BS842" i="48"/>
  <c r="AZ842" i="48"/>
  <c r="P842" i="48"/>
  <c r="J842" i="48"/>
  <c r="BT841" i="48"/>
  <c r="BS841" i="48"/>
  <c r="AZ841" i="48"/>
  <c r="P841" i="48"/>
  <c r="J841" i="48"/>
  <c r="BT840" i="48"/>
  <c r="BS840" i="48"/>
  <c r="AZ840" i="48"/>
  <c r="P840" i="48"/>
  <c r="J840" i="48"/>
  <c r="BT839" i="48"/>
  <c r="BS839" i="48"/>
  <c r="AZ839" i="48"/>
  <c r="P839" i="48"/>
  <c r="J839" i="48"/>
  <c r="BT838" i="48"/>
  <c r="BS838" i="48"/>
  <c r="AZ838" i="48"/>
  <c r="P838" i="48"/>
  <c r="J838" i="48"/>
  <c r="BT837" i="48"/>
  <c r="BS837" i="48"/>
  <c r="AZ837" i="48"/>
  <c r="P837" i="48"/>
  <c r="J837" i="48"/>
  <c r="BT836" i="48"/>
  <c r="BS836" i="48"/>
  <c r="AZ836" i="48"/>
  <c r="P836" i="48"/>
  <c r="J836" i="48"/>
  <c r="BT835" i="48"/>
  <c r="BS835" i="48"/>
  <c r="AZ835" i="48"/>
  <c r="P835" i="48"/>
  <c r="J835" i="48"/>
  <c r="BT834" i="48"/>
  <c r="BS834" i="48"/>
  <c r="AZ834" i="48"/>
  <c r="P834" i="48"/>
  <c r="J834" i="48"/>
  <c r="BT833" i="48"/>
  <c r="BS833" i="48"/>
  <c r="AZ833" i="48"/>
  <c r="BT832" i="48"/>
  <c r="BS832" i="48"/>
  <c r="AZ832" i="48"/>
  <c r="BT831" i="48"/>
  <c r="BS831" i="48"/>
  <c r="AZ831" i="48"/>
  <c r="BT830" i="48"/>
  <c r="BS830" i="48"/>
  <c r="AZ830" i="48"/>
  <c r="BT829" i="48"/>
  <c r="BS829" i="48"/>
  <c r="AZ829" i="48"/>
  <c r="BT828" i="48"/>
  <c r="BS828" i="48"/>
  <c r="BU828" i="48"/>
  <c r="AZ828" i="48"/>
  <c r="BT826" i="48"/>
  <c r="BS826" i="48"/>
  <c r="AZ826" i="48"/>
  <c r="P826" i="48"/>
  <c r="J826" i="48"/>
  <c r="BT825" i="48"/>
  <c r="BS825" i="48"/>
  <c r="AZ825" i="48"/>
  <c r="P825" i="48"/>
  <c r="J825" i="48"/>
  <c r="BT824" i="48"/>
  <c r="BS824" i="48"/>
  <c r="AZ824" i="48"/>
  <c r="P824" i="48"/>
  <c r="J824" i="48"/>
  <c r="BT823" i="48"/>
  <c r="BS823" i="48"/>
  <c r="AZ823" i="48"/>
  <c r="P823" i="48"/>
  <c r="J823" i="48"/>
  <c r="BT822" i="48"/>
  <c r="BS822" i="48"/>
  <c r="AZ822" i="48"/>
  <c r="P822" i="48"/>
  <c r="J822" i="48"/>
  <c r="BT821" i="48"/>
  <c r="BS821" i="48"/>
  <c r="AZ821" i="48"/>
  <c r="P821" i="48"/>
  <c r="J821" i="48"/>
  <c r="BT820" i="48"/>
  <c r="BS820" i="48"/>
  <c r="AZ820" i="48"/>
  <c r="P820" i="48"/>
  <c r="J820" i="48"/>
  <c r="BT819" i="48"/>
  <c r="BS819" i="48"/>
  <c r="AZ819" i="48"/>
  <c r="P819" i="48"/>
  <c r="J819" i="48"/>
  <c r="BT818" i="48"/>
  <c r="BS818" i="48"/>
  <c r="AZ818" i="48"/>
  <c r="P818" i="48"/>
  <c r="J818" i="48"/>
  <c r="BT817" i="48"/>
  <c r="BS817" i="48"/>
  <c r="AZ817" i="48"/>
  <c r="P817" i="48"/>
  <c r="J817" i="48"/>
  <c r="BT816" i="48"/>
  <c r="BS816" i="48"/>
  <c r="AZ816" i="48"/>
  <c r="P816" i="48"/>
  <c r="J816" i="48"/>
  <c r="BT815" i="48"/>
  <c r="BS815" i="48"/>
  <c r="AZ815" i="48"/>
  <c r="P815" i="48"/>
  <c r="J815" i="48"/>
  <c r="BT814" i="48"/>
  <c r="BS814" i="48"/>
  <c r="AZ814" i="48"/>
  <c r="P814" i="48"/>
  <c r="J814" i="48"/>
  <c r="BT813" i="48"/>
  <c r="BS813" i="48"/>
  <c r="AZ813" i="48"/>
  <c r="P813" i="48"/>
  <c r="J813" i="48"/>
  <c r="BT812" i="48"/>
  <c r="BS812" i="48"/>
  <c r="AZ812" i="48"/>
  <c r="P812" i="48"/>
  <c r="J812" i="48"/>
  <c r="BT811" i="48"/>
  <c r="BS811" i="48"/>
  <c r="AZ811" i="48"/>
  <c r="P811" i="48"/>
  <c r="J811" i="48"/>
  <c r="BT810" i="48"/>
  <c r="BS810" i="48"/>
  <c r="AZ810" i="48"/>
  <c r="P810" i="48"/>
  <c r="J810" i="48"/>
  <c r="BT809" i="48"/>
  <c r="BS809" i="48"/>
  <c r="AZ809" i="48"/>
  <c r="BT808" i="48"/>
  <c r="BS808" i="48"/>
  <c r="AZ808" i="48"/>
  <c r="BT807" i="48"/>
  <c r="BS807" i="48"/>
  <c r="AZ807" i="48"/>
  <c r="BT806" i="48"/>
  <c r="BS806" i="48"/>
  <c r="AZ806" i="48"/>
  <c r="BT805" i="48"/>
  <c r="BS805" i="48"/>
  <c r="AZ805" i="48"/>
  <c r="BT804" i="48"/>
  <c r="BS804" i="48"/>
  <c r="BU804" i="48"/>
  <c r="AZ804" i="48"/>
  <c r="BT802" i="48"/>
  <c r="BS802" i="48"/>
  <c r="AZ802" i="48"/>
  <c r="P802" i="48"/>
  <c r="J802" i="48"/>
  <c r="BT801" i="48"/>
  <c r="BS801" i="48"/>
  <c r="AZ801" i="48"/>
  <c r="P801" i="48"/>
  <c r="J801" i="48"/>
  <c r="BT800" i="48"/>
  <c r="BS800" i="48"/>
  <c r="AZ800" i="48"/>
  <c r="P800" i="48"/>
  <c r="J800" i="48"/>
  <c r="BT799" i="48"/>
  <c r="BS799" i="48"/>
  <c r="AZ799" i="48"/>
  <c r="P799" i="48"/>
  <c r="J799" i="48"/>
  <c r="BT798" i="48"/>
  <c r="BS798" i="48"/>
  <c r="AZ798" i="48"/>
  <c r="P798" i="48"/>
  <c r="J798" i="48"/>
  <c r="BT797" i="48"/>
  <c r="BS797" i="48"/>
  <c r="AZ797" i="48"/>
  <c r="P797" i="48"/>
  <c r="J797" i="48"/>
  <c r="BT796" i="48"/>
  <c r="BS796" i="48"/>
  <c r="AZ796" i="48"/>
  <c r="P796" i="48"/>
  <c r="J796" i="48"/>
  <c r="BT795" i="48"/>
  <c r="BS795" i="48"/>
  <c r="AZ795" i="48"/>
  <c r="P795" i="48"/>
  <c r="J795" i="48"/>
  <c r="BT794" i="48"/>
  <c r="BS794" i="48"/>
  <c r="AZ794" i="48"/>
  <c r="P794" i="48"/>
  <c r="J794" i="48"/>
  <c r="BT793" i="48"/>
  <c r="BS793" i="48"/>
  <c r="AZ793" i="48"/>
  <c r="P793" i="48"/>
  <c r="J793" i="48"/>
  <c r="BT792" i="48"/>
  <c r="BS792" i="48"/>
  <c r="AZ792" i="48"/>
  <c r="P792" i="48"/>
  <c r="J792" i="48"/>
  <c r="BT791" i="48"/>
  <c r="BS791" i="48"/>
  <c r="AZ791" i="48"/>
  <c r="P791" i="48"/>
  <c r="J791" i="48"/>
  <c r="BT790" i="48"/>
  <c r="BS790" i="48"/>
  <c r="AZ790" i="48"/>
  <c r="P790" i="48"/>
  <c r="J790" i="48"/>
  <c r="BT789" i="48"/>
  <c r="BS789" i="48"/>
  <c r="AZ789" i="48"/>
  <c r="P789" i="48"/>
  <c r="J789" i="48"/>
  <c r="BT788" i="48"/>
  <c r="BS788" i="48"/>
  <c r="AZ788" i="48"/>
  <c r="P788" i="48"/>
  <c r="J788" i="48"/>
  <c r="BT787" i="48"/>
  <c r="BS787" i="48"/>
  <c r="AZ787" i="48"/>
  <c r="P787" i="48"/>
  <c r="J787" i="48"/>
  <c r="BT786" i="48"/>
  <c r="BS786" i="48"/>
  <c r="AZ786" i="48"/>
  <c r="P786" i="48"/>
  <c r="J786" i="48"/>
  <c r="BT785" i="48"/>
  <c r="BS785" i="48"/>
  <c r="AZ785" i="48"/>
  <c r="BT784" i="48"/>
  <c r="BS784" i="48"/>
  <c r="AZ784" i="48"/>
  <c r="BT783" i="48"/>
  <c r="BS783" i="48"/>
  <c r="AZ783" i="48"/>
  <c r="BT782" i="48"/>
  <c r="BS782" i="48"/>
  <c r="AZ782" i="48"/>
  <c r="BT781" i="48"/>
  <c r="BS781" i="48"/>
  <c r="AZ781" i="48"/>
  <c r="BT780" i="48"/>
  <c r="BS780" i="48"/>
  <c r="BU780" i="48"/>
  <c r="AZ780" i="48"/>
  <c r="BT778" i="48"/>
  <c r="BS778" i="48"/>
  <c r="P778" i="48"/>
  <c r="J778" i="48"/>
  <c r="BT777" i="48"/>
  <c r="BS777" i="48"/>
  <c r="AZ777" i="48"/>
  <c r="P777" i="48"/>
  <c r="J777" i="48"/>
  <c r="BT776" i="48"/>
  <c r="BS776" i="48"/>
  <c r="AZ776" i="48"/>
  <c r="P776" i="48"/>
  <c r="J776" i="48"/>
  <c r="BT775" i="48"/>
  <c r="BS775" i="48"/>
  <c r="P775" i="48"/>
  <c r="J775" i="48"/>
  <c r="BT774" i="48"/>
  <c r="BS774" i="48"/>
  <c r="P774" i="48"/>
  <c r="J774" i="48"/>
  <c r="BT773" i="48"/>
  <c r="BS773" i="48"/>
  <c r="P773" i="48"/>
  <c r="J773" i="48"/>
  <c r="BT772" i="48"/>
  <c r="BS772" i="48"/>
  <c r="P772" i="48"/>
  <c r="J772" i="48"/>
  <c r="BT771" i="48"/>
  <c r="BS771" i="48"/>
  <c r="P771" i="48"/>
  <c r="J771" i="48"/>
  <c r="BT770" i="48"/>
  <c r="BS770" i="48"/>
  <c r="P770" i="48"/>
  <c r="J770" i="48"/>
  <c r="BT769" i="48"/>
  <c r="BS769" i="48"/>
  <c r="P769" i="48"/>
  <c r="J769" i="48"/>
  <c r="BT768" i="48"/>
  <c r="BS768" i="48"/>
  <c r="P768" i="48"/>
  <c r="J768" i="48"/>
  <c r="BT767" i="48"/>
  <c r="BS767" i="48"/>
  <c r="P767" i="48"/>
  <c r="J767" i="48"/>
  <c r="BT766" i="48"/>
  <c r="BS766" i="48"/>
  <c r="P766" i="48"/>
  <c r="J766" i="48"/>
  <c r="BT765" i="48"/>
  <c r="BS765" i="48"/>
  <c r="P765" i="48"/>
  <c r="J765" i="48"/>
  <c r="BT764" i="48"/>
  <c r="BS764" i="48"/>
  <c r="AZ764" i="48"/>
  <c r="P764" i="48"/>
  <c r="J764" i="48"/>
  <c r="BT763" i="48"/>
  <c r="BS763" i="48"/>
  <c r="AZ763" i="48"/>
  <c r="P763" i="48"/>
  <c r="J763" i="48"/>
  <c r="BT762" i="48"/>
  <c r="BS762" i="48"/>
  <c r="AZ762" i="48"/>
  <c r="P762" i="48"/>
  <c r="J762" i="48"/>
  <c r="BT761" i="48"/>
  <c r="BS761" i="48"/>
  <c r="AZ761" i="48"/>
  <c r="BT760" i="48"/>
  <c r="BS760" i="48"/>
  <c r="AZ760" i="48"/>
  <c r="BT759" i="48"/>
  <c r="BS759" i="48"/>
  <c r="AZ759" i="48"/>
  <c r="BT758" i="48"/>
  <c r="BS758" i="48"/>
  <c r="AZ758" i="48"/>
  <c r="BT757" i="48"/>
  <c r="BS757" i="48"/>
  <c r="AZ757" i="48"/>
  <c r="BT756" i="48"/>
  <c r="BS756" i="48"/>
  <c r="BU756" i="48"/>
  <c r="AZ756" i="48"/>
  <c r="BT754" i="48"/>
  <c r="BS754" i="48"/>
  <c r="P754" i="48"/>
  <c r="J754" i="48"/>
  <c r="BT753" i="48"/>
  <c r="BS753" i="48"/>
  <c r="AZ753" i="48"/>
  <c r="P753" i="48"/>
  <c r="J753" i="48"/>
  <c r="BT752" i="48"/>
  <c r="BS752" i="48"/>
  <c r="AZ752" i="48"/>
  <c r="P752" i="48"/>
  <c r="J752" i="48"/>
  <c r="BT751" i="48"/>
  <c r="BS751" i="48"/>
  <c r="AZ751" i="48"/>
  <c r="P751" i="48"/>
  <c r="J751" i="48"/>
  <c r="BT750" i="48"/>
  <c r="BS750" i="48"/>
  <c r="AZ750" i="48"/>
  <c r="P750" i="48"/>
  <c r="J750" i="48"/>
  <c r="BT749" i="48"/>
  <c r="BS749" i="48"/>
  <c r="AZ749" i="48"/>
  <c r="P749" i="48"/>
  <c r="J749" i="48"/>
  <c r="BT748" i="48"/>
  <c r="BS748" i="48"/>
  <c r="AZ748" i="48"/>
  <c r="P748" i="48"/>
  <c r="J748" i="48"/>
  <c r="BT747" i="48"/>
  <c r="BS747" i="48"/>
  <c r="AZ747" i="48"/>
  <c r="P747" i="48"/>
  <c r="J747" i="48"/>
  <c r="BT746" i="48"/>
  <c r="BS746" i="48"/>
  <c r="AZ746" i="48"/>
  <c r="P746" i="48"/>
  <c r="J746" i="48"/>
  <c r="BT745" i="48"/>
  <c r="BS745" i="48"/>
  <c r="AZ745" i="48"/>
  <c r="P745" i="48"/>
  <c r="J745" i="48"/>
  <c r="BT744" i="48"/>
  <c r="BS744" i="48"/>
  <c r="AZ744" i="48"/>
  <c r="P744" i="48"/>
  <c r="J744" i="48"/>
  <c r="BT743" i="48"/>
  <c r="BS743" i="48"/>
  <c r="AZ743" i="48"/>
  <c r="P743" i="48"/>
  <c r="J743" i="48"/>
  <c r="BT742" i="48"/>
  <c r="BS742" i="48"/>
  <c r="AZ742" i="48"/>
  <c r="P742" i="48"/>
  <c r="J742" i="48"/>
  <c r="BT741" i="48"/>
  <c r="BS741" i="48"/>
  <c r="AZ741" i="48"/>
  <c r="P741" i="48"/>
  <c r="J741" i="48"/>
  <c r="BT740" i="48"/>
  <c r="BS740" i="48"/>
  <c r="AZ740" i="48"/>
  <c r="P740" i="48"/>
  <c r="J740" i="48"/>
  <c r="BT739" i="48"/>
  <c r="BS739" i="48"/>
  <c r="AZ739" i="48"/>
  <c r="P739" i="48"/>
  <c r="J739" i="48"/>
  <c r="BT738" i="48"/>
  <c r="BS738" i="48"/>
  <c r="AZ738" i="48"/>
  <c r="P738" i="48"/>
  <c r="J738" i="48"/>
  <c r="BT737" i="48"/>
  <c r="BS737" i="48"/>
  <c r="AZ737" i="48"/>
  <c r="BT736" i="48"/>
  <c r="BS736" i="48"/>
  <c r="AZ736" i="48"/>
  <c r="BT735" i="48"/>
  <c r="BS735" i="48"/>
  <c r="AZ735" i="48"/>
  <c r="BT734" i="48"/>
  <c r="BS734" i="48"/>
  <c r="AZ734" i="48"/>
  <c r="BT733" i="48"/>
  <c r="BS733" i="48"/>
  <c r="AZ733" i="48"/>
  <c r="BT732" i="48"/>
  <c r="BS732" i="48"/>
  <c r="BU732" i="48"/>
  <c r="AZ732" i="48"/>
  <c r="BT730" i="48"/>
  <c r="BS730" i="48"/>
  <c r="AZ730" i="48"/>
  <c r="P730" i="48"/>
  <c r="J730" i="48"/>
  <c r="BT729" i="48"/>
  <c r="BS729" i="48"/>
  <c r="AZ729" i="48"/>
  <c r="P729" i="48"/>
  <c r="J729" i="48"/>
  <c r="BT728" i="48"/>
  <c r="BS728" i="48"/>
  <c r="AZ728" i="48"/>
  <c r="P728" i="48"/>
  <c r="J728" i="48"/>
  <c r="BT727" i="48"/>
  <c r="BS727" i="48"/>
  <c r="AZ727" i="48"/>
  <c r="P727" i="48"/>
  <c r="J727" i="48"/>
  <c r="BT726" i="48"/>
  <c r="BS726" i="48"/>
  <c r="AZ726" i="48"/>
  <c r="P726" i="48"/>
  <c r="J726" i="48"/>
  <c r="BT725" i="48"/>
  <c r="BS725" i="48"/>
  <c r="AZ725" i="48"/>
  <c r="P725" i="48"/>
  <c r="J725" i="48"/>
  <c r="BT724" i="48"/>
  <c r="BS724" i="48"/>
  <c r="AZ724" i="48"/>
  <c r="P724" i="48"/>
  <c r="J724" i="48"/>
  <c r="BT723" i="48"/>
  <c r="BS723" i="48"/>
  <c r="AZ723" i="48"/>
  <c r="P723" i="48"/>
  <c r="J723" i="48"/>
  <c r="BT722" i="48"/>
  <c r="BS722" i="48"/>
  <c r="AZ722" i="48"/>
  <c r="P722" i="48"/>
  <c r="J722" i="48"/>
  <c r="BT721" i="48"/>
  <c r="BS721" i="48"/>
  <c r="AZ721" i="48"/>
  <c r="P721" i="48"/>
  <c r="J721" i="48"/>
  <c r="BT720" i="48"/>
  <c r="BS720" i="48"/>
  <c r="AZ720" i="48"/>
  <c r="P720" i="48"/>
  <c r="J720" i="48"/>
  <c r="BT719" i="48"/>
  <c r="BS719" i="48"/>
  <c r="AZ719" i="48"/>
  <c r="P719" i="48"/>
  <c r="J719" i="48"/>
  <c r="BT718" i="48"/>
  <c r="BS718" i="48"/>
  <c r="AZ718" i="48"/>
  <c r="P718" i="48"/>
  <c r="J718" i="48"/>
  <c r="BT717" i="48"/>
  <c r="BS717" i="48"/>
  <c r="AZ717" i="48"/>
  <c r="P717" i="48"/>
  <c r="J717" i="48"/>
  <c r="BT716" i="48"/>
  <c r="BS716" i="48"/>
  <c r="AZ716" i="48"/>
  <c r="P716" i="48"/>
  <c r="J716" i="48"/>
  <c r="BT715" i="48"/>
  <c r="BS715" i="48"/>
  <c r="AZ715" i="48"/>
  <c r="P715" i="48"/>
  <c r="J715" i="48"/>
  <c r="BT714" i="48"/>
  <c r="BS714" i="48"/>
  <c r="AZ714" i="48"/>
  <c r="P714" i="48"/>
  <c r="J714" i="48"/>
  <c r="BT713" i="48"/>
  <c r="BS713" i="48"/>
  <c r="AZ713" i="48"/>
  <c r="BT712" i="48"/>
  <c r="BS712" i="48"/>
  <c r="AZ712" i="48"/>
  <c r="BT711" i="48"/>
  <c r="BS711" i="48"/>
  <c r="AZ711" i="48"/>
  <c r="BT710" i="48"/>
  <c r="BS710" i="48"/>
  <c r="AZ710" i="48"/>
  <c r="BT709" i="48"/>
  <c r="BS709" i="48"/>
  <c r="AZ709" i="48"/>
  <c r="BT708" i="48"/>
  <c r="BS708" i="48"/>
  <c r="BU708" i="48"/>
  <c r="AZ708" i="48"/>
  <c r="BT706" i="48"/>
  <c r="BS706" i="48"/>
  <c r="AZ706" i="48"/>
  <c r="P706" i="48"/>
  <c r="J706" i="48"/>
  <c r="BT705" i="48"/>
  <c r="BS705" i="48"/>
  <c r="AZ705" i="48"/>
  <c r="P705" i="48"/>
  <c r="J705" i="48"/>
  <c r="BT704" i="48"/>
  <c r="BS704" i="48"/>
  <c r="AZ704" i="48"/>
  <c r="P704" i="48"/>
  <c r="J704" i="48"/>
  <c r="BT703" i="48"/>
  <c r="BS703" i="48"/>
  <c r="AZ703" i="48"/>
  <c r="P703" i="48"/>
  <c r="J703" i="48"/>
  <c r="BT702" i="48"/>
  <c r="BS702" i="48"/>
  <c r="AZ702" i="48"/>
  <c r="P702" i="48"/>
  <c r="J702" i="48"/>
  <c r="BT701" i="48"/>
  <c r="BS701" i="48"/>
  <c r="AZ701" i="48"/>
  <c r="P701" i="48"/>
  <c r="J701" i="48"/>
  <c r="BT700" i="48"/>
  <c r="BS700" i="48"/>
  <c r="AZ700" i="48"/>
  <c r="P700" i="48"/>
  <c r="J700" i="48"/>
  <c r="BT699" i="48"/>
  <c r="BS699" i="48"/>
  <c r="AZ699" i="48"/>
  <c r="P699" i="48"/>
  <c r="J699" i="48"/>
  <c r="BT698" i="48"/>
  <c r="BS698" i="48"/>
  <c r="AZ698" i="48"/>
  <c r="P698" i="48"/>
  <c r="J698" i="48"/>
  <c r="BT697" i="48"/>
  <c r="BS697" i="48"/>
  <c r="AZ697" i="48"/>
  <c r="P697" i="48"/>
  <c r="J697" i="48"/>
  <c r="BT696" i="48"/>
  <c r="BS696" i="48"/>
  <c r="AZ696" i="48"/>
  <c r="P696" i="48"/>
  <c r="J696" i="48"/>
  <c r="BT695" i="48"/>
  <c r="BS695" i="48"/>
  <c r="AZ695" i="48"/>
  <c r="P695" i="48"/>
  <c r="J695" i="48"/>
  <c r="BT694" i="48"/>
  <c r="BS694" i="48"/>
  <c r="AZ694" i="48"/>
  <c r="P694" i="48"/>
  <c r="J694" i="48"/>
  <c r="BT693" i="48"/>
  <c r="BS693" i="48"/>
  <c r="AZ693" i="48"/>
  <c r="P693" i="48"/>
  <c r="J693" i="48"/>
  <c r="BT692" i="48"/>
  <c r="BS692" i="48"/>
  <c r="AZ692" i="48"/>
  <c r="P692" i="48"/>
  <c r="J692" i="48"/>
  <c r="BT691" i="48"/>
  <c r="BS691" i="48"/>
  <c r="AZ691" i="48"/>
  <c r="P691" i="48"/>
  <c r="J691" i="48"/>
  <c r="BT690" i="48"/>
  <c r="BS690" i="48"/>
  <c r="AZ690" i="48"/>
  <c r="BT689" i="48"/>
  <c r="BS689" i="48"/>
  <c r="AZ689" i="48"/>
  <c r="BT688" i="48"/>
  <c r="BS688" i="48"/>
  <c r="AZ688" i="48"/>
  <c r="BT687" i="48"/>
  <c r="BS687" i="48"/>
  <c r="AZ687" i="48"/>
  <c r="BT686" i="48"/>
  <c r="BS686" i="48"/>
  <c r="AZ686" i="48"/>
  <c r="BT685" i="48"/>
  <c r="BS685" i="48"/>
  <c r="AZ685" i="48"/>
  <c r="BT684" i="48"/>
  <c r="BS684" i="48"/>
  <c r="BU684" i="48"/>
  <c r="AZ684" i="48"/>
  <c r="BT682" i="48"/>
  <c r="BS682" i="48"/>
  <c r="AZ682" i="48"/>
  <c r="P682" i="48"/>
  <c r="J682" i="48"/>
  <c r="BT681" i="48"/>
  <c r="BS681" i="48"/>
  <c r="AZ681" i="48"/>
  <c r="P681" i="48"/>
  <c r="J681" i="48"/>
  <c r="BT680" i="48"/>
  <c r="BS680" i="48"/>
  <c r="AZ680" i="48"/>
  <c r="P680" i="48"/>
  <c r="J680" i="48"/>
  <c r="BT679" i="48"/>
  <c r="BS679" i="48"/>
  <c r="AZ679" i="48"/>
  <c r="P679" i="48"/>
  <c r="J679" i="48"/>
  <c r="BT678" i="48"/>
  <c r="BS678" i="48"/>
  <c r="AZ678" i="48"/>
  <c r="P678" i="48"/>
  <c r="J678" i="48"/>
  <c r="BT677" i="48"/>
  <c r="BS677" i="48"/>
  <c r="AZ677" i="48"/>
  <c r="P677" i="48"/>
  <c r="J677" i="48"/>
  <c r="BT676" i="48"/>
  <c r="BS676" i="48"/>
  <c r="AZ676" i="48"/>
  <c r="P676" i="48"/>
  <c r="J676" i="48"/>
  <c r="BT675" i="48"/>
  <c r="BS675" i="48"/>
  <c r="AZ675" i="48"/>
  <c r="P675" i="48"/>
  <c r="J675" i="48"/>
  <c r="BT674" i="48"/>
  <c r="BS674" i="48"/>
  <c r="AZ674" i="48"/>
  <c r="P674" i="48"/>
  <c r="J674" i="48"/>
  <c r="BT673" i="48"/>
  <c r="BS673" i="48"/>
  <c r="AZ673" i="48"/>
  <c r="P673" i="48"/>
  <c r="J673" i="48"/>
  <c r="BT672" i="48"/>
  <c r="BS672" i="48"/>
  <c r="AZ672" i="48"/>
  <c r="P672" i="48"/>
  <c r="J672" i="48"/>
  <c r="BT671" i="48"/>
  <c r="BS671" i="48"/>
  <c r="AZ671" i="48"/>
  <c r="P671" i="48"/>
  <c r="J671" i="48"/>
  <c r="BT670" i="48"/>
  <c r="BS670" i="48"/>
  <c r="AZ670" i="48"/>
  <c r="P670" i="48"/>
  <c r="J670" i="48"/>
  <c r="BT669" i="48"/>
  <c r="BS669" i="48"/>
  <c r="AZ669" i="48"/>
  <c r="P669" i="48"/>
  <c r="J669" i="48"/>
  <c r="BT668" i="48"/>
  <c r="BS668" i="48"/>
  <c r="AZ668" i="48"/>
  <c r="P668" i="48"/>
  <c r="J668" i="48"/>
  <c r="BT667" i="48"/>
  <c r="BS667" i="48"/>
  <c r="AZ667" i="48"/>
  <c r="P667" i="48"/>
  <c r="J667" i="48"/>
  <c r="BT666" i="48"/>
  <c r="BS666" i="48"/>
  <c r="AZ666" i="48"/>
  <c r="P666" i="48"/>
  <c r="J666" i="48"/>
  <c r="BT665" i="48"/>
  <c r="BS665" i="48"/>
  <c r="AZ665" i="48"/>
  <c r="BT664" i="48"/>
  <c r="BS664" i="48"/>
  <c r="AZ664" i="48"/>
  <c r="BT663" i="48"/>
  <c r="BS663" i="48"/>
  <c r="AZ663" i="48"/>
  <c r="BT662" i="48"/>
  <c r="BS662" i="48"/>
  <c r="AZ662" i="48"/>
  <c r="BT661" i="48"/>
  <c r="BS661" i="48"/>
  <c r="AZ661" i="48"/>
  <c r="BT660" i="48"/>
  <c r="BS660" i="48"/>
  <c r="BU660" i="48"/>
  <c r="AZ660" i="48"/>
  <c r="BT658" i="48"/>
  <c r="BS658" i="48"/>
  <c r="AZ658" i="48"/>
  <c r="P658" i="48"/>
  <c r="J658" i="48"/>
  <c r="BT657" i="48"/>
  <c r="BS657" i="48"/>
  <c r="AZ657" i="48"/>
  <c r="P657" i="48"/>
  <c r="J657" i="48"/>
  <c r="BT656" i="48"/>
  <c r="BS656" i="48"/>
  <c r="AZ656" i="48"/>
  <c r="P656" i="48"/>
  <c r="J656" i="48"/>
  <c r="BT655" i="48"/>
  <c r="BS655" i="48"/>
  <c r="AZ655" i="48"/>
  <c r="P655" i="48"/>
  <c r="J655" i="48"/>
  <c r="BT654" i="48"/>
  <c r="BS654" i="48"/>
  <c r="AZ654" i="48"/>
  <c r="P654" i="48"/>
  <c r="J654" i="48"/>
  <c r="BT653" i="48"/>
  <c r="BS653" i="48"/>
  <c r="AZ653" i="48"/>
  <c r="P653" i="48"/>
  <c r="J653" i="48"/>
  <c r="BT652" i="48"/>
  <c r="BS652" i="48"/>
  <c r="AZ652" i="48"/>
  <c r="P652" i="48"/>
  <c r="J652" i="48"/>
  <c r="BT651" i="48"/>
  <c r="BS651" i="48"/>
  <c r="AZ651" i="48"/>
  <c r="P651" i="48"/>
  <c r="J651" i="48"/>
  <c r="BT650" i="48"/>
  <c r="BS650" i="48"/>
  <c r="AZ650" i="48"/>
  <c r="P650" i="48"/>
  <c r="J650" i="48"/>
  <c r="BT649" i="48"/>
  <c r="BS649" i="48"/>
  <c r="AZ649" i="48"/>
  <c r="P649" i="48"/>
  <c r="J649" i="48"/>
  <c r="BT648" i="48"/>
  <c r="BS648" i="48"/>
  <c r="AZ648" i="48"/>
  <c r="P648" i="48"/>
  <c r="J648" i="48"/>
  <c r="BT647" i="48"/>
  <c r="BS647" i="48"/>
  <c r="AZ647" i="48"/>
  <c r="P647" i="48"/>
  <c r="J647" i="48"/>
  <c r="BT646" i="48"/>
  <c r="BS646" i="48"/>
  <c r="AZ646" i="48"/>
  <c r="P646" i="48"/>
  <c r="J646" i="48"/>
  <c r="BT645" i="48"/>
  <c r="BS645" i="48"/>
  <c r="AZ645" i="48"/>
  <c r="P645" i="48"/>
  <c r="J645" i="48"/>
  <c r="BT644" i="48"/>
  <c r="BS644" i="48"/>
  <c r="AZ644" i="48"/>
  <c r="P644" i="48"/>
  <c r="J644" i="48"/>
  <c r="BT643" i="48"/>
  <c r="BS643" i="48"/>
  <c r="AZ643" i="48"/>
  <c r="P643" i="48"/>
  <c r="J643" i="48"/>
  <c r="BT642" i="48"/>
  <c r="BS642" i="48"/>
  <c r="AZ642" i="48"/>
  <c r="P642" i="48"/>
  <c r="J642" i="48"/>
  <c r="BT641" i="48"/>
  <c r="BS641" i="48"/>
  <c r="AZ641" i="48"/>
  <c r="BT640" i="48"/>
  <c r="BS640" i="48"/>
  <c r="AZ640" i="48"/>
  <c r="BT639" i="48"/>
  <c r="BS639" i="48"/>
  <c r="AZ639" i="48"/>
  <c r="BT638" i="48"/>
  <c r="BS638" i="48"/>
  <c r="AZ638" i="48"/>
  <c r="BT637" i="48"/>
  <c r="BS637" i="48"/>
  <c r="AZ637" i="48"/>
  <c r="BT636" i="48"/>
  <c r="BS636" i="48"/>
  <c r="BU636" i="48"/>
  <c r="AZ636" i="48"/>
  <c r="BT634" i="48"/>
  <c r="BS634" i="48"/>
  <c r="AZ634" i="48"/>
  <c r="P634" i="48"/>
  <c r="J634" i="48"/>
  <c r="BT633" i="48"/>
  <c r="BS633" i="48"/>
  <c r="AZ633" i="48"/>
  <c r="P633" i="48"/>
  <c r="J633" i="48"/>
  <c r="BT632" i="48"/>
  <c r="BS632" i="48"/>
  <c r="AZ632" i="48"/>
  <c r="P632" i="48"/>
  <c r="J632" i="48"/>
  <c r="BT631" i="48"/>
  <c r="BS631" i="48"/>
  <c r="AZ631" i="48"/>
  <c r="P631" i="48"/>
  <c r="J631" i="48"/>
  <c r="BT630" i="48"/>
  <c r="BS630" i="48"/>
  <c r="AZ630" i="48"/>
  <c r="P630" i="48"/>
  <c r="J630" i="48"/>
  <c r="BT629" i="48"/>
  <c r="BS629" i="48"/>
  <c r="AZ629" i="48"/>
  <c r="P629" i="48"/>
  <c r="J629" i="48"/>
  <c r="BT628" i="48"/>
  <c r="BS628" i="48"/>
  <c r="AZ628" i="48"/>
  <c r="P628" i="48"/>
  <c r="J628" i="48"/>
  <c r="BT627" i="48"/>
  <c r="BS627" i="48"/>
  <c r="AZ627" i="48"/>
  <c r="P627" i="48"/>
  <c r="J627" i="48"/>
  <c r="BT626" i="48"/>
  <c r="BS626" i="48"/>
  <c r="AZ626" i="48"/>
  <c r="P626" i="48"/>
  <c r="J626" i="48"/>
  <c r="BT625" i="48"/>
  <c r="BS625" i="48"/>
  <c r="AZ625" i="48"/>
  <c r="P625" i="48"/>
  <c r="J625" i="48"/>
  <c r="BT624" i="48"/>
  <c r="BS624" i="48"/>
  <c r="AZ624" i="48"/>
  <c r="P624" i="48"/>
  <c r="J624" i="48"/>
  <c r="BT623" i="48"/>
  <c r="BS623" i="48"/>
  <c r="AZ623" i="48"/>
  <c r="P623" i="48"/>
  <c r="J623" i="48"/>
  <c r="BT622" i="48"/>
  <c r="BS622" i="48"/>
  <c r="AZ622" i="48"/>
  <c r="P622" i="48"/>
  <c r="J622" i="48"/>
  <c r="BT621" i="48"/>
  <c r="BS621" i="48"/>
  <c r="AZ621" i="48"/>
  <c r="P621" i="48"/>
  <c r="J621" i="48"/>
  <c r="BT620" i="48"/>
  <c r="BS620" i="48"/>
  <c r="AZ620" i="48"/>
  <c r="P620" i="48"/>
  <c r="J620" i="48"/>
  <c r="BT619" i="48"/>
  <c r="BS619" i="48"/>
  <c r="AZ619" i="48"/>
  <c r="P619" i="48"/>
  <c r="J619" i="48"/>
  <c r="BT618" i="48"/>
  <c r="BS618" i="48"/>
  <c r="AZ618" i="48"/>
  <c r="P618" i="48"/>
  <c r="J618" i="48"/>
  <c r="BT617" i="48"/>
  <c r="BS617" i="48"/>
  <c r="AZ617" i="48"/>
  <c r="BT616" i="48"/>
  <c r="BS616" i="48"/>
  <c r="AZ616" i="48"/>
  <c r="BT615" i="48"/>
  <c r="BS615" i="48"/>
  <c r="AZ615" i="48"/>
  <c r="BT614" i="48"/>
  <c r="BS614" i="48"/>
  <c r="AZ614" i="48"/>
  <c r="BT613" i="48"/>
  <c r="BS613" i="48"/>
  <c r="AZ613" i="48"/>
  <c r="BT612" i="48"/>
  <c r="BS612" i="48"/>
  <c r="BU612" i="48"/>
  <c r="AZ612" i="48"/>
  <c r="BT610" i="48"/>
  <c r="BS610" i="48"/>
  <c r="AZ610" i="48"/>
  <c r="P610" i="48"/>
  <c r="J610" i="48"/>
  <c r="BT609" i="48"/>
  <c r="BS609" i="48"/>
  <c r="AZ609" i="48"/>
  <c r="P609" i="48"/>
  <c r="J609" i="48"/>
  <c r="BT608" i="48"/>
  <c r="BS608" i="48"/>
  <c r="AZ608" i="48"/>
  <c r="P608" i="48"/>
  <c r="J608" i="48"/>
  <c r="BT607" i="48"/>
  <c r="BS607" i="48"/>
  <c r="AZ607" i="48"/>
  <c r="P607" i="48"/>
  <c r="J607" i="48"/>
  <c r="BT606" i="48"/>
  <c r="BS606" i="48"/>
  <c r="AZ606" i="48"/>
  <c r="P606" i="48"/>
  <c r="J606" i="48"/>
  <c r="BT605" i="48"/>
  <c r="BS605" i="48"/>
  <c r="AZ605" i="48"/>
  <c r="P605" i="48"/>
  <c r="J605" i="48"/>
  <c r="BT604" i="48"/>
  <c r="BS604" i="48"/>
  <c r="AZ604" i="48"/>
  <c r="P604" i="48"/>
  <c r="J604" i="48"/>
  <c r="BT603" i="48"/>
  <c r="BS603" i="48"/>
  <c r="AZ603" i="48"/>
  <c r="P603" i="48"/>
  <c r="J603" i="48"/>
  <c r="BT602" i="48"/>
  <c r="BS602" i="48"/>
  <c r="AZ602" i="48"/>
  <c r="P602" i="48"/>
  <c r="J602" i="48"/>
  <c r="BT601" i="48"/>
  <c r="BS601" i="48"/>
  <c r="AZ601" i="48"/>
  <c r="P601" i="48"/>
  <c r="J601" i="48"/>
  <c r="BT600" i="48"/>
  <c r="BS600" i="48"/>
  <c r="AZ600" i="48"/>
  <c r="P600" i="48"/>
  <c r="J600" i="48"/>
  <c r="BT599" i="48"/>
  <c r="BS599" i="48"/>
  <c r="AZ599" i="48"/>
  <c r="P599" i="48"/>
  <c r="J599" i="48"/>
  <c r="BT598" i="48"/>
  <c r="BS598" i="48"/>
  <c r="AZ598" i="48"/>
  <c r="P598" i="48"/>
  <c r="J598" i="48"/>
  <c r="BT597" i="48"/>
  <c r="BS597" i="48"/>
  <c r="AZ597" i="48"/>
  <c r="P597" i="48"/>
  <c r="J597" i="48"/>
  <c r="BT596" i="48"/>
  <c r="BS596" i="48"/>
  <c r="AZ596" i="48"/>
  <c r="P596" i="48"/>
  <c r="J596" i="48"/>
  <c r="BT595" i="48"/>
  <c r="BS595" i="48"/>
  <c r="AZ595" i="48"/>
  <c r="P595" i="48"/>
  <c r="J595" i="48"/>
  <c r="BT594" i="48"/>
  <c r="BS594" i="48"/>
  <c r="AZ594" i="48"/>
  <c r="P594" i="48"/>
  <c r="J594" i="48"/>
  <c r="BT593" i="48"/>
  <c r="BS593" i="48"/>
  <c r="AZ593" i="48"/>
  <c r="BT592" i="48"/>
  <c r="BS592" i="48"/>
  <c r="AZ592" i="48"/>
  <c r="BT591" i="48"/>
  <c r="BS591" i="48"/>
  <c r="AZ591" i="48"/>
  <c r="BT590" i="48"/>
  <c r="BS590" i="48"/>
  <c r="AZ590" i="48"/>
  <c r="BT589" i="48"/>
  <c r="BS589" i="48"/>
  <c r="AZ589" i="48"/>
  <c r="BT588" i="48"/>
  <c r="BS588" i="48"/>
  <c r="BU588" i="48"/>
  <c r="AZ588" i="48"/>
  <c r="BT586" i="48"/>
  <c r="BS586" i="48"/>
  <c r="P586" i="48"/>
  <c r="J586" i="48"/>
  <c r="BT585" i="48"/>
  <c r="BS585" i="48"/>
  <c r="AZ585" i="48"/>
  <c r="P585" i="48"/>
  <c r="J585" i="48"/>
  <c r="BT584" i="48"/>
  <c r="BS584" i="48"/>
  <c r="AZ584" i="48"/>
  <c r="P584" i="48"/>
  <c r="J584" i="48"/>
  <c r="BT583" i="48"/>
  <c r="BS583" i="48"/>
  <c r="AZ583" i="48"/>
  <c r="P583" i="48"/>
  <c r="J583" i="48"/>
  <c r="BT582" i="48"/>
  <c r="BS582" i="48"/>
  <c r="AZ582" i="48"/>
  <c r="P582" i="48"/>
  <c r="J582" i="48"/>
  <c r="BT581" i="48"/>
  <c r="BS581" i="48"/>
  <c r="AZ581" i="48"/>
  <c r="P581" i="48"/>
  <c r="J581" i="48"/>
  <c r="BT580" i="48"/>
  <c r="BS580" i="48"/>
  <c r="AZ580" i="48"/>
  <c r="P580" i="48"/>
  <c r="J580" i="48"/>
  <c r="BT579" i="48"/>
  <c r="BS579" i="48"/>
  <c r="AZ579" i="48"/>
  <c r="P579" i="48"/>
  <c r="J579" i="48"/>
  <c r="BT578" i="48"/>
  <c r="BS578" i="48"/>
  <c r="AZ578" i="48"/>
  <c r="P578" i="48"/>
  <c r="J578" i="48"/>
  <c r="BT577" i="48"/>
  <c r="BS577" i="48"/>
  <c r="AZ577" i="48"/>
  <c r="P577" i="48"/>
  <c r="J577" i="48"/>
  <c r="BT576" i="48"/>
  <c r="BS576" i="48"/>
  <c r="AZ576" i="48"/>
  <c r="P576" i="48"/>
  <c r="J576" i="48"/>
  <c r="BT575" i="48"/>
  <c r="BS575" i="48"/>
  <c r="AZ575" i="48"/>
  <c r="P575" i="48"/>
  <c r="J575" i="48"/>
  <c r="BT574" i="48"/>
  <c r="BS574" i="48"/>
  <c r="AZ574" i="48"/>
  <c r="P574" i="48"/>
  <c r="J574" i="48"/>
  <c r="BT573" i="48"/>
  <c r="BS573" i="48"/>
  <c r="AZ573" i="48"/>
  <c r="P573" i="48"/>
  <c r="J573" i="48"/>
  <c r="BT572" i="48"/>
  <c r="BS572" i="48"/>
  <c r="AZ572" i="48"/>
  <c r="P572" i="48"/>
  <c r="J572" i="48"/>
  <c r="BT571" i="48"/>
  <c r="BS571" i="48"/>
  <c r="AZ571" i="48"/>
  <c r="P571" i="48"/>
  <c r="J571" i="48"/>
  <c r="BT570" i="48"/>
  <c r="BS570" i="48"/>
  <c r="AZ570" i="48"/>
  <c r="P570" i="48"/>
  <c r="J570" i="48"/>
  <c r="BT569" i="48"/>
  <c r="BS569" i="48"/>
  <c r="AZ569" i="48"/>
  <c r="BT568" i="48"/>
  <c r="BS568" i="48"/>
  <c r="AZ568" i="48"/>
  <c r="BT567" i="48"/>
  <c r="BS567" i="48"/>
  <c r="AZ567" i="48"/>
  <c r="BT566" i="48"/>
  <c r="BS566" i="48"/>
  <c r="AZ566" i="48"/>
  <c r="BT565" i="48"/>
  <c r="BS565" i="48"/>
  <c r="AZ565" i="48"/>
  <c r="BT564" i="48"/>
  <c r="BS564" i="48"/>
  <c r="BU564" i="48"/>
  <c r="AZ564" i="48"/>
  <c r="BT562" i="48"/>
  <c r="BS562" i="48"/>
  <c r="AZ562" i="48"/>
  <c r="P562" i="48"/>
  <c r="J562" i="48"/>
  <c r="BT561" i="48"/>
  <c r="BS561" i="48"/>
  <c r="AZ561" i="48"/>
  <c r="P561" i="48"/>
  <c r="J561" i="48"/>
  <c r="BT560" i="48"/>
  <c r="BS560" i="48"/>
  <c r="AZ560" i="48"/>
  <c r="P560" i="48"/>
  <c r="J560" i="48"/>
  <c r="BT559" i="48"/>
  <c r="BS559" i="48"/>
  <c r="AZ559" i="48"/>
  <c r="P559" i="48"/>
  <c r="J559" i="48"/>
  <c r="BT558" i="48"/>
  <c r="BS558" i="48"/>
  <c r="AZ558" i="48"/>
  <c r="P558" i="48"/>
  <c r="J558" i="48"/>
  <c r="BT557" i="48"/>
  <c r="BS557" i="48"/>
  <c r="AZ557" i="48"/>
  <c r="P557" i="48"/>
  <c r="J557" i="48"/>
  <c r="BT556" i="48"/>
  <c r="BS556" i="48"/>
  <c r="AZ556" i="48"/>
  <c r="P556" i="48"/>
  <c r="J556" i="48"/>
  <c r="BT555" i="48"/>
  <c r="BS555" i="48"/>
  <c r="AZ555" i="48"/>
  <c r="P555" i="48"/>
  <c r="J555" i="48"/>
  <c r="BT554" i="48"/>
  <c r="BS554" i="48"/>
  <c r="AZ554" i="48"/>
  <c r="P554" i="48"/>
  <c r="J554" i="48"/>
  <c r="BT553" i="48"/>
  <c r="BS553" i="48"/>
  <c r="AZ553" i="48"/>
  <c r="P553" i="48"/>
  <c r="J553" i="48"/>
  <c r="BT552" i="48"/>
  <c r="BS552" i="48"/>
  <c r="AZ552" i="48"/>
  <c r="P552" i="48"/>
  <c r="J552" i="48"/>
  <c r="BT551" i="48"/>
  <c r="BS551" i="48"/>
  <c r="AZ551" i="48"/>
  <c r="P551" i="48"/>
  <c r="J551" i="48"/>
  <c r="BT550" i="48"/>
  <c r="BS550" i="48"/>
  <c r="AZ550" i="48"/>
  <c r="P550" i="48"/>
  <c r="J550" i="48"/>
  <c r="BT549" i="48"/>
  <c r="BS549" i="48"/>
  <c r="AZ549" i="48"/>
  <c r="P549" i="48"/>
  <c r="J549" i="48"/>
  <c r="BT548" i="48"/>
  <c r="BS548" i="48"/>
  <c r="AZ548" i="48"/>
  <c r="P548" i="48"/>
  <c r="J548" i="48"/>
  <c r="BT547" i="48"/>
  <c r="BS547" i="48"/>
  <c r="AZ547" i="48"/>
  <c r="P547" i="48"/>
  <c r="J547" i="48"/>
  <c r="BT546" i="48"/>
  <c r="BS546" i="48"/>
  <c r="AZ546" i="48"/>
  <c r="P546" i="48"/>
  <c r="J546" i="48"/>
  <c r="BT545" i="48"/>
  <c r="BS545" i="48"/>
  <c r="AZ545" i="48"/>
  <c r="BT544" i="48"/>
  <c r="BS544" i="48"/>
  <c r="AZ544" i="48"/>
  <c r="BT543" i="48"/>
  <c r="BS543" i="48"/>
  <c r="AZ543" i="48"/>
  <c r="BT542" i="48"/>
  <c r="BS542" i="48"/>
  <c r="AZ542" i="48"/>
  <c r="BT541" i="48"/>
  <c r="BS541" i="48"/>
  <c r="AZ541" i="48"/>
  <c r="BT540" i="48"/>
  <c r="BS540" i="48"/>
  <c r="BU540" i="48"/>
  <c r="AZ540" i="48"/>
  <c r="BT538" i="48"/>
  <c r="BS538" i="48"/>
  <c r="P538" i="48"/>
  <c r="J538" i="48"/>
  <c r="BT537" i="48"/>
  <c r="BS537" i="48"/>
  <c r="AZ537" i="48"/>
  <c r="P537" i="48"/>
  <c r="J537" i="48"/>
  <c r="BT536" i="48"/>
  <c r="BS536" i="48"/>
  <c r="AZ536" i="48"/>
  <c r="P536" i="48"/>
  <c r="J536" i="48"/>
  <c r="BT535" i="48"/>
  <c r="BS535" i="48"/>
  <c r="AZ535" i="48"/>
  <c r="P535" i="48"/>
  <c r="J535" i="48"/>
  <c r="BT534" i="48"/>
  <c r="BS534" i="48"/>
  <c r="AZ534" i="48"/>
  <c r="P534" i="48"/>
  <c r="J534" i="48"/>
  <c r="BT533" i="48"/>
  <c r="BS533" i="48"/>
  <c r="AZ533" i="48"/>
  <c r="P533" i="48"/>
  <c r="J533" i="48"/>
  <c r="BT532" i="48"/>
  <c r="BS532" i="48"/>
  <c r="AZ532" i="48"/>
  <c r="P532" i="48"/>
  <c r="J532" i="48"/>
  <c r="BT531" i="48"/>
  <c r="BS531" i="48"/>
  <c r="AZ531" i="48"/>
  <c r="P531" i="48"/>
  <c r="J531" i="48"/>
  <c r="BT530" i="48"/>
  <c r="BS530" i="48"/>
  <c r="AZ530" i="48"/>
  <c r="P530" i="48"/>
  <c r="J530" i="48"/>
  <c r="BT529" i="48"/>
  <c r="BS529" i="48"/>
  <c r="AZ529" i="48"/>
  <c r="P529" i="48"/>
  <c r="J529" i="48"/>
  <c r="BT528" i="48"/>
  <c r="BS528" i="48"/>
  <c r="AZ528" i="48"/>
  <c r="P528" i="48"/>
  <c r="J528" i="48"/>
  <c r="BT527" i="48"/>
  <c r="BS527" i="48"/>
  <c r="AZ527" i="48"/>
  <c r="P527" i="48"/>
  <c r="J527" i="48"/>
  <c r="BT526" i="48"/>
  <c r="BS526" i="48"/>
  <c r="AZ526" i="48"/>
  <c r="P526" i="48"/>
  <c r="J526" i="48"/>
  <c r="BT525" i="48"/>
  <c r="BS525" i="48"/>
  <c r="AZ525" i="48"/>
  <c r="P525" i="48"/>
  <c r="J525" i="48"/>
  <c r="BT524" i="48"/>
  <c r="BS524" i="48"/>
  <c r="AZ524" i="48"/>
  <c r="P524" i="48"/>
  <c r="J524" i="48"/>
  <c r="BT523" i="48"/>
  <c r="BS523" i="48"/>
  <c r="AZ523" i="48"/>
  <c r="P523" i="48"/>
  <c r="J523" i="48"/>
  <c r="BT522" i="48"/>
  <c r="BS522" i="48"/>
  <c r="AZ522" i="48"/>
  <c r="P522" i="48"/>
  <c r="J522" i="48"/>
  <c r="BT521" i="48"/>
  <c r="BS521" i="48"/>
  <c r="AZ521" i="48"/>
  <c r="BT520" i="48"/>
  <c r="BS520" i="48"/>
  <c r="AZ520" i="48"/>
  <c r="BT519" i="48"/>
  <c r="BS519" i="48"/>
  <c r="AZ519" i="48"/>
  <c r="BT518" i="48"/>
  <c r="BS518" i="48"/>
  <c r="AZ518" i="48"/>
  <c r="BT517" i="48"/>
  <c r="BS517" i="48"/>
  <c r="AZ517" i="48"/>
  <c r="BT516" i="48"/>
  <c r="BS516" i="48"/>
  <c r="BU516" i="48"/>
  <c r="AZ516" i="48"/>
  <c r="BT514" i="48"/>
  <c r="BS514" i="48"/>
  <c r="AZ514" i="48"/>
  <c r="P514" i="48"/>
  <c r="J514" i="48"/>
  <c r="BT513" i="48"/>
  <c r="BS513" i="48"/>
  <c r="AZ513" i="48"/>
  <c r="P513" i="48"/>
  <c r="J513" i="48"/>
  <c r="BT512" i="48"/>
  <c r="BS512" i="48"/>
  <c r="AZ512" i="48"/>
  <c r="P512" i="48"/>
  <c r="J512" i="48"/>
  <c r="BT511" i="48"/>
  <c r="BS511" i="48"/>
  <c r="AZ511" i="48"/>
  <c r="P511" i="48"/>
  <c r="J511" i="48"/>
  <c r="BT510" i="48"/>
  <c r="BS510" i="48"/>
  <c r="AZ510" i="48"/>
  <c r="P510" i="48"/>
  <c r="J510" i="48"/>
  <c r="BT509" i="48"/>
  <c r="BS509" i="48"/>
  <c r="AZ509" i="48"/>
  <c r="P509" i="48"/>
  <c r="J509" i="48"/>
  <c r="BT508" i="48"/>
  <c r="BS508" i="48"/>
  <c r="AZ508" i="48"/>
  <c r="P508" i="48"/>
  <c r="J508" i="48"/>
  <c r="BT507" i="48"/>
  <c r="BS507" i="48"/>
  <c r="AZ507" i="48"/>
  <c r="P507" i="48"/>
  <c r="J507" i="48"/>
  <c r="BT506" i="48"/>
  <c r="BS506" i="48"/>
  <c r="AZ506" i="48"/>
  <c r="P506" i="48"/>
  <c r="J506" i="48"/>
  <c r="BT505" i="48"/>
  <c r="BS505" i="48"/>
  <c r="AZ505" i="48"/>
  <c r="P505" i="48"/>
  <c r="J505" i="48"/>
  <c r="BT504" i="48"/>
  <c r="BS504" i="48"/>
  <c r="AZ504" i="48"/>
  <c r="P504" i="48"/>
  <c r="J504" i="48"/>
  <c r="BT503" i="48"/>
  <c r="BS503" i="48"/>
  <c r="AZ503" i="48"/>
  <c r="P503" i="48"/>
  <c r="J503" i="48"/>
  <c r="BT502" i="48"/>
  <c r="BS502" i="48"/>
  <c r="AZ502" i="48"/>
  <c r="P502" i="48"/>
  <c r="J502" i="48"/>
  <c r="BT501" i="48"/>
  <c r="BS501" i="48"/>
  <c r="AZ501" i="48"/>
  <c r="P501" i="48"/>
  <c r="J501" i="48"/>
  <c r="BT500" i="48"/>
  <c r="BS500" i="48"/>
  <c r="AZ500" i="48"/>
  <c r="P500" i="48"/>
  <c r="J500" i="48"/>
  <c r="BT499" i="48"/>
  <c r="BS499" i="48"/>
  <c r="AZ499" i="48"/>
  <c r="P499" i="48"/>
  <c r="J499" i="48"/>
  <c r="BT498" i="48"/>
  <c r="BS498" i="48"/>
  <c r="AZ498" i="48"/>
  <c r="P498" i="48"/>
  <c r="J498" i="48"/>
  <c r="BT497" i="48"/>
  <c r="BS497" i="48"/>
  <c r="AZ497" i="48"/>
  <c r="BT496" i="48"/>
  <c r="BS496" i="48"/>
  <c r="AZ496" i="48"/>
  <c r="BT495" i="48"/>
  <c r="BS495" i="48"/>
  <c r="AZ495" i="48"/>
  <c r="BT494" i="48"/>
  <c r="BS494" i="48"/>
  <c r="AZ494" i="48"/>
  <c r="BT493" i="48"/>
  <c r="BS493" i="48"/>
  <c r="AZ493" i="48"/>
  <c r="BT492" i="48"/>
  <c r="BS492" i="48"/>
  <c r="BU492" i="48"/>
  <c r="AZ492" i="48"/>
  <c r="BT490" i="48"/>
  <c r="BS490" i="48"/>
  <c r="AZ490" i="48"/>
  <c r="P490" i="48"/>
  <c r="J490" i="48"/>
  <c r="BT489" i="48"/>
  <c r="BS489" i="48"/>
  <c r="AZ489" i="48"/>
  <c r="P489" i="48"/>
  <c r="J489" i="48"/>
  <c r="BT488" i="48"/>
  <c r="BS488" i="48"/>
  <c r="AZ488" i="48"/>
  <c r="P488" i="48"/>
  <c r="J488" i="48"/>
  <c r="BT487" i="48"/>
  <c r="BS487" i="48"/>
  <c r="AZ487" i="48"/>
  <c r="P487" i="48"/>
  <c r="J487" i="48"/>
  <c r="BT486" i="48"/>
  <c r="BS486" i="48"/>
  <c r="AZ486" i="48"/>
  <c r="P486" i="48"/>
  <c r="J486" i="48"/>
  <c r="BT485" i="48"/>
  <c r="BS485" i="48"/>
  <c r="AZ485" i="48"/>
  <c r="P485" i="48"/>
  <c r="J485" i="48"/>
  <c r="BT484" i="48"/>
  <c r="BS484" i="48"/>
  <c r="AZ484" i="48"/>
  <c r="P484" i="48"/>
  <c r="J484" i="48"/>
  <c r="BT483" i="48"/>
  <c r="BS483" i="48"/>
  <c r="AZ483" i="48"/>
  <c r="P483" i="48"/>
  <c r="J483" i="48"/>
  <c r="BT482" i="48"/>
  <c r="BS482" i="48"/>
  <c r="AZ482" i="48"/>
  <c r="P482" i="48"/>
  <c r="J482" i="48"/>
  <c r="BT481" i="48"/>
  <c r="BS481" i="48"/>
  <c r="AZ481" i="48"/>
  <c r="P481" i="48"/>
  <c r="J481" i="48"/>
  <c r="BT480" i="48"/>
  <c r="BS480" i="48"/>
  <c r="AZ480" i="48"/>
  <c r="P480" i="48"/>
  <c r="J480" i="48"/>
  <c r="BT479" i="48"/>
  <c r="BS479" i="48"/>
  <c r="AZ479" i="48"/>
  <c r="P479" i="48"/>
  <c r="J479" i="48"/>
  <c r="BT478" i="48"/>
  <c r="BS478" i="48"/>
  <c r="AZ478" i="48"/>
  <c r="P478" i="48"/>
  <c r="J478" i="48"/>
  <c r="BT477" i="48"/>
  <c r="BS477" i="48"/>
  <c r="AZ477" i="48"/>
  <c r="P477" i="48"/>
  <c r="J477" i="48"/>
  <c r="BT476" i="48"/>
  <c r="BS476" i="48"/>
  <c r="AZ476" i="48"/>
  <c r="P476" i="48"/>
  <c r="J476" i="48"/>
  <c r="BT475" i="48"/>
  <c r="BS475" i="48"/>
  <c r="AZ475" i="48"/>
  <c r="P475" i="48"/>
  <c r="J475" i="48"/>
  <c r="BT474" i="48"/>
  <c r="BS474" i="48"/>
  <c r="AZ474" i="48"/>
  <c r="P474" i="48"/>
  <c r="J474" i="48"/>
  <c r="BT473" i="48"/>
  <c r="BS473" i="48"/>
  <c r="AZ473" i="48"/>
  <c r="BT472" i="48"/>
  <c r="BS472" i="48"/>
  <c r="AZ472" i="48"/>
  <c r="BT471" i="48"/>
  <c r="BS471" i="48"/>
  <c r="AZ471" i="48"/>
  <c r="BT470" i="48"/>
  <c r="BS470" i="48"/>
  <c r="AZ470" i="48"/>
  <c r="BT469" i="48"/>
  <c r="BS469" i="48"/>
  <c r="AZ469" i="48"/>
  <c r="BT468" i="48"/>
  <c r="BS468" i="48"/>
  <c r="BU468" i="48"/>
  <c r="AZ468" i="48"/>
  <c r="BT466" i="48"/>
  <c r="BS466" i="48"/>
  <c r="P466" i="48"/>
  <c r="J466" i="48"/>
  <c r="BT465" i="48"/>
  <c r="BS465" i="48"/>
  <c r="AZ465" i="48"/>
  <c r="P465" i="48"/>
  <c r="J465" i="48"/>
  <c r="BT464" i="48"/>
  <c r="BS464" i="48"/>
  <c r="AZ464" i="48"/>
  <c r="P464" i="48"/>
  <c r="J464" i="48"/>
  <c r="BT463" i="48"/>
  <c r="BS463" i="48"/>
  <c r="AZ463" i="48"/>
  <c r="P463" i="48"/>
  <c r="J463" i="48"/>
  <c r="BT462" i="48"/>
  <c r="BS462" i="48"/>
  <c r="AZ462" i="48"/>
  <c r="P462" i="48"/>
  <c r="J462" i="48"/>
  <c r="BT461" i="48"/>
  <c r="BS461" i="48"/>
  <c r="AZ461" i="48"/>
  <c r="P461" i="48"/>
  <c r="J461" i="48"/>
  <c r="BT460" i="48"/>
  <c r="BS460" i="48"/>
  <c r="AZ460" i="48"/>
  <c r="P460" i="48"/>
  <c r="J460" i="48"/>
  <c r="BT459" i="48"/>
  <c r="BS459" i="48"/>
  <c r="AZ459" i="48"/>
  <c r="P459" i="48"/>
  <c r="J459" i="48"/>
  <c r="BT458" i="48"/>
  <c r="BS458" i="48"/>
  <c r="AZ458" i="48"/>
  <c r="P458" i="48"/>
  <c r="J458" i="48"/>
  <c r="BT457" i="48"/>
  <c r="BS457" i="48"/>
  <c r="AZ457" i="48"/>
  <c r="P457" i="48"/>
  <c r="J457" i="48"/>
  <c r="BT456" i="48"/>
  <c r="BS456" i="48"/>
  <c r="AZ456" i="48"/>
  <c r="P456" i="48"/>
  <c r="J456" i="48"/>
  <c r="BT455" i="48"/>
  <c r="BS455" i="48"/>
  <c r="AZ455" i="48"/>
  <c r="P455" i="48"/>
  <c r="J455" i="48"/>
  <c r="BT454" i="48"/>
  <c r="BS454" i="48"/>
  <c r="AZ454" i="48"/>
  <c r="P454" i="48"/>
  <c r="J454" i="48"/>
  <c r="BT453" i="48"/>
  <c r="BS453" i="48"/>
  <c r="AZ453" i="48"/>
  <c r="P453" i="48"/>
  <c r="J453" i="48"/>
  <c r="BT452" i="48"/>
  <c r="BS452" i="48"/>
  <c r="AZ452" i="48"/>
  <c r="P452" i="48"/>
  <c r="J452" i="48"/>
  <c r="BT451" i="48"/>
  <c r="BS451" i="48"/>
  <c r="AZ451" i="48"/>
  <c r="P451" i="48"/>
  <c r="J451" i="48"/>
  <c r="BT450" i="48"/>
  <c r="BS450" i="48"/>
  <c r="AZ450" i="48"/>
  <c r="P450" i="48"/>
  <c r="J450" i="48"/>
  <c r="BT449" i="48"/>
  <c r="BS449" i="48"/>
  <c r="AZ449" i="48"/>
  <c r="BT448" i="48"/>
  <c r="BS448" i="48"/>
  <c r="AZ448" i="48"/>
  <c r="BT447" i="48"/>
  <c r="BS447" i="48"/>
  <c r="AZ447" i="48"/>
  <c r="BT446" i="48"/>
  <c r="BS446" i="48"/>
  <c r="AZ446" i="48"/>
  <c r="BT445" i="48"/>
  <c r="BS445" i="48"/>
  <c r="AZ445" i="48"/>
  <c r="BT444" i="48"/>
  <c r="BS444" i="48"/>
  <c r="BU444" i="48"/>
  <c r="AZ444" i="48"/>
  <c r="BT442" i="48"/>
  <c r="BS442" i="48"/>
  <c r="AZ442" i="48"/>
  <c r="P442" i="48"/>
  <c r="J442" i="48"/>
  <c r="BT441" i="48"/>
  <c r="BS441" i="48"/>
  <c r="AZ441" i="48"/>
  <c r="P441" i="48"/>
  <c r="J441" i="48"/>
  <c r="BT440" i="48"/>
  <c r="BS440" i="48"/>
  <c r="AZ440" i="48"/>
  <c r="P440" i="48"/>
  <c r="J440" i="48"/>
  <c r="BT439" i="48"/>
  <c r="BS439" i="48"/>
  <c r="AZ439" i="48"/>
  <c r="P439" i="48"/>
  <c r="J439" i="48"/>
  <c r="BT438" i="48"/>
  <c r="BS438" i="48"/>
  <c r="AZ438" i="48"/>
  <c r="P438" i="48"/>
  <c r="J438" i="48"/>
  <c r="BT437" i="48"/>
  <c r="BS437" i="48"/>
  <c r="AZ437" i="48"/>
  <c r="P437" i="48"/>
  <c r="J437" i="48"/>
  <c r="BT436" i="48"/>
  <c r="BS436" i="48"/>
  <c r="AZ436" i="48"/>
  <c r="P436" i="48"/>
  <c r="J436" i="48"/>
  <c r="BT435" i="48"/>
  <c r="BS435" i="48"/>
  <c r="AZ435" i="48"/>
  <c r="P435" i="48"/>
  <c r="J435" i="48"/>
  <c r="BT434" i="48"/>
  <c r="BS434" i="48"/>
  <c r="AZ434" i="48"/>
  <c r="P434" i="48"/>
  <c r="J434" i="48"/>
  <c r="BT433" i="48"/>
  <c r="BS433" i="48"/>
  <c r="AZ433" i="48"/>
  <c r="P433" i="48"/>
  <c r="J433" i="48"/>
  <c r="BT432" i="48"/>
  <c r="BS432" i="48"/>
  <c r="AZ432" i="48"/>
  <c r="P432" i="48"/>
  <c r="J432" i="48"/>
  <c r="BT431" i="48"/>
  <c r="BS431" i="48"/>
  <c r="AZ431" i="48"/>
  <c r="P431" i="48"/>
  <c r="J431" i="48"/>
  <c r="BT430" i="48"/>
  <c r="BS430" i="48"/>
  <c r="AZ430" i="48"/>
  <c r="P430" i="48"/>
  <c r="J430" i="48"/>
  <c r="BT429" i="48"/>
  <c r="BS429" i="48"/>
  <c r="AZ429" i="48"/>
  <c r="P429" i="48"/>
  <c r="J429" i="48"/>
  <c r="BT428" i="48"/>
  <c r="BS428" i="48"/>
  <c r="AZ428" i="48"/>
  <c r="P428" i="48"/>
  <c r="J428" i="48"/>
  <c r="BT427" i="48"/>
  <c r="BS427" i="48"/>
  <c r="AZ427" i="48"/>
  <c r="P427" i="48"/>
  <c r="J427" i="48"/>
  <c r="BT426" i="48"/>
  <c r="BS426" i="48"/>
  <c r="AZ426" i="48"/>
  <c r="P426" i="48"/>
  <c r="J426" i="48"/>
  <c r="BT425" i="48"/>
  <c r="BS425" i="48"/>
  <c r="AZ425" i="48"/>
  <c r="BT424" i="48"/>
  <c r="BS424" i="48"/>
  <c r="AZ424" i="48"/>
  <c r="BT423" i="48"/>
  <c r="BS423" i="48"/>
  <c r="AZ423" i="48"/>
  <c r="BT422" i="48"/>
  <c r="BS422" i="48"/>
  <c r="AZ422" i="48"/>
  <c r="BT421" i="48"/>
  <c r="BS421" i="48"/>
  <c r="AZ421" i="48"/>
  <c r="BT420" i="48"/>
  <c r="BS420" i="48"/>
  <c r="BU420" i="48"/>
  <c r="AZ420" i="48"/>
  <c r="BT418" i="48"/>
  <c r="BS418" i="48"/>
  <c r="AZ418" i="48"/>
  <c r="P418" i="48"/>
  <c r="J418" i="48"/>
  <c r="BT417" i="48"/>
  <c r="BS417" i="48"/>
  <c r="AZ417" i="48"/>
  <c r="P417" i="48"/>
  <c r="J417" i="48"/>
  <c r="BT416" i="48"/>
  <c r="BS416" i="48"/>
  <c r="AZ416" i="48"/>
  <c r="P416" i="48"/>
  <c r="J416" i="48"/>
  <c r="BT415" i="48"/>
  <c r="BS415" i="48"/>
  <c r="AZ415" i="48"/>
  <c r="P415" i="48"/>
  <c r="J415" i="48"/>
  <c r="BT414" i="48"/>
  <c r="BS414" i="48"/>
  <c r="AZ414" i="48"/>
  <c r="P414" i="48"/>
  <c r="J414" i="48"/>
  <c r="BT413" i="48"/>
  <c r="BS413" i="48"/>
  <c r="AZ413" i="48"/>
  <c r="P413" i="48"/>
  <c r="J413" i="48"/>
  <c r="BT412" i="48"/>
  <c r="BS412" i="48"/>
  <c r="AZ412" i="48"/>
  <c r="P412" i="48"/>
  <c r="J412" i="48"/>
  <c r="BT411" i="48"/>
  <c r="BS411" i="48"/>
  <c r="AZ411" i="48"/>
  <c r="P411" i="48"/>
  <c r="J411" i="48"/>
  <c r="BT410" i="48"/>
  <c r="BS410" i="48"/>
  <c r="AZ410" i="48"/>
  <c r="P410" i="48"/>
  <c r="J410" i="48"/>
  <c r="BT409" i="48"/>
  <c r="BS409" i="48"/>
  <c r="AZ409" i="48"/>
  <c r="P409" i="48"/>
  <c r="J409" i="48"/>
  <c r="BT408" i="48"/>
  <c r="BS408" i="48"/>
  <c r="AZ408" i="48"/>
  <c r="P408" i="48"/>
  <c r="J408" i="48"/>
  <c r="BT407" i="48"/>
  <c r="BS407" i="48"/>
  <c r="AZ407" i="48"/>
  <c r="P407" i="48"/>
  <c r="J407" i="48"/>
  <c r="BT406" i="48"/>
  <c r="BS406" i="48"/>
  <c r="AZ406" i="48"/>
  <c r="P406" i="48"/>
  <c r="J406" i="48"/>
  <c r="BT405" i="48"/>
  <c r="BS405" i="48"/>
  <c r="AZ405" i="48"/>
  <c r="P405" i="48"/>
  <c r="J405" i="48"/>
  <c r="BT404" i="48"/>
  <c r="BS404" i="48"/>
  <c r="AZ404" i="48"/>
  <c r="P404" i="48"/>
  <c r="J404" i="48"/>
  <c r="BT403" i="48"/>
  <c r="BS403" i="48"/>
  <c r="AZ403" i="48"/>
  <c r="P403" i="48"/>
  <c r="J403" i="48"/>
  <c r="BT402" i="48"/>
  <c r="BS402" i="48"/>
  <c r="AZ402" i="48"/>
  <c r="P402" i="48"/>
  <c r="J402" i="48"/>
  <c r="BT401" i="48"/>
  <c r="BS401" i="48"/>
  <c r="AZ401" i="48"/>
  <c r="BT400" i="48"/>
  <c r="BS400" i="48"/>
  <c r="AZ400" i="48"/>
  <c r="BT399" i="48"/>
  <c r="BS399" i="48"/>
  <c r="AZ399" i="48"/>
  <c r="BT398" i="48"/>
  <c r="BS398" i="48"/>
  <c r="AZ398" i="48"/>
  <c r="BT397" i="48"/>
  <c r="BS397" i="48"/>
  <c r="AZ397" i="48"/>
  <c r="BT396" i="48"/>
  <c r="BS396" i="48"/>
  <c r="BU396" i="48"/>
  <c r="AZ396" i="48"/>
  <c r="BT394" i="48"/>
  <c r="BS394" i="48"/>
  <c r="AZ394" i="48"/>
  <c r="P394" i="48"/>
  <c r="J394" i="48"/>
  <c r="BT393" i="48"/>
  <c r="BS393" i="48"/>
  <c r="AZ393" i="48"/>
  <c r="P393" i="48"/>
  <c r="J393" i="48"/>
  <c r="BT392" i="48"/>
  <c r="BS392" i="48"/>
  <c r="AZ392" i="48"/>
  <c r="P392" i="48"/>
  <c r="J392" i="48"/>
  <c r="BT391" i="48"/>
  <c r="BS391" i="48"/>
  <c r="AZ391" i="48"/>
  <c r="P391" i="48"/>
  <c r="J391" i="48"/>
  <c r="BT390" i="48"/>
  <c r="BS390" i="48"/>
  <c r="AZ390" i="48"/>
  <c r="P390" i="48"/>
  <c r="J390" i="48"/>
  <c r="BT389" i="48"/>
  <c r="BS389" i="48"/>
  <c r="AZ389" i="48"/>
  <c r="P389" i="48"/>
  <c r="J389" i="48"/>
  <c r="BT388" i="48"/>
  <c r="BS388" i="48"/>
  <c r="AZ388" i="48"/>
  <c r="P388" i="48"/>
  <c r="J388" i="48"/>
  <c r="BT387" i="48"/>
  <c r="BS387" i="48"/>
  <c r="AZ387" i="48"/>
  <c r="P387" i="48"/>
  <c r="J387" i="48"/>
  <c r="BT386" i="48"/>
  <c r="BS386" i="48"/>
  <c r="AZ386" i="48"/>
  <c r="P386" i="48"/>
  <c r="J386" i="48"/>
  <c r="BT385" i="48"/>
  <c r="BS385" i="48"/>
  <c r="AZ385" i="48"/>
  <c r="P385" i="48"/>
  <c r="J385" i="48"/>
  <c r="BT384" i="48"/>
  <c r="BS384" i="48"/>
  <c r="AZ384" i="48"/>
  <c r="P384" i="48"/>
  <c r="J384" i="48"/>
  <c r="BT383" i="48"/>
  <c r="BS383" i="48"/>
  <c r="AZ383" i="48"/>
  <c r="P383" i="48"/>
  <c r="J383" i="48"/>
  <c r="BT382" i="48"/>
  <c r="BS382" i="48"/>
  <c r="AZ382" i="48"/>
  <c r="P382" i="48"/>
  <c r="J382" i="48"/>
  <c r="BT381" i="48"/>
  <c r="BS381" i="48"/>
  <c r="AZ381" i="48"/>
  <c r="P381" i="48"/>
  <c r="J381" i="48"/>
  <c r="BT380" i="48"/>
  <c r="BS380" i="48"/>
  <c r="AZ380" i="48"/>
  <c r="P380" i="48"/>
  <c r="J380" i="48"/>
  <c r="BT379" i="48"/>
  <c r="BS379" i="48"/>
  <c r="AZ379" i="48"/>
  <c r="P379" i="48"/>
  <c r="J379" i="48"/>
  <c r="BT378" i="48"/>
  <c r="BS378" i="48"/>
  <c r="AZ378" i="48"/>
  <c r="P378" i="48"/>
  <c r="J378" i="48"/>
  <c r="BT377" i="48"/>
  <c r="BS377" i="48"/>
  <c r="AZ377" i="48"/>
  <c r="BT376" i="48"/>
  <c r="BS376" i="48"/>
  <c r="AZ376" i="48"/>
  <c r="BT375" i="48"/>
  <c r="BS375" i="48"/>
  <c r="AZ375" i="48"/>
  <c r="BT374" i="48"/>
  <c r="BS374" i="48"/>
  <c r="AZ374" i="48"/>
  <c r="BT373" i="48"/>
  <c r="BS373" i="48"/>
  <c r="AZ373" i="48"/>
  <c r="BT372" i="48"/>
  <c r="BS372" i="48"/>
  <c r="BU372" i="48"/>
  <c r="AZ372" i="48"/>
  <c r="BT370" i="48"/>
  <c r="BS370" i="48"/>
  <c r="AZ370" i="48"/>
  <c r="BT369" i="48"/>
  <c r="BS369" i="48"/>
  <c r="AZ369" i="48"/>
  <c r="BT368" i="48"/>
  <c r="BS368" i="48"/>
  <c r="AZ368" i="48"/>
  <c r="P368" i="48"/>
  <c r="J368" i="48"/>
  <c r="BT367" i="48"/>
  <c r="BS367" i="48"/>
  <c r="AZ367" i="48"/>
  <c r="P367" i="48"/>
  <c r="J367" i="48"/>
  <c r="BT366" i="48"/>
  <c r="BS366" i="48"/>
  <c r="AZ366" i="48"/>
  <c r="P366" i="48"/>
  <c r="J366" i="48"/>
  <c r="BT365" i="48"/>
  <c r="BS365" i="48"/>
  <c r="AZ365" i="48"/>
  <c r="P365" i="48"/>
  <c r="J365" i="48"/>
  <c r="BT364" i="48"/>
  <c r="BS364" i="48"/>
  <c r="AZ364" i="48"/>
  <c r="P364" i="48"/>
  <c r="J364" i="48"/>
  <c r="BT363" i="48"/>
  <c r="BS363" i="48"/>
  <c r="AZ363" i="48"/>
  <c r="P363" i="48"/>
  <c r="J363" i="48"/>
  <c r="BT362" i="48"/>
  <c r="BS362" i="48"/>
  <c r="AZ362" i="48"/>
  <c r="P362" i="48"/>
  <c r="J362" i="48"/>
  <c r="BT361" i="48"/>
  <c r="BS361" i="48"/>
  <c r="AZ361" i="48"/>
  <c r="P361" i="48"/>
  <c r="J361" i="48"/>
  <c r="BT360" i="48"/>
  <c r="BS360" i="48"/>
  <c r="AZ360" i="48"/>
  <c r="P360" i="48"/>
  <c r="J360" i="48"/>
  <c r="BT359" i="48"/>
  <c r="BS359" i="48"/>
  <c r="AZ359" i="48"/>
  <c r="P359" i="48"/>
  <c r="J359" i="48"/>
  <c r="BT358" i="48"/>
  <c r="BS358" i="48"/>
  <c r="AZ358" i="48"/>
  <c r="P358" i="48"/>
  <c r="J358" i="48"/>
  <c r="BT357" i="48"/>
  <c r="BS357" i="48"/>
  <c r="AZ357" i="48"/>
  <c r="P357" i="48"/>
  <c r="J357" i="48"/>
  <c r="BT356" i="48"/>
  <c r="BS356" i="48"/>
  <c r="AZ356" i="48"/>
  <c r="P356" i="48"/>
  <c r="J356" i="48"/>
  <c r="BT355" i="48"/>
  <c r="BS355" i="48"/>
  <c r="AZ355" i="48"/>
  <c r="P355" i="48"/>
  <c r="J355" i="48"/>
  <c r="BT354" i="48"/>
  <c r="BS354" i="48"/>
  <c r="AZ354" i="48"/>
  <c r="P354" i="48"/>
  <c r="J354" i="48"/>
  <c r="BT353" i="48"/>
  <c r="BS353" i="48"/>
  <c r="AZ353" i="48"/>
  <c r="BT352" i="48"/>
  <c r="BS352" i="48"/>
  <c r="AZ352" i="48"/>
  <c r="BT351" i="48"/>
  <c r="BS351" i="48"/>
  <c r="AZ351" i="48"/>
  <c r="BT350" i="48"/>
  <c r="BS350" i="48"/>
  <c r="AZ350" i="48"/>
  <c r="BT349" i="48"/>
  <c r="BS349" i="48"/>
  <c r="AZ349" i="48"/>
  <c r="BT348" i="48"/>
  <c r="BS348" i="48"/>
  <c r="BU348" i="48"/>
  <c r="AZ348" i="48"/>
  <c r="BT346" i="48"/>
  <c r="BS346" i="48"/>
  <c r="AZ346" i="48"/>
  <c r="P346" i="48"/>
  <c r="J346" i="48"/>
  <c r="BT345" i="48"/>
  <c r="BS345" i="48"/>
  <c r="AZ345" i="48"/>
  <c r="P345" i="48"/>
  <c r="J345" i="48"/>
  <c r="BT344" i="48"/>
  <c r="BS344" i="48"/>
  <c r="AZ344" i="48"/>
  <c r="P344" i="48"/>
  <c r="J344" i="48"/>
  <c r="BT343" i="48"/>
  <c r="BS343" i="48"/>
  <c r="AZ343" i="48"/>
  <c r="P343" i="48"/>
  <c r="J343" i="48"/>
  <c r="BT342" i="48"/>
  <c r="BS342" i="48"/>
  <c r="AZ342" i="48"/>
  <c r="P342" i="48"/>
  <c r="J342" i="48"/>
  <c r="BT341" i="48"/>
  <c r="BS341" i="48"/>
  <c r="AZ341" i="48"/>
  <c r="P341" i="48"/>
  <c r="J341" i="48"/>
  <c r="BT340" i="48"/>
  <c r="BS340" i="48"/>
  <c r="AZ340" i="48"/>
  <c r="P340" i="48"/>
  <c r="J340" i="48"/>
  <c r="BT339" i="48"/>
  <c r="BS339" i="48"/>
  <c r="AZ339" i="48"/>
  <c r="P339" i="48"/>
  <c r="J339" i="48"/>
  <c r="BT338" i="48"/>
  <c r="BS338" i="48"/>
  <c r="AZ338" i="48"/>
  <c r="P338" i="48"/>
  <c r="J338" i="48"/>
  <c r="BT337" i="48"/>
  <c r="BS337" i="48"/>
  <c r="AZ337" i="48"/>
  <c r="P337" i="48"/>
  <c r="J337" i="48"/>
  <c r="BT336" i="48"/>
  <c r="BS336" i="48"/>
  <c r="AZ336" i="48"/>
  <c r="P336" i="48"/>
  <c r="J336" i="48"/>
  <c r="BT335" i="48"/>
  <c r="BS335" i="48"/>
  <c r="AZ335" i="48"/>
  <c r="P335" i="48"/>
  <c r="J335" i="48"/>
  <c r="BT334" i="48"/>
  <c r="BS334" i="48"/>
  <c r="AZ334" i="48"/>
  <c r="P334" i="48"/>
  <c r="J334" i="48"/>
  <c r="BT333" i="48"/>
  <c r="BS333" i="48"/>
  <c r="AZ333" i="48"/>
  <c r="P333" i="48"/>
  <c r="J333" i="48"/>
  <c r="BT332" i="48"/>
  <c r="BS332" i="48"/>
  <c r="AZ332" i="48"/>
  <c r="P332" i="48"/>
  <c r="J332" i="48"/>
  <c r="BT331" i="48"/>
  <c r="BS331" i="48"/>
  <c r="AZ331" i="48"/>
  <c r="P331" i="48"/>
  <c r="J331" i="48"/>
  <c r="BT330" i="48"/>
  <c r="BS330" i="48"/>
  <c r="AZ330" i="48"/>
  <c r="P330" i="48"/>
  <c r="J330" i="48"/>
  <c r="BT329" i="48"/>
  <c r="BS329" i="48"/>
  <c r="AZ329" i="48"/>
  <c r="BT328" i="48"/>
  <c r="BS328" i="48"/>
  <c r="AZ328" i="48"/>
  <c r="BT327" i="48"/>
  <c r="BS327" i="48"/>
  <c r="AZ327" i="48"/>
  <c r="BT326" i="48"/>
  <c r="BS326" i="48"/>
  <c r="AZ326" i="48"/>
  <c r="BT325" i="48"/>
  <c r="BS325" i="48"/>
  <c r="AZ325" i="48"/>
  <c r="BT324" i="48"/>
  <c r="BS324" i="48"/>
  <c r="BU324" i="48"/>
  <c r="AZ324" i="48"/>
  <c r="BT322" i="48"/>
  <c r="BS322" i="48"/>
  <c r="BT321" i="48"/>
  <c r="BS321" i="48"/>
  <c r="AZ321" i="48"/>
  <c r="BT320" i="48"/>
  <c r="BS320" i="48"/>
  <c r="AZ320" i="48"/>
  <c r="BT319" i="48"/>
  <c r="BS319" i="48"/>
  <c r="AZ319" i="48"/>
  <c r="BT318" i="48"/>
  <c r="BS318" i="48"/>
  <c r="AZ318" i="48"/>
  <c r="BT317" i="48"/>
  <c r="BS317" i="48"/>
  <c r="AZ317" i="48"/>
  <c r="BT316" i="48"/>
  <c r="BS316" i="48"/>
  <c r="AZ316" i="48"/>
  <c r="BT315" i="48"/>
  <c r="BS315" i="48"/>
  <c r="AZ315" i="48"/>
  <c r="BT314" i="48"/>
  <c r="BS314" i="48"/>
  <c r="AZ314" i="48"/>
  <c r="BT313" i="48"/>
  <c r="BS313" i="48"/>
  <c r="AZ313" i="48"/>
  <c r="BT312" i="48"/>
  <c r="BS312" i="48"/>
  <c r="AZ312" i="48"/>
  <c r="BT311" i="48"/>
  <c r="BS311" i="48"/>
  <c r="AZ311" i="48"/>
  <c r="BT310" i="48"/>
  <c r="BS310" i="48"/>
  <c r="AZ310" i="48"/>
  <c r="BT309" i="48"/>
  <c r="BS309" i="48"/>
  <c r="AZ309" i="48"/>
  <c r="BT308" i="48"/>
  <c r="BS308" i="48"/>
  <c r="AZ308" i="48"/>
  <c r="BT307" i="48"/>
  <c r="BS307" i="48"/>
  <c r="AZ307" i="48"/>
  <c r="BT306" i="48"/>
  <c r="BS306" i="48"/>
  <c r="AZ306" i="48"/>
  <c r="BT305" i="48"/>
  <c r="BS305" i="48"/>
  <c r="AZ305" i="48"/>
  <c r="BT304" i="48"/>
  <c r="BS304" i="48"/>
  <c r="AZ304" i="48"/>
  <c r="BT303" i="48"/>
  <c r="BS303" i="48"/>
  <c r="AZ303" i="48"/>
  <c r="BT302" i="48"/>
  <c r="BS302" i="48"/>
  <c r="AZ302" i="48"/>
  <c r="BT301" i="48"/>
  <c r="BS301" i="48"/>
  <c r="AZ301" i="48"/>
  <c r="BT300" i="48"/>
  <c r="BS300" i="48"/>
  <c r="BU300" i="48"/>
  <c r="AZ300" i="48"/>
  <c r="BT298" i="48"/>
  <c r="BS298" i="48"/>
  <c r="AZ298" i="48"/>
  <c r="BT297" i="48"/>
  <c r="BS297" i="48"/>
  <c r="AZ297" i="48"/>
  <c r="BT296" i="48"/>
  <c r="BS296" i="48"/>
  <c r="AZ296" i="48"/>
  <c r="BT295" i="48"/>
  <c r="BS295" i="48"/>
  <c r="AZ295" i="48"/>
  <c r="BT294" i="48"/>
  <c r="BS294" i="48"/>
  <c r="AZ294" i="48"/>
  <c r="BT293" i="48"/>
  <c r="BS293" i="48"/>
  <c r="AZ293" i="48"/>
  <c r="BT292" i="48"/>
  <c r="BS292" i="48"/>
  <c r="AZ292" i="48"/>
  <c r="BT291" i="48"/>
  <c r="BS291" i="48"/>
  <c r="AZ291" i="48"/>
  <c r="BT290" i="48"/>
  <c r="BS290" i="48"/>
  <c r="AZ290" i="48"/>
  <c r="BT289" i="48"/>
  <c r="BS289" i="48"/>
  <c r="AZ289" i="48"/>
  <c r="BT288" i="48"/>
  <c r="BS288" i="48"/>
  <c r="AZ288" i="48"/>
  <c r="BT287" i="48"/>
  <c r="BS287" i="48"/>
  <c r="AZ287" i="48"/>
  <c r="BT286" i="48"/>
  <c r="BS286" i="48"/>
  <c r="AZ286" i="48"/>
  <c r="BT285" i="48"/>
  <c r="BS285" i="48"/>
  <c r="AZ285" i="48"/>
  <c r="BT284" i="48"/>
  <c r="BS284" i="48"/>
  <c r="AZ284" i="48"/>
  <c r="BT283" i="48"/>
  <c r="BS283" i="48"/>
  <c r="AZ283" i="48"/>
  <c r="BT282" i="48"/>
  <c r="BS282" i="48"/>
  <c r="AZ282" i="48"/>
  <c r="BT281" i="48"/>
  <c r="BS281" i="48"/>
  <c r="AZ281" i="48"/>
  <c r="BT280" i="48"/>
  <c r="BS280" i="48"/>
  <c r="AZ280" i="48"/>
  <c r="BT279" i="48"/>
  <c r="BS279" i="48"/>
  <c r="AZ279" i="48"/>
  <c r="BT278" i="48"/>
  <c r="BS278" i="48"/>
  <c r="AZ278" i="48"/>
  <c r="BT277" i="48"/>
  <c r="BS277" i="48"/>
  <c r="AZ277" i="48"/>
  <c r="BT276" i="48"/>
  <c r="BS276" i="48"/>
  <c r="BU276" i="48"/>
  <c r="AZ276" i="48"/>
  <c r="BT274" i="48"/>
  <c r="BS274" i="48"/>
  <c r="BT273" i="48"/>
  <c r="BS273" i="48"/>
  <c r="AZ273" i="48"/>
  <c r="P273" i="48"/>
  <c r="J273" i="48"/>
  <c r="BT272" i="48"/>
  <c r="BS272" i="48"/>
  <c r="AZ272" i="48"/>
  <c r="P272" i="48"/>
  <c r="J272" i="48"/>
  <c r="BT271" i="48"/>
  <c r="BS271" i="48"/>
  <c r="AZ271" i="48"/>
  <c r="P271" i="48"/>
  <c r="J271" i="48"/>
  <c r="BT270" i="48"/>
  <c r="BS270" i="48"/>
  <c r="AZ270" i="48"/>
  <c r="P270" i="48"/>
  <c r="J270" i="48"/>
  <c r="BT269" i="48"/>
  <c r="BS269" i="48"/>
  <c r="AZ269" i="48"/>
  <c r="P269" i="48"/>
  <c r="J269" i="48"/>
  <c r="BT268" i="48"/>
  <c r="BS268" i="48"/>
  <c r="AZ268" i="48"/>
  <c r="P268" i="48"/>
  <c r="J268" i="48"/>
  <c r="BT267" i="48"/>
  <c r="BS267" i="48"/>
  <c r="AZ267" i="48"/>
  <c r="P267" i="48"/>
  <c r="J267" i="48"/>
  <c r="BT266" i="48"/>
  <c r="BS266" i="48"/>
  <c r="AZ266" i="48"/>
  <c r="P266" i="48"/>
  <c r="J266" i="48"/>
  <c r="BT265" i="48"/>
  <c r="BS265" i="48"/>
  <c r="AZ265" i="48"/>
  <c r="P265" i="48"/>
  <c r="J265" i="48"/>
  <c r="BT264" i="48"/>
  <c r="BS264" i="48"/>
  <c r="AZ264" i="48"/>
  <c r="P264" i="48"/>
  <c r="J264" i="48"/>
  <c r="BT263" i="48"/>
  <c r="BS263" i="48"/>
  <c r="AZ263" i="48"/>
  <c r="P263" i="48"/>
  <c r="J263" i="48"/>
  <c r="BT262" i="48"/>
  <c r="BS262" i="48"/>
  <c r="AZ262" i="48"/>
  <c r="P262" i="48"/>
  <c r="J262" i="48"/>
  <c r="BT261" i="48"/>
  <c r="BS261" i="48"/>
  <c r="AZ261" i="48"/>
  <c r="P261" i="48"/>
  <c r="J261" i="48"/>
  <c r="BT260" i="48"/>
  <c r="BS260" i="48"/>
  <c r="AZ260" i="48"/>
  <c r="P260" i="48"/>
  <c r="J260" i="48"/>
  <c r="BT259" i="48"/>
  <c r="BS259" i="48"/>
  <c r="AZ259" i="48"/>
  <c r="P259" i="48"/>
  <c r="J259" i="48"/>
  <c r="BT258" i="48"/>
  <c r="BS258" i="48"/>
  <c r="AZ258" i="48"/>
  <c r="BT257" i="48"/>
  <c r="BS257" i="48"/>
  <c r="AZ257" i="48"/>
  <c r="BT256" i="48"/>
  <c r="BS256" i="48"/>
  <c r="AZ256" i="48"/>
  <c r="BT255" i="48"/>
  <c r="BS255" i="48"/>
  <c r="AZ255" i="48"/>
  <c r="BT254" i="48"/>
  <c r="BS254" i="48"/>
  <c r="AZ254" i="48"/>
  <c r="BT253" i="48"/>
  <c r="BS253" i="48"/>
  <c r="AZ253" i="48"/>
  <c r="BT252" i="48"/>
  <c r="BS252" i="48"/>
  <c r="BU252" i="48"/>
  <c r="AZ252" i="48"/>
  <c r="BT250" i="48"/>
  <c r="BS250" i="48"/>
  <c r="AZ250" i="48"/>
  <c r="P250" i="48"/>
  <c r="J250" i="48"/>
  <c r="BT249" i="48"/>
  <c r="BS249" i="48"/>
  <c r="AZ249" i="48"/>
  <c r="P249" i="48"/>
  <c r="J249" i="48"/>
  <c r="BT248" i="48"/>
  <c r="BS248" i="48"/>
  <c r="AZ248" i="48"/>
  <c r="P248" i="48"/>
  <c r="J248" i="48"/>
  <c r="BT247" i="48"/>
  <c r="BS247" i="48"/>
  <c r="AZ247" i="48"/>
  <c r="P247" i="48"/>
  <c r="J247" i="48"/>
  <c r="BT246" i="48"/>
  <c r="BS246" i="48"/>
  <c r="AZ246" i="48"/>
  <c r="P246" i="48"/>
  <c r="J246" i="48"/>
  <c r="BT245" i="48"/>
  <c r="BS245" i="48"/>
  <c r="AZ245" i="48"/>
  <c r="P245" i="48"/>
  <c r="J245" i="48"/>
  <c r="BT244" i="48"/>
  <c r="BS244" i="48"/>
  <c r="AZ244" i="48"/>
  <c r="P244" i="48"/>
  <c r="J244" i="48"/>
  <c r="BT243" i="48"/>
  <c r="BS243" i="48"/>
  <c r="AZ243" i="48"/>
  <c r="P243" i="48"/>
  <c r="J243" i="48"/>
  <c r="BT242" i="48"/>
  <c r="BS242" i="48"/>
  <c r="AZ242" i="48"/>
  <c r="P242" i="48"/>
  <c r="J242" i="48"/>
  <c r="BT241" i="48"/>
  <c r="BS241" i="48"/>
  <c r="AZ241" i="48"/>
  <c r="P241" i="48"/>
  <c r="J241" i="48"/>
  <c r="BT240" i="48"/>
  <c r="BS240" i="48"/>
  <c r="AZ240" i="48"/>
  <c r="P240" i="48"/>
  <c r="J240" i="48"/>
  <c r="BT239" i="48"/>
  <c r="BS239" i="48"/>
  <c r="AZ239" i="48"/>
  <c r="P239" i="48"/>
  <c r="J239" i="48"/>
  <c r="BT238" i="48"/>
  <c r="BS238" i="48"/>
  <c r="AZ238" i="48"/>
  <c r="P238" i="48"/>
  <c r="J238" i="48"/>
  <c r="BT237" i="48"/>
  <c r="BS237" i="48"/>
  <c r="AZ237" i="48"/>
  <c r="P237" i="48"/>
  <c r="J237" i="48"/>
  <c r="BT236" i="48"/>
  <c r="BS236" i="48"/>
  <c r="AZ236" i="48"/>
  <c r="P236" i="48"/>
  <c r="J236" i="48"/>
  <c r="BT235" i="48"/>
  <c r="BS235" i="48"/>
  <c r="AZ235" i="48"/>
  <c r="P235" i="48"/>
  <c r="J235" i="48"/>
  <c r="BT234" i="48"/>
  <c r="BS234" i="48"/>
  <c r="AZ234" i="48"/>
  <c r="P234" i="48"/>
  <c r="J234" i="48"/>
  <c r="BT233" i="48"/>
  <c r="BS233" i="48"/>
  <c r="AZ233" i="48"/>
  <c r="BT232" i="48"/>
  <c r="BS232" i="48"/>
  <c r="AZ232" i="48"/>
  <c r="BT231" i="48"/>
  <c r="BS231" i="48"/>
  <c r="AZ231" i="48"/>
  <c r="BT230" i="48"/>
  <c r="BS230" i="48"/>
  <c r="AZ230" i="48"/>
  <c r="BT229" i="48"/>
  <c r="BS229" i="48"/>
  <c r="AZ229" i="48"/>
  <c r="BT228" i="48"/>
  <c r="BS228" i="48"/>
  <c r="BU228" i="48"/>
  <c r="AZ228" i="48"/>
  <c r="BT226" i="48"/>
  <c r="BS226" i="48"/>
  <c r="AZ226" i="48"/>
  <c r="P226" i="48"/>
  <c r="J226" i="48"/>
  <c r="BT225" i="48"/>
  <c r="BS225" i="48"/>
  <c r="AZ225" i="48"/>
  <c r="P225" i="48"/>
  <c r="J225" i="48"/>
  <c r="BT224" i="48"/>
  <c r="BS224" i="48"/>
  <c r="AZ224" i="48"/>
  <c r="P224" i="48"/>
  <c r="J224" i="48"/>
  <c r="BT223" i="48"/>
  <c r="BS223" i="48"/>
  <c r="AZ223" i="48"/>
  <c r="P223" i="48"/>
  <c r="J223" i="48"/>
  <c r="BT222" i="48"/>
  <c r="BS222" i="48"/>
  <c r="AZ222" i="48"/>
  <c r="P222" i="48"/>
  <c r="J222" i="48"/>
  <c r="BT221" i="48"/>
  <c r="BS221" i="48"/>
  <c r="AZ221" i="48"/>
  <c r="P221" i="48"/>
  <c r="J221" i="48"/>
  <c r="BT220" i="48"/>
  <c r="BS220" i="48"/>
  <c r="AZ220" i="48"/>
  <c r="P220" i="48"/>
  <c r="J220" i="48"/>
  <c r="BT219" i="48"/>
  <c r="BS219" i="48"/>
  <c r="AZ219" i="48"/>
  <c r="P219" i="48"/>
  <c r="J219" i="48"/>
  <c r="BT218" i="48"/>
  <c r="BS218" i="48"/>
  <c r="AZ218" i="48"/>
  <c r="P218" i="48"/>
  <c r="J218" i="48"/>
  <c r="BT217" i="48"/>
  <c r="BS217" i="48"/>
  <c r="AZ217" i="48"/>
  <c r="P217" i="48"/>
  <c r="J217" i="48"/>
  <c r="BT216" i="48"/>
  <c r="BS216" i="48"/>
  <c r="AZ216" i="48"/>
  <c r="P216" i="48"/>
  <c r="J216" i="48"/>
  <c r="BT215" i="48"/>
  <c r="BS215" i="48"/>
  <c r="AZ215" i="48"/>
  <c r="P215" i="48"/>
  <c r="J215" i="48"/>
  <c r="BT214" i="48"/>
  <c r="BS214" i="48"/>
  <c r="AZ214" i="48"/>
  <c r="P214" i="48"/>
  <c r="J214" i="48"/>
  <c r="BT213" i="48"/>
  <c r="BS213" i="48"/>
  <c r="AZ213" i="48"/>
  <c r="P213" i="48"/>
  <c r="J213" i="48"/>
  <c r="BT212" i="48"/>
  <c r="BS212" i="48"/>
  <c r="AZ212" i="48"/>
  <c r="P212" i="48"/>
  <c r="J212" i="48"/>
  <c r="BT211" i="48"/>
  <c r="BS211" i="48"/>
  <c r="AZ211" i="48"/>
  <c r="P211" i="48"/>
  <c r="J211" i="48"/>
  <c r="BT210" i="48"/>
  <c r="BS210" i="48"/>
  <c r="AZ210" i="48"/>
  <c r="P210" i="48"/>
  <c r="J210" i="48"/>
  <c r="BT209" i="48"/>
  <c r="BS209" i="48"/>
  <c r="AZ209" i="48"/>
  <c r="BT208" i="48"/>
  <c r="BS208" i="48"/>
  <c r="AZ208" i="48"/>
  <c r="BT207" i="48"/>
  <c r="BS207" i="48"/>
  <c r="AZ207" i="48"/>
  <c r="BT206" i="48"/>
  <c r="BS206" i="48"/>
  <c r="AZ206" i="48"/>
  <c r="BT205" i="48"/>
  <c r="BS205" i="48"/>
  <c r="AZ205" i="48"/>
  <c r="BT204" i="48"/>
  <c r="BS204" i="48"/>
  <c r="BU204" i="48"/>
  <c r="AZ204" i="48"/>
  <c r="BT202" i="48"/>
  <c r="BS202" i="48"/>
  <c r="AZ202" i="48"/>
  <c r="BT201" i="48"/>
  <c r="BS201" i="48"/>
  <c r="AZ201" i="48"/>
  <c r="P201" i="48"/>
  <c r="BT200" i="48"/>
  <c r="BS200" i="48"/>
  <c r="AZ200" i="48"/>
  <c r="P200" i="48"/>
  <c r="BT199" i="48"/>
  <c r="BS199" i="48"/>
  <c r="AZ199" i="48"/>
  <c r="P199" i="48"/>
  <c r="BT198" i="48"/>
  <c r="BS198" i="48"/>
  <c r="AZ198" i="48"/>
  <c r="P198" i="48"/>
  <c r="BT197" i="48"/>
  <c r="BS197" i="48"/>
  <c r="AZ197" i="48"/>
  <c r="P197" i="48"/>
  <c r="BT196" i="48"/>
  <c r="BS196" i="48"/>
  <c r="AZ196" i="48"/>
  <c r="P196" i="48"/>
  <c r="BT195" i="48"/>
  <c r="BS195" i="48"/>
  <c r="AZ195" i="48"/>
  <c r="P195" i="48"/>
  <c r="BT194" i="48"/>
  <c r="BS194" i="48"/>
  <c r="AZ194" i="48"/>
  <c r="P194" i="48"/>
  <c r="BT193" i="48"/>
  <c r="BS193" i="48"/>
  <c r="AZ193" i="48"/>
  <c r="P193" i="48"/>
  <c r="BT192" i="48"/>
  <c r="BS192" i="48"/>
  <c r="AZ192" i="48"/>
  <c r="P192" i="48"/>
  <c r="BT191" i="48"/>
  <c r="BS191" i="48"/>
  <c r="AZ191" i="48"/>
  <c r="P191" i="48"/>
  <c r="BT190" i="48"/>
  <c r="BS190" i="48"/>
  <c r="AZ190" i="48"/>
  <c r="P190" i="48"/>
  <c r="BT189" i="48"/>
  <c r="BS189" i="48"/>
  <c r="AZ189" i="48"/>
  <c r="P189" i="48"/>
  <c r="BT188" i="48"/>
  <c r="BS188" i="48"/>
  <c r="AZ188" i="48"/>
  <c r="P188" i="48"/>
  <c r="BT187" i="48"/>
  <c r="BS187" i="48"/>
  <c r="AZ187" i="48"/>
  <c r="P187" i="48"/>
  <c r="BT186" i="48"/>
  <c r="BS186" i="48"/>
  <c r="AZ186" i="48"/>
  <c r="BT185" i="48"/>
  <c r="BS185" i="48"/>
  <c r="AZ185" i="48"/>
  <c r="BT184" i="48"/>
  <c r="BS184" i="48"/>
  <c r="AZ184" i="48"/>
  <c r="BT183" i="48"/>
  <c r="BS183" i="48"/>
  <c r="AZ183" i="48"/>
  <c r="BT182" i="48"/>
  <c r="BS182" i="48"/>
  <c r="AZ182" i="48"/>
  <c r="BT181" i="48"/>
  <c r="BS181" i="48"/>
  <c r="AZ181" i="48"/>
  <c r="BT180" i="48"/>
  <c r="BS180" i="48"/>
  <c r="AZ180" i="48"/>
  <c r="BT178" i="48"/>
  <c r="BS178" i="48"/>
  <c r="AZ178" i="48"/>
  <c r="BT177" i="48"/>
  <c r="BS177" i="48"/>
  <c r="AZ177" i="48"/>
  <c r="P177" i="48"/>
  <c r="J177" i="48"/>
  <c r="BT176" i="48"/>
  <c r="BS176" i="48"/>
  <c r="AZ176" i="48"/>
  <c r="P176" i="48"/>
  <c r="J176" i="48"/>
  <c r="BT175" i="48"/>
  <c r="BS175" i="48"/>
  <c r="AZ175" i="48"/>
  <c r="P175" i="48"/>
  <c r="J175" i="48"/>
  <c r="BT174" i="48"/>
  <c r="BS174" i="48"/>
  <c r="AZ174" i="48"/>
  <c r="P174" i="48"/>
  <c r="J174" i="48"/>
  <c r="BT173" i="48"/>
  <c r="BS173" i="48"/>
  <c r="AZ173" i="48"/>
  <c r="P173" i="48"/>
  <c r="J173" i="48"/>
  <c r="BT172" i="48"/>
  <c r="BS172" i="48"/>
  <c r="AZ172" i="48"/>
  <c r="P172" i="48"/>
  <c r="J172" i="48"/>
  <c r="BT171" i="48"/>
  <c r="BS171" i="48"/>
  <c r="AZ171" i="48"/>
  <c r="P171" i="48"/>
  <c r="J171" i="48"/>
  <c r="BT170" i="48"/>
  <c r="BS170" i="48"/>
  <c r="AZ170" i="48"/>
  <c r="P170" i="48"/>
  <c r="J170" i="48"/>
  <c r="BT169" i="48"/>
  <c r="BS169" i="48"/>
  <c r="AZ169" i="48"/>
  <c r="P169" i="48"/>
  <c r="J169" i="48"/>
  <c r="BT168" i="48"/>
  <c r="BS168" i="48"/>
  <c r="AZ168" i="48"/>
  <c r="P168" i="48"/>
  <c r="J168" i="48"/>
  <c r="BT167" i="48"/>
  <c r="BS167" i="48"/>
  <c r="AZ167" i="48"/>
  <c r="P167" i="48"/>
  <c r="J167" i="48"/>
  <c r="BT166" i="48"/>
  <c r="BS166" i="48"/>
  <c r="AZ166" i="48"/>
  <c r="P166" i="48"/>
  <c r="J166" i="48"/>
  <c r="BT165" i="48"/>
  <c r="BS165" i="48"/>
  <c r="AZ165" i="48"/>
  <c r="P165" i="48"/>
  <c r="J165" i="48"/>
  <c r="BT164" i="48"/>
  <c r="BS164" i="48"/>
  <c r="AZ164" i="48"/>
  <c r="P164" i="48"/>
  <c r="J164" i="48"/>
  <c r="BT163" i="48"/>
  <c r="BS163" i="48"/>
  <c r="AZ163" i="48"/>
  <c r="P163" i="48"/>
  <c r="J163" i="48"/>
  <c r="BT162" i="48"/>
  <c r="BS162" i="48"/>
  <c r="AZ162" i="48"/>
  <c r="P162" i="48"/>
  <c r="J162" i="48"/>
  <c r="BT161" i="48"/>
  <c r="BS161" i="48"/>
  <c r="AZ161" i="48"/>
  <c r="BT160" i="48"/>
  <c r="BS160" i="48"/>
  <c r="AZ160" i="48"/>
  <c r="BT159" i="48"/>
  <c r="BS159" i="48"/>
  <c r="AZ159" i="48"/>
  <c r="BT158" i="48"/>
  <c r="BS158" i="48"/>
  <c r="AZ158" i="48"/>
  <c r="BT157" i="48"/>
  <c r="BS157" i="48"/>
  <c r="AZ157" i="48"/>
  <c r="BT156" i="48"/>
  <c r="BS156" i="48"/>
  <c r="BU156" i="48"/>
  <c r="AZ156" i="48"/>
  <c r="BT154" i="48"/>
  <c r="BS154" i="48"/>
  <c r="P154" i="48"/>
  <c r="J154" i="48"/>
  <c r="BT153" i="48"/>
  <c r="BS153" i="48"/>
  <c r="AZ153" i="48"/>
  <c r="P153" i="48"/>
  <c r="J153" i="48"/>
  <c r="BT152" i="48"/>
  <c r="BS152" i="48"/>
  <c r="AZ152" i="48"/>
  <c r="P152" i="48"/>
  <c r="J152" i="48"/>
  <c r="BT151" i="48"/>
  <c r="BS151" i="48"/>
  <c r="AZ151" i="48"/>
  <c r="P151" i="48"/>
  <c r="J151" i="48"/>
  <c r="BT150" i="48"/>
  <c r="BS150" i="48"/>
  <c r="AZ150" i="48"/>
  <c r="P150" i="48"/>
  <c r="J150" i="48"/>
  <c r="BT149" i="48"/>
  <c r="BS149" i="48"/>
  <c r="AZ149" i="48"/>
  <c r="P149" i="48"/>
  <c r="J149" i="48"/>
  <c r="BT148" i="48"/>
  <c r="BS148" i="48"/>
  <c r="AZ148" i="48"/>
  <c r="P148" i="48"/>
  <c r="J148" i="48"/>
  <c r="BT147" i="48"/>
  <c r="BS147" i="48"/>
  <c r="AZ147" i="48"/>
  <c r="P147" i="48"/>
  <c r="J147" i="48"/>
  <c r="BT146" i="48"/>
  <c r="BS146" i="48"/>
  <c r="AZ146" i="48"/>
  <c r="P146" i="48"/>
  <c r="J146" i="48"/>
  <c r="BT145" i="48"/>
  <c r="BS145" i="48"/>
  <c r="AZ145" i="48"/>
  <c r="P145" i="48"/>
  <c r="J145" i="48"/>
  <c r="BT144" i="48"/>
  <c r="BS144" i="48"/>
  <c r="AZ144" i="48"/>
  <c r="P144" i="48"/>
  <c r="J144" i="48"/>
  <c r="BT143" i="48"/>
  <c r="BS143" i="48"/>
  <c r="AZ143" i="48"/>
  <c r="P143" i="48"/>
  <c r="J143" i="48"/>
  <c r="BT142" i="48"/>
  <c r="BS142" i="48"/>
  <c r="AZ142" i="48"/>
  <c r="P142" i="48"/>
  <c r="J142" i="48"/>
  <c r="BT141" i="48"/>
  <c r="BS141" i="48"/>
  <c r="AZ141" i="48"/>
  <c r="P141" i="48"/>
  <c r="J141" i="48"/>
  <c r="BT140" i="48"/>
  <c r="BS140" i="48"/>
  <c r="AZ140" i="48"/>
  <c r="P140" i="48"/>
  <c r="J140" i="48"/>
  <c r="BT139" i="48"/>
  <c r="BS139" i="48"/>
  <c r="AZ139" i="48"/>
  <c r="P139" i="48"/>
  <c r="J139" i="48"/>
  <c r="BT138" i="48"/>
  <c r="BS138" i="48"/>
  <c r="AZ138" i="48"/>
  <c r="BT137" i="48"/>
  <c r="BS137" i="48"/>
  <c r="AZ137" i="48"/>
  <c r="BT136" i="48"/>
  <c r="BS136" i="48"/>
  <c r="AZ136" i="48"/>
  <c r="BT135" i="48"/>
  <c r="BS135" i="48"/>
  <c r="AZ135" i="48"/>
  <c r="BT134" i="48"/>
  <c r="BS134" i="48"/>
  <c r="AZ134" i="48"/>
  <c r="BT133" i="48"/>
  <c r="BS133" i="48"/>
  <c r="AZ133" i="48"/>
  <c r="BT132" i="48"/>
  <c r="BS132" i="48"/>
  <c r="BU132" i="48"/>
  <c r="AZ132" i="48"/>
  <c r="BT130" i="48"/>
  <c r="BS130" i="48"/>
  <c r="P130" i="48"/>
  <c r="J130" i="48"/>
  <c r="BT129" i="48"/>
  <c r="BS129" i="48"/>
  <c r="AZ129" i="48"/>
  <c r="P129" i="48"/>
  <c r="J129" i="48"/>
  <c r="BT128" i="48"/>
  <c r="BS128" i="48"/>
  <c r="AZ128" i="48"/>
  <c r="P128" i="48"/>
  <c r="J128" i="48"/>
  <c r="BT127" i="48"/>
  <c r="BS127" i="48"/>
  <c r="AZ127" i="48"/>
  <c r="P127" i="48"/>
  <c r="J127" i="48"/>
  <c r="BT126" i="48"/>
  <c r="BS126" i="48"/>
  <c r="AZ126" i="48"/>
  <c r="P126" i="48"/>
  <c r="J126" i="48"/>
  <c r="BT125" i="48"/>
  <c r="BS125" i="48"/>
  <c r="AZ125" i="48"/>
  <c r="P125" i="48"/>
  <c r="J125" i="48"/>
  <c r="BT124" i="48"/>
  <c r="BS124" i="48"/>
  <c r="AZ124" i="48"/>
  <c r="P124" i="48"/>
  <c r="J124" i="48"/>
  <c r="BT123" i="48"/>
  <c r="BS123" i="48"/>
  <c r="AZ123" i="48"/>
  <c r="P123" i="48"/>
  <c r="J123" i="48"/>
  <c r="BT122" i="48"/>
  <c r="BS122" i="48"/>
  <c r="AZ122" i="48"/>
  <c r="P122" i="48"/>
  <c r="J122" i="48"/>
  <c r="BT121" i="48"/>
  <c r="BS121" i="48"/>
  <c r="AZ121" i="48"/>
  <c r="P121" i="48"/>
  <c r="J121" i="48"/>
  <c r="BT120" i="48"/>
  <c r="BS120" i="48"/>
  <c r="AZ120" i="48"/>
  <c r="P120" i="48"/>
  <c r="J120" i="48"/>
  <c r="BT119" i="48"/>
  <c r="BS119" i="48"/>
  <c r="AZ119" i="48"/>
  <c r="P119" i="48"/>
  <c r="J119" i="48"/>
  <c r="BT118" i="48"/>
  <c r="BS118" i="48"/>
  <c r="AZ118" i="48"/>
  <c r="P118" i="48"/>
  <c r="J118" i="48"/>
  <c r="BT117" i="48"/>
  <c r="BS117" i="48"/>
  <c r="AZ117" i="48"/>
  <c r="P117" i="48"/>
  <c r="J117" i="48"/>
  <c r="BT116" i="48"/>
  <c r="BS116" i="48"/>
  <c r="AZ116" i="48"/>
  <c r="P116" i="48"/>
  <c r="J116" i="48"/>
  <c r="BT115" i="48"/>
  <c r="BS115" i="48"/>
  <c r="AZ115" i="48"/>
  <c r="P115" i="48"/>
  <c r="J115" i="48"/>
  <c r="BT114" i="48"/>
  <c r="BS114" i="48"/>
  <c r="AZ114" i="48"/>
  <c r="P114" i="48"/>
  <c r="J114" i="48"/>
  <c r="BT113" i="48"/>
  <c r="BS113" i="48"/>
  <c r="AZ113" i="48"/>
  <c r="BT112" i="48"/>
  <c r="BS112" i="48"/>
  <c r="AZ112" i="48"/>
  <c r="BT111" i="48"/>
  <c r="BS111" i="48"/>
  <c r="AZ111" i="48"/>
  <c r="BT110" i="48"/>
  <c r="BS110" i="48"/>
  <c r="AZ110" i="48"/>
  <c r="BT109" i="48"/>
  <c r="BS109" i="48"/>
  <c r="AZ109" i="48"/>
  <c r="BT108" i="48"/>
  <c r="BS108" i="48"/>
  <c r="AZ108" i="48"/>
  <c r="BT106" i="48"/>
  <c r="BS106" i="48"/>
  <c r="J106" i="48"/>
  <c r="BT105" i="48"/>
  <c r="BS105" i="48"/>
  <c r="AZ105" i="48"/>
  <c r="J105" i="48"/>
  <c r="BT104" i="48"/>
  <c r="BS104" i="48"/>
  <c r="AZ104" i="48"/>
  <c r="J104" i="48"/>
  <c r="BT103" i="48"/>
  <c r="BS103" i="48"/>
  <c r="AZ103" i="48"/>
  <c r="J103" i="48"/>
  <c r="BT102" i="48"/>
  <c r="BS102" i="48"/>
  <c r="AZ102" i="48"/>
  <c r="J102" i="48"/>
  <c r="BT101" i="48"/>
  <c r="BS101" i="48"/>
  <c r="AZ101" i="48"/>
  <c r="J101" i="48"/>
  <c r="BT100" i="48"/>
  <c r="BS100" i="48"/>
  <c r="AZ100" i="48"/>
  <c r="J100" i="48"/>
  <c r="BT99" i="48"/>
  <c r="BS99" i="48"/>
  <c r="AZ99" i="48"/>
  <c r="J99" i="48"/>
  <c r="BT98" i="48"/>
  <c r="BS98" i="48"/>
  <c r="AZ98" i="48"/>
  <c r="J98" i="48"/>
  <c r="BT97" i="48"/>
  <c r="BS97" i="48"/>
  <c r="AZ97" i="48"/>
  <c r="J97" i="48"/>
  <c r="BT96" i="48"/>
  <c r="BS96" i="48"/>
  <c r="AZ96" i="48"/>
  <c r="J96" i="48"/>
  <c r="BT95" i="48"/>
  <c r="BS95" i="48"/>
  <c r="AZ95" i="48"/>
  <c r="J95" i="48"/>
  <c r="BT94" i="48"/>
  <c r="BS94" i="48"/>
  <c r="AZ94" i="48"/>
  <c r="J94" i="48"/>
  <c r="BT93" i="48"/>
  <c r="BS93" i="48"/>
  <c r="AZ93" i="48"/>
  <c r="J93" i="48"/>
  <c r="BT92" i="48"/>
  <c r="BS92" i="48"/>
  <c r="AZ92" i="48"/>
  <c r="J92" i="48"/>
  <c r="BT91" i="48"/>
  <c r="BS91" i="48"/>
  <c r="AZ91" i="48"/>
  <c r="J91" i="48"/>
  <c r="BT90" i="48"/>
  <c r="BS90" i="48"/>
  <c r="AZ90" i="48"/>
  <c r="J90" i="48"/>
  <c r="BT89" i="48"/>
  <c r="BS89" i="48"/>
  <c r="AZ89" i="48"/>
  <c r="BT88" i="48"/>
  <c r="BS88" i="48"/>
  <c r="AZ88" i="48"/>
  <c r="BT87" i="48"/>
  <c r="BS87" i="48"/>
  <c r="AZ87" i="48"/>
  <c r="BT86" i="48"/>
  <c r="BS86" i="48"/>
  <c r="AZ86" i="48"/>
  <c r="BT85" i="48"/>
  <c r="BS85" i="48"/>
  <c r="AZ85" i="48"/>
  <c r="BT84" i="48"/>
  <c r="BS84" i="48"/>
  <c r="BU84" i="48"/>
  <c r="AZ84" i="48"/>
  <c r="BT82" i="48"/>
  <c r="BS82" i="48"/>
  <c r="BT81" i="48"/>
  <c r="BS81" i="48"/>
  <c r="AZ81" i="48"/>
  <c r="J81" i="48"/>
  <c r="BT80" i="48"/>
  <c r="BS80" i="48"/>
  <c r="AZ80" i="48"/>
  <c r="J80" i="48"/>
  <c r="BT79" i="48"/>
  <c r="BS79" i="48"/>
  <c r="AZ79" i="48"/>
  <c r="J79" i="48"/>
  <c r="BT78" i="48"/>
  <c r="BS78" i="48"/>
  <c r="AZ78" i="48"/>
  <c r="J78" i="48"/>
  <c r="BT77" i="48"/>
  <c r="BS77" i="48"/>
  <c r="AZ77" i="48"/>
  <c r="J77" i="48"/>
  <c r="BT76" i="48"/>
  <c r="BS76" i="48"/>
  <c r="AZ76" i="48"/>
  <c r="J76" i="48"/>
  <c r="BT75" i="48"/>
  <c r="BS75" i="48"/>
  <c r="AZ75" i="48"/>
  <c r="J75" i="48"/>
  <c r="BT74" i="48"/>
  <c r="BS74" i="48"/>
  <c r="AZ74" i="48"/>
  <c r="J74" i="48"/>
  <c r="BT73" i="48"/>
  <c r="BS73" i="48"/>
  <c r="AZ73" i="48"/>
  <c r="J73" i="48"/>
  <c r="BT72" i="48"/>
  <c r="BS72" i="48"/>
  <c r="AZ72" i="48"/>
  <c r="J72" i="48"/>
  <c r="BT71" i="48"/>
  <c r="BS71" i="48"/>
  <c r="AZ71" i="48"/>
  <c r="J71" i="48"/>
  <c r="BT70" i="48"/>
  <c r="BS70" i="48"/>
  <c r="AZ70" i="48"/>
  <c r="J70" i="48"/>
  <c r="BT69" i="48"/>
  <c r="BS69" i="48"/>
  <c r="AZ69" i="48"/>
  <c r="J69" i="48"/>
  <c r="BT68" i="48"/>
  <c r="BS68" i="48"/>
  <c r="AZ68" i="48"/>
  <c r="J68" i="48"/>
  <c r="BT67" i="48"/>
  <c r="BS67" i="48"/>
  <c r="AZ67" i="48"/>
  <c r="J67" i="48"/>
  <c r="BT66" i="48"/>
  <c r="BS66" i="48"/>
  <c r="AZ66" i="48"/>
  <c r="J66" i="48"/>
  <c r="BT65" i="48"/>
  <c r="BS65" i="48"/>
  <c r="AZ65" i="48"/>
  <c r="BT64" i="48"/>
  <c r="BS64" i="48"/>
  <c r="AZ64" i="48"/>
  <c r="BT63" i="48"/>
  <c r="BS63" i="48"/>
  <c r="AZ63" i="48"/>
  <c r="BT62" i="48"/>
  <c r="BS62" i="48"/>
  <c r="AZ62" i="48"/>
  <c r="BT61" i="48"/>
  <c r="BS61" i="48"/>
  <c r="AZ61" i="48"/>
  <c r="BT60" i="48"/>
  <c r="BS60" i="48"/>
  <c r="BU60" i="48"/>
  <c r="AZ60" i="48"/>
  <c r="BT58" i="48"/>
  <c r="BS58" i="48"/>
  <c r="P58" i="48"/>
  <c r="J58" i="48"/>
  <c r="BT57" i="48"/>
  <c r="BS57" i="48"/>
  <c r="AZ57" i="48"/>
  <c r="P57" i="48"/>
  <c r="J57" i="48"/>
  <c r="BT56" i="48"/>
  <c r="BS56" i="48"/>
  <c r="AZ56" i="48"/>
  <c r="P56" i="48"/>
  <c r="J56" i="48"/>
  <c r="BT55" i="48"/>
  <c r="BS55" i="48"/>
  <c r="AZ55" i="48"/>
  <c r="P55" i="48"/>
  <c r="J55" i="48"/>
  <c r="BT54" i="48"/>
  <c r="BS54" i="48"/>
  <c r="AZ54" i="48"/>
  <c r="P54" i="48"/>
  <c r="J54" i="48"/>
  <c r="BT53" i="48"/>
  <c r="BS53" i="48"/>
  <c r="AZ53" i="48"/>
  <c r="P53" i="48"/>
  <c r="J53" i="48"/>
  <c r="BT52" i="48"/>
  <c r="BS52" i="48"/>
  <c r="AZ52" i="48"/>
  <c r="P52" i="48"/>
  <c r="J52" i="48"/>
  <c r="BT51" i="48"/>
  <c r="BS51" i="48"/>
  <c r="AZ51" i="48"/>
  <c r="P51" i="48"/>
  <c r="J51" i="48"/>
  <c r="BT50" i="48"/>
  <c r="BS50" i="48"/>
  <c r="AZ50" i="48"/>
  <c r="P50" i="48"/>
  <c r="J50" i="48"/>
  <c r="BT49" i="48"/>
  <c r="BS49" i="48"/>
  <c r="AZ49" i="48"/>
  <c r="P49" i="48"/>
  <c r="J49" i="48"/>
  <c r="BT48" i="48"/>
  <c r="BS48" i="48"/>
  <c r="AZ48" i="48"/>
  <c r="P48" i="48"/>
  <c r="J48" i="48"/>
  <c r="BT47" i="48"/>
  <c r="BS47" i="48"/>
  <c r="AZ47" i="48"/>
  <c r="P47" i="48"/>
  <c r="J47" i="48"/>
  <c r="BT46" i="48"/>
  <c r="BS46" i="48"/>
  <c r="AZ46" i="48"/>
  <c r="P46" i="48"/>
  <c r="J46" i="48"/>
  <c r="BT45" i="48"/>
  <c r="BS45" i="48"/>
  <c r="AZ45" i="48"/>
  <c r="P45" i="48"/>
  <c r="J45" i="48"/>
  <c r="BT44" i="48"/>
  <c r="BS44" i="48"/>
  <c r="AZ44" i="48"/>
  <c r="P44" i="48"/>
  <c r="J44" i="48"/>
  <c r="BT43" i="48"/>
  <c r="BS43" i="48"/>
  <c r="AZ43" i="48"/>
  <c r="P43" i="48"/>
  <c r="J43" i="48"/>
  <c r="BT42" i="48"/>
  <c r="BS42" i="48"/>
  <c r="AZ42" i="48"/>
  <c r="P42" i="48"/>
  <c r="J42" i="48"/>
  <c r="BT41" i="48"/>
  <c r="BS41" i="48"/>
  <c r="AZ41" i="48"/>
  <c r="BT40" i="48"/>
  <c r="BS40" i="48"/>
  <c r="AZ40" i="48"/>
  <c r="BT39" i="48"/>
  <c r="BS39" i="48"/>
  <c r="AZ39" i="48"/>
  <c r="BT38" i="48"/>
  <c r="BS38" i="48"/>
  <c r="AZ38" i="48"/>
  <c r="BT37" i="48"/>
  <c r="BS37" i="48"/>
  <c r="AZ37" i="48"/>
  <c r="BA37" i="48" s="1"/>
  <c r="BA347" i="48" l="1"/>
  <c r="BA371" i="48"/>
  <c r="AI370" i="48"/>
  <c r="BA395" i="48"/>
  <c r="AI394" i="48"/>
  <c r="BA419" i="48"/>
  <c r="BA443" i="48"/>
  <c r="AI442" i="48"/>
  <c r="BA611" i="48"/>
  <c r="AI610" i="48"/>
  <c r="BA635" i="48"/>
  <c r="AI634" i="48"/>
  <c r="BA659" i="48"/>
  <c r="AI658" i="48"/>
  <c r="BA683" i="48"/>
  <c r="AI682" i="48"/>
  <c r="BA179" i="48"/>
  <c r="AI202" i="48"/>
  <c r="BA227" i="48"/>
  <c r="AI226" i="48"/>
  <c r="BA251" i="48"/>
  <c r="BA563" i="48"/>
  <c r="BC45" i="48"/>
  <c r="AI213" i="48" s="1"/>
  <c r="BC49" i="48"/>
  <c r="AI1081" i="48" s="1"/>
  <c r="BC53" i="48"/>
  <c r="AI221" i="48" s="1"/>
  <c r="BC57" i="48"/>
  <c r="AI368" i="48" s="1"/>
  <c r="AI261" i="48"/>
  <c r="AI298" i="48"/>
  <c r="BA491" i="48"/>
  <c r="BA515" i="48"/>
  <c r="BA707" i="48"/>
  <c r="BA1019" i="48"/>
  <c r="BA1091" i="48"/>
  <c r="BA1115" i="48"/>
  <c r="BA1139" i="48"/>
  <c r="BA1163" i="48"/>
  <c r="BA1187" i="48"/>
  <c r="BA1211" i="48"/>
  <c r="BA1307" i="48"/>
  <c r="BA875" i="48"/>
  <c r="BA899" i="48"/>
  <c r="BA971" i="48"/>
  <c r="BA803" i="48"/>
  <c r="BA827" i="48"/>
  <c r="AI826" i="48"/>
  <c r="BA1283" i="48"/>
  <c r="BA731" i="48"/>
  <c r="BB43" i="48"/>
  <c r="BC46" i="48"/>
  <c r="AI934" i="48" s="1"/>
  <c r="BC50" i="48"/>
  <c r="AI290" i="48" s="1"/>
  <c r="BC54" i="48"/>
  <c r="AI1158" i="48" s="1"/>
  <c r="BC43" i="48"/>
  <c r="BC47" i="48"/>
  <c r="AI599" i="48" s="1"/>
  <c r="BC51" i="48"/>
  <c r="AI627" i="48" s="1"/>
  <c r="BC55" i="48"/>
  <c r="BC44" i="48"/>
  <c r="AI1076" i="48" s="1"/>
  <c r="BC48" i="48"/>
  <c r="AI432" i="48" s="1"/>
  <c r="BC52" i="48"/>
  <c r="AI268" i="48" s="1"/>
  <c r="BC56" i="48"/>
  <c r="AI1087" i="48" s="1"/>
  <c r="BA203" i="48"/>
  <c r="BC58" i="48"/>
  <c r="AI825" i="48" s="1"/>
  <c r="BB45" i="48"/>
  <c r="AH693" i="48" s="1"/>
  <c r="BB44" i="48"/>
  <c r="AH116" i="48" s="1"/>
  <c r="AZ778" i="48"/>
  <c r="DQ56" i="48"/>
  <c r="DQ43" i="48"/>
  <c r="DQ57" i="48"/>
  <c r="DQ47" i="48"/>
  <c r="DQ41" i="48"/>
  <c r="DQ45" i="48"/>
  <c r="DQ51" i="48"/>
  <c r="DQ53" i="48"/>
  <c r="DQ55" i="48"/>
  <c r="DQ40" i="48"/>
  <c r="DQ44" i="48"/>
  <c r="DQ48" i="48"/>
  <c r="DQ52" i="48"/>
  <c r="DQ49" i="48"/>
  <c r="DQ42" i="48"/>
  <c r="DQ46" i="48"/>
  <c r="DQ50" i="48"/>
  <c r="DQ54" i="48"/>
  <c r="DQ59" i="48"/>
  <c r="DQ58" i="48"/>
  <c r="BB53" i="48"/>
  <c r="AH509" i="48" s="1"/>
  <c r="BB57" i="48"/>
  <c r="AH105" i="48" s="1"/>
  <c r="BB49" i="48"/>
  <c r="AH121" i="48" s="1"/>
  <c r="BB46" i="48"/>
  <c r="AH190" i="48" s="1"/>
  <c r="BB47" i="48"/>
  <c r="AH95" i="48" s="1"/>
  <c r="BB51" i="48"/>
  <c r="AH219" i="48" s="1"/>
  <c r="BB55" i="48"/>
  <c r="AH223" i="48" s="1"/>
  <c r="BB48" i="48"/>
  <c r="AH120" i="48" s="1"/>
  <c r="BB52" i="48"/>
  <c r="AH124" i="48" s="1"/>
  <c r="BB56" i="48"/>
  <c r="AH728" i="48" s="1"/>
  <c r="BB50" i="48"/>
  <c r="AH986" i="48" s="1"/>
  <c r="BB54" i="48"/>
  <c r="AH1038" i="48" s="1"/>
  <c r="BA999" i="48"/>
  <c r="BA1289" i="48"/>
  <c r="BA1311" i="48"/>
  <c r="BA1326" i="48"/>
  <c r="BA1268" i="48"/>
  <c r="BA1280" i="48"/>
  <c r="BA1292" i="48"/>
  <c r="BA1298" i="48"/>
  <c r="BA1302" i="48"/>
  <c r="BA1306" i="48"/>
  <c r="BA1322" i="48"/>
  <c r="BA785" i="48"/>
  <c r="BA809" i="48"/>
  <c r="BA856" i="48"/>
  <c r="BA880" i="48"/>
  <c r="BA976" i="48"/>
  <c r="BA758" i="48"/>
  <c r="BA1315" i="48"/>
  <c r="BA1319" i="48"/>
  <c r="BA1323" i="48"/>
  <c r="BA215" i="48"/>
  <c r="BA219" i="48"/>
  <c r="BA223" i="48"/>
  <c r="BA235" i="48"/>
  <c r="BA239" i="48"/>
  <c r="BA243" i="48"/>
  <c r="BA341" i="48"/>
  <c r="BA345" i="48"/>
  <c r="BA1095" i="48"/>
  <c r="BA1327" i="48"/>
  <c r="BA1314" i="48"/>
  <c r="BA297" i="48"/>
  <c r="BA448" i="48"/>
  <c r="BA1119" i="48"/>
  <c r="BA1143" i="48"/>
  <c r="BA1238" i="48"/>
  <c r="BA1265" i="48"/>
  <c r="BA1310" i="48"/>
  <c r="BA91" i="48"/>
  <c r="BA95" i="48"/>
  <c r="BA437" i="48"/>
  <c r="BA453" i="48"/>
  <c r="BA457" i="48"/>
  <c r="BA486" i="48"/>
  <c r="BA490" i="48"/>
  <c r="BA498" i="48"/>
  <c r="BA502" i="48"/>
  <c r="BA506" i="48"/>
  <c r="BA510" i="48"/>
  <c r="BA514" i="48"/>
  <c r="BA522" i="48"/>
  <c r="BA526" i="48"/>
  <c r="BA604" i="48"/>
  <c r="BA608" i="48"/>
  <c r="BA816" i="48"/>
  <c r="BA820" i="48"/>
  <c r="BA1010" i="48"/>
  <c r="BA1018" i="48"/>
  <c r="BA1029" i="48"/>
  <c r="BA1033" i="48"/>
  <c r="BA1037" i="48"/>
  <c r="BA1052" i="48"/>
  <c r="BA1056" i="48"/>
  <c r="BA1060" i="48"/>
  <c r="BA1064" i="48"/>
  <c r="BA1076" i="48"/>
  <c r="BA1080" i="48"/>
  <c r="BA1084" i="48"/>
  <c r="BA1088" i="48"/>
  <c r="BA1098" i="48"/>
  <c r="BA1102" i="48"/>
  <c r="BA1106" i="48"/>
  <c r="BA1110" i="48"/>
  <c r="BA1114" i="48"/>
  <c r="BA1122" i="48"/>
  <c r="BA1126" i="48"/>
  <c r="BA1130" i="48"/>
  <c r="BA1134" i="48"/>
  <c r="BA1138" i="48"/>
  <c r="BA1146" i="48"/>
  <c r="BA1150" i="48"/>
  <c r="BA1154" i="48"/>
  <c r="BA1158" i="48"/>
  <c r="BA1162" i="48"/>
  <c r="BA1170" i="48"/>
  <c r="BA1174" i="48"/>
  <c r="BA1178" i="48"/>
  <c r="BA1182" i="48"/>
  <c r="BA1186" i="48"/>
  <c r="BA1194" i="48"/>
  <c r="BA1198" i="48"/>
  <c r="BA1202" i="48"/>
  <c r="BA1206" i="48"/>
  <c r="BA1210" i="48"/>
  <c r="BA1218" i="48"/>
  <c r="BA1222" i="48"/>
  <c r="BA1226" i="48"/>
  <c r="BA1230" i="48"/>
  <c r="BA1255" i="48"/>
  <c r="BA1272" i="48"/>
  <c r="BA1318" i="48"/>
  <c r="BA39" i="48"/>
  <c r="BA43" i="48"/>
  <c r="BA47" i="48"/>
  <c r="BA51" i="48"/>
  <c r="BA55" i="48"/>
  <c r="BA62" i="48"/>
  <c r="BA87" i="48"/>
  <c r="BA99" i="48"/>
  <c r="BA103" i="48"/>
  <c r="BA109" i="48"/>
  <c r="BA113" i="48"/>
  <c r="BA117" i="48"/>
  <c r="BA121" i="48"/>
  <c r="BA125" i="48"/>
  <c r="BA136" i="48"/>
  <c r="BA140" i="48"/>
  <c r="BA144" i="48"/>
  <c r="BA148" i="48"/>
  <c r="BA152" i="48"/>
  <c r="BA161" i="48"/>
  <c r="BA165" i="48"/>
  <c r="BA169" i="48"/>
  <c r="BA173" i="48"/>
  <c r="BA177" i="48"/>
  <c r="BA182" i="48"/>
  <c r="BA186" i="48"/>
  <c r="BA207" i="48"/>
  <c r="BA211" i="48"/>
  <c r="BA231" i="48"/>
  <c r="BA247" i="48"/>
  <c r="BA255" i="48"/>
  <c r="BA261" i="48"/>
  <c r="BA265" i="48"/>
  <c r="BA269" i="48"/>
  <c r="BA278" i="48"/>
  <c r="BA282" i="48"/>
  <c r="BA286" i="48"/>
  <c r="BA290" i="48"/>
  <c r="BA294" i="48"/>
  <c r="BA298" i="48"/>
  <c r="BA304" i="48"/>
  <c r="BA308" i="48"/>
  <c r="BA312" i="48"/>
  <c r="BA316" i="48"/>
  <c r="BA320" i="48"/>
  <c r="BA329" i="48"/>
  <c r="BA333" i="48"/>
  <c r="BA337" i="48"/>
  <c r="BA353" i="48"/>
  <c r="BA357" i="48"/>
  <c r="BA361" i="48"/>
  <c r="BA365" i="48"/>
  <c r="BA381" i="48"/>
  <c r="BA385" i="48"/>
  <c r="BA389" i="48"/>
  <c r="BA393" i="48"/>
  <c r="BA405" i="48"/>
  <c r="BA409" i="48"/>
  <c r="BA413" i="48"/>
  <c r="BA417" i="48"/>
  <c r="BA429" i="48"/>
  <c r="BA433" i="48"/>
  <c r="BA1329" i="48"/>
  <c r="BA1330" i="48"/>
  <c r="BA592" i="48"/>
  <c r="BA1316" i="48"/>
  <c r="BA1320" i="48"/>
  <c r="BA1324" i="48"/>
  <c r="BA1328" i="48"/>
  <c r="BA1250" i="48"/>
  <c r="BA1254" i="48"/>
  <c r="BA1267" i="48"/>
  <c r="BA1271" i="48"/>
  <c r="BA1275" i="48"/>
  <c r="BA1279" i="48"/>
  <c r="BA1291" i="48"/>
  <c r="BA1297" i="48"/>
  <c r="BA1301" i="48"/>
  <c r="BA1305" i="48"/>
  <c r="BA1309" i="48"/>
  <c r="BA1313" i="48"/>
  <c r="BA1317" i="48"/>
  <c r="BA1321" i="48"/>
  <c r="BA1325" i="48"/>
  <c r="BA441" i="48"/>
  <c r="BA461" i="48"/>
  <c r="BA474" i="48"/>
  <c r="BA478" i="48"/>
  <c r="BA482" i="48"/>
  <c r="BA530" i="48"/>
  <c r="BA534" i="48"/>
  <c r="BA547" i="48"/>
  <c r="BA551" i="48"/>
  <c r="BA555" i="48"/>
  <c r="BA559" i="48"/>
  <c r="BA571" i="48"/>
  <c r="BA575" i="48"/>
  <c r="BA579" i="48"/>
  <c r="BA583" i="48"/>
  <c r="BA596" i="48"/>
  <c r="BA600" i="48"/>
  <c r="BA620" i="48"/>
  <c r="BA624" i="48"/>
  <c r="BA628" i="48"/>
  <c r="BA632" i="48"/>
  <c r="BA644" i="48"/>
  <c r="BA648" i="48"/>
  <c r="BA652" i="48"/>
  <c r="BA656" i="48"/>
  <c r="BA668" i="48"/>
  <c r="BA672" i="48"/>
  <c r="BA676" i="48"/>
  <c r="BA680" i="48"/>
  <c r="BA694" i="48"/>
  <c r="BA698" i="48"/>
  <c r="BA702" i="48"/>
  <c r="BA706" i="48"/>
  <c r="BA714" i="48"/>
  <c r="BA718" i="48"/>
  <c r="BA722" i="48"/>
  <c r="BA726" i="48"/>
  <c r="BA730" i="48"/>
  <c r="BA738" i="48"/>
  <c r="BA742" i="48"/>
  <c r="BA746" i="48"/>
  <c r="BA750" i="48"/>
  <c r="BA763" i="48"/>
  <c r="BA767" i="48"/>
  <c r="BA771" i="48"/>
  <c r="BA775" i="48"/>
  <c r="BA788" i="48"/>
  <c r="BA792" i="48"/>
  <c r="BA796" i="48"/>
  <c r="BA800" i="48"/>
  <c r="BA812" i="48"/>
  <c r="BA824" i="48"/>
  <c r="BA836" i="48"/>
  <c r="BA840" i="48"/>
  <c r="BA844" i="48"/>
  <c r="BA848" i="48"/>
  <c r="BA861" i="48"/>
  <c r="BA865" i="48"/>
  <c r="BA869" i="48"/>
  <c r="BA873" i="48"/>
  <c r="BA885" i="48"/>
  <c r="BA889" i="48"/>
  <c r="BA893" i="48"/>
  <c r="BA897" i="48"/>
  <c r="BA909" i="48"/>
  <c r="BA913" i="48"/>
  <c r="BA917" i="48"/>
  <c r="BA930" i="48"/>
  <c r="BA934" i="48"/>
  <c r="BA938" i="48"/>
  <c r="BA942" i="48"/>
  <c r="BA957" i="48"/>
  <c r="BA961" i="48"/>
  <c r="BA965" i="48"/>
  <c r="BA969" i="48"/>
  <c r="BA981" i="48"/>
  <c r="BA985" i="48"/>
  <c r="BA989" i="48"/>
  <c r="BA1002" i="48"/>
  <c r="BA1006" i="48"/>
  <c r="BA1014" i="48"/>
  <c r="BA1312" i="48"/>
  <c r="BA38" i="48"/>
  <c r="BA65" i="48"/>
  <c r="BA68" i="48"/>
  <c r="BA70" i="48"/>
  <c r="BA74" i="48"/>
  <c r="BA77" i="48"/>
  <c r="BA80" i="48"/>
  <c r="BA86" i="48"/>
  <c r="BA112" i="48"/>
  <c r="BA135" i="48"/>
  <c r="BA160" i="48"/>
  <c r="BA181" i="48"/>
  <c r="BA185" i="48"/>
  <c r="BA206" i="48"/>
  <c r="BA230" i="48"/>
  <c r="BA254" i="48"/>
  <c r="BA258" i="48"/>
  <c r="BA277" i="48"/>
  <c r="BA281" i="48"/>
  <c r="BA285" i="48"/>
  <c r="BA289" i="48"/>
  <c r="BA293" i="48"/>
  <c r="BA303" i="48"/>
  <c r="BA307" i="48"/>
  <c r="BA311" i="48"/>
  <c r="BA315" i="48"/>
  <c r="BA319" i="48"/>
  <c r="BA328" i="48"/>
  <c r="BA352" i="48"/>
  <c r="BA358" i="48"/>
  <c r="BA362" i="48"/>
  <c r="BA366" i="48"/>
  <c r="BA370" i="48"/>
  <c r="BA376" i="48"/>
  <c r="BA378" i="48"/>
  <c r="BA382" i="48"/>
  <c r="BA386" i="48"/>
  <c r="BA390" i="48"/>
  <c r="BA394" i="48"/>
  <c r="BA400" i="48"/>
  <c r="BA402" i="48"/>
  <c r="BA406" i="48"/>
  <c r="BA410" i="48"/>
  <c r="BA414" i="48"/>
  <c r="BA418" i="48"/>
  <c r="BA424" i="48"/>
  <c r="BA426" i="48"/>
  <c r="BA430" i="48"/>
  <c r="BA434" i="48"/>
  <c r="BA438" i="48"/>
  <c r="BA442" i="48"/>
  <c r="BA450" i="48"/>
  <c r="BA454" i="48"/>
  <c r="BA458" i="48"/>
  <c r="BA462" i="48"/>
  <c r="BA471" i="48"/>
  <c r="BA475" i="48"/>
  <c r="BA479" i="48"/>
  <c r="BA483" i="48"/>
  <c r="BA487" i="48"/>
  <c r="BA495" i="48"/>
  <c r="BA499" i="48"/>
  <c r="BA503" i="48"/>
  <c r="BA507" i="48"/>
  <c r="BA511" i="48"/>
  <c r="BA519" i="48"/>
  <c r="BA523" i="48"/>
  <c r="BA527" i="48"/>
  <c r="BA531" i="48"/>
  <c r="BA535" i="48"/>
  <c r="BA542" i="48"/>
  <c r="BA548" i="48"/>
  <c r="BA552" i="48"/>
  <c r="BA556" i="48"/>
  <c r="BA560" i="48"/>
  <c r="BA566" i="48"/>
  <c r="BA572" i="48"/>
  <c r="BA576" i="48"/>
  <c r="BA580" i="48"/>
  <c r="BA584" i="48"/>
  <c r="BA593" i="48"/>
  <c r="BA597" i="48"/>
  <c r="BA601" i="48"/>
  <c r="BA605" i="48"/>
  <c r="BA609" i="48"/>
  <c r="BA617" i="48"/>
  <c r="BA621" i="48"/>
  <c r="BA625" i="48"/>
  <c r="BA629" i="48"/>
  <c r="BA633" i="48"/>
  <c r="BA641" i="48"/>
  <c r="BA645" i="48"/>
  <c r="BA649" i="48"/>
  <c r="BA653" i="48"/>
  <c r="BA657" i="48"/>
  <c r="BA665" i="48"/>
  <c r="BA669" i="48"/>
  <c r="BA673" i="48"/>
  <c r="BA677" i="48"/>
  <c r="BA681" i="48"/>
  <c r="BA689" i="48"/>
  <c r="BA691" i="48"/>
  <c r="BA695" i="48"/>
  <c r="BA699" i="48"/>
  <c r="BA703" i="48"/>
  <c r="BA711" i="48"/>
  <c r="BA715" i="48"/>
  <c r="BA719" i="48"/>
  <c r="BA723" i="48"/>
  <c r="BA727" i="48"/>
  <c r="BA735" i="48"/>
  <c r="BA739" i="48"/>
  <c r="BA743" i="48"/>
  <c r="BA747" i="48"/>
  <c r="BA751" i="48"/>
  <c r="BA768" i="48"/>
  <c r="BA772" i="48"/>
  <c r="BA776" i="48"/>
  <c r="BA789" i="48"/>
  <c r="BA793" i="48"/>
  <c r="BA797" i="48"/>
  <c r="BA801" i="48"/>
  <c r="BA813" i="48"/>
  <c r="BA817" i="48"/>
  <c r="BA821" i="48"/>
  <c r="BA825" i="48"/>
  <c r="BA833" i="48"/>
  <c r="BA837" i="48"/>
  <c r="BA841" i="48"/>
  <c r="BA845" i="48"/>
  <c r="BA858" i="48"/>
  <c r="BA862" i="48"/>
  <c r="BA866" i="48"/>
  <c r="BA870" i="48"/>
  <c r="BA874" i="48"/>
  <c r="BA882" i="48"/>
  <c r="BA41" i="48"/>
  <c r="BA64" i="48"/>
  <c r="BA89" i="48"/>
  <c r="BA111" i="48"/>
  <c r="BA134" i="48"/>
  <c r="BA138" i="48"/>
  <c r="BA159" i="48"/>
  <c r="BA184" i="48"/>
  <c r="BA209" i="48"/>
  <c r="BA233" i="48"/>
  <c r="BA257" i="48"/>
  <c r="BA280" i="48"/>
  <c r="BA284" i="48"/>
  <c r="BA288" i="48"/>
  <c r="BA292" i="48"/>
  <c r="BA296" i="48"/>
  <c r="BA302" i="48"/>
  <c r="BA306" i="48"/>
  <c r="BA310" i="48"/>
  <c r="BA314" i="48"/>
  <c r="BA318" i="48"/>
  <c r="BA327" i="48"/>
  <c r="BA351" i="48"/>
  <c r="BA369" i="48"/>
  <c r="BA375" i="48"/>
  <c r="BA399" i="48"/>
  <c r="BA423" i="48"/>
  <c r="BA447" i="48"/>
  <c r="BA470" i="48"/>
  <c r="BA494" i="48"/>
  <c r="BA518" i="48"/>
  <c r="BA545" i="48"/>
  <c r="BA569" i="48"/>
  <c r="BA616" i="48"/>
  <c r="BA640" i="48"/>
  <c r="BA664" i="48"/>
  <c r="BA688" i="48"/>
  <c r="BA710" i="48"/>
  <c r="BA734" i="48"/>
  <c r="BA761" i="48"/>
  <c r="BA784" i="48"/>
  <c r="BA808" i="48"/>
  <c r="BA832" i="48"/>
  <c r="BA855" i="48"/>
  <c r="BA879" i="48"/>
  <c r="BA190" i="48"/>
  <c r="BA192" i="48"/>
  <c r="BA886" i="48"/>
  <c r="BA890" i="48"/>
  <c r="BA894" i="48"/>
  <c r="BA898" i="48"/>
  <c r="BA904" i="48"/>
  <c r="BA906" i="48"/>
  <c r="BA910" i="48"/>
  <c r="BA914" i="48"/>
  <c r="BA918" i="48"/>
  <c r="BA927" i="48"/>
  <c r="BA931" i="48"/>
  <c r="BA935" i="48"/>
  <c r="BA939" i="48"/>
  <c r="BA943" i="48"/>
  <c r="BA952" i="48"/>
  <c r="BA954" i="48"/>
  <c r="BA958" i="48"/>
  <c r="BA962" i="48"/>
  <c r="BA966" i="48"/>
  <c r="BA970" i="48"/>
  <c r="BA978" i="48"/>
  <c r="BA982" i="48"/>
  <c r="BA986" i="48"/>
  <c r="BA990" i="48"/>
  <c r="BA1003" i="48"/>
  <c r="BA1007" i="48"/>
  <c r="BA1011" i="48"/>
  <c r="BA1015" i="48"/>
  <c r="BA1030" i="48"/>
  <c r="BA1034" i="48"/>
  <c r="BA1038" i="48"/>
  <c r="BA1049" i="48"/>
  <c r="BA1053" i="48"/>
  <c r="BA1057" i="48"/>
  <c r="BA1061" i="48"/>
  <c r="BA1073" i="48"/>
  <c r="BA1077" i="48"/>
  <c r="BA1081" i="48"/>
  <c r="BA1085" i="48"/>
  <c r="BA1089" i="48"/>
  <c r="BA1099" i="48"/>
  <c r="BA1103" i="48"/>
  <c r="BA1107" i="48"/>
  <c r="BA1111" i="48"/>
  <c r="BA1123" i="48"/>
  <c r="BA1127" i="48"/>
  <c r="BA1131" i="48"/>
  <c r="BA1135" i="48"/>
  <c r="BA1147" i="48"/>
  <c r="BA1151" i="48"/>
  <c r="BA1155" i="48"/>
  <c r="BA1159" i="48"/>
  <c r="BA1167" i="48"/>
  <c r="BA1171" i="48"/>
  <c r="BA1175" i="48"/>
  <c r="BA1179" i="48"/>
  <c r="BA1183" i="48"/>
  <c r="BA1191" i="48"/>
  <c r="BA1195" i="48"/>
  <c r="BA1199" i="48"/>
  <c r="BA1203" i="48"/>
  <c r="BA1207" i="48"/>
  <c r="BA1215" i="48"/>
  <c r="BA1219" i="48"/>
  <c r="BA1223" i="48"/>
  <c r="BA1227" i="48"/>
  <c r="BA1231" i="48"/>
  <c r="BA1244" i="48"/>
  <c r="BA1248" i="48"/>
  <c r="BA1252" i="48"/>
  <c r="BA1256" i="48"/>
  <c r="BA1269" i="48"/>
  <c r="BA1273" i="48"/>
  <c r="BA1277" i="48"/>
  <c r="BA1281" i="48"/>
  <c r="BA1295" i="48"/>
  <c r="BA1299" i="48"/>
  <c r="BA1303" i="48"/>
  <c r="R298" i="48"/>
  <c r="BA903" i="48"/>
  <c r="BA926" i="48"/>
  <c r="BA951" i="48"/>
  <c r="BA975" i="48"/>
  <c r="BA998" i="48"/>
  <c r="BA1022" i="48"/>
  <c r="BA1048" i="48"/>
  <c r="BA1072" i="48"/>
  <c r="BA1094" i="48"/>
  <c r="BA1118" i="48"/>
  <c r="BA1142" i="48"/>
  <c r="BA1166" i="48"/>
  <c r="BA1190" i="48"/>
  <c r="BA1243" i="48"/>
  <c r="BA1247" i="48"/>
  <c r="BA1251" i="48"/>
  <c r="BA1276" i="48"/>
  <c r="BA1294" i="48"/>
  <c r="BA129" i="48"/>
  <c r="BA130" i="48"/>
  <c r="BA193" i="48"/>
  <c r="BA196" i="48"/>
  <c r="BA199" i="48"/>
  <c r="BA44" i="48"/>
  <c r="BA71" i="48"/>
  <c r="BA73" i="48"/>
  <c r="BA100" i="48"/>
  <c r="BA118" i="48"/>
  <c r="BA126" i="48"/>
  <c r="BA145" i="48"/>
  <c r="BA149" i="48"/>
  <c r="BA162" i="48"/>
  <c r="BA166" i="48"/>
  <c r="BA220" i="48"/>
  <c r="BA224" i="48"/>
  <c r="BA270" i="48"/>
  <c r="BA334" i="48"/>
  <c r="BA346" i="48"/>
  <c r="BA354" i="48"/>
  <c r="BA589" i="48"/>
  <c r="BA613" i="48"/>
  <c r="BA637" i="48"/>
  <c r="BA661" i="48"/>
  <c r="BA685" i="48"/>
  <c r="BA764" i="48"/>
  <c r="BA781" i="48"/>
  <c r="BA805" i="48"/>
  <c r="BA829" i="48"/>
  <c r="BA850" i="48"/>
  <c r="BA849" i="48"/>
  <c r="BA157" i="48"/>
  <c r="BA187" i="48"/>
  <c r="BA189" i="48"/>
  <c r="BA191" i="48"/>
  <c r="BA194" i="48"/>
  <c r="BA197" i="48"/>
  <c r="BA200" i="48"/>
  <c r="BA273" i="48"/>
  <c r="BA274" i="48"/>
  <c r="BA325" i="48"/>
  <c r="BA52" i="48"/>
  <c r="BA61" i="48"/>
  <c r="BA67" i="48"/>
  <c r="BA69" i="48"/>
  <c r="BA72" i="48"/>
  <c r="BA75" i="48"/>
  <c r="BA78" i="48"/>
  <c r="BA82" i="48"/>
  <c r="BA81" i="48"/>
  <c r="BA96" i="48"/>
  <c r="BA104" i="48"/>
  <c r="BA240" i="48"/>
  <c r="BA248" i="48"/>
  <c r="BA266" i="48"/>
  <c r="BA338" i="48"/>
  <c r="BA205" i="48"/>
  <c r="BA213" i="48"/>
  <c r="BA217" i="48"/>
  <c r="BA221" i="48"/>
  <c r="BA225" i="48"/>
  <c r="BA229" i="48"/>
  <c r="BA237" i="48"/>
  <c r="BA241" i="48"/>
  <c r="BA245" i="48"/>
  <c r="BA249" i="48"/>
  <c r="BA253" i="48"/>
  <c r="BA259" i="48"/>
  <c r="BA263" i="48"/>
  <c r="BA267" i="48"/>
  <c r="BA271" i="48"/>
  <c r="BA331" i="48"/>
  <c r="BA335" i="48"/>
  <c r="BA339" i="48"/>
  <c r="BA343" i="48"/>
  <c r="BA355" i="48"/>
  <c r="BA359" i="48"/>
  <c r="BA363" i="48"/>
  <c r="BA367" i="48"/>
  <c r="BA379" i="48"/>
  <c r="BA383" i="48"/>
  <c r="BA387" i="48"/>
  <c r="BA391" i="48"/>
  <c r="BA188" i="48"/>
  <c r="BA195" i="48"/>
  <c r="BA198" i="48"/>
  <c r="BA201" i="48"/>
  <c r="BA48" i="48"/>
  <c r="BA56" i="48"/>
  <c r="BA66" i="48"/>
  <c r="BA76" i="48"/>
  <c r="BA79" i="48"/>
  <c r="BA92" i="48"/>
  <c r="BA114" i="48"/>
  <c r="BA122" i="48"/>
  <c r="BA141" i="48"/>
  <c r="BA154" i="48"/>
  <c r="BA153" i="48"/>
  <c r="BA170" i="48"/>
  <c r="BA174" i="48"/>
  <c r="BA212" i="48"/>
  <c r="BA216" i="48"/>
  <c r="BA236" i="48"/>
  <c r="BA244" i="48"/>
  <c r="BA262" i="48"/>
  <c r="BA330" i="48"/>
  <c r="BA342" i="48"/>
  <c r="BA45" i="48"/>
  <c r="BA60" i="48" s="1"/>
  <c r="BA49" i="48"/>
  <c r="BA53" i="48"/>
  <c r="BA58" i="48"/>
  <c r="BA57" i="48"/>
  <c r="BA85" i="48"/>
  <c r="BA93" i="48"/>
  <c r="BA97" i="48"/>
  <c r="BA101" i="48"/>
  <c r="BA106" i="48"/>
  <c r="AZ107" i="48" s="1"/>
  <c r="BA105" i="48"/>
  <c r="BA115" i="48"/>
  <c r="BA119" i="48"/>
  <c r="BA123" i="48"/>
  <c r="BA127" i="48"/>
  <c r="BA142" i="48"/>
  <c r="BA146" i="48"/>
  <c r="BA150" i="48"/>
  <c r="BA163" i="48"/>
  <c r="BA167" i="48"/>
  <c r="BA171" i="48"/>
  <c r="BA175" i="48"/>
  <c r="BA40" i="48"/>
  <c r="BA42" i="48"/>
  <c r="BA46" i="48"/>
  <c r="BA50" i="48"/>
  <c r="BA54" i="48"/>
  <c r="BA63" i="48"/>
  <c r="BA88" i="48"/>
  <c r="BA90" i="48"/>
  <c r="BA94" i="48"/>
  <c r="BA98" i="48"/>
  <c r="BA102" i="48"/>
  <c r="BA110" i="48"/>
  <c r="BA116" i="48"/>
  <c r="BA120" i="48"/>
  <c r="BA124" i="48"/>
  <c r="BA128" i="48"/>
  <c r="BA133" i="48"/>
  <c r="BA137" i="48"/>
  <c r="BA139" i="48"/>
  <c r="BA143" i="48"/>
  <c r="BA147" i="48"/>
  <c r="BA151" i="48"/>
  <c r="BA158" i="48"/>
  <c r="BA164" i="48"/>
  <c r="BA168" i="48"/>
  <c r="BA172" i="48"/>
  <c r="BA176" i="48"/>
  <c r="BA178" i="48"/>
  <c r="BA183" i="48"/>
  <c r="BA202" i="48"/>
  <c r="BA208" i="48"/>
  <c r="BA210" i="48"/>
  <c r="BA214" i="48"/>
  <c r="BA218" i="48"/>
  <c r="BA222" i="48"/>
  <c r="BA226" i="48"/>
  <c r="BA232" i="48"/>
  <c r="BA234" i="48"/>
  <c r="BA238" i="48"/>
  <c r="BA242" i="48"/>
  <c r="BA246" i="48"/>
  <c r="BA250" i="48"/>
  <c r="BA256" i="48"/>
  <c r="BA260" i="48"/>
  <c r="BA264" i="48"/>
  <c r="BA268" i="48"/>
  <c r="BA272" i="48"/>
  <c r="BA279" i="48"/>
  <c r="BA283" i="48"/>
  <c r="BA287" i="48"/>
  <c r="BA291" i="48"/>
  <c r="BA295" i="48"/>
  <c r="BA349" i="48"/>
  <c r="BA373" i="48"/>
  <c r="BA377" i="48"/>
  <c r="BA397" i="48"/>
  <c r="BA401" i="48"/>
  <c r="BA421" i="48"/>
  <c r="BA425" i="48"/>
  <c r="BA445" i="48"/>
  <c r="BA449" i="48"/>
  <c r="BA466" i="48"/>
  <c r="BA465" i="48"/>
  <c r="BA472" i="48"/>
  <c r="BA496" i="48"/>
  <c r="BA520" i="48"/>
  <c r="BA543" i="48"/>
  <c r="BA567" i="48"/>
  <c r="BA590" i="48"/>
  <c r="BA614" i="48"/>
  <c r="BA638" i="48"/>
  <c r="BA662" i="48"/>
  <c r="BA686" i="48"/>
  <c r="BA690" i="48"/>
  <c r="BA712" i="48"/>
  <c r="BA736" i="48"/>
  <c r="BA759" i="48"/>
  <c r="BA782" i="48"/>
  <c r="BA806" i="48"/>
  <c r="BA1023" i="48"/>
  <c r="BA1024" i="48"/>
  <c r="BA1045" i="48"/>
  <c r="BA1069" i="48"/>
  <c r="BA1261" i="48"/>
  <c r="BA1285" i="48"/>
  <c r="BA403" i="48"/>
  <c r="BA407" i="48"/>
  <c r="BA411" i="48"/>
  <c r="BA415" i="48"/>
  <c r="BA427" i="48"/>
  <c r="BA431" i="48"/>
  <c r="BA435" i="48"/>
  <c r="BA439" i="48"/>
  <c r="BA451" i="48"/>
  <c r="BA455" i="48"/>
  <c r="BA459" i="48"/>
  <c r="BA463" i="48"/>
  <c r="BA476" i="48"/>
  <c r="BA480" i="48"/>
  <c r="BA484" i="48"/>
  <c r="BA488" i="48"/>
  <c r="BA500" i="48"/>
  <c r="BA504" i="48"/>
  <c r="BA508" i="48"/>
  <c r="BA512" i="48"/>
  <c r="BA524" i="48"/>
  <c r="BA528" i="48"/>
  <c r="BA532" i="48"/>
  <c r="BA536" i="48"/>
  <c r="BA541" i="48"/>
  <c r="BA549" i="48"/>
  <c r="BA553" i="48"/>
  <c r="BA557" i="48"/>
  <c r="BA561" i="48"/>
  <c r="BA565" i="48"/>
  <c r="BA573" i="48"/>
  <c r="BA577" i="48"/>
  <c r="BA581" i="48"/>
  <c r="BA586" i="48"/>
  <c r="BA585" i="48"/>
  <c r="BA594" i="48"/>
  <c r="BA598" i="48"/>
  <c r="BA602" i="48"/>
  <c r="BA606" i="48"/>
  <c r="BA610" i="48"/>
  <c r="BA618" i="48"/>
  <c r="BA622" i="48"/>
  <c r="BA626" i="48"/>
  <c r="BA630" i="48"/>
  <c r="BA634" i="48"/>
  <c r="BA642" i="48"/>
  <c r="BA646" i="48"/>
  <c r="BA650" i="48"/>
  <c r="BA654" i="48"/>
  <c r="BA658" i="48"/>
  <c r="BA666" i="48"/>
  <c r="BA670" i="48"/>
  <c r="BA674" i="48"/>
  <c r="BA678" i="48"/>
  <c r="BA682" i="48"/>
  <c r="BA692" i="48"/>
  <c r="BA696" i="48"/>
  <c r="BA700" i="48"/>
  <c r="BA704" i="48"/>
  <c r="BA716" i="48"/>
  <c r="BA720" i="48"/>
  <c r="BA724" i="48"/>
  <c r="BA728" i="48"/>
  <c r="BA740" i="48"/>
  <c r="BA744" i="48"/>
  <c r="BA748" i="48"/>
  <c r="BA752" i="48"/>
  <c r="BA757" i="48"/>
  <c r="BA765" i="48"/>
  <c r="BA769" i="48"/>
  <c r="BA773" i="48"/>
  <c r="BA777" i="48"/>
  <c r="BA786" i="48"/>
  <c r="BA790" i="48"/>
  <c r="BA794" i="48"/>
  <c r="BA798" i="48"/>
  <c r="BA802" i="48"/>
  <c r="BA810" i="48"/>
  <c r="BA814" i="48"/>
  <c r="BA818" i="48"/>
  <c r="BA822" i="48"/>
  <c r="BA826" i="48"/>
  <c r="BA834" i="48"/>
  <c r="BA838" i="48"/>
  <c r="BA842" i="48"/>
  <c r="BA846" i="48"/>
  <c r="BA859" i="48"/>
  <c r="BA863" i="48"/>
  <c r="BA867" i="48"/>
  <c r="BA871" i="48"/>
  <c r="BA883" i="48"/>
  <c r="BA887" i="48"/>
  <c r="BA891" i="48"/>
  <c r="BA895" i="48"/>
  <c r="BA907" i="48"/>
  <c r="BA911" i="48"/>
  <c r="BA915" i="48"/>
  <c r="BA919" i="48"/>
  <c r="BA932" i="48"/>
  <c r="BA936" i="48"/>
  <c r="BA940" i="48"/>
  <c r="BA944" i="48"/>
  <c r="BA955" i="48"/>
  <c r="BA959" i="48"/>
  <c r="BA963" i="48"/>
  <c r="BA967" i="48"/>
  <c r="BA979" i="48"/>
  <c r="BA983" i="48"/>
  <c r="BA987" i="48"/>
  <c r="BA991" i="48"/>
  <c r="BA1004" i="48"/>
  <c r="BA1008" i="48"/>
  <c r="BA1012" i="48"/>
  <c r="BA1016" i="48"/>
  <c r="BA1031" i="48"/>
  <c r="BA1035" i="48"/>
  <c r="BA1039" i="48"/>
  <c r="BA1050" i="48"/>
  <c r="BA1054" i="48"/>
  <c r="BA1058" i="48"/>
  <c r="BA1062" i="48"/>
  <c r="BA1074" i="48"/>
  <c r="BA1078" i="48"/>
  <c r="BA1082" i="48"/>
  <c r="BA1086" i="48"/>
  <c r="BA1100" i="48"/>
  <c r="BA1104" i="48"/>
  <c r="BA1108" i="48"/>
  <c r="BA1112" i="48"/>
  <c r="BA1124" i="48"/>
  <c r="BA1128" i="48"/>
  <c r="BA1132" i="48"/>
  <c r="BA1136" i="48"/>
  <c r="BA1148" i="48"/>
  <c r="BA1152" i="48"/>
  <c r="BA1156" i="48"/>
  <c r="BA1160" i="48"/>
  <c r="BA1172" i="48"/>
  <c r="BA1176" i="48"/>
  <c r="BA1180" i="48"/>
  <c r="BA1184" i="48"/>
  <c r="BA1196" i="48"/>
  <c r="BA1200" i="48"/>
  <c r="BA1204" i="48"/>
  <c r="BA1208" i="48"/>
  <c r="BA1214" i="48"/>
  <c r="BA1220" i="48"/>
  <c r="BA1224" i="48"/>
  <c r="BA1228" i="48"/>
  <c r="BA1232" i="48"/>
  <c r="BA1237" i="48"/>
  <c r="BA1241" i="48"/>
  <c r="BA1245" i="48"/>
  <c r="BA1249" i="48"/>
  <c r="BA1253" i="48"/>
  <c r="BA1257" i="48"/>
  <c r="BA1258" i="48"/>
  <c r="BA1264" i="48"/>
  <c r="BA1266" i="48"/>
  <c r="BA1270" i="48"/>
  <c r="BA1274" i="48"/>
  <c r="BA1278" i="48"/>
  <c r="BA1282" i="48"/>
  <c r="BA1288" i="48"/>
  <c r="BA1290" i="48"/>
  <c r="BA1296" i="48"/>
  <c r="BA1300" i="48"/>
  <c r="BA1304" i="48"/>
  <c r="BA301" i="48"/>
  <c r="BA305" i="48"/>
  <c r="BA309" i="48"/>
  <c r="BA313" i="48"/>
  <c r="BA317" i="48"/>
  <c r="BA321" i="48"/>
  <c r="BA322" i="48"/>
  <c r="BA326" i="48"/>
  <c r="BA332" i="48"/>
  <c r="BA336" i="48"/>
  <c r="BA340" i="48"/>
  <c r="BA344" i="48"/>
  <c r="BA350" i="48"/>
  <c r="BA356" i="48"/>
  <c r="BA360" i="48"/>
  <c r="BA364" i="48"/>
  <c r="BA368" i="48"/>
  <c r="BA374" i="48"/>
  <c r="BA380" i="48"/>
  <c r="BA384" i="48"/>
  <c r="BA388" i="48"/>
  <c r="BA392" i="48"/>
  <c r="BA398" i="48"/>
  <c r="BA404" i="48"/>
  <c r="BA408" i="48"/>
  <c r="BA412" i="48"/>
  <c r="BA416" i="48"/>
  <c r="BA422" i="48"/>
  <c r="BA428" i="48"/>
  <c r="BA432" i="48"/>
  <c r="BA436" i="48"/>
  <c r="BA440" i="48"/>
  <c r="BA446" i="48"/>
  <c r="BA452" i="48"/>
  <c r="BA456" i="48"/>
  <c r="BA460" i="48"/>
  <c r="BA464" i="48"/>
  <c r="BA469" i="48"/>
  <c r="BA473" i="48"/>
  <c r="BA477" i="48"/>
  <c r="BA481" i="48"/>
  <c r="BA485" i="48"/>
  <c r="BA489" i="48"/>
  <c r="BA493" i="48"/>
  <c r="BA497" i="48"/>
  <c r="BA501" i="48"/>
  <c r="BA505" i="48"/>
  <c r="BA509" i="48"/>
  <c r="BA513" i="48"/>
  <c r="BA517" i="48"/>
  <c r="BA521" i="48"/>
  <c r="BA525" i="48"/>
  <c r="BA529" i="48"/>
  <c r="BA533" i="48"/>
  <c r="BA538" i="48"/>
  <c r="BA537" i="48"/>
  <c r="BA544" i="48"/>
  <c r="BA546" i="48"/>
  <c r="BA550" i="48"/>
  <c r="BA554" i="48"/>
  <c r="BA558" i="48"/>
  <c r="BA562" i="48"/>
  <c r="BA568" i="48"/>
  <c r="BA570" i="48"/>
  <c r="BA574" i="48"/>
  <c r="BA578" i="48"/>
  <c r="BA582" i="48"/>
  <c r="BA591" i="48"/>
  <c r="BA595" i="48"/>
  <c r="BA599" i="48"/>
  <c r="BA603" i="48"/>
  <c r="BA607" i="48"/>
  <c r="BA615" i="48"/>
  <c r="BA619" i="48"/>
  <c r="BA623" i="48"/>
  <c r="BA627" i="48"/>
  <c r="BA631" i="48"/>
  <c r="BA639" i="48"/>
  <c r="BA643" i="48"/>
  <c r="BA647" i="48"/>
  <c r="BA651" i="48"/>
  <c r="BA655" i="48"/>
  <c r="BA663" i="48"/>
  <c r="BA667" i="48"/>
  <c r="BA671" i="48"/>
  <c r="BA675" i="48"/>
  <c r="BA679" i="48"/>
  <c r="BA687" i="48"/>
  <c r="BA693" i="48"/>
  <c r="BA697" i="48"/>
  <c r="BA701" i="48"/>
  <c r="BA705" i="48"/>
  <c r="BA709" i="48"/>
  <c r="BA713" i="48"/>
  <c r="BA717" i="48"/>
  <c r="BA721" i="48"/>
  <c r="BA725" i="48"/>
  <c r="BA729" i="48"/>
  <c r="BA733" i="48"/>
  <c r="BA737" i="48"/>
  <c r="BA741" i="48"/>
  <c r="BA745" i="48"/>
  <c r="BA749" i="48"/>
  <c r="BA754" i="48"/>
  <c r="BA753" i="48"/>
  <c r="BA760" i="48"/>
  <c r="BA762" i="48"/>
  <c r="BA766" i="48"/>
  <c r="BA770" i="48"/>
  <c r="BA774" i="48"/>
  <c r="BA783" i="48"/>
  <c r="BA787" i="48"/>
  <c r="BA791" i="48"/>
  <c r="BA795" i="48"/>
  <c r="BA799" i="48"/>
  <c r="BA807" i="48"/>
  <c r="BA811" i="48"/>
  <c r="BA815" i="48"/>
  <c r="BA819" i="48"/>
  <c r="BA823" i="48"/>
  <c r="BA831" i="48"/>
  <c r="BA835" i="48"/>
  <c r="BA839" i="48"/>
  <c r="BA843" i="48"/>
  <c r="BA847" i="48"/>
  <c r="BA854" i="48"/>
  <c r="BA860" i="48"/>
  <c r="BA864" i="48"/>
  <c r="BA868" i="48"/>
  <c r="BA872" i="48"/>
  <c r="BA878" i="48"/>
  <c r="BA884" i="48"/>
  <c r="BA888" i="48"/>
  <c r="BA892" i="48"/>
  <c r="BA896" i="48"/>
  <c r="BA902" i="48"/>
  <c r="BA908" i="48"/>
  <c r="BA912" i="48"/>
  <c r="BA916" i="48"/>
  <c r="BA920" i="48"/>
  <c r="BA925" i="48"/>
  <c r="BA929" i="48"/>
  <c r="BA933" i="48"/>
  <c r="BA937" i="48"/>
  <c r="BA941" i="48"/>
  <c r="BA945" i="48"/>
  <c r="BA946" i="48"/>
  <c r="BA950" i="48"/>
  <c r="BA956" i="48"/>
  <c r="BA960" i="48"/>
  <c r="BA964" i="48"/>
  <c r="BA968" i="48"/>
  <c r="BA974" i="48"/>
  <c r="BA980" i="48"/>
  <c r="BA984" i="48"/>
  <c r="BA988" i="48"/>
  <c r="BA992" i="48"/>
  <c r="BA997" i="48"/>
  <c r="BA1001" i="48"/>
  <c r="BA1005" i="48"/>
  <c r="BA1009" i="48"/>
  <c r="BA1013" i="48"/>
  <c r="BA1017" i="48"/>
  <c r="BA1021" i="48"/>
  <c r="BA1028" i="48"/>
  <c r="BA1032" i="48"/>
  <c r="BA1036" i="48"/>
  <c r="BA1040" i="48"/>
  <c r="BA1047" i="48"/>
  <c r="BA1051" i="48"/>
  <c r="BA1055" i="48"/>
  <c r="BA1059" i="48"/>
  <c r="BA1063" i="48"/>
  <c r="BA1071" i="48"/>
  <c r="BA1075" i="48"/>
  <c r="BA1079" i="48"/>
  <c r="BA1083" i="48"/>
  <c r="BA1087" i="48"/>
  <c r="BA1093" i="48"/>
  <c r="BA1097" i="48"/>
  <c r="BA1101" i="48"/>
  <c r="BA1105" i="48"/>
  <c r="BA1109" i="48"/>
  <c r="BA1113" i="48"/>
  <c r="BA1117" i="48"/>
  <c r="BA1121" i="48"/>
  <c r="BA1125" i="48"/>
  <c r="BA1129" i="48"/>
  <c r="BA1133" i="48"/>
  <c r="BA1137" i="48"/>
  <c r="BA1141" i="48"/>
  <c r="BA1145" i="48"/>
  <c r="BA1149" i="48"/>
  <c r="BA1153" i="48"/>
  <c r="BA1157" i="48"/>
  <c r="BA1161" i="48"/>
  <c r="BA1165" i="48"/>
  <c r="BA1169" i="48"/>
  <c r="BA1173" i="48"/>
  <c r="BA1177" i="48"/>
  <c r="BA1181" i="48"/>
  <c r="BA1185" i="48"/>
  <c r="BA1189" i="48"/>
  <c r="BA1193" i="48"/>
  <c r="BA1197" i="48"/>
  <c r="BA1201" i="48"/>
  <c r="BA1205" i="48"/>
  <c r="BA1209" i="48"/>
  <c r="BA1213" i="48"/>
  <c r="BA1217" i="48"/>
  <c r="BA1221" i="48"/>
  <c r="BA1225" i="48"/>
  <c r="BA1229" i="48"/>
  <c r="BA1233" i="48"/>
  <c r="BA1234" i="48"/>
  <c r="BA1240" i="48"/>
  <c r="BA1242" i="48"/>
  <c r="BA1246" i="48"/>
  <c r="BA1263" i="48"/>
  <c r="BA1287" i="48"/>
  <c r="BA1293" i="48"/>
  <c r="BA830" i="48"/>
  <c r="BA853" i="48"/>
  <c r="BA857" i="48"/>
  <c r="BA877" i="48"/>
  <c r="BA881" i="48"/>
  <c r="BA901" i="48"/>
  <c r="BA905" i="48"/>
  <c r="BA921" i="48"/>
  <c r="BA922" i="48"/>
  <c r="BA928" i="48"/>
  <c r="BA949" i="48"/>
  <c r="BA953" i="48"/>
  <c r="BA973" i="48"/>
  <c r="BA977" i="48"/>
  <c r="BA994" i="48"/>
  <c r="BA993" i="48"/>
  <c r="BA1000" i="48"/>
  <c r="BA1042" i="48"/>
  <c r="BA1041" i="48"/>
  <c r="BA1046" i="48"/>
  <c r="BA1065" i="48"/>
  <c r="BA1066" i="48"/>
  <c r="BA1070" i="48"/>
  <c r="BA1090" i="48"/>
  <c r="BA1096" i="48"/>
  <c r="BA1120" i="48"/>
  <c r="BA1144" i="48"/>
  <c r="BA1168" i="48"/>
  <c r="BA1192" i="48"/>
  <c r="BA1216" i="48"/>
  <c r="BA1239" i="48"/>
  <c r="BA1262" i="48"/>
  <c r="BA1286" i="48"/>
  <c r="Q887" i="48"/>
  <c r="Q57" i="48"/>
  <c r="Q127" i="48"/>
  <c r="Q154" i="48"/>
  <c r="Q175" i="48"/>
  <c r="Q217" i="48"/>
  <c r="Q225" i="48"/>
  <c r="Q267" i="48"/>
  <c r="Q343" i="48"/>
  <c r="Q415" i="48"/>
  <c r="Q431" i="48"/>
  <c r="Q49" i="48"/>
  <c r="Q119" i="48"/>
  <c r="Q150" i="48"/>
  <c r="Q237" i="48"/>
  <c r="Q245" i="48"/>
  <c r="Q259" i="48"/>
  <c r="Q331" i="48"/>
  <c r="Q339" i="48"/>
  <c r="Q355" i="48"/>
  <c r="Q363" i="48"/>
  <c r="Q383" i="48"/>
  <c r="Q391" i="48"/>
  <c r="Q407" i="48"/>
  <c r="Q455" i="48"/>
  <c r="Q463" i="48"/>
  <c r="Q476" i="48"/>
  <c r="Q484" i="48"/>
  <c r="Q504" i="48"/>
  <c r="Q512" i="48"/>
  <c r="Q524" i="48"/>
  <c r="Q532" i="48"/>
  <c r="Q549" i="48"/>
  <c r="Q561" i="48"/>
  <c r="Q577" i="48"/>
  <c r="Q585" i="48"/>
  <c r="Q594" i="48"/>
  <c r="Q602" i="48"/>
  <c r="Q626" i="48"/>
  <c r="Q634" i="48"/>
  <c r="Q646" i="48"/>
  <c r="Q658" i="48"/>
  <c r="Q666" i="48"/>
  <c r="Q678" i="48"/>
  <c r="Q704" i="48"/>
  <c r="Q716" i="48"/>
  <c r="Q724" i="48"/>
  <c r="Q748" i="48"/>
  <c r="Q769" i="48"/>
  <c r="Q786" i="48"/>
  <c r="Q790" i="48"/>
  <c r="Q814" i="48"/>
  <c r="Q818" i="48"/>
  <c r="Q842" i="48"/>
  <c r="Q850" i="48"/>
  <c r="Q859" i="48"/>
  <c r="Q871" i="48"/>
  <c r="Q45" i="48"/>
  <c r="Q53" i="48"/>
  <c r="Q115" i="48"/>
  <c r="Q123" i="48"/>
  <c r="Q142" i="48"/>
  <c r="Q146" i="48"/>
  <c r="Q163" i="48"/>
  <c r="Q167" i="48"/>
  <c r="Q171" i="48"/>
  <c r="Q213" i="48"/>
  <c r="Q221" i="48"/>
  <c r="Q241" i="48"/>
  <c r="Q249" i="48"/>
  <c r="Q263" i="48"/>
  <c r="Q271" i="48"/>
  <c r="Q335" i="48"/>
  <c r="Q359" i="48"/>
  <c r="Q367" i="48"/>
  <c r="Q379" i="48"/>
  <c r="Q387" i="48"/>
  <c r="Q403" i="48"/>
  <c r="Q411" i="48"/>
  <c r="Q427" i="48"/>
  <c r="Q435" i="48"/>
  <c r="Q439" i="48"/>
  <c r="Q451" i="48"/>
  <c r="Q459" i="48"/>
  <c r="Q480" i="48"/>
  <c r="Q488" i="48"/>
  <c r="Q500" i="48"/>
  <c r="Q508" i="48"/>
  <c r="Q528" i="48"/>
  <c r="Q536" i="48"/>
  <c r="Q553" i="48"/>
  <c r="Q557" i="48"/>
  <c r="Q573" i="48"/>
  <c r="Q581" i="48"/>
  <c r="Q598" i="48"/>
  <c r="Q606" i="48"/>
  <c r="Q610" i="48"/>
  <c r="Q618" i="48"/>
  <c r="Q622" i="48"/>
  <c r="Q630" i="48"/>
  <c r="Q642" i="48"/>
  <c r="Q650" i="48"/>
  <c r="Q654" i="48"/>
  <c r="Q670" i="48"/>
  <c r="Q674" i="48"/>
  <c r="Q682" i="48"/>
  <c r="Q692" i="48"/>
  <c r="Q696" i="48"/>
  <c r="Q700" i="48"/>
  <c r="Q720" i="48"/>
  <c r="Q728" i="48"/>
  <c r="Q740" i="48"/>
  <c r="Q744" i="48"/>
  <c r="Q752" i="48"/>
  <c r="Q765" i="48"/>
  <c r="Q773" i="48"/>
  <c r="Q777" i="48"/>
  <c r="Q794" i="48"/>
  <c r="Q798" i="48"/>
  <c r="Q802" i="48"/>
  <c r="Q810" i="48"/>
  <c r="Q822" i="48"/>
  <c r="Q826" i="48"/>
  <c r="Q834" i="48"/>
  <c r="Q838" i="48"/>
  <c r="Q846" i="48"/>
  <c r="Q863" i="48"/>
  <c r="Q867" i="48"/>
  <c r="Q883" i="48"/>
  <c r="Q891" i="48"/>
  <c r="Q932" i="48"/>
  <c r="Q936" i="48"/>
  <c r="Q967" i="48"/>
  <c r="Q983" i="48"/>
  <c r="Q987" i="48"/>
  <c r="Q991" i="48"/>
  <c r="Q1004" i="48"/>
  <c r="Q1008" i="48"/>
  <c r="Q1016" i="48"/>
  <c r="Q1035" i="48"/>
  <c r="Q1062" i="48"/>
  <c r="Q1078" i="48"/>
  <c r="Q1082" i="48"/>
  <c r="Q1086" i="48"/>
  <c r="Q1128" i="48"/>
  <c r="Q1136" i="48"/>
  <c r="Q1172" i="48"/>
  <c r="Q1176" i="48"/>
  <c r="Q1196" i="48"/>
  <c r="Q1220" i="48"/>
  <c r="Q1232" i="48"/>
  <c r="Q1253" i="48"/>
  <c r="Q1257" i="48"/>
  <c r="Q1266" i="48"/>
  <c r="Q1274" i="48"/>
  <c r="Q1290" i="48"/>
  <c r="Q1316" i="48"/>
  <c r="Q1328" i="48"/>
  <c r="R1329" i="48" s="1"/>
  <c r="Q210" i="48"/>
  <c r="Q218" i="48"/>
  <c r="Q238" i="48"/>
  <c r="Q246" i="48"/>
  <c r="Q250" i="48"/>
  <c r="Q260" i="48"/>
  <c r="Q264" i="48"/>
  <c r="Q268" i="48"/>
  <c r="Q272" i="48"/>
  <c r="Q332" i="48"/>
  <c r="Q336" i="48"/>
  <c r="Q340" i="48"/>
  <c r="Q344" i="48"/>
  <c r="Q356" i="48"/>
  <c r="Q360" i="48"/>
  <c r="Q364" i="48"/>
  <c r="Q368" i="48"/>
  <c r="R369" i="48" s="1"/>
  <c r="Q380" i="48"/>
  <c r="Q384" i="48"/>
  <c r="Q388" i="48"/>
  <c r="Q392" i="48"/>
  <c r="Q404" i="48"/>
  <c r="Q408" i="48"/>
  <c r="Q412" i="48"/>
  <c r="Q416" i="48"/>
  <c r="Q428" i="48"/>
  <c r="Q432" i="48"/>
  <c r="Q436" i="48"/>
  <c r="Q440" i="48"/>
  <c r="Q452" i="48"/>
  <c r="Q456" i="48"/>
  <c r="Q460" i="48"/>
  <c r="Q464" i="48"/>
  <c r="Q477" i="48"/>
  <c r="Q481" i="48"/>
  <c r="Q485" i="48"/>
  <c r="Q489" i="48"/>
  <c r="Q501" i="48"/>
  <c r="Q505" i="48"/>
  <c r="Q509" i="48"/>
  <c r="Q513" i="48"/>
  <c r="Q525" i="48"/>
  <c r="Q529" i="48"/>
  <c r="Q533" i="48"/>
  <c r="Q537" i="48"/>
  <c r="Q546" i="48"/>
  <c r="Q550" i="48"/>
  <c r="Q554" i="48"/>
  <c r="Q558" i="48"/>
  <c r="Q562" i="48"/>
  <c r="Q570" i="48"/>
  <c r="Q574" i="48"/>
  <c r="Q578" i="48"/>
  <c r="Q582" i="48"/>
  <c r="Q586" i="48"/>
  <c r="Q595" i="48"/>
  <c r="Q599" i="48"/>
  <c r="Q603" i="48"/>
  <c r="Q607" i="48"/>
  <c r="Q619" i="48"/>
  <c r="Q623" i="48"/>
  <c r="Q627" i="48"/>
  <c r="Q631" i="48"/>
  <c r="Q643" i="48"/>
  <c r="Q647" i="48"/>
  <c r="Q651" i="48"/>
  <c r="Q655" i="48"/>
  <c r="Q667" i="48"/>
  <c r="Q671" i="48"/>
  <c r="Q675" i="48"/>
  <c r="Q679" i="48"/>
  <c r="Q693" i="48"/>
  <c r="Q697" i="48"/>
  <c r="Q701" i="48"/>
  <c r="Q705" i="48"/>
  <c r="Q717" i="48"/>
  <c r="Q721" i="48"/>
  <c r="Q725" i="48"/>
  <c r="Q729" i="48"/>
  <c r="Q741" i="48"/>
  <c r="Q745" i="48"/>
  <c r="Q749" i="48"/>
  <c r="Q753" i="48"/>
  <c r="Q762" i="48"/>
  <c r="Q766" i="48"/>
  <c r="Q770" i="48"/>
  <c r="Q774" i="48"/>
  <c r="Q778" i="48"/>
  <c r="Q787" i="48"/>
  <c r="Q791" i="48"/>
  <c r="Q795" i="48"/>
  <c r="Q799" i="48"/>
  <c r="Q811" i="48"/>
  <c r="Q815" i="48"/>
  <c r="Q819" i="48"/>
  <c r="Q823" i="48"/>
  <c r="Q835" i="48"/>
  <c r="Q839" i="48"/>
  <c r="Q843" i="48"/>
  <c r="Q847" i="48"/>
  <c r="Q860" i="48"/>
  <c r="Q864" i="48"/>
  <c r="Q868" i="48"/>
  <c r="Q872" i="48"/>
  <c r="Q884" i="48"/>
  <c r="Q888" i="48"/>
  <c r="Q892" i="48"/>
  <c r="Q896" i="48"/>
  <c r="Q908" i="48"/>
  <c r="Q912" i="48"/>
  <c r="Q916" i="48"/>
  <c r="Q920" i="48"/>
  <c r="Q933" i="48"/>
  <c r="Q937" i="48"/>
  <c r="Q941" i="48"/>
  <c r="Q945" i="48"/>
  <c r="Q956" i="48"/>
  <c r="Q960" i="48"/>
  <c r="Q964" i="48"/>
  <c r="Q968" i="48"/>
  <c r="Q980" i="48"/>
  <c r="Q984" i="48"/>
  <c r="Q988" i="48"/>
  <c r="Q992" i="48"/>
  <c r="Q1005" i="48"/>
  <c r="Q1009" i="48"/>
  <c r="Q1013" i="48"/>
  <c r="Q1017" i="48"/>
  <c r="Q1028" i="48"/>
  <c r="Q1032" i="48"/>
  <c r="Q1036" i="48"/>
  <c r="Q1040" i="48"/>
  <c r="Q1051" i="48"/>
  <c r="Q1055" i="48"/>
  <c r="Q1059" i="48"/>
  <c r="Q1063" i="48"/>
  <c r="Q1075" i="48"/>
  <c r="Q1079" i="48"/>
  <c r="Q1083" i="48"/>
  <c r="Q1087" i="48"/>
  <c r="Q1101" i="48"/>
  <c r="Q1105" i="48"/>
  <c r="Q1109" i="48"/>
  <c r="Q1113" i="48"/>
  <c r="Q1125" i="48"/>
  <c r="Q1129" i="48"/>
  <c r="Q1133" i="48"/>
  <c r="Q1137" i="48"/>
  <c r="Q1149" i="48"/>
  <c r="Q1153" i="48"/>
  <c r="Q1157" i="48"/>
  <c r="Q1161" i="48"/>
  <c r="Q1173" i="48"/>
  <c r="Q1177" i="48"/>
  <c r="Q1181" i="48"/>
  <c r="Q1185" i="48"/>
  <c r="Q1197" i="48"/>
  <c r="Q1201" i="48"/>
  <c r="Q1205" i="48"/>
  <c r="Q1209" i="48"/>
  <c r="Q1221" i="48"/>
  <c r="Q1225" i="48"/>
  <c r="Q1229" i="48"/>
  <c r="Q1233" i="48"/>
  <c r="Q1242" i="48"/>
  <c r="Q1246" i="48"/>
  <c r="Q1250" i="48"/>
  <c r="Q1254" i="48"/>
  <c r="Q1258" i="48"/>
  <c r="Q1267" i="48"/>
  <c r="Q1271" i="48"/>
  <c r="Q1275" i="48"/>
  <c r="Q1279" i="48"/>
  <c r="Q1291" i="48"/>
  <c r="Q1293" i="48"/>
  <c r="Q1297" i="48"/>
  <c r="Q1301" i="48"/>
  <c r="Q1305" i="48"/>
  <c r="Q1317" i="48"/>
  <c r="Q1321" i="48"/>
  <c r="Q1325" i="48"/>
  <c r="Q895" i="48"/>
  <c r="Q919" i="48"/>
  <c r="Q940" i="48"/>
  <c r="Q944" i="48"/>
  <c r="Q959" i="48"/>
  <c r="Q1026" i="48"/>
  <c r="Q1039" i="48"/>
  <c r="Q1054" i="48"/>
  <c r="Q1074" i="48"/>
  <c r="Q1112" i="48"/>
  <c r="Q1148" i="48"/>
  <c r="Q1152" i="48"/>
  <c r="Q1156" i="48"/>
  <c r="Q1160" i="48"/>
  <c r="Q1180" i="48"/>
  <c r="Q1184" i="48"/>
  <c r="Q1224" i="48"/>
  <c r="Q1228" i="48"/>
  <c r="Q1245" i="48"/>
  <c r="Q1282" i="48"/>
  <c r="Q1304" i="48"/>
  <c r="Q151" i="48"/>
  <c r="Q214" i="48"/>
  <c r="Q222" i="48"/>
  <c r="Q226" i="48"/>
  <c r="Q43" i="48"/>
  <c r="Q47" i="48"/>
  <c r="Q51" i="48"/>
  <c r="Q117" i="48"/>
  <c r="Q121" i="48"/>
  <c r="Q125" i="48"/>
  <c r="Q129" i="48"/>
  <c r="Q140" i="48"/>
  <c r="Q144" i="48"/>
  <c r="Q148" i="48"/>
  <c r="Q152" i="48"/>
  <c r="Q165" i="48"/>
  <c r="Q169" i="48"/>
  <c r="Q173" i="48"/>
  <c r="Q177" i="48"/>
  <c r="R178" i="48" s="1"/>
  <c r="Q187" i="48"/>
  <c r="Q188" i="48"/>
  <c r="Q189" i="48"/>
  <c r="Q190" i="48"/>
  <c r="Q191" i="48"/>
  <c r="Q192" i="48"/>
  <c r="Q193" i="48"/>
  <c r="Q194" i="48"/>
  <c r="Q195" i="48"/>
  <c r="Q196" i="48"/>
  <c r="Q197" i="48"/>
  <c r="Q198" i="48"/>
  <c r="Q199" i="48"/>
  <c r="Q200" i="48"/>
  <c r="Q201" i="48"/>
  <c r="Q211" i="48"/>
  <c r="Q215" i="48"/>
  <c r="Q219" i="48"/>
  <c r="Q223" i="48"/>
  <c r="Q235" i="48"/>
  <c r="Q239" i="48"/>
  <c r="Q243" i="48"/>
  <c r="Q247" i="48"/>
  <c r="R247" i="48" s="1"/>
  <c r="Q261" i="48"/>
  <c r="Q265" i="48"/>
  <c r="Q269" i="48"/>
  <c r="Q273" i="48"/>
  <c r="Q333" i="48"/>
  <c r="Q337" i="48"/>
  <c r="Q341" i="48"/>
  <c r="Q345" i="48"/>
  <c r="Q357" i="48"/>
  <c r="Q361" i="48"/>
  <c r="Q365" i="48"/>
  <c r="Q381" i="48"/>
  <c r="Q385" i="48"/>
  <c r="Q389" i="48"/>
  <c r="Q393" i="48"/>
  <c r="Q405" i="48"/>
  <c r="Q409" i="48"/>
  <c r="Q413" i="48"/>
  <c r="Q417" i="48"/>
  <c r="Q429" i="48"/>
  <c r="Q433" i="48"/>
  <c r="Q437" i="48"/>
  <c r="Q441" i="48"/>
  <c r="Q453" i="48"/>
  <c r="Q457" i="48"/>
  <c r="Q461" i="48"/>
  <c r="Q465" i="48"/>
  <c r="Q474" i="48"/>
  <c r="Q478" i="48"/>
  <c r="Q482" i="48"/>
  <c r="Q486" i="48"/>
  <c r="Q490" i="48"/>
  <c r="Q498" i="48"/>
  <c r="Q502" i="48"/>
  <c r="R502" i="48" s="1"/>
  <c r="Q506" i="48"/>
  <c r="R506" i="48" s="1"/>
  <c r="Q510" i="48"/>
  <c r="R510" i="48" s="1"/>
  <c r="Q514" i="48"/>
  <c r="Q522" i="48"/>
  <c r="Q526" i="48"/>
  <c r="Q530" i="48"/>
  <c r="Q534" i="48"/>
  <c r="Q538" i="48"/>
  <c r="Q547" i="48"/>
  <c r="Q551" i="48"/>
  <c r="Q555" i="48"/>
  <c r="Q559" i="48"/>
  <c r="Q571" i="48"/>
  <c r="R571" i="48" s="1"/>
  <c r="Q575" i="48"/>
  <c r="Q579" i="48"/>
  <c r="Q583" i="48"/>
  <c r="R583" i="48" s="1"/>
  <c r="Q596" i="48"/>
  <c r="Q600" i="48"/>
  <c r="Q604" i="48"/>
  <c r="Q608" i="48"/>
  <c r="Q620" i="48"/>
  <c r="Q624" i="48"/>
  <c r="Q628" i="48"/>
  <c r="Q632" i="48"/>
  <c r="Q644" i="48"/>
  <c r="Q648" i="48"/>
  <c r="Q652" i="48"/>
  <c r="Q656" i="48"/>
  <c r="Q668" i="48"/>
  <c r="Q672" i="48"/>
  <c r="Q676" i="48"/>
  <c r="Q680" i="48"/>
  <c r="Q694" i="48"/>
  <c r="Q698" i="48"/>
  <c r="Q702" i="48"/>
  <c r="Q706" i="48"/>
  <c r="Q714" i="48"/>
  <c r="Q718" i="48"/>
  <c r="R718" i="48" s="1"/>
  <c r="Q722" i="48"/>
  <c r="R722" i="48" s="1"/>
  <c r="Q726" i="48"/>
  <c r="R726" i="48" s="1"/>
  <c r="Q730" i="48"/>
  <c r="Q738" i="48"/>
  <c r="Q742" i="48"/>
  <c r="Q746" i="48"/>
  <c r="Q750" i="48"/>
  <c r="Q754" i="48"/>
  <c r="Q763" i="48"/>
  <c r="Q767" i="48"/>
  <c r="Q771" i="48"/>
  <c r="Q775" i="48"/>
  <c r="Q788" i="48"/>
  <c r="Q792" i="48"/>
  <c r="R792" i="48" s="1"/>
  <c r="Q796" i="48"/>
  <c r="R796" i="48" s="1"/>
  <c r="Q800" i="48"/>
  <c r="R800" i="48" s="1"/>
  <c r="Q812" i="48"/>
  <c r="R812" i="48" s="1"/>
  <c r="Q816" i="48"/>
  <c r="R816" i="48" s="1"/>
  <c r="Q820" i="48"/>
  <c r="R820" i="48" s="1"/>
  <c r="Q824" i="48"/>
  <c r="R824" i="48" s="1"/>
  <c r="Q836" i="48"/>
  <c r="R836" i="48" s="1"/>
  <c r="Q840" i="48"/>
  <c r="R840" i="48" s="1"/>
  <c r="Q844" i="48"/>
  <c r="R844" i="48" s="1"/>
  <c r="Q848" i="48"/>
  <c r="R848" i="48" s="1"/>
  <c r="Q861" i="48"/>
  <c r="Q865" i="48"/>
  <c r="R865" i="48" s="1"/>
  <c r="Q869" i="48"/>
  <c r="R869" i="48" s="1"/>
  <c r="Q873" i="48"/>
  <c r="R873" i="48" s="1"/>
  <c r="Q885" i="48"/>
  <c r="R885" i="48" s="1"/>
  <c r="Q889" i="48"/>
  <c r="R889" i="48" s="1"/>
  <c r="Q893" i="48"/>
  <c r="R893" i="48" s="1"/>
  <c r="Q897" i="48"/>
  <c r="Q909" i="48"/>
  <c r="R909" i="48" s="1"/>
  <c r="Q913" i="48"/>
  <c r="R913" i="48" s="1"/>
  <c r="Q917" i="48"/>
  <c r="Q921" i="48"/>
  <c r="R921" i="48" s="1"/>
  <c r="Q930" i="48"/>
  <c r="Q934" i="48"/>
  <c r="Q938" i="48"/>
  <c r="Q942" i="48"/>
  <c r="Q957" i="48"/>
  <c r="R957" i="48" s="1"/>
  <c r="Q961" i="48"/>
  <c r="R961" i="48" s="1"/>
  <c r="Q965" i="48"/>
  <c r="R965" i="48" s="1"/>
  <c r="Q969" i="48"/>
  <c r="R969" i="48" s="1"/>
  <c r="Q981" i="48"/>
  <c r="R981" i="48" s="1"/>
  <c r="Q985" i="48"/>
  <c r="R985" i="48" s="1"/>
  <c r="Q989" i="48"/>
  <c r="R989" i="48" s="1"/>
  <c r="Q993" i="48"/>
  <c r="R993" i="48" s="1"/>
  <c r="Q1002" i="48"/>
  <c r="Q1006" i="48"/>
  <c r="Q1010" i="48"/>
  <c r="Q1014" i="48"/>
  <c r="Q1018" i="48"/>
  <c r="Q1029" i="48"/>
  <c r="Q1033" i="48"/>
  <c r="Q1037" i="48"/>
  <c r="Q1041" i="48"/>
  <c r="R1042" i="48" s="1"/>
  <c r="Q1052" i="48"/>
  <c r="Q1056" i="48"/>
  <c r="Q1060" i="48"/>
  <c r="Q1064" i="48"/>
  <c r="Q1065" i="48"/>
  <c r="R1066" i="48" s="1"/>
  <c r="Q1076" i="48"/>
  <c r="Q1080" i="48"/>
  <c r="Q1084" i="48"/>
  <c r="Q1088" i="48"/>
  <c r="Q1098" i="48"/>
  <c r="Q1102" i="48"/>
  <c r="Q1106" i="48"/>
  <c r="Q1110" i="48"/>
  <c r="Q1114" i="48"/>
  <c r="Q1122" i="48"/>
  <c r="Q1126" i="48"/>
  <c r="Q1130" i="48"/>
  <c r="Q1134" i="48"/>
  <c r="Q1138" i="48"/>
  <c r="Q1146" i="48"/>
  <c r="Q1150" i="48"/>
  <c r="Q1154" i="48"/>
  <c r="Q1158" i="48"/>
  <c r="Q1162" i="48"/>
  <c r="Q1170" i="48"/>
  <c r="Q1174" i="48"/>
  <c r="Q1178" i="48"/>
  <c r="Q1182" i="48"/>
  <c r="Q1186" i="48"/>
  <c r="Q1194" i="48"/>
  <c r="Q1198" i="48"/>
  <c r="Q1202" i="48"/>
  <c r="Q1206" i="48"/>
  <c r="Q1210" i="48"/>
  <c r="Q1218" i="48"/>
  <c r="Q1222" i="48"/>
  <c r="R1222" i="48" s="1"/>
  <c r="Q1226" i="48"/>
  <c r="R1226" i="48" s="1"/>
  <c r="Q1230" i="48"/>
  <c r="R1230" i="48" s="1"/>
  <c r="Q1234" i="48"/>
  <c r="Q1243" i="48"/>
  <c r="R1243" i="48" s="1"/>
  <c r="Q1247" i="48"/>
  <c r="Q1251" i="48"/>
  <c r="R1251" i="48" s="1"/>
  <c r="Q1255" i="48"/>
  <c r="Q1268" i="48"/>
  <c r="Q1272" i="48"/>
  <c r="Q1276" i="48"/>
  <c r="Q1280" i="48"/>
  <c r="Q1292" i="48"/>
  <c r="Q1294" i="48"/>
  <c r="Q1298" i="48"/>
  <c r="Q1302" i="48"/>
  <c r="Q1306" i="48"/>
  <c r="Q1314" i="48"/>
  <c r="Q1318" i="48"/>
  <c r="R1318" i="48" s="1"/>
  <c r="Q1322" i="48"/>
  <c r="Q1326" i="48"/>
  <c r="R1326" i="48" s="1"/>
  <c r="R321" i="48"/>
  <c r="Q907" i="48"/>
  <c r="Q911" i="48"/>
  <c r="Q915" i="48"/>
  <c r="Q955" i="48"/>
  <c r="Q963" i="48"/>
  <c r="Q979" i="48"/>
  <c r="Q1012" i="48"/>
  <c r="Q1027" i="48"/>
  <c r="Q1031" i="48"/>
  <c r="Q1050" i="48"/>
  <c r="Q1058" i="48"/>
  <c r="Q1100" i="48"/>
  <c r="Q1104" i="48"/>
  <c r="Q1108" i="48"/>
  <c r="Q1124" i="48"/>
  <c r="Q1132" i="48"/>
  <c r="Q1200" i="48"/>
  <c r="Q1204" i="48"/>
  <c r="Q1208" i="48"/>
  <c r="Q1249" i="48"/>
  <c r="Q1270" i="48"/>
  <c r="Q1278" i="48"/>
  <c r="Q1296" i="48"/>
  <c r="Q1300" i="48"/>
  <c r="Q1320" i="48"/>
  <c r="Q1324" i="48"/>
  <c r="Q46" i="48"/>
  <c r="Q50" i="48"/>
  <c r="Q54" i="48"/>
  <c r="Q58" i="48"/>
  <c r="Q116" i="48"/>
  <c r="Q120" i="48"/>
  <c r="Q124" i="48"/>
  <c r="Q128" i="48"/>
  <c r="Q139" i="48"/>
  <c r="Q143" i="48"/>
  <c r="Q147" i="48"/>
  <c r="Q164" i="48"/>
  <c r="Q168" i="48"/>
  <c r="Q172" i="48"/>
  <c r="Q176" i="48"/>
  <c r="Q234" i="48"/>
  <c r="Q242" i="48"/>
  <c r="Q55" i="48"/>
  <c r="Q44" i="48"/>
  <c r="Q48" i="48"/>
  <c r="Q52" i="48"/>
  <c r="Q56" i="48"/>
  <c r="Q114" i="48"/>
  <c r="Q118" i="48"/>
  <c r="Q122" i="48"/>
  <c r="Q126" i="48"/>
  <c r="Q130" i="48"/>
  <c r="Q141" i="48"/>
  <c r="Q145" i="48"/>
  <c r="Q149" i="48"/>
  <c r="Q153" i="48"/>
  <c r="Q162" i="48"/>
  <c r="Q166" i="48"/>
  <c r="Q170" i="48"/>
  <c r="Q174" i="48"/>
  <c r="Q212" i="48"/>
  <c r="Q216" i="48"/>
  <c r="Q220" i="48"/>
  <c r="Q224" i="48"/>
  <c r="Q236" i="48"/>
  <c r="Q240" i="48"/>
  <c r="Q244" i="48"/>
  <c r="Q248" i="48"/>
  <c r="Q262" i="48"/>
  <c r="Q266" i="48"/>
  <c r="Q270" i="48"/>
  <c r="Q330" i="48"/>
  <c r="Q334" i="48"/>
  <c r="Q338" i="48"/>
  <c r="Q342" i="48"/>
  <c r="Q346" i="48"/>
  <c r="Q354" i="48"/>
  <c r="Q358" i="48"/>
  <c r="Q362" i="48"/>
  <c r="Q366" i="48"/>
  <c r="Q378" i="48"/>
  <c r="Q382" i="48"/>
  <c r="Q386" i="48"/>
  <c r="Q390" i="48"/>
  <c r="Q394" i="48"/>
  <c r="Q402" i="48"/>
  <c r="Q406" i="48"/>
  <c r="Q410" i="48"/>
  <c r="Q414" i="48"/>
  <c r="Q418" i="48"/>
  <c r="Q426" i="48"/>
  <c r="Q430" i="48"/>
  <c r="Q434" i="48"/>
  <c r="Q438" i="48"/>
  <c r="Q442" i="48"/>
  <c r="Q450" i="48"/>
  <c r="Q454" i="48"/>
  <c r="Q458" i="48"/>
  <c r="Q462" i="48"/>
  <c r="Q466" i="48"/>
  <c r="Q475" i="48"/>
  <c r="Q479" i="48"/>
  <c r="Q483" i="48"/>
  <c r="Q487" i="48"/>
  <c r="Q499" i="48"/>
  <c r="Q503" i="48"/>
  <c r="Q507" i="48"/>
  <c r="Q511" i="48"/>
  <c r="Q523" i="48"/>
  <c r="Q527" i="48"/>
  <c r="Q531" i="48"/>
  <c r="Q535" i="48"/>
  <c r="Q548" i="48"/>
  <c r="Q552" i="48"/>
  <c r="Q556" i="48"/>
  <c r="Q560" i="48"/>
  <c r="Q572" i="48"/>
  <c r="Q576" i="48"/>
  <c r="Q580" i="48"/>
  <c r="Q584" i="48"/>
  <c r="Q597" i="48"/>
  <c r="Q601" i="48"/>
  <c r="Q605" i="48"/>
  <c r="Q609" i="48"/>
  <c r="Q621" i="48"/>
  <c r="Q625" i="48"/>
  <c r="Q629" i="48"/>
  <c r="Q633" i="48"/>
  <c r="Q645" i="48"/>
  <c r="Q649" i="48"/>
  <c r="Q653" i="48"/>
  <c r="Q657" i="48"/>
  <c r="Q669" i="48"/>
  <c r="Q673" i="48"/>
  <c r="Q677" i="48"/>
  <c r="Q681" i="48"/>
  <c r="Q691" i="48"/>
  <c r="Q695" i="48"/>
  <c r="Q699" i="48"/>
  <c r="Q703" i="48"/>
  <c r="Q715" i="48"/>
  <c r="Q719" i="48"/>
  <c r="Q723" i="48"/>
  <c r="Q727" i="48"/>
  <c r="Q739" i="48"/>
  <c r="Q743" i="48"/>
  <c r="Q747" i="48"/>
  <c r="Q751" i="48"/>
  <c r="Q764" i="48"/>
  <c r="Q768" i="48"/>
  <c r="Q772" i="48"/>
  <c r="Q776" i="48"/>
  <c r="Q789" i="48"/>
  <c r="Q793" i="48"/>
  <c r="Q797" i="48"/>
  <c r="Q801" i="48"/>
  <c r="Q813" i="48"/>
  <c r="Q817" i="48"/>
  <c r="Q821" i="48"/>
  <c r="Q825" i="48"/>
  <c r="Q837" i="48"/>
  <c r="Q841" i="48"/>
  <c r="Q845" i="48"/>
  <c r="Q849" i="48"/>
  <c r="Q858" i="48"/>
  <c r="Q862" i="48"/>
  <c r="Q866" i="48"/>
  <c r="Q870" i="48"/>
  <c r="Q874" i="48"/>
  <c r="Q882" i="48"/>
  <c r="Q886" i="48"/>
  <c r="Q890" i="48"/>
  <c r="Q894" i="48"/>
  <c r="Q898" i="48"/>
  <c r="Q906" i="48"/>
  <c r="Q910" i="48"/>
  <c r="Q914" i="48"/>
  <c r="Q918" i="48"/>
  <c r="Q922" i="48"/>
  <c r="Q931" i="48"/>
  <c r="Q935" i="48"/>
  <c r="Q939" i="48"/>
  <c r="Q943" i="48"/>
  <c r="Q954" i="48"/>
  <c r="Q958" i="48"/>
  <c r="Q962" i="48"/>
  <c r="Q966" i="48"/>
  <c r="Q970" i="48"/>
  <c r="Q978" i="48"/>
  <c r="Q982" i="48"/>
  <c r="Q986" i="48"/>
  <c r="Q990" i="48"/>
  <c r="Q994" i="48"/>
  <c r="Q1003" i="48"/>
  <c r="Q1007" i="48"/>
  <c r="Q1011" i="48"/>
  <c r="Q1015" i="48"/>
  <c r="Q1030" i="48"/>
  <c r="Q1034" i="48"/>
  <c r="Q1038" i="48"/>
  <c r="Q1053" i="48"/>
  <c r="Q1057" i="48"/>
  <c r="Q1061" i="48"/>
  <c r="Q1077" i="48"/>
  <c r="Q1081" i="48"/>
  <c r="Q1085" i="48"/>
  <c r="Q1089" i="48"/>
  <c r="Q1099" i="48"/>
  <c r="Q1103" i="48"/>
  <c r="Q1107" i="48"/>
  <c r="Q1111" i="48"/>
  <c r="Q1123" i="48"/>
  <c r="Q1127" i="48"/>
  <c r="Q1131" i="48"/>
  <c r="Q1135" i="48"/>
  <c r="Q1147" i="48"/>
  <c r="Q1151" i="48"/>
  <c r="Q1155" i="48"/>
  <c r="Q1159" i="48"/>
  <c r="Q1171" i="48"/>
  <c r="Q1175" i="48"/>
  <c r="Q1179" i="48"/>
  <c r="Q1183" i="48"/>
  <c r="Q1195" i="48"/>
  <c r="Q1199" i="48"/>
  <c r="Q1203" i="48"/>
  <c r="Q1207" i="48"/>
  <c r="Q1219" i="48"/>
  <c r="Q1223" i="48"/>
  <c r="Q1227" i="48"/>
  <c r="Q1231" i="48"/>
  <c r="Q1244" i="48"/>
  <c r="Q1248" i="48"/>
  <c r="Q1252" i="48"/>
  <c r="Q1256" i="48"/>
  <c r="Q1269" i="48"/>
  <c r="Q1273" i="48"/>
  <c r="Q1277" i="48"/>
  <c r="Q1281" i="48"/>
  <c r="Q1295" i="48"/>
  <c r="Q1299" i="48"/>
  <c r="Q1303" i="48"/>
  <c r="Q1315" i="48"/>
  <c r="Q1319" i="48"/>
  <c r="Q1323" i="48"/>
  <c r="Q1327" i="48"/>
  <c r="R312" i="48"/>
  <c r="R318" i="48"/>
  <c r="R322" i="48"/>
  <c r="R286" i="48"/>
  <c r="R290" i="48"/>
  <c r="R294" i="48"/>
  <c r="R307" i="48"/>
  <c r="R311" i="48"/>
  <c r="R315" i="48"/>
  <c r="R319" i="48"/>
  <c r="R1330" i="48"/>
  <c r="R283" i="48"/>
  <c r="R287" i="48"/>
  <c r="R291" i="48"/>
  <c r="R295" i="48"/>
  <c r="R308" i="48"/>
  <c r="R316" i="48"/>
  <c r="R320" i="48"/>
  <c r="R370" i="48"/>
  <c r="R284" i="48"/>
  <c r="R288" i="48"/>
  <c r="R292" i="48"/>
  <c r="R296" i="48"/>
  <c r="R309" i="48"/>
  <c r="R313" i="48"/>
  <c r="R317" i="48"/>
  <c r="R285" i="48"/>
  <c r="R289" i="48"/>
  <c r="R293" i="48"/>
  <c r="R297" i="48"/>
  <c r="R310" i="48"/>
  <c r="R314" i="48"/>
  <c r="DE35" i="48"/>
  <c r="CJ1308" i="48"/>
  <c r="CL1308" i="48" s="1"/>
  <c r="CM1308" i="48" s="1"/>
  <c r="CO1042" i="48"/>
  <c r="CN1210" i="48"/>
  <c r="CO1210" i="48" s="1"/>
  <c r="CN442" i="48"/>
  <c r="CO442" i="48" s="1"/>
  <c r="CN610" i="48"/>
  <c r="CO610" i="48" s="1"/>
  <c r="CN802" i="48"/>
  <c r="CO802" i="48" s="1"/>
  <c r="CN1090" i="48"/>
  <c r="CO1090" i="48" s="1"/>
  <c r="CN1258" i="48"/>
  <c r="CO1258" i="48" s="1"/>
  <c r="CN394" i="48"/>
  <c r="CO394" i="48" s="1"/>
  <c r="CN178" i="48"/>
  <c r="CO178" i="48" s="1"/>
  <c r="CN706" i="48"/>
  <c r="CO706" i="48" s="1"/>
  <c r="CN202" i="48"/>
  <c r="CO202" i="48" s="1"/>
  <c r="CN370" i="48"/>
  <c r="CO370" i="48" s="1"/>
  <c r="CN538" i="48"/>
  <c r="CO538" i="48" s="1"/>
  <c r="CN730" i="48"/>
  <c r="CO730" i="48" s="1"/>
  <c r="CN970" i="48"/>
  <c r="CO970" i="48" s="1"/>
  <c r="CN1138" i="48"/>
  <c r="CO1138" i="48" s="1"/>
  <c r="CO946" i="48"/>
  <c r="CN562" i="48"/>
  <c r="CO562" i="48" s="1"/>
  <c r="CN898" i="48"/>
  <c r="CO898" i="48" s="1"/>
  <c r="CN106" i="48"/>
  <c r="CO106" i="48" s="1"/>
  <c r="CO274" i="48"/>
  <c r="CN154" i="48"/>
  <c r="CO154" i="48" s="1"/>
  <c r="CN346" i="48"/>
  <c r="CO346" i="48" s="1"/>
  <c r="CN514" i="48"/>
  <c r="CO514" i="48" s="1"/>
  <c r="CN682" i="48"/>
  <c r="CO682" i="48" s="1"/>
  <c r="CN850" i="48"/>
  <c r="CO850" i="48" s="1"/>
  <c r="CN1018" i="48"/>
  <c r="CO1018" i="48" s="1"/>
  <c r="CN1186" i="48"/>
  <c r="CO1186" i="48" s="1"/>
  <c r="CN130" i="48"/>
  <c r="CO130" i="48" s="1"/>
  <c r="CN322" i="48"/>
  <c r="CO322" i="48" s="1"/>
  <c r="CN490" i="48"/>
  <c r="CO490" i="48" s="1"/>
  <c r="CN658" i="48"/>
  <c r="CO658" i="48" s="1"/>
  <c r="CN826" i="48"/>
  <c r="CO826" i="48" s="1"/>
  <c r="CN994" i="48"/>
  <c r="CO994" i="48" s="1"/>
  <c r="CN1162" i="48"/>
  <c r="CO1162" i="48" s="1"/>
  <c r="CN298" i="48"/>
  <c r="CO298" i="48" s="1"/>
  <c r="CN466" i="48"/>
  <c r="CO466" i="48" s="1"/>
  <c r="CN634" i="48"/>
  <c r="CO634" i="48" s="1"/>
  <c r="CN1330" i="48"/>
  <c r="CO1330" i="48" s="1"/>
  <c r="CN1306" i="48"/>
  <c r="CO1306" i="48" s="1"/>
  <c r="CN82" i="48"/>
  <c r="CO82" i="48" s="1"/>
  <c r="CN250" i="48"/>
  <c r="CO250" i="48" s="1"/>
  <c r="CN418" i="48"/>
  <c r="CO418" i="48" s="1"/>
  <c r="CN586" i="48"/>
  <c r="CO586" i="48" s="1"/>
  <c r="CN778" i="48"/>
  <c r="CO778" i="48" s="1"/>
  <c r="CN922" i="48"/>
  <c r="CO922" i="48" s="1"/>
  <c r="CN1114" i="48"/>
  <c r="CO1114" i="48" s="1"/>
  <c r="CN1282" i="48"/>
  <c r="CO1282" i="48" s="1"/>
  <c r="CN58" i="48"/>
  <c r="CO58" i="48" s="1"/>
  <c r="CN226" i="48"/>
  <c r="CO226" i="48" s="1"/>
  <c r="CN754" i="48"/>
  <c r="CO754" i="48" s="1"/>
  <c r="CN874" i="48"/>
  <c r="CO874" i="48" s="1"/>
  <c r="CO1066" i="48"/>
  <c r="CN1234" i="48"/>
  <c r="CO1234" i="48" s="1"/>
  <c r="DX92" i="48"/>
  <c r="DX93" i="48" s="1"/>
  <c r="DW96" i="48" s="1"/>
  <c r="ED92" i="48"/>
  <c r="EB92" i="48"/>
  <c r="EF92" i="48"/>
  <c r="DZ92" i="48"/>
  <c r="CN1233" i="48"/>
  <c r="CO1233" i="48" s="1"/>
  <c r="CN753" i="48"/>
  <c r="CO753" i="48" s="1"/>
  <c r="CN897" i="48"/>
  <c r="CO897" i="48" s="1"/>
  <c r="CN201" i="48"/>
  <c r="CO201" i="48" s="1"/>
  <c r="CN369" i="48"/>
  <c r="CO369" i="48" s="1"/>
  <c r="CN537" i="48"/>
  <c r="CO537" i="48" s="1"/>
  <c r="CN729" i="48"/>
  <c r="CO729" i="48" s="1"/>
  <c r="CN873" i="48"/>
  <c r="CO873" i="48" s="1"/>
  <c r="CN1065" i="48"/>
  <c r="CO1065" i="48" s="1"/>
  <c r="CN1089" i="48"/>
  <c r="CO1089" i="48" s="1"/>
  <c r="CN1257" i="48"/>
  <c r="CO1257" i="48" s="1"/>
  <c r="CN225" i="48"/>
  <c r="CO225" i="48" s="1"/>
  <c r="CN393" i="48"/>
  <c r="CO393" i="48" s="1"/>
  <c r="CN561" i="48"/>
  <c r="CO561" i="48" s="1"/>
  <c r="CN81" i="48"/>
  <c r="CO81" i="48" s="1"/>
  <c r="CN249" i="48"/>
  <c r="CO249" i="48" s="1"/>
  <c r="CN417" i="48"/>
  <c r="CO417" i="48" s="1"/>
  <c r="CN585" i="48"/>
  <c r="CO585" i="48" s="1"/>
  <c r="CN777" i="48"/>
  <c r="CO777" i="48" s="1"/>
  <c r="CN921" i="48"/>
  <c r="CO921" i="48" s="1"/>
  <c r="CO1113" i="48"/>
  <c r="CN1281" i="48"/>
  <c r="CO1281" i="48" s="1"/>
  <c r="CN105" i="48"/>
  <c r="CO105" i="48" s="1"/>
  <c r="CN273" i="48"/>
  <c r="CO273" i="48" s="1"/>
  <c r="CN441" i="48"/>
  <c r="CO441" i="48" s="1"/>
  <c r="CN609" i="48"/>
  <c r="CO609" i="48" s="1"/>
  <c r="CN801" i="48"/>
  <c r="CO801" i="48" s="1"/>
  <c r="CN945" i="48"/>
  <c r="CO945" i="48" s="1"/>
  <c r="CN1305" i="48"/>
  <c r="CO1305" i="48" s="1"/>
  <c r="CN297" i="48"/>
  <c r="CO297" i="48" s="1"/>
  <c r="CN465" i="48"/>
  <c r="CO465" i="48" s="1"/>
  <c r="CN633" i="48"/>
  <c r="CO633" i="48" s="1"/>
  <c r="CN969" i="48"/>
  <c r="CO969" i="48" s="1"/>
  <c r="CO1137" i="48"/>
  <c r="CN1329" i="48"/>
  <c r="CO1329" i="48" s="1"/>
  <c r="CN129" i="48"/>
  <c r="CO129" i="48" s="1"/>
  <c r="CN321" i="48"/>
  <c r="CO321" i="48" s="1"/>
  <c r="CN489" i="48"/>
  <c r="CO489" i="48" s="1"/>
  <c r="CN657" i="48"/>
  <c r="CO657" i="48" s="1"/>
  <c r="CN825" i="48"/>
  <c r="CO825" i="48" s="1"/>
  <c r="CN993" i="48"/>
  <c r="CO993" i="48" s="1"/>
  <c r="CN1161" i="48"/>
  <c r="CO1161" i="48" s="1"/>
  <c r="CN153" i="48"/>
  <c r="CO153" i="48" s="1"/>
  <c r="CN345" i="48"/>
  <c r="CO345" i="48" s="1"/>
  <c r="CN513" i="48"/>
  <c r="CO513" i="48" s="1"/>
  <c r="CN681" i="48"/>
  <c r="CO681" i="48" s="1"/>
  <c r="CN849" i="48"/>
  <c r="CO849" i="48" s="1"/>
  <c r="CN1017" i="48"/>
  <c r="CO1017" i="48" s="1"/>
  <c r="CN1185" i="48"/>
  <c r="CO1185" i="48" s="1"/>
  <c r="CN177" i="48"/>
  <c r="CO177" i="48" s="1"/>
  <c r="CN705" i="48"/>
  <c r="CO705" i="48" s="1"/>
  <c r="CN1041" i="48"/>
  <c r="CO1041" i="48" s="1"/>
  <c r="CN1209" i="48"/>
  <c r="CO1209" i="48" s="1"/>
  <c r="CN57" i="48"/>
  <c r="CO57" i="48" s="1"/>
  <c r="AI821" i="48" l="1"/>
  <c r="AI824" i="48"/>
  <c r="AI813" i="48"/>
  <c r="AI269" i="48"/>
  <c r="AI389" i="48"/>
  <c r="AI381" i="48"/>
  <c r="AI385" i="48"/>
  <c r="AI817" i="48"/>
  <c r="AI433" i="48"/>
  <c r="AI361" i="48"/>
  <c r="AI429" i="48"/>
  <c r="AH1297" i="48"/>
  <c r="AH1225" i="48"/>
  <c r="AH1129" i="48"/>
  <c r="AH1009" i="48"/>
  <c r="AH839" i="48"/>
  <c r="AH1324" i="48"/>
  <c r="AH1253" i="48"/>
  <c r="AH1196" i="48"/>
  <c r="AH1148" i="48"/>
  <c r="AH1100" i="48"/>
  <c r="AH919" i="48"/>
  <c r="AH745" i="48"/>
  <c r="AH1231" i="48"/>
  <c r="AH1135" i="48"/>
  <c r="AH1034" i="48"/>
  <c r="AH866" i="48"/>
  <c r="AH817" i="48"/>
  <c r="AH748" i="48"/>
  <c r="AH1268" i="48"/>
  <c r="AH836" i="48"/>
  <c r="AH743" i="48"/>
  <c r="AH652" i="48"/>
  <c r="AH575" i="48"/>
  <c r="AI441" i="48"/>
  <c r="AH413" i="48"/>
  <c r="AH308" i="48"/>
  <c r="AH215" i="48"/>
  <c r="AH701" i="48"/>
  <c r="AI623" i="48"/>
  <c r="AH428" i="48"/>
  <c r="AI272" i="48"/>
  <c r="AI1325" i="48"/>
  <c r="AI1157" i="48"/>
  <c r="AI1083" i="48"/>
  <c r="AI1032" i="48"/>
  <c r="AI1009" i="48"/>
  <c r="AI937" i="48"/>
  <c r="AI1320" i="48"/>
  <c r="AI1152" i="48"/>
  <c r="AI1078" i="48"/>
  <c r="AI1016" i="48"/>
  <c r="AI944" i="48"/>
  <c r="AI1329" i="48"/>
  <c r="AI1159" i="48"/>
  <c r="AI1085" i="48"/>
  <c r="AI1034" i="48"/>
  <c r="AI1007" i="48"/>
  <c r="AI1326" i="48"/>
  <c r="AI1154" i="48"/>
  <c r="AI1080" i="48"/>
  <c r="AI1033" i="48"/>
  <c r="AI1006" i="48"/>
  <c r="AH1279" i="48"/>
  <c r="AH1201" i="48"/>
  <c r="AH1105" i="48"/>
  <c r="AH937" i="48"/>
  <c r="AI823" i="48"/>
  <c r="AH1316" i="48"/>
  <c r="AH1228" i="48"/>
  <c r="AH1180" i="48"/>
  <c r="AH1132" i="48"/>
  <c r="AH1082" i="48"/>
  <c r="AH911" i="48"/>
  <c r="AH1327" i="48"/>
  <c r="AH1223" i="48"/>
  <c r="AH1127" i="48"/>
  <c r="AH1015" i="48"/>
  <c r="AH914" i="48"/>
  <c r="AH841" i="48"/>
  <c r="AH740" i="48"/>
  <c r="AH1010" i="48"/>
  <c r="AH628" i="48"/>
  <c r="AI437" i="48"/>
  <c r="AI393" i="48"/>
  <c r="AI365" i="48"/>
  <c r="AI265" i="48"/>
  <c r="AI197" i="48"/>
  <c r="AI125" i="48"/>
  <c r="AI117" i="48"/>
  <c r="AI679" i="48"/>
  <c r="AH578" i="48"/>
  <c r="AH404" i="48"/>
  <c r="AI264" i="48"/>
  <c r="AI1321" i="48"/>
  <c r="AI1153" i="48"/>
  <c r="AI1079" i="48"/>
  <c r="AI1028" i="48"/>
  <c r="AI1005" i="48"/>
  <c r="AI933" i="48"/>
  <c r="AI1316" i="48"/>
  <c r="AI1148" i="48"/>
  <c r="AI1039" i="48"/>
  <c r="AI1012" i="48"/>
  <c r="AI940" i="48"/>
  <c r="AI1327" i="48"/>
  <c r="AI1155" i="48"/>
  <c r="AI1030" i="48"/>
  <c r="AI943" i="48"/>
  <c r="AI1322" i="48"/>
  <c r="AI1150" i="48"/>
  <c r="AI1029" i="48"/>
  <c r="AI942" i="48"/>
  <c r="AI260" i="48"/>
  <c r="AI947" i="48"/>
  <c r="AI1043" i="48"/>
  <c r="AI1331" i="48"/>
  <c r="AI1091" i="48"/>
  <c r="AI1163" i="48"/>
  <c r="AI1019" i="48"/>
  <c r="AH1271" i="48"/>
  <c r="AH1177" i="48"/>
  <c r="AH1087" i="48"/>
  <c r="AH916" i="48"/>
  <c r="AI815" i="48"/>
  <c r="AH1300" i="48"/>
  <c r="AH1220" i="48"/>
  <c r="AH1172" i="48"/>
  <c r="AH1124" i="48"/>
  <c r="AH991" i="48"/>
  <c r="AH895" i="48"/>
  <c r="AH818" i="48"/>
  <c r="AH1319" i="48"/>
  <c r="AH1183" i="48"/>
  <c r="AH1081" i="48"/>
  <c r="AH1007" i="48"/>
  <c r="AH821" i="48"/>
  <c r="AH1322" i="48"/>
  <c r="AH985" i="48"/>
  <c r="AH812" i="48"/>
  <c r="AH698" i="48"/>
  <c r="AH620" i="48"/>
  <c r="AI294" i="48"/>
  <c r="AH193" i="48"/>
  <c r="AI671" i="48"/>
  <c r="AH380" i="48"/>
  <c r="AI1317" i="48"/>
  <c r="AI1149" i="48"/>
  <c r="AI1040" i="48"/>
  <c r="AI1017" i="48"/>
  <c r="AI945" i="48"/>
  <c r="AI1328" i="48"/>
  <c r="AI1160" i="48"/>
  <c r="AI1086" i="48"/>
  <c r="AI1035" i="48"/>
  <c r="AI1008" i="48"/>
  <c r="AI936" i="48"/>
  <c r="AI1323" i="48"/>
  <c r="AI1151" i="48"/>
  <c r="AI1077" i="48"/>
  <c r="AI1015" i="48"/>
  <c r="AI939" i="48"/>
  <c r="AI1318" i="48"/>
  <c r="AI1088" i="48"/>
  <c r="AI1041" i="48"/>
  <c r="AI1014" i="48"/>
  <c r="AI938" i="48"/>
  <c r="AH1321" i="48"/>
  <c r="AH1250" i="48"/>
  <c r="AH1153" i="48"/>
  <c r="AH1079" i="48"/>
  <c r="AH847" i="48"/>
  <c r="AH1204" i="48"/>
  <c r="AH1156" i="48"/>
  <c r="AH1108" i="48"/>
  <c r="AH983" i="48"/>
  <c r="AH887" i="48"/>
  <c r="AH1273" i="48"/>
  <c r="AH1175" i="48"/>
  <c r="AH1061" i="48"/>
  <c r="AH793" i="48"/>
  <c r="AH1052" i="48"/>
  <c r="AH961" i="48"/>
  <c r="AH788" i="48"/>
  <c r="AH676" i="48"/>
  <c r="AH604" i="48"/>
  <c r="AH461" i="48"/>
  <c r="AI357" i="48"/>
  <c r="AI286" i="48"/>
  <c r="AH191" i="48"/>
  <c r="AH725" i="48"/>
  <c r="AI631" i="48"/>
  <c r="AH452" i="48"/>
  <c r="AH332" i="48"/>
  <c r="AI1161" i="48"/>
  <c r="AI1036" i="48"/>
  <c r="AI1013" i="48"/>
  <c r="AI941" i="48"/>
  <c r="AI1324" i="48"/>
  <c r="AI1156" i="48"/>
  <c r="AI1082" i="48"/>
  <c r="AI1031" i="48"/>
  <c r="AI1004" i="48"/>
  <c r="AI932" i="48"/>
  <c r="AI1319" i="48"/>
  <c r="AI1089" i="48"/>
  <c r="AI1038" i="48"/>
  <c r="AI1011" i="48"/>
  <c r="AI935" i="48"/>
  <c r="AI1084" i="48"/>
  <c r="AI1037" i="48"/>
  <c r="AI1010" i="48"/>
  <c r="AH50" i="48"/>
  <c r="AH770" i="48"/>
  <c r="AH266" i="48"/>
  <c r="AH458" i="48"/>
  <c r="AH146" i="48"/>
  <c r="AH314" i="48"/>
  <c r="AH650" i="48"/>
  <c r="AH434" i="48"/>
  <c r="AH74" i="48"/>
  <c r="AH674" i="48"/>
  <c r="AH218" i="48"/>
  <c r="AH290" i="48"/>
  <c r="AH482" i="48"/>
  <c r="AH722" i="48"/>
  <c r="AH938" i="48"/>
  <c r="AH1130" i="48"/>
  <c r="AH1226" i="48"/>
  <c r="AH362" i="48"/>
  <c r="AH410" i="48"/>
  <c r="AH602" i="48"/>
  <c r="AH122" i="48"/>
  <c r="AH170" i="48"/>
  <c r="AH338" i="48"/>
  <c r="AH386" i="48"/>
  <c r="AH626" i="48"/>
  <c r="AH98" i="48"/>
  <c r="AH554" i="48"/>
  <c r="AH530" i="48"/>
  <c r="AJ530" i="48" s="1"/>
  <c r="AH1178" i="48"/>
  <c r="AH55" i="48"/>
  <c r="AH775" i="48"/>
  <c r="AH487" i="48"/>
  <c r="AH175" i="48"/>
  <c r="AH343" i="48"/>
  <c r="AH319" i="48"/>
  <c r="AH703" i="48"/>
  <c r="AH415" i="48"/>
  <c r="AH151" i="48"/>
  <c r="AH295" i="48"/>
  <c r="AH631" i="48"/>
  <c r="AH679" i="48"/>
  <c r="AH247" i="48"/>
  <c r="AH1255" i="48"/>
  <c r="AH535" i="48"/>
  <c r="AJ535" i="48" s="1"/>
  <c r="AH79" i="48"/>
  <c r="AH127" i="48"/>
  <c r="AH271" i="48"/>
  <c r="AH367" i="48"/>
  <c r="AH391" i="48"/>
  <c r="AH463" i="48"/>
  <c r="AH511" i="48"/>
  <c r="AH439" i="48"/>
  <c r="AH607" i="48"/>
  <c r="AH655" i="48"/>
  <c r="AH559" i="48"/>
  <c r="AH727" i="48"/>
  <c r="AH49" i="48"/>
  <c r="AH769" i="48"/>
  <c r="AH73" i="48"/>
  <c r="AH217" i="48"/>
  <c r="AH553" i="48"/>
  <c r="AH577" i="48"/>
  <c r="AH265" i="48"/>
  <c r="AH361" i="48"/>
  <c r="AH409" i="48"/>
  <c r="AH457" i="48"/>
  <c r="AH865" i="48"/>
  <c r="AH889" i="48"/>
  <c r="AH1033" i="48"/>
  <c r="AH289" i="48"/>
  <c r="AH601" i="48"/>
  <c r="AH625" i="48"/>
  <c r="AH649" i="48"/>
  <c r="AH673" i="48"/>
  <c r="AH241" i="48"/>
  <c r="AH145" i="48"/>
  <c r="AH313" i="48"/>
  <c r="AH481" i="48"/>
  <c r="AH505" i="48"/>
  <c r="AH529" i="48"/>
  <c r="AJ529" i="48" s="1"/>
  <c r="AH697" i="48"/>
  <c r="AH721" i="48"/>
  <c r="AH337" i="48"/>
  <c r="AH385" i="48"/>
  <c r="AH433" i="48"/>
  <c r="AH913" i="48"/>
  <c r="AH44" i="48"/>
  <c r="AH284" i="48"/>
  <c r="AH212" i="48"/>
  <c r="AH236" i="48"/>
  <c r="AH92" i="48"/>
  <c r="AH260" i="48"/>
  <c r="AH140" i="48"/>
  <c r="AH1076" i="48"/>
  <c r="AH548" i="48"/>
  <c r="AH572" i="48"/>
  <c r="AH476" i="48"/>
  <c r="AH500" i="48"/>
  <c r="AH524" i="48"/>
  <c r="AJ524" i="48" s="1"/>
  <c r="AH692" i="48"/>
  <c r="AJ692" i="48" s="1"/>
  <c r="AH716" i="48"/>
  <c r="AH68" i="48"/>
  <c r="AH356" i="48"/>
  <c r="AH596" i="48"/>
  <c r="AH644" i="48"/>
  <c r="AH668" i="48"/>
  <c r="AH764" i="48"/>
  <c r="AI127" i="48"/>
  <c r="AI271" i="48"/>
  <c r="AI367" i="48"/>
  <c r="AI391" i="48"/>
  <c r="AI223" i="48"/>
  <c r="AI439" i="48"/>
  <c r="AI199" i="48"/>
  <c r="AI126" i="48"/>
  <c r="AI390" i="48"/>
  <c r="AI630" i="48"/>
  <c r="AI270" i="48"/>
  <c r="AI654" i="48"/>
  <c r="AI198" i="48"/>
  <c r="AI438" i="48"/>
  <c r="AI678" i="48"/>
  <c r="AI366" i="48"/>
  <c r="AI606" i="48"/>
  <c r="AH46" i="48"/>
  <c r="AH1325" i="48"/>
  <c r="AH1301" i="48"/>
  <c r="AH1275" i="48"/>
  <c r="AH1246" i="48"/>
  <c r="AH1221" i="48"/>
  <c r="AH1197" i="48"/>
  <c r="AH1173" i="48"/>
  <c r="AH1149" i="48"/>
  <c r="AH1125" i="48"/>
  <c r="AH1101" i="48"/>
  <c r="AH1063" i="48"/>
  <c r="AH1036" i="48"/>
  <c r="AH1013" i="48"/>
  <c r="AH988" i="48"/>
  <c r="AH964" i="48"/>
  <c r="AH941" i="48"/>
  <c r="AH912" i="48"/>
  <c r="AH892" i="48"/>
  <c r="AH868" i="48"/>
  <c r="AH843" i="48"/>
  <c r="AH819" i="48"/>
  <c r="AH799" i="48"/>
  <c r="AH746" i="48"/>
  <c r="AH1328" i="48"/>
  <c r="AH1304" i="48"/>
  <c r="AH1257" i="48"/>
  <c r="AH1232" i="48"/>
  <c r="AH1208" i="48"/>
  <c r="AH1184" i="48"/>
  <c r="AH1160" i="48"/>
  <c r="AH1136" i="48"/>
  <c r="AH1112" i="48"/>
  <c r="AH1086" i="48"/>
  <c r="AH1058" i="48"/>
  <c r="AH1031" i="48"/>
  <c r="AH1004" i="48"/>
  <c r="AH967" i="48"/>
  <c r="AH940" i="48"/>
  <c r="AH871" i="48"/>
  <c r="AH842" i="48"/>
  <c r="AI818" i="48"/>
  <c r="AH777" i="48"/>
  <c r="AH741" i="48"/>
  <c r="AH1323" i="48"/>
  <c r="AH1295" i="48"/>
  <c r="AH1269" i="48"/>
  <c r="AH1244" i="48"/>
  <c r="AH1207" i="48"/>
  <c r="AH1179" i="48"/>
  <c r="AH1151" i="48"/>
  <c r="AH1111" i="48"/>
  <c r="AH1085" i="48"/>
  <c r="AH1057" i="48"/>
  <c r="AH1030" i="48"/>
  <c r="AH990" i="48"/>
  <c r="AH943" i="48"/>
  <c r="AH890" i="48"/>
  <c r="AH870" i="48"/>
  <c r="AH845" i="48"/>
  <c r="AH797" i="48"/>
  <c r="AH752" i="48"/>
  <c r="AH1326" i="48"/>
  <c r="AH1292" i="48"/>
  <c r="AH1251" i="48"/>
  <c r="AH1202" i="48"/>
  <c r="AH1174" i="48"/>
  <c r="AH1106" i="48"/>
  <c r="AH1080" i="48"/>
  <c r="AH1037" i="48"/>
  <c r="AH993" i="48"/>
  <c r="AH942" i="48"/>
  <c r="AH869" i="48"/>
  <c r="AH796" i="48"/>
  <c r="AH726" i="48"/>
  <c r="AH680" i="48"/>
  <c r="AH656" i="48"/>
  <c r="AH632" i="48"/>
  <c r="AH608" i="48"/>
  <c r="AH583" i="48"/>
  <c r="AH526" i="48"/>
  <c r="AJ526" i="48" s="1"/>
  <c r="AH453" i="48"/>
  <c r="AH316" i="48"/>
  <c r="AH199" i="48"/>
  <c r="AH196" i="48"/>
  <c r="AH192" i="48"/>
  <c r="AH188" i="48"/>
  <c r="AH144" i="48"/>
  <c r="AI655" i="48"/>
  <c r="AH558" i="48"/>
  <c r="AH460" i="48"/>
  <c r="AI392" i="48"/>
  <c r="AH340" i="48"/>
  <c r="AI295" i="48"/>
  <c r="AH242" i="48"/>
  <c r="AI222" i="48"/>
  <c r="AH128" i="48"/>
  <c r="AH97" i="48"/>
  <c r="AH224" i="48"/>
  <c r="AH248" i="48"/>
  <c r="AH104" i="48"/>
  <c r="AH176" i="48"/>
  <c r="AH344" i="48"/>
  <c r="AH368" i="48"/>
  <c r="AH392" i="48"/>
  <c r="AH416" i="48"/>
  <c r="AH440" i="48"/>
  <c r="AH464" i="48"/>
  <c r="AH320" i="48"/>
  <c r="AH560" i="48"/>
  <c r="AH584" i="48"/>
  <c r="AH296" i="48"/>
  <c r="AH488" i="48"/>
  <c r="AH512" i="48"/>
  <c r="AH536" i="48"/>
  <c r="AJ536" i="48" s="1"/>
  <c r="AH80" i="48"/>
  <c r="AH272" i="48"/>
  <c r="AH800" i="48"/>
  <c r="AH824" i="48"/>
  <c r="AH848" i="48"/>
  <c r="AH1064" i="48"/>
  <c r="AH51" i="48"/>
  <c r="AH771" i="48"/>
  <c r="AH315" i="48"/>
  <c r="AH699" i="48"/>
  <c r="AH123" i="48"/>
  <c r="AH267" i="48"/>
  <c r="AH363" i="48"/>
  <c r="AH387" i="48"/>
  <c r="AH411" i="48"/>
  <c r="AH531" i="48"/>
  <c r="AJ531" i="48" s="1"/>
  <c r="AH435" i="48"/>
  <c r="AH459" i="48"/>
  <c r="AH603" i="48"/>
  <c r="AH651" i="48"/>
  <c r="AH579" i="48"/>
  <c r="AH747" i="48"/>
  <c r="AH507" i="48"/>
  <c r="AH75" i="48"/>
  <c r="AH483" i="48"/>
  <c r="AH723" i="48"/>
  <c r="AH171" i="48"/>
  <c r="AH339" i="48"/>
  <c r="AH291" i="48"/>
  <c r="AH627" i="48"/>
  <c r="AH675" i="48"/>
  <c r="AH81" i="48"/>
  <c r="AH225" i="48"/>
  <c r="AH249" i="48"/>
  <c r="AH369" i="48"/>
  <c r="AH153" i="48"/>
  <c r="AH321" i="48"/>
  <c r="AH489" i="48"/>
  <c r="AH513" i="48"/>
  <c r="AH537" i="48"/>
  <c r="AJ537" i="48" s="1"/>
  <c r="AH705" i="48"/>
  <c r="AH273" i="48"/>
  <c r="AH345" i="48"/>
  <c r="AH297" i="48"/>
  <c r="AH609" i="48"/>
  <c r="AH633" i="48"/>
  <c r="AH657" i="48"/>
  <c r="AH681" i="48"/>
  <c r="AH561" i="48"/>
  <c r="AH585" i="48"/>
  <c r="AH393" i="48"/>
  <c r="AH417" i="48"/>
  <c r="AH441" i="48"/>
  <c r="AH465" i="48"/>
  <c r="AH873" i="48"/>
  <c r="AH897" i="48"/>
  <c r="AH921" i="48"/>
  <c r="AH1041" i="48"/>
  <c r="AH765" i="48"/>
  <c r="AH285" i="48"/>
  <c r="AH597" i="48"/>
  <c r="AH621" i="48"/>
  <c r="AH645" i="48"/>
  <c r="AH669" i="48"/>
  <c r="AH69" i="48"/>
  <c r="AH237" i="48"/>
  <c r="AH165" i="48"/>
  <c r="AH381" i="48"/>
  <c r="AH429" i="48"/>
  <c r="AH909" i="48"/>
  <c r="AH141" i="48"/>
  <c r="AH213" i="48"/>
  <c r="AH549" i="48"/>
  <c r="AH573" i="48"/>
  <c r="AH117" i="48"/>
  <c r="AH261" i="48"/>
  <c r="AH357" i="48"/>
  <c r="AH957" i="48"/>
  <c r="AH981" i="48"/>
  <c r="AI220" i="48"/>
  <c r="AI196" i="48"/>
  <c r="AI292" i="48"/>
  <c r="AI124" i="48"/>
  <c r="AI604" i="48"/>
  <c r="AI628" i="48"/>
  <c r="AI652" i="48"/>
  <c r="AI676" i="48"/>
  <c r="AI435" i="48"/>
  <c r="AI123" i="48"/>
  <c r="AI267" i="48"/>
  <c r="AI363" i="48"/>
  <c r="AI387" i="48"/>
  <c r="AI195" i="48"/>
  <c r="AI219" i="48"/>
  <c r="AI434" i="48"/>
  <c r="AI674" i="48"/>
  <c r="AI362" i="48"/>
  <c r="AI602" i="48"/>
  <c r="AI194" i="48"/>
  <c r="AI122" i="48"/>
  <c r="AI386" i="48"/>
  <c r="AI626" i="48"/>
  <c r="AI266" i="48"/>
  <c r="AI650" i="48"/>
  <c r="AH57" i="48"/>
  <c r="AH1233" i="48"/>
  <c r="AH1209" i="48"/>
  <c r="AH1185" i="48"/>
  <c r="AH1161" i="48"/>
  <c r="AH1137" i="48"/>
  <c r="AH1113" i="48"/>
  <c r="AH1059" i="48"/>
  <c r="AH1032" i="48"/>
  <c r="AH984" i="48"/>
  <c r="AH960" i="48"/>
  <c r="AH888" i="48"/>
  <c r="AH864" i="48"/>
  <c r="AI819" i="48"/>
  <c r="AH795" i="48"/>
  <c r="AH742" i="48"/>
  <c r="AH1278" i="48"/>
  <c r="AH1054" i="48"/>
  <c r="AH1016" i="48"/>
  <c r="AH963" i="48"/>
  <c r="AH936" i="48"/>
  <c r="AH915" i="48"/>
  <c r="AH867" i="48"/>
  <c r="AH838" i="48"/>
  <c r="AH822" i="48"/>
  <c r="AH814" i="48"/>
  <c r="AH798" i="48"/>
  <c r="AH753" i="48"/>
  <c r="AH729" i="48"/>
  <c r="AH1281" i="48"/>
  <c r="AH1256" i="48"/>
  <c r="AH1203" i="48"/>
  <c r="AH1107" i="48"/>
  <c r="AH1053" i="48"/>
  <c r="AH966" i="48"/>
  <c r="AH939" i="48"/>
  <c r="AH886" i="48"/>
  <c r="AH813" i="48"/>
  <c r="AH1302" i="48"/>
  <c r="AH1280" i="48"/>
  <c r="AH1230" i="48"/>
  <c r="AH1134" i="48"/>
  <c r="AH1065" i="48"/>
  <c r="AH1029" i="48"/>
  <c r="AH934" i="48"/>
  <c r="AH861" i="48"/>
  <c r="AI820" i="48"/>
  <c r="AH718" i="48"/>
  <c r="AH486" i="48"/>
  <c r="AH198" i="48"/>
  <c r="AH195" i="48"/>
  <c r="AH177" i="48"/>
  <c r="AH129" i="48"/>
  <c r="AI651" i="48"/>
  <c r="AH550" i="48"/>
  <c r="AH501" i="48"/>
  <c r="AI388" i="48"/>
  <c r="AI364" i="48"/>
  <c r="AI291" i="48"/>
  <c r="AI218" i="48"/>
  <c r="AH172" i="48"/>
  <c r="AH103" i="48"/>
  <c r="AH720" i="48"/>
  <c r="AH52" i="48"/>
  <c r="AH772" i="48"/>
  <c r="AH292" i="48"/>
  <c r="AH556" i="48"/>
  <c r="AH580" i="48"/>
  <c r="AH484" i="48"/>
  <c r="AH508" i="48"/>
  <c r="AH532" i="48"/>
  <c r="AJ532" i="48" s="1"/>
  <c r="AH700" i="48"/>
  <c r="AH724" i="48"/>
  <c r="AH100" i="48"/>
  <c r="AH268" i="48"/>
  <c r="AH820" i="48"/>
  <c r="AH220" i="48"/>
  <c r="AH244" i="48"/>
  <c r="AH76" i="48"/>
  <c r="AH364" i="48"/>
  <c r="AH388" i="48"/>
  <c r="AH436" i="48"/>
  <c r="AH148" i="48"/>
  <c r="AH1084" i="48"/>
  <c r="AH47" i="48"/>
  <c r="AH767" i="48"/>
  <c r="AH527" i="48"/>
  <c r="AJ527" i="48" s="1"/>
  <c r="AH455" i="48"/>
  <c r="AH503" i="48"/>
  <c r="AH287" i="48"/>
  <c r="AH623" i="48"/>
  <c r="AH671" i="48"/>
  <c r="AH551" i="48"/>
  <c r="AH479" i="48"/>
  <c r="AH719" i="48"/>
  <c r="AH71" i="48"/>
  <c r="AH119" i="48"/>
  <c r="AH167" i="48"/>
  <c r="AH263" i="48"/>
  <c r="AH335" i="48"/>
  <c r="AH359" i="48"/>
  <c r="AH383" i="48"/>
  <c r="AH311" i="48"/>
  <c r="AH695" i="48"/>
  <c r="AH407" i="48"/>
  <c r="AH431" i="48"/>
  <c r="AH143" i="48"/>
  <c r="AH599" i="48"/>
  <c r="AH647" i="48"/>
  <c r="AH239" i="48"/>
  <c r="AH1247" i="48"/>
  <c r="AH53" i="48"/>
  <c r="AH773" i="48"/>
  <c r="AH149" i="48"/>
  <c r="AH293" i="48"/>
  <c r="AH605" i="48"/>
  <c r="AH629" i="48"/>
  <c r="AH653" i="48"/>
  <c r="AH677" i="48"/>
  <c r="AH77" i="48"/>
  <c r="AH557" i="48"/>
  <c r="AH581" i="48"/>
  <c r="AH125" i="48"/>
  <c r="AH389" i="48"/>
  <c r="AH437" i="48"/>
  <c r="AH917" i="48"/>
  <c r="AH965" i="48"/>
  <c r="AH989" i="48"/>
  <c r="AH221" i="48"/>
  <c r="AH245" i="48"/>
  <c r="AH173" i="48"/>
  <c r="AH269" i="48"/>
  <c r="AH365" i="48"/>
  <c r="AI297" i="48"/>
  <c r="AI609" i="48"/>
  <c r="AI633" i="48"/>
  <c r="AI657" i="48"/>
  <c r="AI681" i="48"/>
  <c r="AI225" i="48"/>
  <c r="AI369" i="48"/>
  <c r="AI129" i="48"/>
  <c r="AI201" i="48"/>
  <c r="AI288" i="48"/>
  <c r="AI120" i="48"/>
  <c r="AI192" i="48"/>
  <c r="AI600" i="48"/>
  <c r="AI624" i="48"/>
  <c r="AI648" i="48"/>
  <c r="AI672" i="48"/>
  <c r="AI216" i="48"/>
  <c r="AI816" i="48"/>
  <c r="AI119" i="48"/>
  <c r="AI263" i="48"/>
  <c r="AI359" i="48"/>
  <c r="AI383" i="48"/>
  <c r="AI215" i="48"/>
  <c r="AI431" i="48"/>
  <c r="AI191" i="48"/>
  <c r="AI118" i="48"/>
  <c r="AI382" i="48"/>
  <c r="AI622" i="48"/>
  <c r="AI262" i="48"/>
  <c r="AI646" i="48"/>
  <c r="AI190" i="48"/>
  <c r="AI430" i="48"/>
  <c r="AI670" i="48"/>
  <c r="AI358" i="48"/>
  <c r="AI598" i="48"/>
  <c r="AH45" i="48"/>
  <c r="AH1317" i="48"/>
  <c r="AH1293" i="48"/>
  <c r="AH1254" i="48"/>
  <c r="AH1229" i="48"/>
  <c r="AH1205" i="48"/>
  <c r="AH1181" i="48"/>
  <c r="AH1157" i="48"/>
  <c r="AH1133" i="48"/>
  <c r="AH1109" i="48"/>
  <c r="AH1083" i="48"/>
  <c r="AH1055" i="48"/>
  <c r="AH1028" i="48"/>
  <c r="AH1005" i="48"/>
  <c r="AH980" i="48"/>
  <c r="AH956" i="48"/>
  <c r="AH933" i="48"/>
  <c r="AH908" i="48"/>
  <c r="AH884" i="48"/>
  <c r="AH860" i="48"/>
  <c r="AH823" i="48"/>
  <c r="AH815" i="48"/>
  <c r="AH791" i="48"/>
  <c r="AH1320" i="48"/>
  <c r="AH1296" i="48"/>
  <c r="AH1274" i="48"/>
  <c r="AH1249" i="48"/>
  <c r="AH1224" i="48"/>
  <c r="AH1200" i="48"/>
  <c r="AH1176" i="48"/>
  <c r="AH1152" i="48"/>
  <c r="AH1128" i="48"/>
  <c r="AH1104" i="48"/>
  <c r="AH1078" i="48"/>
  <c r="AH1039" i="48"/>
  <c r="AH1012" i="48"/>
  <c r="AH987" i="48"/>
  <c r="AH959" i="48"/>
  <c r="AH932" i="48"/>
  <c r="AH891" i="48"/>
  <c r="AH863" i="48"/>
  <c r="AI822" i="48"/>
  <c r="AI814" i="48"/>
  <c r="AH794" i="48"/>
  <c r="AH749" i="48"/>
  <c r="AH1329" i="48"/>
  <c r="AH1303" i="48"/>
  <c r="AH1277" i="48"/>
  <c r="AH1252" i="48"/>
  <c r="AH1227" i="48"/>
  <c r="AH1199" i="48"/>
  <c r="AH1159" i="48"/>
  <c r="AH1131" i="48"/>
  <c r="AH1103" i="48"/>
  <c r="AH1077" i="48"/>
  <c r="AH1011" i="48"/>
  <c r="AH982" i="48"/>
  <c r="AH962" i="48"/>
  <c r="AH935" i="48"/>
  <c r="AH862" i="48"/>
  <c r="AH837" i="48"/>
  <c r="AH789" i="48"/>
  <c r="AH744" i="48"/>
  <c r="AH1318" i="48"/>
  <c r="AH1298" i="48"/>
  <c r="AH1276" i="48"/>
  <c r="AH1222" i="48"/>
  <c r="AH1154" i="48"/>
  <c r="AH1126" i="48"/>
  <c r="AH1060" i="48"/>
  <c r="AH969" i="48"/>
  <c r="AH893" i="48"/>
  <c r="AH844" i="48"/>
  <c r="AH816" i="48"/>
  <c r="AH751" i="48"/>
  <c r="AH672" i="48"/>
  <c r="AH648" i="48"/>
  <c r="AH624" i="48"/>
  <c r="AH600" i="48"/>
  <c r="AH555" i="48"/>
  <c r="AH506" i="48"/>
  <c r="AH478" i="48"/>
  <c r="AH405" i="48"/>
  <c r="AH341" i="48"/>
  <c r="AI273" i="48"/>
  <c r="AH243" i="48"/>
  <c r="AH201" i="48"/>
  <c r="AH197" i="48"/>
  <c r="AH194" i="48"/>
  <c r="AH169" i="48"/>
  <c r="AI296" i="48"/>
  <c r="AI128" i="48"/>
  <c r="AI200" i="48"/>
  <c r="AI608" i="48"/>
  <c r="AI632" i="48"/>
  <c r="AI656" i="48"/>
  <c r="AI680" i="48"/>
  <c r="AI224" i="48"/>
  <c r="AI289" i="48"/>
  <c r="AI601" i="48"/>
  <c r="AI625" i="48"/>
  <c r="AI649" i="48"/>
  <c r="AI673" i="48"/>
  <c r="AI121" i="48"/>
  <c r="AI217" i="48"/>
  <c r="AI193" i="48"/>
  <c r="AH717" i="48"/>
  <c r="AI675" i="48"/>
  <c r="AI647" i="48"/>
  <c r="AI607" i="48"/>
  <c r="AH533" i="48"/>
  <c r="AJ533" i="48" s="1"/>
  <c r="AH485" i="48"/>
  <c r="AI440" i="48"/>
  <c r="AH412" i="48"/>
  <c r="AI384" i="48"/>
  <c r="AI360" i="48"/>
  <c r="AH317" i="48"/>
  <c r="AI287" i="48"/>
  <c r="AI214" i="48"/>
  <c r="AH164" i="48"/>
  <c r="AH101" i="48"/>
  <c r="AH93" i="48"/>
  <c r="AH704" i="48"/>
  <c r="AH54" i="48"/>
  <c r="AH774" i="48"/>
  <c r="AH174" i="48"/>
  <c r="AH342" i="48"/>
  <c r="AH366" i="48"/>
  <c r="AH606" i="48"/>
  <c r="AH126" i="48"/>
  <c r="AH390" i="48"/>
  <c r="AH462" i="48"/>
  <c r="AH78" i="48"/>
  <c r="AH150" i="48"/>
  <c r="AH318" i="48"/>
  <c r="AH630" i="48"/>
  <c r="AH246" i="48"/>
  <c r="AH582" i="48"/>
  <c r="AH702" i="48"/>
  <c r="AH1014" i="48"/>
  <c r="AH1110" i="48"/>
  <c r="AH1206" i="48"/>
  <c r="AH270" i="48"/>
  <c r="AH654" i="48"/>
  <c r="AH414" i="48"/>
  <c r="AH438" i="48"/>
  <c r="AH678" i="48"/>
  <c r="AH102" i="48"/>
  <c r="AH222" i="48"/>
  <c r="AH294" i="48"/>
  <c r="AH510" i="48"/>
  <c r="AH1158" i="48"/>
  <c r="AH48" i="48"/>
  <c r="AH768" i="48"/>
  <c r="AH216" i="48"/>
  <c r="AH552" i="48"/>
  <c r="AH576" i="48"/>
  <c r="AH480" i="48"/>
  <c r="AH504" i="48"/>
  <c r="AH528" i="48"/>
  <c r="AJ528" i="48" s="1"/>
  <c r="AH96" i="48"/>
  <c r="AH360" i="48"/>
  <c r="AH384" i="48"/>
  <c r="AH432" i="48"/>
  <c r="AH792" i="48"/>
  <c r="AH840" i="48"/>
  <c r="AH1056" i="48"/>
  <c r="AH240" i="48"/>
  <c r="AH288" i="48"/>
  <c r="AH72" i="48"/>
  <c r="AH168" i="48"/>
  <c r="AH264" i="48"/>
  <c r="AH336" i="48"/>
  <c r="AH408" i="48"/>
  <c r="AH456" i="48"/>
  <c r="AH312" i="48"/>
  <c r="AH1272" i="48"/>
  <c r="AH766" i="48"/>
  <c r="AH358" i="48"/>
  <c r="AH598" i="48"/>
  <c r="AH118" i="48"/>
  <c r="AH382" i="48"/>
  <c r="AH406" i="48"/>
  <c r="AH622" i="48"/>
  <c r="AH502" i="48"/>
  <c r="AH1150" i="48"/>
  <c r="AH166" i="48"/>
  <c r="AH262" i="48"/>
  <c r="AH334" i="48"/>
  <c r="AH646" i="48"/>
  <c r="AH430" i="48"/>
  <c r="AH454" i="48"/>
  <c r="AH142" i="48"/>
  <c r="AH310" i="48"/>
  <c r="AH670" i="48"/>
  <c r="AH94" i="48"/>
  <c r="AH214" i="48"/>
  <c r="AH238" i="48"/>
  <c r="AH574" i="48"/>
  <c r="AH286" i="48"/>
  <c r="AH694" i="48"/>
  <c r="AH1006" i="48"/>
  <c r="AH1102" i="48"/>
  <c r="AH1198" i="48"/>
  <c r="AZ779" i="48"/>
  <c r="BA779" i="48" s="1"/>
  <c r="AI299" i="48"/>
  <c r="AK299" i="48" s="1"/>
  <c r="AI683" i="48"/>
  <c r="AI635" i="48"/>
  <c r="AI611" i="48"/>
  <c r="AI275" i="48"/>
  <c r="AI371" i="48"/>
  <c r="AI659" i="48"/>
  <c r="AI227" i="48"/>
  <c r="AI827" i="48"/>
  <c r="AI131" i="48"/>
  <c r="AI395" i="48"/>
  <c r="AI203" i="48"/>
  <c r="AI443" i="48"/>
  <c r="AI188" i="48"/>
  <c r="AI812" i="48"/>
  <c r="AI212" i="48"/>
  <c r="AI284" i="48"/>
  <c r="AI116" i="48"/>
  <c r="AI380" i="48"/>
  <c r="AI428" i="48"/>
  <c r="AI620" i="48"/>
  <c r="AH56" i="48"/>
  <c r="AH1305" i="48"/>
  <c r="AH1040" i="48"/>
  <c r="AH1017" i="48"/>
  <c r="AH992" i="48"/>
  <c r="AH968" i="48"/>
  <c r="AH945" i="48"/>
  <c r="AH920" i="48"/>
  <c r="AH896" i="48"/>
  <c r="AH872" i="48"/>
  <c r="AH750" i="48"/>
  <c r="AH1270" i="48"/>
  <c r="AH1245" i="48"/>
  <c r="AH1062" i="48"/>
  <c r="AH1035" i="48"/>
  <c r="AH1008" i="48"/>
  <c r="AH944" i="48"/>
  <c r="AH846" i="48"/>
  <c r="AH790" i="48"/>
  <c r="AH1299" i="48"/>
  <c r="AH1248" i="48"/>
  <c r="AH1155" i="48"/>
  <c r="AH1089" i="48"/>
  <c r="AH958" i="48"/>
  <c r="AH918" i="48"/>
  <c r="AH910" i="48"/>
  <c r="AH894" i="48"/>
  <c r="AH849" i="48"/>
  <c r="AH825" i="48"/>
  <c r="AH801" i="48"/>
  <c r="AH776" i="48"/>
  <c r="AH1294" i="48"/>
  <c r="AH1182" i="48"/>
  <c r="AH1088" i="48"/>
  <c r="AH885" i="48"/>
  <c r="AI668" i="48"/>
  <c r="AI644" i="48"/>
  <c r="AI596" i="48"/>
  <c r="AH534" i="48"/>
  <c r="AJ534" i="48" s="1"/>
  <c r="AH333" i="48"/>
  <c r="AH200" i="48"/>
  <c r="AH189" i="48"/>
  <c r="AH152" i="48"/>
  <c r="AI603" i="48"/>
  <c r="AH525" i="48"/>
  <c r="AJ525" i="48" s="1"/>
  <c r="AH477" i="48"/>
  <c r="AI436" i="48"/>
  <c r="AI356" i="48"/>
  <c r="AH309" i="48"/>
  <c r="AH147" i="48"/>
  <c r="AH99" i="48"/>
  <c r="AH70" i="48"/>
  <c r="AH696" i="48"/>
  <c r="AI189" i="48"/>
  <c r="AI677" i="48"/>
  <c r="AI669" i="48"/>
  <c r="AI653" i="48"/>
  <c r="AI645" i="48"/>
  <c r="AI629" i="48"/>
  <c r="AI621" i="48"/>
  <c r="AI605" i="48"/>
  <c r="AI597" i="48"/>
  <c r="AI293" i="48"/>
  <c r="AI285" i="48"/>
  <c r="BE44" i="48"/>
  <c r="BB58" i="48"/>
  <c r="R1304" i="48"/>
  <c r="R1156" i="48"/>
  <c r="BA107" i="48"/>
  <c r="R128" i="48"/>
  <c r="BA778" i="48"/>
  <c r="R1126" i="48"/>
  <c r="R211" i="48"/>
  <c r="R730" i="48"/>
  <c r="R346" i="48"/>
  <c r="R1234" i="48"/>
  <c r="R379" i="48"/>
  <c r="R163" i="48"/>
  <c r="R1227" i="48"/>
  <c r="R1030" i="48"/>
  <c r="R438" i="48"/>
  <c r="R1223" i="48"/>
  <c r="R1135" i="48"/>
  <c r="R907" i="48"/>
  <c r="R821" i="48"/>
  <c r="R772" i="48"/>
  <c r="R270" i="48"/>
  <c r="R220" i="48"/>
  <c r="R442" i="48"/>
  <c r="R966" i="48"/>
  <c r="R507" i="48"/>
  <c r="R1231" i="48"/>
  <c r="R1034" i="48"/>
  <c r="R845" i="48"/>
  <c r="R342" i="48"/>
  <c r="R244" i="48"/>
  <c r="R170" i="48"/>
  <c r="R1132" i="48"/>
  <c r="R817" i="48"/>
  <c r="R768" i="48"/>
  <c r="R266" i="48"/>
  <c r="R216" i="48"/>
  <c r="R222" i="48"/>
  <c r="R835" i="48"/>
  <c r="R697" i="48"/>
  <c r="R558" i="48"/>
  <c r="R825" i="48"/>
  <c r="R1130" i="48"/>
  <c r="R764" i="48"/>
  <c r="R262" i="48"/>
  <c r="R212" i="48"/>
  <c r="R970" i="48"/>
  <c r="R338" i="48"/>
  <c r="R240" i="48"/>
  <c r="R166" i="48"/>
  <c r="R837" i="48"/>
  <c r="R1138" i="48"/>
  <c r="R1038" i="48"/>
  <c r="R1134" i="48"/>
  <c r="R679" i="48"/>
  <c r="R408" i="48"/>
  <c r="R671" i="48"/>
  <c r="R272" i="48"/>
  <c r="R1004" i="48"/>
  <c r="R883" i="48"/>
  <c r="R744" i="48"/>
  <c r="R242" i="48"/>
  <c r="R168" i="48"/>
  <c r="R872" i="48"/>
  <c r="R595" i="48"/>
  <c r="R364" i="48"/>
  <c r="BE46" i="48"/>
  <c r="R626" i="48"/>
  <c r="R791" i="48"/>
  <c r="R725" i="48"/>
  <c r="R627" i="48"/>
  <c r="R525" i="48"/>
  <c r="R477" i="48"/>
  <c r="R147" i="48"/>
  <c r="R214" i="48"/>
  <c r="R1275" i="48"/>
  <c r="R799" i="48"/>
  <c r="R412" i="48"/>
  <c r="R1129" i="48"/>
  <c r="R888" i="48"/>
  <c r="R839" i="48"/>
  <c r="R701" i="48"/>
  <c r="R675" i="48"/>
  <c r="R581" i="48"/>
  <c r="R172" i="48"/>
  <c r="R143" i="48"/>
  <c r="R892" i="48"/>
  <c r="R795" i="48"/>
  <c r="R753" i="48"/>
  <c r="R360" i="48"/>
  <c r="R787" i="48"/>
  <c r="R513" i="48"/>
  <c r="R464" i="48"/>
  <c r="R56" i="48"/>
  <c r="R917" i="48"/>
  <c r="R960" i="48"/>
  <c r="R503" i="48"/>
  <c r="DQ60" i="48"/>
  <c r="R788" i="48"/>
  <c r="R938" i="48"/>
  <c r="R238" i="48"/>
  <c r="BE49" i="48"/>
  <c r="BE57" i="48"/>
  <c r="BE53" i="48"/>
  <c r="BE45" i="48"/>
  <c r="R1088" i="48"/>
  <c r="BE55" i="48"/>
  <c r="R886" i="48"/>
  <c r="R1085" i="48"/>
  <c r="R1150" i="48"/>
  <c r="R363" i="48"/>
  <c r="R1294" i="48"/>
  <c r="R846" i="48"/>
  <c r="BE56" i="48"/>
  <c r="R794" i="48"/>
  <c r="R403" i="48"/>
  <c r="R656" i="48"/>
  <c r="R239" i="48"/>
  <c r="R984" i="48"/>
  <c r="R815" i="48"/>
  <c r="R749" i="48"/>
  <c r="R582" i="48"/>
  <c r="BE52" i="48"/>
  <c r="BE51" i="48"/>
  <c r="BE47" i="48"/>
  <c r="R217" i="48"/>
  <c r="BE54" i="48"/>
  <c r="R122" i="48"/>
  <c r="R1027" i="48"/>
  <c r="R1110" i="48"/>
  <c r="R706" i="48"/>
  <c r="R680" i="48"/>
  <c r="R192" i="48"/>
  <c r="BE48" i="48"/>
  <c r="R649" i="48"/>
  <c r="R553" i="48"/>
  <c r="R739" i="48"/>
  <c r="R500" i="48"/>
  <c r="BE50" i="48"/>
  <c r="R1075" i="48"/>
  <c r="R1201" i="48"/>
  <c r="R1105" i="48"/>
  <c r="R1032" i="48"/>
  <c r="R501" i="48"/>
  <c r="R529" i="48"/>
  <c r="R339" i="48"/>
  <c r="R47" i="48"/>
  <c r="R932" i="48"/>
  <c r="R1131" i="48"/>
  <c r="R1315" i="48"/>
  <c r="R1257" i="48"/>
  <c r="R1207" i="48"/>
  <c r="R1111" i="48"/>
  <c r="R1089" i="48"/>
  <c r="R1062" i="48"/>
  <c r="R1007" i="48"/>
  <c r="R986" i="48"/>
  <c r="R866" i="48"/>
  <c r="R747" i="48"/>
  <c r="R556" i="48"/>
  <c r="R483" i="48"/>
  <c r="R362" i="48"/>
  <c r="R221" i="48"/>
  <c r="R50" i="48"/>
  <c r="R1154" i="48"/>
  <c r="R1056" i="48"/>
  <c r="R1033" i="48"/>
  <c r="R1010" i="48"/>
  <c r="R771" i="48"/>
  <c r="R750" i="48"/>
  <c r="R596" i="48"/>
  <c r="R547" i="48"/>
  <c r="R526" i="48"/>
  <c r="R219" i="48"/>
  <c r="R200" i="48"/>
  <c r="R196" i="48"/>
  <c r="R1317" i="48"/>
  <c r="R774" i="48"/>
  <c r="R705" i="48"/>
  <c r="R432" i="48"/>
  <c r="R336" i="48"/>
  <c r="R669" i="48"/>
  <c r="R418" i="48"/>
  <c r="R394" i="48"/>
  <c r="R243" i="48"/>
  <c r="R169" i="48"/>
  <c r="R1250" i="48"/>
  <c r="R1229" i="48"/>
  <c r="R1206" i="48"/>
  <c r="R1157" i="48"/>
  <c r="R1133" i="48"/>
  <c r="R964" i="48"/>
  <c r="R632" i="48"/>
  <c r="R1267" i="48"/>
  <c r="R1079" i="48"/>
  <c r="R1008" i="48"/>
  <c r="R720" i="48"/>
  <c r="R650" i="48"/>
  <c r="R359" i="48"/>
  <c r="R532" i="48"/>
  <c r="R407" i="48"/>
  <c r="R57" i="48"/>
  <c r="R1248" i="48"/>
  <c r="R140" i="48"/>
  <c r="R1305" i="48"/>
  <c r="R1106" i="48"/>
  <c r="R1316" i="48"/>
  <c r="R1063" i="48"/>
  <c r="R700" i="48"/>
  <c r="R528" i="48"/>
  <c r="R387" i="48"/>
  <c r="R267" i="48"/>
  <c r="R887" i="48"/>
  <c r="R171" i="48"/>
  <c r="R343" i="48"/>
  <c r="R1009" i="48"/>
  <c r="R651" i="48"/>
  <c r="R1277" i="48"/>
  <c r="R1252" i="48"/>
  <c r="R1228" i="48"/>
  <c r="R1057" i="48"/>
  <c r="R983" i="48"/>
  <c r="R963" i="48"/>
  <c r="R939" i="48"/>
  <c r="R918" i="48"/>
  <c r="R695" i="48"/>
  <c r="R527" i="48"/>
  <c r="R145" i="48"/>
  <c r="R608" i="48"/>
  <c r="R482" i="48"/>
  <c r="R361" i="48"/>
  <c r="R337" i="48"/>
  <c r="R265" i="48"/>
  <c r="R117" i="48"/>
  <c r="R404" i="48"/>
  <c r="R356" i="48"/>
  <c r="R967" i="48"/>
  <c r="R674" i="48"/>
  <c r="R480" i="48"/>
  <c r="R241" i="48"/>
  <c r="R167" i="48"/>
  <c r="R123" i="48"/>
  <c r="R724" i="48"/>
  <c r="R577" i="48"/>
  <c r="R121" i="48"/>
  <c r="R1112" i="48"/>
  <c r="R678" i="48"/>
  <c r="R484" i="48"/>
  <c r="R245" i="48"/>
  <c r="R1090" i="48"/>
  <c r="R1256" i="48"/>
  <c r="R1247" i="48"/>
  <c r="R146" i="48"/>
  <c r="R144" i="48"/>
  <c r="R1136" i="48"/>
  <c r="R748" i="48"/>
  <c r="R1061" i="48"/>
  <c r="R1253" i="48"/>
  <c r="R1299" i="48"/>
  <c r="R1273" i="48"/>
  <c r="R1249" i="48"/>
  <c r="R1200" i="48"/>
  <c r="R1175" i="48"/>
  <c r="R1151" i="48"/>
  <c r="R1128" i="48"/>
  <c r="R1104" i="48"/>
  <c r="R1053" i="48"/>
  <c r="R959" i="48"/>
  <c r="R935" i="48"/>
  <c r="R914" i="48"/>
  <c r="R894" i="48"/>
  <c r="R790" i="48"/>
  <c r="R715" i="48"/>
  <c r="R645" i="48"/>
  <c r="R621" i="48"/>
  <c r="R597" i="48"/>
  <c r="R548" i="48"/>
  <c r="R476" i="48"/>
  <c r="R435" i="48"/>
  <c r="R414" i="48"/>
  <c r="R355" i="48"/>
  <c r="R49" i="48"/>
  <c r="R58" i="48"/>
  <c r="R1013" i="48"/>
  <c r="R916" i="48"/>
  <c r="R1306" i="48"/>
  <c r="R1293" i="48"/>
  <c r="R1268" i="48"/>
  <c r="R1084" i="48"/>
  <c r="R702" i="48"/>
  <c r="R676" i="48"/>
  <c r="R628" i="48"/>
  <c r="R604" i="48"/>
  <c r="R478" i="48"/>
  <c r="R409" i="48"/>
  <c r="R333" i="48"/>
  <c r="R261" i="48"/>
  <c r="R199" i="48"/>
  <c r="R195" i="48"/>
  <c r="R191" i="48"/>
  <c r="R152" i="48"/>
  <c r="R1258" i="48"/>
  <c r="R1221" i="48"/>
  <c r="R1197" i="48"/>
  <c r="R884" i="48"/>
  <c r="R811" i="48"/>
  <c r="R578" i="48"/>
  <c r="R489" i="48"/>
  <c r="R392" i="48"/>
  <c r="R344" i="48"/>
  <c r="R250" i="48"/>
  <c r="R1196" i="48"/>
  <c r="R1171" i="48"/>
  <c r="R1100" i="48"/>
  <c r="R1077" i="48"/>
  <c r="R955" i="48"/>
  <c r="R891" i="48"/>
  <c r="R870" i="48"/>
  <c r="R727" i="48"/>
  <c r="R634" i="48"/>
  <c r="R609" i="48"/>
  <c r="R584" i="48"/>
  <c r="R536" i="48"/>
  <c r="R466" i="48"/>
  <c r="R366" i="48"/>
  <c r="R124" i="48"/>
  <c r="R1178" i="48"/>
  <c r="R1060" i="48"/>
  <c r="R1037" i="48"/>
  <c r="R775" i="48"/>
  <c r="R754" i="48"/>
  <c r="R551" i="48"/>
  <c r="R429" i="48"/>
  <c r="R405" i="48"/>
  <c r="R381" i="48"/>
  <c r="R1246" i="48"/>
  <c r="R1181" i="48"/>
  <c r="R1137" i="48"/>
  <c r="R968" i="48"/>
  <c r="R847" i="48"/>
  <c r="R778" i="48"/>
  <c r="R574" i="48"/>
  <c r="R436" i="48"/>
  <c r="R388" i="48"/>
  <c r="R340" i="48"/>
  <c r="R268" i="48"/>
  <c r="R246" i="48"/>
  <c r="R1155" i="48"/>
  <c r="R962" i="48"/>
  <c r="R1031" i="48"/>
  <c r="R55" i="48"/>
  <c r="R188" i="48"/>
  <c r="R919" i="48"/>
  <c r="R1327" i="48"/>
  <c r="R1203" i="48"/>
  <c r="R1183" i="48"/>
  <c r="R1107" i="48"/>
  <c r="R1003" i="48"/>
  <c r="R723" i="48"/>
  <c r="R535" i="48"/>
  <c r="R458" i="48"/>
  <c r="R386" i="48"/>
  <c r="R1282" i="48"/>
  <c r="R944" i="48"/>
  <c r="R1301" i="48"/>
  <c r="R1174" i="48"/>
  <c r="R1125" i="48"/>
  <c r="R1101" i="48"/>
  <c r="R1076" i="48"/>
  <c r="R1052" i="48"/>
  <c r="R1028" i="48"/>
  <c r="R956" i="48"/>
  <c r="R934" i="48"/>
  <c r="R908" i="48"/>
  <c r="R767" i="48"/>
  <c r="R746" i="48"/>
  <c r="R1291" i="48"/>
  <c r="R1177" i="48"/>
  <c r="R1086" i="48"/>
  <c r="R1035" i="48"/>
  <c r="R937" i="48"/>
  <c r="R867" i="48"/>
  <c r="R773" i="48"/>
  <c r="R696" i="48"/>
  <c r="R631" i="48"/>
  <c r="R607" i="48"/>
  <c r="R557" i="48"/>
  <c r="R459" i="48"/>
  <c r="R380" i="48"/>
  <c r="R271" i="48"/>
  <c r="R46" i="48"/>
  <c r="R602" i="48"/>
  <c r="R562" i="48"/>
  <c r="R332" i="48"/>
  <c r="R226" i="48"/>
  <c r="R127" i="48"/>
  <c r="R1161" i="48"/>
  <c r="R1113" i="48"/>
  <c r="R920" i="48"/>
  <c r="R896" i="48"/>
  <c r="R1127" i="48"/>
  <c r="R1202" i="48"/>
  <c r="R1029" i="48"/>
  <c r="R603" i="48"/>
  <c r="R895" i="48"/>
  <c r="R630" i="48"/>
  <c r="R335" i="48"/>
  <c r="R334" i="48"/>
  <c r="R142" i="48"/>
  <c r="R141" i="48"/>
  <c r="R861" i="48"/>
  <c r="R862" i="48"/>
  <c r="R357" i="48"/>
  <c r="R358" i="48"/>
  <c r="R235" i="48"/>
  <c r="R1054" i="48"/>
  <c r="R538" i="48"/>
  <c r="R537" i="48"/>
  <c r="R670" i="48"/>
  <c r="R843" i="48"/>
  <c r="R842" i="48"/>
  <c r="R383" i="48"/>
  <c r="R384" i="48"/>
  <c r="R958" i="48"/>
  <c r="R789" i="48"/>
  <c r="R629" i="48"/>
  <c r="R434" i="48"/>
  <c r="R1182" i="48"/>
  <c r="R1055" i="48"/>
  <c r="R936" i="48"/>
  <c r="R559" i="48"/>
  <c r="R814" i="48"/>
  <c r="R813" i="48"/>
  <c r="R572" i="48"/>
  <c r="R573" i="48"/>
  <c r="R523" i="48"/>
  <c r="R524" i="48"/>
  <c r="R237" i="48"/>
  <c r="R236" i="48"/>
  <c r="R119" i="48"/>
  <c r="R118" i="48"/>
  <c r="R165" i="48"/>
  <c r="R164" i="48"/>
  <c r="R1059" i="48"/>
  <c r="R1058" i="48"/>
  <c r="R915" i="48"/>
  <c r="R652" i="48"/>
  <c r="R653" i="48"/>
  <c r="R580" i="48"/>
  <c r="R579" i="48"/>
  <c r="R51" i="48"/>
  <c r="R52" i="48"/>
  <c r="R1152" i="48"/>
  <c r="R1153" i="48"/>
  <c r="R1005" i="48"/>
  <c r="R1006" i="48"/>
  <c r="R740" i="48"/>
  <c r="R427" i="48"/>
  <c r="R428" i="48"/>
  <c r="R716" i="48"/>
  <c r="R151" i="48"/>
  <c r="R150" i="48"/>
  <c r="R982" i="48"/>
  <c r="R677" i="48"/>
  <c r="R499" i="48"/>
  <c r="R1292" i="48"/>
  <c r="R1036" i="48"/>
  <c r="R868" i="48"/>
  <c r="R745" i="48"/>
  <c r="R1296" i="48"/>
  <c r="R1269" i="48"/>
  <c r="R1244" i="48"/>
  <c r="R1147" i="48"/>
  <c r="R1012" i="48"/>
  <c r="R991" i="48"/>
  <c r="R931" i="48"/>
  <c r="R910" i="48"/>
  <c r="R703" i="48"/>
  <c r="R331" i="48"/>
  <c r="R130" i="48"/>
  <c r="R45" i="48"/>
  <c r="R177" i="48"/>
  <c r="R1325" i="48"/>
  <c r="R1279" i="48"/>
  <c r="R1051" i="48"/>
  <c r="R980" i="48"/>
  <c r="R1102" i="48"/>
  <c r="R672" i="48"/>
  <c r="R648" i="48"/>
  <c r="R490" i="48"/>
  <c r="R475" i="48"/>
  <c r="R345" i="48"/>
  <c r="R223" i="48"/>
  <c r="R173" i="48"/>
  <c r="R126" i="48"/>
  <c r="R48" i="48"/>
  <c r="R940" i="48"/>
  <c r="R1321" i="48"/>
  <c r="R1298" i="48"/>
  <c r="R1276" i="48"/>
  <c r="R1210" i="48"/>
  <c r="R1186" i="48"/>
  <c r="R1087" i="48"/>
  <c r="R1064" i="48"/>
  <c r="R1041" i="48"/>
  <c r="R1018" i="48"/>
  <c r="R992" i="48"/>
  <c r="R945" i="48"/>
  <c r="R763" i="48"/>
  <c r="R742" i="48"/>
  <c r="R717" i="48"/>
  <c r="R555" i="48"/>
  <c r="R509" i="48"/>
  <c r="R460" i="48"/>
  <c r="R1274" i="48"/>
  <c r="R1232" i="48"/>
  <c r="R987" i="48"/>
  <c r="R933" i="48"/>
  <c r="R765" i="48"/>
  <c r="R692" i="48"/>
  <c r="R654" i="48"/>
  <c r="R623" i="48"/>
  <c r="R213" i="48"/>
  <c r="R646" i="48"/>
  <c r="R455" i="48"/>
  <c r="R260" i="48"/>
  <c r="R120" i="48"/>
  <c r="R416" i="48"/>
  <c r="R218" i="48"/>
  <c r="R1245" i="48"/>
  <c r="R1208" i="48"/>
  <c r="R1184" i="48"/>
  <c r="R606" i="48"/>
  <c r="R463" i="48"/>
  <c r="R465" i="48"/>
  <c r="R441" i="48"/>
  <c r="R417" i="48"/>
  <c r="R393" i="48"/>
  <c r="R743" i="48"/>
  <c r="R479" i="48"/>
  <c r="R406" i="48"/>
  <c r="R946" i="48"/>
  <c r="R1040" i="48"/>
  <c r="R941" i="48"/>
  <c r="R766" i="48"/>
  <c r="R741" i="48"/>
  <c r="R655" i="48"/>
  <c r="R176" i="48"/>
  <c r="R1319" i="48"/>
  <c r="R1320" i="48"/>
  <c r="R1220" i="48"/>
  <c r="R1219" i="48"/>
  <c r="R1124" i="48"/>
  <c r="R1123" i="48"/>
  <c r="R850" i="48"/>
  <c r="R849" i="48"/>
  <c r="R801" i="48"/>
  <c r="R802" i="48"/>
  <c r="R777" i="48"/>
  <c r="R776" i="48"/>
  <c r="R751" i="48"/>
  <c r="R752" i="48"/>
  <c r="R681" i="48"/>
  <c r="R682" i="48"/>
  <c r="R657" i="48"/>
  <c r="R658" i="48"/>
  <c r="R561" i="48"/>
  <c r="R560" i="48"/>
  <c r="R512" i="48"/>
  <c r="R511" i="48"/>
  <c r="R487" i="48"/>
  <c r="R488" i="48"/>
  <c r="R430" i="48"/>
  <c r="R431" i="48"/>
  <c r="R390" i="48"/>
  <c r="R391" i="48"/>
  <c r="R249" i="48"/>
  <c r="R248" i="48"/>
  <c r="R225" i="48"/>
  <c r="R224" i="48"/>
  <c r="R175" i="48"/>
  <c r="R174" i="48"/>
  <c r="R154" i="48"/>
  <c r="R153" i="48"/>
  <c r="R1205" i="48"/>
  <c r="R1204" i="48"/>
  <c r="R1109" i="48"/>
  <c r="R1108" i="48"/>
  <c r="R912" i="48"/>
  <c r="R911" i="48"/>
  <c r="R1323" i="48"/>
  <c r="R1322" i="48"/>
  <c r="R1302" i="48"/>
  <c r="R1303" i="48"/>
  <c r="R1280" i="48"/>
  <c r="R1281" i="48"/>
  <c r="R1199" i="48"/>
  <c r="R1198" i="48"/>
  <c r="R1159" i="48"/>
  <c r="R1158" i="48"/>
  <c r="R1080" i="48"/>
  <c r="R1081" i="48"/>
  <c r="R1014" i="48"/>
  <c r="R1015" i="48"/>
  <c r="R942" i="48"/>
  <c r="R943" i="48"/>
  <c r="R898" i="48"/>
  <c r="R897" i="48"/>
  <c r="R698" i="48"/>
  <c r="R699" i="48"/>
  <c r="R625" i="48"/>
  <c r="R624" i="48"/>
  <c r="R601" i="48"/>
  <c r="R600" i="48"/>
  <c r="R576" i="48"/>
  <c r="R575" i="48"/>
  <c r="R531" i="48"/>
  <c r="R530" i="48"/>
  <c r="R453" i="48"/>
  <c r="R454" i="48"/>
  <c r="R273" i="48"/>
  <c r="R274" i="48"/>
  <c r="R202" i="48"/>
  <c r="R201" i="48"/>
  <c r="R198" i="48"/>
  <c r="R197" i="48"/>
  <c r="R194" i="48"/>
  <c r="R193" i="48"/>
  <c r="R190" i="48"/>
  <c r="R189" i="48"/>
  <c r="R149" i="48"/>
  <c r="R148" i="48"/>
  <c r="R1148" i="48"/>
  <c r="R1149" i="48"/>
  <c r="R1039" i="48"/>
  <c r="R1255" i="48"/>
  <c r="R1254" i="48"/>
  <c r="R694" i="48"/>
  <c r="R693" i="48"/>
  <c r="R668" i="48"/>
  <c r="R667" i="48"/>
  <c r="R643" i="48"/>
  <c r="R644" i="48"/>
  <c r="R619" i="48"/>
  <c r="R620" i="48"/>
  <c r="R534" i="48"/>
  <c r="R533" i="48"/>
  <c r="R486" i="48"/>
  <c r="R485" i="48"/>
  <c r="R1172" i="48"/>
  <c r="R1173" i="48"/>
  <c r="R1083" i="48"/>
  <c r="R1082" i="48"/>
  <c r="R1017" i="48"/>
  <c r="R863" i="48"/>
  <c r="R864" i="48"/>
  <c r="R729" i="48"/>
  <c r="R728" i="48"/>
  <c r="R598" i="48"/>
  <c r="R599" i="48"/>
  <c r="R452" i="48"/>
  <c r="R451" i="48"/>
  <c r="R411" i="48"/>
  <c r="R368" i="48"/>
  <c r="R367" i="48"/>
  <c r="R264" i="48"/>
  <c r="R263" i="48"/>
  <c r="R871" i="48"/>
  <c r="R819" i="48"/>
  <c r="R818" i="48"/>
  <c r="R769" i="48"/>
  <c r="R770" i="48"/>
  <c r="R704" i="48"/>
  <c r="R549" i="48"/>
  <c r="R550" i="48"/>
  <c r="R504" i="48"/>
  <c r="R505" i="48"/>
  <c r="R1295" i="48"/>
  <c r="R1103" i="48"/>
  <c r="R673" i="48"/>
  <c r="R1114" i="48"/>
  <c r="R1297" i="48"/>
  <c r="R1185" i="48"/>
  <c r="R554" i="48"/>
  <c r="R1278" i="48"/>
  <c r="R215" i="48"/>
  <c r="R125" i="48"/>
  <c r="R990" i="48"/>
  <c r="R1209" i="48"/>
  <c r="R988" i="48"/>
  <c r="R622" i="48"/>
  <c r="R44" i="48"/>
  <c r="R1324" i="48"/>
  <c r="R994" i="48"/>
  <c r="R979" i="48"/>
  <c r="R874" i="48"/>
  <c r="R415" i="48"/>
  <c r="R1162" i="48"/>
  <c r="R1065" i="48"/>
  <c r="R129" i="48"/>
  <c r="R508" i="48"/>
  <c r="R116" i="48"/>
  <c r="R922" i="48"/>
  <c r="R798" i="48"/>
  <c r="R1195" i="48"/>
  <c r="R1099" i="48"/>
  <c r="R365" i="48"/>
  <c r="R1271" i="48"/>
  <c r="R456" i="48"/>
  <c r="R822" i="48"/>
  <c r="R721" i="48"/>
  <c r="R440" i="48"/>
  <c r="R860" i="48"/>
  <c r="R586" i="48"/>
  <c r="R719" i="48"/>
  <c r="R552" i="48"/>
  <c r="R793" i="48"/>
  <c r="R461" i="48"/>
  <c r="R437" i="48"/>
  <c r="R413" i="48"/>
  <c r="R389" i="48"/>
  <c r="R1224" i="48"/>
  <c r="R610" i="48"/>
  <c r="R481" i="48"/>
  <c r="R53" i="48"/>
  <c r="R1179" i="48"/>
  <c r="R890" i="48"/>
  <c r="R841" i="48"/>
  <c r="R797" i="48"/>
  <c r="R462" i="48"/>
  <c r="R410" i="48"/>
  <c r="R1272" i="48"/>
  <c r="R1225" i="48"/>
  <c r="R647" i="48"/>
  <c r="R1300" i="48"/>
  <c r="R859" i="48"/>
  <c r="R838" i="48"/>
  <c r="R382" i="48"/>
  <c r="R54" i="48"/>
  <c r="R115" i="48"/>
  <c r="R633" i="48"/>
  <c r="R1270" i="48"/>
  <c r="R1078" i="48"/>
  <c r="R1016" i="48"/>
  <c r="R826" i="48"/>
  <c r="R585" i="48"/>
  <c r="R439" i="48"/>
  <c r="R514" i="48"/>
  <c r="R1011" i="48"/>
  <c r="R605" i="48"/>
  <c r="R1233" i="48"/>
  <c r="R823" i="48"/>
  <c r="R385" i="48"/>
  <c r="R341" i="48"/>
  <c r="R269" i="48"/>
  <c r="R1328" i="48"/>
  <c r="R1176" i="48"/>
  <c r="R457" i="48"/>
  <c r="R433" i="48"/>
  <c r="R1180" i="48"/>
  <c r="R1160" i="48"/>
  <c r="DX94" i="48"/>
  <c r="ED94" i="48" s="1"/>
  <c r="DU94" i="48"/>
  <c r="AH107" i="48" l="1"/>
  <c r="AH58" i="48"/>
  <c r="AH1330" i="48"/>
  <c r="AH1258" i="48"/>
  <c r="AH1234" i="48"/>
  <c r="AH1066" i="48"/>
  <c r="AH1042" i="48"/>
  <c r="AH994" i="48"/>
  <c r="AH946" i="48"/>
  <c r="AH922" i="48"/>
  <c r="AH850" i="48"/>
  <c r="AH754" i="48"/>
  <c r="AH586" i="48"/>
  <c r="AH538" i="48"/>
  <c r="AJ538" i="48" s="1"/>
  <c r="AH466" i="48"/>
  <c r="AH322" i="48"/>
  <c r="AH274" i="48"/>
  <c r="AH154" i="48"/>
  <c r="AH130" i="48"/>
  <c r="AH106" i="48"/>
  <c r="AH82" i="48"/>
  <c r="AH394" i="48"/>
  <c r="AH634" i="48"/>
  <c r="AH418" i="48"/>
  <c r="AH658" i="48"/>
  <c r="AH202" i="48"/>
  <c r="AH298" i="48"/>
  <c r="AH514" i="48"/>
  <c r="AH1162" i="48"/>
  <c r="AH346" i="48"/>
  <c r="AH442" i="48"/>
  <c r="AH682" i="48"/>
  <c r="AH370" i="48"/>
  <c r="AH610" i="48"/>
  <c r="AH178" i="48"/>
  <c r="AH250" i="48"/>
  <c r="AH706" i="48"/>
  <c r="AH1018" i="48"/>
  <c r="AH1114" i="48"/>
  <c r="AH1210" i="48"/>
  <c r="AH490" i="48"/>
  <c r="AH1138" i="48"/>
  <c r="AH1306" i="48"/>
  <c r="AH970" i="48"/>
  <c r="AH802" i="48"/>
  <c r="AH1282" i="48"/>
  <c r="AH562" i="48"/>
  <c r="AH874" i="48"/>
  <c r="AH826" i="48"/>
  <c r="AH730" i="48"/>
  <c r="AH226" i="48"/>
  <c r="AH1090" i="48"/>
  <c r="AH1186" i="48"/>
  <c r="AH898" i="48"/>
  <c r="AH778" i="48"/>
  <c r="BE58" i="48"/>
  <c r="BD45" i="48"/>
  <c r="BD46" i="48" s="1"/>
  <c r="BD47" i="48" s="1"/>
  <c r="BD48" i="48" s="1"/>
  <c r="BD49" i="48" s="1"/>
  <c r="BD50" i="48" s="1"/>
  <c r="BD51" i="48" s="1"/>
  <c r="BD52" i="48" s="1"/>
  <c r="BD53" i="48" s="1"/>
  <c r="BD54" i="48" s="1"/>
  <c r="BD55" i="48" s="1"/>
  <c r="BD56" i="48" s="1"/>
  <c r="BD57" i="48" s="1"/>
  <c r="EF94" i="48"/>
  <c r="EB94" i="48"/>
  <c r="DZ94" i="48"/>
  <c r="DU96" i="48"/>
  <c r="AH131" i="48" l="1"/>
  <c r="AH779" i="48"/>
  <c r="AH635" i="48"/>
  <c r="AH827" i="48"/>
  <c r="AH347" i="48"/>
  <c r="AH899" i="48"/>
  <c r="AH1163" i="48"/>
  <c r="AH803" i="48"/>
  <c r="AH1331" i="48"/>
  <c r="AH659" i="48"/>
  <c r="AH731" i="48"/>
  <c r="AH251" i="48"/>
  <c r="AH1043" i="48"/>
  <c r="AH1067" i="48"/>
  <c r="AH923" i="48"/>
  <c r="AH587" i="48"/>
  <c r="AH539" i="48"/>
  <c r="AH515" i="48"/>
  <c r="AH1139" i="48"/>
  <c r="AH275" i="48"/>
  <c r="AH1019" i="48"/>
  <c r="AH323" i="48"/>
  <c r="AH1091" i="48"/>
  <c r="AH155" i="48"/>
  <c r="AH467" i="48"/>
  <c r="AH1235" i="48"/>
  <c r="AH971" i="48"/>
  <c r="AH1211" i="48"/>
  <c r="AH203" i="48"/>
  <c r="AH395" i="48"/>
  <c r="AH947" i="48"/>
  <c r="AH1259" i="48"/>
  <c r="AH371" i="48"/>
  <c r="AH1307" i="48"/>
  <c r="AH755" i="48"/>
  <c r="AH683" i="48"/>
  <c r="AH179" i="48"/>
  <c r="AH83" i="48"/>
  <c r="AH851" i="48"/>
  <c r="AH875" i="48"/>
  <c r="AH1283" i="48"/>
  <c r="AH995" i="48"/>
  <c r="AH227" i="48"/>
  <c r="AH1115" i="48"/>
  <c r="AH611" i="48"/>
  <c r="AH1187" i="48"/>
  <c r="AH491" i="48"/>
  <c r="AH419" i="48"/>
  <c r="AH443" i="48"/>
  <c r="AH707" i="48"/>
  <c r="AH563" i="48"/>
  <c r="AH299" i="48"/>
  <c r="AJ299" i="48" s="1"/>
  <c r="AH59" i="48"/>
  <c r="BD58" i="48"/>
  <c r="DU100" i="48"/>
  <c r="DW100" i="48" s="1"/>
  <c r="DU99" i="48"/>
  <c r="DW99" i="48" s="1"/>
  <c r="DU97" i="48"/>
  <c r="DW97" i="48" s="1"/>
  <c r="DU98" i="48"/>
  <c r="DW98" i="48" s="1"/>
  <c r="BT36" i="48" l="1"/>
  <c r="BS36" i="48"/>
  <c r="BU36" i="48"/>
  <c r="DP36" i="48" l="1"/>
  <c r="CN1325" i="48"/>
  <c r="CO1325" i="48" s="1"/>
  <c r="CN1323" i="48"/>
  <c r="CO1323" i="48" s="1"/>
  <c r="CN1321" i="48"/>
  <c r="CO1321" i="48" s="1"/>
  <c r="CN1319" i="48"/>
  <c r="CO1319" i="48" s="1"/>
  <c r="CN1317" i="48"/>
  <c r="CO1317" i="48" s="1"/>
  <c r="CN1313" i="48"/>
  <c r="CO1313" i="48" s="1"/>
  <c r="CN1309" i="48"/>
  <c r="CO1309" i="48" s="1"/>
  <c r="CQ1308" i="48"/>
  <c r="CN1304" i="48"/>
  <c r="CO1304" i="48" s="1"/>
  <c r="CN1303" i="48"/>
  <c r="CO1303" i="48" s="1"/>
  <c r="CN1300" i="48"/>
  <c r="CO1300" i="48" s="1"/>
  <c r="CN1299" i="48"/>
  <c r="CO1299" i="48" s="1"/>
  <c r="CN1296" i="48"/>
  <c r="CO1296" i="48" s="1"/>
  <c r="CN1295" i="48"/>
  <c r="CO1295" i="48" s="1"/>
  <c r="CN1292" i="48"/>
  <c r="CO1292" i="48" s="1"/>
  <c r="CN1291" i="48"/>
  <c r="CO1291" i="48" s="1"/>
  <c r="CN1290" i="48"/>
  <c r="CO1290" i="48" s="1"/>
  <c r="CN1287" i="48"/>
  <c r="CO1287" i="48" s="1"/>
  <c r="CN1286" i="48"/>
  <c r="CO1286" i="48" s="1"/>
  <c r="CQ1284" i="48"/>
  <c r="CN1279" i="48"/>
  <c r="CO1279" i="48" s="1"/>
  <c r="CN1275" i="48"/>
  <c r="CO1275" i="48" s="1"/>
  <c r="CN1271" i="48"/>
  <c r="CO1271" i="48" s="1"/>
  <c r="CN1267" i="48"/>
  <c r="CO1267" i="48" s="1"/>
  <c r="CN1264" i="48"/>
  <c r="CO1264" i="48" s="1"/>
  <c r="CN1263" i="48"/>
  <c r="CO1263" i="48" s="1"/>
  <c r="CQ1260" i="48"/>
  <c r="CN1255" i="48"/>
  <c r="CO1255" i="48" s="1"/>
  <c r="CN1254" i="48"/>
  <c r="CO1254" i="48" s="1"/>
  <c r="CN1251" i="48"/>
  <c r="CO1251" i="48" s="1"/>
  <c r="CN1250" i="48"/>
  <c r="CO1250" i="48" s="1"/>
  <c r="CN1247" i="48"/>
  <c r="CO1247" i="48" s="1"/>
  <c r="CN1246" i="48"/>
  <c r="CO1246" i="48" s="1"/>
  <c r="CN1243" i="48"/>
  <c r="CO1243" i="48" s="1"/>
  <c r="CN1242" i="48"/>
  <c r="CO1242" i="48" s="1"/>
  <c r="CN1238" i="48"/>
  <c r="CO1238" i="48" s="1"/>
  <c r="CQ1236" i="48"/>
  <c r="CN1230" i="48"/>
  <c r="CO1230" i="48" s="1"/>
  <c r="CN1229" i="48"/>
  <c r="CO1229" i="48" s="1"/>
  <c r="CN1227" i="48"/>
  <c r="CO1227" i="48" s="1"/>
  <c r="CN1226" i="48"/>
  <c r="CO1226" i="48" s="1"/>
  <c r="CN1222" i="48"/>
  <c r="CO1222" i="48" s="1"/>
  <c r="CN1219" i="48"/>
  <c r="CO1219" i="48" s="1"/>
  <c r="CN1218" i="48"/>
  <c r="CO1218" i="48" s="1"/>
  <c r="CN1215" i="48"/>
  <c r="CO1215" i="48" s="1"/>
  <c r="CN1214" i="48"/>
  <c r="CO1214" i="48" s="1"/>
  <c r="CQ1212" i="48"/>
  <c r="CN1207" i="48"/>
  <c r="CO1207" i="48" s="1"/>
  <c r="CN1205" i="48"/>
  <c r="CO1205" i="48" s="1"/>
  <c r="CN1203" i="48"/>
  <c r="CO1203" i="48" s="1"/>
  <c r="CN1200" i="48"/>
  <c r="CO1200" i="48" s="1"/>
  <c r="CN1199" i="48"/>
  <c r="CO1199" i="48" s="1"/>
  <c r="CN1191" i="48"/>
  <c r="CO1191" i="48" s="1"/>
  <c r="CQ1188" i="48"/>
  <c r="CN1166" i="48"/>
  <c r="CO1166" i="48" s="1"/>
  <c r="CQ1164" i="48"/>
  <c r="CN1160" i="48"/>
  <c r="CO1160" i="48" s="1"/>
  <c r="CO1159" i="48"/>
  <c r="CN1156" i="48"/>
  <c r="CO1156" i="48" s="1"/>
  <c r="CN1155" i="48"/>
  <c r="CO1155" i="48" s="1"/>
  <c r="CN1152" i="48"/>
  <c r="CO1152" i="48" s="1"/>
  <c r="CN1151" i="48"/>
  <c r="CO1151" i="48" s="1"/>
  <c r="CN1148" i="48"/>
  <c r="CO1148" i="48" s="1"/>
  <c r="CN1147" i="48"/>
  <c r="CO1147" i="48" s="1"/>
  <c r="CN1144" i="48"/>
  <c r="CO1144" i="48" s="1"/>
  <c r="CN1143" i="48"/>
  <c r="CO1143" i="48" s="1"/>
  <c r="CQ1140" i="48"/>
  <c r="CN1136" i="48"/>
  <c r="CO1136" i="48" s="1"/>
  <c r="CN1133" i="48"/>
  <c r="CO1133" i="48" s="1"/>
  <c r="CN1132" i="48"/>
  <c r="CO1132" i="48" s="1"/>
  <c r="CN1129" i="48"/>
  <c r="CO1129" i="48" s="1"/>
  <c r="CN1128" i="48"/>
  <c r="CO1128" i="48" s="1"/>
  <c r="CN1125" i="48"/>
  <c r="CO1125" i="48" s="1"/>
  <c r="CN1124" i="48"/>
  <c r="CO1124" i="48" s="1"/>
  <c r="CN1121" i="48"/>
  <c r="CO1121" i="48" s="1"/>
  <c r="CN1120" i="48"/>
  <c r="CO1120" i="48" s="1"/>
  <c r="CN1117" i="48"/>
  <c r="CO1117" i="48" s="1"/>
  <c r="CQ1116" i="48"/>
  <c r="CN1112" i="48"/>
  <c r="CO1112" i="48" s="1"/>
  <c r="CN1110" i="48"/>
  <c r="CO1110" i="48" s="1"/>
  <c r="CN1108" i="48"/>
  <c r="CO1108" i="48" s="1"/>
  <c r="CN1106" i="48"/>
  <c r="CO1106" i="48" s="1"/>
  <c r="CN1104" i="48"/>
  <c r="CO1104" i="48" s="1"/>
  <c r="CN1102" i="48"/>
  <c r="CO1102" i="48" s="1"/>
  <c r="CN1100" i="48"/>
  <c r="CO1100" i="48" s="1"/>
  <c r="CN1098" i="48"/>
  <c r="CO1098" i="48" s="1"/>
  <c r="CN1096" i="48"/>
  <c r="CO1096" i="48" s="1"/>
  <c r="CN1094" i="48"/>
  <c r="CO1094" i="48" s="1"/>
  <c r="CQ1092" i="48"/>
  <c r="CN1087" i="48"/>
  <c r="CO1087" i="48" s="1"/>
  <c r="CN1085" i="48"/>
  <c r="CO1085" i="48" s="1"/>
  <c r="CN1084" i="48"/>
  <c r="CO1084" i="48" s="1"/>
  <c r="CN1083" i="48"/>
  <c r="CO1083" i="48" s="1"/>
  <c r="CN1080" i="48"/>
  <c r="CO1080" i="48" s="1"/>
  <c r="CN1078" i="48"/>
  <c r="CO1078" i="48" s="1"/>
  <c r="CN1076" i="48"/>
  <c r="CO1076" i="48" s="1"/>
  <c r="CQ1068" i="48"/>
  <c r="CQ1044" i="48"/>
  <c r="CQ1020" i="48"/>
  <c r="CQ996" i="48"/>
  <c r="CN991" i="48"/>
  <c r="CO991" i="48" s="1"/>
  <c r="CN987" i="48"/>
  <c r="CO987" i="48" s="1"/>
  <c r="CN985" i="48"/>
  <c r="CO985" i="48" s="1"/>
  <c r="CN981" i="48"/>
  <c r="CO981" i="48" s="1"/>
  <c r="CN977" i="48"/>
  <c r="CO977" i="48" s="1"/>
  <c r="CN973" i="48"/>
  <c r="CO973" i="48" s="1"/>
  <c r="CQ972" i="48"/>
  <c r="CN966" i="48"/>
  <c r="CO966" i="48" s="1"/>
  <c r="CN962" i="48"/>
  <c r="CO962" i="48" s="1"/>
  <c r="CN958" i="48"/>
  <c r="CO958" i="48" s="1"/>
  <c r="CN954" i="48"/>
  <c r="CO954" i="48" s="1"/>
  <c r="CN950" i="48"/>
  <c r="CO950" i="48" s="1"/>
  <c r="CQ948" i="48"/>
  <c r="CN943" i="48"/>
  <c r="CO943" i="48" s="1"/>
  <c r="CN939" i="48"/>
  <c r="CO939" i="48" s="1"/>
  <c r="CN935" i="48"/>
  <c r="CO935" i="48" s="1"/>
  <c r="CN932" i="48"/>
  <c r="CO932" i="48" s="1"/>
  <c r="CN931" i="48"/>
  <c r="CO931" i="48" s="1"/>
  <c r="CN927" i="48"/>
  <c r="CO927" i="48" s="1"/>
  <c r="CN925" i="48"/>
  <c r="CO925" i="48" s="1"/>
  <c r="CQ924" i="48"/>
  <c r="CQ900" i="48"/>
  <c r="CQ876" i="48"/>
  <c r="CQ852" i="48"/>
  <c r="CN848" i="48"/>
  <c r="CO848" i="48" s="1"/>
  <c r="CN845" i="48"/>
  <c r="CO845" i="48" s="1"/>
  <c r="CN844" i="48"/>
  <c r="CO844" i="48" s="1"/>
  <c r="CN841" i="48"/>
  <c r="CO841" i="48" s="1"/>
  <c r="CN840" i="48"/>
  <c r="CO840" i="48" s="1"/>
  <c r="CN837" i="48"/>
  <c r="CO837" i="48" s="1"/>
  <c r="CN836" i="48"/>
  <c r="CO836" i="48" s="1"/>
  <c r="CN833" i="48"/>
  <c r="CO833" i="48" s="1"/>
  <c r="CN832" i="48"/>
  <c r="CO832" i="48" s="1"/>
  <c r="CN829" i="48"/>
  <c r="CO829" i="48" s="1"/>
  <c r="CQ828" i="48"/>
  <c r="CN822" i="48"/>
  <c r="CO822" i="48" s="1"/>
  <c r="CN820" i="48"/>
  <c r="CO820" i="48" s="1"/>
  <c r="CN818" i="48"/>
  <c r="CO818" i="48" s="1"/>
  <c r="CN816" i="48"/>
  <c r="CO816" i="48" s="1"/>
  <c r="CN814" i="48"/>
  <c r="CO814" i="48" s="1"/>
  <c r="CN812" i="48"/>
  <c r="CO812" i="48" s="1"/>
  <c r="CN810" i="48"/>
  <c r="CO810" i="48" s="1"/>
  <c r="CN808" i="48"/>
  <c r="CO808" i="48" s="1"/>
  <c r="CN806" i="48"/>
  <c r="CO806" i="48" s="1"/>
  <c r="CQ804" i="48"/>
  <c r="CN799" i="48"/>
  <c r="CO799" i="48" s="1"/>
  <c r="CN797" i="48"/>
  <c r="CO797" i="48" s="1"/>
  <c r="CN795" i="48"/>
  <c r="CO795" i="48" s="1"/>
  <c r="CN793" i="48"/>
  <c r="CO793" i="48" s="1"/>
  <c r="CN791" i="48"/>
  <c r="CO791" i="48" s="1"/>
  <c r="CN789" i="48"/>
  <c r="CO789" i="48" s="1"/>
  <c r="CN787" i="48"/>
  <c r="CO787" i="48" s="1"/>
  <c r="CN785" i="48"/>
  <c r="CO785" i="48" s="1"/>
  <c r="CN783" i="48"/>
  <c r="CO783" i="48" s="1"/>
  <c r="CQ780" i="48"/>
  <c r="CN770" i="48"/>
  <c r="CO770" i="48" s="1"/>
  <c r="CN766" i="48"/>
  <c r="CO766" i="48" s="1"/>
  <c r="CN762" i="48"/>
  <c r="CO762" i="48" s="1"/>
  <c r="CN758" i="48"/>
  <c r="CO758" i="48" s="1"/>
  <c r="CQ756" i="48"/>
  <c r="CN751" i="48"/>
  <c r="CO751" i="48" s="1"/>
  <c r="CN747" i="48"/>
  <c r="CO747" i="48" s="1"/>
  <c r="CN743" i="48"/>
  <c r="CO743" i="48" s="1"/>
  <c r="CN739" i="48"/>
  <c r="CO739" i="48" s="1"/>
  <c r="CN735" i="48"/>
  <c r="CO735" i="48" s="1"/>
  <c r="CQ732" i="48"/>
  <c r="CN728" i="48"/>
  <c r="CO728" i="48" s="1"/>
  <c r="CQ708" i="48"/>
  <c r="CQ684" i="48"/>
  <c r="CN678" i="48"/>
  <c r="CO678" i="48" s="1"/>
  <c r="CN677" i="48"/>
  <c r="CO677" i="48" s="1"/>
  <c r="CN674" i="48"/>
  <c r="CO674" i="48" s="1"/>
  <c r="CN673" i="48"/>
  <c r="CO673" i="48" s="1"/>
  <c r="CN671" i="48"/>
  <c r="CO671" i="48" s="1"/>
  <c r="CN670" i="48"/>
  <c r="CO670" i="48" s="1"/>
  <c r="CN666" i="48"/>
  <c r="CO666" i="48" s="1"/>
  <c r="CN663" i="48"/>
  <c r="CO663" i="48" s="1"/>
  <c r="CN662" i="48"/>
  <c r="CO662" i="48" s="1"/>
  <c r="CN656" i="48"/>
  <c r="CO656" i="48" s="1"/>
  <c r="CN655" i="48"/>
  <c r="CO655" i="48" s="1"/>
  <c r="CN651" i="48"/>
  <c r="CO651" i="48" s="1"/>
  <c r="CN648" i="48"/>
  <c r="CO648" i="48" s="1"/>
  <c r="CN647" i="48"/>
  <c r="CO647" i="48" s="1"/>
  <c r="CN644" i="48"/>
  <c r="CO644" i="48" s="1"/>
  <c r="CN643" i="48"/>
  <c r="CO643" i="48" s="1"/>
  <c r="CN640" i="48"/>
  <c r="CO640" i="48" s="1"/>
  <c r="CN639" i="48"/>
  <c r="CO639" i="48" s="1"/>
  <c r="CQ636" i="48"/>
  <c r="CN632" i="48"/>
  <c r="CO632" i="48" s="1"/>
  <c r="CN628" i="48"/>
  <c r="CO628" i="48" s="1"/>
  <c r="CN624" i="48"/>
  <c r="CO624" i="48" s="1"/>
  <c r="CN620" i="48"/>
  <c r="CO620" i="48" s="1"/>
  <c r="CN616" i="48"/>
  <c r="CO616" i="48" s="1"/>
  <c r="CQ612" i="48"/>
  <c r="CN605" i="48"/>
  <c r="CO605" i="48" s="1"/>
  <c r="CN601" i="48"/>
  <c r="CO601" i="48" s="1"/>
  <c r="CN597" i="48"/>
  <c r="CO597" i="48" s="1"/>
  <c r="CN593" i="48"/>
  <c r="CO593" i="48" s="1"/>
  <c r="CQ588" i="48"/>
  <c r="CQ564" i="48"/>
  <c r="CN545" i="48"/>
  <c r="CO545" i="48" s="1"/>
  <c r="CQ540" i="48"/>
  <c r="CQ516" i="48"/>
  <c r="CN512" i="48"/>
  <c r="CO512" i="48" s="1"/>
  <c r="CN510" i="48"/>
  <c r="CO510" i="48" s="1"/>
  <c r="CN508" i="48"/>
  <c r="CO508" i="48" s="1"/>
  <c r="CN506" i="48"/>
  <c r="CO506" i="48" s="1"/>
  <c r="CN504" i="48"/>
  <c r="CO504" i="48" s="1"/>
  <c r="CN502" i="48"/>
  <c r="CO502" i="48" s="1"/>
  <c r="CN500" i="48"/>
  <c r="CO500" i="48" s="1"/>
  <c r="CN498" i="48"/>
  <c r="CO498" i="48" s="1"/>
  <c r="CN496" i="48"/>
  <c r="CO496" i="48" s="1"/>
  <c r="CN494" i="48"/>
  <c r="CO494" i="48" s="1"/>
  <c r="CQ492" i="48"/>
  <c r="CN488" i="48"/>
  <c r="CO488" i="48" s="1"/>
  <c r="CN486" i="48"/>
  <c r="CO486" i="48" s="1"/>
  <c r="CN484" i="48"/>
  <c r="CO484" i="48" s="1"/>
  <c r="CN482" i="48"/>
  <c r="CO482" i="48" s="1"/>
  <c r="CN480" i="48"/>
  <c r="CO480" i="48" s="1"/>
  <c r="CN478" i="48"/>
  <c r="CO478" i="48" s="1"/>
  <c r="CN476" i="48"/>
  <c r="CO476" i="48" s="1"/>
  <c r="CN474" i="48"/>
  <c r="CO474" i="48" s="1"/>
  <c r="CN472" i="48"/>
  <c r="CO472" i="48" s="1"/>
  <c r="CN470" i="48"/>
  <c r="CO470" i="48" s="1"/>
  <c r="CQ468" i="48"/>
  <c r="CN463" i="48"/>
  <c r="CO463" i="48" s="1"/>
  <c r="CN461" i="48"/>
  <c r="CO461" i="48" s="1"/>
  <c r="CN459" i="48"/>
  <c r="CO459" i="48" s="1"/>
  <c r="CN457" i="48"/>
  <c r="CO457" i="48" s="1"/>
  <c r="CN455" i="48"/>
  <c r="CO455" i="48" s="1"/>
  <c r="CN453" i="48"/>
  <c r="CO453" i="48" s="1"/>
  <c r="CN451" i="48"/>
  <c r="CO451" i="48" s="1"/>
  <c r="CN449" i="48"/>
  <c r="CO449" i="48" s="1"/>
  <c r="CN447" i="48"/>
  <c r="CO447" i="48" s="1"/>
  <c r="CN445" i="48"/>
  <c r="CO445" i="48" s="1"/>
  <c r="CQ444" i="48"/>
  <c r="CN440" i="48"/>
  <c r="CO440" i="48" s="1"/>
  <c r="CN438" i="48"/>
  <c r="CO438" i="48" s="1"/>
  <c r="CN436" i="48"/>
  <c r="CO436" i="48" s="1"/>
  <c r="CN433" i="48"/>
  <c r="CO433" i="48" s="1"/>
  <c r="CN432" i="48"/>
  <c r="CO432" i="48" s="1"/>
  <c r="CN428" i="48"/>
  <c r="CO428" i="48" s="1"/>
  <c r="CN424" i="48"/>
  <c r="CO424" i="48" s="1"/>
  <c r="CQ420" i="48"/>
  <c r="CN413" i="48"/>
  <c r="CO413" i="48" s="1"/>
  <c r="CN409" i="48"/>
  <c r="CO409" i="48" s="1"/>
  <c r="CN405" i="48"/>
  <c r="CO405" i="48" s="1"/>
  <c r="CN400" i="48"/>
  <c r="CO400" i="48" s="1"/>
  <c r="CQ396" i="48"/>
  <c r="CN389" i="48"/>
  <c r="CO389" i="48" s="1"/>
  <c r="CN385" i="48"/>
  <c r="CO385" i="48" s="1"/>
  <c r="CN381" i="48"/>
  <c r="CO381" i="48" s="1"/>
  <c r="CN377" i="48"/>
  <c r="CO377" i="48" s="1"/>
  <c r="CN373" i="48"/>
  <c r="CO373" i="48" s="1"/>
  <c r="CQ372" i="48"/>
  <c r="CN366" i="48"/>
  <c r="CO366" i="48" s="1"/>
  <c r="CN362" i="48"/>
  <c r="CO362" i="48" s="1"/>
  <c r="CN359" i="48"/>
  <c r="CO359" i="48" s="1"/>
  <c r="CN358" i="48"/>
  <c r="CO358" i="48" s="1"/>
  <c r="CN354" i="48"/>
  <c r="CO354" i="48" s="1"/>
  <c r="CN350" i="48"/>
  <c r="CO350" i="48" s="1"/>
  <c r="CQ348" i="48"/>
  <c r="CN343" i="48"/>
  <c r="CO343" i="48" s="1"/>
  <c r="CN342" i="48"/>
  <c r="CO342" i="48" s="1"/>
  <c r="CN341" i="48"/>
  <c r="CO341" i="48" s="1"/>
  <c r="CN339" i="48"/>
  <c r="CO339" i="48" s="1"/>
  <c r="CN338" i="48"/>
  <c r="CO338" i="48" s="1"/>
  <c r="CN337" i="48"/>
  <c r="CO337" i="48" s="1"/>
  <c r="CN335" i="48"/>
  <c r="CO335" i="48" s="1"/>
  <c r="CN334" i="48"/>
  <c r="CO334" i="48" s="1"/>
  <c r="CN333" i="48"/>
  <c r="CO333" i="48" s="1"/>
  <c r="CN331" i="48"/>
  <c r="CO331" i="48" s="1"/>
  <c r="CN330" i="48"/>
  <c r="CO330" i="48" s="1"/>
  <c r="CN329" i="48"/>
  <c r="CO329" i="48" s="1"/>
  <c r="CN327" i="48"/>
  <c r="CO327" i="48" s="1"/>
  <c r="CN326" i="48"/>
  <c r="CO326" i="48" s="1"/>
  <c r="CN325" i="48"/>
  <c r="CO325" i="48" s="1"/>
  <c r="CQ324" i="48"/>
  <c r="CN320" i="48"/>
  <c r="CO320" i="48" s="1"/>
  <c r="CN319" i="48"/>
  <c r="CO319" i="48" s="1"/>
  <c r="CN316" i="48"/>
  <c r="CO316" i="48" s="1"/>
  <c r="CN315" i="48"/>
  <c r="CO315" i="48" s="1"/>
  <c r="CN312" i="48"/>
  <c r="CO312" i="48" s="1"/>
  <c r="CN311" i="48"/>
  <c r="CO311" i="48" s="1"/>
  <c r="CN308" i="48"/>
  <c r="CO308" i="48" s="1"/>
  <c r="CN307" i="48"/>
  <c r="CO307" i="48" s="1"/>
  <c r="CN304" i="48"/>
  <c r="CO304" i="48" s="1"/>
  <c r="CN303" i="48"/>
  <c r="CO303" i="48" s="1"/>
  <c r="CQ300" i="48"/>
  <c r="CN296" i="48"/>
  <c r="CO296" i="48" s="1"/>
  <c r="CN293" i="48"/>
  <c r="CO293" i="48" s="1"/>
  <c r="CN292" i="48"/>
  <c r="CO292" i="48" s="1"/>
  <c r="CN289" i="48"/>
  <c r="CO289" i="48" s="1"/>
  <c r="CN288" i="48"/>
  <c r="CO288" i="48" s="1"/>
  <c r="CN285" i="48"/>
  <c r="CO285" i="48" s="1"/>
  <c r="CN284" i="48"/>
  <c r="CO284" i="48" s="1"/>
  <c r="CN281" i="48"/>
  <c r="CO281" i="48" s="1"/>
  <c r="CN280" i="48"/>
  <c r="CO280" i="48" s="1"/>
  <c r="CN277" i="48"/>
  <c r="CO277" i="48" s="1"/>
  <c r="CQ276" i="48"/>
  <c r="CQ252" i="48"/>
  <c r="CQ228" i="48"/>
  <c r="CQ204" i="48"/>
  <c r="CQ180" i="48"/>
  <c r="CQ156" i="48"/>
  <c r="CN145" i="48"/>
  <c r="CO145" i="48" s="1"/>
  <c r="CN141" i="48"/>
  <c r="CO141" i="48" s="1"/>
  <c r="CN137" i="48"/>
  <c r="CO137" i="48" s="1"/>
  <c r="CN133" i="48"/>
  <c r="CO133" i="48" s="1"/>
  <c r="CQ132" i="48"/>
  <c r="CN126" i="48"/>
  <c r="CO126" i="48" s="1"/>
  <c r="CQ108" i="48"/>
  <c r="CQ84" i="48"/>
  <c r="CN77" i="48"/>
  <c r="CO77" i="48" s="1"/>
  <c r="CQ60" i="48"/>
  <c r="CN54" i="48"/>
  <c r="CO54" i="48" s="1"/>
  <c r="CN50" i="48"/>
  <c r="CO50" i="48" s="1"/>
  <c r="CN46" i="48"/>
  <c r="CO46" i="48" s="1"/>
  <c r="CN42" i="48"/>
  <c r="CO42" i="48" s="1"/>
  <c r="CN38" i="48"/>
  <c r="CO38" i="48" s="1"/>
  <c r="CQ36" i="48"/>
  <c r="V589" i="48" l="1"/>
  <c r="V253" i="48"/>
  <c r="V277" i="48"/>
  <c r="V421" i="48"/>
  <c r="V445" i="48"/>
  <c r="V637" i="48"/>
  <c r="V853" i="48"/>
  <c r="V997" i="48"/>
  <c r="V1285" i="48"/>
  <c r="V541" i="48"/>
  <c r="V1045" i="48"/>
  <c r="V517" i="48"/>
  <c r="V781" i="48"/>
  <c r="V877" i="48"/>
  <c r="V973" i="48"/>
  <c r="V1021" i="48"/>
  <c r="V1141" i="48"/>
  <c r="V1261" i="48"/>
  <c r="V901" i="48"/>
  <c r="V37" i="48"/>
  <c r="V85" i="48"/>
  <c r="V157" i="48"/>
  <c r="V301" i="48"/>
  <c r="V397" i="48"/>
  <c r="V469" i="48"/>
  <c r="V685" i="48"/>
  <c r="V805" i="48"/>
  <c r="V925" i="48"/>
  <c r="V949" i="48"/>
  <c r="V1069" i="48"/>
  <c r="V1093" i="48"/>
  <c r="V613" i="48"/>
  <c r="V109" i="48"/>
  <c r="V181" i="48"/>
  <c r="V565" i="48"/>
  <c r="V709" i="48"/>
  <c r="V757" i="48"/>
  <c r="V1165" i="48"/>
  <c r="V1309" i="48"/>
  <c r="V1213" i="48"/>
  <c r="V373" i="48"/>
  <c r="V829" i="48"/>
  <c r="V133" i="48"/>
  <c r="V229" i="48"/>
  <c r="V325" i="48"/>
  <c r="V349" i="48"/>
  <c r="V493" i="48"/>
  <c r="V733" i="48"/>
  <c r="V1117" i="48"/>
  <c r="V1189" i="48"/>
  <c r="V205" i="48"/>
  <c r="V1237" i="48"/>
  <c r="CN44" i="48"/>
  <c r="CO44" i="48" s="1"/>
  <c r="CN56" i="48"/>
  <c r="CO56" i="48" s="1"/>
  <c r="CN86" i="48"/>
  <c r="CO86" i="48" s="1"/>
  <c r="CN102" i="48"/>
  <c r="CO102" i="48" s="1"/>
  <c r="CN40" i="48"/>
  <c r="CO40" i="48" s="1"/>
  <c r="CN67" i="48"/>
  <c r="CO67" i="48" s="1"/>
  <c r="CN124" i="48"/>
  <c r="CO124" i="48" s="1"/>
  <c r="CN49" i="48"/>
  <c r="CO49" i="48" s="1"/>
  <c r="CN79" i="48"/>
  <c r="CO79" i="48" s="1"/>
  <c r="CN90" i="48"/>
  <c r="CO90" i="48" s="1"/>
  <c r="CN45" i="48"/>
  <c r="CO45" i="48" s="1"/>
  <c r="CN71" i="48"/>
  <c r="CO71" i="48" s="1"/>
  <c r="CN112" i="48"/>
  <c r="CO112" i="48" s="1"/>
  <c r="CN41" i="48"/>
  <c r="CO41" i="48" s="1"/>
  <c r="CN94" i="48"/>
  <c r="CO94" i="48" s="1"/>
  <c r="CN37" i="48"/>
  <c r="CO37" i="48" s="1"/>
  <c r="CN75" i="48"/>
  <c r="CO75" i="48" s="1"/>
  <c r="CN116" i="48"/>
  <c r="CO116" i="48" s="1"/>
  <c r="CN52" i="48"/>
  <c r="CO52" i="48" s="1"/>
  <c r="CN98" i="48"/>
  <c r="CO98" i="48" s="1"/>
  <c r="CN48" i="48"/>
  <c r="CO48" i="48" s="1"/>
  <c r="CN63" i="48"/>
  <c r="CO63" i="48" s="1"/>
  <c r="CN120" i="48"/>
  <c r="CO120" i="48" s="1"/>
  <c r="CN61" i="48"/>
  <c r="CO61" i="48" s="1"/>
  <c r="CN65" i="48"/>
  <c r="CO65" i="48" s="1"/>
  <c r="CN69" i="48"/>
  <c r="CO69" i="48" s="1"/>
  <c r="CN73" i="48"/>
  <c r="CO73" i="48" s="1"/>
  <c r="CN88" i="48"/>
  <c r="CO88" i="48" s="1"/>
  <c r="CN92" i="48"/>
  <c r="CO92" i="48" s="1"/>
  <c r="CN96" i="48"/>
  <c r="CO96" i="48" s="1"/>
  <c r="CN100" i="48"/>
  <c r="CO100" i="48" s="1"/>
  <c r="CN104" i="48"/>
  <c r="CO104" i="48" s="1"/>
  <c r="CN110" i="48"/>
  <c r="CO110" i="48" s="1"/>
  <c r="CN114" i="48"/>
  <c r="CO114" i="48" s="1"/>
  <c r="CN118" i="48"/>
  <c r="CO118" i="48" s="1"/>
  <c r="CN122" i="48"/>
  <c r="CO122" i="48" s="1"/>
  <c r="CN149" i="48"/>
  <c r="CO149" i="48" s="1"/>
  <c r="CN160" i="48"/>
  <c r="CO160" i="48" s="1"/>
  <c r="CN164" i="48"/>
  <c r="CO164" i="48" s="1"/>
  <c r="CN168" i="48"/>
  <c r="CO168" i="48" s="1"/>
  <c r="CN172" i="48"/>
  <c r="CO172" i="48" s="1"/>
  <c r="CN176" i="48"/>
  <c r="CO176" i="48" s="1"/>
  <c r="CN183" i="48"/>
  <c r="CO183" i="48" s="1"/>
  <c r="CN187" i="48"/>
  <c r="CO187" i="48" s="1"/>
  <c r="CN191" i="48"/>
  <c r="CO191" i="48" s="1"/>
  <c r="CN195" i="48"/>
  <c r="CO195" i="48" s="1"/>
  <c r="CN199" i="48"/>
  <c r="CO199" i="48" s="1"/>
  <c r="CN206" i="48"/>
  <c r="CO206" i="48" s="1"/>
  <c r="CN210" i="48"/>
  <c r="CO210" i="48" s="1"/>
  <c r="CN214" i="48"/>
  <c r="CO214" i="48" s="1"/>
  <c r="CN218" i="48"/>
  <c r="CO218" i="48" s="1"/>
  <c r="CN222" i="48"/>
  <c r="CO222" i="48" s="1"/>
  <c r="CN229" i="48"/>
  <c r="CO229" i="48" s="1"/>
  <c r="CN233" i="48"/>
  <c r="CO233" i="48" s="1"/>
  <c r="CN237" i="48"/>
  <c r="CO237" i="48" s="1"/>
  <c r="CN241" i="48"/>
  <c r="CO241" i="48" s="1"/>
  <c r="CN245" i="48"/>
  <c r="CO245" i="48" s="1"/>
  <c r="CN256" i="48"/>
  <c r="CO256" i="48" s="1"/>
  <c r="CN260" i="48"/>
  <c r="CO260" i="48" s="1"/>
  <c r="CN264" i="48"/>
  <c r="CO264" i="48" s="1"/>
  <c r="CN268" i="48"/>
  <c r="CO268" i="48" s="1"/>
  <c r="CN39" i="48"/>
  <c r="CO39" i="48" s="1"/>
  <c r="CN43" i="48"/>
  <c r="CO43" i="48" s="1"/>
  <c r="CN47" i="48"/>
  <c r="CO47" i="48" s="1"/>
  <c r="CN51" i="48"/>
  <c r="CO51" i="48" s="1"/>
  <c r="CN55" i="48"/>
  <c r="CO55" i="48" s="1"/>
  <c r="CN62" i="48"/>
  <c r="CO62" i="48" s="1"/>
  <c r="CN66" i="48"/>
  <c r="CO66" i="48" s="1"/>
  <c r="CN70" i="48"/>
  <c r="CO70" i="48" s="1"/>
  <c r="CN74" i="48"/>
  <c r="CO74" i="48" s="1"/>
  <c r="CN78" i="48"/>
  <c r="CO78" i="48" s="1"/>
  <c r="CN85" i="48"/>
  <c r="CO85" i="48" s="1"/>
  <c r="CN89" i="48"/>
  <c r="CO89" i="48" s="1"/>
  <c r="CN93" i="48"/>
  <c r="CO93" i="48" s="1"/>
  <c r="CN97" i="48"/>
  <c r="CO97" i="48" s="1"/>
  <c r="CN101" i="48"/>
  <c r="CO101" i="48" s="1"/>
  <c r="CN111" i="48"/>
  <c r="CO111" i="48" s="1"/>
  <c r="CN115" i="48"/>
  <c r="CO115" i="48" s="1"/>
  <c r="CN119" i="48"/>
  <c r="CO119" i="48" s="1"/>
  <c r="CN123" i="48"/>
  <c r="CO123" i="48" s="1"/>
  <c r="CN127" i="48"/>
  <c r="CO127" i="48" s="1"/>
  <c r="CN134" i="48"/>
  <c r="CO134" i="48" s="1"/>
  <c r="CN138" i="48"/>
  <c r="CO138" i="48" s="1"/>
  <c r="CN142" i="48"/>
  <c r="CO142" i="48" s="1"/>
  <c r="CN146" i="48"/>
  <c r="CO146" i="48" s="1"/>
  <c r="CN150" i="48"/>
  <c r="CO150" i="48" s="1"/>
  <c r="CN157" i="48"/>
  <c r="CO157" i="48" s="1"/>
  <c r="CN161" i="48"/>
  <c r="CO161" i="48" s="1"/>
  <c r="CN165" i="48"/>
  <c r="CO165" i="48" s="1"/>
  <c r="CN169" i="48"/>
  <c r="CO169" i="48" s="1"/>
  <c r="CN173" i="48"/>
  <c r="CO173" i="48" s="1"/>
  <c r="CN184" i="48"/>
  <c r="CO184" i="48" s="1"/>
  <c r="CN188" i="48"/>
  <c r="CO188" i="48" s="1"/>
  <c r="CN192" i="48"/>
  <c r="CO192" i="48" s="1"/>
  <c r="CN196" i="48"/>
  <c r="CO196" i="48" s="1"/>
  <c r="CN200" i="48"/>
  <c r="CO200" i="48" s="1"/>
  <c r="CN207" i="48"/>
  <c r="CO207" i="48" s="1"/>
  <c r="CN211" i="48"/>
  <c r="CO211" i="48" s="1"/>
  <c r="CN215" i="48"/>
  <c r="CO215" i="48" s="1"/>
  <c r="CN219" i="48"/>
  <c r="CO219" i="48" s="1"/>
  <c r="CN223" i="48"/>
  <c r="CO223" i="48" s="1"/>
  <c r="CN230" i="48"/>
  <c r="CO230" i="48" s="1"/>
  <c r="CN234" i="48"/>
  <c r="CO234" i="48" s="1"/>
  <c r="CN238" i="48"/>
  <c r="CO238" i="48" s="1"/>
  <c r="CN242" i="48"/>
  <c r="CO242" i="48" s="1"/>
  <c r="CN246" i="48"/>
  <c r="CO246" i="48" s="1"/>
  <c r="CN253" i="48"/>
  <c r="CO253" i="48" s="1"/>
  <c r="CN257" i="48"/>
  <c r="CO257" i="48" s="1"/>
  <c r="CN261" i="48"/>
  <c r="CO261" i="48" s="1"/>
  <c r="CN265" i="48"/>
  <c r="CO265" i="48" s="1"/>
  <c r="CN269" i="48"/>
  <c r="CO269" i="48" s="1"/>
  <c r="CN128" i="48"/>
  <c r="CO128" i="48" s="1"/>
  <c r="CN135" i="48"/>
  <c r="CO135" i="48" s="1"/>
  <c r="CN139" i="48"/>
  <c r="CO139" i="48" s="1"/>
  <c r="CN143" i="48"/>
  <c r="CO143" i="48" s="1"/>
  <c r="CN147" i="48"/>
  <c r="CO147" i="48" s="1"/>
  <c r="CN151" i="48"/>
  <c r="CO151" i="48" s="1"/>
  <c r="CN158" i="48"/>
  <c r="CO158" i="48" s="1"/>
  <c r="CN162" i="48"/>
  <c r="CO162" i="48" s="1"/>
  <c r="CN166" i="48"/>
  <c r="CO166" i="48" s="1"/>
  <c r="CN170" i="48"/>
  <c r="CO170" i="48" s="1"/>
  <c r="CN174" i="48"/>
  <c r="CO174" i="48" s="1"/>
  <c r="CN181" i="48"/>
  <c r="CO181" i="48" s="1"/>
  <c r="CN185" i="48"/>
  <c r="CO185" i="48" s="1"/>
  <c r="CN189" i="48"/>
  <c r="CO189" i="48" s="1"/>
  <c r="CN193" i="48"/>
  <c r="CO193" i="48" s="1"/>
  <c r="CN197" i="48"/>
  <c r="CO197" i="48" s="1"/>
  <c r="CN208" i="48"/>
  <c r="CO208" i="48" s="1"/>
  <c r="CN212" i="48"/>
  <c r="CO212" i="48" s="1"/>
  <c r="CN216" i="48"/>
  <c r="CO216" i="48" s="1"/>
  <c r="CN220" i="48"/>
  <c r="CO220" i="48" s="1"/>
  <c r="CN224" i="48"/>
  <c r="CO224" i="48" s="1"/>
  <c r="CN231" i="48"/>
  <c r="CO231" i="48" s="1"/>
  <c r="CN235" i="48"/>
  <c r="CO235" i="48" s="1"/>
  <c r="CN239" i="48"/>
  <c r="CO239" i="48" s="1"/>
  <c r="CN243" i="48"/>
  <c r="CO243" i="48" s="1"/>
  <c r="CN247" i="48"/>
  <c r="CO247" i="48" s="1"/>
  <c r="CN254" i="48"/>
  <c r="CO254" i="48" s="1"/>
  <c r="CN258" i="48"/>
  <c r="CO258" i="48" s="1"/>
  <c r="CN262" i="48"/>
  <c r="CO262" i="48" s="1"/>
  <c r="CN266" i="48"/>
  <c r="CO266" i="48" s="1"/>
  <c r="CN270" i="48"/>
  <c r="CO270" i="48" s="1"/>
  <c r="CN53" i="48"/>
  <c r="CO53" i="48" s="1"/>
  <c r="CN64" i="48"/>
  <c r="CO64" i="48" s="1"/>
  <c r="CN68" i="48"/>
  <c r="CO68" i="48" s="1"/>
  <c r="CN72" i="48"/>
  <c r="CO72" i="48" s="1"/>
  <c r="CN76" i="48"/>
  <c r="CO76" i="48" s="1"/>
  <c r="CN80" i="48"/>
  <c r="CO80" i="48" s="1"/>
  <c r="CN87" i="48"/>
  <c r="CO87" i="48" s="1"/>
  <c r="CN91" i="48"/>
  <c r="CO91" i="48" s="1"/>
  <c r="CN95" i="48"/>
  <c r="CO95" i="48" s="1"/>
  <c r="CN99" i="48"/>
  <c r="CO99" i="48" s="1"/>
  <c r="CN103" i="48"/>
  <c r="CO103" i="48" s="1"/>
  <c r="CN109" i="48"/>
  <c r="CO109" i="48" s="1"/>
  <c r="CN113" i="48"/>
  <c r="CO113" i="48" s="1"/>
  <c r="CN117" i="48"/>
  <c r="CO117" i="48" s="1"/>
  <c r="CN121" i="48"/>
  <c r="CO121" i="48" s="1"/>
  <c r="CN125" i="48"/>
  <c r="CO125" i="48" s="1"/>
  <c r="CN136" i="48"/>
  <c r="CO136" i="48" s="1"/>
  <c r="CN140" i="48"/>
  <c r="CO140" i="48" s="1"/>
  <c r="CN144" i="48"/>
  <c r="CO144" i="48" s="1"/>
  <c r="CN148" i="48"/>
  <c r="CO148" i="48" s="1"/>
  <c r="CN152" i="48"/>
  <c r="CO152" i="48" s="1"/>
  <c r="CN159" i="48"/>
  <c r="CO159" i="48" s="1"/>
  <c r="CN163" i="48"/>
  <c r="CO163" i="48" s="1"/>
  <c r="CN167" i="48"/>
  <c r="CO167" i="48" s="1"/>
  <c r="CN171" i="48"/>
  <c r="CO171" i="48" s="1"/>
  <c r="CN175" i="48"/>
  <c r="CO175" i="48" s="1"/>
  <c r="CN182" i="48"/>
  <c r="CO182" i="48" s="1"/>
  <c r="CN186" i="48"/>
  <c r="CO186" i="48" s="1"/>
  <c r="CN190" i="48"/>
  <c r="CO190" i="48" s="1"/>
  <c r="CN194" i="48"/>
  <c r="CO194" i="48" s="1"/>
  <c r="CN198" i="48"/>
  <c r="CO198" i="48" s="1"/>
  <c r="CN205" i="48"/>
  <c r="CO205" i="48" s="1"/>
  <c r="CN209" i="48"/>
  <c r="CO209" i="48" s="1"/>
  <c r="CN213" i="48"/>
  <c r="CO213" i="48" s="1"/>
  <c r="CN217" i="48"/>
  <c r="CO217" i="48" s="1"/>
  <c r="CN221" i="48"/>
  <c r="CO221" i="48" s="1"/>
  <c r="CN232" i="48"/>
  <c r="CO232" i="48" s="1"/>
  <c r="CN236" i="48"/>
  <c r="CO236" i="48" s="1"/>
  <c r="CN240" i="48"/>
  <c r="CO240" i="48" s="1"/>
  <c r="CN244" i="48"/>
  <c r="CO244" i="48" s="1"/>
  <c r="CN248" i="48"/>
  <c r="CO248" i="48" s="1"/>
  <c r="CN255" i="48"/>
  <c r="CO255" i="48" s="1"/>
  <c r="CN259" i="48"/>
  <c r="CO259" i="48" s="1"/>
  <c r="CN263" i="48"/>
  <c r="CO263" i="48" s="1"/>
  <c r="CN267" i="48"/>
  <c r="CO267" i="48" s="1"/>
  <c r="CN271" i="48"/>
  <c r="CO271" i="48" s="1"/>
  <c r="CN272" i="48"/>
  <c r="CO272" i="48" s="1"/>
  <c r="CN278" i="48"/>
  <c r="CO278" i="48" s="1"/>
  <c r="CN282" i="48"/>
  <c r="CO282" i="48" s="1"/>
  <c r="CN286" i="48"/>
  <c r="CO286" i="48" s="1"/>
  <c r="CN290" i="48"/>
  <c r="CO290" i="48" s="1"/>
  <c r="CN294" i="48"/>
  <c r="CO294" i="48" s="1"/>
  <c r="CN301" i="48"/>
  <c r="CO301" i="48" s="1"/>
  <c r="CN305" i="48"/>
  <c r="CO305" i="48" s="1"/>
  <c r="CN309" i="48"/>
  <c r="CO309" i="48" s="1"/>
  <c r="CN313" i="48"/>
  <c r="CO313" i="48" s="1"/>
  <c r="CN317" i="48"/>
  <c r="CO317" i="48" s="1"/>
  <c r="CN328" i="48"/>
  <c r="CO328" i="48" s="1"/>
  <c r="CN332" i="48"/>
  <c r="CO332" i="48" s="1"/>
  <c r="CN336" i="48"/>
  <c r="CO336" i="48" s="1"/>
  <c r="CN340" i="48"/>
  <c r="CO340" i="48" s="1"/>
  <c r="CN344" i="48"/>
  <c r="CO344" i="48" s="1"/>
  <c r="CN279" i="48"/>
  <c r="CO279" i="48" s="1"/>
  <c r="CN283" i="48"/>
  <c r="CO283" i="48" s="1"/>
  <c r="CN287" i="48"/>
  <c r="CO287" i="48" s="1"/>
  <c r="CN291" i="48"/>
  <c r="CO291" i="48" s="1"/>
  <c r="CN295" i="48"/>
  <c r="CO295" i="48" s="1"/>
  <c r="CN302" i="48"/>
  <c r="CO302" i="48" s="1"/>
  <c r="CN306" i="48"/>
  <c r="CO306" i="48" s="1"/>
  <c r="CN310" i="48"/>
  <c r="CO310" i="48" s="1"/>
  <c r="CN314" i="48"/>
  <c r="CO314" i="48" s="1"/>
  <c r="CN318" i="48"/>
  <c r="CO318" i="48" s="1"/>
  <c r="CN349" i="48"/>
  <c r="CO349" i="48" s="1"/>
  <c r="CN353" i="48"/>
  <c r="CO353" i="48" s="1"/>
  <c r="CN357" i="48"/>
  <c r="CO357" i="48" s="1"/>
  <c r="CN361" i="48"/>
  <c r="CO361" i="48" s="1"/>
  <c r="CN365" i="48"/>
  <c r="CO365" i="48" s="1"/>
  <c r="CN376" i="48"/>
  <c r="CO376" i="48" s="1"/>
  <c r="CN380" i="48"/>
  <c r="CO380" i="48" s="1"/>
  <c r="CN384" i="48"/>
  <c r="CO384" i="48" s="1"/>
  <c r="CN388" i="48"/>
  <c r="CO388" i="48" s="1"/>
  <c r="CN392" i="48"/>
  <c r="CO392" i="48" s="1"/>
  <c r="CN399" i="48"/>
  <c r="CO399" i="48" s="1"/>
  <c r="CN403" i="48"/>
  <c r="CO403" i="48" s="1"/>
  <c r="CN407" i="48"/>
  <c r="CO407" i="48" s="1"/>
  <c r="CN411" i="48"/>
  <c r="CO411" i="48" s="1"/>
  <c r="CN415" i="48"/>
  <c r="CO415" i="48" s="1"/>
  <c r="CN422" i="48"/>
  <c r="CO422" i="48" s="1"/>
  <c r="CN426" i="48"/>
  <c r="CO426" i="48" s="1"/>
  <c r="CN430" i="48"/>
  <c r="CO430" i="48" s="1"/>
  <c r="CN434" i="48"/>
  <c r="CO434" i="48" s="1"/>
  <c r="CN404" i="48"/>
  <c r="CO404" i="48" s="1"/>
  <c r="CN408" i="48"/>
  <c r="CO408" i="48" s="1"/>
  <c r="CN412" i="48"/>
  <c r="CO412" i="48" s="1"/>
  <c r="CN416" i="48"/>
  <c r="CO416" i="48" s="1"/>
  <c r="CN423" i="48"/>
  <c r="CO423" i="48" s="1"/>
  <c r="CN427" i="48"/>
  <c r="CO427" i="48" s="1"/>
  <c r="CN431" i="48"/>
  <c r="CO431" i="48" s="1"/>
  <c r="CN435" i="48"/>
  <c r="CO435" i="48" s="1"/>
  <c r="CN351" i="48"/>
  <c r="CO351" i="48" s="1"/>
  <c r="CN355" i="48"/>
  <c r="CO355" i="48" s="1"/>
  <c r="CN363" i="48"/>
  <c r="CO363" i="48" s="1"/>
  <c r="CN367" i="48"/>
  <c r="CO367" i="48" s="1"/>
  <c r="CN374" i="48"/>
  <c r="CO374" i="48" s="1"/>
  <c r="CN378" i="48"/>
  <c r="CO378" i="48" s="1"/>
  <c r="CN382" i="48"/>
  <c r="CO382" i="48" s="1"/>
  <c r="CN386" i="48"/>
  <c r="CO386" i="48" s="1"/>
  <c r="CN390" i="48"/>
  <c r="CO390" i="48" s="1"/>
  <c r="CN397" i="48"/>
  <c r="CO397" i="48" s="1"/>
  <c r="CN401" i="48"/>
  <c r="CO401" i="48" s="1"/>
  <c r="CN352" i="48"/>
  <c r="CO352" i="48" s="1"/>
  <c r="CN356" i="48"/>
  <c r="CO356" i="48" s="1"/>
  <c r="CN360" i="48"/>
  <c r="CO360" i="48" s="1"/>
  <c r="CN364" i="48"/>
  <c r="CO364" i="48" s="1"/>
  <c r="CN368" i="48"/>
  <c r="CO368" i="48" s="1"/>
  <c r="CN375" i="48"/>
  <c r="CO375" i="48" s="1"/>
  <c r="CN379" i="48"/>
  <c r="CO379" i="48" s="1"/>
  <c r="CN383" i="48"/>
  <c r="CO383" i="48" s="1"/>
  <c r="CN387" i="48"/>
  <c r="CO387" i="48" s="1"/>
  <c r="CN391" i="48"/>
  <c r="CO391" i="48" s="1"/>
  <c r="CN398" i="48"/>
  <c r="CO398" i="48" s="1"/>
  <c r="CN402" i="48"/>
  <c r="CO402" i="48" s="1"/>
  <c r="CN406" i="48"/>
  <c r="CO406" i="48" s="1"/>
  <c r="CN410" i="48"/>
  <c r="CO410" i="48" s="1"/>
  <c r="CN414" i="48"/>
  <c r="CO414" i="48" s="1"/>
  <c r="CN421" i="48"/>
  <c r="CO421" i="48" s="1"/>
  <c r="CN425" i="48"/>
  <c r="CO425" i="48" s="1"/>
  <c r="CN429" i="48"/>
  <c r="CO429" i="48" s="1"/>
  <c r="CN439" i="48"/>
  <c r="CO439" i="48" s="1"/>
  <c r="CN446" i="48"/>
  <c r="CO446" i="48" s="1"/>
  <c r="CN450" i="48"/>
  <c r="CO450" i="48" s="1"/>
  <c r="CN454" i="48"/>
  <c r="CO454" i="48" s="1"/>
  <c r="CN458" i="48"/>
  <c r="CO458" i="48" s="1"/>
  <c r="CN462" i="48"/>
  <c r="CO462" i="48" s="1"/>
  <c r="CN469" i="48"/>
  <c r="CO469" i="48" s="1"/>
  <c r="CN473" i="48"/>
  <c r="CO473" i="48" s="1"/>
  <c r="CN477" i="48"/>
  <c r="CO477" i="48" s="1"/>
  <c r="CN481" i="48"/>
  <c r="CO481" i="48" s="1"/>
  <c r="CN485" i="48"/>
  <c r="CO485" i="48" s="1"/>
  <c r="CN495" i="48"/>
  <c r="CO495" i="48" s="1"/>
  <c r="CN499" i="48"/>
  <c r="CO499" i="48" s="1"/>
  <c r="CN503" i="48"/>
  <c r="CO503" i="48" s="1"/>
  <c r="CN507" i="48"/>
  <c r="CO507" i="48" s="1"/>
  <c r="CN511" i="48"/>
  <c r="CO511" i="48" s="1"/>
  <c r="CN437" i="48"/>
  <c r="CO437" i="48" s="1"/>
  <c r="CN448" i="48"/>
  <c r="CO448" i="48" s="1"/>
  <c r="CN452" i="48"/>
  <c r="CO452" i="48" s="1"/>
  <c r="CN456" i="48"/>
  <c r="CO456" i="48" s="1"/>
  <c r="CN460" i="48"/>
  <c r="CO460" i="48" s="1"/>
  <c r="CN464" i="48"/>
  <c r="CO464" i="48" s="1"/>
  <c r="CN471" i="48"/>
  <c r="CO471" i="48" s="1"/>
  <c r="CN475" i="48"/>
  <c r="CO475" i="48" s="1"/>
  <c r="CN479" i="48"/>
  <c r="CO479" i="48" s="1"/>
  <c r="CN483" i="48"/>
  <c r="CO483" i="48" s="1"/>
  <c r="CN487" i="48"/>
  <c r="CO487" i="48" s="1"/>
  <c r="CN493" i="48"/>
  <c r="CO493" i="48" s="1"/>
  <c r="CN497" i="48"/>
  <c r="CO497" i="48" s="1"/>
  <c r="CN501" i="48"/>
  <c r="CO501" i="48" s="1"/>
  <c r="CN505" i="48"/>
  <c r="CO505" i="48" s="1"/>
  <c r="CN509" i="48"/>
  <c r="CO509" i="48" s="1"/>
  <c r="CN519" i="48"/>
  <c r="CO519" i="48" s="1"/>
  <c r="CN523" i="48"/>
  <c r="CO523" i="48" s="1"/>
  <c r="CN527" i="48"/>
  <c r="CO527" i="48" s="1"/>
  <c r="CN531" i="48"/>
  <c r="CO531" i="48" s="1"/>
  <c r="CN535" i="48"/>
  <c r="CO535" i="48" s="1"/>
  <c r="CN542" i="48"/>
  <c r="CO542" i="48" s="1"/>
  <c r="CN558" i="48"/>
  <c r="CO558" i="48" s="1"/>
  <c r="CN546" i="48"/>
  <c r="CO546" i="48" s="1"/>
  <c r="CN520" i="48"/>
  <c r="CO520" i="48" s="1"/>
  <c r="CN524" i="48"/>
  <c r="CO524" i="48" s="1"/>
  <c r="CN528" i="48"/>
  <c r="CO528" i="48" s="1"/>
  <c r="CN532" i="48"/>
  <c r="CO532" i="48" s="1"/>
  <c r="CN536" i="48"/>
  <c r="CO536" i="48" s="1"/>
  <c r="CN543" i="48"/>
  <c r="CO543" i="48" s="1"/>
  <c r="CN547" i="48"/>
  <c r="CO547" i="48" s="1"/>
  <c r="CN548" i="48"/>
  <c r="CO548" i="48" s="1"/>
  <c r="CN549" i="48"/>
  <c r="CO549" i="48" s="1"/>
  <c r="CN550" i="48"/>
  <c r="CO550" i="48" s="1"/>
  <c r="CN551" i="48"/>
  <c r="CO551" i="48" s="1"/>
  <c r="CN552" i="48"/>
  <c r="CO552" i="48" s="1"/>
  <c r="CN553" i="48"/>
  <c r="CO553" i="48" s="1"/>
  <c r="CN554" i="48"/>
  <c r="CO554" i="48" s="1"/>
  <c r="CN555" i="48"/>
  <c r="CO555" i="48" s="1"/>
  <c r="CN556" i="48"/>
  <c r="CO556" i="48" s="1"/>
  <c r="CN557" i="48"/>
  <c r="CO557" i="48" s="1"/>
  <c r="CN560" i="48"/>
  <c r="CO560" i="48" s="1"/>
  <c r="CN517" i="48"/>
  <c r="CO517" i="48" s="1"/>
  <c r="CN521" i="48"/>
  <c r="CO521" i="48" s="1"/>
  <c r="CN525" i="48"/>
  <c r="CO525" i="48" s="1"/>
  <c r="CN529" i="48"/>
  <c r="CO529" i="48" s="1"/>
  <c r="CN533" i="48"/>
  <c r="CO533" i="48" s="1"/>
  <c r="CN544" i="48"/>
  <c r="CO544" i="48" s="1"/>
  <c r="CN518" i="48"/>
  <c r="CO518" i="48" s="1"/>
  <c r="CN522" i="48"/>
  <c r="CO522" i="48" s="1"/>
  <c r="CN526" i="48"/>
  <c r="CO526" i="48" s="1"/>
  <c r="CN530" i="48"/>
  <c r="CO530" i="48" s="1"/>
  <c r="CN534" i="48"/>
  <c r="CO534" i="48" s="1"/>
  <c r="CN541" i="48"/>
  <c r="CO541" i="48" s="1"/>
  <c r="CN567" i="48"/>
  <c r="CO567" i="48" s="1"/>
  <c r="CN571" i="48"/>
  <c r="CO571" i="48" s="1"/>
  <c r="CN575" i="48"/>
  <c r="CO575" i="48" s="1"/>
  <c r="CN579" i="48"/>
  <c r="CO579" i="48" s="1"/>
  <c r="CN583" i="48"/>
  <c r="CO583" i="48" s="1"/>
  <c r="CN590" i="48"/>
  <c r="CO590" i="48" s="1"/>
  <c r="CN594" i="48"/>
  <c r="CO594" i="48" s="1"/>
  <c r="CN598" i="48"/>
  <c r="CO598" i="48" s="1"/>
  <c r="CN602" i="48"/>
  <c r="CO602" i="48" s="1"/>
  <c r="CN606" i="48"/>
  <c r="CO606" i="48" s="1"/>
  <c r="CN613" i="48"/>
  <c r="CO613" i="48" s="1"/>
  <c r="CN617" i="48"/>
  <c r="CO617" i="48" s="1"/>
  <c r="CN621" i="48"/>
  <c r="CO621" i="48" s="1"/>
  <c r="CN625" i="48"/>
  <c r="CO625" i="48" s="1"/>
  <c r="CN629" i="48"/>
  <c r="CO629" i="48" s="1"/>
  <c r="CN675" i="48"/>
  <c r="CO675" i="48" s="1"/>
  <c r="CN721" i="48"/>
  <c r="CO721" i="48" s="1"/>
  <c r="CN559" i="48"/>
  <c r="CO559" i="48" s="1"/>
  <c r="CN568" i="48"/>
  <c r="CO568" i="48" s="1"/>
  <c r="CN572" i="48"/>
  <c r="CO572" i="48" s="1"/>
  <c r="CN576" i="48"/>
  <c r="CO576" i="48" s="1"/>
  <c r="CN580" i="48"/>
  <c r="CO580" i="48" s="1"/>
  <c r="CN584" i="48"/>
  <c r="CO584" i="48" s="1"/>
  <c r="CN591" i="48"/>
  <c r="CO591" i="48" s="1"/>
  <c r="CN595" i="48"/>
  <c r="CO595" i="48" s="1"/>
  <c r="CN599" i="48"/>
  <c r="CO599" i="48" s="1"/>
  <c r="CN603" i="48"/>
  <c r="CO603" i="48" s="1"/>
  <c r="CN607" i="48"/>
  <c r="CO607" i="48" s="1"/>
  <c r="CN614" i="48"/>
  <c r="CO614" i="48" s="1"/>
  <c r="CN618" i="48"/>
  <c r="CO618" i="48" s="1"/>
  <c r="CN622" i="48"/>
  <c r="CO622" i="48" s="1"/>
  <c r="CN626" i="48"/>
  <c r="CO626" i="48" s="1"/>
  <c r="CN630" i="48"/>
  <c r="CO630" i="48" s="1"/>
  <c r="CN637" i="48"/>
  <c r="CO637" i="48" s="1"/>
  <c r="CN641" i="48"/>
  <c r="CO641" i="48" s="1"/>
  <c r="CN699" i="48"/>
  <c r="CO699" i="48" s="1"/>
  <c r="CN652" i="48"/>
  <c r="CO652" i="48" s="1"/>
  <c r="CN667" i="48"/>
  <c r="CO667" i="48" s="1"/>
  <c r="CN565" i="48"/>
  <c r="CO565" i="48" s="1"/>
  <c r="CN569" i="48"/>
  <c r="CO569" i="48" s="1"/>
  <c r="CN573" i="48"/>
  <c r="CO573" i="48" s="1"/>
  <c r="CN577" i="48"/>
  <c r="CO577" i="48" s="1"/>
  <c r="CN581" i="48"/>
  <c r="CO581" i="48" s="1"/>
  <c r="CN592" i="48"/>
  <c r="CO592" i="48" s="1"/>
  <c r="CN596" i="48"/>
  <c r="CO596" i="48" s="1"/>
  <c r="CN600" i="48"/>
  <c r="CO600" i="48" s="1"/>
  <c r="CN604" i="48"/>
  <c r="CO604" i="48" s="1"/>
  <c r="CN608" i="48"/>
  <c r="CO608" i="48" s="1"/>
  <c r="CN615" i="48"/>
  <c r="CO615" i="48" s="1"/>
  <c r="CN619" i="48"/>
  <c r="CO619" i="48" s="1"/>
  <c r="CN623" i="48"/>
  <c r="CO623" i="48" s="1"/>
  <c r="CN627" i="48"/>
  <c r="CO627" i="48" s="1"/>
  <c r="CN631" i="48"/>
  <c r="CO631" i="48" s="1"/>
  <c r="CN686" i="48"/>
  <c r="CO686" i="48" s="1"/>
  <c r="CN695" i="48"/>
  <c r="CO695" i="48" s="1"/>
  <c r="CN566" i="48"/>
  <c r="CO566" i="48" s="1"/>
  <c r="CN570" i="48"/>
  <c r="CO570" i="48" s="1"/>
  <c r="CN574" i="48"/>
  <c r="CO574" i="48" s="1"/>
  <c r="CN578" i="48"/>
  <c r="CO578" i="48" s="1"/>
  <c r="CN582" i="48"/>
  <c r="CO582" i="48" s="1"/>
  <c r="CN589" i="48"/>
  <c r="CO589" i="48" s="1"/>
  <c r="CN702" i="48"/>
  <c r="CO702" i="48" s="1"/>
  <c r="CN642" i="48"/>
  <c r="CO642" i="48" s="1"/>
  <c r="CN638" i="48"/>
  <c r="CO638" i="48" s="1"/>
  <c r="CN646" i="48"/>
  <c r="CO646" i="48" s="1"/>
  <c r="CN650" i="48"/>
  <c r="CO650" i="48" s="1"/>
  <c r="CN654" i="48"/>
  <c r="CO654" i="48" s="1"/>
  <c r="CN661" i="48"/>
  <c r="CO661" i="48" s="1"/>
  <c r="CN665" i="48"/>
  <c r="CO665" i="48" s="1"/>
  <c r="CN669" i="48"/>
  <c r="CO669" i="48" s="1"/>
  <c r="CN687" i="48"/>
  <c r="CO687" i="48" s="1"/>
  <c r="CN690" i="48"/>
  <c r="CO690" i="48" s="1"/>
  <c r="CN703" i="48"/>
  <c r="CO703" i="48" s="1"/>
  <c r="CN711" i="48"/>
  <c r="CO711" i="48" s="1"/>
  <c r="CN752" i="48"/>
  <c r="CO752" i="48" s="1"/>
  <c r="CN696" i="48"/>
  <c r="CO696" i="48" s="1"/>
  <c r="CN714" i="48"/>
  <c r="CO714" i="48" s="1"/>
  <c r="CN717" i="48"/>
  <c r="CO717" i="48" s="1"/>
  <c r="CN740" i="48"/>
  <c r="CO740" i="48" s="1"/>
  <c r="CN763" i="48"/>
  <c r="CO763" i="48" s="1"/>
  <c r="CN790" i="48"/>
  <c r="CO790" i="48" s="1"/>
  <c r="CN679" i="48"/>
  <c r="CO679" i="48" s="1"/>
  <c r="CN692" i="48"/>
  <c r="CO692" i="48" s="1"/>
  <c r="CN710" i="48"/>
  <c r="CO710" i="48" s="1"/>
  <c r="CN713" i="48"/>
  <c r="CO713" i="48" s="1"/>
  <c r="CN748" i="48"/>
  <c r="CO748" i="48" s="1"/>
  <c r="CN771" i="48"/>
  <c r="CO771" i="48" s="1"/>
  <c r="CN698" i="48"/>
  <c r="CO698" i="48" s="1"/>
  <c r="CN719" i="48"/>
  <c r="CO719" i="48" s="1"/>
  <c r="CN725" i="48"/>
  <c r="CO725" i="48" s="1"/>
  <c r="CN736" i="48"/>
  <c r="CO736" i="48" s="1"/>
  <c r="CN759" i="48"/>
  <c r="CO759" i="48" s="1"/>
  <c r="CN688" i="48"/>
  <c r="CO688" i="48" s="1"/>
  <c r="CN704" i="48"/>
  <c r="CO704" i="48" s="1"/>
  <c r="CN709" i="48"/>
  <c r="CO709" i="48" s="1"/>
  <c r="CN775" i="48"/>
  <c r="CO775" i="48" s="1"/>
  <c r="CN784" i="48"/>
  <c r="CO784" i="48" s="1"/>
  <c r="CN645" i="48"/>
  <c r="CO645" i="48" s="1"/>
  <c r="CN649" i="48"/>
  <c r="CO649" i="48" s="1"/>
  <c r="CN653" i="48"/>
  <c r="CO653" i="48" s="1"/>
  <c r="CN664" i="48"/>
  <c r="CO664" i="48" s="1"/>
  <c r="CN668" i="48"/>
  <c r="CO668" i="48" s="1"/>
  <c r="CN672" i="48"/>
  <c r="CO672" i="48" s="1"/>
  <c r="CN676" i="48"/>
  <c r="CO676" i="48" s="1"/>
  <c r="CN691" i="48"/>
  <c r="CO691" i="48" s="1"/>
  <c r="CN694" i="48"/>
  <c r="CO694" i="48" s="1"/>
  <c r="CN715" i="48"/>
  <c r="CO715" i="48" s="1"/>
  <c r="CN744" i="48"/>
  <c r="CO744" i="48" s="1"/>
  <c r="CN767" i="48"/>
  <c r="CO767" i="48" s="1"/>
  <c r="CN680" i="48"/>
  <c r="CO680" i="48" s="1"/>
  <c r="CN700" i="48"/>
  <c r="CO700" i="48" s="1"/>
  <c r="CN718" i="48"/>
  <c r="CO718" i="48" s="1"/>
  <c r="CN723" i="48"/>
  <c r="CO723" i="48" s="1"/>
  <c r="CN727" i="48"/>
  <c r="CO727" i="48" s="1"/>
  <c r="CN734" i="48"/>
  <c r="CO734" i="48" s="1"/>
  <c r="CN738" i="48"/>
  <c r="CO738" i="48" s="1"/>
  <c r="CN742" i="48"/>
  <c r="CO742" i="48" s="1"/>
  <c r="CN746" i="48"/>
  <c r="CO746" i="48" s="1"/>
  <c r="CN750" i="48"/>
  <c r="CO750" i="48" s="1"/>
  <c r="CN757" i="48"/>
  <c r="CO757" i="48" s="1"/>
  <c r="CN761" i="48"/>
  <c r="CO761" i="48" s="1"/>
  <c r="CN765" i="48"/>
  <c r="CO765" i="48" s="1"/>
  <c r="CN769" i="48"/>
  <c r="CO769" i="48" s="1"/>
  <c r="CN773" i="48"/>
  <c r="CO773" i="48" s="1"/>
  <c r="CN786" i="48"/>
  <c r="CO786" i="48" s="1"/>
  <c r="CN798" i="48"/>
  <c r="CO798" i="48" s="1"/>
  <c r="CN685" i="48"/>
  <c r="CO685" i="48" s="1"/>
  <c r="CN689" i="48"/>
  <c r="CO689" i="48" s="1"/>
  <c r="CN693" i="48"/>
  <c r="CO693" i="48" s="1"/>
  <c r="CN697" i="48"/>
  <c r="CO697" i="48" s="1"/>
  <c r="CN701" i="48"/>
  <c r="CO701" i="48" s="1"/>
  <c r="CN712" i="48"/>
  <c r="CO712" i="48" s="1"/>
  <c r="CN716" i="48"/>
  <c r="CO716" i="48" s="1"/>
  <c r="CN720" i="48"/>
  <c r="CO720" i="48" s="1"/>
  <c r="CN724" i="48"/>
  <c r="CO724" i="48" s="1"/>
  <c r="CN774" i="48"/>
  <c r="CO774" i="48" s="1"/>
  <c r="CN781" i="48"/>
  <c r="CO781" i="48" s="1"/>
  <c r="CN794" i="48"/>
  <c r="CO794" i="48" s="1"/>
  <c r="CN782" i="48"/>
  <c r="CO782" i="48" s="1"/>
  <c r="CN722" i="48"/>
  <c r="CO722" i="48" s="1"/>
  <c r="CN726" i="48"/>
  <c r="CO726" i="48" s="1"/>
  <c r="CN733" i="48"/>
  <c r="CO733" i="48" s="1"/>
  <c r="CN737" i="48"/>
  <c r="CO737" i="48" s="1"/>
  <c r="CN741" i="48"/>
  <c r="CO741" i="48" s="1"/>
  <c r="CN745" i="48"/>
  <c r="CO745" i="48" s="1"/>
  <c r="CN749" i="48"/>
  <c r="CO749" i="48" s="1"/>
  <c r="CN760" i="48"/>
  <c r="CO760" i="48" s="1"/>
  <c r="CN764" i="48"/>
  <c r="CO764" i="48" s="1"/>
  <c r="CN768" i="48"/>
  <c r="CO768" i="48" s="1"/>
  <c r="CN772" i="48"/>
  <c r="CO772" i="48" s="1"/>
  <c r="CN776" i="48"/>
  <c r="CO776" i="48" s="1"/>
  <c r="CN871" i="48"/>
  <c r="CO871" i="48" s="1"/>
  <c r="CN788" i="48"/>
  <c r="CO788" i="48" s="1"/>
  <c r="CN792" i="48"/>
  <c r="CO792" i="48" s="1"/>
  <c r="CN796" i="48"/>
  <c r="CO796" i="48" s="1"/>
  <c r="CN800" i="48"/>
  <c r="CO800" i="48" s="1"/>
  <c r="CN805" i="48"/>
  <c r="CO805" i="48" s="1"/>
  <c r="CN809" i="48"/>
  <c r="CO809" i="48" s="1"/>
  <c r="CN813" i="48"/>
  <c r="CO813" i="48" s="1"/>
  <c r="CN817" i="48"/>
  <c r="CO817" i="48" s="1"/>
  <c r="CN821" i="48"/>
  <c r="CO821" i="48" s="1"/>
  <c r="CN855" i="48"/>
  <c r="CO855" i="48" s="1"/>
  <c r="CN882" i="48"/>
  <c r="CO882" i="48" s="1"/>
  <c r="CN853" i="48"/>
  <c r="CO853" i="48" s="1"/>
  <c r="CN854" i="48"/>
  <c r="CO854" i="48" s="1"/>
  <c r="CN859" i="48"/>
  <c r="CO859" i="48" s="1"/>
  <c r="CN886" i="48"/>
  <c r="CO886" i="48" s="1"/>
  <c r="CN863" i="48"/>
  <c r="CO863" i="48" s="1"/>
  <c r="CN807" i="48"/>
  <c r="CO807" i="48" s="1"/>
  <c r="CN811" i="48"/>
  <c r="CO811" i="48" s="1"/>
  <c r="CN815" i="48"/>
  <c r="CO815" i="48" s="1"/>
  <c r="CN819" i="48"/>
  <c r="CO819" i="48" s="1"/>
  <c r="CN823" i="48"/>
  <c r="CO823" i="48" s="1"/>
  <c r="CN830" i="48"/>
  <c r="CO830" i="48" s="1"/>
  <c r="CN834" i="48"/>
  <c r="CO834" i="48" s="1"/>
  <c r="CN838" i="48"/>
  <c r="CO838" i="48" s="1"/>
  <c r="CN842" i="48"/>
  <c r="CO842" i="48" s="1"/>
  <c r="CN846" i="48"/>
  <c r="CO846" i="48" s="1"/>
  <c r="CN860" i="48"/>
  <c r="CO860" i="48" s="1"/>
  <c r="CN867" i="48"/>
  <c r="CO867" i="48" s="1"/>
  <c r="CN824" i="48"/>
  <c r="CO824" i="48" s="1"/>
  <c r="CN831" i="48"/>
  <c r="CO831" i="48" s="1"/>
  <c r="CN835" i="48"/>
  <c r="CO835" i="48" s="1"/>
  <c r="CN839" i="48"/>
  <c r="CO839" i="48" s="1"/>
  <c r="CN843" i="48"/>
  <c r="CO843" i="48" s="1"/>
  <c r="CN847" i="48"/>
  <c r="CO847" i="48" s="1"/>
  <c r="CN856" i="48"/>
  <c r="CO856" i="48" s="1"/>
  <c r="CN878" i="48"/>
  <c r="CO878" i="48" s="1"/>
  <c r="CN857" i="48"/>
  <c r="CO857" i="48" s="1"/>
  <c r="CN861" i="48"/>
  <c r="CO861" i="48" s="1"/>
  <c r="CN865" i="48"/>
  <c r="CO865" i="48" s="1"/>
  <c r="CN869" i="48"/>
  <c r="CO869" i="48" s="1"/>
  <c r="CN880" i="48"/>
  <c r="CO880" i="48" s="1"/>
  <c r="CN884" i="48"/>
  <c r="CO884" i="48" s="1"/>
  <c r="CN888" i="48"/>
  <c r="CO888" i="48" s="1"/>
  <c r="CN892" i="48"/>
  <c r="CO892" i="48" s="1"/>
  <c r="CN896" i="48"/>
  <c r="CO896" i="48" s="1"/>
  <c r="CN858" i="48"/>
  <c r="CO858" i="48" s="1"/>
  <c r="CN862" i="48"/>
  <c r="CO862" i="48" s="1"/>
  <c r="CN866" i="48"/>
  <c r="CO866" i="48" s="1"/>
  <c r="CN870" i="48"/>
  <c r="CO870" i="48" s="1"/>
  <c r="CN877" i="48"/>
  <c r="CO877" i="48" s="1"/>
  <c r="CN881" i="48"/>
  <c r="CO881" i="48" s="1"/>
  <c r="CN885" i="48"/>
  <c r="CO885" i="48" s="1"/>
  <c r="CN889" i="48"/>
  <c r="CO889" i="48" s="1"/>
  <c r="CN893" i="48"/>
  <c r="CO893" i="48" s="1"/>
  <c r="CN890" i="48"/>
  <c r="CO890" i="48" s="1"/>
  <c r="CN894" i="48"/>
  <c r="CO894" i="48" s="1"/>
  <c r="CN864" i="48"/>
  <c r="CO864" i="48" s="1"/>
  <c r="CN868" i="48"/>
  <c r="CO868" i="48" s="1"/>
  <c r="CN872" i="48"/>
  <c r="CO872" i="48" s="1"/>
  <c r="CN879" i="48"/>
  <c r="CO879" i="48" s="1"/>
  <c r="CN883" i="48"/>
  <c r="CO883" i="48" s="1"/>
  <c r="CN887" i="48"/>
  <c r="CO887" i="48" s="1"/>
  <c r="CN891" i="48"/>
  <c r="CO891" i="48" s="1"/>
  <c r="CN895" i="48"/>
  <c r="CO895" i="48" s="1"/>
  <c r="CN904" i="48"/>
  <c r="CO904" i="48" s="1"/>
  <c r="CN908" i="48"/>
  <c r="CO908" i="48" s="1"/>
  <c r="CN912" i="48"/>
  <c r="CO912" i="48" s="1"/>
  <c r="CN916" i="48"/>
  <c r="CO916" i="48" s="1"/>
  <c r="CN920" i="48"/>
  <c r="CO920" i="48" s="1"/>
  <c r="CN926" i="48"/>
  <c r="CO926" i="48" s="1"/>
  <c r="CN934" i="48"/>
  <c r="CO934" i="48" s="1"/>
  <c r="CN929" i="48"/>
  <c r="CO929" i="48" s="1"/>
  <c r="CN901" i="48"/>
  <c r="CO901" i="48" s="1"/>
  <c r="CN905" i="48"/>
  <c r="CO905" i="48" s="1"/>
  <c r="CN909" i="48"/>
  <c r="CO909" i="48" s="1"/>
  <c r="CN913" i="48"/>
  <c r="CO913" i="48" s="1"/>
  <c r="CN917" i="48"/>
  <c r="CO917" i="48" s="1"/>
  <c r="CN930" i="48"/>
  <c r="CO930" i="48" s="1"/>
  <c r="CN902" i="48"/>
  <c r="CO902" i="48" s="1"/>
  <c r="CN906" i="48"/>
  <c r="CO906" i="48" s="1"/>
  <c r="CN910" i="48"/>
  <c r="CO910" i="48" s="1"/>
  <c r="CN914" i="48"/>
  <c r="CO914" i="48" s="1"/>
  <c r="CN918" i="48"/>
  <c r="CO918" i="48" s="1"/>
  <c r="CN903" i="48"/>
  <c r="CO903" i="48" s="1"/>
  <c r="CN907" i="48"/>
  <c r="CO907" i="48" s="1"/>
  <c r="CN911" i="48"/>
  <c r="CO911" i="48" s="1"/>
  <c r="CN915" i="48"/>
  <c r="CO915" i="48" s="1"/>
  <c r="CN919" i="48"/>
  <c r="CO919" i="48" s="1"/>
  <c r="CN928" i="48"/>
  <c r="CO928" i="48" s="1"/>
  <c r="CN988" i="48"/>
  <c r="CO988" i="48" s="1"/>
  <c r="CN1011" i="48"/>
  <c r="CO1011" i="48" s="1"/>
  <c r="CN936" i="48"/>
  <c r="CO936" i="48" s="1"/>
  <c r="CN940" i="48"/>
  <c r="CO940" i="48" s="1"/>
  <c r="CN944" i="48"/>
  <c r="CO944" i="48" s="1"/>
  <c r="CN951" i="48"/>
  <c r="CO951" i="48" s="1"/>
  <c r="CN955" i="48"/>
  <c r="CO955" i="48" s="1"/>
  <c r="CN959" i="48"/>
  <c r="CO959" i="48" s="1"/>
  <c r="CN963" i="48"/>
  <c r="CO963" i="48" s="1"/>
  <c r="CN967" i="48"/>
  <c r="CO967" i="48" s="1"/>
  <c r="CN974" i="48"/>
  <c r="CO974" i="48" s="1"/>
  <c r="CN978" i="48"/>
  <c r="CO978" i="48" s="1"/>
  <c r="CN982" i="48"/>
  <c r="CO982" i="48" s="1"/>
  <c r="CN986" i="48"/>
  <c r="CO986" i="48" s="1"/>
  <c r="CN990" i="48"/>
  <c r="CO990" i="48" s="1"/>
  <c r="CN992" i="48"/>
  <c r="CO992" i="48" s="1"/>
  <c r="CN1010" i="48"/>
  <c r="CO1010" i="48" s="1"/>
  <c r="CN933" i="48"/>
  <c r="CO933" i="48" s="1"/>
  <c r="CN937" i="48"/>
  <c r="CO937" i="48" s="1"/>
  <c r="CN941" i="48"/>
  <c r="CO941" i="48" s="1"/>
  <c r="CN952" i="48"/>
  <c r="CO952" i="48" s="1"/>
  <c r="CN956" i="48"/>
  <c r="CO956" i="48" s="1"/>
  <c r="CN960" i="48"/>
  <c r="CO960" i="48" s="1"/>
  <c r="CN964" i="48"/>
  <c r="CO964" i="48" s="1"/>
  <c r="CN968" i="48"/>
  <c r="CO968" i="48" s="1"/>
  <c r="CN975" i="48"/>
  <c r="CO975" i="48" s="1"/>
  <c r="CN979" i="48"/>
  <c r="CO979" i="48" s="1"/>
  <c r="CN983" i="48"/>
  <c r="CO983" i="48" s="1"/>
  <c r="CN997" i="48"/>
  <c r="CO997" i="48" s="1"/>
  <c r="CN998" i="48"/>
  <c r="CO998" i="48" s="1"/>
  <c r="CN999" i="48"/>
  <c r="CO999" i="48" s="1"/>
  <c r="CO1000" i="48"/>
  <c r="CO1001" i="48"/>
  <c r="CN1002" i="48"/>
  <c r="CO1002" i="48" s="1"/>
  <c r="CN1003" i="48"/>
  <c r="CO1003" i="48" s="1"/>
  <c r="CN1004" i="48"/>
  <c r="CO1004" i="48" s="1"/>
  <c r="CN1005" i="48"/>
  <c r="CO1005" i="48" s="1"/>
  <c r="CN1006" i="48"/>
  <c r="CO1006" i="48" s="1"/>
  <c r="CN1007" i="48"/>
  <c r="CO1007" i="48" s="1"/>
  <c r="CN1008" i="48"/>
  <c r="CO1008" i="48" s="1"/>
  <c r="CN1012" i="48"/>
  <c r="CO1012" i="48" s="1"/>
  <c r="CN938" i="48"/>
  <c r="CO938" i="48" s="1"/>
  <c r="CN942" i="48"/>
  <c r="CO942" i="48" s="1"/>
  <c r="CN949" i="48"/>
  <c r="CO949" i="48" s="1"/>
  <c r="CN953" i="48"/>
  <c r="CO953" i="48" s="1"/>
  <c r="CN957" i="48"/>
  <c r="CO957" i="48" s="1"/>
  <c r="CN961" i="48"/>
  <c r="CO961" i="48" s="1"/>
  <c r="CN965" i="48"/>
  <c r="CO965" i="48" s="1"/>
  <c r="CN976" i="48"/>
  <c r="CO976" i="48" s="1"/>
  <c r="CN980" i="48"/>
  <c r="CO980" i="48" s="1"/>
  <c r="CN984" i="48"/>
  <c r="CO984" i="48" s="1"/>
  <c r="CN989" i="48"/>
  <c r="CO989" i="48" s="1"/>
  <c r="CN1015" i="48"/>
  <c r="CO1015" i="48" s="1"/>
  <c r="CN1009" i="48"/>
  <c r="CO1009" i="48" s="1"/>
  <c r="CN1013" i="48"/>
  <c r="CO1013" i="48" s="1"/>
  <c r="CN1023" i="48"/>
  <c r="CO1023" i="48" s="1"/>
  <c r="CN1025" i="48"/>
  <c r="CO1025" i="48" s="1"/>
  <c r="CN1029" i="48"/>
  <c r="CO1029" i="48" s="1"/>
  <c r="CN1014" i="48"/>
  <c r="CO1014" i="48" s="1"/>
  <c r="CN1033" i="48"/>
  <c r="CO1033" i="48" s="1"/>
  <c r="CN1022" i="48"/>
  <c r="CO1022" i="48" s="1"/>
  <c r="CN1037" i="48"/>
  <c r="CO1037" i="48" s="1"/>
  <c r="CN1016" i="48"/>
  <c r="CO1016" i="48" s="1"/>
  <c r="CN1021" i="48"/>
  <c r="CO1021" i="48" s="1"/>
  <c r="CN1027" i="48"/>
  <c r="CO1027" i="48" s="1"/>
  <c r="CN1031" i="48"/>
  <c r="CO1031" i="48" s="1"/>
  <c r="CN1035" i="48"/>
  <c r="CO1035" i="48" s="1"/>
  <c r="CN1039" i="48"/>
  <c r="CO1039" i="48" s="1"/>
  <c r="CN1046" i="48"/>
  <c r="CO1046" i="48" s="1"/>
  <c r="CN1050" i="48"/>
  <c r="CO1050" i="48" s="1"/>
  <c r="CN1054" i="48"/>
  <c r="CO1054" i="48" s="1"/>
  <c r="CN1058" i="48"/>
  <c r="CO1058" i="48" s="1"/>
  <c r="CN1062" i="48"/>
  <c r="CO1062" i="48" s="1"/>
  <c r="CO1069" i="48"/>
  <c r="CN1075" i="48"/>
  <c r="CO1075" i="48" s="1"/>
  <c r="CN1107" i="48"/>
  <c r="CO1107" i="48" s="1"/>
  <c r="CN1082" i="48"/>
  <c r="CO1082" i="48" s="1"/>
  <c r="CN1103" i="48"/>
  <c r="CO1103" i="48" s="1"/>
  <c r="CN1024" i="48"/>
  <c r="CO1024" i="48" s="1"/>
  <c r="CN1028" i="48"/>
  <c r="CO1028" i="48" s="1"/>
  <c r="CN1032" i="48"/>
  <c r="CO1032" i="48" s="1"/>
  <c r="CN1036" i="48"/>
  <c r="CO1036" i="48" s="1"/>
  <c r="CN1040" i="48"/>
  <c r="CO1040" i="48" s="1"/>
  <c r="CN1047" i="48"/>
  <c r="CO1047" i="48" s="1"/>
  <c r="CN1051" i="48"/>
  <c r="CO1051" i="48" s="1"/>
  <c r="CN1055" i="48"/>
  <c r="CO1055" i="48" s="1"/>
  <c r="CN1059" i="48"/>
  <c r="CO1059" i="48" s="1"/>
  <c r="CN1063" i="48"/>
  <c r="CO1063" i="48" s="1"/>
  <c r="CN1070" i="48"/>
  <c r="CO1070" i="48" s="1"/>
  <c r="CN1077" i="48"/>
  <c r="CO1077" i="48" s="1"/>
  <c r="CN1099" i="48"/>
  <c r="CO1099" i="48" s="1"/>
  <c r="CN1074" i="48"/>
  <c r="CO1074" i="48" s="1"/>
  <c r="CN1088" i="48"/>
  <c r="CO1088" i="48" s="1"/>
  <c r="CN1095" i="48"/>
  <c r="CO1095" i="48" s="1"/>
  <c r="CN1048" i="48"/>
  <c r="CO1048" i="48" s="1"/>
  <c r="CN1052" i="48"/>
  <c r="CO1052" i="48" s="1"/>
  <c r="CN1056" i="48"/>
  <c r="CO1056" i="48" s="1"/>
  <c r="CN1060" i="48"/>
  <c r="CO1060" i="48" s="1"/>
  <c r="CN1064" i="48"/>
  <c r="CO1064" i="48" s="1"/>
  <c r="CN1071" i="48"/>
  <c r="CO1071" i="48" s="1"/>
  <c r="CN1079" i="48"/>
  <c r="CO1079" i="48" s="1"/>
  <c r="CN1086" i="48"/>
  <c r="CO1086" i="48" s="1"/>
  <c r="CN1026" i="48"/>
  <c r="CO1026" i="48" s="1"/>
  <c r="CN1030" i="48"/>
  <c r="CO1030" i="48" s="1"/>
  <c r="CN1034" i="48"/>
  <c r="CO1034" i="48" s="1"/>
  <c r="CN1038" i="48"/>
  <c r="CO1038" i="48" s="1"/>
  <c r="CN1045" i="48"/>
  <c r="CO1045" i="48" s="1"/>
  <c r="CN1049" i="48"/>
  <c r="CO1049" i="48" s="1"/>
  <c r="CN1053" i="48"/>
  <c r="CO1053" i="48" s="1"/>
  <c r="CN1057" i="48"/>
  <c r="CO1057" i="48" s="1"/>
  <c r="CN1061" i="48"/>
  <c r="CO1061" i="48" s="1"/>
  <c r="CN1072" i="48"/>
  <c r="CO1072" i="48" s="1"/>
  <c r="CN1073" i="48"/>
  <c r="CO1073" i="48" s="1"/>
  <c r="CN1081" i="48"/>
  <c r="CO1081" i="48" s="1"/>
  <c r="CN1093" i="48"/>
  <c r="CO1093" i="48" s="1"/>
  <c r="CN1097" i="48"/>
  <c r="CO1097" i="48" s="1"/>
  <c r="CN1101" i="48"/>
  <c r="CO1101" i="48" s="1"/>
  <c r="CN1105" i="48"/>
  <c r="CO1105" i="48" s="1"/>
  <c r="CN1109" i="48"/>
  <c r="CO1109" i="48" s="1"/>
  <c r="CN1111" i="48"/>
  <c r="CO1111" i="48" s="1"/>
  <c r="CN1118" i="48"/>
  <c r="CO1118" i="48" s="1"/>
  <c r="CN1122" i="48"/>
  <c r="CO1122" i="48" s="1"/>
  <c r="CN1126" i="48"/>
  <c r="CO1126" i="48" s="1"/>
  <c r="CN1130" i="48"/>
  <c r="CO1130" i="48" s="1"/>
  <c r="CN1134" i="48"/>
  <c r="CO1134" i="48" s="1"/>
  <c r="CN1141" i="48"/>
  <c r="CO1141" i="48" s="1"/>
  <c r="CN1145" i="48"/>
  <c r="CO1145" i="48" s="1"/>
  <c r="CN1149" i="48"/>
  <c r="CO1149" i="48" s="1"/>
  <c r="CN1153" i="48"/>
  <c r="CO1153" i="48" s="1"/>
  <c r="CN1157" i="48"/>
  <c r="CO1157" i="48" s="1"/>
  <c r="CN1172" i="48"/>
  <c r="CO1172" i="48" s="1"/>
  <c r="CN1119" i="48"/>
  <c r="CO1119" i="48" s="1"/>
  <c r="CN1123" i="48"/>
  <c r="CO1123" i="48" s="1"/>
  <c r="CN1127" i="48"/>
  <c r="CO1127" i="48" s="1"/>
  <c r="CN1131" i="48"/>
  <c r="CO1131" i="48" s="1"/>
  <c r="CN1135" i="48"/>
  <c r="CO1135" i="48" s="1"/>
  <c r="CN1142" i="48"/>
  <c r="CO1142" i="48" s="1"/>
  <c r="CN1146" i="48"/>
  <c r="CO1146" i="48" s="1"/>
  <c r="CN1150" i="48"/>
  <c r="CO1150" i="48" s="1"/>
  <c r="CN1154" i="48"/>
  <c r="CO1154" i="48" s="1"/>
  <c r="CN1158" i="48"/>
  <c r="CO1158" i="48" s="1"/>
  <c r="CN1165" i="48"/>
  <c r="CO1165" i="48" s="1"/>
  <c r="CN1171" i="48"/>
  <c r="CO1171" i="48" s="1"/>
  <c r="CN1167" i="48"/>
  <c r="CO1167" i="48" s="1"/>
  <c r="CN1168" i="48"/>
  <c r="CO1168" i="48" s="1"/>
  <c r="CN1169" i="48"/>
  <c r="CO1169" i="48" s="1"/>
  <c r="CN1170" i="48"/>
  <c r="CO1170" i="48" s="1"/>
  <c r="CN1173" i="48"/>
  <c r="CO1173" i="48" s="1"/>
  <c r="CN1177" i="48"/>
  <c r="CO1177" i="48" s="1"/>
  <c r="CN1181" i="48"/>
  <c r="CO1181" i="48" s="1"/>
  <c r="CN1192" i="48"/>
  <c r="CO1192" i="48" s="1"/>
  <c r="CN1195" i="48"/>
  <c r="CO1195" i="48" s="1"/>
  <c r="CN1201" i="48"/>
  <c r="CO1201" i="48" s="1"/>
  <c r="CN1204" i="48"/>
  <c r="CO1204" i="48" s="1"/>
  <c r="CN1174" i="48"/>
  <c r="CO1174" i="48" s="1"/>
  <c r="CN1178" i="48"/>
  <c r="CO1178" i="48" s="1"/>
  <c r="CN1182" i="48"/>
  <c r="CO1182" i="48" s="1"/>
  <c r="CN1189" i="48"/>
  <c r="CO1189" i="48" s="1"/>
  <c r="CN1193" i="48"/>
  <c r="CO1193" i="48" s="1"/>
  <c r="CN1197" i="48"/>
  <c r="CO1197" i="48" s="1"/>
  <c r="CN1198" i="48"/>
  <c r="CO1198" i="48" s="1"/>
  <c r="CN1194" i="48"/>
  <c r="CO1194" i="48" s="1"/>
  <c r="CN1202" i="48"/>
  <c r="CO1202" i="48" s="1"/>
  <c r="CN1175" i="48"/>
  <c r="CO1175" i="48" s="1"/>
  <c r="CN1179" i="48"/>
  <c r="CO1179" i="48" s="1"/>
  <c r="CN1183" i="48"/>
  <c r="CO1183" i="48" s="1"/>
  <c r="CN1190" i="48"/>
  <c r="CO1190" i="48" s="1"/>
  <c r="CN1196" i="48"/>
  <c r="CO1196" i="48" s="1"/>
  <c r="CN1176" i="48"/>
  <c r="CO1176" i="48" s="1"/>
  <c r="CN1180" i="48"/>
  <c r="CO1180" i="48" s="1"/>
  <c r="CN1184" i="48"/>
  <c r="CO1184" i="48" s="1"/>
  <c r="CN1206" i="48"/>
  <c r="CO1206" i="48" s="1"/>
  <c r="CN1208" i="48"/>
  <c r="CO1208" i="48" s="1"/>
  <c r="CN1240" i="48"/>
  <c r="CO1240" i="48" s="1"/>
  <c r="CN1228" i="48"/>
  <c r="CO1228" i="48" s="1"/>
  <c r="CN1232" i="48"/>
  <c r="CO1232" i="48" s="1"/>
  <c r="CN1223" i="48"/>
  <c r="CO1223" i="48" s="1"/>
  <c r="CN1224" i="48"/>
  <c r="CO1224" i="48" s="1"/>
  <c r="CN1268" i="48"/>
  <c r="CO1268" i="48" s="1"/>
  <c r="CN1216" i="48"/>
  <c r="CO1216" i="48" s="1"/>
  <c r="CN1220" i="48"/>
  <c r="CO1220" i="48" s="1"/>
  <c r="CN1237" i="48"/>
  <c r="CO1237" i="48" s="1"/>
  <c r="CN1239" i="48"/>
  <c r="CO1239" i="48" s="1"/>
  <c r="CN1265" i="48"/>
  <c r="CO1265" i="48" s="1"/>
  <c r="CN1231" i="48"/>
  <c r="CO1231" i="48" s="1"/>
  <c r="CN1256" i="48"/>
  <c r="CO1256" i="48" s="1"/>
  <c r="CN1213" i="48"/>
  <c r="CO1213" i="48" s="1"/>
  <c r="CN1217" i="48"/>
  <c r="CO1217" i="48" s="1"/>
  <c r="CN1221" i="48"/>
  <c r="CO1221" i="48" s="1"/>
  <c r="CN1225" i="48"/>
  <c r="CO1225" i="48" s="1"/>
  <c r="CN1244" i="48"/>
  <c r="CO1244" i="48" s="1"/>
  <c r="CN1252" i="48"/>
  <c r="CO1252" i="48" s="1"/>
  <c r="CN1248" i="48"/>
  <c r="CO1248" i="48" s="1"/>
  <c r="CN1277" i="48"/>
  <c r="CO1277" i="48" s="1"/>
  <c r="CN1273" i="48"/>
  <c r="CO1273" i="48" s="1"/>
  <c r="CN1241" i="48"/>
  <c r="CO1241" i="48" s="1"/>
  <c r="CN1245" i="48"/>
  <c r="CO1245" i="48" s="1"/>
  <c r="CN1249" i="48"/>
  <c r="CO1249" i="48" s="1"/>
  <c r="CN1253" i="48"/>
  <c r="CO1253" i="48" s="1"/>
  <c r="CN1269" i="48"/>
  <c r="CO1269" i="48" s="1"/>
  <c r="CN1261" i="48"/>
  <c r="CO1261" i="48" s="1"/>
  <c r="CN1294" i="48"/>
  <c r="CO1294" i="48" s="1"/>
  <c r="CN1289" i="48"/>
  <c r="CO1289" i="48" s="1"/>
  <c r="CN1293" i="48"/>
  <c r="CO1293" i="48" s="1"/>
  <c r="CN1301" i="48"/>
  <c r="CO1301" i="48" s="1"/>
  <c r="CN1262" i="48"/>
  <c r="CO1262" i="48" s="1"/>
  <c r="CN1266" i="48"/>
  <c r="CO1266" i="48" s="1"/>
  <c r="CN1270" i="48"/>
  <c r="CO1270" i="48" s="1"/>
  <c r="CN1274" i="48"/>
  <c r="CO1274" i="48" s="1"/>
  <c r="CN1278" i="48"/>
  <c r="CO1278" i="48" s="1"/>
  <c r="CN1285" i="48"/>
  <c r="CO1285" i="48" s="1"/>
  <c r="CN1297" i="48"/>
  <c r="CO1297" i="48" s="1"/>
  <c r="CN1288" i="48"/>
  <c r="CO1288" i="48" s="1"/>
  <c r="CN1272" i="48"/>
  <c r="CO1272" i="48" s="1"/>
  <c r="CN1276" i="48"/>
  <c r="CO1276" i="48" s="1"/>
  <c r="CN1280" i="48"/>
  <c r="CO1280" i="48" s="1"/>
  <c r="CN1326" i="48"/>
  <c r="CO1326" i="48" s="1"/>
  <c r="CN1298" i="48"/>
  <c r="CO1298" i="48" s="1"/>
  <c r="CN1302" i="48"/>
  <c r="CO1302" i="48" s="1"/>
  <c r="CN1310" i="48"/>
  <c r="CO1310" i="48" s="1"/>
  <c r="CN1314" i="48"/>
  <c r="CO1314" i="48" s="1"/>
  <c r="CN1318" i="48"/>
  <c r="CO1318" i="48" s="1"/>
  <c r="CN1322" i="48"/>
  <c r="CO1322" i="48" s="1"/>
  <c r="CN1311" i="48"/>
  <c r="CO1311" i="48" s="1"/>
  <c r="CN1315" i="48"/>
  <c r="CO1315" i="48" s="1"/>
  <c r="CN1327" i="48"/>
  <c r="CO1327" i="48" s="1"/>
  <c r="CN1312" i="48"/>
  <c r="CO1312" i="48" s="1"/>
  <c r="CN1316" i="48"/>
  <c r="CO1316" i="48" s="1"/>
  <c r="CN1320" i="48"/>
  <c r="CO1320" i="48" s="1"/>
  <c r="CN1324" i="48"/>
  <c r="CO1324" i="48" s="1"/>
  <c r="CN1328" i="48"/>
  <c r="CO1328" i="48" s="1"/>
  <c r="CQ1283" i="48" l="1"/>
  <c r="CQ659" i="48"/>
  <c r="CQ395" i="48"/>
  <c r="CQ227" i="48"/>
  <c r="CQ1139" i="48"/>
  <c r="CQ899" i="48"/>
  <c r="CQ299" i="48"/>
  <c r="CQ443" i="48"/>
  <c r="CQ1307" i="48"/>
  <c r="CQ1043" i="48"/>
  <c r="CQ923" i="48"/>
  <c r="CQ803" i="48"/>
  <c r="CQ491" i="48"/>
  <c r="CQ251" i="48"/>
  <c r="CQ59" i="48"/>
  <c r="CQ1259" i="48"/>
  <c r="CQ1211" i="48"/>
  <c r="CQ1187" i="48"/>
  <c r="CQ1163" i="48"/>
  <c r="CQ707" i="48"/>
  <c r="CQ731" i="48"/>
  <c r="CQ587" i="48"/>
  <c r="CQ419" i="48"/>
  <c r="CQ323" i="48"/>
  <c r="CQ203" i="48"/>
  <c r="CQ275" i="48"/>
  <c r="CQ107" i="48"/>
  <c r="CQ1019" i="48"/>
  <c r="CQ947" i="48"/>
  <c r="CQ851" i="48"/>
  <c r="CQ755" i="48"/>
  <c r="CQ515" i="48"/>
  <c r="CQ347" i="48"/>
  <c r="CQ131" i="48"/>
  <c r="CQ155" i="48"/>
  <c r="CQ1331" i="48"/>
  <c r="CQ971" i="48"/>
  <c r="CQ827" i="48"/>
  <c r="CQ611" i="48"/>
  <c r="CQ539" i="48"/>
  <c r="CQ779" i="48"/>
  <c r="CQ563" i="48"/>
  <c r="CQ1235" i="48"/>
  <c r="CQ1115" i="48"/>
  <c r="CQ1067" i="48"/>
  <c r="CQ995" i="48"/>
  <c r="CQ875" i="48"/>
  <c r="CQ467" i="48"/>
  <c r="CQ83" i="48"/>
  <c r="CQ1091" i="48"/>
  <c r="CQ635" i="48"/>
  <c r="CQ371" i="48"/>
  <c r="CQ179" i="48"/>
  <c r="AC1093" i="48"/>
  <c r="AC949" i="48"/>
  <c r="AC805" i="48"/>
  <c r="AC445" i="48"/>
  <c r="AC229" i="48"/>
  <c r="AC1261" i="48"/>
  <c r="AC1045" i="48"/>
  <c r="AC205" i="48"/>
  <c r="AC1021" i="48"/>
  <c r="AC877" i="48"/>
  <c r="AC709" i="48"/>
  <c r="AC493" i="48"/>
  <c r="AC181" i="48"/>
  <c r="AC1237" i="48"/>
  <c r="AC853" i="48"/>
  <c r="AC565" i="48"/>
  <c r="AC301" i="48"/>
  <c r="AC85" i="48"/>
  <c r="AC253" i="48"/>
  <c r="AC1117" i="48"/>
  <c r="AC541" i="48"/>
  <c r="AC397" i="48"/>
  <c r="AC1309" i="48"/>
  <c r="AC829" i="48"/>
  <c r="AC277" i="48"/>
  <c r="AC1092" i="48"/>
  <c r="AC948" i="48"/>
  <c r="AC804" i="48"/>
  <c r="AC444" i="48"/>
  <c r="AC228" i="48"/>
  <c r="AC1260" i="48"/>
  <c r="AC204" i="48"/>
  <c r="AC1020" i="48"/>
  <c r="AC876" i="48"/>
  <c r="AC708" i="48"/>
  <c r="AC492" i="48"/>
  <c r="AC180" i="48"/>
  <c r="AC1236" i="48"/>
  <c r="AC852" i="48"/>
  <c r="AC564" i="48"/>
  <c r="AC300" i="48"/>
  <c r="AC84" i="48"/>
  <c r="AC252" i="48"/>
  <c r="AC1116" i="48"/>
  <c r="AC540" i="48"/>
  <c r="AC396" i="48"/>
  <c r="AC1308" i="48"/>
  <c r="AC828" i="48"/>
  <c r="AC276" i="48"/>
  <c r="AC1069" i="48"/>
  <c r="AC925" i="48"/>
  <c r="AC733" i="48"/>
  <c r="AC421" i="48"/>
  <c r="AC325" i="48"/>
  <c r="AC133" i="48"/>
  <c r="AC1141" i="48"/>
  <c r="AC901" i="48"/>
  <c r="AC1285" i="48"/>
  <c r="AC973" i="48"/>
  <c r="AC757" i="48"/>
  <c r="AC589" i="48"/>
  <c r="AC349" i="48"/>
  <c r="AC109" i="48"/>
  <c r="AC997" i="48"/>
  <c r="AC685" i="48"/>
  <c r="AC373" i="48"/>
  <c r="AC157" i="48"/>
  <c r="AC1189" i="48"/>
  <c r="AC1213" i="48"/>
  <c r="AC781" i="48"/>
  <c r="AC613" i="48"/>
  <c r="AC469" i="48"/>
  <c r="AC1165" i="48"/>
  <c r="AC517" i="48"/>
  <c r="AC637" i="48"/>
  <c r="AC1068" i="48"/>
  <c r="AC924" i="48"/>
  <c r="AC732" i="48"/>
  <c r="AC420" i="48"/>
  <c r="AC324" i="48"/>
  <c r="AC132" i="48"/>
  <c r="AC1140" i="48"/>
  <c r="AC900" i="48"/>
  <c r="AC1284" i="48"/>
  <c r="AC972" i="48"/>
  <c r="AC756" i="48"/>
  <c r="AC588" i="48"/>
  <c r="AC348" i="48"/>
  <c r="AC108" i="48"/>
  <c r="AC996" i="48"/>
  <c r="AC684" i="48"/>
  <c r="AC372" i="48"/>
  <c r="AC156" i="48"/>
  <c r="AC1188" i="48"/>
  <c r="AC1212" i="48"/>
  <c r="AC780" i="48"/>
  <c r="AC612" i="48"/>
  <c r="AC468" i="48"/>
  <c r="AC1164" i="48"/>
  <c r="AC516" i="48"/>
  <c r="AC636" i="48"/>
  <c r="CQ925" i="48"/>
  <c r="CQ829" i="48"/>
  <c r="CQ445" i="48"/>
  <c r="CQ1309" i="48"/>
  <c r="CQ1117" i="48"/>
  <c r="CQ327" i="48"/>
  <c r="CQ325" i="48"/>
  <c r="CQ326" i="48"/>
  <c r="CQ133" i="48"/>
  <c r="CQ373" i="48"/>
  <c r="CQ277" i="48"/>
  <c r="CQ973" i="48"/>
  <c r="CQ974" i="48"/>
  <c r="CQ446" i="48"/>
  <c r="V1044" i="48" l="1"/>
  <c r="AC1044" i="48" s="1"/>
  <c r="CR446" i="48"/>
  <c r="CR327" i="48"/>
  <c r="CR326" i="48"/>
  <c r="V374" i="48"/>
  <c r="AC374" i="48" s="1"/>
  <c r="CR373" i="48"/>
  <c r="V830" i="48"/>
  <c r="AC830" i="48" s="1"/>
  <c r="CR829" i="48"/>
  <c r="CR974" i="48"/>
  <c r="V134" i="48"/>
  <c r="AC134" i="48" s="1"/>
  <c r="CR133" i="48"/>
  <c r="V1118" i="48"/>
  <c r="AC1118" i="48" s="1"/>
  <c r="CR1117" i="48"/>
  <c r="V926" i="48"/>
  <c r="AC926" i="48" s="1"/>
  <c r="CR925" i="48"/>
  <c r="V1310" i="48"/>
  <c r="AC1310" i="48" s="1"/>
  <c r="CR1309" i="48"/>
  <c r="V974" i="48"/>
  <c r="CR973" i="48"/>
  <c r="V278" i="48"/>
  <c r="AC278" i="48" s="1"/>
  <c r="CR277" i="48"/>
  <c r="V326" i="48"/>
  <c r="CR325" i="48"/>
  <c r="V446" i="48"/>
  <c r="AC446" i="48" s="1"/>
  <c r="CR445" i="48"/>
  <c r="CT327" i="48"/>
  <c r="CT1117" i="48"/>
  <c r="CT326" i="48"/>
  <c r="CT325" i="48"/>
  <c r="CT446" i="48"/>
  <c r="CT445" i="48"/>
  <c r="CT925" i="48"/>
  <c r="CT974" i="48"/>
  <c r="CT973" i="48"/>
  <c r="CT1309" i="48"/>
  <c r="CT373" i="48"/>
  <c r="CT829" i="48"/>
  <c r="CT133" i="48"/>
  <c r="CT277" i="48"/>
  <c r="CQ290" i="48"/>
  <c r="CQ332" i="48"/>
  <c r="CQ342" i="48"/>
  <c r="CQ836" i="48"/>
  <c r="CQ337" i="48"/>
  <c r="CQ1325" i="48"/>
  <c r="CQ1123" i="48"/>
  <c r="CQ381" i="48"/>
  <c r="CQ136" i="48"/>
  <c r="CQ835" i="48"/>
  <c r="CQ331" i="48"/>
  <c r="CQ328" i="48"/>
  <c r="CR328" i="48" s="1"/>
  <c r="CQ830" i="48"/>
  <c r="CR830" i="48" s="1"/>
  <c r="CQ940" i="48"/>
  <c r="CQ697" i="48"/>
  <c r="CQ700" i="48"/>
  <c r="CQ687" i="48"/>
  <c r="CQ705" i="48"/>
  <c r="CQ685" i="48"/>
  <c r="CQ688" i="48"/>
  <c r="CQ699" i="48"/>
  <c r="CQ696" i="48"/>
  <c r="CQ692" i="48"/>
  <c r="CQ704" i="48"/>
  <c r="CQ693" i="48"/>
  <c r="CQ689" i="48"/>
  <c r="CQ701" i="48"/>
  <c r="CQ690" i="48"/>
  <c r="CQ694" i="48"/>
  <c r="CQ698" i="48"/>
  <c r="CQ702" i="48"/>
  <c r="CQ695" i="48"/>
  <c r="CQ686" i="48"/>
  <c r="CQ703" i="48"/>
  <c r="CQ691" i="48"/>
  <c r="CQ905" i="48"/>
  <c r="CQ908" i="48"/>
  <c r="CQ903" i="48"/>
  <c r="CQ913" i="48"/>
  <c r="CQ916" i="48"/>
  <c r="CQ911" i="48"/>
  <c r="CQ912" i="48"/>
  <c r="CQ901" i="48"/>
  <c r="CQ920" i="48"/>
  <c r="CQ909" i="48"/>
  <c r="CQ921" i="48"/>
  <c r="CQ917" i="48"/>
  <c r="CQ906" i="48"/>
  <c r="CQ902" i="48"/>
  <c r="CQ914" i="48"/>
  <c r="CQ910" i="48"/>
  <c r="CQ918" i="48"/>
  <c r="CQ907" i="48"/>
  <c r="CQ919" i="48"/>
  <c r="CQ904" i="48"/>
  <c r="CQ915" i="48"/>
  <c r="CQ80" i="48"/>
  <c r="CQ75" i="48"/>
  <c r="CQ78" i="48"/>
  <c r="CQ65" i="48"/>
  <c r="CQ68" i="48"/>
  <c r="CQ73" i="48"/>
  <c r="CQ76" i="48"/>
  <c r="CQ63" i="48"/>
  <c r="CQ81" i="48"/>
  <c r="CQ61" i="48"/>
  <c r="CQ71" i="48"/>
  <c r="CQ66" i="48"/>
  <c r="CR66" i="48" s="1"/>
  <c r="CQ69" i="48"/>
  <c r="CQ79" i="48"/>
  <c r="CQ74" i="48"/>
  <c r="CQ77" i="48"/>
  <c r="CQ64" i="48"/>
  <c r="CQ62" i="48"/>
  <c r="CR62" i="48" s="1"/>
  <c r="CQ72" i="48"/>
  <c r="CQ67" i="48"/>
  <c r="CR67" i="48" s="1"/>
  <c r="CQ70" i="48"/>
  <c r="CQ1096" i="48"/>
  <c r="CQ1094" i="48"/>
  <c r="CQ1104" i="48"/>
  <c r="CQ1099" i="48"/>
  <c r="CQ1102" i="48"/>
  <c r="CQ1112" i="48"/>
  <c r="CQ1107" i="48"/>
  <c r="CQ1110" i="48"/>
  <c r="CQ1097" i="48"/>
  <c r="CQ1100" i="48"/>
  <c r="CQ1095" i="48"/>
  <c r="CQ1105" i="48"/>
  <c r="CQ1108" i="48"/>
  <c r="CQ1103" i="48"/>
  <c r="CQ1113" i="48"/>
  <c r="CQ1093" i="48"/>
  <c r="CQ1111" i="48"/>
  <c r="CQ1098" i="48"/>
  <c r="CQ1101" i="48"/>
  <c r="CQ1106" i="48"/>
  <c r="CQ1109" i="48"/>
  <c r="CQ965" i="48"/>
  <c r="CQ960" i="48"/>
  <c r="CQ955" i="48"/>
  <c r="CQ950" i="48"/>
  <c r="CQ968" i="48"/>
  <c r="CQ963" i="48"/>
  <c r="CQ958" i="48"/>
  <c r="CQ953" i="48"/>
  <c r="CQ966" i="48"/>
  <c r="CQ961" i="48"/>
  <c r="CQ956" i="48"/>
  <c r="CQ951" i="48"/>
  <c r="CR951" i="48" s="1"/>
  <c r="CQ969" i="48"/>
  <c r="CQ964" i="48"/>
  <c r="CQ959" i="48"/>
  <c r="CQ954" i="48"/>
  <c r="CR954" i="48" s="1"/>
  <c r="CQ949" i="48"/>
  <c r="CQ967" i="48"/>
  <c r="CQ962" i="48"/>
  <c r="CQ957" i="48"/>
  <c r="CQ952" i="48"/>
  <c r="CQ614" i="48"/>
  <c r="CQ616" i="48"/>
  <c r="CQ619" i="48"/>
  <c r="CQ622" i="48"/>
  <c r="CQ627" i="48"/>
  <c r="CQ630" i="48"/>
  <c r="CQ617" i="48"/>
  <c r="CQ620" i="48"/>
  <c r="CQ615" i="48"/>
  <c r="CR615" i="48" s="1"/>
  <c r="CQ625" i="48"/>
  <c r="CQ628" i="48"/>
  <c r="CQ623" i="48"/>
  <c r="CQ633" i="48"/>
  <c r="CQ613" i="48"/>
  <c r="CQ631" i="48"/>
  <c r="CQ618" i="48"/>
  <c r="CQ621" i="48"/>
  <c r="CQ624" i="48"/>
  <c r="CQ626" i="48"/>
  <c r="CQ629" i="48"/>
  <c r="CQ632" i="48"/>
  <c r="CQ91" i="48"/>
  <c r="CQ94" i="48"/>
  <c r="CQ89" i="48"/>
  <c r="CQ92" i="48"/>
  <c r="CQ87" i="48"/>
  <c r="CQ97" i="48"/>
  <c r="CQ100" i="48"/>
  <c r="CQ95" i="48"/>
  <c r="CQ105" i="48"/>
  <c r="CQ85" i="48"/>
  <c r="V86" i="48" s="1"/>
  <c r="CQ103" i="48"/>
  <c r="CQ90" i="48"/>
  <c r="CQ93" i="48"/>
  <c r="CQ88" i="48"/>
  <c r="CQ86" i="48"/>
  <c r="CQ104" i="48"/>
  <c r="CQ99" i="48"/>
  <c r="CQ101" i="48"/>
  <c r="CQ102" i="48"/>
  <c r="CQ96" i="48"/>
  <c r="CQ98" i="48"/>
  <c r="CQ991" i="48"/>
  <c r="CQ985" i="48"/>
  <c r="CQ979" i="48"/>
  <c r="CQ287" i="48"/>
  <c r="CQ286" i="48"/>
  <c r="CQ378" i="48"/>
  <c r="CQ387" i="48"/>
  <c r="CQ386" i="48"/>
  <c r="CQ153" i="48"/>
  <c r="CQ147" i="48"/>
  <c r="CQ141" i="48"/>
  <c r="CQ336" i="48"/>
  <c r="CQ330" i="48"/>
  <c r="CQ329" i="48"/>
  <c r="CQ1122" i="48"/>
  <c r="CQ1136" i="48"/>
  <c r="CQ1321" i="48"/>
  <c r="CQ1315" i="48"/>
  <c r="CQ1322" i="48"/>
  <c r="CQ450" i="48"/>
  <c r="CQ452" i="48"/>
  <c r="CQ847" i="48"/>
  <c r="CQ833" i="48"/>
  <c r="CQ945" i="48"/>
  <c r="CQ938" i="48"/>
  <c r="CQ110" i="48"/>
  <c r="CQ128" i="48"/>
  <c r="CQ115" i="48"/>
  <c r="CQ118" i="48"/>
  <c r="CQ113" i="48"/>
  <c r="CQ123" i="48"/>
  <c r="CQ126" i="48"/>
  <c r="CQ121" i="48"/>
  <c r="CQ116" i="48"/>
  <c r="CQ111" i="48"/>
  <c r="CQ129" i="48"/>
  <c r="CQ124" i="48"/>
  <c r="CQ119" i="48"/>
  <c r="CQ114" i="48"/>
  <c r="CQ109" i="48"/>
  <c r="CQ127" i="48"/>
  <c r="CQ122" i="48"/>
  <c r="CQ117" i="48"/>
  <c r="CQ112" i="48"/>
  <c r="CQ125" i="48"/>
  <c r="CQ120" i="48"/>
  <c r="CQ231" i="48"/>
  <c r="CQ249" i="48"/>
  <c r="CQ239" i="48"/>
  <c r="CQ234" i="48"/>
  <c r="CQ229" i="48"/>
  <c r="CQ247" i="48"/>
  <c r="CQ242" i="48"/>
  <c r="CQ237" i="48"/>
  <c r="CQ232" i="48"/>
  <c r="CQ245" i="48"/>
  <c r="CQ240" i="48"/>
  <c r="CQ235" i="48"/>
  <c r="CQ230" i="48"/>
  <c r="CQ248" i="48"/>
  <c r="CQ243" i="48"/>
  <c r="CQ238" i="48"/>
  <c r="CQ233" i="48"/>
  <c r="CQ236" i="48"/>
  <c r="CQ246" i="48"/>
  <c r="CQ241" i="48"/>
  <c r="CQ244" i="48"/>
  <c r="CQ1034" i="48"/>
  <c r="CQ1037" i="48"/>
  <c r="CQ1032" i="48"/>
  <c r="CQ1022" i="48"/>
  <c r="CQ1040" i="48"/>
  <c r="CQ1027" i="48"/>
  <c r="CQ1030" i="48"/>
  <c r="CQ1025" i="48"/>
  <c r="CQ1035" i="48"/>
  <c r="CQ1038" i="48"/>
  <c r="CQ1033" i="48"/>
  <c r="CQ1028" i="48"/>
  <c r="CQ1023" i="48"/>
  <c r="CQ1041" i="48"/>
  <c r="CQ1036" i="48"/>
  <c r="CQ1031" i="48"/>
  <c r="CQ1021" i="48"/>
  <c r="CQ1039" i="48"/>
  <c r="CQ1026" i="48"/>
  <c r="CQ1029" i="48"/>
  <c r="CQ1024" i="48"/>
  <c r="CR1024" i="48" s="1"/>
  <c r="CQ1273" i="48"/>
  <c r="CQ1277" i="48"/>
  <c r="CQ1281" i="48"/>
  <c r="CQ1262" i="48"/>
  <c r="CQ1270" i="48"/>
  <c r="CQ1271" i="48"/>
  <c r="CQ1265" i="48"/>
  <c r="CQ1278" i="48"/>
  <c r="CQ1274" i="48"/>
  <c r="CQ1267" i="48"/>
  <c r="CQ1279" i="48"/>
  <c r="CQ1272" i="48"/>
  <c r="CQ1275" i="48"/>
  <c r="CQ1280" i="48"/>
  <c r="CQ1268" i="48"/>
  <c r="CQ1263" i="48"/>
  <c r="CQ1276" i="48"/>
  <c r="CQ1261" i="48"/>
  <c r="CQ1264" i="48"/>
  <c r="CQ1269" i="48"/>
  <c r="CQ1266" i="48"/>
  <c r="CQ1215" i="48"/>
  <c r="CQ1233" i="48"/>
  <c r="CQ1222" i="48"/>
  <c r="CQ1223" i="48"/>
  <c r="CQ1218" i="48"/>
  <c r="CQ1228" i="48"/>
  <c r="CQ1231" i="48"/>
  <c r="CQ1230" i="48"/>
  <c r="CQ1216" i="48"/>
  <c r="CR1216" i="48" s="1"/>
  <c r="CQ1214" i="48"/>
  <c r="CQ1224" i="48"/>
  <c r="CQ1219" i="48"/>
  <c r="CQ1232" i="48"/>
  <c r="CQ1220" i="48"/>
  <c r="CQ1217" i="48"/>
  <c r="CQ1227" i="48"/>
  <c r="CQ1213" i="48"/>
  <c r="CQ1225" i="48"/>
  <c r="CQ1221" i="48"/>
  <c r="CQ1226" i="48"/>
  <c r="CQ1229" i="48"/>
  <c r="CQ981" i="48"/>
  <c r="CQ990" i="48"/>
  <c r="CQ984" i="48"/>
  <c r="CQ292" i="48"/>
  <c r="CQ283" i="48"/>
  <c r="CQ377" i="48"/>
  <c r="CQ392" i="48"/>
  <c r="CQ391" i="48"/>
  <c r="CQ135" i="48"/>
  <c r="CQ152" i="48"/>
  <c r="CQ146" i="48"/>
  <c r="CQ341" i="48"/>
  <c r="CQ335" i="48"/>
  <c r="CQ334" i="48"/>
  <c r="CQ1127" i="48"/>
  <c r="CQ1118" i="48"/>
  <c r="CR1118" i="48" s="1"/>
  <c r="CQ1319" i="48"/>
  <c r="CQ1328" i="48"/>
  <c r="CQ463" i="48"/>
  <c r="CQ449" i="48"/>
  <c r="CQ456" i="48"/>
  <c r="CQ846" i="48"/>
  <c r="CQ832" i="48"/>
  <c r="CQ934" i="48"/>
  <c r="CQ928" i="48"/>
  <c r="CQ1072" i="48"/>
  <c r="CQ1080" i="48"/>
  <c r="CQ1075" i="48"/>
  <c r="CQ1070" i="48"/>
  <c r="CQ1088" i="48"/>
  <c r="CQ1083" i="48"/>
  <c r="CQ1078" i="48"/>
  <c r="CQ1073" i="48"/>
  <c r="CQ1076" i="48"/>
  <c r="CQ1086" i="48"/>
  <c r="CQ1081" i="48"/>
  <c r="CQ1084" i="48"/>
  <c r="CQ1071" i="48"/>
  <c r="CQ1089" i="48"/>
  <c r="CQ1085" i="48"/>
  <c r="CQ1079" i="48"/>
  <c r="CQ1074" i="48"/>
  <c r="CQ1077" i="48"/>
  <c r="CQ1087" i="48"/>
  <c r="CQ1082" i="48"/>
  <c r="CQ1069" i="48"/>
  <c r="CQ407" i="48"/>
  <c r="CQ402" i="48"/>
  <c r="CQ397" i="48"/>
  <c r="CQ415" i="48"/>
  <c r="CQ410" i="48"/>
  <c r="CQ405" i="48"/>
  <c r="CQ400" i="48"/>
  <c r="CQ413" i="48"/>
  <c r="CQ408" i="48"/>
  <c r="CQ403" i="48"/>
  <c r="CR403" i="48" s="1"/>
  <c r="CQ398" i="48"/>
  <c r="CR398" i="48" s="1"/>
  <c r="CQ416" i="48"/>
  <c r="CQ411" i="48"/>
  <c r="CQ406" i="48"/>
  <c r="CQ401" i="48"/>
  <c r="CQ404" i="48"/>
  <c r="CQ414" i="48"/>
  <c r="CQ409" i="48"/>
  <c r="CQ412" i="48"/>
  <c r="CQ399" i="48"/>
  <c r="CQ417" i="48"/>
  <c r="CQ734" i="48"/>
  <c r="CQ752" i="48"/>
  <c r="CQ747" i="48"/>
  <c r="CQ742" i="48"/>
  <c r="CQ737" i="48"/>
  <c r="CQ740" i="48"/>
  <c r="CQ750" i="48"/>
  <c r="CQ745" i="48"/>
  <c r="CQ748" i="48"/>
  <c r="CQ735" i="48"/>
  <c r="CQ753" i="48"/>
  <c r="CQ733" i="48"/>
  <c r="CQ743" i="48"/>
  <c r="CQ738" i="48"/>
  <c r="CQ741" i="48"/>
  <c r="CQ751" i="48"/>
  <c r="CQ746" i="48"/>
  <c r="CQ749" i="48"/>
  <c r="CQ736" i="48"/>
  <c r="CQ744" i="48"/>
  <c r="CQ739" i="48"/>
  <c r="CQ978" i="48"/>
  <c r="CQ980" i="48"/>
  <c r="CQ280" i="48"/>
  <c r="CQ289" i="48"/>
  <c r="CQ296" i="48"/>
  <c r="CQ383" i="48"/>
  <c r="CQ374" i="48"/>
  <c r="CR374" i="48" s="1"/>
  <c r="CQ148" i="48"/>
  <c r="CQ134" i="48"/>
  <c r="CR134" i="48" s="1"/>
  <c r="CQ151" i="48"/>
  <c r="CQ345" i="48"/>
  <c r="CQ1137" i="48"/>
  <c r="CQ1132" i="48"/>
  <c r="CQ1131" i="48"/>
  <c r="CQ1316" i="48"/>
  <c r="CQ1318" i="48"/>
  <c r="CQ1317" i="48"/>
  <c r="CQ462" i="48"/>
  <c r="CQ461" i="48"/>
  <c r="CQ849" i="48"/>
  <c r="CQ843" i="48"/>
  <c r="CQ929" i="48"/>
  <c r="CQ931" i="48"/>
  <c r="CQ933" i="48"/>
  <c r="CQ644" i="48"/>
  <c r="CQ639" i="48"/>
  <c r="CQ657" i="48"/>
  <c r="CQ652" i="48"/>
  <c r="CQ647" i="48"/>
  <c r="CQ642" i="48"/>
  <c r="CQ637" i="48"/>
  <c r="CQ655" i="48"/>
  <c r="CQ650" i="48"/>
  <c r="CQ645" i="48"/>
  <c r="CQ640" i="48"/>
  <c r="CQ653" i="48"/>
  <c r="CQ648" i="48"/>
  <c r="CQ638" i="48"/>
  <c r="CQ656" i="48"/>
  <c r="CQ643" i="48"/>
  <c r="CQ646" i="48"/>
  <c r="CQ641" i="48"/>
  <c r="CQ651" i="48"/>
  <c r="CQ654" i="48"/>
  <c r="CQ649" i="48"/>
  <c r="CQ1002" i="48"/>
  <c r="CQ1005" i="48"/>
  <c r="CQ1010" i="48"/>
  <c r="CQ1013" i="48"/>
  <c r="CQ1008" i="48"/>
  <c r="CQ1003" i="48"/>
  <c r="CQ1006" i="48"/>
  <c r="CQ1001" i="48"/>
  <c r="CQ1004" i="48"/>
  <c r="CQ1015" i="48"/>
  <c r="CQ1016" i="48"/>
  <c r="CQ1014" i="48"/>
  <c r="CQ1009" i="48"/>
  <c r="CQ999" i="48"/>
  <c r="CQ1017" i="48"/>
  <c r="CQ1007" i="48"/>
  <c r="CQ1018" i="48"/>
  <c r="CQ1011" i="48"/>
  <c r="CQ1012" i="48"/>
  <c r="CQ997" i="48"/>
  <c r="CQ1000" i="48"/>
  <c r="CQ998" i="48"/>
  <c r="CQ510" i="48"/>
  <c r="CQ505" i="48"/>
  <c r="CQ500" i="48"/>
  <c r="CQ495" i="48"/>
  <c r="CQ513" i="48"/>
  <c r="CQ503" i="48"/>
  <c r="CQ498" i="48"/>
  <c r="CQ493" i="48"/>
  <c r="CQ511" i="48"/>
  <c r="CQ506" i="48"/>
  <c r="CQ501" i="48"/>
  <c r="CQ496" i="48"/>
  <c r="CR496" i="48" s="1"/>
  <c r="CQ509" i="48"/>
  <c r="CQ504" i="48"/>
  <c r="CQ499" i="48"/>
  <c r="CQ494" i="48"/>
  <c r="CQ512" i="48"/>
  <c r="CQ507" i="48"/>
  <c r="CQ502" i="48"/>
  <c r="CQ497" i="48"/>
  <c r="CR497" i="48" s="1"/>
  <c r="CQ508" i="48"/>
  <c r="CQ721" i="48"/>
  <c r="CQ717" i="48"/>
  <c r="CQ712" i="48"/>
  <c r="CQ714" i="48"/>
  <c r="CQ725" i="48"/>
  <c r="CQ720" i="48"/>
  <c r="CQ722" i="48"/>
  <c r="CQ710" i="48"/>
  <c r="CQ728" i="48"/>
  <c r="CQ715" i="48"/>
  <c r="CQ718" i="48"/>
  <c r="CQ729" i="48"/>
  <c r="CQ723" i="48"/>
  <c r="CQ726" i="48"/>
  <c r="CQ716" i="48"/>
  <c r="CQ711" i="48"/>
  <c r="CQ724" i="48"/>
  <c r="CQ719" i="48"/>
  <c r="CQ713" i="48"/>
  <c r="CQ709" i="48"/>
  <c r="CQ727" i="48"/>
  <c r="CQ983" i="48"/>
  <c r="CQ977" i="48"/>
  <c r="CQ285" i="48"/>
  <c r="CQ279" i="48"/>
  <c r="CQ278" i="48"/>
  <c r="CR278" i="48" s="1"/>
  <c r="CQ382" i="48"/>
  <c r="CQ384" i="48"/>
  <c r="CQ393" i="48"/>
  <c r="CQ145" i="48"/>
  <c r="CQ139" i="48"/>
  <c r="CQ1120" i="48"/>
  <c r="CQ1129" i="48"/>
  <c r="CQ1128" i="48"/>
  <c r="CQ1313" i="48"/>
  <c r="CQ1329" i="48"/>
  <c r="CQ465" i="48"/>
  <c r="CQ459" i="48"/>
  <c r="CQ458" i="48"/>
  <c r="CQ839" i="48"/>
  <c r="CQ848" i="48"/>
  <c r="CQ927" i="48"/>
  <c r="CQ944" i="48"/>
  <c r="CQ930" i="48"/>
  <c r="CQ37" i="48"/>
  <c r="V38" i="48" s="1"/>
  <c r="CQ55" i="48"/>
  <c r="CQ50" i="48"/>
  <c r="CQ45" i="48"/>
  <c r="CQ53" i="48"/>
  <c r="CQ48" i="48"/>
  <c r="CQ43" i="48"/>
  <c r="CQ38" i="48"/>
  <c r="CQ56" i="48"/>
  <c r="CQ51" i="48"/>
  <c r="CQ46" i="48"/>
  <c r="CQ41" i="48"/>
  <c r="CQ44" i="48"/>
  <c r="CQ54" i="48"/>
  <c r="CQ49" i="48"/>
  <c r="CQ52" i="48"/>
  <c r="CQ39" i="48"/>
  <c r="CQ47" i="48"/>
  <c r="CQ42" i="48"/>
  <c r="CQ40" i="48"/>
  <c r="CQ57" i="48"/>
  <c r="CQ483" i="48"/>
  <c r="CQ486" i="48"/>
  <c r="CQ481" i="48"/>
  <c r="CQ476" i="48"/>
  <c r="CQ471" i="48"/>
  <c r="CQ489" i="48"/>
  <c r="CQ484" i="48"/>
  <c r="CQ479" i="48"/>
  <c r="CQ474" i="48"/>
  <c r="CQ469" i="48"/>
  <c r="CQ487" i="48"/>
  <c r="CQ482" i="48"/>
  <c r="CQ477" i="48"/>
  <c r="CQ472" i="48"/>
  <c r="CQ485" i="48"/>
  <c r="CQ480" i="48"/>
  <c r="CQ470" i="48"/>
  <c r="CQ488" i="48"/>
  <c r="CQ475" i="48"/>
  <c r="CQ478" i="48"/>
  <c r="CQ473" i="48"/>
  <c r="CQ193" i="48"/>
  <c r="CQ196" i="48"/>
  <c r="CQ191" i="48"/>
  <c r="CQ201" i="48"/>
  <c r="CQ181" i="48"/>
  <c r="CQ199" i="48"/>
  <c r="CQ186" i="48"/>
  <c r="CQ189" i="48"/>
  <c r="CQ184" i="48"/>
  <c r="CQ194" i="48"/>
  <c r="CQ197" i="48"/>
  <c r="CQ192" i="48"/>
  <c r="CQ182" i="48"/>
  <c r="CR182" i="48" s="1"/>
  <c r="CQ200" i="48"/>
  <c r="CQ187" i="48"/>
  <c r="CQ190" i="48"/>
  <c r="CQ195" i="48"/>
  <c r="CQ198" i="48"/>
  <c r="CQ185" i="48"/>
  <c r="CQ188" i="48"/>
  <c r="CQ183" i="48"/>
  <c r="CR183" i="48" s="1"/>
  <c r="CQ354" i="48"/>
  <c r="CQ357" i="48"/>
  <c r="CQ368" i="48"/>
  <c r="CQ362" i="48"/>
  <c r="CQ365" i="48"/>
  <c r="CQ352" i="48"/>
  <c r="CQ350" i="48"/>
  <c r="CQ360" i="48"/>
  <c r="CQ355" i="48"/>
  <c r="CQ358" i="48"/>
  <c r="CQ363" i="48"/>
  <c r="CQ366" i="48"/>
  <c r="CQ353" i="48"/>
  <c r="CQ356" i="48"/>
  <c r="CQ351" i="48"/>
  <c r="CQ361" i="48"/>
  <c r="CQ364" i="48"/>
  <c r="CQ359" i="48"/>
  <c r="CQ369" i="48"/>
  <c r="CQ349" i="48"/>
  <c r="CQ367" i="48"/>
  <c r="CQ523" i="48"/>
  <c r="CQ526" i="48"/>
  <c r="CQ531" i="48"/>
  <c r="CQ534" i="48"/>
  <c r="CQ521" i="48"/>
  <c r="CQ524" i="48"/>
  <c r="CQ519" i="48"/>
  <c r="CQ529" i="48"/>
  <c r="CQ532" i="48"/>
  <c r="CQ527" i="48"/>
  <c r="CQ537" i="48"/>
  <c r="CQ517" i="48"/>
  <c r="CQ535" i="48"/>
  <c r="CQ522" i="48"/>
  <c r="CQ525" i="48"/>
  <c r="CQ520" i="48"/>
  <c r="CQ530" i="48"/>
  <c r="CQ533" i="48"/>
  <c r="CQ528" i="48"/>
  <c r="CQ518" i="48"/>
  <c r="CR518" i="48" s="1"/>
  <c r="CQ536" i="48"/>
  <c r="CQ1169" i="48"/>
  <c r="CQ1165" i="48"/>
  <c r="CQ1167" i="48"/>
  <c r="CQ1177" i="48"/>
  <c r="CQ1173" i="48"/>
  <c r="CQ1175" i="48"/>
  <c r="CQ1185" i="48"/>
  <c r="CQ1181" i="48"/>
  <c r="CQ1178" i="48"/>
  <c r="CQ1170" i="48"/>
  <c r="CQ1166" i="48"/>
  <c r="CQ1183" i="48"/>
  <c r="CQ1171" i="48"/>
  <c r="CQ1174" i="48"/>
  <c r="CQ1179" i="48"/>
  <c r="CQ1182" i="48"/>
  <c r="CQ1168" i="48"/>
  <c r="CQ1172" i="48"/>
  <c r="CQ1184" i="48"/>
  <c r="CQ1176" i="48"/>
  <c r="CQ1180" i="48"/>
  <c r="CQ574" i="48"/>
  <c r="CQ569" i="48"/>
  <c r="CQ572" i="48"/>
  <c r="CQ567" i="48"/>
  <c r="CQ585" i="48"/>
  <c r="CQ575" i="48"/>
  <c r="CQ570" i="48"/>
  <c r="CQ565" i="48"/>
  <c r="CQ583" i="48"/>
  <c r="CQ578" i="48"/>
  <c r="CQ573" i="48"/>
  <c r="CQ568" i="48"/>
  <c r="CQ566" i="48"/>
  <c r="CQ584" i="48"/>
  <c r="CQ579" i="48"/>
  <c r="CQ582" i="48"/>
  <c r="CQ576" i="48"/>
  <c r="CQ577" i="48"/>
  <c r="CQ571" i="48"/>
  <c r="CQ580" i="48"/>
  <c r="CQ581" i="48"/>
  <c r="CQ895" i="48"/>
  <c r="CQ890" i="48"/>
  <c r="CQ893" i="48"/>
  <c r="CQ880" i="48"/>
  <c r="CQ888" i="48"/>
  <c r="CQ883" i="48"/>
  <c r="CQ878" i="48"/>
  <c r="CQ896" i="48"/>
  <c r="CQ891" i="48"/>
  <c r="CQ886" i="48"/>
  <c r="CQ881" i="48"/>
  <c r="CQ884" i="48"/>
  <c r="CQ894" i="48"/>
  <c r="CQ889" i="48"/>
  <c r="CQ892" i="48"/>
  <c r="CQ879" i="48"/>
  <c r="CQ897" i="48"/>
  <c r="CQ877" i="48"/>
  <c r="CQ887" i="48"/>
  <c r="CQ882" i="48"/>
  <c r="CQ885" i="48"/>
  <c r="CQ1257" i="48"/>
  <c r="CQ1254" i="48"/>
  <c r="CQ1253" i="48"/>
  <c r="CQ1242" i="48"/>
  <c r="CQ1237" i="48"/>
  <c r="CQ1250" i="48"/>
  <c r="CQ1256" i="48"/>
  <c r="CQ1239" i="48"/>
  <c r="CQ1238" i="48"/>
  <c r="CQ1247" i="48"/>
  <c r="CQ1243" i="48"/>
  <c r="CQ1240" i="48"/>
  <c r="CQ1255" i="48"/>
  <c r="CQ1251" i="48"/>
  <c r="CQ1245" i="48"/>
  <c r="CQ1241" i="48"/>
  <c r="CQ1244" i="48"/>
  <c r="CQ1246" i="48"/>
  <c r="CQ1249" i="48"/>
  <c r="CQ1252" i="48"/>
  <c r="CQ1248" i="48"/>
  <c r="CQ601" i="48"/>
  <c r="CQ604" i="48"/>
  <c r="CQ591" i="48"/>
  <c r="CQ609" i="48"/>
  <c r="CQ589" i="48"/>
  <c r="CQ599" i="48"/>
  <c r="CQ594" i="48"/>
  <c r="CQ597" i="48"/>
  <c r="CQ607" i="48"/>
  <c r="CQ602" i="48"/>
  <c r="CQ605" i="48"/>
  <c r="CQ592" i="48"/>
  <c r="CQ590" i="48"/>
  <c r="CQ600" i="48"/>
  <c r="CQ595" i="48"/>
  <c r="CQ598" i="48"/>
  <c r="CQ608" i="48"/>
  <c r="CQ603" i="48"/>
  <c r="CQ606" i="48"/>
  <c r="CQ593" i="48"/>
  <c r="CQ596" i="48"/>
  <c r="CQ307" i="48"/>
  <c r="CQ310" i="48"/>
  <c r="CQ305" i="48"/>
  <c r="CQ308" i="48"/>
  <c r="CQ303" i="48"/>
  <c r="CQ321" i="48"/>
  <c r="CQ316" i="48"/>
  <c r="CQ311" i="48"/>
  <c r="CQ301" i="48"/>
  <c r="CQ319" i="48"/>
  <c r="CQ306" i="48"/>
  <c r="CQ309" i="48"/>
  <c r="CQ304" i="48"/>
  <c r="CQ314" i="48"/>
  <c r="CQ302" i="48"/>
  <c r="CQ320" i="48"/>
  <c r="CQ313" i="48"/>
  <c r="CQ315" i="48"/>
  <c r="CQ317" i="48"/>
  <c r="CQ318" i="48"/>
  <c r="CQ312" i="48"/>
  <c r="CQ982" i="48"/>
  <c r="CQ282" i="48"/>
  <c r="CQ284" i="48"/>
  <c r="CQ388" i="48"/>
  <c r="CQ389" i="48"/>
  <c r="CQ375" i="48"/>
  <c r="CQ150" i="48"/>
  <c r="CQ144" i="48"/>
  <c r="CQ339" i="48"/>
  <c r="CQ333" i="48"/>
  <c r="CQ340" i="48"/>
  <c r="CQ1119" i="48"/>
  <c r="CQ1134" i="48"/>
  <c r="CQ1133" i="48"/>
  <c r="CQ1311" i="48"/>
  <c r="CQ1320" i="48"/>
  <c r="CQ1327" i="48"/>
  <c r="CQ455" i="48"/>
  <c r="CQ454" i="48"/>
  <c r="CQ845" i="48"/>
  <c r="CQ844" i="48"/>
  <c r="CQ838" i="48"/>
  <c r="CQ932" i="48"/>
  <c r="CQ926" i="48"/>
  <c r="CR926" i="48" s="1"/>
  <c r="CQ943" i="48"/>
  <c r="CQ1293" i="48"/>
  <c r="CQ1288" i="48"/>
  <c r="CQ1292" i="48"/>
  <c r="CQ1301" i="48"/>
  <c r="CQ1296" i="48"/>
  <c r="CQ1297" i="48"/>
  <c r="CQ1286" i="48"/>
  <c r="CQ1304" i="48"/>
  <c r="CQ1298" i="48"/>
  <c r="CQ1294" i="48"/>
  <c r="CQ1300" i="48"/>
  <c r="CQ1302" i="48"/>
  <c r="CQ1305" i="48"/>
  <c r="CQ1291" i="48"/>
  <c r="CQ1287" i="48"/>
  <c r="CR1287" i="48" s="1"/>
  <c r="CQ1306" i="48"/>
  <c r="CQ1299" i="48"/>
  <c r="CQ1295" i="48"/>
  <c r="CQ1289" i="48"/>
  <c r="CQ1285" i="48"/>
  <c r="CQ1303" i="48"/>
  <c r="CQ1290" i="48"/>
  <c r="CQ176" i="48"/>
  <c r="CQ171" i="48"/>
  <c r="CQ174" i="48"/>
  <c r="CQ161" i="48"/>
  <c r="CQ164" i="48"/>
  <c r="CQ160" i="48"/>
  <c r="CQ172" i="48"/>
  <c r="CQ168" i="48"/>
  <c r="CQ157" i="48"/>
  <c r="CQ169" i="48"/>
  <c r="CQ165" i="48"/>
  <c r="CQ177" i="48"/>
  <c r="CQ173" i="48"/>
  <c r="CQ162" i="48"/>
  <c r="CQ158" i="48"/>
  <c r="CQ159" i="48"/>
  <c r="CQ170" i="48"/>
  <c r="CQ166" i="48"/>
  <c r="CQ167" i="48"/>
  <c r="CQ175" i="48"/>
  <c r="CQ163" i="48"/>
  <c r="CQ271" i="48"/>
  <c r="CQ266" i="48"/>
  <c r="CQ269" i="48"/>
  <c r="CQ256" i="48"/>
  <c r="CQ254" i="48"/>
  <c r="CQ264" i="48"/>
  <c r="CQ259" i="48"/>
  <c r="CQ262" i="48"/>
  <c r="CQ272" i="48"/>
  <c r="CQ267" i="48"/>
  <c r="CQ270" i="48"/>
  <c r="CQ257" i="48"/>
  <c r="CQ260" i="48"/>
  <c r="CQ265" i="48"/>
  <c r="CQ268" i="48"/>
  <c r="CQ255" i="48"/>
  <c r="CQ273" i="48"/>
  <c r="CQ253" i="48"/>
  <c r="CQ263" i="48"/>
  <c r="CQ258" i="48"/>
  <c r="CQ261" i="48"/>
  <c r="CQ556" i="48"/>
  <c r="CQ551" i="48"/>
  <c r="CQ554" i="48"/>
  <c r="CQ541" i="48"/>
  <c r="CQ559" i="48"/>
  <c r="CQ549" i="48"/>
  <c r="CQ544" i="48"/>
  <c r="CQ546" i="48"/>
  <c r="CQ557" i="48"/>
  <c r="CQ552" i="48"/>
  <c r="CQ542" i="48"/>
  <c r="CQ560" i="48"/>
  <c r="CQ547" i="48"/>
  <c r="CQ550" i="48"/>
  <c r="CQ545" i="48"/>
  <c r="CR545" i="48" s="1"/>
  <c r="CQ555" i="48"/>
  <c r="CQ558" i="48"/>
  <c r="CQ553" i="48"/>
  <c r="CQ548" i="48"/>
  <c r="CQ543" i="48"/>
  <c r="CQ561" i="48"/>
  <c r="CQ761" i="48"/>
  <c r="CQ764" i="48"/>
  <c r="CQ775" i="48"/>
  <c r="CQ769" i="48"/>
  <c r="CQ772" i="48"/>
  <c r="CQ759" i="48"/>
  <c r="CQ777" i="48"/>
  <c r="CQ757" i="48"/>
  <c r="CQ767" i="48"/>
  <c r="CQ762" i="48"/>
  <c r="CQ765" i="48"/>
  <c r="CQ770" i="48"/>
  <c r="CQ773" i="48"/>
  <c r="CQ760" i="48"/>
  <c r="CR760" i="48" s="1"/>
  <c r="CQ758" i="48"/>
  <c r="CQ768" i="48"/>
  <c r="CQ763" i="48"/>
  <c r="CQ766" i="48"/>
  <c r="CQ776" i="48"/>
  <c r="CQ771" i="48"/>
  <c r="CQ774" i="48"/>
  <c r="CQ869" i="48"/>
  <c r="CQ864" i="48"/>
  <c r="CQ867" i="48"/>
  <c r="CQ854" i="48"/>
  <c r="CQ872" i="48"/>
  <c r="CQ859" i="48"/>
  <c r="CQ870" i="48"/>
  <c r="CQ865" i="48"/>
  <c r="CQ868" i="48"/>
  <c r="CQ863" i="48"/>
  <c r="CQ858" i="48"/>
  <c r="CQ855" i="48"/>
  <c r="CQ871" i="48"/>
  <c r="CQ856" i="48"/>
  <c r="CQ857" i="48"/>
  <c r="CQ860" i="48"/>
  <c r="CQ873" i="48"/>
  <c r="CQ853" i="48"/>
  <c r="CQ866" i="48"/>
  <c r="CQ861" i="48"/>
  <c r="CQ862" i="48"/>
  <c r="CQ1205" i="48"/>
  <c r="CQ1200" i="48"/>
  <c r="CQ1204" i="48"/>
  <c r="CQ1198" i="48"/>
  <c r="CQ1209" i="48"/>
  <c r="CQ1206" i="48"/>
  <c r="CQ1195" i="48"/>
  <c r="CQ1191" i="48"/>
  <c r="CQ1193" i="48"/>
  <c r="CQ1203" i="48"/>
  <c r="CQ1199" i="48"/>
  <c r="CQ1194" i="48"/>
  <c r="CQ1197" i="48"/>
  <c r="CQ1192" i="48"/>
  <c r="CQ1201" i="48"/>
  <c r="CQ1189" i="48"/>
  <c r="CQ1190" i="48"/>
  <c r="CQ1207" i="48"/>
  <c r="CQ1208" i="48"/>
  <c r="CQ1196" i="48"/>
  <c r="CQ1202" i="48"/>
  <c r="CQ976" i="48"/>
  <c r="CQ993" i="48"/>
  <c r="CQ987" i="48"/>
  <c r="CQ295" i="48"/>
  <c r="CQ281" i="48"/>
  <c r="CQ288" i="48"/>
  <c r="CQ379" i="48"/>
  <c r="CQ380" i="48"/>
  <c r="CQ140" i="48"/>
  <c r="CQ149" i="48"/>
  <c r="CQ344" i="48"/>
  <c r="CQ338" i="48"/>
  <c r="CQ1125" i="48"/>
  <c r="CQ1121" i="48"/>
  <c r="CQ1130" i="48"/>
  <c r="CQ1323" i="48"/>
  <c r="CQ1310" i="48"/>
  <c r="CR1310" i="48" s="1"/>
  <c r="CQ1324" i="48"/>
  <c r="CQ460" i="48"/>
  <c r="CQ451" i="48"/>
  <c r="CQ842" i="48"/>
  <c r="CQ841" i="48"/>
  <c r="CQ937" i="48"/>
  <c r="CQ822" i="48"/>
  <c r="CQ817" i="48"/>
  <c r="CQ820" i="48"/>
  <c r="CQ807" i="48"/>
  <c r="CQ825" i="48"/>
  <c r="CQ821" i="48"/>
  <c r="CQ815" i="48"/>
  <c r="CQ810" i="48"/>
  <c r="CQ805" i="48"/>
  <c r="CQ823" i="48"/>
  <c r="CQ818" i="48"/>
  <c r="CQ813" i="48"/>
  <c r="CQ808" i="48"/>
  <c r="CQ816" i="48"/>
  <c r="CQ811" i="48"/>
  <c r="CQ806" i="48"/>
  <c r="CQ824" i="48"/>
  <c r="CQ819" i="48"/>
  <c r="CQ814" i="48"/>
  <c r="CQ809" i="48"/>
  <c r="CQ812" i="48"/>
  <c r="CQ219" i="48"/>
  <c r="CQ222" i="48"/>
  <c r="CQ217" i="48"/>
  <c r="CQ212" i="48"/>
  <c r="CQ207" i="48"/>
  <c r="CQ225" i="48"/>
  <c r="CQ220" i="48"/>
  <c r="CQ208" i="48"/>
  <c r="CQ205" i="48"/>
  <c r="CQ216" i="48"/>
  <c r="CQ213" i="48"/>
  <c r="CQ224" i="48"/>
  <c r="CQ221" i="48"/>
  <c r="CQ209" i="48"/>
  <c r="CQ206" i="48"/>
  <c r="CQ210" i="48"/>
  <c r="CQ214" i="48"/>
  <c r="CQ218" i="48"/>
  <c r="CQ215" i="48"/>
  <c r="CQ211" i="48"/>
  <c r="CQ223" i="48"/>
  <c r="CQ425" i="48"/>
  <c r="CQ428" i="48"/>
  <c r="CQ433" i="48"/>
  <c r="CQ436" i="48"/>
  <c r="CQ423" i="48"/>
  <c r="CQ441" i="48"/>
  <c r="CQ421" i="48"/>
  <c r="CQ431" i="48"/>
  <c r="CQ426" i="48"/>
  <c r="CQ429" i="48"/>
  <c r="CQ439" i="48"/>
  <c r="CQ434" i="48"/>
  <c r="CQ437" i="48"/>
  <c r="CQ424" i="48"/>
  <c r="CQ438" i="48"/>
  <c r="CQ432" i="48"/>
  <c r="CQ427" i="48"/>
  <c r="CR427" i="48" s="1"/>
  <c r="CQ422" i="48"/>
  <c r="CQ440" i="48"/>
  <c r="CQ435" i="48"/>
  <c r="CQ430" i="48"/>
  <c r="CQ1046" i="48"/>
  <c r="CQ1064" i="48"/>
  <c r="CQ1059" i="48"/>
  <c r="CQ1054" i="48"/>
  <c r="CQ1049" i="48"/>
  <c r="CQ1060" i="48"/>
  <c r="CQ1048" i="48"/>
  <c r="CQ1045" i="48"/>
  <c r="CQ1056" i="48"/>
  <c r="CQ1053" i="48"/>
  <c r="CQ1057" i="48"/>
  <c r="CQ1061" i="48"/>
  <c r="CQ1065" i="48"/>
  <c r="CQ1062" i="48"/>
  <c r="CQ1050" i="48"/>
  <c r="CQ1047" i="48"/>
  <c r="CQ1058" i="48"/>
  <c r="CQ1055" i="48"/>
  <c r="CQ1052" i="48"/>
  <c r="CQ1063" i="48"/>
  <c r="CQ1051" i="48"/>
  <c r="CQ989" i="48"/>
  <c r="CQ975" i="48"/>
  <c r="CR975" i="48" s="1"/>
  <c r="CQ992" i="48"/>
  <c r="CQ294" i="48"/>
  <c r="CQ293" i="48"/>
  <c r="CQ385" i="48"/>
  <c r="CQ376" i="48"/>
  <c r="CQ138" i="48"/>
  <c r="CQ137" i="48"/>
  <c r="CQ343" i="48"/>
  <c r="CQ1124" i="48"/>
  <c r="CQ1126" i="48"/>
  <c r="CQ1135" i="48"/>
  <c r="CQ1314" i="48"/>
  <c r="CQ1312" i="48"/>
  <c r="CR1312" i="48" s="1"/>
  <c r="CQ448" i="48"/>
  <c r="CQ457" i="48"/>
  <c r="CQ464" i="48"/>
  <c r="CQ837" i="48"/>
  <c r="CQ831" i="48"/>
  <c r="CQ840" i="48"/>
  <c r="CQ942" i="48"/>
  <c r="CQ936" i="48"/>
  <c r="CQ935" i="48"/>
  <c r="CQ781" i="48"/>
  <c r="CQ799" i="48"/>
  <c r="CQ786" i="48"/>
  <c r="CQ789" i="48"/>
  <c r="CQ784" i="48"/>
  <c r="CQ788" i="48"/>
  <c r="CQ792" i="48"/>
  <c r="CQ796" i="48"/>
  <c r="CQ800" i="48"/>
  <c r="CQ797" i="48"/>
  <c r="CQ785" i="48"/>
  <c r="CQ782" i="48"/>
  <c r="CQ793" i="48"/>
  <c r="CQ794" i="48"/>
  <c r="CQ790" i="48"/>
  <c r="CQ801" i="48"/>
  <c r="CQ798" i="48"/>
  <c r="CQ787" i="48"/>
  <c r="CQ783" i="48"/>
  <c r="CQ795" i="48"/>
  <c r="CQ791" i="48"/>
  <c r="CQ1152" i="48"/>
  <c r="CQ1147" i="48"/>
  <c r="CQ1142" i="48"/>
  <c r="CQ1160" i="48"/>
  <c r="CQ1155" i="48"/>
  <c r="CQ1150" i="48"/>
  <c r="CQ1161" i="48"/>
  <c r="CQ1157" i="48"/>
  <c r="CQ1158" i="48"/>
  <c r="CQ1146" i="48"/>
  <c r="CQ1143" i="48"/>
  <c r="CQ1154" i="48"/>
  <c r="CQ1151" i="48"/>
  <c r="CQ1162" i="48"/>
  <c r="CQ1159" i="48"/>
  <c r="CQ1148" i="48"/>
  <c r="CQ1144" i="48"/>
  <c r="CQ1156" i="48"/>
  <c r="CQ1145" i="48"/>
  <c r="CQ1141" i="48"/>
  <c r="CQ1153" i="48"/>
  <c r="CQ1149" i="48"/>
  <c r="CQ986" i="48"/>
  <c r="CQ988" i="48"/>
  <c r="CQ297" i="48"/>
  <c r="CQ291" i="48"/>
  <c r="CQ390" i="48"/>
  <c r="CQ143" i="48"/>
  <c r="CQ142" i="48"/>
  <c r="CQ1326" i="48"/>
  <c r="CQ453" i="48"/>
  <c r="CQ447" i="48"/>
  <c r="CR447" i="48" s="1"/>
  <c r="CQ834" i="48"/>
  <c r="CQ939" i="48"/>
  <c r="CQ941" i="48"/>
  <c r="CQ322" i="48"/>
  <c r="CQ922" i="48"/>
  <c r="CQ130" i="48"/>
  <c r="CQ610" i="48"/>
  <c r="CQ394" i="48"/>
  <c r="CQ466" i="48"/>
  <c r="CQ730" i="48"/>
  <c r="CQ994" i="48"/>
  <c r="CQ826" i="48"/>
  <c r="CQ370" i="48"/>
  <c r="CQ970" i="48"/>
  <c r="CQ754" i="48"/>
  <c r="CQ442" i="48"/>
  <c r="CQ202" i="48"/>
  <c r="CQ274" i="48"/>
  <c r="CQ1042" i="48"/>
  <c r="CQ226" i="48"/>
  <c r="CQ946" i="48"/>
  <c r="CQ778" i="48"/>
  <c r="CQ1234" i="48"/>
  <c r="CQ802" i="48"/>
  <c r="CQ1090" i="48"/>
  <c r="CQ706" i="48"/>
  <c r="CQ154" i="48"/>
  <c r="CQ1138" i="48"/>
  <c r="CQ514" i="48"/>
  <c r="CQ562" i="48"/>
  <c r="CQ82" i="48"/>
  <c r="CQ418" i="48"/>
  <c r="CQ298" i="48"/>
  <c r="CQ1114" i="48"/>
  <c r="CQ346" i="48"/>
  <c r="CQ658" i="48"/>
  <c r="CQ250" i="48"/>
  <c r="CQ898" i="48"/>
  <c r="CQ850" i="48"/>
  <c r="CQ1210" i="48"/>
  <c r="CQ1330" i="48"/>
  <c r="CQ1186" i="48"/>
  <c r="CQ178" i="48"/>
  <c r="CQ538" i="48"/>
  <c r="CQ874" i="48"/>
  <c r="CQ586" i="48"/>
  <c r="CQ1282" i="48"/>
  <c r="CQ1066" i="48"/>
  <c r="CQ634" i="48"/>
  <c r="CQ106" i="48"/>
  <c r="CQ1258" i="48"/>
  <c r="CQ490" i="48"/>
  <c r="CQ58" i="48"/>
  <c r="CR59" i="48" l="1"/>
  <c r="CT851" i="48"/>
  <c r="CT83" i="48"/>
  <c r="CR230" i="48"/>
  <c r="CR232" i="48"/>
  <c r="CR235" i="48"/>
  <c r="CU446" i="48"/>
  <c r="CU327" i="48"/>
  <c r="CY327" i="48" s="1"/>
  <c r="DH327" i="48" s="1"/>
  <c r="V327" i="48" s="1"/>
  <c r="AC327" i="48" s="1"/>
  <c r="CR83" i="48"/>
  <c r="CR304" i="48"/>
  <c r="CR257" i="48"/>
  <c r="CR855" i="48"/>
  <c r="CT347" i="48"/>
  <c r="CT155" i="48"/>
  <c r="CT1043" i="48"/>
  <c r="CT1139" i="48"/>
  <c r="CT635" i="48"/>
  <c r="CT467" i="48"/>
  <c r="DH467" i="48" s="1"/>
  <c r="V467" i="48" s="1"/>
  <c r="CT1211" i="48"/>
  <c r="CT107" i="48"/>
  <c r="CT131" i="48"/>
  <c r="CT323" i="48"/>
  <c r="CR426" i="48"/>
  <c r="CR713" i="48"/>
  <c r="CR593" i="48"/>
  <c r="CR187" i="48"/>
  <c r="CR568" i="48"/>
  <c r="CR258" i="48"/>
  <c r="CR401" i="48"/>
  <c r="CR494" i="48"/>
  <c r="CR1097" i="48"/>
  <c r="CR233" i="48"/>
  <c r="CR1143" i="48"/>
  <c r="CR1263" i="48"/>
  <c r="CR1241" i="48"/>
  <c r="CR834" i="48"/>
  <c r="CR211" i="48"/>
  <c r="CR1240" i="48"/>
  <c r="CT1283" i="48"/>
  <c r="CT875" i="48"/>
  <c r="CT251" i="48"/>
  <c r="CT515" i="48"/>
  <c r="CT947" i="48"/>
  <c r="CT371" i="48"/>
  <c r="CT923" i="48"/>
  <c r="CR1238" i="48"/>
  <c r="CR571" i="48"/>
  <c r="CR906" i="48"/>
  <c r="CT611" i="48"/>
  <c r="CT971" i="48"/>
  <c r="CT491" i="48"/>
  <c r="CT539" i="48"/>
  <c r="CT659" i="48"/>
  <c r="CT227" i="48"/>
  <c r="CT827" i="48"/>
  <c r="CT1307" i="48"/>
  <c r="CT779" i="48"/>
  <c r="CT1259" i="48"/>
  <c r="CT179" i="48"/>
  <c r="CT995" i="48"/>
  <c r="CT755" i="48"/>
  <c r="CT563" i="48"/>
  <c r="CT1187" i="48"/>
  <c r="CT1115" i="48"/>
  <c r="CT707" i="48"/>
  <c r="CT275" i="48"/>
  <c r="CT731" i="48"/>
  <c r="CT587" i="48"/>
  <c r="CT1163" i="48"/>
  <c r="CT1019" i="48"/>
  <c r="CT1331" i="48"/>
  <c r="CT299" i="48"/>
  <c r="CT203" i="48"/>
  <c r="CT1235" i="48"/>
  <c r="CT899" i="48"/>
  <c r="CT1091" i="48"/>
  <c r="CT1067" i="48"/>
  <c r="CT419" i="48"/>
  <c r="CT803" i="48"/>
  <c r="CT443" i="48"/>
  <c r="CT395" i="48"/>
  <c r="CR351" i="48"/>
  <c r="CR694" i="48"/>
  <c r="CR130" i="48"/>
  <c r="CR291" i="48"/>
  <c r="CR774" i="48"/>
  <c r="CR550" i="48"/>
  <c r="CR270" i="48"/>
  <c r="CR1295" i="48"/>
  <c r="CR190" i="48"/>
  <c r="CR501" i="48"/>
  <c r="CR248" i="48"/>
  <c r="CR959" i="48"/>
  <c r="CR956" i="48"/>
  <c r="CR69" i="48"/>
  <c r="CR909" i="48"/>
  <c r="CR634" i="48"/>
  <c r="CR466" i="48"/>
  <c r="CR142" i="48"/>
  <c r="CR297" i="48"/>
  <c r="CR1153" i="48"/>
  <c r="CR435" i="48"/>
  <c r="CR1207" i="48"/>
  <c r="CR771" i="48"/>
  <c r="CR770" i="48"/>
  <c r="CR557" i="48"/>
  <c r="CR267" i="48"/>
  <c r="CR1133" i="48"/>
  <c r="CR317" i="48"/>
  <c r="CR573" i="48"/>
  <c r="CR1182" i="48"/>
  <c r="CR536" i="48"/>
  <c r="CR359" i="48"/>
  <c r="CR480" i="48"/>
  <c r="CR57" i="48"/>
  <c r="CR724" i="48"/>
  <c r="CR507" i="48"/>
  <c r="CR504" i="48"/>
  <c r="CR506" i="48"/>
  <c r="CR1014" i="48"/>
  <c r="CR649" i="48"/>
  <c r="CR1029" i="48"/>
  <c r="CR96" i="48"/>
  <c r="CR964" i="48"/>
  <c r="CR961" i="48"/>
  <c r="CR106" i="48"/>
  <c r="CR288" i="48"/>
  <c r="CR773" i="48"/>
  <c r="CR1251" i="48"/>
  <c r="CR369" i="48"/>
  <c r="CR502" i="48"/>
  <c r="CR1009" i="48"/>
  <c r="CR1035" i="48"/>
  <c r="CR1106" i="48"/>
  <c r="CR1210" i="48"/>
  <c r="CR1138" i="48"/>
  <c r="CR322" i="48"/>
  <c r="CR840" i="48"/>
  <c r="CR1135" i="48"/>
  <c r="CR293" i="48"/>
  <c r="CR440" i="48"/>
  <c r="CR776" i="48"/>
  <c r="CR261" i="48"/>
  <c r="CR273" i="48"/>
  <c r="CR272" i="48"/>
  <c r="CR1302" i="48"/>
  <c r="CR315" i="48"/>
  <c r="CR606" i="48"/>
  <c r="CR200" i="48"/>
  <c r="CR512" i="48"/>
  <c r="CR511" i="48"/>
  <c r="CR1017" i="48"/>
  <c r="CR654" i="48"/>
  <c r="CR653" i="48"/>
  <c r="CR148" i="48"/>
  <c r="CR1033" i="48"/>
  <c r="CR238" i="48"/>
  <c r="CR120" i="48"/>
  <c r="CR623" i="48"/>
  <c r="CR969" i="48"/>
  <c r="CR966" i="48"/>
  <c r="CR72" i="48"/>
  <c r="CR702" i="48"/>
  <c r="CR553" i="48"/>
  <c r="CR552" i="48"/>
  <c r="CR309" i="48"/>
  <c r="CR527" i="48"/>
  <c r="CR416" i="48"/>
  <c r="CR70" i="48"/>
  <c r="CR346" i="48"/>
  <c r="CR154" i="48"/>
  <c r="CR1042" i="48"/>
  <c r="CR941" i="48"/>
  <c r="CR453" i="48"/>
  <c r="CR429" i="48"/>
  <c r="CR873" i="48"/>
  <c r="CR603" i="48"/>
  <c r="CR600" i="48"/>
  <c r="CR361" i="48"/>
  <c r="CR411" i="48"/>
  <c r="CR408" i="48"/>
  <c r="CR1276" i="48"/>
  <c r="CR1275" i="48"/>
  <c r="CR1274" i="48"/>
  <c r="CR1039" i="48"/>
  <c r="CR1038" i="48"/>
  <c r="CR243" i="48"/>
  <c r="CR240" i="48"/>
  <c r="CR125" i="48"/>
  <c r="CR1109" i="48"/>
  <c r="CR81" i="48"/>
  <c r="CR432" i="48"/>
  <c r="CR608" i="48"/>
  <c r="CR590" i="48"/>
  <c r="CR826" i="48"/>
  <c r="CR355" i="48"/>
  <c r="CR499" i="48"/>
  <c r="CR306" i="48"/>
  <c r="CR598" i="48"/>
  <c r="CR648" i="48"/>
  <c r="CR874" i="48"/>
  <c r="CR1090" i="48"/>
  <c r="CR922" i="48"/>
  <c r="CR1144" i="48"/>
  <c r="CR797" i="48"/>
  <c r="CR464" i="48"/>
  <c r="CR1314" i="48"/>
  <c r="CR1050" i="48"/>
  <c r="CR1057" i="48"/>
  <c r="CR214" i="48"/>
  <c r="CR221" i="48"/>
  <c r="CR140" i="48"/>
  <c r="CR281" i="48"/>
  <c r="CR1192" i="48"/>
  <c r="CR870" i="48"/>
  <c r="CR158" i="48"/>
  <c r="CR165" i="48"/>
  <c r="CR333" i="48"/>
  <c r="CR375" i="48"/>
  <c r="CR44" i="48"/>
  <c r="CR393" i="48"/>
  <c r="CR490" i="48"/>
  <c r="CR538" i="48"/>
  <c r="CR658" i="48"/>
  <c r="CR418" i="48"/>
  <c r="CR102" i="48"/>
  <c r="CR86" i="48"/>
  <c r="CR629" i="48"/>
  <c r="CR618" i="48"/>
  <c r="CR952" i="48"/>
  <c r="CR1098" i="48"/>
  <c r="CR1103" i="48"/>
  <c r="CR904" i="48"/>
  <c r="CR586" i="48"/>
  <c r="CR706" i="48"/>
  <c r="CR939" i="48"/>
  <c r="CR1326" i="48"/>
  <c r="CR992" i="48"/>
  <c r="CR932" i="48"/>
  <c r="CR1128" i="48"/>
  <c r="CR1066" i="48"/>
  <c r="CR802" i="48"/>
  <c r="CR442" i="48"/>
  <c r="CR988" i="48"/>
  <c r="CR808" i="48"/>
  <c r="CR380" i="48"/>
  <c r="CR1190" i="48"/>
  <c r="CR1197" i="48"/>
  <c r="CR765" i="48"/>
  <c r="CR543" i="48"/>
  <c r="CR555" i="48"/>
  <c r="CR546" i="48"/>
  <c r="CR1301" i="48"/>
  <c r="CR389" i="48"/>
  <c r="CR314" i="48"/>
  <c r="CR885" i="48"/>
  <c r="CR897" i="48"/>
  <c r="CR584" i="48"/>
  <c r="CR575" i="48"/>
  <c r="CR1166" i="48"/>
  <c r="CR520" i="48"/>
  <c r="CR367" i="48"/>
  <c r="CR194" i="48"/>
  <c r="CR487" i="48"/>
  <c r="CR1012" i="48"/>
  <c r="CR241" i="48"/>
  <c r="CR122" i="48"/>
  <c r="CR119" i="48"/>
  <c r="CR620" i="48"/>
  <c r="CR74" i="48"/>
  <c r="CR298" i="48"/>
  <c r="CR558" i="48"/>
  <c r="CR1162" i="48"/>
  <c r="CR783" i="48"/>
  <c r="CR790" i="48"/>
  <c r="CR936" i="48"/>
  <c r="CR1047" i="48"/>
  <c r="CR218" i="48"/>
  <c r="CR216" i="48"/>
  <c r="CR814" i="48"/>
  <c r="CR811" i="48"/>
  <c r="CR485" i="48"/>
  <c r="CR265" i="48"/>
  <c r="CR1199" i="48"/>
  <c r="CR763" i="48"/>
  <c r="CR263" i="48"/>
  <c r="CR177" i="48"/>
  <c r="CR1290" i="48"/>
  <c r="CR358" i="48"/>
  <c r="CR711" i="48"/>
  <c r="CR595" i="48"/>
  <c r="CR406" i="48"/>
  <c r="CR1016" i="48"/>
  <c r="CR605" i="48"/>
  <c r="CR430" i="48"/>
  <c r="CR76" i="48"/>
  <c r="CR1299" i="48"/>
  <c r="CR767" i="48"/>
  <c r="CR1323" i="48"/>
  <c r="CR1006" i="48"/>
  <c r="CR1026" i="48"/>
  <c r="CR329" i="48"/>
  <c r="CR917" i="48"/>
  <c r="CR691" i="48"/>
  <c r="CR701" i="48"/>
  <c r="CR388" i="48"/>
  <c r="CR382" i="48"/>
  <c r="CR1114" i="48"/>
  <c r="CR837" i="48"/>
  <c r="CR980" i="48"/>
  <c r="CR962" i="48"/>
  <c r="CR1105" i="48"/>
  <c r="CR64" i="48"/>
  <c r="CR394" i="48"/>
  <c r="CR143" i="48"/>
  <c r="CR798" i="48"/>
  <c r="CR800" i="48"/>
  <c r="CR457" i="48"/>
  <c r="CR1060" i="48"/>
  <c r="CR208" i="48"/>
  <c r="CR824" i="48"/>
  <c r="CR822" i="48"/>
  <c r="CR1193" i="48"/>
  <c r="CR863" i="48"/>
  <c r="CR758" i="48"/>
  <c r="CR560" i="48"/>
  <c r="CR166" i="48"/>
  <c r="CR171" i="48"/>
  <c r="CR1306" i="48"/>
  <c r="CR844" i="48"/>
  <c r="CR1134" i="48"/>
  <c r="CR982" i="48"/>
  <c r="CR1239" i="48"/>
  <c r="CR891" i="48"/>
  <c r="CR1184" i="48"/>
  <c r="CR353" i="48"/>
  <c r="CR198" i="48"/>
  <c r="CR40" i="48"/>
  <c r="CR38" i="48"/>
  <c r="CR729" i="48"/>
  <c r="CR508" i="48"/>
  <c r="CR1318" i="48"/>
  <c r="CR739" i="48"/>
  <c r="CR402" i="48"/>
  <c r="CR1085" i="48"/>
  <c r="CR1081" i="48"/>
  <c r="CR1229" i="48"/>
  <c r="CR1215" i="48"/>
  <c r="CR1280" i="48"/>
  <c r="CR1030" i="48"/>
  <c r="CR1032" i="48"/>
  <c r="CR234" i="48"/>
  <c r="CR1258" i="48"/>
  <c r="CR1282" i="48"/>
  <c r="CR1234" i="48"/>
  <c r="CR610" i="48"/>
  <c r="CR1130" i="48"/>
  <c r="CR1320" i="48"/>
  <c r="CR58" i="48"/>
  <c r="CT59" i="48"/>
  <c r="CR562" i="48"/>
  <c r="CR376" i="48"/>
  <c r="CR284" i="48"/>
  <c r="CR850" i="48"/>
  <c r="CR390" i="48"/>
  <c r="CR986" i="48"/>
  <c r="CR935" i="48"/>
  <c r="CR1126" i="48"/>
  <c r="CR379" i="48"/>
  <c r="CR1119" i="48"/>
  <c r="CR884" i="48"/>
  <c r="CR722" i="48"/>
  <c r="CR998" i="48"/>
  <c r="CR1011" i="48"/>
  <c r="CR1015" i="48"/>
  <c r="CR651" i="48"/>
  <c r="CR656" i="48"/>
  <c r="CR1316" i="48"/>
  <c r="CR744" i="48"/>
  <c r="CR1083" i="48"/>
  <c r="CR1080" i="48"/>
  <c r="CR1226" i="48"/>
  <c r="CR1266" i="48"/>
  <c r="CR1186" i="48"/>
  <c r="CR898" i="48"/>
  <c r="CR778" i="48"/>
  <c r="CR970" i="48"/>
  <c r="CR730" i="48"/>
  <c r="CR1156" i="48"/>
  <c r="CR1124" i="48"/>
  <c r="CR437" i="48"/>
  <c r="CR209" i="48"/>
  <c r="CR818" i="48"/>
  <c r="CR1121" i="48"/>
  <c r="CR149" i="48"/>
  <c r="CR1201" i="48"/>
  <c r="CR268" i="48"/>
  <c r="CR175" i="48"/>
  <c r="CR159" i="48"/>
  <c r="CR1294" i="48"/>
  <c r="CR1297" i="48"/>
  <c r="CR318" i="48"/>
  <c r="CR887" i="48"/>
  <c r="CR1168" i="48"/>
  <c r="CR1178" i="48"/>
  <c r="CR533" i="48"/>
  <c r="CR522" i="48"/>
  <c r="CR524" i="48"/>
  <c r="CR192" i="48"/>
  <c r="CR726" i="48"/>
  <c r="CR645" i="48"/>
  <c r="CR929" i="48"/>
  <c r="CR736" i="48"/>
  <c r="CR741" i="48"/>
  <c r="CR753" i="48"/>
  <c r="CR399" i="48"/>
  <c r="CR413" i="48"/>
  <c r="CR1074" i="48"/>
  <c r="CR1071" i="48"/>
  <c r="CR1221" i="48"/>
  <c r="CR1269" i="48"/>
  <c r="CR1023" i="48"/>
  <c r="CR236" i="48"/>
  <c r="CR245" i="48"/>
  <c r="CR112" i="48"/>
  <c r="CR129" i="48"/>
  <c r="CR98" i="48"/>
  <c r="CR93" i="48"/>
  <c r="CR686" i="48"/>
  <c r="CR1330" i="48"/>
  <c r="CR514" i="48"/>
  <c r="CR343" i="48"/>
  <c r="CR385" i="48"/>
  <c r="CR434" i="48"/>
  <c r="CR823" i="48"/>
  <c r="CR561" i="48"/>
  <c r="CR482" i="48"/>
  <c r="CR39" i="48"/>
  <c r="CR848" i="48"/>
  <c r="CR632" i="48"/>
  <c r="CR250" i="48"/>
  <c r="CR946" i="48"/>
  <c r="CR202" i="48"/>
  <c r="CR370" i="48"/>
  <c r="CR1151" i="48"/>
  <c r="CR787" i="48"/>
  <c r="CR223" i="48"/>
  <c r="CR819" i="48"/>
  <c r="CR816" i="48"/>
  <c r="CR821" i="48"/>
  <c r="CR866" i="48"/>
  <c r="CR768" i="48"/>
  <c r="CR1248" i="48"/>
  <c r="CR1255" i="48"/>
  <c r="CR579" i="48"/>
  <c r="CR570" i="48"/>
  <c r="CR478" i="48"/>
  <c r="CR56" i="48"/>
  <c r="CR1129" i="48"/>
  <c r="CR279" i="48"/>
  <c r="CR727" i="48"/>
  <c r="CR646" i="48"/>
  <c r="CR1225" i="48"/>
  <c r="CR387" i="48"/>
  <c r="CR90" i="48"/>
  <c r="CR92" i="48"/>
  <c r="CR621" i="48"/>
  <c r="CR967" i="48"/>
  <c r="CR1101" i="48"/>
  <c r="CR1113" i="48"/>
  <c r="CR1095" i="48"/>
  <c r="CR77" i="48"/>
  <c r="CR918" i="48"/>
  <c r="CR695" i="48"/>
  <c r="CR688" i="48"/>
  <c r="CR861" i="48"/>
  <c r="CR226" i="48"/>
  <c r="CR1148" i="48"/>
  <c r="CR1157" i="48"/>
  <c r="CR791" i="48"/>
  <c r="CR793" i="48"/>
  <c r="CR137" i="48"/>
  <c r="CR1055" i="48"/>
  <c r="CR1062" i="48"/>
  <c r="CR1053" i="48"/>
  <c r="CR438" i="48"/>
  <c r="CR210" i="48"/>
  <c r="CR812" i="48"/>
  <c r="CR451" i="48"/>
  <c r="CR338" i="48"/>
  <c r="CR1202" i="48"/>
  <c r="CR1205" i="48"/>
  <c r="CR856" i="48"/>
  <c r="CR859" i="48"/>
  <c r="CR260" i="48"/>
  <c r="CR271" i="48"/>
  <c r="CR162" i="48"/>
  <c r="CR169" i="48"/>
  <c r="CR160" i="48"/>
  <c r="CR1304" i="48"/>
  <c r="CR319" i="48"/>
  <c r="CR321" i="48"/>
  <c r="CR310" i="48"/>
  <c r="CR591" i="48"/>
  <c r="CR1252" i="48"/>
  <c r="CR894" i="48"/>
  <c r="CR888" i="48"/>
  <c r="CR569" i="48"/>
  <c r="CR1179" i="48"/>
  <c r="CR534" i="48"/>
  <c r="CR364" i="48"/>
  <c r="CR475" i="48"/>
  <c r="CR484" i="48"/>
  <c r="CR52" i="48"/>
  <c r="CR930" i="48"/>
  <c r="CR1329" i="48"/>
  <c r="CR384" i="48"/>
  <c r="CR1010" i="48"/>
  <c r="CR643" i="48"/>
  <c r="CR1137" i="48"/>
  <c r="CR748" i="48"/>
  <c r="CR405" i="48"/>
  <c r="CR1232" i="48"/>
  <c r="CR1218" i="48"/>
  <c r="CR1036" i="48"/>
  <c r="CR116" i="48"/>
  <c r="CR113" i="48"/>
  <c r="CR110" i="48"/>
  <c r="CR1100" i="48"/>
  <c r="CR71" i="48"/>
  <c r="CR910" i="48"/>
  <c r="CR178" i="48"/>
  <c r="CR82" i="48"/>
  <c r="CR754" i="48"/>
  <c r="CR994" i="48"/>
  <c r="CR1145" i="48"/>
  <c r="CR1159" i="48"/>
  <c r="CR795" i="48"/>
  <c r="CR831" i="48"/>
  <c r="CR1051" i="48"/>
  <c r="CR1058" i="48"/>
  <c r="CR1065" i="48"/>
  <c r="CR422" i="48"/>
  <c r="CR424" i="48"/>
  <c r="CR460" i="48"/>
  <c r="CR1196" i="48"/>
  <c r="CR862" i="48"/>
  <c r="CR871" i="48"/>
  <c r="CR868" i="48"/>
  <c r="CR762" i="48"/>
  <c r="CR173" i="48"/>
  <c r="CR1289" i="48"/>
  <c r="CR1300" i="48"/>
  <c r="CR312" i="48"/>
  <c r="CR303" i="48"/>
  <c r="CR307" i="48"/>
  <c r="CR602" i="48"/>
  <c r="CR599" i="48"/>
  <c r="CR1249" i="48"/>
  <c r="CR1245" i="48"/>
  <c r="CR1243" i="48"/>
  <c r="CR1256" i="48"/>
  <c r="CR882" i="48"/>
  <c r="CR879" i="48"/>
  <c r="CR896" i="48"/>
  <c r="CR581" i="48"/>
  <c r="CR576" i="48"/>
  <c r="CR566" i="48"/>
  <c r="CR583" i="48"/>
  <c r="CR1172" i="48"/>
  <c r="CR1174" i="48"/>
  <c r="CR1170" i="48"/>
  <c r="CR528" i="48"/>
  <c r="CR525" i="48"/>
  <c r="CR537" i="48"/>
  <c r="CR531" i="48"/>
  <c r="CR366" i="48"/>
  <c r="CR360" i="48"/>
  <c r="CR195" i="48"/>
  <c r="CR193" i="48"/>
  <c r="CR488" i="48"/>
  <c r="CR472" i="48"/>
  <c r="CR42" i="48"/>
  <c r="CR49" i="48"/>
  <c r="CR46" i="48"/>
  <c r="CR716" i="48"/>
  <c r="CR718" i="48"/>
  <c r="CR1003" i="48"/>
  <c r="CR1005" i="48"/>
  <c r="CR640" i="48"/>
  <c r="CR751" i="48"/>
  <c r="CR742" i="48"/>
  <c r="CR417" i="48"/>
  <c r="CR414" i="48"/>
  <c r="CR1077" i="48"/>
  <c r="CR1089" i="48"/>
  <c r="CR1086" i="48"/>
  <c r="CR392" i="48"/>
  <c r="CR1219" i="48"/>
  <c r="CR1223" i="48"/>
  <c r="CR1270" i="48"/>
  <c r="CR1273" i="48"/>
  <c r="CR1041" i="48"/>
  <c r="CR246" i="48"/>
  <c r="CR127" i="48"/>
  <c r="CR124" i="48"/>
  <c r="CR118" i="48"/>
  <c r="CR101" i="48"/>
  <c r="CR88" i="48"/>
  <c r="CR626" i="48"/>
  <c r="CR631" i="48"/>
  <c r="CR628" i="48"/>
  <c r="CR617" i="48"/>
  <c r="CR957" i="48"/>
  <c r="CR1111" i="48"/>
  <c r="CR1108" i="48"/>
  <c r="CR1096" i="48"/>
  <c r="CR79" i="48"/>
  <c r="CR919" i="48"/>
  <c r="CR914" i="48"/>
  <c r="CR921" i="48"/>
  <c r="CR912" i="48"/>
  <c r="CR903" i="48"/>
  <c r="CR703" i="48"/>
  <c r="CR698" i="48"/>
  <c r="CR689" i="48"/>
  <c r="CR696" i="48"/>
  <c r="CR705" i="48"/>
  <c r="CR274" i="48"/>
  <c r="CR1149" i="48"/>
  <c r="CR1146" i="48"/>
  <c r="CR1150" i="48"/>
  <c r="CR1147" i="48"/>
  <c r="CR785" i="48"/>
  <c r="CR792" i="48"/>
  <c r="CR786" i="48"/>
  <c r="CR1063" i="48"/>
  <c r="CR1061" i="48"/>
  <c r="V1046" i="48"/>
  <c r="AC1046" i="48" s="1"/>
  <c r="CR1045" i="48"/>
  <c r="CR1054" i="48"/>
  <c r="CR423" i="48"/>
  <c r="CR425" i="48"/>
  <c r="CR225" i="48"/>
  <c r="CR222" i="48"/>
  <c r="CR815" i="48"/>
  <c r="CR820" i="48"/>
  <c r="CR841" i="48"/>
  <c r="CR1324" i="48"/>
  <c r="CR993" i="48"/>
  <c r="CR1208" i="48"/>
  <c r="CR1195" i="48"/>
  <c r="CR1204" i="48"/>
  <c r="CR860" i="48"/>
  <c r="CR865" i="48"/>
  <c r="CR854" i="48"/>
  <c r="CR772" i="48"/>
  <c r="CR761" i="48"/>
  <c r="CR549" i="48"/>
  <c r="CR551" i="48"/>
  <c r="CR259" i="48"/>
  <c r="CR269" i="48"/>
  <c r="CR168" i="48"/>
  <c r="CR161" i="48"/>
  <c r="CR1291" i="48"/>
  <c r="CR1288" i="48"/>
  <c r="CR454" i="48"/>
  <c r="CR1311" i="48"/>
  <c r="CR340" i="48"/>
  <c r="CR150" i="48"/>
  <c r="CR320" i="48"/>
  <c r="CR311" i="48"/>
  <c r="CR308" i="48"/>
  <c r="CR596" i="48"/>
  <c r="CR607" i="48"/>
  <c r="V590" i="48"/>
  <c r="AC590" i="48" s="1"/>
  <c r="CR589" i="48"/>
  <c r="CR601" i="48"/>
  <c r="CR1246" i="48"/>
  <c r="CR1247" i="48"/>
  <c r="CR1250" i="48"/>
  <c r="CR1254" i="48"/>
  <c r="CR892" i="48"/>
  <c r="CR881" i="48"/>
  <c r="CR878" i="48"/>
  <c r="CR893" i="48"/>
  <c r="CR580" i="48"/>
  <c r="CR582" i="48"/>
  <c r="V566" i="48"/>
  <c r="AC566" i="48" s="1"/>
  <c r="CR565" i="48"/>
  <c r="CR567" i="48"/>
  <c r="CR1180" i="48"/>
  <c r="CR1171" i="48"/>
  <c r="CR1173" i="48"/>
  <c r="CR1169" i="48"/>
  <c r="CR526" i="48"/>
  <c r="CR363" i="48"/>
  <c r="CR350" i="48"/>
  <c r="CR368" i="48"/>
  <c r="CR188" i="48"/>
  <c r="CR189" i="48"/>
  <c r="CR201" i="48"/>
  <c r="CR473" i="48"/>
  <c r="CR470" i="48"/>
  <c r="CR477" i="48"/>
  <c r="CR474" i="48"/>
  <c r="CR471" i="48"/>
  <c r="CR483" i="48"/>
  <c r="CR47" i="48"/>
  <c r="CR54" i="48"/>
  <c r="CR51" i="48"/>
  <c r="CR48" i="48"/>
  <c r="CR55" i="48"/>
  <c r="CR927" i="48"/>
  <c r="CR459" i="48"/>
  <c r="CR145" i="48"/>
  <c r="CR983" i="48"/>
  <c r="CR719" i="48"/>
  <c r="CR715" i="48"/>
  <c r="CR720" i="48"/>
  <c r="CR717" i="48"/>
  <c r="CR498" i="48"/>
  <c r="CR500" i="48"/>
  <c r="CR1000" i="48"/>
  <c r="CR1018" i="48"/>
  <c r="CR1004" i="48"/>
  <c r="CR1008" i="48"/>
  <c r="CR1002" i="48"/>
  <c r="CR641" i="48"/>
  <c r="CR638" i="48"/>
  <c r="CR642" i="48"/>
  <c r="CR639" i="48"/>
  <c r="CR462" i="48"/>
  <c r="CR1131" i="48"/>
  <c r="CR151" i="48"/>
  <c r="CR383" i="48"/>
  <c r="CR750" i="48"/>
  <c r="CR747" i="48"/>
  <c r="CR404" i="48"/>
  <c r="CR415" i="48"/>
  <c r="V1070" i="48"/>
  <c r="AC1070" i="48" s="1"/>
  <c r="CR1069" i="48"/>
  <c r="CR1076" i="48"/>
  <c r="CR1088" i="48"/>
  <c r="CR1072" i="48"/>
  <c r="CR846" i="48"/>
  <c r="CR1328" i="48"/>
  <c r="CR334" i="48"/>
  <c r="CR152" i="48"/>
  <c r="CR377" i="48"/>
  <c r="CR990" i="48"/>
  <c r="CR1217" i="48"/>
  <c r="CR1224" i="48"/>
  <c r="CR1231" i="48"/>
  <c r="CR1222" i="48"/>
  <c r="CR1272" i="48"/>
  <c r="CR1278" i="48"/>
  <c r="CR1262" i="48"/>
  <c r="V1022" i="48"/>
  <c r="AC1022" i="48" s="1"/>
  <c r="CR1021" i="48"/>
  <c r="CR1040" i="48"/>
  <c r="CR1034" i="48"/>
  <c r="CR247" i="48"/>
  <c r="CR249" i="48"/>
  <c r="V110" i="48"/>
  <c r="AC110" i="48" s="1"/>
  <c r="CR109" i="48"/>
  <c r="CR126" i="48"/>
  <c r="CR115" i="48"/>
  <c r="CR945" i="48"/>
  <c r="CR450" i="48"/>
  <c r="CR1136" i="48"/>
  <c r="CR336" i="48"/>
  <c r="CR386" i="48"/>
  <c r="CR287" i="48"/>
  <c r="CR99" i="48"/>
  <c r="CR105" i="48"/>
  <c r="CR87" i="48"/>
  <c r="CR91" i="48"/>
  <c r="CR624" i="48"/>
  <c r="V614" i="48"/>
  <c r="AC614" i="48" s="1"/>
  <c r="CR613" i="48"/>
  <c r="CR625" i="48"/>
  <c r="CR630" i="48"/>
  <c r="CR616" i="48"/>
  <c r="CR958" i="48"/>
  <c r="CR955" i="48"/>
  <c r="V1094" i="48"/>
  <c r="AC1094" i="48" s="1"/>
  <c r="CR1093" i="48"/>
  <c r="CR1110" i="48"/>
  <c r="CR1099" i="48"/>
  <c r="CR68" i="48"/>
  <c r="CR80" i="48"/>
  <c r="CR907" i="48"/>
  <c r="CR902" i="48"/>
  <c r="CR911" i="48"/>
  <c r="CR908" i="48"/>
  <c r="CR693" i="48"/>
  <c r="CR699" i="48"/>
  <c r="CR687" i="48"/>
  <c r="CR136" i="48"/>
  <c r="CR337" i="48"/>
  <c r="CR290" i="48"/>
  <c r="CR1158" i="48"/>
  <c r="CR1155" i="48"/>
  <c r="CR1152" i="48"/>
  <c r="CR794" i="48"/>
  <c r="CR788" i="48"/>
  <c r="CR799" i="48"/>
  <c r="CR942" i="48"/>
  <c r="CR1052" i="48"/>
  <c r="CR1048" i="48"/>
  <c r="CR1059" i="48"/>
  <c r="CR431" i="48"/>
  <c r="CR436" i="48"/>
  <c r="V206" i="48"/>
  <c r="AC206" i="48" s="1"/>
  <c r="CR205" i="48"/>
  <c r="CR207" i="48"/>
  <c r="CR219" i="48"/>
  <c r="CR817" i="48"/>
  <c r="CR842" i="48"/>
  <c r="CR1125" i="48"/>
  <c r="CR976" i="48"/>
  <c r="CR1203" i="48"/>
  <c r="CR1206" i="48"/>
  <c r="CR1200" i="48"/>
  <c r="CR857" i="48"/>
  <c r="CR858" i="48"/>
  <c r="CR867" i="48"/>
  <c r="V758" i="48"/>
  <c r="AC758" i="48" s="1"/>
  <c r="CR757" i="48"/>
  <c r="CR769" i="48"/>
  <c r="CR547" i="48"/>
  <c r="CR559" i="48"/>
  <c r="CR556" i="48"/>
  <c r="V254" i="48"/>
  <c r="AC254" i="48" s="1"/>
  <c r="CR253" i="48"/>
  <c r="CR264" i="48"/>
  <c r="CR266" i="48"/>
  <c r="CR167" i="48"/>
  <c r="CR172" i="48"/>
  <c r="CR174" i="48"/>
  <c r="CR1303" i="48"/>
  <c r="CR1305" i="48"/>
  <c r="CR1298" i="48"/>
  <c r="CR1296" i="48"/>
  <c r="CR1293" i="48"/>
  <c r="CR838" i="48"/>
  <c r="CR455" i="48"/>
  <c r="CR282" i="48"/>
  <c r="CR302" i="48"/>
  <c r="CR316" i="48"/>
  <c r="CR305" i="48"/>
  <c r="CR592" i="48"/>
  <c r="CR597" i="48"/>
  <c r="CR609" i="48"/>
  <c r="CR1244" i="48"/>
  <c r="V1238" i="48"/>
  <c r="AC1238" i="48" s="1"/>
  <c r="CR1237" i="48"/>
  <c r="CR1257" i="48"/>
  <c r="V878" i="48"/>
  <c r="AC878" i="48" s="1"/>
  <c r="CR877" i="48"/>
  <c r="CR889" i="48"/>
  <c r="CR886" i="48"/>
  <c r="CR883" i="48"/>
  <c r="CR890" i="48"/>
  <c r="CR572" i="48"/>
  <c r="CR1176" i="48"/>
  <c r="CR1183" i="48"/>
  <c r="CR1181" i="48"/>
  <c r="CR1177" i="48"/>
  <c r="CR530" i="48"/>
  <c r="CR535" i="48"/>
  <c r="CR532" i="48"/>
  <c r="CR521" i="48"/>
  <c r="CR523" i="48"/>
  <c r="CR356" i="48"/>
  <c r="CR352" i="48"/>
  <c r="CR357" i="48"/>
  <c r="CR185" i="48"/>
  <c r="CR197" i="48"/>
  <c r="CR186" i="48"/>
  <c r="CR191" i="48"/>
  <c r="CR479" i="48"/>
  <c r="CR476" i="48"/>
  <c r="CR53" i="48"/>
  <c r="CR465" i="48"/>
  <c r="CR723" i="48"/>
  <c r="CR728" i="48"/>
  <c r="CR725" i="48"/>
  <c r="CR721" i="48"/>
  <c r="CR503" i="48"/>
  <c r="CR505" i="48"/>
  <c r="V998" i="48"/>
  <c r="AC998" i="48" s="1"/>
  <c r="CR997" i="48"/>
  <c r="CR1007" i="48"/>
  <c r="CR1001" i="48"/>
  <c r="CR1013" i="48"/>
  <c r="CR650" i="48"/>
  <c r="CR647" i="48"/>
  <c r="CR644" i="48"/>
  <c r="CR843" i="48"/>
  <c r="CR1317" i="48"/>
  <c r="CR1132" i="48"/>
  <c r="CR296" i="48"/>
  <c r="CR978" i="48"/>
  <c r="CR749" i="48"/>
  <c r="CR738" i="48"/>
  <c r="CR735" i="48"/>
  <c r="CR740" i="48"/>
  <c r="CR752" i="48"/>
  <c r="CR412" i="48"/>
  <c r="CR400" i="48"/>
  <c r="V398" i="48"/>
  <c r="AC398" i="48" s="1"/>
  <c r="CR397" i="48"/>
  <c r="CR1082" i="48"/>
  <c r="CR1079" i="48"/>
  <c r="CR1084" i="48"/>
  <c r="CR1073" i="48"/>
  <c r="CR1070" i="48"/>
  <c r="CR928" i="48"/>
  <c r="CR456" i="48"/>
  <c r="CR1319" i="48"/>
  <c r="CR335" i="48"/>
  <c r="CR135" i="48"/>
  <c r="CR283" i="48"/>
  <c r="CR981" i="48"/>
  <c r="CR1220" i="48"/>
  <c r="CR1214" i="48"/>
  <c r="CR1228" i="48"/>
  <c r="CR1233" i="48"/>
  <c r="CR1264" i="48"/>
  <c r="CR1268" i="48"/>
  <c r="CR1279" i="48"/>
  <c r="CR1265" i="48"/>
  <c r="CR1281" i="48"/>
  <c r="CR1031" i="48"/>
  <c r="CR1028" i="48"/>
  <c r="CR1025" i="48"/>
  <c r="CR1022" i="48"/>
  <c r="CR244" i="48"/>
  <c r="V230" i="48"/>
  <c r="AC230" i="48" s="1"/>
  <c r="CR229" i="48"/>
  <c r="CR231" i="48"/>
  <c r="CR117" i="48"/>
  <c r="CR114" i="48"/>
  <c r="CR111" i="48"/>
  <c r="CR123" i="48"/>
  <c r="CR128" i="48"/>
  <c r="CR833" i="48"/>
  <c r="CR1322" i="48"/>
  <c r="CR1122" i="48"/>
  <c r="CR141" i="48"/>
  <c r="CR979" i="48"/>
  <c r="CR104" i="48"/>
  <c r="CR95" i="48"/>
  <c r="CR633" i="48"/>
  <c r="CR627" i="48"/>
  <c r="CR614" i="48"/>
  <c r="CR963" i="48"/>
  <c r="CR960" i="48"/>
  <c r="CR1107" i="48"/>
  <c r="CR1104" i="48"/>
  <c r="CR63" i="48"/>
  <c r="CR65" i="48"/>
  <c r="CR915" i="48"/>
  <c r="CR920" i="48"/>
  <c r="CR916" i="48"/>
  <c r="CR905" i="48"/>
  <c r="CR690" i="48"/>
  <c r="CR704" i="48"/>
  <c r="CR700" i="48"/>
  <c r="CR381" i="48"/>
  <c r="CR836" i="48"/>
  <c r="V1142" i="48"/>
  <c r="AC1142" i="48" s="1"/>
  <c r="CR1141" i="48"/>
  <c r="CR1154" i="48"/>
  <c r="CR1160" i="48"/>
  <c r="CR784" i="48"/>
  <c r="V782" i="48"/>
  <c r="AC782" i="48" s="1"/>
  <c r="CR781" i="48"/>
  <c r="CR989" i="48"/>
  <c r="CR1064" i="48"/>
  <c r="CR439" i="48"/>
  <c r="V422" i="48"/>
  <c r="AC422" i="48" s="1"/>
  <c r="CR421" i="48"/>
  <c r="CR433" i="48"/>
  <c r="CR224" i="48"/>
  <c r="CR212" i="48"/>
  <c r="V806" i="48"/>
  <c r="AC806" i="48" s="1"/>
  <c r="CR805" i="48"/>
  <c r="CR825" i="48"/>
  <c r="CR295" i="48"/>
  <c r="CR1209" i="48"/>
  <c r="V854" i="48"/>
  <c r="AC854" i="48" s="1"/>
  <c r="CR853" i="48"/>
  <c r="CR864" i="48"/>
  <c r="CR777" i="48"/>
  <c r="CR775" i="48"/>
  <c r="V542" i="48"/>
  <c r="AC542" i="48" s="1"/>
  <c r="CR541" i="48"/>
  <c r="CR254" i="48"/>
  <c r="V1286" i="48"/>
  <c r="AC1286" i="48" s="1"/>
  <c r="CR1285" i="48"/>
  <c r="CR943" i="48"/>
  <c r="CR1327" i="48"/>
  <c r="CR339" i="48"/>
  <c r="CR594" i="48"/>
  <c r="CR1242" i="48"/>
  <c r="CR895" i="48"/>
  <c r="CR577" i="48"/>
  <c r="CR578" i="48"/>
  <c r="CR1185" i="48"/>
  <c r="CR1167" i="48"/>
  <c r="V518" i="48"/>
  <c r="AC518" i="48" s="1"/>
  <c r="CR517" i="48"/>
  <c r="CR529" i="48"/>
  <c r="CR365" i="48"/>
  <c r="CR354" i="48"/>
  <c r="CR199" i="48"/>
  <c r="CR196" i="48"/>
  <c r="CR481" i="48"/>
  <c r="CR41" i="48"/>
  <c r="CR45" i="48"/>
  <c r="CR839" i="48"/>
  <c r="CR1120" i="48"/>
  <c r="CR285" i="48"/>
  <c r="V710" i="48"/>
  <c r="AC710" i="48" s="1"/>
  <c r="CR709" i="48"/>
  <c r="CR710" i="48"/>
  <c r="CR714" i="48"/>
  <c r="CR509" i="48"/>
  <c r="CR513" i="48"/>
  <c r="CR510" i="48"/>
  <c r="CR655" i="48"/>
  <c r="CR652" i="48"/>
  <c r="CR933" i="48"/>
  <c r="CR849" i="48"/>
  <c r="CR289" i="48"/>
  <c r="CR746" i="48"/>
  <c r="CR743" i="48"/>
  <c r="CR737" i="48"/>
  <c r="CR734" i="48"/>
  <c r="CR409" i="48"/>
  <c r="CR1087" i="48"/>
  <c r="CR1078" i="48"/>
  <c r="CR1075" i="48"/>
  <c r="CR934" i="48"/>
  <c r="CR449" i="48"/>
  <c r="CR341" i="48"/>
  <c r="CR391" i="48"/>
  <c r="CR292" i="48"/>
  <c r="V1214" i="48"/>
  <c r="AC1214" i="48" s="1"/>
  <c r="CR1213" i="48"/>
  <c r="V1262" i="48"/>
  <c r="AC1262" i="48" s="1"/>
  <c r="CR1261" i="48"/>
  <c r="CR1267" i="48"/>
  <c r="CR1271" i="48"/>
  <c r="CR1277" i="48"/>
  <c r="CR237" i="48"/>
  <c r="CR847" i="48"/>
  <c r="CR1315" i="48"/>
  <c r="CR147" i="48"/>
  <c r="CR378" i="48"/>
  <c r="CR985" i="48"/>
  <c r="CR103" i="48"/>
  <c r="CR100" i="48"/>
  <c r="CR89" i="48"/>
  <c r="CR622" i="48"/>
  <c r="V950" i="48"/>
  <c r="AC950" i="48" s="1"/>
  <c r="CR949" i="48"/>
  <c r="CR968" i="48"/>
  <c r="CR965" i="48"/>
  <c r="CR1112" i="48"/>
  <c r="CR1094" i="48"/>
  <c r="CR78" i="48"/>
  <c r="V902" i="48"/>
  <c r="AC902" i="48" s="1"/>
  <c r="CR901" i="48"/>
  <c r="CR913" i="48"/>
  <c r="CR692" i="48"/>
  <c r="V686" i="48"/>
  <c r="AC686" i="48" s="1"/>
  <c r="CR685" i="48"/>
  <c r="CR697" i="48"/>
  <c r="CR331" i="48"/>
  <c r="CR1123" i="48"/>
  <c r="CR342" i="48"/>
  <c r="CR1161" i="48"/>
  <c r="CR1142" i="48"/>
  <c r="CR801" i="48"/>
  <c r="CR782" i="48"/>
  <c r="CR796" i="48"/>
  <c r="CR789" i="48"/>
  <c r="CR448" i="48"/>
  <c r="CR138" i="48"/>
  <c r="CR294" i="48"/>
  <c r="CR1056" i="48"/>
  <c r="CR1049" i="48"/>
  <c r="CR1046" i="48"/>
  <c r="CR441" i="48"/>
  <c r="CR428" i="48"/>
  <c r="CR215" i="48"/>
  <c r="CR206" i="48"/>
  <c r="CR213" i="48"/>
  <c r="CR220" i="48"/>
  <c r="CR217" i="48"/>
  <c r="CR809" i="48"/>
  <c r="CR806" i="48"/>
  <c r="CR813" i="48"/>
  <c r="CR810" i="48"/>
  <c r="CR807" i="48"/>
  <c r="CR937" i="48"/>
  <c r="CR344" i="48"/>
  <c r="CR987" i="48"/>
  <c r="V1190" i="48"/>
  <c r="AC1190" i="48" s="1"/>
  <c r="CR1189" i="48"/>
  <c r="CR1194" i="48"/>
  <c r="CR1191" i="48"/>
  <c r="CR1198" i="48"/>
  <c r="CR872" i="48"/>
  <c r="CR869" i="48"/>
  <c r="CR766" i="48"/>
  <c r="CR759" i="48"/>
  <c r="CR764" i="48"/>
  <c r="CR548" i="48"/>
  <c r="CR542" i="48"/>
  <c r="CR544" i="48"/>
  <c r="CR554" i="48"/>
  <c r="CR255" i="48"/>
  <c r="CR262" i="48"/>
  <c r="CR256" i="48"/>
  <c r="CR163" i="48"/>
  <c r="CR170" i="48"/>
  <c r="V158" i="48"/>
  <c r="AC158" i="48" s="1"/>
  <c r="CR157" i="48"/>
  <c r="CR164" i="48"/>
  <c r="CR176" i="48"/>
  <c r="CR1286" i="48"/>
  <c r="CR1292" i="48"/>
  <c r="CR845" i="48"/>
  <c r="CR144" i="48"/>
  <c r="CR313" i="48"/>
  <c r="V302" i="48"/>
  <c r="AC302" i="48" s="1"/>
  <c r="CR301" i="48"/>
  <c r="CR604" i="48"/>
  <c r="CR1253" i="48"/>
  <c r="CR880" i="48"/>
  <c r="CR585" i="48"/>
  <c r="CR574" i="48"/>
  <c r="CR1175" i="48"/>
  <c r="V1166" i="48"/>
  <c r="AC1166" i="48" s="1"/>
  <c r="CR1165" i="48"/>
  <c r="CR519" i="48"/>
  <c r="V350" i="48"/>
  <c r="AC350" i="48" s="1"/>
  <c r="CR349" i="48"/>
  <c r="CR362" i="48"/>
  <c r="CR184" i="48"/>
  <c r="V182" i="48"/>
  <c r="AC182" i="48" s="1"/>
  <c r="CR181" i="48"/>
  <c r="V470" i="48"/>
  <c r="AC470" i="48" s="1"/>
  <c r="CR469" i="48"/>
  <c r="CR489" i="48"/>
  <c r="CR486" i="48"/>
  <c r="CR43" i="48"/>
  <c r="CR50" i="48"/>
  <c r="CR944" i="48"/>
  <c r="CR458" i="48"/>
  <c r="CR1313" i="48"/>
  <c r="CR139" i="48"/>
  <c r="CR977" i="48"/>
  <c r="CR712" i="48"/>
  <c r="V494" i="48"/>
  <c r="AC494" i="48" s="1"/>
  <c r="CR493" i="48"/>
  <c r="CR495" i="48"/>
  <c r="CR999" i="48"/>
  <c r="V638" i="48"/>
  <c r="AC638" i="48" s="1"/>
  <c r="CR637" i="48"/>
  <c r="CR657" i="48"/>
  <c r="CR931" i="48"/>
  <c r="CR461" i="48"/>
  <c r="CR345" i="48"/>
  <c r="CR280" i="48"/>
  <c r="V734" i="48"/>
  <c r="AC734" i="48" s="1"/>
  <c r="CR733" i="48"/>
  <c r="CR745" i="48"/>
  <c r="CR410" i="48"/>
  <c r="CR407" i="48"/>
  <c r="CR832" i="48"/>
  <c r="CR463" i="48"/>
  <c r="CR1127" i="48"/>
  <c r="CR146" i="48"/>
  <c r="CR984" i="48"/>
  <c r="CR1227" i="48"/>
  <c r="CR1230" i="48"/>
  <c r="CR1027" i="48"/>
  <c r="CR1037" i="48"/>
  <c r="CR242" i="48"/>
  <c r="CR239" i="48"/>
  <c r="CR121" i="48"/>
  <c r="CR938" i="48"/>
  <c r="CR452" i="48"/>
  <c r="CR1321" i="48"/>
  <c r="CR330" i="48"/>
  <c r="CR153" i="48"/>
  <c r="CR286" i="48"/>
  <c r="CR991" i="48"/>
  <c r="AC86" i="48"/>
  <c r="CR85" i="48"/>
  <c r="CR97" i="48"/>
  <c r="CR94" i="48"/>
  <c r="CR619" i="48"/>
  <c r="CR953" i="48"/>
  <c r="CR950" i="48"/>
  <c r="CR1102" i="48"/>
  <c r="V62" i="48"/>
  <c r="AC62" i="48" s="1"/>
  <c r="CR61" i="48"/>
  <c r="CR73" i="48"/>
  <c r="CR75" i="48"/>
  <c r="CR940" i="48"/>
  <c r="CR835" i="48"/>
  <c r="CR1325" i="48"/>
  <c r="CR332" i="48"/>
  <c r="CT1152" i="48"/>
  <c r="CT788" i="48"/>
  <c r="CT976" i="48"/>
  <c r="CT436" i="48"/>
  <c r="CT817" i="48"/>
  <c r="CT843" i="48"/>
  <c r="CT141" i="48"/>
  <c r="CT867" i="48"/>
  <c r="CT858" i="48"/>
  <c r="CT769" i="48"/>
  <c r="CT559" i="48"/>
  <c r="CT283" i="48"/>
  <c r="CT890" i="48"/>
  <c r="CT572" i="48"/>
  <c r="CT1183" i="48"/>
  <c r="CT266" i="48"/>
  <c r="CT456" i="48"/>
  <c r="CT1177" i="48"/>
  <c r="CT357" i="48"/>
  <c r="CT728" i="48"/>
  <c r="CT505" i="48"/>
  <c r="CT650" i="48"/>
  <c r="CT135" i="48"/>
  <c r="CT979" i="48"/>
  <c r="CT339" i="48"/>
  <c r="CT381" i="48"/>
  <c r="CT556" i="48"/>
  <c r="CT316" i="48"/>
  <c r="CT886" i="48"/>
  <c r="CT354" i="48"/>
  <c r="CT510" i="48"/>
  <c r="CT1319" i="48"/>
  <c r="CT740" i="48"/>
  <c r="CT1118" i="48"/>
  <c r="CT342" i="48"/>
  <c r="CT103" i="48"/>
  <c r="CT905" i="48"/>
  <c r="CT692" i="48"/>
  <c r="CT186" i="48"/>
  <c r="CT479" i="48"/>
  <c r="CT725" i="48"/>
  <c r="CT989" i="48"/>
  <c r="CT1242" i="48"/>
  <c r="CT1167" i="48"/>
  <c r="CT365" i="48"/>
  <c r="CT655" i="48"/>
  <c r="CT644" i="48"/>
  <c r="CT934" i="48"/>
  <c r="CT942" i="48"/>
  <c r="CT454" i="48"/>
  <c r="CT987" i="48"/>
  <c r="CT1146" i="48"/>
  <c r="CT796" i="48"/>
  <c r="CT797" i="48"/>
  <c r="CT936" i="48"/>
  <c r="CT832" i="48"/>
  <c r="CT1127" i="48"/>
  <c r="CT139" i="48"/>
  <c r="CT1052" i="48"/>
  <c r="CT1059" i="48"/>
  <c r="CT423" i="48"/>
  <c r="CT425" i="48"/>
  <c r="CT810" i="48"/>
  <c r="CT807" i="48"/>
  <c r="CT814" i="48"/>
  <c r="CT938" i="48"/>
  <c r="CT461" i="48"/>
  <c r="CT1131" i="48"/>
  <c r="CT1195" i="48"/>
  <c r="CT1192" i="48"/>
  <c r="CT1199" i="48"/>
  <c r="CT872" i="48"/>
  <c r="CT869" i="48"/>
  <c r="CT767" i="48"/>
  <c r="CT761" i="48"/>
  <c r="CT549" i="48"/>
  <c r="CT256" i="48"/>
  <c r="CT164" i="48"/>
  <c r="CT1290" i="48"/>
  <c r="CT1288" i="48"/>
  <c r="CT1293" i="48"/>
  <c r="CT927" i="48"/>
  <c r="CT846" i="48"/>
  <c r="CT1321" i="48"/>
  <c r="CT305" i="48"/>
  <c r="CT308" i="48"/>
  <c r="CT604" i="48"/>
  <c r="CT601" i="48"/>
  <c r="CT1250" i="48"/>
  <c r="CT1246" i="48"/>
  <c r="CT1244" i="48"/>
  <c r="CT1254" i="48"/>
  <c r="CT883" i="48"/>
  <c r="CT881" i="48"/>
  <c r="CT582" i="48"/>
  <c r="CT567" i="48"/>
  <c r="CT1173" i="48"/>
  <c r="CT1175" i="48"/>
  <c r="CT526" i="48"/>
  <c r="CT362" i="48"/>
  <c r="CT184" i="48"/>
  <c r="CT459" i="48"/>
  <c r="CT383" i="48"/>
  <c r="CT978" i="48"/>
  <c r="CT717" i="48"/>
  <c r="CT498" i="48"/>
  <c r="CT495" i="48"/>
  <c r="CT462" i="48"/>
  <c r="CT1317" i="48"/>
  <c r="CT745" i="48"/>
  <c r="CT752" i="48"/>
  <c r="CT415" i="48"/>
  <c r="CT412" i="48"/>
  <c r="CT1084" i="48"/>
  <c r="CT833" i="48"/>
  <c r="CT1227" i="48"/>
  <c r="CT1228" i="48"/>
  <c r="CT1220" i="48"/>
  <c r="CT1231" i="48"/>
  <c r="CT1040" i="48"/>
  <c r="CT1028" i="48"/>
  <c r="CT128" i="48"/>
  <c r="CT1322" i="48"/>
  <c r="CT627" i="48"/>
  <c r="CT958" i="48"/>
  <c r="CT955" i="48"/>
  <c r="CT1110" i="48"/>
  <c r="CT920" i="48"/>
  <c r="CT704" i="48"/>
  <c r="CT699" i="48"/>
  <c r="CT647" i="48"/>
  <c r="CT1265" i="48"/>
  <c r="CT231" i="48"/>
  <c r="CT916" i="48"/>
  <c r="CT447" i="48"/>
  <c r="CT296" i="48"/>
  <c r="CT864" i="48"/>
  <c r="CT895" i="48"/>
  <c r="CT521" i="48"/>
  <c r="CT199" i="48"/>
  <c r="CT509" i="48"/>
  <c r="CT1013" i="48"/>
  <c r="CT1150" i="48"/>
  <c r="CT1147" i="48"/>
  <c r="CT786" i="48"/>
  <c r="CT838" i="48"/>
  <c r="CT1125" i="48"/>
  <c r="CT377" i="48"/>
  <c r="CT815" i="48"/>
  <c r="CT1122" i="48"/>
  <c r="CT150" i="48"/>
  <c r="CT551" i="48"/>
  <c r="CT269" i="48"/>
  <c r="CT1291" i="48"/>
  <c r="CT455" i="48"/>
  <c r="CT151" i="48"/>
  <c r="CT597" i="48"/>
  <c r="CT1247" i="48"/>
  <c r="CT893" i="48"/>
  <c r="CT1181" i="48"/>
  <c r="CT1169" i="48"/>
  <c r="CT523" i="48"/>
  <c r="CT189" i="48"/>
  <c r="CT474" i="48"/>
  <c r="CT471" i="48"/>
  <c r="CT928" i="48"/>
  <c r="CT720" i="48"/>
  <c r="CT503" i="48"/>
  <c r="CT500" i="48"/>
  <c r="CT642" i="48"/>
  <c r="CT639" i="48"/>
  <c r="CT1132" i="48"/>
  <c r="CT152" i="48"/>
  <c r="CT981" i="48"/>
  <c r="CT400" i="48"/>
  <c r="CT1072" i="48"/>
  <c r="CT335" i="48"/>
  <c r="CT1222" i="48"/>
  <c r="CT1025" i="48"/>
  <c r="CT249" i="48"/>
  <c r="CT337" i="48"/>
  <c r="CT99" i="48"/>
  <c r="CT625" i="48"/>
  <c r="CT908" i="48"/>
  <c r="CT687" i="48"/>
  <c r="CT1004" i="48"/>
  <c r="CT999" i="48"/>
  <c r="CT386" i="48"/>
  <c r="CT1311" i="48"/>
  <c r="CT334" i="48"/>
  <c r="CT336" i="48"/>
  <c r="CT841" i="48"/>
  <c r="CT1136" i="48"/>
  <c r="CT990" i="48"/>
  <c r="CT1054" i="48"/>
  <c r="CT1061" i="48"/>
  <c r="CT1328" i="48"/>
  <c r="CT983" i="48"/>
  <c r="CT450" i="48"/>
  <c r="CT439" i="48"/>
  <c r="CT1144" i="48"/>
  <c r="CT783" i="48"/>
  <c r="CT1000" i="48"/>
  <c r="CT641" i="48"/>
  <c r="CT1224" i="48"/>
  <c r="CT632" i="48"/>
  <c r="CT1162" i="48"/>
  <c r="CT790" i="48"/>
  <c r="CT1057" i="48"/>
  <c r="CT1171" i="48"/>
  <c r="CT532" i="48"/>
  <c r="CT363" i="48"/>
  <c r="CT473" i="48"/>
  <c r="CT719" i="48"/>
  <c r="CT723" i="48"/>
  <c r="CT915" i="48"/>
  <c r="CT836" i="48"/>
  <c r="CT1050" i="48"/>
  <c r="CT1047" i="48"/>
  <c r="CT430" i="48"/>
  <c r="CT811" i="48"/>
  <c r="CT870" i="48"/>
  <c r="CT763" i="48"/>
  <c r="CT1176" i="48"/>
  <c r="CT690" i="48"/>
  <c r="CT880" i="48"/>
  <c r="CT313" i="48"/>
  <c r="CT792" i="48"/>
  <c r="CT1063" i="48"/>
  <c r="CT607" i="48"/>
  <c r="CT368" i="48"/>
  <c r="CT747" i="48"/>
  <c r="CT1088" i="48"/>
  <c r="CT1296" i="48"/>
  <c r="CT352" i="48"/>
  <c r="CT1303" i="48"/>
  <c r="CT476" i="48"/>
  <c r="CT802" i="48"/>
  <c r="CT212" i="48"/>
  <c r="CT578" i="48"/>
  <c r="CT380" i="48"/>
  <c r="CT1197" i="48"/>
  <c r="CT863" i="48"/>
  <c r="CT765" i="48"/>
  <c r="CT546" i="48"/>
  <c r="CT555" i="48"/>
  <c r="CT1120" i="48"/>
  <c r="CT389" i="48"/>
  <c r="CT314" i="48"/>
  <c r="CT885" i="48"/>
  <c r="CT577" i="48"/>
  <c r="CT367" i="48"/>
  <c r="CT487" i="48"/>
  <c r="CT714" i="48"/>
  <c r="CT652" i="48"/>
  <c r="CT743" i="48"/>
  <c r="CT409" i="48"/>
  <c r="CT1078" i="48"/>
  <c r="CT985" i="48"/>
  <c r="CT1267" i="48"/>
  <c r="CT1277" i="48"/>
  <c r="CT1271" i="48"/>
  <c r="CT618" i="48"/>
  <c r="CT952" i="48"/>
  <c r="CT1112" i="48"/>
  <c r="CT1103" i="48"/>
  <c r="CT904" i="48"/>
  <c r="CT697" i="48"/>
  <c r="CT1327" i="48"/>
  <c r="CT341" i="48"/>
  <c r="CT391" i="48"/>
  <c r="CT449" i="48"/>
  <c r="CT808" i="48"/>
  <c r="CT543" i="48"/>
  <c r="CT1301" i="48"/>
  <c r="CT605" i="48"/>
  <c r="CT584" i="48"/>
  <c r="CT575" i="48"/>
  <c r="CT529" i="48"/>
  <c r="CT520" i="48"/>
  <c r="CT1012" i="48"/>
  <c r="CT1016" i="48"/>
  <c r="CT1006" i="48"/>
  <c r="CT746" i="48"/>
  <c r="CT1087" i="48"/>
  <c r="CT1081" i="48"/>
  <c r="CT331" i="48"/>
  <c r="CT629" i="48"/>
  <c r="CT620" i="48"/>
  <c r="CT1098" i="48"/>
  <c r="CT913" i="48"/>
  <c r="CT1315" i="48"/>
  <c r="CT1123" i="48"/>
  <c r="CT1104" i="48"/>
  <c r="CT1160" i="48"/>
  <c r="CT1066" i="48"/>
  <c r="CT442" i="48"/>
  <c r="CT988" i="48"/>
  <c r="CT586" i="48"/>
  <c r="CT538" i="48"/>
  <c r="CT490" i="48"/>
  <c r="CT1314" i="48"/>
  <c r="CT658" i="48"/>
  <c r="CT932" i="48"/>
  <c r="CT346" i="48"/>
  <c r="CT375" i="48"/>
  <c r="CT418" i="48"/>
  <c r="CT464" i="48"/>
  <c r="CT1128" i="48"/>
  <c r="CT1042" i="48"/>
  <c r="CT939" i="48"/>
  <c r="CT992" i="48"/>
  <c r="CT1326" i="48"/>
  <c r="CT333" i="48"/>
  <c r="CT1200" i="48"/>
  <c r="CT1298" i="48"/>
  <c r="CT1248" i="48"/>
  <c r="CT1255" i="48"/>
  <c r="CT721" i="48"/>
  <c r="CT1001" i="48"/>
  <c r="CT646" i="48"/>
  <c r="CT1073" i="48"/>
  <c r="CT1225" i="48"/>
  <c r="CT1264" i="48"/>
  <c r="CT1279" i="48"/>
  <c r="CT387" i="48"/>
  <c r="CT963" i="48"/>
  <c r="CT960" i="48"/>
  <c r="CT1107" i="48"/>
  <c r="CT695" i="48"/>
  <c r="CT700" i="48"/>
  <c r="CT688" i="48"/>
  <c r="CT706" i="48"/>
  <c r="CT1157" i="48"/>
  <c r="CT784" i="48"/>
  <c r="CT1064" i="48"/>
  <c r="CT1205" i="48"/>
  <c r="CT775" i="48"/>
  <c r="CT933" i="48"/>
  <c r="CT319" i="48"/>
  <c r="CT310" i="48"/>
  <c r="CT591" i="48"/>
  <c r="CT1252" i="48"/>
  <c r="CT888" i="48"/>
  <c r="CT894" i="48"/>
  <c r="CT569" i="48"/>
  <c r="CT1179" i="48"/>
  <c r="CT534" i="48"/>
  <c r="CT1010" i="48"/>
  <c r="CT737" i="48"/>
  <c r="CT748" i="48"/>
  <c r="CT405" i="48"/>
  <c r="CT1075" i="48"/>
  <c r="CT847" i="48"/>
  <c r="CT378" i="48"/>
  <c r="CT1218" i="48"/>
  <c r="CT1232" i="48"/>
  <c r="CT1036" i="48"/>
  <c r="CT1100" i="48"/>
  <c r="CT910" i="48"/>
  <c r="CT603" i="48"/>
  <c r="CT1154" i="48"/>
  <c r="CT1156" i="48"/>
  <c r="CT798" i="48"/>
  <c r="CT800" i="48"/>
  <c r="CT943" i="48"/>
  <c r="CT1053" i="48"/>
  <c r="CT1060" i="48"/>
  <c r="CT433" i="48"/>
  <c r="CT437" i="48"/>
  <c r="CT820" i="48"/>
  <c r="CT824" i="48"/>
  <c r="CT822" i="48"/>
  <c r="CT818" i="48"/>
  <c r="CT1208" i="48"/>
  <c r="CT1193" i="48"/>
  <c r="CT1204" i="48"/>
  <c r="CT1201" i="48"/>
  <c r="CT859" i="48"/>
  <c r="CT772" i="48"/>
  <c r="CT1304" i="48"/>
  <c r="CT839" i="48"/>
  <c r="CT594" i="48"/>
  <c r="CT481" i="48"/>
  <c r="CT483" i="48"/>
  <c r="CT1008" i="48"/>
  <c r="CT1002" i="48"/>
  <c r="CT1318" i="48"/>
  <c r="CT402" i="48"/>
  <c r="CT1215" i="48"/>
  <c r="CT1030" i="48"/>
  <c r="CT1032" i="48"/>
  <c r="CT622" i="48"/>
  <c r="CT968" i="48"/>
  <c r="CT965" i="48"/>
  <c r="CT1310" i="48"/>
  <c r="CT1143" i="48"/>
  <c r="CT429" i="48"/>
  <c r="CT874" i="48"/>
  <c r="CT873" i="48"/>
  <c r="CT1287" i="48"/>
  <c r="CT1257" i="48"/>
  <c r="CT489" i="48"/>
  <c r="CT497" i="48"/>
  <c r="CT496" i="48"/>
  <c r="CT657" i="48"/>
  <c r="CT638" i="48"/>
  <c r="CT637" i="48"/>
  <c r="CT734" i="48"/>
  <c r="CT733" i="48"/>
  <c r="CT411" i="48"/>
  <c r="CT1038" i="48"/>
  <c r="CT954" i="48"/>
  <c r="CT951" i="48"/>
  <c r="CT1109" i="48"/>
  <c r="CT941" i="48"/>
  <c r="CT940" i="48"/>
  <c r="CT1151" i="48"/>
  <c r="CT1148" i="48"/>
  <c r="CT791" i="48"/>
  <c r="CT793" i="48"/>
  <c r="CT787" i="48"/>
  <c r="CT937" i="48"/>
  <c r="CT1313" i="48"/>
  <c r="CT993" i="48"/>
  <c r="CT1048" i="48"/>
  <c r="CT1062" i="48"/>
  <c r="CT1046" i="48"/>
  <c r="CT1045" i="48"/>
  <c r="CT1055" i="48"/>
  <c r="CT431" i="48"/>
  <c r="CT428" i="48"/>
  <c r="CT438" i="48"/>
  <c r="CT427" i="48"/>
  <c r="CT424" i="48"/>
  <c r="CT426" i="48"/>
  <c r="CT812" i="48"/>
  <c r="CT819" i="48"/>
  <c r="CT816" i="48"/>
  <c r="CT821" i="48"/>
  <c r="CT842" i="48"/>
  <c r="CT1325" i="48"/>
  <c r="CT994" i="48"/>
  <c r="CT1209" i="48"/>
  <c r="CT1202" i="48"/>
  <c r="CT1196" i="48"/>
  <c r="CT862" i="48"/>
  <c r="CT861" i="48"/>
  <c r="CT856" i="48"/>
  <c r="CT866" i="48"/>
  <c r="CT855" i="48"/>
  <c r="CT764" i="48"/>
  <c r="CT774" i="48"/>
  <c r="CT768" i="48"/>
  <c r="CT773" i="48"/>
  <c r="CT762" i="48"/>
  <c r="CT554" i="48"/>
  <c r="CT553" i="48"/>
  <c r="CT550" i="48"/>
  <c r="CT552" i="48"/>
  <c r="CT1292" i="48"/>
  <c r="CT1295" i="48"/>
  <c r="CT1289" i="48"/>
  <c r="CT1312" i="48"/>
  <c r="CT321" i="48"/>
  <c r="CT312" i="48"/>
  <c r="CT309" i="48"/>
  <c r="CT609" i="48"/>
  <c r="CT608" i="48"/>
  <c r="CT590" i="48"/>
  <c r="CT589" i="48"/>
  <c r="CT602" i="48"/>
  <c r="CT1251" i="48"/>
  <c r="CT882" i="48"/>
  <c r="CT879" i="48"/>
  <c r="CT581" i="48"/>
  <c r="CT583" i="48"/>
  <c r="CT566" i="48"/>
  <c r="CT565" i="48"/>
  <c r="CT568" i="48"/>
  <c r="CT1172" i="48"/>
  <c r="CT1174" i="48"/>
  <c r="CT1170" i="48"/>
  <c r="CT528" i="48"/>
  <c r="CT525" i="48"/>
  <c r="CT527" i="48"/>
  <c r="CT370" i="48"/>
  <c r="CT364" i="48"/>
  <c r="CT351" i="48"/>
  <c r="CT369" i="48"/>
  <c r="CT478" i="48"/>
  <c r="CT475" i="48"/>
  <c r="CT472" i="48"/>
  <c r="CT484" i="48"/>
  <c r="CT460" i="48"/>
  <c r="CT1129" i="48"/>
  <c r="CT984" i="48"/>
  <c r="CT727" i="48"/>
  <c r="CT716" i="48"/>
  <c r="CT718" i="48"/>
  <c r="CT502" i="48"/>
  <c r="CT499" i="48"/>
  <c r="CT501" i="48"/>
  <c r="CT1005" i="48"/>
  <c r="CT1009" i="48"/>
  <c r="CT1003" i="48"/>
  <c r="CT643" i="48"/>
  <c r="CT640" i="48"/>
  <c r="CT930" i="48"/>
  <c r="CT463" i="48"/>
  <c r="CT384" i="48"/>
  <c r="CT742" i="48"/>
  <c r="CT754" i="48"/>
  <c r="CT751" i="48"/>
  <c r="CT417" i="48"/>
  <c r="CT414" i="48"/>
  <c r="CT416" i="48"/>
  <c r="CT1070" i="48"/>
  <c r="CT1069" i="48"/>
  <c r="CT1077" i="48"/>
  <c r="CT1089" i="48"/>
  <c r="CT1329" i="48"/>
  <c r="CT991" i="48"/>
  <c r="CT1223" i="48"/>
  <c r="CT1270" i="48"/>
  <c r="CT1273" i="48"/>
  <c r="CT1263" i="48"/>
  <c r="CT1022" i="48"/>
  <c r="CT1021" i="48"/>
  <c r="CT1024" i="48"/>
  <c r="CT1041" i="48"/>
  <c r="CT1035" i="48"/>
  <c r="CT946" i="48"/>
  <c r="CT451" i="48"/>
  <c r="CT1137" i="48"/>
  <c r="CT614" i="48"/>
  <c r="CT613" i="48"/>
  <c r="CT626" i="48"/>
  <c r="CT631" i="48"/>
  <c r="CT617" i="48"/>
  <c r="CT957" i="48"/>
  <c r="CT959" i="48"/>
  <c r="CT956" i="48"/>
  <c r="CT1094" i="48"/>
  <c r="CT1093" i="48"/>
  <c r="CT1106" i="48"/>
  <c r="CT1111" i="48"/>
  <c r="CT903" i="48"/>
  <c r="CT912" i="48"/>
  <c r="CT909" i="48"/>
  <c r="CT694" i="48"/>
  <c r="CT831" i="48"/>
  <c r="CT338" i="48"/>
  <c r="CT374" i="48"/>
  <c r="CT345" i="48"/>
  <c r="CT1190" i="48"/>
  <c r="CT1189" i="48"/>
  <c r="CT545" i="48"/>
  <c r="CT350" i="48"/>
  <c r="CT349" i="48"/>
  <c r="CT470" i="48"/>
  <c r="CT469" i="48"/>
  <c r="CT494" i="48"/>
  <c r="CT493" i="48"/>
  <c r="CT1276" i="48"/>
  <c r="CT1274" i="48"/>
  <c r="CT1039" i="48"/>
  <c r="CT1097" i="48"/>
  <c r="CT835" i="48"/>
  <c r="CT1145" i="48"/>
  <c r="CT1159" i="48"/>
  <c r="CT1153" i="48"/>
  <c r="CT795" i="48"/>
  <c r="CT789" i="48"/>
  <c r="CT465" i="48"/>
  <c r="CT344" i="48"/>
  <c r="CT1051" i="48"/>
  <c r="CT1058" i="48"/>
  <c r="CT1049" i="48"/>
  <c r="CT435" i="48"/>
  <c r="CT432" i="48"/>
  <c r="CT1126" i="48"/>
  <c r="CT977" i="48"/>
  <c r="CT1207" i="48"/>
  <c r="CT871" i="48"/>
  <c r="CT868" i="48"/>
  <c r="CT771" i="48"/>
  <c r="CT758" i="48"/>
  <c r="CT757" i="48"/>
  <c r="CT770" i="48"/>
  <c r="CT562" i="48"/>
  <c r="CT548" i="48"/>
  <c r="CT558" i="48"/>
  <c r="CT560" i="48"/>
  <c r="CT557" i="48"/>
  <c r="CT1300" i="48"/>
  <c r="CT1306" i="48"/>
  <c r="CT1299" i="48"/>
  <c r="CT1297" i="48"/>
  <c r="CT1294" i="48"/>
  <c r="CT1134" i="48"/>
  <c r="CT376" i="48"/>
  <c r="CT318" i="48"/>
  <c r="CT303" i="48"/>
  <c r="CT307" i="48"/>
  <c r="CT317" i="48"/>
  <c r="CT306" i="48"/>
  <c r="CT599" i="48"/>
  <c r="CT593" i="48"/>
  <c r="CT598" i="48"/>
  <c r="CT610" i="48"/>
  <c r="CT1249" i="48"/>
  <c r="CT1245" i="48"/>
  <c r="CT1256" i="48"/>
  <c r="CT1239" i="48"/>
  <c r="CT1238" i="48"/>
  <c r="CT1237" i="48"/>
  <c r="CT1258" i="48"/>
  <c r="CT878" i="48"/>
  <c r="CT877" i="48"/>
  <c r="CT887" i="48"/>
  <c r="CT884" i="48"/>
  <c r="CT891" i="48"/>
  <c r="CT580" i="48"/>
  <c r="CT574" i="48"/>
  <c r="CT571" i="48"/>
  <c r="CT573" i="48"/>
  <c r="CT1184" i="48"/>
  <c r="CT1182" i="48"/>
  <c r="CT1178" i="48"/>
  <c r="CT537" i="48"/>
  <c r="CT531" i="48"/>
  <c r="CT536" i="48"/>
  <c r="CT533" i="48"/>
  <c r="CT522" i="48"/>
  <c r="CT524" i="48"/>
  <c r="CT360" i="48"/>
  <c r="CT359" i="48"/>
  <c r="CT353" i="48"/>
  <c r="CT358" i="48"/>
  <c r="CT480" i="48"/>
  <c r="CT477" i="48"/>
  <c r="CT849" i="48"/>
  <c r="CT466" i="48"/>
  <c r="CT1130" i="48"/>
  <c r="CT394" i="48"/>
  <c r="CT724" i="48"/>
  <c r="CT729" i="48"/>
  <c r="CT726" i="48"/>
  <c r="CT722" i="48"/>
  <c r="CT508" i="48"/>
  <c r="CT507" i="48"/>
  <c r="CT504" i="48"/>
  <c r="CT506" i="48"/>
  <c r="CT998" i="48"/>
  <c r="CT997" i="48"/>
  <c r="CT1015" i="48"/>
  <c r="CT1014" i="48"/>
  <c r="CT649" i="48"/>
  <c r="CT651" i="48"/>
  <c r="CT648" i="48"/>
  <c r="CT645" i="48"/>
  <c r="CT844" i="48"/>
  <c r="CT1133" i="48"/>
  <c r="CT750" i="48"/>
  <c r="CT739" i="48"/>
  <c r="CT736" i="48"/>
  <c r="CT741" i="48"/>
  <c r="CT753" i="48"/>
  <c r="CT413" i="48"/>
  <c r="CT399" i="48"/>
  <c r="CT401" i="48"/>
  <c r="CT398" i="48"/>
  <c r="CT397" i="48"/>
  <c r="CT1083" i="48"/>
  <c r="CT1080" i="48"/>
  <c r="CT1085" i="48"/>
  <c r="CT1074" i="48"/>
  <c r="CT1071" i="48"/>
  <c r="CT929" i="48"/>
  <c r="CT457" i="48"/>
  <c r="CT1320" i="48"/>
  <c r="CT982" i="48"/>
  <c r="CT1226" i="48"/>
  <c r="CT1221" i="48"/>
  <c r="CT1229" i="48"/>
  <c r="CT1234" i="48"/>
  <c r="CT1269" i="48"/>
  <c r="CT1280" i="48"/>
  <c r="CT1266" i="48"/>
  <c r="CT1282" i="48"/>
  <c r="CT1029" i="48"/>
  <c r="CT1026" i="48"/>
  <c r="CT1023" i="48"/>
  <c r="CT834" i="48"/>
  <c r="CT1323" i="48"/>
  <c r="CT388" i="48"/>
  <c r="CT980" i="48"/>
  <c r="CT633" i="48"/>
  <c r="CT634" i="48"/>
  <c r="CT616" i="48"/>
  <c r="CT628" i="48"/>
  <c r="CT615" i="48"/>
  <c r="CT962" i="48"/>
  <c r="CT964" i="48"/>
  <c r="CT961" i="48"/>
  <c r="CT1102" i="48"/>
  <c r="CT1114" i="48"/>
  <c r="CT1096" i="48"/>
  <c r="CT1108" i="48"/>
  <c r="CT1105" i="48"/>
  <c r="CT919" i="48"/>
  <c r="CT907" i="48"/>
  <c r="CT921" i="48"/>
  <c r="CT917" i="48"/>
  <c r="CT906" i="48"/>
  <c r="CT696" i="48"/>
  <c r="CT691" i="48"/>
  <c r="CT705" i="48"/>
  <c r="CT689" i="48"/>
  <c r="CT701" i="48"/>
  <c r="CT329" i="48"/>
  <c r="CT382" i="48"/>
  <c r="CT837" i="48"/>
  <c r="CT830" i="48"/>
  <c r="CT760" i="48"/>
  <c r="CT302" i="48"/>
  <c r="CT301" i="48"/>
  <c r="CT304" i="48"/>
  <c r="CT600" i="48"/>
  <c r="CT897" i="48"/>
  <c r="CT1166" i="48"/>
  <c r="CT1165" i="48"/>
  <c r="CT361" i="48"/>
  <c r="CT945" i="48"/>
  <c r="CT713" i="48"/>
  <c r="CT408" i="48"/>
  <c r="CT1090" i="48"/>
  <c r="CT393" i="48"/>
  <c r="CT1275" i="48"/>
  <c r="CT453" i="48"/>
  <c r="CT922" i="48"/>
  <c r="CT926" i="48"/>
  <c r="CT448" i="48"/>
  <c r="CT144" i="48"/>
  <c r="CT1142" i="48"/>
  <c r="CT1141" i="48"/>
  <c r="CT1149" i="48"/>
  <c r="CT1155" i="48"/>
  <c r="CT1158" i="48"/>
  <c r="CT1161" i="48"/>
  <c r="CT799" i="48"/>
  <c r="CT794" i="48"/>
  <c r="CT801" i="48"/>
  <c r="CT785" i="48"/>
  <c r="CT782" i="48"/>
  <c r="CT781" i="48"/>
  <c r="CT458" i="48"/>
  <c r="CT138" i="48"/>
  <c r="CT1056" i="48"/>
  <c r="CT1065" i="48"/>
  <c r="CT441" i="48"/>
  <c r="CT440" i="48"/>
  <c r="CT422" i="48"/>
  <c r="CT421" i="48"/>
  <c r="CT434" i="48"/>
  <c r="CT813" i="48"/>
  <c r="CT825" i="48"/>
  <c r="CT809" i="48"/>
  <c r="CT806" i="48"/>
  <c r="CT805" i="48"/>
  <c r="CT826" i="48"/>
  <c r="CT823" i="48"/>
  <c r="CT452" i="48"/>
  <c r="CT1324" i="48"/>
  <c r="CT1203" i="48"/>
  <c r="CT1191" i="48"/>
  <c r="CT1198" i="48"/>
  <c r="CT1194" i="48"/>
  <c r="CT1210" i="48"/>
  <c r="CT1206" i="48"/>
  <c r="CT854" i="48"/>
  <c r="CT853" i="48"/>
  <c r="CT857" i="48"/>
  <c r="CT860" i="48"/>
  <c r="CT865" i="48"/>
  <c r="CT777" i="48"/>
  <c r="CT759" i="48"/>
  <c r="CT766" i="48"/>
  <c r="CT778" i="48"/>
  <c r="CT776" i="48"/>
  <c r="CT544" i="48"/>
  <c r="CT561" i="48"/>
  <c r="CT547" i="48"/>
  <c r="CT542" i="48"/>
  <c r="CT541" i="48"/>
  <c r="CT1286" i="48"/>
  <c r="CT1285" i="48"/>
  <c r="CT1305" i="48"/>
  <c r="CT1302" i="48"/>
  <c r="CT944" i="48"/>
  <c r="CT845" i="48"/>
  <c r="CT1135" i="48"/>
  <c r="CT340" i="48"/>
  <c r="CT390" i="48"/>
  <c r="CT315" i="48"/>
  <c r="CT320" i="48"/>
  <c r="CT322" i="48"/>
  <c r="CT311" i="48"/>
  <c r="CT596" i="48"/>
  <c r="CT606" i="48"/>
  <c r="CT595" i="48"/>
  <c r="CT592" i="48"/>
  <c r="CT1253" i="48"/>
  <c r="CT1241" i="48"/>
  <c r="CT1240" i="48"/>
  <c r="CT1243" i="48"/>
  <c r="CT898" i="48"/>
  <c r="CT892" i="48"/>
  <c r="CT889" i="48"/>
  <c r="CT896" i="48"/>
  <c r="CT585" i="48"/>
  <c r="CT579" i="48"/>
  <c r="CT576" i="48"/>
  <c r="CT570" i="48"/>
  <c r="CT1185" i="48"/>
  <c r="CT1180" i="48"/>
  <c r="CT1186" i="48"/>
  <c r="CT1168" i="48"/>
  <c r="CT519" i="48"/>
  <c r="CT518" i="48"/>
  <c r="CT517" i="48"/>
  <c r="CT530" i="48"/>
  <c r="CT535" i="48"/>
  <c r="CT356" i="48"/>
  <c r="CT366" i="48"/>
  <c r="CT355" i="48"/>
  <c r="CT486" i="48"/>
  <c r="CT488" i="48"/>
  <c r="CT485" i="48"/>
  <c r="CT482" i="48"/>
  <c r="CT931" i="48"/>
  <c r="CT840" i="48"/>
  <c r="CT1330" i="48"/>
  <c r="CT1121" i="48"/>
  <c r="CT385" i="48"/>
  <c r="CT286" i="48"/>
  <c r="CT710" i="48"/>
  <c r="CT709" i="48"/>
  <c r="CT712" i="48"/>
  <c r="CT730" i="48"/>
  <c r="CT711" i="48"/>
  <c r="CT715" i="48"/>
  <c r="CT513" i="48"/>
  <c r="CT512" i="48"/>
  <c r="CT514" i="48"/>
  <c r="CT511" i="48"/>
  <c r="CT1018" i="48"/>
  <c r="CT1017" i="48"/>
  <c r="CT1007" i="48"/>
  <c r="CT1011" i="48"/>
  <c r="CT654" i="48"/>
  <c r="CT656" i="48"/>
  <c r="CT653" i="48"/>
  <c r="CT850" i="48"/>
  <c r="CT1138" i="48"/>
  <c r="CT744" i="48"/>
  <c r="CT749" i="48"/>
  <c r="CT738" i="48"/>
  <c r="CT735" i="48"/>
  <c r="CT410" i="48"/>
  <c r="CT407" i="48"/>
  <c r="CT404" i="48"/>
  <c r="CT406" i="48"/>
  <c r="CT403" i="48"/>
  <c r="CT1086" i="48"/>
  <c r="CT1082" i="48"/>
  <c r="CT1079" i="48"/>
  <c r="CT1076" i="48"/>
  <c r="CT935" i="48"/>
  <c r="CT1119" i="48"/>
  <c r="CT392" i="48"/>
  <c r="CT1230" i="48"/>
  <c r="CT1214" i="48"/>
  <c r="CT1213" i="48"/>
  <c r="CT1233" i="48"/>
  <c r="CT1217" i="48"/>
  <c r="CT1219" i="48"/>
  <c r="CT1216" i="48"/>
  <c r="CT1262" i="48"/>
  <c r="CT1261" i="48"/>
  <c r="CT1281" i="48"/>
  <c r="CT1268" i="48"/>
  <c r="CT1272" i="48"/>
  <c r="CT1278" i="48"/>
  <c r="CT1027" i="48"/>
  <c r="CT1037" i="48"/>
  <c r="CT1034" i="48"/>
  <c r="CT1031" i="48"/>
  <c r="CT1033" i="48"/>
  <c r="CT848" i="48"/>
  <c r="CT1316" i="48"/>
  <c r="CT330" i="48"/>
  <c r="CT379" i="48"/>
  <c r="CT986" i="48"/>
  <c r="CT630" i="48"/>
  <c r="CT619" i="48"/>
  <c r="CT624" i="48"/>
  <c r="CT621" i="48"/>
  <c r="CT623" i="48"/>
  <c r="CT953" i="48"/>
  <c r="CT950" i="48"/>
  <c r="CT949" i="48"/>
  <c r="CT970" i="48"/>
  <c r="CT967" i="48"/>
  <c r="CT969" i="48"/>
  <c r="CT966" i="48"/>
  <c r="CT1099" i="48"/>
  <c r="CT1101" i="48"/>
  <c r="CT1113" i="48"/>
  <c r="CT1095" i="48"/>
  <c r="CT911" i="48"/>
  <c r="CT918" i="48"/>
  <c r="CT902" i="48"/>
  <c r="CT901" i="48"/>
  <c r="CT914" i="48"/>
  <c r="CT703" i="48"/>
  <c r="CT702" i="48"/>
  <c r="CT693" i="48"/>
  <c r="CT686" i="48"/>
  <c r="CT685" i="48"/>
  <c r="CT698" i="48"/>
  <c r="CT332" i="48"/>
  <c r="CT1124" i="48"/>
  <c r="CT343" i="48"/>
  <c r="CT328" i="48"/>
  <c r="CT975" i="48"/>
  <c r="CT219" i="48"/>
  <c r="CT207" i="48"/>
  <c r="CT174" i="48"/>
  <c r="CT244" i="48"/>
  <c r="CT222" i="48"/>
  <c r="CT168" i="48"/>
  <c r="CT159" i="48"/>
  <c r="CT136" i="48"/>
  <c r="CT225" i="48"/>
  <c r="CT161" i="48"/>
  <c r="CT201" i="48"/>
  <c r="CT290" i="48"/>
  <c r="CT87" i="48"/>
  <c r="CT216" i="48"/>
  <c r="CT259" i="48"/>
  <c r="CT263" i="48"/>
  <c r="CT177" i="48"/>
  <c r="CT145" i="48"/>
  <c r="CT247" i="48"/>
  <c r="CT126" i="48"/>
  <c r="CT287" i="48"/>
  <c r="CT98" i="48"/>
  <c r="CT214" i="48"/>
  <c r="CT221" i="48"/>
  <c r="CT218" i="48"/>
  <c r="CT258" i="48"/>
  <c r="CT165" i="48"/>
  <c r="CT185" i="48"/>
  <c r="CT140" i="48"/>
  <c r="CT95" i="48"/>
  <c r="CT264" i="48"/>
  <c r="CT191" i="48"/>
  <c r="CT92" i="48"/>
  <c r="CT211" i="48"/>
  <c r="CT209" i="48"/>
  <c r="CT213" i="48"/>
  <c r="CT262" i="48"/>
  <c r="CT273" i="48"/>
  <c r="CT255" i="48"/>
  <c r="CT167" i="48"/>
  <c r="CT163" i="48"/>
  <c r="CT170" i="48"/>
  <c r="CT172" i="48"/>
  <c r="CT195" i="48"/>
  <c r="CT197" i="48"/>
  <c r="CT149" i="48"/>
  <c r="CT242" i="48"/>
  <c r="CT239" i="48"/>
  <c r="CT236" i="48"/>
  <c r="CT121" i="48"/>
  <c r="CT123" i="48"/>
  <c r="CT117" i="48"/>
  <c r="CT114" i="48"/>
  <c r="CT111" i="48"/>
  <c r="CT104" i="48"/>
  <c r="CT101" i="48"/>
  <c r="CT90" i="48"/>
  <c r="CT120" i="48"/>
  <c r="CT196" i="48"/>
  <c r="CT183" i="48"/>
  <c r="CT182" i="48"/>
  <c r="CT181" i="48"/>
  <c r="CT194" i="48"/>
  <c r="CT147" i="48"/>
  <c r="CT241" i="48"/>
  <c r="CT243" i="48"/>
  <c r="CT240" i="48"/>
  <c r="CT125" i="48"/>
  <c r="CT122" i="48"/>
  <c r="CT119" i="48"/>
  <c r="CT154" i="48"/>
  <c r="CT102" i="48"/>
  <c r="CT89" i="48"/>
  <c r="CT85" i="48"/>
  <c r="CT86" i="48"/>
  <c r="CT274" i="48"/>
  <c r="CT200" i="48"/>
  <c r="CT238" i="48"/>
  <c r="CT235" i="48"/>
  <c r="CT292" i="48"/>
  <c r="CT210" i="48"/>
  <c r="CT217" i="48"/>
  <c r="CT226" i="48"/>
  <c r="CT223" i="48"/>
  <c r="CT289" i="48"/>
  <c r="CT271" i="48"/>
  <c r="CT260" i="48"/>
  <c r="CT270" i="48"/>
  <c r="CT176" i="48"/>
  <c r="CT160" i="48"/>
  <c r="CT178" i="48"/>
  <c r="CT169" i="48"/>
  <c r="CT162" i="48"/>
  <c r="CT285" i="48"/>
  <c r="CT193" i="48"/>
  <c r="CT190" i="48"/>
  <c r="CT202" i="48"/>
  <c r="CT146" i="48"/>
  <c r="CT153" i="48"/>
  <c r="CT237" i="48"/>
  <c r="CT246" i="48"/>
  <c r="CT248" i="48"/>
  <c r="CT250" i="48"/>
  <c r="CT113" i="48"/>
  <c r="CT109" i="48"/>
  <c r="CT110" i="48"/>
  <c r="CT130" i="48"/>
  <c r="CT127" i="48"/>
  <c r="CT116" i="48"/>
  <c r="CT100" i="48"/>
  <c r="CT94" i="48"/>
  <c r="CT106" i="48"/>
  <c r="CT88" i="48"/>
  <c r="CT137" i="48"/>
  <c r="CT261" i="48"/>
  <c r="CT272" i="48"/>
  <c r="CT148" i="48"/>
  <c r="CT257" i="48"/>
  <c r="CT171" i="48"/>
  <c r="CT157" i="48"/>
  <c r="CT158" i="48"/>
  <c r="CT143" i="48"/>
  <c r="CT224" i="48"/>
  <c r="CT215" i="48"/>
  <c r="CT206" i="48"/>
  <c r="CT205" i="48"/>
  <c r="CT208" i="48"/>
  <c r="CT220" i="48"/>
  <c r="CT253" i="48"/>
  <c r="CT254" i="48"/>
  <c r="CT268" i="48"/>
  <c r="CT265" i="48"/>
  <c r="CT267" i="48"/>
  <c r="CT166" i="48"/>
  <c r="CT173" i="48"/>
  <c r="CT175" i="48"/>
  <c r="CT188" i="48"/>
  <c r="CT198" i="48"/>
  <c r="CT187" i="48"/>
  <c r="CT192" i="48"/>
  <c r="CT280" i="48"/>
  <c r="CT245" i="48"/>
  <c r="CT234" i="48"/>
  <c r="CT233" i="48"/>
  <c r="CT230" i="48"/>
  <c r="CT229" i="48"/>
  <c r="CT232" i="48"/>
  <c r="CT118" i="48"/>
  <c r="CT115" i="48"/>
  <c r="CT112" i="48"/>
  <c r="CT124" i="48"/>
  <c r="CT129" i="48"/>
  <c r="CT142" i="48"/>
  <c r="CT97" i="48"/>
  <c r="CT105" i="48"/>
  <c r="CT91" i="48"/>
  <c r="CT96" i="48"/>
  <c r="CT93" i="48"/>
  <c r="CT134" i="48"/>
  <c r="CT298" i="48"/>
  <c r="CT294" i="48"/>
  <c r="CT297" i="48"/>
  <c r="CT284" i="48"/>
  <c r="CT293" i="48"/>
  <c r="CT282" i="48"/>
  <c r="CT295" i="48"/>
  <c r="CT281" i="48"/>
  <c r="CT279" i="48"/>
  <c r="CT288" i="48"/>
  <c r="CT291" i="48"/>
  <c r="CT278" i="48"/>
  <c r="CT68" i="48"/>
  <c r="CT80" i="48"/>
  <c r="CT63" i="48"/>
  <c r="CT74" i="48"/>
  <c r="CT71" i="48"/>
  <c r="CT78" i="48"/>
  <c r="CT76" i="48"/>
  <c r="CT64" i="48"/>
  <c r="CT73" i="48"/>
  <c r="CT75" i="48"/>
  <c r="CT72" i="48"/>
  <c r="CT77" i="48"/>
  <c r="CT79" i="48"/>
  <c r="CT62" i="48"/>
  <c r="CT61" i="48"/>
  <c r="CT65" i="48"/>
  <c r="CT70" i="48"/>
  <c r="CT82" i="48"/>
  <c r="CT69" i="48"/>
  <c r="CT81" i="48"/>
  <c r="CT67" i="48"/>
  <c r="CT66" i="48"/>
  <c r="CT58" i="48"/>
  <c r="CT52" i="48"/>
  <c r="CT40" i="48"/>
  <c r="CT45" i="48"/>
  <c r="CT57" i="48"/>
  <c r="CT54" i="48"/>
  <c r="CT38" i="48"/>
  <c r="CT37" i="48"/>
  <c r="CT55" i="48"/>
  <c r="CT56" i="48"/>
  <c r="CT41" i="48"/>
  <c r="CT53" i="48"/>
  <c r="CT42" i="48"/>
  <c r="CT39" i="48"/>
  <c r="CT46" i="48"/>
  <c r="CT48" i="48"/>
  <c r="CT49" i="48"/>
  <c r="CT43" i="48"/>
  <c r="CT50" i="48"/>
  <c r="CT47" i="48"/>
  <c r="CT44" i="48"/>
  <c r="CT51" i="48"/>
  <c r="AC974" i="48"/>
  <c r="AC326" i="48"/>
  <c r="CR37" i="48"/>
  <c r="CU49" i="48" l="1"/>
  <c r="CY49" i="48" s="1"/>
  <c r="CU42" i="48"/>
  <c r="CY42" i="48" s="1"/>
  <c r="CU851" i="48"/>
  <c r="CY851" i="48" s="1"/>
  <c r="DH851" i="48" s="1"/>
  <c r="V851" i="48" s="1"/>
  <c r="CU51" i="48"/>
  <c r="CY51" i="48" s="1"/>
  <c r="DH51" i="48" s="1"/>
  <c r="CU43" i="48"/>
  <c r="CY43" i="48" s="1"/>
  <c r="CU56" i="48"/>
  <c r="CY56" i="48" s="1"/>
  <c r="DH56" i="48" s="1"/>
  <c r="CU54" i="48"/>
  <c r="CY54" i="48" s="1"/>
  <c r="CU65" i="48"/>
  <c r="CY65" i="48" s="1"/>
  <c r="DH65" i="48" s="1"/>
  <c r="V65" i="48" s="1"/>
  <c r="CU74" i="48"/>
  <c r="CY74" i="48" s="1"/>
  <c r="DH74" i="48" s="1"/>
  <c r="V74" i="48" s="1"/>
  <c r="CU284" i="48"/>
  <c r="CY284" i="48" s="1"/>
  <c r="DH284" i="48" s="1"/>
  <c r="V284" i="48" s="1"/>
  <c r="AC284" i="48" s="1"/>
  <c r="CU124" i="48"/>
  <c r="CY124" i="48" s="1"/>
  <c r="DH124" i="48" s="1"/>
  <c r="V124" i="48" s="1"/>
  <c r="CU173" i="48"/>
  <c r="CY173" i="48" s="1"/>
  <c r="DH173" i="48" s="1"/>
  <c r="V173" i="48" s="1"/>
  <c r="AC173" i="48" s="1"/>
  <c r="CU224" i="48"/>
  <c r="CY224" i="48" s="1"/>
  <c r="DH224" i="48" s="1"/>
  <c r="V224" i="48" s="1"/>
  <c r="CU94" i="48"/>
  <c r="CY94" i="48" s="1"/>
  <c r="DH94" i="48" s="1"/>
  <c r="V94" i="48" s="1"/>
  <c r="AC94" i="48" s="1"/>
  <c r="CU153" i="48"/>
  <c r="CY153" i="48" s="1"/>
  <c r="DH153" i="48" s="1"/>
  <c r="V153" i="48" s="1"/>
  <c r="AC153" i="48" s="1"/>
  <c r="AG153" i="48" s="1"/>
  <c r="CU226" i="48"/>
  <c r="CY226" i="48" s="1"/>
  <c r="DH226" i="48" s="1"/>
  <c r="CU154" i="48"/>
  <c r="CY154" i="48" s="1"/>
  <c r="DH154" i="48" s="1"/>
  <c r="CU196" i="48"/>
  <c r="CY196" i="48" s="1"/>
  <c r="DH196" i="48" s="1"/>
  <c r="V196" i="48" s="1"/>
  <c r="AC196" i="48" s="1"/>
  <c r="CU242" i="48"/>
  <c r="CY242" i="48" s="1"/>
  <c r="DH242" i="48" s="1"/>
  <c r="V242" i="48" s="1"/>
  <c r="AC242" i="48" s="1"/>
  <c r="CU264" i="48"/>
  <c r="CY264" i="48" s="1"/>
  <c r="DH264" i="48" s="1"/>
  <c r="V264" i="48" s="1"/>
  <c r="AC264" i="48" s="1"/>
  <c r="CU247" i="48"/>
  <c r="CY247" i="48" s="1"/>
  <c r="DH247" i="48" s="1"/>
  <c r="V247" i="48" s="1"/>
  <c r="CU159" i="48"/>
  <c r="CY159" i="48" s="1"/>
  <c r="DH159" i="48" s="1"/>
  <c r="V159" i="48" s="1"/>
  <c r="AC159" i="48" s="1"/>
  <c r="CU328" i="48"/>
  <c r="CY328" i="48" s="1"/>
  <c r="DH328" i="48" s="1"/>
  <c r="V328" i="48" s="1"/>
  <c r="AC328" i="48" s="1"/>
  <c r="CU1113" i="48"/>
  <c r="CY1113" i="48" s="1"/>
  <c r="DH1113" i="48" s="1"/>
  <c r="V1113" i="48" s="1"/>
  <c r="AC1113" i="48" s="1"/>
  <c r="CU379" i="48"/>
  <c r="CY379" i="48" s="1"/>
  <c r="DH379" i="48" s="1"/>
  <c r="V379" i="48" s="1"/>
  <c r="CU1281" i="48"/>
  <c r="CY1281" i="48" s="1"/>
  <c r="DH1281" i="48" s="1"/>
  <c r="V1281" i="48" s="1"/>
  <c r="AC1281" i="48" s="1"/>
  <c r="CU935" i="48"/>
  <c r="CY935" i="48" s="1"/>
  <c r="DH935" i="48" s="1"/>
  <c r="V935" i="48" s="1"/>
  <c r="AC935" i="48" s="1"/>
  <c r="CU407" i="48"/>
  <c r="CY407" i="48" s="1"/>
  <c r="DH407" i="48" s="1"/>
  <c r="V407" i="48" s="1"/>
  <c r="AC407" i="48" s="1"/>
  <c r="CU1007" i="48"/>
  <c r="CY1007" i="48" s="1"/>
  <c r="DH1007" i="48" s="1"/>
  <c r="V1007" i="48" s="1"/>
  <c r="CU1330" i="48"/>
  <c r="CY1330" i="48" s="1"/>
  <c r="DH1330" i="48" s="1"/>
  <c r="V1330" i="48" s="1"/>
  <c r="AC1330" i="48" s="1"/>
  <c r="CU1186" i="48"/>
  <c r="CY1186" i="48" s="1"/>
  <c r="DH1186" i="48" s="1"/>
  <c r="CU1240" i="48"/>
  <c r="CY1240" i="48" s="1"/>
  <c r="DH1240" i="48" s="1"/>
  <c r="V1240" i="48" s="1"/>
  <c r="AC1240" i="48" s="1"/>
  <c r="CU340" i="48"/>
  <c r="CY340" i="48" s="1"/>
  <c r="DH340" i="48" s="1"/>
  <c r="V340" i="48" s="1"/>
  <c r="CU759" i="48"/>
  <c r="CY759" i="48" s="1"/>
  <c r="DH759" i="48" s="1"/>
  <c r="V759" i="48" s="1"/>
  <c r="AC759" i="48" s="1"/>
  <c r="CU1203" i="48"/>
  <c r="CY1203" i="48" s="1"/>
  <c r="DH1203" i="48" s="1"/>
  <c r="V1203" i="48" s="1"/>
  <c r="CU799" i="48"/>
  <c r="CY799" i="48" s="1"/>
  <c r="DH799" i="48" s="1"/>
  <c r="V799" i="48" s="1"/>
  <c r="AC799" i="48" s="1"/>
  <c r="CU1275" i="48"/>
  <c r="CY1275" i="48" s="1"/>
  <c r="DH1275" i="48" s="1"/>
  <c r="V1275" i="48" s="1"/>
  <c r="AC1275" i="48" s="1"/>
  <c r="CU906" i="48"/>
  <c r="CY906" i="48" s="1"/>
  <c r="DH906" i="48" s="1"/>
  <c r="V906" i="48" s="1"/>
  <c r="CU634" i="48"/>
  <c r="CY634" i="48" s="1"/>
  <c r="DH634" i="48" s="1"/>
  <c r="V634" i="48" s="1"/>
  <c r="AC634" i="48" s="1"/>
  <c r="CU1269" i="48"/>
  <c r="CY1269" i="48" s="1"/>
  <c r="DH1269" i="48" s="1"/>
  <c r="V1269" i="48" s="1"/>
  <c r="AC1269" i="48" s="1"/>
  <c r="CU1080" i="48"/>
  <c r="CY1080" i="48" s="1"/>
  <c r="DH1080" i="48" s="1"/>
  <c r="V1080" i="48" s="1"/>
  <c r="CU1133" i="48"/>
  <c r="CY1133" i="48" s="1"/>
  <c r="DH1133" i="48" s="1"/>
  <c r="V1133" i="48" s="1"/>
  <c r="AC1133" i="48" s="1"/>
  <c r="CU507" i="48"/>
  <c r="CY507" i="48" s="1"/>
  <c r="DH507" i="48" s="1"/>
  <c r="V507" i="48" s="1"/>
  <c r="AC507" i="48" s="1"/>
  <c r="CU358" i="48"/>
  <c r="CY358" i="48" s="1"/>
  <c r="DH358" i="48" s="1"/>
  <c r="V358" i="48" s="1"/>
  <c r="AC358" i="48" s="1"/>
  <c r="CU1184" i="48"/>
  <c r="CY1184" i="48" s="1"/>
  <c r="DH1184" i="48" s="1"/>
  <c r="V1184" i="48" s="1"/>
  <c r="CU599" i="48"/>
  <c r="CY599" i="48" s="1"/>
  <c r="DH599" i="48" s="1"/>
  <c r="V599" i="48" s="1"/>
  <c r="AC599" i="48" s="1"/>
  <c r="CU1300" i="48"/>
  <c r="CY1300" i="48" s="1"/>
  <c r="DH1300" i="48" s="1"/>
  <c r="V1300" i="48" s="1"/>
  <c r="AC1300" i="48" s="1"/>
  <c r="CU1207" i="48"/>
  <c r="CY1207" i="48" s="1"/>
  <c r="DH1207" i="48" s="1"/>
  <c r="V1207" i="48" s="1"/>
  <c r="AC1207" i="48" s="1"/>
  <c r="CU344" i="48"/>
  <c r="CY344" i="48" s="1"/>
  <c r="DH344" i="48" s="1"/>
  <c r="V344" i="48" s="1"/>
  <c r="CU903" i="48"/>
  <c r="CY903" i="48" s="1"/>
  <c r="DH903" i="48" s="1"/>
  <c r="V903" i="48" s="1"/>
  <c r="AC903" i="48" s="1"/>
  <c r="CU1035" i="48"/>
  <c r="CY1035" i="48" s="1"/>
  <c r="DH1035" i="48" s="1"/>
  <c r="V1035" i="48" s="1"/>
  <c r="AC1035" i="48" s="1"/>
  <c r="CU1077" i="48"/>
  <c r="CY1077" i="48" s="1"/>
  <c r="DH1077" i="48" s="1"/>
  <c r="V1077" i="48" s="1"/>
  <c r="AC1077" i="48" s="1"/>
  <c r="CU640" i="48"/>
  <c r="CY640" i="48" s="1"/>
  <c r="DH640" i="48" s="1"/>
  <c r="V640" i="48" s="1"/>
  <c r="AC640" i="48" s="1"/>
  <c r="CU1129" i="48"/>
  <c r="CY1129" i="48" s="1"/>
  <c r="DH1129" i="48" s="1"/>
  <c r="V1129" i="48" s="1"/>
  <c r="AC1129" i="48" s="1"/>
  <c r="CU528" i="48"/>
  <c r="CY528" i="48" s="1"/>
  <c r="DH528" i="48" s="1"/>
  <c r="V528" i="48" s="1"/>
  <c r="CU581" i="48"/>
  <c r="CY581" i="48" s="1"/>
  <c r="DH581" i="48" s="1"/>
  <c r="V581" i="48" s="1"/>
  <c r="AC581" i="48" s="1"/>
  <c r="CU1312" i="48"/>
  <c r="CY1312" i="48" s="1"/>
  <c r="DH1312" i="48" s="1"/>
  <c r="V1312" i="48" s="1"/>
  <c r="AC1312" i="48" s="1"/>
  <c r="CU764" i="48"/>
  <c r="CY764" i="48" s="1"/>
  <c r="DH764" i="48" s="1"/>
  <c r="V764" i="48" s="1"/>
  <c r="AC764" i="48" s="1"/>
  <c r="CU821" i="48"/>
  <c r="CY821" i="48" s="1"/>
  <c r="DH821" i="48" s="1"/>
  <c r="V821" i="48" s="1"/>
  <c r="AC821" i="48" s="1"/>
  <c r="CU1313" i="48"/>
  <c r="CY1313" i="48" s="1"/>
  <c r="DH1313" i="48" s="1"/>
  <c r="V1313" i="48" s="1"/>
  <c r="AC1313" i="48" s="1"/>
  <c r="CU1038" i="48"/>
  <c r="CY1038" i="48" s="1"/>
  <c r="DH1038" i="48" s="1"/>
  <c r="V1038" i="48" s="1"/>
  <c r="AC1038" i="48" s="1"/>
  <c r="CU873" i="48"/>
  <c r="CY873" i="48" s="1"/>
  <c r="DH873" i="48" s="1"/>
  <c r="V873" i="48" s="1"/>
  <c r="CU1318" i="48"/>
  <c r="CY1318" i="48" s="1"/>
  <c r="DH1318" i="48" s="1"/>
  <c r="V1318" i="48" s="1"/>
  <c r="AC1318" i="48" s="1"/>
  <c r="CU1193" i="48"/>
  <c r="CY1193" i="48" s="1"/>
  <c r="DH1193" i="48" s="1"/>
  <c r="V1193" i="48" s="1"/>
  <c r="CU798" i="48"/>
  <c r="CY798" i="48" s="1"/>
  <c r="DH798" i="48" s="1"/>
  <c r="V798" i="48" s="1"/>
  <c r="CU405" i="48"/>
  <c r="CY405" i="48" s="1"/>
  <c r="DH405" i="48" s="1"/>
  <c r="V405" i="48" s="1"/>
  <c r="AC405" i="48" s="1"/>
  <c r="CU319" i="48"/>
  <c r="CY319" i="48" s="1"/>
  <c r="DH319" i="48" s="1"/>
  <c r="V319" i="48" s="1"/>
  <c r="AC319" i="48" s="1"/>
  <c r="CU1264" i="48"/>
  <c r="CY1264" i="48" s="1"/>
  <c r="DH1264" i="48" s="1"/>
  <c r="V1264" i="48" s="1"/>
  <c r="AC1264" i="48" s="1"/>
  <c r="CU992" i="48"/>
  <c r="CY992" i="48" s="1"/>
  <c r="DH992" i="48" s="1"/>
  <c r="V992" i="48" s="1"/>
  <c r="CU538" i="48"/>
  <c r="CY538" i="48" s="1"/>
  <c r="DH538" i="48" s="1"/>
  <c r="V538" i="48" s="1"/>
  <c r="AC538" i="48" s="1"/>
  <c r="CU629" i="48"/>
  <c r="CY629" i="48" s="1"/>
  <c r="DH629" i="48" s="1"/>
  <c r="V629" i="48" s="1"/>
  <c r="AC629" i="48" s="1"/>
  <c r="CU605" i="48"/>
  <c r="CY605" i="48" s="1"/>
  <c r="DH605" i="48" s="1"/>
  <c r="V605" i="48" s="1"/>
  <c r="AC605" i="48" s="1"/>
  <c r="CU952" i="48"/>
  <c r="CY952" i="48" s="1"/>
  <c r="DH952" i="48" s="1"/>
  <c r="V952" i="48" s="1"/>
  <c r="AC952" i="48" s="1"/>
  <c r="CU389" i="48"/>
  <c r="CY389" i="48" s="1"/>
  <c r="DH389" i="48" s="1"/>
  <c r="V389" i="48" s="1"/>
  <c r="AC389" i="48" s="1"/>
  <c r="CU1303" i="48"/>
  <c r="CY1303" i="48" s="1"/>
  <c r="DH1303" i="48" s="1"/>
  <c r="V1303" i="48" s="1"/>
  <c r="AC1303" i="48" s="1"/>
  <c r="CU1176" i="48"/>
  <c r="CY1176" i="48" s="1"/>
  <c r="DH1176" i="48" s="1"/>
  <c r="V1176" i="48" s="1"/>
  <c r="AC1176" i="48" s="1"/>
  <c r="CU363" i="48"/>
  <c r="CY363" i="48" s="1"/>
  <c r="DH363" i="48" s="1"/>
  <c r="V363" i="48" s="1"/>
  <c r="CU439" i="48"/>
  <c r="CY439" i="48" s="1"/>
  <c r="DH439" i="48" s="1"/>
  <c r="V439" i="48" s="1"/>
  <c r="AC439" i="48" s="1"/>
  <c r="CU386" i="48"/>
  <c r="CY386" i="48" s="1"/>
  <c r="DH386" i="48" s="1"/>
  <c r="V386" i="48" s="1"/>
  <c r="AC386" i="48" s="1"/>
  <c r="CU1132" i="48"/>
  <c r="CY1132" i="48" s="1"/>
  <c r="DH1132" i="48" s="1"/>
  <c r="V1132" i="48" s="1"/>
  <c r="AC1132" i="48" s="1"/>
  <c r="CU1181" i="48"/>
  <c r="CY1181" i="48" s="1"/>
  <c r="DH1181" i="48" s="1"/>
  <c r="V1181" i="48" s="1"/>
  <c r="CU377" i="48"/>
  <c r="CY377" i="48" s="1"/>
  <c r="DH377" i="48" s="1"/>
  <c r="V377" i="48" s="1"/>
  <c r="CU296" i="48"/>
  <c r="CY296" i="48" s="1"/>
  <c r="DH296" i="48" s="1"/>
  <c r="V296" i="48" s="1"/>
  <c r="CU627" i="48"/>
  <c r="CY627" i="48" s="1"/>
  <c r="DH627" i="48" s="1"/>
  <c r="V627" i="48" s="1"/>
  <c r="AC627" i="48" s="1"/>
  <c r="CU415" i="48"/>
  <c r="CY415" i="48" s="1"/>
  <c r="DH415" i="48" s="1"/>
  <c r="V415" i="48" s="1"/>
  <c r="AC415" i="48" s="1"/>
  <c r="CU362" i="48"/>
  <c r="CY362" i="48" s="1"/>
  <c r="DH362" i="48" s="1"/>
  <c r="V362" i="48" s="1"/>
  <c r="CU601" i="48"/>
  <c r="CY601" i="48" s="1"/>
  <c r="DH601" i="48" s="1"/>
  <c r="V601" i="48" s="1"/>
  <c r="AC601" i="48" s="1"/>
  <c r="CU549" i="48"/>
  <c r="CY549" i="48" s="1"/>
  <c r="DH549" i="48" s="1"/>
  <c r="V549" i="48" s="1"/>
  <c r="AC549" i="48" s="1"/>
  <c r="CU1059" i="48"/>
  <c r="CY1059" i="48" s="1"/>
  <c r="DH1059" i="48" s="1"/>
  <c r="V1059" i="48" s="1"/>
  <c r="AC1059" i="48" s="1"/>
  <c r="CU934" i="48"/>
  <c r="CY934" i="48" s="1"/>
  <c r="DH934" i="48" s="1"/>
  <c r="V934" i="48" s="1"/>
  <c r="AC934" i="48" s="1"/>
  <c r="CU1319" i="48"/>
  <c r="CY1319" i="48" s="1"/>
  <c r="DH1319" i="48" s="1"/>
  <c r="V1319" i="48" s="1"/>
  <c r="AC1319" i="48" s="1"/>
  <c r="CU728" i="48"/>
  <c r="CY728" i="48" s="1"/>
  <c r="DH728" i="48" s="1"/>
  <c r="V728" i="48" s="1"/>
  <c r="CU436" i="48"/>
  <c r="CY436" i="48" s="1"/>
  <c r="DH436" i="48" s="1"/>
  <c r="V436" i="48" s="1"/>
  <c r="CU227" i="48"/>
  <c r="CY227" i="48" s="1"/>
  <c r="DH227" i="48" s="1"/>
  <c r="V227" i="48" s="1"/>
  <c r="CU971" i="48"/>
  <c r="CY971" i="48" s="1"/>
  <c r="DH971" i="48" s="1"/>
  <c r="CU44" i="48"/>
  <c r="CY44" i="48" s="1"/>
  <c r="DH44" i="48" s="1"/>
  <c r="CU55" i="48"/>
  <c r="CY55" i="48" s="1"/>
  <c r="CU57" i="48"/>
  <c r="CY57" i="48" s="1"/>
  <c r="DH57" i="48" s="1"/>
  <c r="CU58" i="48"/>
  <c r="CY58" i="48" s="1"/>
  <c r="DH58" i="48" s="1"/>
  <c r="CU69" i="48"/>
  <c r="CY69" i="48" s="1"/>
  <c r="DH69" i="48" s="1"/>
  <c r="V69" i="48" s="1"/>
  <c r="AC69" i="48" s="1"/>
  <c r="CU72" i="48"/>
  <c r="CY72" i="48" s="1"/>
  <c r="DH72" i="48" s="1"/>
  <c r="V72" i="48" s="1"/>
  <c r="AC72" i="48" s="1"/>
  <c r="CU76" i="48"/>
  <c r="CY76" i="48" s="1"/>
  <c r="DH76" i="48" s="1"/>
  <c r="V76" i="48" s="1"/>
  <c r="AC76" i="48" s="1"/>
  <c r="CU63" i="48"/>
  <c r="CY63" i="48" s="1"/>
  <c r="DH63" i="48" s="1"/>
  <c r="V63" i="48" s="1"/>
  <c r="AC63" i="48" s="1"/>
  <c r="CU291" i="48"/>
  <c r="CY291" i="48" s="1"/>
  <c r="DH291" i="48" s="1"/>
  <c r="V291" i="48" s="1"/>
  <c r="AC291" i="48" s="1"/>
  <c r="CU295" i="48"/>
  <c r="CY295" i="48" s="1"/>
  <c r="DH295" i="48" s="1"/>
  <c r="V295" i="48" s="1"/>
  <c r="AC295" i="48" s="1"/>
  <c r="CU297" i="48"/>
  <c r="CY297" i="48" s="1"/>
  <c r="DH297" i="48" s="1"/>
  <c r="V297" i="48" s="1"/>
  <c r="AC297" i="48" s="1"/>
  <c r="CU93" i="48"/>
  <c r="CY93" i="48" s="1"/>
  <c r="DH93" i="48" s="1"/>
  <c r="V93" i="48" s="1"/>
  <c r="AC93" i="48" s="1"/>
  <c r="CU97" i="48"/>
  <c r="CY97" i="48" s="1"/>
  <c r="DH97" i="48" s="1"/>
  <c r="V97" i="48" s="1"/>
  <c r="AC97" i="48" s="1"/>
  <c r="CU112" i="48"/>
  <c r="CY112" i="48" s="1"/>
  <c r="DH112" i="48" s="1"/>
  <c r="V112" i="48" s="1"/>
  <c r="AC112" i="48" s="1"/>
  <c r="CU245" i="48"/>
  <c r="CY245" i="48" s="1"/>
  <c r="DH245" i="48" s="1"/>
  <c r="V245" i="48" s="1"/>
  <c r="AC245" i="48" s="1"/>
  <c r="CU198" i="48"/>
  <c r="CY198" i="48" s="1"/>
  <c r="DH198" i="48" s="1"/>
  <c r="V198" i="48" s="1"/>
  <c r="AC198" i="48" s="1"/>
  <c r="CU166" i="48"/>
  <c r="CY166" i="48" s="1"/>
  <c r="DH166" i="48" s="1"/>
  <c r="V166" i="48" s="1"/>
  <c r="AC166" i="48" s="1"/>
  <c r="CU143" i="48"/>
  <c r="CY143" i="48" s="1"/>
  <c r="DH143" i="48" s="1"/>
  <c r="V143" i="48" s="1"/>
  <c r="AC143" i="48" s="1"/>
  <c r="AG143" i="48" s="1"/>
  <c r="CU257" i="48"/>
  <c r="CY257" i="48" s="1"/>
  <c r="DH257" i="48" s="1"/>
  <c r="V257" i="48" s="1"/>
  <c r="AC257" i="48" s="1"/>
  <c r="CU137" i="48"/>
  <c r="CY137" i="48" s="1"/>
  <c r="DH137" i="48" s="1"/>
  <c r="V137" i="48" s="1"/>
  <c r="CU100" i="48"/>
  <c r="CY100" i="48" s="1"/>
  <c r="DH100" i="48" s="1"/>
  <c r="V100" i="48" s="1"/>
  <c r="AC100" i="48" s="1"/>
  <c r="CU248" i="48"/>
  <c r="CY248" i="48" s="1"/>
  <c r="DH248" i="48" s="1"/>
  <c r="V248" i="48" s="1"/>
  <c r="AC248" i="48" s="1"/>
  <c r="CU146" i="48"/>
  <c r="CY146" i="48" s="1"/>
  <c r="DH146" i="48" s="1"/>
  <c r="V146" i="48" s="1"/>
  <c r="AC146" i="48" s="1"/>
  <c r="AG146" i="48" s="1"/>
  <c r="CU285" i="48"/>
  <c r="CY285" i="48" s="1"/>
  <c r="DH285" i="48" s="1"/>
  <c r="V285" i="48" s="1"/>
  <c r="AC285" i="48" s="1"/>
  <c r="CU160" i="48"/>
  <c r="CY160" i="48" s="1"/>
  <c r="DH160" i="48" s="1"/>
  <c r="V160" i="48" s="1"/>
  <c r="AC160" i="48" s="1"/>
  <c r="CU271" i="48"/>
  <c r="CY271" i="48" s="1"/>
  <c r="DH271" i="48" s="1"/>
  <c r="V271" i="48" s="1"/>
  <c r="AC271" i="48" s="1"/>
  <c r="CU217" i="48"/>
  <c r="CY217" i="48" s="1"/>
  <c r="DH217" i="48" s="1"/>
  <c r="V217" i="48" s="1"/>
  <c r="AC217" i="48" s="1"/>
  <c r="CU238" i="48"/>
  <c r="CY238" i="48" s="1"/>
  <c r="DH238" i="48" s="1"/>
  <c r="V238" i="48" s="1"/>
  <c r="CU119" i="48"/>
  <c r="CY119" i="48" s="1"/>
  <c r="DH119" i="48" s="1"/>
  <c r="V119" i="48" s="1"/>
  <c r="AC119" i="48" s="1"/>
  <c r="CU243" i="48"/>
  <c r="CY243" i="48" s="1"/>
  <c r="DH243" i="48" s="1"/>
  <c r="V243" i="48" s="1"/>
  <c r="AC243" i="48" s="1"/>
  <c r="CU120" i="48"/>
  <c r="CY120" i="48" s="1"/>
  <c r="DH120" i="48" s="1"/>
  <c r="V120" i="48" s="1"/>
  <c r="AC120" i="48" s="1"/>
  <c r="CU111" i="48"/>
  <c r="CY111" i="48" s="1"/>
  <c r="DH111" i="48" s="1"/>
  <c r="V111" i="48" s="1"/>
  <c r="AC111" i="48" s="1"/>
  <c r="CU121" i="48"/>
  <c r="CY121" i="48" s="1"/>
  <c r="DH121" i="48" s="1"/>
  <c r="V121" i="48" s="1"/>
  <c r="AC121" i="48" s="1"/>
  <c r="CU149" i="48"/>
  <c r="CY149" i="48" s="1"/>
  <c r="DH149" i="48" s="1"/>
  <c r="V149" i="48" s="1"/>
  <c r="AC149" i="48" s="1"/>
  <c r="AG149" i="48" s="1"/>
  <c r="CU170" i="48"/>
  <c r="CY170" i="48" s="1"/>
  <c r="DH170" i="48" s="1"/>
  <c r="V170" i="48" s="1"/>
  <c r="AC170" i="48" s="1"/>
  <c r="CU273" i="48"/>
  <c r="CY273" i="48" s="1"/>
  <c r="DH273" i="48" s="1"/>
  <c r="V273" i="48" s="1"/>
  <c r="AC273" i="48" s="1"/>
  <c r="CU211" i="48"/>
  <c r="CY211" i="48" s="1"/>
  <c r="DH211" i="48" s="1"/>
  <c r="V211" i="48" s="1"/>
  <c r="AC211" i="48" s="1"/>
  <c r="CU95" i="48"/>
  <c r="CY95" i="48" s="1"/>
  <c r="DH95" i="48" s="1"/>
  <c r="V95" i="48" s="1"/>
  <c r="AC95" i="48" s="1"/>
  <c r="CU258" i="48"/>
  <c r="CY258" i="48" s="1"/>
  <c r="DH258" i="48" s="1"/>
  <c r="V258" i="48" s="1"/>
  <c r="AC258" i="48" s="1"/>
  <c r="AN258" i="48" s="1"/>
  <c r="CU98" i="48"/>
  <c r="CY98" i="48" s="1"/>
  <c r="DH98" i="48" s="1"/>
  <c r="V98" i="48" s="1"/>
  <c r="AC98" i="48" s="1"/>
  <c r="CU145" i="48"/>
  <c r="CY145" i="48" s="1"/>
  <c r="DH145" i="48" s="1"/>
  <c r="V145" i="48" s="1"/>
  <c r="AC145" i="48" s="1"/>
  <c r="AG145" i="48" s="1"/>
  <c r="CU216" i="48"/>
  <c r="CY216" i="48" s="1"/>
  <c r="DH216" i="48" s="1"/>
  <c r="V216" i="48" s="1"/>
  <c r="CU161" i="48"/>
  <c r="CY161" i="48" s="1"/>
  <c r="DH161" i="48" s="1"/>
  <c r="V161" i="48" s="1"/>
  <c r="CU168" i="48"/>
  <c r="CY168" i="48" s="1"/>
  <c r="DH168" i="48" s="1"/>
  <c r="V168" i="48" s="1"/>
  <c r="AC168" i="48" s="1"/>
  <c r="CU207" i="48"/>
  <c r="CY207" i="48" s="1"/>
  <c r="DH207" i="48" s="1"/>
  <c r="V207" i="48" s="1"/>
  <c r="AC207" i="48" s="1"/>
  <c r="CU343" i="48"/>
  <c r="CY343" i="48" s="1"/>
  <c r="DH343" i="48" s="1"/>
  <c r="V343" i="48" s="1"/>
  <c r="AC343" i="48" s="1"/>
  <c r="CU703" i="48"/>
  <c r="CY703" i="48" s="1"/>
  <c r="DH703" i="48" s="1"/>
  <c r="V703" i="48" s="1"/>
  <c r="AC703" i="48" s="1"/>
  <c r="CU918" i="48"/>
  <c r="CY918" i="48" s="1"/>
  <c r="DH918" i="48" s="1"/>
  <c r="V918" i="48" s="1"/>
  <c r="AC918" i="48" s="1"/>
  <c r="CU1101" i="48"/>
  <c r="CY1101" i="48" s="1"/>
  <c r="DH1101" i="48" s="1"/>
  <c r="V1101" i="48" s="1"/>
  <c r="AC1101" i="48" s="1"/>
  <c r="CU967" i="48"/>
  <c r="CY967" i="48" s="1"/>
  <c r="DH967" i="48" s="1"/>
  <c r="V967" i="48" s="1"/>
  <c r="AC967" i="48" s="1"/>
  <c r="CU953" i="48"/>
  <c r="CY953" i="48" s="1"/>
  <c r="DH953" i="48" s="1"/>
  <c r="V953" i="48" s="1"/>
  <c r="AC953" i="48" s="1"/>
  <c r="CU619" i="48"/>
  <c r="CY619" i="48" s="1"/>
  <c r="DH619" i="48" s="1"/>
  <c r="V619" i="48" s="1"/>
  <c r="AC619" i="48" s="1"/>
  <c r="CU330" i="48"/>
  <c r="CY330" i="48" s="1"/>
  <c r="DH330" i="48" s="1"/>
  <c r="V330" i="48" s="1"/>
  <c r="AC330" i="48" s="1"/>
  <c r="AN330" i="48" s="1"/>
  <c r="CU1031" i="48"/>
  <c r="CY1031" i="48" s="1"/>
  <c r="DH1031" i="48" s="1"/>
  <c r="V1031" i="48" s="1"/>
  <c r="AC1031" i="48" s="1"/>
  <c r="CU1278" i="48"/>
  <c r="CY1278" i="48" s="1"/>
  <c r="DH1278" i="48" s="1"/>
  <c r="V1278" i="48" s="1"/>
  <c r="AC1278" i="48" s="1"/>
  <c r="CU1217" i="48"/>
  <c r="CY1217" i="48" s="1"/>
  <c r="DH1217" i="48" s="1"/>
  <c r="V1217" i="48" s="1"/>
  <c r="CU1230" i="48"/>
  <c r="CY1230" i="48" s="1"/>
  <c r="DH1230" i="48" s="1"/>
  <c r="V1230" i="48" s="1"/>
  <c r="AC1230" i="48" s="1"/>
  <c r="CU1076" i="48"/>
  <c r="CY1076" i="48" s="1"/>
  <c r="DH1076" i="48" s="1"/>
  <c r="V1076" i="48" s="1"/>
  <c r="AC1076" i="48" s="1"/>
  <c r="CU403" i="48"/>
  <c r="CY403" i="48" s="1"/>
  <c r="DH403" i="48" s="1"/>
  <c r="V403" i="48" s="1"/>
  <c r="AC403" i="48" s="1"/>
  <c r="CU410" i="48"/>
  <c r="CY410" i="48" s="1"/>
  <c r="DH410" i="48" s="1"/>
  <c r="V410" i="48" s="1"/>
  <c r="AC410" i="48" s="1"/>
  <c r="CU744" i="48"/>
  <c r="CY744" i="48" s="1"/>
  <c r="DH744" i="48" s="1"/>
  <c r="V744" i="48" s="1"/>
  <c r="AC744" i="48" s="1"/>
  <c r="CU656" i="48"/>
  <c r="CY656" i="48" s="1"/>
  <c r="DH656" i="48" s="1"/>
  <c r="V656" i="48" s="1"/>
  <c r="CU1017" i="48"/>
  <c r="CY1017" i="48" s="1"/>
  <c r="DH1017" i="48" s="1"/>
  <c r="V1017" i="48" s="1"/>
  <c r="AC1017" i="48" s="1"/>
  <c r="CU512" i="48"/>
  <c r="CY512" i="48" s="1"/>
  <c r="DH512" i="48" s="1"/>
  <c r="V512" i="48" s="1"/>
  <c r="AC512" i="48" s="1"/>
  <c r="CU730" i="48"/>
  <c r="CY730" i="48" s="1"/>
  <c r="DH730" i="48" s="1"/>
  <c r="V730" i="48" s="1"/>
  <c r="AC730" i="48" s="1"/>
  <c r="CU286" i="48"/>
  <c r="CY286" i="48" s="1"/>
  <c r="DH286" i="48" s="1"/>
  <c r="V286" i="48" s="1"/>
  <c r="AC286" i="48" s="1"/>
  <c r="CU840" i="48"/>
  <c r="CY840" i="48" s="1"/>
  <c r="DH840" i="48" s="1"/>
  <c r="V840" i="48" s="1"/>
  <c r="AC840" i="48" s="1"/>
  <c r="CU488" i="48"/>
  <c r="CY488" i="48" s="1"/>
  <c r="DH488" i="48" s="1"/>
  <c r="V488" i="48" s="1"/>
  <c r="AC488" i="48" s="1"/>
  <c r="CU356" i="48"/>
  <c r="CY356" i="48" s="1"/>
  <c r="DH356" i="48" s="1"/>
  <c r="V356" i="48" s="1"/>
  <c r="AC356" i="48" s="1"/>
  <c r="CU1180" i="48"/>
  <c r="CY1180" i="48" s="1"/>
  <c r="DH1180" i="48" s="1"/>
  <c r="V1180" i="48" s="1"/>
  <c r="AC1180" i="48" s="1"/>
  <c r="CU579" i="48"/>
  <c r="CY579" i="48" s="1"/>
  <c r="DH579" i="48" s="1"/>
  <c r="V579" i="48" s="1"/>
  <c r="AC579" i="48" s="1"/>
  <c r="CU892" i="48"/>
  <c r="CY892" i="48" s="1"/>
  <c r="DH892" i="48" s="1"/>
  <c r="V892" i="48" s="1"/>
  <c r="AC892" i="48" s="1"/>
  <c r="CU1241" i="48"/>
  <c r="CY1241" i="48" s="1"/>
  <c r="DH1241" i="48" s="1"/>
  <c r="V1241" i="48" s="1"/>
  <c r="AC1241" i="48" s="1"/>
  <c r="CU606" i="48"/>
  <c r="CY606" i="48" s="1"/>
  <c r="DH606" i="48" s="1"/>
  <c r="V606" i="48" s="1"/>
  <c r="AC606" i="48" s="1"/>
  <c r="CU320" i="48"/>
  <c r="CY320" i="48" s="1"/>
  <c r="DH320" i="48" s="1"/>
  <c r="V320" i="48" s="1"/>
  <c r="AC320" i="48" s="1"/>
  <c r="CU1135" i="48"/>
  <c r="CY1135" i="48" s="1"/>
  <c r="DH1135" i="48" s="1"/>
  <c r="V1135" i="48" s="1"/>
  <c r="AC1135" i="48" s="1"/>
  <c r="CU1305" i="48"/>
  <c r="CY1305" i="48" s="1"/>
  <c r="DH1305" i="48" s="1"/>
  <c r="V1305" i="48" s="1"/>
  <c r="AC1305" i="48" s="1"/>
  <c r="CU776" i="48"/>
  <c r="CY776" i="48" s="1"/>
  <c r="DH776" i="48" s="1"/>
  <c r="V776" i="48" s="1"/>
  <c r="AC776" i="48" s="1"/>
  <c r="CU777" i="48"/>
  <c r="CY777" i="48" s="1"/>
  <c r="DH777" i="48" s="1"/>
  <c r="V777" i="48" s="1"/>
  <c r="AC777" i="48" s="1"/>
  <c r="CU1194" i="48"/>
  <c r="CY1194" i="48" s="1"/>
  <c r="DH1194" i="48" s="1"/>
  <c r="V1194" i="48" s="1"/>
  <c r="AC1194" i="48" s="1"/>
  <c r="AN1194" i="48" s="1"/>
  <c r="CU1324" i="48"/>
  <c r="CY1324" i="48" s="1"/>
  <c r="DH1324" i="48" s="1"/>
  <c r="V1324" i="48" s="1"/>
  <c r="AC1324" i="48" s="1"/>
  <c r="CU813" i="48"/>
  <c r="CY813" i="48" s="1"/>
  <c r="DH813" i="48" s="1"/>
  <c r="V813" i="48" s="1"/>
  <c r="AC813" i="48" s="1"/>
  <c r="CU440" i="48"/>
  <c r="CY440" i="48" s="1"/>
  <c r="DH440" i="48" s="1"/>
  <c r="V440" i="48" s="1"/>
  <c r="AC440" i="48" s="1"/>
  <c r="CU138" i="48"/>
  <c r="CY138" i="48" s="1"/>
  <c r="DH138" i="48" s="1"/>
  <c r="V138" i="48" s="1"/>
  <c r="AC138" i="48" s="1"/>
  <c r="AN138" i="48" s="1"/>
  <c r="CU785" i="48"/>
  <c r="CY785" i="48" s="1"/>
  <c r="DH785" i="48" s="1"/>
  <c r="V785" i="48" s="1"/>
  <c r="CU1161" i="48"/>
  <c r="CY1161" i="48" s="1"/>
  <c r="DH1161" i="48" s="1"/>
  <c r="V1161" i="48" s="1"/>
  <c r="AC1161" i="48" s="1"/>
  <c r="CU393" i="48"/>
  <c r="CY393" i="48" s="1"/>
  <c r="DH393" i="48" s="1"/>
  <c r="V393" i="48" s="1"/>
  <c r="AC393" i="48" s="1"/>
  <c r="CU945" i="48"/>
  <c r="CY945" i="48" s="1"/>
  <c r="DH945" i="48" s="1"/>
  <c r="V945" i="48" s="1"/>
  <c r="AC945" i="48" s="1"/>
  <c r="CU897" i="48"/>
  <c r="CY897" i="48" s="1"/>
  <c r="DH897" i="48" s="1"/>
  <c r="V897" i="48" s="1"/>
  <c r="AC897" i="48" s="1"/>
  <c r="CU382" i="48"/>
  <c r="CY382" i="48" s="1"/>
  <c r="DH382" i="48" s="1"/>
  <c r="V382" i="48" s="1"/>
  <c r="AC382" i="48" s="1"/>
  <c r="CU705" i="48"/>
  <c r="CY705" i="48" s="1"/>
  <c r="DH705" i="48" s="1"/>
  <c r="V705" i="48" s="1"/>
  <c r="AC705" i="48" s="1"/>
  <c r="CU917" i="48"/>
  <c r="CY917" i="48" s="1"/>
  <c r="DH917" i="48" s="1"/>
  <c r="V917" i="48" s="1"/>
  <c r="AC917" i="48" s="1"/>
  <c r="CU1105" i="48"/>
  <c r="CY1105" i="48" s="1"/>
  <c r="DH1105" i="48" s="1"/>
  <c r="V1105" i="48" s="1"/>
  <c r="AC1105" i="48" s="1"/>
  <c r="CU1102" i="48"/>
  <c r="CY1102" i="48" s="1"/>
  <c r="DH1102" i="48" s="1"/>
  <c r="V1102" i="48" s="1"/>
  <c r="CU615" i="48"/>
  <c r="CY615" i="48" s="1"/>
  <c r="DH615" i="48" s="1"/>
  <c r="V615" i="48" s="1"/>
  <c r="AC615" i="48" s="1"/>
  <c r="CU633" i="48"/>
  <c r="CY633" i="48" s="1"/>
  <c r="DH633" i="48" s="1"/>
  <c r="V633" i="48" s="1"/>
  <c r="AC633" i="48" s="1"/>
  <c r="CU834" i="48"/>
  <c r="CY834" i="48" s="1"/>
  <c r="DH834" i="48" s="1"/>
  <c r="V834" i="48" s="1"/>
  <c r="AC834" i="48" s="1"/>
  <c r="AN834" i="48" s="1"/>
  <c r="CU1282" i="48"/>
  <c r="CY1282" i="48" s="1"/>
  <c r="DH1282" i="48" s="1"/>
  <c r="V1282" i="48" s="1"/>
  <c r="AC1282" i="48" s="1"/>
  <c r="CU1234" i="48"/>
  <c r="CY1234" i="48" s="1"/>
  <c r="DH1234" i="48" s="1"/>
  <c r="V1234" i="48" s="1"/>
  <c r="AC1234" i="48" s="1"/>
  <c r="CU982" i="48"/>
  <c r="CY982" i="48" s="1"/>
  <c r="DH982" i="48" s="1"/>
  <c r="V982" i="48" s="1"/>
  <c r="AC982" i="48" s="1"/>
  <c r="CU1071" i="48"/>
  <c r="CY1071" i="48" s="1"/>
  <c r="DH1071" i="48" s="1"/>
  <c r="V1071" i="48" s="1"/>
  <c r="AC1071" i="48" s="1"/>
  <c r="CU1083" i="48"/>
  <c r="CY1083" i="48" s="1"/>
  <c r="DH1083" i="48" s="1"/>
  <c r="V1083" i="48" s="1"/>
  <c r="AC1083" i="48" s="1"/>
  <c r="CU399" i="48"/>
  <c r="CY399" i="48" s="1"/>
  <c r="DH399" i="48" s="1"/>
  <c r="V399" i="48" s="1"/>
  <c r="AC399" i="48" s="1"/>
  <c r="CU736" i="48"/>
  <c r="CY736" i="48" s="1"/>
  <c r="DH736" i="48" s="1"/>
  <c r="V736" i="48" s="1"/>
  <c r="AC736" i="48" s="1"/>
  <c r="CU844" i="48"/>
  <c r="CY844" i="48" s="1"/>
  <c r="DH844" i="48" s="1"/>
  <c r="V844" i="48" s="1"/>
  <c r="AC844" i="48" s="1"/>
  <c r="CU649" i="48"/>
  <c r="CY649" i="48" s="1"/>
  <c r="DH649" i="48" s="1"/>
  <c r="V649" i="48" s="1"/>
  <c r="AC649" i="48" s="1"/>
  <c r="CU508" i="48"/>
  <c r="CY508" i="48" s="1"/>
  <c r="DH508" i="48" s="1"/>
  <c r="V508" i="48" s="1"/>
  <c r="AC508" i="48" s="1"/>
  <c r="CU724" i="48"/>
  <c r="CY724" i="48" s="1"/>
  <c r="DH724" i="48" s="1"/>
  <c r="V724" i="48" s="1"/>
  <c r="AC724" i="48" s="1"/>
  <c r="CU849" i="48"/>
  <c r="CY849" i="48" s="1"/>
  <c r="DH849" i="48" s="1"/>
  <c r="V849" i="48" s="1"/>
  <c r="AC849" i="48" s="1"/>
  <c r="CU353" i="48"/>
  <c r="CY353" i="48" s="1"/>
  <c r="DH353" i="48" s="1"/>
  <c r="V353" i="48" s="1"/>
  <c r="AC353" i="48" s="1"/>
  <c r="CU522" i="48"/>
  <c r="CY522" i="48" s="1"/>
  <c r="DH522" i="48" s="1"/>
  <c r="V522" i="48" s="1"/>
  <c r="CU537" i="48"/>
  <c r="CY537" i="48" s="1"/>
  <c r="DH537" i="48" s="1"/>
  <c r="V537" i="48" s="1"/>
  <c r="AC537" i="48" s="1"/>
  <c r="CU573" i="48"/>
  <c r="CY573" i="48" s="1"/>
  <c r="DH573" i="48" s="1"/>
  <c r="V573" i="48" s="1"/>
  <c r="AC573" i="48" s="1"/>
  <c r="CU891" i="48"/>
  <c r="CY891" i="48" s="1"/>
  <c r="DH891" i="48" s="1"/>
  <c r="V891" i="48" s="1"/>
  <c r="AC891" i="48" s="1"/>
  <c r="CU1239" i="48"/>
  <c r="CY1239" i="48" s="1"/>
  <c r="DH1239" i="48" s="1"/>
  <c r="V1239" i="48" s="1"/>
  <c r="AC1239" i="48" s="1"/>
  <c r="CU610" i="48"/>
  <c r="CY610" i="48" s="1"/>
  <c r="DH610" i="48" s="1"/>
  <c r="V610" i="48" s="1"/>
  <c r="AC610" i="48" s="1"/>
  <c r="CU306" i="48"/>
  <c r="CY306" i="48" s="1"/>
  <c r="DH306" i="48" s="1"/>
  <c r="V306" i="48" s="1"/>
  <c r="AC306" i="48" s="1"/>
  <c r="AN306" i="48" s="1"/>
  <c r="CU318" i="48"/>
  <c r="CY318" i="48" s="1"/>
  <c r="DH318" i="48" s="1"/>
  <c r="V318" i="48" s="1"/>
  <c r="AC318" i="48" s="1"/>
  <c r="CU1297" i="48"/>
  <c r="CY1297" i="48" s="1"/>
  <c r="DH1297" i="48" s="1"/>
  <c r="V1297" i="48" s="1"/>
  <c r="AC1297" i="48" s="1"/>
  <c r="CU557" i="48"/>
  <c r="CY557" i="48" s="1"/>
  <c r="DH557" i="48" s="1"/>
  <c r="V557" i="48" s="1"/>
  <c r="AC557" i="48" s="1"/>
  <c r="CU562" i="48"/>
  <c r="CY562" i="48" s="1"/>
  <c r="DH562" i="48" s="1"/>
  <c r="V562" i="48" s="1"/>
  <c r="AC562" i="48" s="1"/>
  <c r="CU771" i="48"/>
  <c r="CY771" i="48" s="1"/>
  <c r="DH771" i="48" s="1"/>
  <c r="V771" i="48" s="1"/>
  <c r="CU977" i="48"/>
  <c r="CY977" i="48" s="1"/>
  <c r="DH977" i="48" s="1"/>
  <c r="V977" i="48" s="1"/>
  <c r="AC977" i="48" s="1"/>
  <c r="CU1049" i="48"/>
  <c r="CY1049" i="48" s="1"/>
  <c r="DH1049" i="48" s="1"/>
  <c r="V1049" i="48" s="1"/>
  <c r="AC1049" i="48" s="1"/>
  <c r="CU465" i="48"/>
  <c r="CY465" i="48" s="1"/>
  <c r="DH465" i="48" s="1"/>
  <c r="V465" i="48" s="1"/>
  <c r="AC465" i="48" s="1"/>
  <c r="CU1159" i="48"/>
  <c r="CY1159" i="48" s="1"/>
  <c r="DH1159" i="48" s="1"/>
  <c r="V1159" i="48" s="1"/>
  <c r="AC1159" i="48" s="1"/>
  <c r="CU1039" i="48"/>
  <c r="CY1039" i="48" s="1"/>
  <c r="DH1039" i="48" s="1"/>
  <c r="V1039" i="48" s="1"/>
  <c r="AC1039" i="48" s="1"/>
  <c r="CU345" i="48"/>
  <c r="CY345" i="48" s="1"/>
  <c r="DH345" i="48" s="1"/>
  <c r="V345" i="48" s="1"/>
  <c r="AC345" i="48" s="1"/>
  <c r="CU694" i="48"/>
  <c r="CY694" i="48" s="1"/>
  <c r="DH694" i="48" s="1"/>
  <c r="V694" i="48" s="1"/>
  <c r="AC694" i="48" s="1"/>
  <c r="CU1111" i="48"/>
  <c r="CY1111" i="48" s="1"/>
  <c r="DH1111" i="48" s="1"/>
  <c r="V1111" i="48" s="1"/>
  <c r="AC1111" i="48" s="1"/>
  <c r="CU956" i="48"/>
  <c r="CY956" i="48" s="1"/>
  <c r="DH956" i="48" s="1"/>
  <c r="V956" i="48" s="1"/>
  <c r="AC956" i="48" s="1"/>
  <c r="CU631" i="48"/>
  <c r="CY631" i="48" s="1"/>
  <c r="DH631" i="48" s="1"/>
  <c r="V631" i="48" s="1"/>
  <c r="AC631" i="48" s="1"/>
  <c r="CU1137" i="48"/>
  <c r="CY1137" i="48" s="1"/>
  <c r="DH1137" i="48" s="1"/>
  <c r="V1137" i="48" s="1"/>
  <c r="AC1137" i="48" s="1"/>
  <c r="CU1041" i="48"/>
  <c r="CY1041" i="48" s="1"/>
  <c r="DH1041" i="48" s="1"/>
  <c r="V1041" i="48" s="1"/>
  <c r="AC1041" i="48" s="1"/>
  <c r="CU1263" i="48"/>
  <c r="CY1263" i="48" s="1"/>
  <c r="DH1263" i="48" s="1"/>
  <c r="V1263" i="48" s="1"/>
  <c r="AC1263" i="48" s="1"/>
  <c r="CU991" i="48"/>
  <c r="CY991" i="48" s="1"/>
  <c r="DH991" i="48" s="1"/>
  <c r="V991" i="48" s="1"/>
  <c r="AC991" i="48" s="1"/>
  <c r="CU417" i="48"/>
  <c r="CY417" i="48" s="1"/>
  <c r="DH417" i="48" s="1"/>
  <c r="V417" i="48" s="1"/>
  <c r="AC417" i="48" s="1"/>
  <c r="CU384" i="48"/>
  <c r="CY384" i="48" s="1"/>
  <c r="DH384" i="48" s="1"/>
  <c r="V384" i="48" s="1"/>
  <c r="AC384" i="48" s="1"/>
  <c r="CU643" i="48"/>
  <c r="CY643" i="48" s="1"/>
  <c r="DH643" i="48" s="1"/>
  <c r="V643" i="48" s="1"/>
  <c r="AC643" i="48" s="1"/>
  <c r="CU501" i="48"/>
  <c r="CY501" i="48" s="1"/>
  <c r="DH501" i="48" s="1"/>
  <c r="V501" i="48" s="1"/>
  <c r="AC501" i="48" s="1"/>
  <c r="CU716" i="48"/>
  <c r="CY716" i="48" s="1"/>
  <c r="DH716" i="48" s="1"/>
  <c r="V716" i="48" s="1"/>
  <c r="AC716" i="48" s="1"/>
  <c r="CU460" i="48"/>
  <c r="CY460" i="48" s="1"/>
  <c r="DH460" i="48" s="1"/>
  <c r="V460" i="48" s="1"/>
  <c r="AC460" i="48" s="1"/>
  <c r="CU478" i="48"/>
  <c r="CY478" i="48" s="1"/>
  <c r="DH478" i="48" s="1"/>
  <c r="V478" i="48" s="1"/>
  <c r="AC478" i="48" s="1"/>
  <c r="CU370" i="48"/>
  <c r="CY370" i="48" s="1"/>
  <c r="DH370" i="48" s="1"/>
  <c r="CU1170" i="48"/>
  <c r="CY1170" i="48" s="1"/>
  <c r="DH1170" i="48" s="1"/>
  <c r="V1170" i="48" s="1"/>
  <c r="AC1170" i="48" s="1"/>
  <c r="AN1170" i="48" s="1"/>
  <c r="CU879" i="48"/>
  <c r="CY879" i="48" s="1"/>
  <c r="DH879" i="48" s="1"/>
  <c r="V879" i="48" s="1"/>
  <c r="AC879" i="48" s="1"/>
  <c r="CU309" i="48"/>
  <c r="CY309" i="48" s="1"/>
  <c r="DH309" i="48" s="1"/>
  <c r="V309" i="48" s="1"/>
  <c r="AC309" i="48" s="1"/>
  <c r="CU1289" i="48"/>
  <c r="CY1289" i="48" s="1"/>
  <c r="DH1289" i="48" s="1"/>
  <c r="V1289" i="48" s="1"/>
  <c r="AC1289" i="48" s="1"/>
  <c r="CU550" i="48"/>
  <c r="CY550" i="48" s="1"/>
  <c r="DH550" i="48" s="1"/>
  <c r="V550" i="48" s="1"/>
  <c r="AC550" i="48" s="1"/>
  <c r="CU773" i="48"/>
  <c r="CY773" i="48" s="1"/>
  <c r="DH773" i="48" s="1"/>
  <c r="V773" i="48" s="1"/>
  <c r="AC773" i="48" s="1"/>
  <c r="CU855" i="48"/>
  <c r="CY855" i="48" s="1"/>
  <c r="DH855" i="48" s="1"/>
  <c r="V855" i="48" s="1"/>
  <c r="AC855" i="48" s="1"/>
  <c r="CU862" i="48"/>
  <c r="CY862" i="48" s="1"/>
  <c r="DH862" i="48" s="1"/>
  <c r="V862" i="48" s="1"/>
  <c r="AC862" i="48" s="1"/>
  <c r="CU994" i="48"/>
  <c r="CY994" i="48" s="1"/>
  <c r="DH994" i="48" s="1"/>
  <c r="V994" i="48" s="1"/>
  <c r="AC994" i="48" s="1"/>
  <c r="CU816" i="48"/>
  <c r="CY816" i="48" s="1"/>
  <c r="DH816" i="48" s="1"/>
  <c r="V816" i="48" s="1"/>
  <c r="AC816" i="48" s="1"/>
  <c r="CU424" i="48"/>
  <c r="CY424" i="48" s="1"/>
  <c r="DH424" i="48" s="1"/>
  <c r="V424" i="48" s="1"/>
  <c r="AC424" i="48" s="1"/>
  <c r="CU431" i="48"/>
  <c r="CY431" i="48" s="1"/>
  <c r="DH431" i="48" s="1"/>
  <c r="V431" i="48" s="1"/>
  <c r="AC431" i="48" s="1"/>
  <c r="CU1062" i="48"/>
  <c r="CY1062" i="48" s="1"/>
  <c r="DH1062" i="48" s="1"/>
  <c r="V1062" i="48" s="1"/>
  <c r="AC1062" i="48" s="1"/>
  <c r="CU937" i="48"/>
  <c r="CY937" i="48" s="1"/>
  <c r="DH937" i="48" s="1"/>
  <c r="V937" i="48" s="1"/>
  <c r="AC937" i="48" s="1"/>
  <c r="CU1148" i="48"/>
  <c r="CY1148" i="48" s="1"/>
  <c r="DH1148" i="48" s="1"/>
  <c r="V1148" i="48" s="1"/>
  <c r="AC1148" i="48" s="1"/>
  <c r="CU1109" i="48"/>
  <c r="CY1109" i="48" s="1"/>
  <c r="DH1109" i="48" s="1"/>
  <c r="V1109" i="48" s="1"/>
  <c r="AC1109" i="48" s="1"/>
  <c r="CU411" i="48"/>
  <c r="CY411" i="48" s="1"/>
  <c r="DH411" i="48" s="1"/>
  <c r="V411" i="48" s="1"/>
  <c r="AC411" i="48" s="1"/>
  <c r="CU489" i="48"/>
  <c r="CY489" i="48" s="1"/>
  <c r="DH489" i="48" s="1"/>
  <c r="V489" i="48" s="1"/>
  <c r="AC489" i="48" s="1"/>
  <c r="CU874" i="48"/>
  <c r="CY874" i="48" s="1"/>
  <c r="DH874" i="48" s="1"/>
  <c r="V874" i="48" s="1"/>
  <c r="AC874" i="48" s="1"/>
  <c r="CU965" i="48"/>
  <c r="CY965" i="48" s="1"/>
  <c r="DH965" i="48" s="1"/>
  <c r="V965" i="48" s="1"/>
  <c r="AC965" i="48" s="1"/>
  <c r="CU1030" i="48"/>
  <c r="CY1030" i="48" s="1"/>
  <c r="DH1030" i="48" s="1"/>
  <c r="V1030" i="48" s="1"/>
  <c r="AC1030" i="48" s="1"/>
  <c r="CU1002" i="48"/>
  <c r="CY1002" i="48" s="1"/>
  <c r="DH1002" i="48" s="1"/>
  <c r="V1002" i="48" s="1"/>
  <c r="AC1002" i="48" s="1"/>
  <c r="AN1002" i="48" s="1"/>
  <c r="CU594" i="48"/>
  <c r="CY594" i="48" s="1"/>
  <c r="DH594" i="48" s="1"/>
  <c r="V594" i="48" s="1"/>
  <c r="AC594" i="48" s="1"/>
  <c r="AN594" i="48" s="1"/>
  <c r="CU859" i="48"/>
  <c r="CY859" i="48" s="1"/>
  <c r="DH859" i="48" s="1"/>
  <c r="V859" i="48" s="1"/>
  <c r="AC859" i="48" s="1"/>
  <c r="CU1208" i="48"/>
  <c r="CY1208" i="48" s="1"/>
  <c r="DH1208" i="48" s="1"/>
  <c r="V1208" i="48" s="1"/>
  <c r="CU820" i="48"/>
  <c r="CY820" i="48" s="1"/>
  <c r="DH820" i="48" s="1"/>
  <c r="V820" i="48" s="1"/>
  <c r="AC820" i="48" s="1"/>
  <c r="CU1053" i="48"/>
  <c r="CY1053" i="48" s="1"/>
  <c r="DH1053" i="48" s="1"/>
  <c r="V1053" i="48" s="1"/>
  <c r="AC1053" i="48" s="1"/>
  <c r="CU1156" i="48"/>
  <c r="CY1156" i="48" s="1"/>
  <c r="DH1156" i="48" s="1"/>
  <c r="V1156" i="48" s="1"/>
  <c r="AC1156" i="48" s="1"/>
  <c r="CU1100" i="48"/>
  <c r="CY1100" i="48" s="1"/>
  <c r="DH1100" i="48" s="1"/>
  <c r="V1100" i="48" s="1"/>
  <c r="AC1100" i="48" s="1"/>
  <c r="CU378" i="48"/>
  <c r="CY378" i="48" s="1"/>
  <c r="DH378" i="48" s="1"/>
  <c r="V378" i="48" s="1"/>
  <c r="AC378" i="48" s="1"/>
  <c r="AN378" i="48" s="1"/>
  <c r="CU748" i="48"/>
  <c r="CY748" i="48" s="1"/>
  <c r="DH748" i="48" s="1"/>
  <c r="V748" i="48" s="1"/>
  <c r="AC748" i="48" s="1"/>
  <c r="CU1179" i="48"/>
  <c r="CY1179" i="48" s="1"/>
  <c r="DH1179" i="48" s="1"/>
  <c r="V1179" i="48" s="1"/>
  <c r="AC1179" i="48" s="1"/>
  <c r="CU1252" i="48"/>
  <c r="CY1252" i="48" s="1"/>
  <c r="DH1252" i="48" s="1"/>
  <c r="V1252" i="48" s="1"/>
  <c r="AC1252" i="48" s="1"/>
  <c r="CU933" i="48"/>
  <c r="CY933" i="48" s="1"/>
  <c r="DH933" i="48" s="1"/>
  <c r="V933" i="48" s="1"/>
  <c r="AC933" i="48" s="1"/>
  <c r="CU784" i="48"/>
  <c r="CY784" i="48" s="1"/>
  <c r="DH784" i="48" s="1"/>
  <c r="V784" i="48" s="1"/>
  <c r="AC784" i="48" s="1"/>
  <c r="CU700" i="48"/>
  <c r="CY700" i="48" s="1"/>
  <c r="DH700" i="48" s="1"/>
  <c r="V700" i="48" s="1"/>
  <c r="AC700" i="48" s="1"/>
  <c r="CU963" i="48"/>
  <c r="CY963" i="48" s="1"/>
  <c r="DH963" i="48" s="1"/>
  <c r="V963" i="48" s="1"/>
  <c r="AC963" i="48" s="1"/>
  <c r="CU1225" i="48"/>
  <c r="CY1225" i="48" s="1"/>
  <c r="DH1225" i="48" s="1"/>
  <c r="V1225" i="48" s="1"/>
  <c r="AC1225" i="48" s="1"/>
  <c r="CU721" i="48"/>
  <c r="CY721" i="48" s="1"/>
  <c r="DH721" i="48" s="1"/>
  <c r="V721" i="48" s="1"/>
  <c r="AC721" i="48" s="1"/>
  <c r="CU1200" i="48"/>
  <c r="CY1200" i="48" s="1"/>
  <c r="DH1200" i="48" s="1"/>
  <c r="V1200" i="48" s="1"/>
  <c r="AC1200" i="48" s="1"/>
  <c r="CU939" i="48"/>
  <c r="CY939" i="48" s="1"/>
  <c r="DH939" i="48" s="1"/>
  <c r="V939" i="48" s="1"/>
  <c r="AC939" i="48" s="1"/>
  <c r="CU418" i="48"/>
  <c r="CY418" i="48" s="1"/>
  <c r="DH418" i="48" s="1"/>
  <c r="V418" i="48" s="1"/>
  <c r="AC418" i="48" s="1"/>
  <c r="CU658" i="48"/>
  <c r="CY658" i="48" s="1"/>
  <c r="DH658" i="48" s="1"/>
  <c r="V658" i="48" s="1"/>
  <c r="AC658" i="48" s="1"/>
  <c r="CU586" i="48"/>
  <c r="CY586" i="48" s="1"/>
  <c r="DH586" i="48" s="1"/>
  <c r="V586" i="48" s="1"/>
  <c r="AC586" i="48" s="1"/>
  <c r="CU1160" i="48"/>
  <c r="CY1160" i="48" s="1"/>
  <c r="DH1160" i="48" s="1"/>
  <c r="V1160" i="48" s="1"/>
  <c r="CU913" i="48"/>
  <c r="CY913" i="48" s="1"/>
  <c r="DH913" i="48" s="1"/>
  <c r="V913" i="48" s="1"/>
  <c r="AC913" i="48" s="1"/>
  <c r="CU331" i="48"/>
  <c r="CY331" i="48" s="1"/>
  <c r="DH331" i="48" s="1"/>
  <c r="V331" i="48" s="1"/>
  <c r="AC331" i="48" s="1"/>
  <c r="CU1006" i="48"/>
  <c r="CY1006" i="48" s="1"/>
  <c r="DH1006" i="48" s="1"/>
  <c r="V1006" i="48" s="1"/>
  <c r="AC1006" i="48" s="1"/>
  <c r="CU529" i="48"/>
  <c r="CY529" i="48" s="1"/>
  <c r="DH529" i="48" s="1"/>
  <c r="V529" i="48" s="1"/>
  <c r="AC529" i="48" s="1"/>
  <c r="CU1301" i="48"/>
  <c r="CY1301" i="48" s="1"/>
  <c r="DH1301" i="48" s="1"/>
  <c r="V1301" i="48" s="1"/>
  <c r="AC1301" i="48" s="1"/>
  <c r="CU391" i="48"/>
  <c r="CY391" i="48" s="1"/>
  <c r="DH391" i="48" s="1"/>
  <c r="V391" i="48" s="1"/>
  <c r="AC391" i="48" s="1"/>
  <c r="CU904" i="48"/>
  <c r="CY904" i="48" s="1"/>
  <c r="DH904" i="48" s="1"/>
  <c r="V904" i="48" s="1"/>
  <c r="AC904" i="48" s="1"/>
  <c r="CU618" i="48"/>
  <c r="CY618" i="48" s="1"/>
  <c r="DH618" i="48" s="1"/>
  <c r="V618" i="48" s="1"/>
  <c r="AC618" i="48" s="1"/>
  <c r="AN618" i="48" s="1"/>
  <c r="CU985" i="48"/>
  <c r="CY985" i="48" s="1"/>
  <c r="DH985" i="48" s="1"/>
  <c r="V985" i="48" s="1"/>
  <c r="AC985" i="48" s="1"/>
  <c r="CU652" i="48"/>
  <c r="CY652" i="48" s="1"/>
  <c r="DH652" i="48" s="1"/>
  <c r="V652" i="48" s="1"/>
  <c r="AC652" i="48" s="1"/>
  <c r="CU577" i="48"/>
  <c r="CY577" i="48" s="1"/>
  <c r="DH577" i="48" s="1"/>
  <c r="V577" i="48" s="1"/>
  <c r="AC577" i="48" s="1"/>
  <c r="CU1120" i="48"/>
  <c r="CY1120" i="48" s="1"/>
  <c r="DH1120" i="48" s="1"/>
  <c r="V1120" i="48" s="1"/>
  <c r="AC1120" i="48" s="1"/>
  <c r="CU863" i="48"/>
  <c r="CY863" i="48" s="1"/>
  <c r="DH863" i="48" s="1"/>
  <c r="V863" i="48" s="1"/>
  <c r="AC863" i="48" s="1"/>
  <c r="CU212" i="48"/>
  <c r="CY212" i="48" s="1"/>
  <c r="DH212" i="48" s="1"/>
  <c r="V212" i="48" s="1"/>
  <c r="AC212" i="48" s="1"/>
  <c r="CU352" i="48"/>
  <c r="CY352" i="48" s="1"/>
  <c r="DH352" i="48" s="1"/>
  <c r="V352" i="48" s="1"/>
  <c r="AC352" i="48" s="1"/>
  <c r="CU368" i="48"/>
  <c r="CY368" i="48" s="1"/>
  <c r="DH368" i="48" s="1"/>
  <c r="V368" i="48" s="1"/>
  <c r="CU313" i="48"/>
  <c r="CY313" i="48" s="1"/>
  <c r="DH313" i="48" s="1"/>
  <c r="V313" i="48" s="1"/>
  <c r="AC313" i="48" s="1"/>
  <c r="CU763" i="48"/>
  <c r="CY763" i="48" s="1"/>
  <c r="DH763" i="48" s="1"/>
  <c r="V763" i="48" s="1"/>
  <c r="AC763" i="48" s="1"/>
  <c r="CU1047" i="48"/>
  <c r="CY1047" i="48" s="1"/>
  <c r="DH1047" i="48" s="1"/>
  <c r="V1047" i="48" s="1"/>
  <c r="AC1047" i="48" s="1"/>
  <c r="CU723" i="48"/>
  <c r="CY723" i="48" s="1"/>
  <c r="DH723" i="48" s="1"/>
  <c r="V723" i="48" s="1"/>
  <c r="AC723" i="48" s="1"/>
  <c r="CU532" i="48"/>
  <c r="CY532" i="48" s="1"/>
  <c r="DH532" i="48" s="1"/>
  <c r="V532" i="48" s="1"/>
  <c r="AC532" i="48" s="1"/>
  <c r="CU1162" i="48"/>
  <c r="CY1162" i="48" s="1"/>
  <c r="DH1162" i="48" s="1"/>
  <c r="V1162" i="48" s="1"/>
  <c r="AC1162" i="48" s="1"/>
  <c r="CU1000" i="48"/>
  <c r="CY1000" i="48" s="1"/>
  <c r="DH1000" i="48" s="1"/>
  <c r="V1000" i="48" s="1"/>
  <c r="AC1000" i="48" s="1"/>
  <c r="CU450" i="48"/>
  <c r="CY450" i="48" s="1"/>
  <c r="DH450" i="48" s="1"/>
  <c r="V450" i="48" s="1"/>
  <c r="AC450" i="48" s="1"/>
  <c r="AN450" i="48" s="1"/>
  <c r="CU1054" i="48"/>
  <c r="CY1054" i="48" s="1"/>
  <c r="DH1054" i="48" s="1"/>
  <c r="V1054" i="48" s="1"/>
  <c r="AC1054" i="48" s="1"/>
  <c r="CU336" i="48"/>
  <c r="CY336" i="48" s="1"/>
  <c r="DH336" i="48" s="1"/>
  <c r="V336" i="48" s="1"/>
  <c r="AC336" i="48" s="1"/>
  <c r="CU999" i="48"/>
  <c r="CY999" i="48" s="1"/>
  <c r="DH999" i="48" s="1"/>
  <c r="V999" i="48" s="1"/>
  <c r="AC999" i="48" s="1"/>
  <c r="CU625" i="48"/>
  <c r="CY625" i="48" s="1"/>
  <c r="DH625" i="48" s="1"/>
  <c r="V625" i="48" s="1"/>
  <c r="AC625" i="48" s="1"/>
  <c r="CU1025" i="48"/>
  <c r="CY1025" i="48" s="1"/>
  <c r="DH1025" i="48" s="1"/>
  <c r="V1025" i="48" s="1"/>
  <c r="CU400" i="48"/>
  <c r="CY400" i="48" s="1"/>
  <c r="DH400" i="48" s="1"/>
  <c r="V400" i="48" s="1"/>
  <c r="AC400" i="48" s="1"/>
  <c r="CU639" i="48"/>
  <c r="CY639" i="48" s="1"/>
  <c r="DH639" i="48" s="1"/>
  <c r="V639" i="48" s="1"/>
  <c r="AC639" i="48" s="1"/>
  <c r="CU720" i="48"/>
  <c r="CY720" i="48" s="1"/>
  <c r="DH720" i="48" s="1"/>
  <c r="V720" i="48" s="1"/>
  <c r="AC720" i="48" s="1"/>
  <c r="AM720" i="48" s="1"/>
  <c r="CU189" i="48"/>
  <c r="CY189" i="48" s="1"/>
  <c r="DH189" i="48" s="1"/>
  <c r="V189" i="48" s="1"/>
  <c r="AC189" i="48" s="1"/>
  <c r="CU893" i="48"/>
  <c r="CY893" i="48" s="1"/>
  <c r="DH893" i="48" s="1"/>
  <c r="V893" i="48" s="1"/>
  <c r="AC893" i="48" s="1"/>
  <c r="CU455" i="48"/>
  <c r="CY455" i="48" s="1"/>
  <c r="DH455" i="48" s="1"/>
  <c r="V455" i="48" s="1"/>
  <c r="AC455" i="48" s="1"/>
  <c r="CU150" i="48"/>
  <c r="CY150" i="48" s="1"/>
  <c r="DH150" i="48" s="1"/>
  <c r="V150" i="48" s="1"/>
  <c r="AC150" i="48" s="1"/>
  <c r="AG150" i="48" s="1"/>
  <c r="CU1125" i="48"/>
  <c r="CY1125" i="48" s="1"/>
  <c r="DH1125" i="48" s="1"/>
  <c r="V1125" i="48" s="1"/>
  <c r="AC1125" i="48" s="1"/>
  <c r="CU1150" i="48"/>
  <c r="CY1150" i="48" s="1"/>
  <c r="DH1150" i="48" s="1"/>
  <c r="V1150" i="48" s="1"/>
  <c r="AC1150" i="48" s="1"/>
  <c r="CU521" i="48"/>
  <c r="CY521" i="48" s="1"/>
  <c r="DH521" i="48" s="1"/>
  <c r="V521" i="48" s="1"/>
  <c r="AC521" i="48" s="1"/>
  <c r="CU447" i="48"/>
  <c r="CY447" i="48" s="1"/>
  <c r="DH447" i="48" s="1"/>
  <c r="V447" i="48" s="1"/>
  <c r="AC447" i="48" s="1"/>
  <c r="CU647" i="48"/>
  <c r="CY647" i="48" s="1"/>
  <c r="DH647" i="48" s="1"/>
  <c r="V647" i="48" s="1"/>
  <c r="AC647" i="48" s="1"/>
  <c r="CU1110" i="48"/>
  <c r="CY1110" i="48" s="1"/>
  <c r="DH1110" i="48" s="1"/>
  <c r="V1110" i="48" s="1"/>
  <c r="AC1110" i="48" s="1"/>
  <c r="CU1322" i="48"/>
  <c r="CY1322" i="48" s="1"/>
  <c r="DH1322" i="48" s="1"/>
  <c r="V1322" i="48" s="1"/>
  <c r="AC1322" i="48" s="1"/>
  <c r="CU1231" i="48"/>
  <c r="CY1231" i="48" s="1"/>
  <c r="DH1231" i="48" s="1"/>
  <c r="V1231" i="48" s="1"/>
  <c r="AC1231" i="48" s="1"/>
  <c r="CU833" i="48"/>
  <c r="CY833" i="48" s="1"/>
  <c r="DH833" i="48" s="1"/>
  <c r="V833" i="48" s="1"/>
  <c r="AC833" i="48" s="1"/>
  <c r="CU752" i="48"/>
  <c r="CY752" i="48" s="1"/>
  <c r="DH752" i="48" s="1"/>
  <c r="V752" i="48" s="1"/>
  <c r="CU495" i="48"/>
  <c r="CY495" i="48" s="1"/>
  <c r="DH495" i="48" s="1"/>
  <c r="V495" i="48" s="1"/>
  <c r="AC495" i="48" s="1"/>
  <c r="CU383" i="48"/>
  <c r="CY383" i="48" s="1"/>
  <c r="DH383" i="48" s="1"/>
  <c r="V383" i="48" s="1"/>
  <c r="AC383" i="48" s="1"/>
  <c r="CU526" i="48"/>
  <c r="CY526" i="48" s="1"/>
  <c r="DH526" i="48" s="1"/>
  <c r="V526" i="48" s="1"/>
  <c r="AC526" i="48" s="1"/>
  <c r="CU582" i="48"/>
  <c r="CY582" i="48" s="1"/>
  <c r="DH582" i="48" s="1"/>
  <c r="V582" i="48" s="1"/>
  <c r="AC582" i="48" s="1"/>
  <c r="CU1244" i="48"/>
  <c r="CY1244" i="48" s="1"/>
  <c r="DH1244" i="48" s="1"/>
  <c r="V1244" i="48" s="1"/>
  <c r="AC1244" i="48" s="1"/>
  <c r="CU604" i="48"/>
  <c r="CY604" i="48" s="1"/>
  <c r="DH604" i="48" s="1"/>
  <c r="V604" i="48" s="1"/>
  <c r="AC604" i="48" s="1"/>
  <c r="CU846" i="48"/>
  <c r="CY846" i="48" s="1"/>
  <c r="DH846" i="48" s="1"/>
  <c r="V846" i="48" s="1"/>
  <c r="AC846" i="48" s="1"/>
  <c r="CU1290" i="48"/>
  <c r="CY1290" i="48" s="1"/>
  <c r="DH1290" i="48" s="1"/>
  <c r="V1290" i="48" s="1"/>
  <c r="AC1290" i="48" s="1"/>
  <c r="CU761" i="48"/>
  <c r="CY761" i="48" s="1"/>
  <c r="DH761" i="48" s="1"/>
  <c r="V761" i="48" s="1"/>
  <c r="AC761" i="48" s="1"/>
  <c r="CU1199" i="48"/>
  <c r="CY1199" i="48" s="1"/>
  <c r="DH1199" i="48" s="1"/>
  <c r="V1199" i="48" s="1"/>
  <c r="AC1199" i="48" s="1"/>
  <c r="CU461" i="48"/>
  <c r="CY461" i="48" s="1"/>
  <c r="DH461" i="48" s="1"/>
  <c r="V461" i="48" s="1"/>
  <c r="AC461" i="48" s="1"/>
  <c r="CU810" i="48"/>
  <c r="CY810" i="48" s="1"/>
  <c r="DH810" i="48" s="1"/>
  <c r="V810" i="48" s="1"/>
  <c r="AC810" i="48" s="1"/>
  <c r="AN810" i="48" s="1"/>
  <c r="CU1052" i="48"/>
  <c r="CY1052" i="48" s="1"/>
  <c r="DH1052" i="48" s="1"/>
  <c r="V1052" i="48" s="1"/>
  <c r="AC1052" i="48" s="1"/>
  <c r="CU936" i="48"/>
  <c r="CY936" i="48" s="1"/>
  <c r="DH936" i="48" s="1"/>
  <c r="V936" i="48" s="1"/>
  <c r="AC936" i="48" s="1"/>
  <c r="CU987" i="48"/>
  <c r="CY987" i="48" s="1"/>
  <c r="DH987" i="48" s="1"/>
  <c r="V987" i="48" s="1"/>
  <c r="AC987" i="48" s="1"/>
  <c r="CU644" i="48"/>
  <c r="CY644" i="48" s="1"/>
  <c r="DH644" i="48" s="1"/>
  <c r="V644" i="48" s="1"/>
  <c r="AC644" i="48" s="1"/>
  <c r="CU1242" i="48"/>
  <c r="CY1242" i="48" s="1"/>
  <c r="DH1242" i="48" s="1"/>
  <c r="V1242" i="48" s="1"/>
  <c r="AC1242" i="48" s="1"/>
  <c r="AN1242" i="48" s="1"/>
  <c r="CU186" i="48"/>
  <c r="CY186" i="48" s="1"/>
  <c r="DH186" i="48" s="1"/>
  <c r="V186" i="48" s="1"/>
  <c r="AC186" i="48" s="1"/>
  <c r="AN186" i="48" s="1"/>
  <c r="CU342" i="48"/>
  <c r="CY342" i="48" s="1"/>
  <c r="DH342" i="48" s="1"/>
  <c r="V342" i="48" s="1"/>
  <c r="AC342" i="48" s="1"/>
  <c r="CU510" i="48"/>
  <c r="CY510" i="48" s="1"/>
  <c r="DH510" i="48" s="1"/>
  <c r="V510" i="48" s="1"/>
  <c r="AC510" i="48" s="1"/>
  <c r="CU556" i="48"/>
  <c r="CY556" i="48" s="1"/>
  <c r="DH556" i="48" s="1"/>
  <c r="V556" i="48" s="1"/>
  <c r="AC556" i="48" s="1"/>
  <c r="CU135" i="48"/>
  <c r="CY135" i="48" s="1"/>
  <c r="DH135" i="48" s="1"/>
  <c r="V135" i="48" s="1"/>
  <c r="AC135" i="48" s="1"/>
  <c r="CU357" i="48"/>
  <c r="CY357" i="48" s="1"/>
  <c r="DH357" i="48" s="1"/>
  <c r="V357" i="48" s="1"/>
  <c r="AC357" i="48" s="1"/>
  <c r="CU1183" i="48"/>
  <c r="CY1183" i="48" s="1"/>
  <c r="DH1183" i="48" s="1"/>
  <c r="V1183" i="48" s="1"/>
  <c r="AC1183" i="48" s="1"/>
  <c r="CU559" i="48"/>
  <c r="CY559" i="48" s="1"/>
  <c r="DH559" i="48" s="1"/>
  <c r="V559" i="48" s="1"/>
  <c r="AC559" i="48" s="1"/>
  <c r="CU141" i="48"/>
  <c r="CY141" i="48" s="1"/>
  <c r="DH141" i="48" s="1"/>
  <c r="V141" i="48" s="1"/>
  <c r="AC141" i="48" s="1"/>
  <c r="AG141" i="48" s="1"/>
  <c r="CU976" i="48"/>
  <c r="CY976" i="48" s="1"/>
  <c r="DH976" i="48" s="1"/>
  <c r="V976" i="48" s="1"/>
  <c r="AC976" i="48" s="1"/>
  <c r="CU443" i="48"/>
  <c r="CY443" i="48" s="1"/>
  <c r="DH443" i="48" s="1"/>
  <c r="V443" i="48" s="1"/>
  <c r="CU419" i="48"/>
  <c r="CY419" i="48" s="1"/>
  <c r="DH419" i="48" s="1"/>
  <c r="CU1091" i="48"/>
  <c r="CY1091" i="48" s="1"/>
  <c r="DH1091" i="48" s="1"/>
  <c r="V1091" i="48" s="1"/>
  <c r="CU1235" i="48"/>
  <c r="CY1235" i="48" s="1"/>
  <c r="DH1235" i="48" s="1"/>
  <c r="V1235" i="48" s="1"/>
  <c r="CU1019" i="48"/>
  <c r="CY1019" i="48" s="1"/>
  <c r="DH1019" i="48" s="1"/>
  <c r="V1019" i="48" s="1"/>
  <c r="CU587" i="48"/>
  <c r="CY587" i="48" s="1"/>
  <c r="DH587" i="48" s="1"/>
  <c r="V587" i="48" s="1"/>
  <c r="CU731" i="48"/>
  <c r="CY731" i="48" s="1"/>
  <c r="DH731" i="48" s="1"/>
  <c r="V731" i="48" s="1"/>
  <c r="CU707" i="48"/>
  <c r="CY707" i="48" s="1"/>
  <c r="DH707" i="48" s="1"/>
  <c r="V707" i="48" s="1"/>
  <c r="CU1187" i="48"/>
  <c r="CY1187" i="48" s="1"/>
  <c r="DH1187" i="48" s="1"/>
  <c r="V1187" i="48" s="1"/>
  <c r="CU755" i="48"/>
  <c r="CY755" i="48" s="1"/>
  <c r="DH755" i="48" s="1"/>
  <c r="CU179" i="48"/>
  <c r="CY179" i="48" s="1"/>
  <c r="DH179" i="48" s="1"/>
  <c r="V179" i="48" s="1"/>
  <c r="CU779" i="48"/>
  <c r="CY779" i="48" s="1"/>
  <c r="DH779" i="48" s="1"/>
  <c r="CU371" i="48"/>
  <c r="CY371" i="48" s="1"/>
  <c r="DH371" i="48" s="1"/>
  <c r="V371" i="48" s="1"/>
  <c r="CU515" i="48"/>
  <c r="CY515" i="48" s="1"/>
  <c r="DH515" i="48" s="1"/>
  <c r="V515" i="48" s="1"/>
  <c r="CU875" i="48"/>
  <c r="CY875" i="48" s="1"/>
  <c r="DH875" i="48" s="1"/>
  <c r="V875" i="48" s="1"/>
  <c r="CU323" i="48"/>
  <c r="CY323" i="48" s="1"/>
  <c r="DH323" i="48" s="1"/>
  <c r="CU155" i="48"/>
  <c r="CY155" i="48" s="1"/>
  <c r="DH155" i="48" s="1"/>
  <c r="V155" i="48" s="1"/>
  <c r="CU81" i="48"/>
  <c r="CY81" i="48" s="1"/>
  <c r="DH81" i="48" s="1"/>
  <c r="V81" i="48" s="1"/>
  <c r="AC81" i="48" s="1"/>
  <c r="CU64" i="48"/>
  <c r="CY64" i="48" s="1"/>
  <c r="DH64" i="48" s="1"/>
  <c r="V64" i="48" s="1"/>
  <c r="AC64" i="48" s="1"/>
  <c r="CU281" i="48"/>
  <c r="CY281" i="48" s="1"/>
  <c r="DH281" i="48" s="1"/>
  <c r="V281" i="48" s="1"/>
  <c r="CU232" i="48"/>
  <c r="CY232" i="48" s="1"/>
  <c r="DH232" i="48" s="1"/>
  <c r="V232" i="48" s="1"/>
  <c r="AC232" i="48" s="1"/>
  <c r="CU187" i="48"/>
  <c r="CY187" i="48" s="1"/>
  <c r="DH187" i="48" s="1"/>
  <c r="V187" i="48" s="1"/>
  <c r="AC187" i="48" s="1"/>
  <c r="CU208" i="48"/>
  <c r="CY208" i="48" s="1"/>
  <c r="DH208" i="48" s="1"/>
  <c r="V208" i="48" s="1"/>
  <c r="AC208" i="48" s="1"/>
  <c r="CU261" i="48"/>
  <c r="CY261" i="48" s="1"/>
  <c r="DH261" i="48" s="1"/>
  <c r="V261" i="48" s="1"/>
  <c r="AC261" i="48" s="1"/>
  <c r="CU250" i="48"/>
  <c r="CY250" i="48" s="1"/>
  <c r="DH250" i="48" s="1"/>
  <c r="V250" i="48" s="1"/>
  <c r="AC250" i="48" s="1"/>
  <c r="CU178" i="48"/>
  <c r="CY178" i="48" s="1"/>
  <c r="DH178" i="48" s="1"/>
  <c r="V178" i="48" s="1"/>
  <c r="AC178" i="48" s="1"/>
  <c r="CU235" i="48"/>
  <c r="CY235" i="48" s="1"/>
  <c r="DH235" i="48" s="1"/>
  <c r="V235" i="48" s="1"/>
  <c r="AC235" i="48" s="1"/>
  <c r="CU240" i="48"/>
  <c r="CY240" i="48" s="1"/>
  <c r="DH240" i="48" s="1"/>
  <c r="V240" i="48" s="1"/>
  <c r="AC240" i="48" s="1"/>
  <c r="CU104" i="48"/>
  <c r="CY104" i="48" s="1"/>
  <c r="DH104" i="48" s="1"/>
  <c r="V104" i="48" s="1"/>
  <c r="CU172" i="48"/>
  <c r="CY172" i="48" s="1"/>
  <c r="DH172" i="48" s="1"/>
  <c r="V172" i="48" s="1"/>
  <c r="AC172" i="48" s="1"/>
  <c r="CU209" i="48"/>
  <c r="CY209" i="48" s="1"/>
  <c r="DH209" i="48" s="1"/>
  <c r="V209" i="48" s="1"/>
  <c r="AC209" i="48" s="1"/>
  <c r="CU165" i="48"/>
  <c r="CY165" i="48" s="1"/>
  <c r="DH165" i="48" s="1"/>
  <c r="V165" i="48" s="1"/>
  <c r="AC165" i="48" s="1"/>
  <c r="CU259" i="48"/>
  <c r="CY259" i="48" s="1"/>
  <c r="DH259" i="48" s="1"/>
  <c r="V259" i="48" s="1"/>
  <c r="AC259" i="48" s="1"/>
  <c r="CU174" i="48"/>
  <c r="CY174" i="48" s="1"/>
  <c r="DH174" i="48" s="1"/>
  <c r="V174" i="48" s="1"/>
  <c r="AC174" i="48" s="1"/>
  <c r="CU702" i="48"/>
  <c r="CY702" i="48" s="1"/>
  <c r="DH702" i="48" s="1"/>
  <c r="V702" i="48" s="1"/>
  <c r="AC702" i="48" s="1"/>
  <c r="CU969" i="48"/>
  <c r="CY969" i="48" s="1"/>
  <c r="DH969" i="48" s="1"/>
  <c r="V969" i="48" s="1"/>
  <c r="AC969" i="48" s="1"/>
  <c r="CU1033" i="48"/>
  <c r="CY1033" i="48" s="1"/>
  <c r="DH1033" i="48" s="1"/>
  <c r="V1033" i="48" s="1"/>
  <c r="CU1219" i="48"/>
  <c r="CY1219" i="48" s="1"/>
  <c r="DH1219" i="48" s="1"/>
  <c r="V1219" i="48" s="1"/>
  <c r="AC1219" i="48" s="1"/>
  <c r="CU1086" i="48"/>
  <c r="CY1086" i="48" s="1"/>
  <c r="DH1086" i="48" s="1"/>
  <c r="V1086" i="48" s="1"/>
  <c r="AC1086" i="48" s="1"/>
  <c r="CU653" i="48"/>
  <c r="CY653" i="48" s="1"/>
  <c r="DH653" i="48" s="1"/>
  <c r="V653" i="48" s="1"/>
  <c r="AC653" i="48" s="1"/>
  <c r="CU711" i="48"/>
  <c r="CY711" i="48" s="1"/>
  <c r="DH711" i="48" s="1"/>
  <c r="V711" i="48" s="1"/>
  <c r="AC711" i="48" s="1"/>
  <c r="CU366" i="48"/>
  <c r="CY366" i="48" s="1"/>
  <c r="DH366" i="48" s="1"/>
  <c r="V366" i="48" s="1"/>
  <c r="AC366" i="48" s="1"/>
  <c r="CU576" i="48"/>
  <c r="CY576" i="48" s="1"/>
  <c r="DH576" i="48" s="1"/>
  <c r="V576" i="48" s="1"/>
  <c r="AC576" i="48" s="1"/>
  <c r="CU595" i="48"/>
  <c r="CY595" i="48" s="1"/>
  <c r="DH595" i="48" s="1"/>
  <c r="V595" i="48" s="1"/>
  <c r="AC595" i="48" s="1"/>
  <c r="CU1302" i="48"/>
  <c r="CY1302" i="48" s="1"/>
  <c r="DH1302" i="48" s="1"/>
  <c r="V1302" i="48" s="1"/>
  <c r="AC1302" i="48" s="1"/>
  <c r="CU544" i="48"/>
  <c r="CY544" i="48" s="1"/>
  <c r="DH544" i="48" s="1"/>
  <c r="V544" i="48" s="1"/>
  <c r="AC544" i="48" s="1"/>
  <c r="CU1210" i="48"/>
  <c r="CY1210" i="48" s="1"/>
  <c r="DH1210" i="48" s="1"/>
  <c r="V1210" i="48" s="1"/>
  <c r="AC1210" i="48" s="1"/>
  <c r="CU826" i="48"/>
  <c r="CY826" i="48" s="1"/>
  <c r="DH826" i="48" s="1"/>
  <c r="V826" i="48" s="1"/>
  <c r="AC826" i="48" s="1"/>
  <c r="CU1056" i="48"/>
  <c r="CY1056" i="48" s="1"/>
  <c r="DH1056" i="48" s="1"/>
  <c r="V1056" i="48" s="1"/>
  <c r="AC1056" i="48" s="1"/>
  <c r="CU1149" i="48"/>
  <c r="CY1149" i="48" s="1"/>
  <c r="DH1149" i="48" s="1"/>
  <c r="V1149" i="48" s="1"/>
  <c r="AC1149" i="48" s="1"/>
  <c r="CU713" i="48"/>
  <c r="CY713" i="48" s="1"/>
  <c r="DH713" i="48" s="1"/>
  <c r="V713" i="48" s="1"/>
  <c r="CU837" i="48"/>
  <c r="CY837" i="48" s="1"/>
  <c r="DH837" i="48" s="1"/>
  <c r="V837" i="48" s="1"/>
  <c r="AC837" i="48" s="1"/>
  <c r="CU919" i="48"/>
  <c r="CY919" i="48" s="1"/>
  <c r="DH919" i="48" s="1"/>
  <c r="V919" i="48" s="1"/>
  <c r="AC919" i="48" s="1"/>
  <c r="CU962" i="48"/>
  <c r="CY962" i="48" s="1"/>
  <c r="DH962" i="48" s="1"/>
  <c r="V962" i="48" s="1"/>
  <c r="AC962" i="48" s="1"/>
  <c r="CU1029" i="48"/>
  <c r="CY1029" i="48" s="1"/>
  <c r="DH1029" i="48" s="1"/>
  <c r="V1029" i="48" s="1"/>
  <c r="AC1029" i="48" s="1"/>
  <c r="CU929" i="48"/>
  <c r="CY929" i="48" s="1"/>
  <c r="DH929" i="48" s="1"/>
  <c r="V929" i="48" s="1"/>
  <c r="AC929" i="48" s="1"/>
  <c r="CU741" i="48"/>
  <c r="CY741" i="48" s="1"/>
  <c r="DH741" i="48" s="1"/>
  <c r="V741" i="48" s="1"/>
  <c r="AC741" i="48" s="1"/>
  <c r="CU729" i="48"/>
  <c r="CY729" i="48" s="1"/>
  <c r="DH729" i="48" s="1"/>
  <c r="V729" i="48" s="1"/>
  <c r="AC729" i="48" s="1"/>
  <c r="CU524" i="48"/>
  <c r="CY524" i="48" s="1"/>
  <c r="DH524" i="48" s="1"/>
  <c r="V524" i="48" s="1"/>
  <c r="AC524" i="48" s="1"/>
  <c r="CU580" i="48"/>
  <c r="CY580" i="48" s="1"/>
  <c r="DH580" i="48" s="1"/>
  <c r="V580" i="48" s="1"/>
  <c r="AC580" i="48" s="1"/>
  <c r="CU303" i="48"/>
  <c r="CY303" i="48" s="1"/>
  <c r="DH303" i="48" s="1"/>
  <c r="V303" i="48" s="1"/>
  <c r="AC303" i="48" s="1"/>
  <c r="CU548" i="48"/>
  <c r="CY548" i="48" s="1"/>
  <c r="DH548" i="48" s="1"/>
  <c r="V548" i="48" s="1"/>
  <c r="AC548" i="48" s="1"/>
  <c r="CU435" i="48"/>
  <c r="CY435" i="48" s="1"/>
  <c r="DH435" i="48" s="1"/>
  <c r="V435" i="48" s="1"/>
  <c r="AC435" i="48" s="1"/>
  <c r="CU1097" i="48"/>
  <c r="CY1097" i="48" s="1"/>
  <c r="DH1097" i="48" s="1"/>
  <c r="V1097" i="48" s="1"/>
  <c r="AC1097" i="48" s="1"/>
  <c r="CU414" i="48"/>
  <c r="CY414" i="48" s="1"/>
  <c r="DH414" i="48" s="1"/>
  <c r="V414" i="48" s="1"/>
  <c r="AC414" i="48" s="1"/>
  <c r="CU1005" i="48"/>
  <c r="CY1005" i="48" s="1"/>
  <c r="DH1005" i="48" s="1"/>
  <c r="V1005" i="48" s="1"/>
  <c r="AC1005" i="48" s="1"/>
  <c r="CU475" i="48"/>
  <c r="CY475" i="48" s="1"/>
  <c r="DH475" i="48" s="1"/>
  <c r="V475" i="48" s="1"/>
  <c r="AC475" i="48" s="1"/>
  <c r="CU568" i="48"/>
  <c r="CY568" i="48" s="1"/>
  <c r="DH568" i="48" s="1"/>
  <c r="V568" i="48" s="1"/>
  <c r="AC568" i="48" s="1"/>
  <c r="CU609" i="48"/>
  <c r="CY609" i="48" s="1"/>
  <c r="DH609" i="48" s="1"/>
  <c r="V609" i="48" s="1"/>
  <c r="AC609" i="48" s="1"/>
  <c r="CU552" i="48"/>
  <c r="CY552" i="48" s="1"/>
  <c r="DH552" i="48" s="1"/>
  <c r="V552" i="48" s="1"/>
  <c r="AC552" i="48" s="1"/>
  <c r="CU1209" i="48"/>
  <c r="CY1209" i="48" s="1"/>
  <c r="DH1209" i="48" s="1"/>
  <c r="V1209" i="48" s="1"/>
  <c r="AC1209" i="48" s="1"/>
  <c r="CU426" i="48"/>
  <c r="CY426" i="48" s="1"/>
  <c r="DH426" i="48" s="1"/>
  <c r="V426" i="48" s="1"/>
  <c r="AC426" i="48" s="1"/>
  <c r="AN426" i="48" s="1"/>
  <c r="CU791" i="48"/>
  <c r="CY791" i="48" s="1"/>
  <c r="DH791" i="48" s="1"/>
  <c r="V791" i="48" s="1"/>
  <c r="AC791" i="48" s="1"/>
  <c r="CU481" i="48"/>
  <c r="CY481" i="48" s="1"/>
  <c r="DH481" i="48" s="1"/>
  <c r="V481" i="48" s="1"/>
  <c r="AC481" i="48" s="1"/>
  <c r="CU824" i="48"/>
  <c r="CY824" i="48" s="1"/>
  <c r="DH824" i="48" s="1"/>
  <c r="V824" i="48" s="1"/>
  <c r="AC824" i="48" s="1"/>
  <c r="CU910" i="48"/>
  <c r="CY910" i="48" s="1"/>
  <c r="DH910" i="48" s="1"/>
  <c r="V910" i="48" s="1"/>
  <c r="AC910" i="48" s="1"/>
  <c r="CU534" i="48"/>
  <c r="CY534" i="48" s="1"/>
  <c r="DH534" i="48" s="1"/>
  <c r="V534" i="48" s="1"/>
  <c r="AC534" i="48" s="1"/>
  <c r="CU1064" i="48"/>
  <c r="CY1064" i="48" s="1"/>
  <c r="DH1064" i="48" s="1"/>
  <c r="V1064" i="48" s="1"/>
  <c r="CU960" i="48"/>
  <c r="CY960" i="48" s="1"/>
  <c r="DH960" i="48" s="1"/>
  <c r="V960" i="48" s="1"/>
  <c r="AC960" i="48" s="1"/>
  <c r="CU1298" i="48"/>
  <c r="CY1298" i="48" s="1"/>
  <c r="DH1298" i="48" s="1"/>
  <c r="V1298" i="48" s="1"/>
  <c r="AC1298" i="48" s="1"/>
  <c r="CU932" i="48"/>
  <c r="CY932" i="48" s="1"/>
  <c r="DH932" i="48" s="1"/>
  <c r="V932" i="48" s="1"/>
  <c r="AC932" i="48" s="1"/>
  <c r="CU1315" i="48"/>
  <c r="CY1315" i="48" s="1"/>
  <c r="DH1315" i="48" s="1"/>
  <c r="V1315" i="48" s="1"/>
  <c r="AC1315" i="48" s="1"/>
  <c r="CU520" i="48"/>
  <c r="CY520" i="48" s="1"/>
  <c r="DH520" i="48" s="1"/>
  <c r="V520" i="48" s="1"/>
  <c r="AC520" i="48" s="1"/>
  <c r="CU697" i="48"/>
  <c r="CY697" i="48" s="1"/>
  <c r="DH697" i="48" s="1"/>
  <c r="V697" i="48" s="1"/>
  <c r="AC697" i="48" s="1"/>
  <c r="CU367" i="48"/>
  <c r="CY367" i="48" s="1"/>
  <c r="DH367" i="48" s="1"/>
  <c r="V367" i="48" s="1"/>
  <c r="AC367" i="48" s="1"/>
  <c r="CU765" i="48"/>
  <c r="CY765" i="48" s="1"/>
  <c r="DH765" i="48" s="1"/>
  <c r="V765" i="48" s="1"/>
  <c r="AC765" i="48" s="1"/>
  <c r="CU747" i="48"/>
  <c r="CY747" i="48" s="1"/>
  <c r="DH747" i="48" s="1"/>
  <c r="V747" i="48" s="1"/>
  <c r="AC747" i="48" s="1"/>
  <c r="CU430" i="48"/>
  <c r="CY430" i="48" s="1"/>
  <c r="DH430" i="48" s="1"/>
  <c r="V430" i="48" s="1"/>
  <c r="AC430" i="48" s="1"/>
  <c r="CU790" i="48"/>
  <c r="CY790" i="48" s="1"/>
  <c r="DH790" i="48" s="1"/>
  <c r="V790" i="48" s="1"/>
  <c r="AC790" i="48" s="1"/>
  <c r="CU1061" i="48"/>
  <c r="CY1061" i="48" s="1"/>
  <c r="DH1061" i="48" s="1"/>
  <c r="V1061" i="48" s="1"/>
  <c r="AC1061" i="48" s="1"/>
  <c r="CU908" i="48"/>
  <c r="CY908" i="48" s="1"/>
  <c r="DH908" i="48" s="1"/>
  <c r="V908" i="48" s="1"/>
  <c r="AC908" i="48" s="1"/>
  <c r="CU1072" i="48"/>
  <c r="CY1072" i="48" s="1"/>
  <c r="DH1072" i="48" s="1"/>
  <c r="V1072" i="48" s="1"/>
  <c r="AC1072" i="48" s="1"/>
  <c r="CU474" i="48"/>
  <c r="CY474" i="48" s="1"/>
  <c r="DH474" i="48" s="1"/>
  <c r="V474" i="48" s="1"/>
  <c r="AC474" i="48" s="1"/>
  <c r="AN474" i="48" s="1"/>
  <c r="CU551" i="48"/>
  <c r="CY551" i="48" s="1"/>
  <c r="DH551" i="48" s="1"/>
  <c r="V551" i="48" s="1"/>
  <c r="AC551" i="48" s="1"/>
  <c r="CU199" i="48"/>
  <c r="CY199" i="48" s="1"/>
  <c r="DH199" i="48" s="1"/>
  <c r="V199" i="48" s="1"/>
  <c r="AC199" i="48" s="1"/>
  <c r="CU920" i="48"/>
  <c r="CY920" i="48" s="1"/>
  <c r="DH920" i="48" s="1"/>
  <c r="V920" i="48" s="1"/>
  <c r="AC920" i="48" s="1"/>
  <c r="CU1227" i="48"/>
  <c r="CY1227" i="48" s="1"/>
  <c r="DH1227" i="48" s="1"/>
  <c r="V1227" i="48" s="1"/>
  <c r="AC1227" i="48" s="1"/>
  <c r="CU978" i="48"/>
  <c r="CY978" i="48" s="1"/>
  <c r="DH978" i="48" s="1"/>
  <c r="V978" i="48" s="1"/>
  <c r="AC978" i="48" s="1"/>
  <c r="AN978" i="48" s="1"/>
  <c r="CU1254" i="48"/>
  <c r="CY1254" i="48" s="1"/>
  <c r="DH1254" i="48" s="1"/>
  <c r="V1254" i="48" s="1"/>
  <c r="AC1254" i="48" s="1"/>
  <c r="CU1288" i="48"/>
  <c r="CY1288" i="48" s="1"/>
  <c r="DH1288" i="48" s="1"/>
  <c r="V1288" i="48" s="1"/>
  <c r="AC1288" i="48" s="1"/>
  <c r="CU872" i="48"/>
  <c r="CY872" i="48" s="1"/>
  <c r="DH872" i="48" s="1"/>
  <c r="V872" i="48" s="1"/>
  <c r="AC872" i="48" s="1"/>
  <c r="CU807" i="48"/>
  <c r="CY807" i="48" s="1"/>
  <c r="DH807" i="48" s="1"/>
  <c r="V807" i="48" s="1"/>
  <c r="AC807" i="48" s="1"/>
  <c r="CU1146" i="48"/>
  <c r="CY1146" i="48" s="1"/>
  <c r="DH1146" i="48" s="1"/>
  <c r="V1146" i="48" s="1"/>
  <c r="AC1146" i="48" s="1"/>
  <c r="CU479" i="48"/>
  <c r="CY479" i="48" s="1"/>
  <c r="DH479" i="48" s="1"/>
  <c r="V479" i="48" s="1"/>
  <c r="AC479" i="48" s="1"/>
  <c r="CU316" i="48"/>
  <c r="CY316" i="48" s="1"/>
  <c r="DH316" i="48" s="1"/>
  <c r="V316" i="48" s="1"/>
  <c r="AC316" i="48" s="1"/>
  <c r="CU266" i="48"/>
  <c r="CY266" i="48" s="1"/>
  <c r="DH266" i="48" s="1"/>
  <c r="V266" i="48" s="1"/>
  <c r="AC266" i="48" s="1"/>
  <c r="CU283" i="48"/>
  <c r="CY283" i="48" s="1"/>
  <c r="DH283" i="48" s="1"/>
  <c r="V283" i="48" s="1"/>
  <c r="AC283" i="48" s="1"/>
  <c r="CU1211" i="48"/>
  <c r="CY1211" i="48" s="1"/>
  <c r="DH1211" i="48" s="1"/>
  <c r="V1211" i="48" s="1"/>
  <c r="CU47" i="48"/>
  <c r="CY47" i="48" s="1"/>
  <c r="DH47" i="48" s="1"/>
  <c r="CU48" i="48"/>
  <c r="CY48" i="48" s="1"/>
  <c r="CU53" i="48"/>
  <c r="CY53" i="48" s="1"/>
  <c r="DH53" i="48" s="1"/>
  <c r="CU45" i="48"/>
  <c r="CY45" i="48" s="1"/>
  <c r="DH45" i="48" s="1"/>
  <c r="CU66" i="48"/>
  <c r="CY66" i="48" s="1"/>
  <c r="DH66" i="48" s="1"/>
  <c r="V66" i="48" s="1"/>
  <c r="AC66" i="48" s="1"/>
  <c r="AN66" i="48" s="1"/>
  <c r="CU82" i="48"/>
  <c r="CY82" i="48" s="1"/>
  <c r="DH82" i="48" s="1"/>
  <c r="CU75" i="48"/>
  <c r="CY75" i="48" s="1"/>
  <c r="DH75" i="48" s="1"/>
  <c r="V75" i="48" s="1"/>
  <c r="AC75" i="48" s="1"/>
  <c r="CU78" i="48"/>
  <c r="CY78" i="48" s="1"/>
  <c r="DH78" i="48" s="1"/>
  <c r="V78" i="48" s="1"/>
  <c r="AC78" i="48" s="1"/>
  <c r="CU80" i="48"/>
  <c r="CY80" i="48" s="1"/>
  <c r="DH80" i="48" s="1"/>
  <c r="V80" i="48" s="1"/>
  <c r="CU288" i="48"/>
  <c r="CY288" i="48" s="1"/>
  <c r="DH288" i="48" s="1"/>
  <c r="V288" i="48" s="1"/>
  <c r="AC288" i="48" s="1"/>
  <c r="CU282" i="48"/>
  <c r="CY282" i="48" s="1"/>
  <c r="DH282" i="48" s="1"/>
  <c r="V282" i="48" s="1"/>
  <c r="AC282" i="48" s="1"/>
  <c r="CU294" i="48"/>
  <c r="CY294" i="48" s="1"/>
  <c r="DH294" i="48" s="1"/>
  <c r="V294" i="48" s="1"/>
  <c r="AC294" i="48" s="1"/>
  <c r="CU96" i="48"/>
  <c r="CY96" i="48" s="1"/>
  <c r="DH96" i="48" s="1"/>
  <c r="V96" i="48" s="1"/>
  <c r="AC96" i="48" s="1"/>
  <c r="CU142" i="48"/>
  <c r="CY142" i="48" s="1"/>
  <c r="DH142" i="48" s="1"/>
  <c r="V142" i="48" s="1"/>
  <c r="AC142" i="48" s="1"/>
  <c r="AG142" i="48" s="1"/>
  <c r="CU115" i="48"/>
  <c r="CY115" i="48" s="1"/>
  <c r="DH115" i="48" s="1"/>
  <c r="V115" i="48" s="1"/>
  <c r="AC115" i="48" s="1"/>
  <c r="CU280" i="48"/>
  <c r="CY280" i="48" s="1"/>
  <c r="DH280" i="48" s="1"/>
  <c r="V280" i="48" s="1"/>
  <c r="AC280" i="48" s="1"/>
  <c r="CU188" i="48"/>
  <c r="CY188" i="48" s="1"/>
  <c r="DH188" i="48" s="1"/>
  <c r="V188" i="48" s="1"/>
  <c r="AC188" i="48" s="1"/>
  <c r="CU267" i="48"/>
  <c r="CY267" i="48" s="1"/>
  <c r="DH267" i="48" s="1"/>
  <c r="V267" i="48" s="1"/>
  <c r="AC267" i="48" s="1"/>
  <c r="CU148" i="48"/>
  <c r="CY148" i="48" s="1"/>
  <c r="DH148" i="48" s="1"/>
  <c r="V148" i="48" s="1"/>
  <c r="AC148" i="48" s="1"/>
  <c r="AG148" i="48" s="1"/>
  <c r="CU88" i="48"/>
  <c r="CY88" i="48" s="1"/>
  <c r="DH88" i="48" s="1"/>
  <c r="V88" i="48" s="1"/>
  <c r="AC88" i="48" s="1"/>
  <c r="CU116" i="48"/>
  <c r="CY116" i="48" s="1"/>
  <c r="DH116" i="48" s="1"/>
  <c r="V116" i="48" s="1"/>
  <c r="AC116" i="48" s="1"/>
  <c r="CU246" i="48"/>
  <c r="CY246" i="48" s="1"/>
  <c r="DH246" i="48" s="1"/>
  <c r="V246" i="48" s="1"/>
  <c r="AC246" i="48" s="1"/>
  <c r="CU202" i="48"/>
  <c r="CY202" i="48" s="1"/>
  <c r="DH202" i="48" s="1"/>
  <c r="V202" i="48" s="1"/>
  <c r="AC202" i="48" s="1"/>
  <c r="CU162" i="48"/>
  <c r="CY162" i="48" s="1"/>
  <c r="DH162" i="48" s="1"/>
  <c r="V162" i="48" s="1"/>
  <c r="AC162" i="48" s="1"/>
  <c r="AN162" i="48" s="1"/>
  <c r="CU176" i="48"/>
  <c r="CY176" i="48" s="1"/>
  <c r="DH176" i="48" s="1"/>
  <c r="V176" i="48" s="1"/>
  <c r="AC176" i="48" s="1"/>
  <c r="CU289" i="48"/>
  <c r="CY289" i="48" s="1"/>
  <c r="DH289" i="48" s="1"/>
  <c r="V289" i="48" s="1"/>
  <c r="AC289" i="48" s="1"/>
  <c r="CU210" i="48"/>
  <c r="CY210" i="48" s="1"/>
  <c r="DH210" i="48" s="1"/>
  <c r="V210" i="48" s="1"/>
  <c r="AC210" i="48" s="1"/>
  <c r="CU200" i="48"/>
  <c r="CY200" i="48" s="1"/>
  <c r="DH200" i="48" s="1"/>
  <c r="V200" i="48" s="1"/>
  <c r="CU89" i="48"/>
  <c r="CY89" i="48" s="1"/>
  <c r="DH89" i="48" s="1"/>
  <c r="V89" i="48" s="1"/>
  <c r="CU122" i="48"/>
  <c r="CY122" i="48" s="1"/>
  <c r="DH122" i="48" s="1"/>
  <c r="V122" i="48" s="1"/>
  <c r="AC122" i="48" s="1"/>
  <c r="CU241" i="48"/>
  <c r="CY241" i="48" s="1"/>
  <c r="DH241" i="48" s="1"/>
  <c r="V241" i="48" s="1"/>
  <c r="AC241" i="48" s="1"/>
  <c r="CU90" i="48"/>
  <c r="CY90" i="48" s="1"/>
  <c r="DH90" i="48" s="1"/>
  <c r="V90" i="48" s="1"/>
  <c r="AC90" i="48" s="1"/>
  <c r="CU114" i="48"/>
  <c r="CY114" i="48" s="1"/>
  <c r="DH114" i="48" s="1"/>
  <c r="V114" i="48" s="1"/>
  <c r="AC114" i="48" s="1"/>
  <c r="AN114" i="48" s="1"/>
  <c r="CU236" i="48"/>
  <c r="CY236" i="48" s="1"/>
  <c r="DH236" i="48" s="1"/>
  <c r="V236" i="48" s="1"/>
  <c r="AC236" i="48" s="1"/>
  <c r="CU197" i="48"/>
  <c r="CY197" i="48" s="1"/>
  <c r="DH197" i="48" s="1"/>
  <c r="V197" i="48" s="1"/>
  <c r="AC197" i="48" s="1"/>
  <c r="CU163" i="48"/>
  <c r="CY163" i="48" s="1"/>
  <c r="DH163" i="48" s="1"/>
  <c r="V163" i="48" s="1"/>
  <c r="CU262" i="48"/>
  <c r="CY262" i="48" s="1"/>
  <c r="DH262" i="48" s="1"/>
  <c r="V262" i="48" s="1"/>
  <c r="AC262" i="48" s="1"/>
  <c r="CU92" i="48"/>
  <c r="CY92" i="48" s="1"/>
  <c r="DH92" i="48" s="1"/>
  <c r="V92" i="48" s="1"/>
  <c r="AC92" i="48" s="1"/>
  <c r="CU140" i="48"/>
  <c r="CY140" i="48" s="1"/>
  <c r="DH140" i="48" s="1"/>
  <c r="V140" i="48" s="1"/>
  <c r="AC140" i="48" s="1"/>
  <c r="AG140" i="48" s="1"/>
  <c r="CU218" i="48"/>
  <c r="CY218" i="48" s="1"/>
  <c r="DH218" i="48" s="1"/>
  <c r="V218" i="48" s="1"/>
  <c r="AC218" i="48" s="1"/>
  <c r="CU287" i="48"/>
  <c r="CY287" i="48" s="1"/>
  <c r="DH287" i="48" s="1"/>
  <c r="V287" i="48" s="1"/>
  <c r="AC287" i="48" s="1"/>
  <c r="CU177" i="48"/>
  <c r="CY177" i="48" s="1"/>
  <c r="DH177" i="48" s="1"/>
  <c r="V177" i="48" s="1"/>
  <c r="AC177" i="48" s="1"/>
  <c r="CU87" i="48"/>
  <c r="CY87" i="48" s="1"/>
  <c r="DH87" i="48" s="1"/>
  <c r="V87" i="48" s="1"/>
  <c r="AC87" i="48" s="1"/>
  <c r="CU225" i="48"/>
  <c r="CY225" i="48" s="1"/>
  <c r="DH225" i="48" s="1"/>
  <c r="V225" i="48" s="1"/>
  <c r="AC225" i="48" s="1"/>
  <c r="CU222" i="48"/>
  <c r="CY222" i="48" s="1"/>
  <c r="DH222" i="48" s="1"/>
  <c r="V222" i="48" s="1"/>
  <c r="AC222" i="48" s="1"/>
  <c r="CU219" i="48"/>
  <c r="CY219" i="48" s="1"/>
  <c r="DH219" i="48" s="1"/>
  <c r="V219" i="48" s="1"/>
  <c r="AC219" i="48" s="1"/>
  <c r="CU1124" i="48"/>
  <c r="CY1124" i="48" s="1"/>
  <c r="DH1124" i="48" s="1"/>
  <c r="V1124" i="48" s="1"/>
  <c r="AC1124" i="48" s="1"/>
  <c r="CU914" i="48"/>
  <c r="CY914" i="48" s="1"/>
  <c r="DH914" i="48" s="1"/>
  <c r="V914" i="48" s="1"/>
  <c r="AC914" i="48" s="1"/>
  <c r="CU911" i="48"/>
  <c r="CY911" i="48" s="1"/>
  <c r="DH911" i="48" s="1"/>
  <c r="V911" i="48" s="1"/>
  <c r="AC911" i="48" s="1"/>
  <c r="CU1099" i="48"/>
  <c r="CY1099" i="48" s="1"/>
  <c r="DH1099" i="48" s="1"/>
  <c r="V1099" i="48" s="1"/>
  <c r="AC1099" i="48" s="1"/>
  <c r="CU970" i="48"/>
  <c r="CY970" i="48" s="1"/>
  <c r="DH970" i="48" s="1"/>
  <c r="V970" i="48" s="1"/>
  <c r="AC970" i="48" s="1"/>
  <c r="CU623" i="48"/>
  <c r="CY623" i="48" s="1"/>
  <c r="DH623" i="48" s="1"/>
  <c r="V623" i="48" s="1"/>
  <c r="AC623" i="48" s="1"/>
  <c r="CU630" i="48"/>
  <c r="CY630" i="48" s="1"/>
  <c r="DH630" i="48" s="1"/>
  <c r="V630" i="48" s="1"/>
  <c r="AC630" i="48" s="1"/>
  <c r="CU1316" i="48"/>
  <c r="CY1316" i="48" s="1"/>
  <c r="DH1316" i="48" s="1"/>
  <c r="V1316" i="48" s="1"/>
  <c r="AC1316" i="48" s="1"/>
  <c r="CU1034" i="48"/>
  <c r="CY1034" i="48" s="1"/>
  <c r="DH1034" i="48" s="1"/>
  <c r="V1034" i="48" s="1"/>
  <c r="AC1034" i="48" s="1"/>
  <c r="CU1272" i="48"/>
  <c r="CY1272" i="48" s="1"/>
  <c r="DH1272" i="48" s="1"/>
  <c r="V1272" i="48" s="1"/>
  <c r="AC1272" i="48" s="1"/>
  <c r="CU1233" i="48"/>
  <c r="CY1233" i="48" s="1"/>
  <c r="DH1233" i="48" s="1"/>
  <c r="V1233" i="48" s="1"/>
  <c r="AC1233" i="48" s="1"/>
  <c r="CU392" i="48"/>
  <c r="CY392" i="48" s="1"/>
  <c r="DH392" i="48" s="1"/>
  <c r="V392" i="48" s="1"/>
  <c r="CU1079" i="48"/>
  <c r="CY1079" i="48" s="1"/>
  <c r="DH1079" i="48" s="1"/>
  <c r="V1079" i="48" s="1"/>
  <c r="AC1079" i="48" s="1"/>
  <c r="CU406" i="48"/>
  <c r="CY406" i="48" s="1"/>
  <c r="DH406" i="48" s="1"/>
  <c r="V406" i="48" s="1"/>
  <c r="AC406" i="48" s="1"/>
  <c r="CU735" i="48"/>
  <c r="CY735" i="48" s="1"/>
  <c r="DH735" i="48" s="1"/>
  <c r="V735" i="48" s="1"/>
  <c r="AC735" i="48" s="1"/>
  <c r="CU1138" i="48"/>
  <c r="CY1138" i="48" s="1"/>
  <c r="DH1138" i="48" s="1"/>
  <c r="V1138" i="48" s="1"/>
  <c r="AC1138" i="48" s="1"/>
  <c r="CU654" i="48"/>
  <c r="CY654" i="48" s="1"/>
  <c r="DH654" i="48" s="1"/>
  <c r="V654" i="48" s="1"/>
  <c r="AC654" i="48" s="1"/>
  <c r="CU1018" i="48"/>
  <c r="CY1018" i="48" s="1"/>
  <c r="DH1018" i="48" s="1"/>
  <c r="CU513" i="48"/>
  <c r="CY513" i="48" s="1"/>
  <c r="DH513" i="48" s="1"/>
  <c r="V513" i="48" s="1"/>
  <c r="AC513" i="48" s="1"/>
  <c r="CU712" i="48"/>
  <c r="CY712" i="48" s="1"/>
  <c r="DH712" i="48" s="1"/>
  <c r="V712" i="48" s="1"/>
  <c r="AC712" i="48" s="1"/>
  <c r="CU385" i="48"/>
  <c r="CY385" i="48" s="1"/>
  <c r="DH385" i="48" s="1"/>
  <c r="V385" i="48" s="1"/>
  <c r="AC385" i="48" s="1"/>
  <c r="CU931" i="48"/>
  <c r="CY931" i="48" s="1"/>
  <c r="DH931" i="48" s="1"/>
  <c r="V931" i="48" s="1"/>
  <c r="AC931" i="48" s="1"/>
  <c r="CU486" i="48"/>
  <c r="CY486" i="48" s="1"/>
  <c r="DH486" i="48" s="1"/>
  <c r="V486" i="48" s="1"/>
  <c r="AC486" i="48" s="1"/>
  <c r="CU535" i="48"/>
  <c r="CY535" i="48" s="1"/>
  <c r="DH535" i="48" s="1"/>
  <c r="V535" i="48" s="1"/>
  <c r="AC535" i="48" s="1"/>
  <c r="CU519" i="48"/>
  <c r="CY519" i="48" s="1"/>
  <c r="DH519" i="48" s="1"/>
  <c r="V519" i="48" s="1"/>
  <c r="AC519" i="48" s="1"/>
  <c r="CU1185" i="48"/>
  <c r="CY1185" i="48" s="1"/>
  <c r="DH1185" i="48" s="1"/>
  <c r="V1185" i="48" s="1"/>
  <c r="AC1185" i="48" s="1"/>
  <c r="CU585" i="48"/>
  <c r="CY585" i="48" s="1"/>
  <c r="DH585" i="48" s="1"/>
  <c r="V585" i="48" s="1"/>
  <c r="AC585" i="48" s="1"/>
  <c r="CU898" i="48"/>
  <c r="CY898" i="48" s="1"/>
  <c r="DH898" i="48" s="1"/>
  <c r="V898" i="48" s="1"/>
  <c r="AC898" i="48" s="1"/>
  <c r="CU1253" i="48"/>
  <c r="CY1253" i="48" s="1"/>
  <c r="DH1253" i="48" s="1"/>
  <c r="V1253" i="48" s="1"/>
  <c r="AC1253" i="48" s="1"/>
  <c r="CU596" i="48"/>
  <c r="CY596" i="48" s="1"/>
  <c r="DH596" i="48" s="1"/>
  <c r="V596" i="48" s="1"/>
  <c r="AC596" i="48" s="1"/>
  <c r="CU315" i="48"/>
  <c r="CY315" i="48" s="1"/>
  <c r="DH315" i="48" s="1"/>
  <c r="V315" i="48" s="1"/>
  <c r="AC315" i="48" s="1"/>
  <c r="CU845" i="48"/>
  <c r="CY845" i="48" s="1"/>
  <c r="DH845" i="48" s="1"/>
  <c r="V845" i="48" s="1"/>
  <c r="AC845" i="48" s="1"/>
  <c r="CU547" i="48"/>
  <c r="CY547" i="48" s="1"/>
  <c r="DH547" i="48" s="1"/>
  <c r="V547" i="48" s="1"/>
  <c r="AC547" i="48" s="1"/>
  <c r="CU778" i="48"/>
  <c r="CY778" i="48" s="1"/>
  <c r="DH778" i="48" s="1"/>
  <c r="V778" i="48" s="1"/>
  <c r="AC778" i="48" s="1"/>
  <c r="CU865" i="48"/>
  <c r="CY865" i="48" s="1"/>
  <c r="DH865" i="48" s="1"/>
  <c r="V865" i="48" s="1"/>
  <c r="AC865" i="48" s="1"/>
  <c r="CU1198" i="48"/>
  <c r="CY1198" i="48" s="1"/>
  <c r="DH1198" i="48" s="1"/>
  <c r="V1198" i="48" s="1"/>
  <c r="AC1198" i="48" s="1"/>
  <c r="CU452" i="48"/>
  <c r="CY452" i="48" s="1"/>
  <c r="DH452" i="48" s="1"/>
  <c r="V452" i="48" s="1"/>
  <c r="AC452" i="48" s="1"/>
  <c r="CU434" i="48"/>
  <c r="CY434" i="48" s="1"/>
  <c r="DH434" i="48" s="1"/>
  <c r="V434" i="48" s="1"/>
  <c r="AC434" i="48" s="1"/>
  <c r="CU441" i="48"/>
  <c r="CY441" i="48" s="1"/>
  <c r="DH441" i="48" s="1"/>
  <c r="V441" i="48" s="1"/>
  <c r="AC441" i="48" s="1"/>
  <c r="CU458" i="48"/>
  <c r="CY458" i="48" s="1"/>
  <c r="DH458" i="48" s="1"/>
  <c r="V458" i="48" s="1"/>
  <c r="AC458" i="48" s="1"/>
  <c r="CU801" i="48"/>
  <c r="CY801" i="48" s="1"/>
  <c r="DH801" i="48" s="1"/>
  <c r="V801" i="48" s="1"/>
  <c r="AC801" i="48" s="1"/>
  <c r="CU1158" i="48"/>
  <c r="CY1158" i="48" s="1"/>
  <c r="DH1158" i="48" s="1"/>
  <c r="V1158" i="48" s="1"/>
  <c r="AC1158" i="48" s="1"/>
  <c r="CU922" i="48"/>
  <c r="CY922" i="48" s="1"/>
  <c r="DH922" i="48" s="1"/>
  <c r="V922" i="48" s="1"/>
  <c r="AC922" i="48" s="1"/>
  <c r="CU1090" i="48"/>
  <c r="CY1090" i="48" s="1"/>
  <c r="DH1090" i="48" s="1"/>
  <c r="CU361" i="48"/>
  <c r="CY361" i="48" s="1"/>
  <c r="DH361" i="48" s="1"/>
  <c r="V361" i="48" s="1"/>
  <c r="AC361" i="48" s="1"/>
  <c r="CU600" i="48"/>
  <c r="CY600" i="48" s="1"/>
  <c r="DH600" i="48" s="1"/>
  <c r="V600" i="48" s="1"/>
  <c r="AC600" i="48" s="1"/>
  <c r="CU760" i="48"/>
  <c r="CY760" i="48" s="1"/>
  <c r="DH760" i="48" s="1"/>
  <c r="V760" i="48" s="1"/>
  <c r="AC760" i="48" s="1"/>
  <c r="CU329" i="48"/>
  <c r="CY329" i="48" s="1"/>
  <c r="DH329" i="48" s="1"/>
  <c r="V329" i="48" s="1"/>
  <c r="CU691" i="48"/>
  <c r="CY691" i="48" s="1"/>
  <c r="DH691" i="48" s="1"/>
  <c r="V691" i="48" s="1"/>
  <c r="AC691" i="48" s="1"/>
  <c r="CU921" i="48"/>
  <c r="CY921" i="48" s="1"/>
  <c r="DH921" i="48" s="1"/>
  <c r="V921" i="48" s="1"/>
  <c r="AC921" i="48" s="1"/>
  <c r="CU1108" i="48"/>
  <c r="CY1108" i="48" s="1"/>
  <c r="DH1108" i="48" s="1"/>
  <c r="V1108" i="48" s="1"/>
  <c r="AC1108" i="48" s="1"/>
  <c r="CU961" i="48"/>
  <c r="CY961" i="48" s="1"/>
  <c r="DH961" i="48" s="1"/>
  <c r="V961" i="48" s="1"/>
  <c r="AC961" i="48" s="1"/>
  <c r="CU628" i="48"/>
  <c r="CY628" i="48" s="1"/>
  <c r="DH628" i="48" s="1"/>
  <c r="V628" i="48" s="1"/>
  <c r="AC628" i="48" s="1"/>
  <c r="CU980" i="48"/>
  <c r="CY980" i="48" s="1"/>
  <c r="DH980" i="48" s="1"/>
  <c r="V980" i="48" s="1"/>
  <c r="AC980" i="48" s="1"/>
  <c r="CU1023" i="48"/>
  <c r="CY1023" i="48" s="1"/>
  <c r="DH1023" i="48" s="1"/>
  <c r="V1023" i="48" s="1"/>
  <c r="AC1023" i="48" s="1"/>
  <c r="CU1266" i="48"/>
  <c r="CY1266" i="48" s="1"/>
  <c r="DH1266" i="48" s="1"/>
  <c r="V1266" i="48" s="1"/>
  <c r="AC1266" i="48" s="1"/>
  <c r="AN1266" i="48" s="1"/>
  <c r="CU1229" i="48"/>
  <c r="CY1229" i="48" s="1"/>
  <c r="DH1229" i="48" s="1"/>
  <c r="V1229" i="48" s="1"/>
  <c r="AC1229" i="48" s="1"/>
  <c r="CU1320" i="48"/>
  <c r="CY1320" i="48" s="1"/>
  <c r="DH1320" i="48" s="1"/>
  <c r="V1320" i="48" s="1"/>
  <c r="AC1320" i="48" s="1"/>
  <c r="CU1074" i="48"/>
  <c r="CY1074" i="48" s="1"/>
  <c r="DH1074" i="48" s="1"/>
  <c r="V1074" i="48" s="1"/>
  <c r="AC1074" i="48" s="1"/>
  <c r="CU413" i="48"/>
  <c r="CY413" i="48" s="1"/>
  <c r="DH413" i="48" s="1"/>
  <c r="V413" i="48" s="1"/>
  <c r="AC413" i="48" s="1"/>
  <c r="CU739" i="48"/>
  <c r="CY739" i="48" s="1"/>
  <c r="DH739" i="48" s="1"/>
  <c r="V739" i="48" s="1"/>
  <c r="AC739" i="48" s="1"/>
  <c r="CU645" i="48"/>
  <c r="CY645" i="48" s="1"/>
  <c r="DH645" i="48" s="1"/>
  <c r="V645" i="48" s="1"/>
  <c r="AC645" i="48" s="1"/>
  <c r="CU1014" i="48"/>
  <c r="CY1014" i="48" s="1"/>
  <c r="DH1014" i="48" s="1"/>
  <c r="V1014" i="48" s="1"/>
  <c r="AC1014" i="48" s="1"/>
  <c r="CU506" i="48"/>
  <c r="CY506" i="48" s="1"/>
  <c r="DH506" i="48" s="1"/>
  <c r="V506" i="48" s="1"/>
  <c r="AC506" i="48" s="1"/>
  <c r="CU722" i="48"/>
  <c r="CY722" i="48" s="1"/>
  <c r="DH722" i="48" s="1"/>
  <c r="V722" i="48" s="1"/>
  <c r="AC722" i="48" s="1"/>
  <c r="CU394" i="48"/>
  <c r="CY394" i="48" s="1"/>
  <c r="DH394" i="48" s="1"/>
  <c r="V394" i="48" s="1"/>
  <c r="AC394" i="48" s="1"/>
  <c r="CU477" i="48"/>
  <c r="CY477" i="48" s="1"/>
  <c r="DH477" i="48" s="1"/>
  <c r="V477" i="48" s="1"/>
  <c r="AC477" i="48" s="1"/>
  <c r="CU359" i="48"/>
  <c r="CY359" i="48" s="1"/>
  <c r="DH359" i="48" s="1"/>
  <c r="V359" i="48" s="1"/>
  <c r="AC359" i="48" s="1"/>
  <c r="CU533" i="48"/>
  <c r="CY533" i="48" s="1"/>
  <c r="DH533" i="48" s="1"/>
  <c r="V533" i="48" s="1"/>
  <c r="AC533" i="48" s="1"/>
  <c r="CU1178" i="48"/>
  <c r="CY1178" i="48" s="1"/>
  <c r="DH1178" i="48" s="1"/>
  <c r="V1178" i="48" s="1"/>
  <c r="AC1178" i="48" s="1"/>
  <c r="CU571" i="48"/>
  <c r="CY571" i="48" s="1"/>
  <c r="DH571" i="48" s="1"/>
  <c r="V571" i="48" s="1"/>
  <c r="AC571" i="48" s="1"/>
  <c r="CU884" i="48"/>
  <c r="CY884" i="48" s="1"/>
  <c r="DH884" i="48" s="1"/>
  <c r="V884" i="48" s="1"/>
  <c r="AC884" i="48" s="1"/>
  <c r="CU1258" i="48"/>
  <c r="CY1258" i="48" s="1"/>
  <c r="DH1258" i="48" s="1"/>
  <c r="V1258" i="48" s="1"/>
  <c r="AC1258" i="48" s="1"/>
  <c r="CU1256" i="48"/>
  <c r="CY1256" i="48" s="1"/>
  <c r="DH1256" i="48" s="1"/>
  <c r="V1256" i="48" s="1"/>
  <c r="AC1256" i="48" s="1"/>
  <c r="CU598" i="48"/>
  <c r="CY598" i="48" s="1"/>
  <c r="DH598" i="48" s="1"/>
  <c r="V598" i="48" s="1"/>
  <c r="AC598" i="48" s="1"/>
  <c r="CU317" i="48"/>
  <c r="CY317" i="48" s="1"/>
  <c r="DH317" i="48" s="1"/>
  <c r="V317" i="48" s="1"/>
  <c r="AC317" i="48" s="1"/>
  <c r="CU376" i="48"/>
  <c r="CY376" i="48" s="1"/>
  <c r="DH376" i="48" s="1"/>
  <c r="V376" i="48" s="1"/>
  <c r="AC376" i="48" s="1"/>
  <c r="CU1299" i="48"/>
  <c r="CY1299" i="48" s="1"/>
  <c r="DH1299" i="48" s="1"/>
  <c r="V1299" i="48" s="1"/>
  <c r="AC1299" i="48" s="1"/>
  <c r="CU560" i="48"/>
  <c r="CY560" i="48" s="1"/>
  <c r="DH560" i="48" s="1"/>
  <c r="V560" i="48" s="1"/>
  <c r="AC560" i="48" s="1"/>
  <c r="CU770" i="48"/>
  <c r="CY770" i="48" s="1"/>
  <c r="DH770" i="48" s="1"/>
  <c r="V770" i="48" s="1"/>
  <c r="AC770" i="48" s="1"/>
  <c r="CU868" i="48"/>
  <c r="CY868" i="48" s="1"/>
  <c r="DH868" i="48" s="1"/>
  <c r="V868" i="48" s="1"/>
  <c r="AC868" i="48" s="1"/>
  <c r="CU1126" i="48"/>
  <c r="CY1126" i="48" s="1"/>
  <c r="DH1126" i="48" s="1"/>
  <c r="V1126" i="48" s="1"/>
  <c r="AC1126" i="48" s="1"/>
  <c r="CU1058" i="48"/>
  <c r="CY1058" i="48" s="1"/>
  <c r="DH1058" i="48" s="1"/>
  <c r="V1058" i="48" s="1"/>
  <c r="AC1058" i="48" s="1"/>
  <c r="CU789" i="48"/>
  <c r="CY789" i="48" s="1"/>
  <c r="DH789" i="48" s="1"/>
  <c r="V789" i="48" s="1"/>
  <c r="AC789" i="48" s="1"/>
  <c r="CU1145" i="48"/>
  <c r="CY1145" i="48" s="1"/>
  <c r="DH1145" i="48" s="1"/>
  <c r="V1145" i="48" s="1"/>
  <c r="CU1274" i="48"/>
  <c r="CY1274" i="48" s="1"/>
  <c r="DH1274" i="48" s="1"/>
  <c r="V1274" i="48" s="1"/>
  <c r="AC1274" i="48" s="1"/>
  <c r="CU545" i="48"/>
  <c r="CY545" i="48" s="1"/>
  <c r="DH545" i="48" s="1"/>
  <c r="V545" i="48" s="1"/>
  <c r="AC545" i="48" s="1"/>
  <c r="CU909" i="48"/>
  <c r="CY909" i="48" s="1"/>
  <c r="DH909" i="48" s="1"/>
  <c r="V909" i="48" s="1"/>
  <c r="AC909" i="48" s="1"/>
  <c r="CU1106" i="48"/>
  <c r="CY1106" i="48" s="1"/>
  <c r="DH1106" i="48" s="1"/>
  <c r="V1106" i="48" s="1"/>
  <c r="AC1106" i="48" s="1"/>
  <c r="CU959" i="48"/>
  <c r="CY959" i="48" s="1"/>
  <c r="DH959" i="48" s="1"/>
  <c r="V959" i="48" s="1"/>
  <c r="AC959" i="48" s="1"/>
  <c r="CU626" i="48"/>
  <c r="CY626" i="48" s="1"/>
  <c r="DH626" i="48" s="1"/>
  <c r="V626" i="48" s="1"/>
  <c r="AC626" i="48" s="1"/>
  <c r="CU451" i="48"/>
  <c r="CY451" i="48" s="1"/>
  <c r="DH451" i="48" s="1"/>
  <c r="V451" i="48" s="1"/>
  <c r="AC451" i="48" s="1"/>
  <c r="CU1024" i="48"/>
  <c r="CY1024" i="48" s="1"/>
  <c r="DH1024" i="48" s="1"/>
  <c r="V1024" i="48" s="1"/>
  <c r="AC1024" i="48" s="1"/>
  <c r="CU1273" i="48"/>
  <c r="CY1273" i="48" s="1"/>
  <c r="DH1273" i="48" s="1"/>
  <c r="V1273" i="48" s="1"/>
  <c r="AC1273" i="48" s="1"/>
  <c r="CU1329" i="48"/>
  <c r="CY1329" i="48" s="1"/>
  <c r="DH1329" i="48" s="1"/>
  <c r="V1329" i="48" s="1"/>
  <c r="AC1329" i="48" s="1"/>
  <c r="CU751" i="48"/>
  <c r="CY751" i="48" s="1"/>
  <c r="DH751" i="48" s="1"/>
  <c r="V751" i="48" s="1"/>
  <c r="AC751" i="48" s="1"/>
  <c r="CU463" i="48"/>
  <c r="CY463" i="48" s="1"/>
  <c r="DH463" i="48" s="1"/>
  <c r="V463" i="48" s="1"/>
  <c r="AC463" i="48" s="1"/>
  <c r="CU1003" i="48"/>
  <c r="CY1003" i="48" s="1"/>
  <c r="DH1003" i="48" s="1"/>
  <c r="V1003" i="48" s="1"/>
  <c r="AC1003" i="48" s="1"/>
  <c r="CU499" i="48"/>
  <c r="CY499" i="48" s="1"/>
  <c r="DH499" i="48" s="1"/>
  <c r="V499" i="48" s="1"/>
  <c r="AC499" i="48" s="1"/>
  <c r="CU727" i="48"/>
  <c r="CY727" i="48" s="1"/>
  <c r="DH727" i="48" s="1"/>
  <c r="V727" i="48" s="1"/>
  <c r="AC727" i="48" s="1"/>
  <c r="CU484" i="48"/>
  <c r="CY484" i="48" s="1"/>
  <c r="DH484" i="48" s="1"/>
  <c r="V484" i="48" s="1"/>
  <c r="AC484" i="48" s="1"/>
  <c r="CU369" i="48"/>
  <c r="CY369" i="48" s="1"/>
  <c r="DH369" i="48" s="1"/>
  <c r="V369" i="48" s="1"/>
  <c r="AC369" i="48" s="1"/>
  <c r="CU527" i="48"/>
  <c r="CY527" i="48" s="1"/>
  <c r="DH527" i="48" s="1"/>
  <c r="V527" i="48" s="1"/>
  <c r="AC527" i="48" s="1"/>
  <c r="CU1174" i="48"/>
  <c r="CY1174" i="48" s="1"/>
  <c r="DH1174" i="48" s="1"/>
  <c r="V1174" i="48" s="1"/>
  <c r="AC1174" i="48" s="1"/>
  <c r="CU882" i="48"/>
  <c r="CY882" i="48" s="1"/>
  <c r="DH882" i="48" s="1"/>
  <c r="V882" i="48" s="1"/>
  <c r="AC882" i="48" s="1"/>
  <c r="CU312" i="48"/>
  <c r="CY312" i="48" s="1"/>
  <c r="DH312" i="48" s="1"/>
  <c r="V312" i="48" s="1"/>
  <c r="AC312" i="48" s="1"/>
  <c r="CU1295" i="48"/>
  <c r="CY1295" i="48" s="1"/>
  <c r="DH1295" i="48" s="1"/>
  <c r="V1295" i="48" s="1"/>
  <c r="AC1295" i="48" s="1"/>
  <c r="CU553" i="48"/>
  <c r="CY553" i="48" s="1"/>
  <c r="DH553" i="48" s="1"/>
  <c r="V553" i="48" s="1"/>
  <c r="AC553" i="48" s="1"/>
  <c r="CU768" i="48"/>
  <c r="CY768" i="48" s="1"/>
  <c r="DH768" i="48" s="1"/>
  <c r="V768" i="48" s="1"/>
  <c r="AC768" i="48" s="1"/>
  <c r="CU866" i="48"/>
  <c r="CY866" i="48" s="1"/>
  <c r="DH866" i="48" s="1"/>
  <c r="V866" i="48" s="1"/>
  <c r="AC866" i="48" s="1"/>
  <c r="CU1196" i="48"/>
  <c r="CY1196" i="48" s="1"/>
  <c r="DH1196" i="48" s="1"/>
  <c r="V1196" i="48" s="1"/>
  <c r="AC1196" i="48" s="1"/>
  <c r="CU1325" i="48"/>
  <c r="CY1325" i="48" s="1"/>
  <c r="DH1325" i="48" s="1"/>
  <c r="V1325" i="48" s="1"/>
  <c r="AC1325" i="48" s="1"/>
  <c r="CU819" i="48"/>
  <c r="CY819" i="48" s="1"/>
  <c r="DH819" i="48" s="1"/>
  <c r="V819" i="48" s="1"/>
  <c r="AC819" i="48" s="1"/>
  <c r="CU427" i="48"/>
  <c r="CY427" i="48" s="1"/>
  <c r="DH427" i="48" s="1"/>
  <c r="V427" i="48" s="1"/>
  <c r="AC427" i="48" s="1"/>
  <c r="CU1055" i="48"/>
  <c r="CY1055" i="48" s="1"/>
  <c r="DH1055" i="48" s="1"/>
  <c r="V1055" i="48" s="1"/>
  <c r="AC1055" i="48" s="1"/>
  <c r="CU1048" i="48"/>
  <c r="CY1048" i="48" s="1"/>
  <c r="DH1048" i="48" s="1"/>
  <c r="V1048" i="48" s="1"/>
  <c r="AC1048" i="48" s="1"/>
  <c r="CU787" i="48"/>
  <c r="CY787" i="48" s="1"/>
  <c r="DH787" i="48" s="1"/>
  <c r="V787" i="48" s="1"/>
  <c r="AC787" i="48" s="1"/>
  <c r="CU1151" i="48"/>
  <c r="CY1151" i="48" s="1"/>
  <c r="DH1151" i="48" s="1"/>
  <c r="V1151" i="48" s="1"/>
  <c r="AC1151" i="48" s="1"/>
  <c r="CU951" i="48"/>
  <c r="CY951" i="48" s="1"/>
  <c r="DH951" i="48" s="1"/>
  <c r="V951" i="48" s="1"/>
  <c r="AC951" i="48" s="1"/>
  <c r="CU657" i="48"/>
  <c r="CY657" i="48" s="1"/>
  <c r="DH657" i="48" s="1"/>
  <c r="V657" i="48" s="1"/>
  <c r="AC657" i="48" s="1"/>
  <c r="CU1257" i="48"/>
  <c r="CY1257" i="48" s="1"/>
  <c r="DH1257" i="48" s="1"/>
  <c r="V1257" i="48" s="1"/>
  <c r="AC1257" i="48" s="1"/>
  <c r="CU429" i="48"/>
  <c r="CY429" i="48" s="1"/>
  <c r="DH429" i="48" s="1"/>
  <c r="V429" i="48" s="1"/>
  <c r="AC429" i="48" s="1"/>
  <c r="CU968" i="48"/>
  <c r="CY968" i="48" s="1"/>
  <c r="DH968" i="48" s="1"/>
  <c r="V968" i="48" s="1"/>
  <c r="CU1215" i="48"/>
  <c r="CY1215" i="48" s="1"/>
  <c r="DH1215" i="48" s="1"/>
  <c r="V1215" i="48" s="1"/>
  <c r="AC1215" i="48" s="1"/>
  <c r="CU1008" i="48"/>
  <c r="CY1008" i="48" s="1"/>
  <c r="DH1008" i="48" s="1"/>
  <c r="V1008" i="48" s="1"/>
  <c r="AC1008" i="48" s="1"/>
  <c r="CU839" i="48"/>
  <c r="CY839" i="48" s="1"/>
  <c r="DH839" i="48" s="1"/>
  <c r="V839" i="48" s="1"/>
  <c r="AC839" i="48" s="1"/>
  <c r="CU1201" i="48"/>
  <c r="CY1201" i="48" s="1"/>
  <c r="DH1201" i="48" s="1"/>
  <c r="V1201" i="48" s="1"/>
  <c r="AC1201" i="48" s="1"/>
  <c r="CU818" i="48"/>
  <c r="CY818" i="48" s="1"/>
  <c r="DH818" i="48" s="1"/>
  <c r="V818" i="48" s="1"/>
  <c r="AC818" i="48" s="1"/>
  <c r="CU437" i="48"/>
  <c r="CY437" i="48" s="1"/>
  <c r="DH437" i="48" s="1"/>
  <c r="V437" i="48" s="1"/>
  <c r="AC437" i="48" s="1"/>
  <c r="CU943" i="48"/>
  <c r="CY943" i="48" s="1"/>
  <c r="DH943" i="48" s="1"/>
  <c r="V943" i="48" s="1"/>
  <c r="AC943" i="48" s="1"/>
  <c r="CU1154" i="48"/>
  <c r="CY1154" i="48" s="1"/>
  <c r="DH1154" i="48" s="1"/>
  <c r="V1154" i="48" s="1"/>
  <c r="AC1154" i="48" s="1"/>
  <c r="CU1036" i="48"/>
  <c r="CY1036" i="48" s="1"/>
  <c r="DH1036" i="48" s="1"/>
  <c r="V1036" i="48" s="1"/>
  <c r="AC1036" i="48" s="1"/>
  <c r="CU847" i="48"/>
  <c r="CY847" i="48" s="1"/>
  <c r="DH847" i="48" s="1"/>
  <c r="V847" i="48" s="1"/>
  <c r="AC847" i="48" s="1"/>
  <c r="CU737" i="48"/>
  <c r="CY737" i="48" s="1"/>
  <c r="DH737" i="48" s="1"/>
  <c r="V737" i="48" s="1"/>
  <c r="CU569" i="48"/>
  <c r="CY569" i="48" s="1"/>
  <c r="DH569" i="48" s="1"/>
  <c r="V569" i="48" s="1"/>
  <c r="CU591" i="48"/>
  <c r="CY591" i="48" s="1"/>
  <c r="DH591" i="48" s="1"/>
  <c r="V591" i="48" s="1"/>
  <c r="AC591" i="48" s="1"/>
  <c r="CU775" i="48"/>
  <c r="CY775" i="48" s="1"/>
  <c r="DH775" i="48" s="1"/>
  <c r="V775" i="48" s="1"/>
  <c r="AC775" i="48" s="1"/>
  <c r="CU1157" i="48"/>
  <c r="CY1157" i="48" s="1"/>
  <c r="DH1157" i="48" s="1"/>
  <c r="V1157" i="48" s="1"/>
  <c r="AC1157" i="48" s="1"/>
  <c r="CU695" i="48"/>
  <c r="CY695" i="48" s="1"/>
  <c r="DH695" i="48" s="1"/>
  <c r="V695" i="48" s="1"/>
  <c r="AC695" i="48" s="1"/>
  <c r="CU387" i="48"/>
  <c r="CY387" i="48" s="1"/>
  <c r="DH387" i="48" s="1"/>
  <c r="V387" i="48" s="1"/>
  <c r="AC387" i="48" s="1"/>
  <c r="CU1073" i="48"/>
  <c r="CY1073" i="48" s="1"/>
  <c r="DH1073" i="48" s="1"/>
  <c r="V1073" i="48" s="1"/>
  <c r="AC1073" i="48" s="1"/>
  <c r="CU1255" i="48"/>
  <c r="CY1255" i="48" s="1"/>
  <c r="DH1255" i="48" s="1"/>
  <c r="V1255" i="48" s="1"/>
  <c r="AC1255" i="48" s="1"/>
  <c r="CU333" i="48"/>
  <c r="CY333" i="48" s="1"/>
  <c r="DH333" i="48" s="1"/>
  <c r="V333" i="48" s="1"/>
  <c r="AC333" i="48" s="1"/>
  <c r="CU1042" i="48"/>
  <c r="CY1042" i="48" s="1"/>
  <c r="DH1042" i="48" s="1"/>
  <c r="V1042" i="48" s="1"/>
  <c r="AC1042" i="48" s="1"/>
  <c r="CU375" i="48"/>
  <c r="CY375" i="48" s="1"/>
  <c r="DH375" i="48" s="1"/>
  <c r="V375" i="48" s="1"/>
  <c r="AC375" i="48" s="1"/>
  <c r="CU1314" i="48"/>
  <c r="CY1314" i="48" s="1"/>
  <c r="DH1314" i="48" s="1"/>
  <c r="V1314" i="48" s="1"/>
  <c r="AC1314" i="48" s="1"/>
  <c r="AN1314" i="48" s="1"/>
  <c r="CU988" i="48"/>
  <c r="CY988" i="48" s="1"/>
  <c r="DH988" i="48" s="1"/>
  <c r="V988" i="48" s="1"/>
  <c r="AC988" i="48" s="1"/>
  <c r="CU1104" i="48"/>
  <c r="CY1104" i="48" s="1"/>
  <c r="DH1104" i="48" s="1"/>
  <c r="V1104" i="48" s="1"/>
  <c r="AC1104" i="48" s="1"/>
  <c r="CU1098" i="48"/>
  <c r="CY1098" i="48" s="1"/>
  <c r="DH1098" i="48" s="1"/>
  <c r="V1098" i="48" s="1"/>
  <c r="AC1098" i="48" s="1"/>
  <c r="AN1098" i="48" s="1"/>
  <c r="CU1081" i="48"/>
  <c r="CY1081" i="48" s="1"/>
  <c r="DH1081" i="48" s="1"/>
  <c r="V1081" i="48" s="1"/>
  <c r="AC1081" i="48" s="1"/>
  <c r="CU1016" i="48"/>
  <c r="CY1016" i="48" s="1"/>
  <c r="DH1016" i="48" s="1"/>
  <c r="V1016" i="48" s="1"/>
  <c r="AC1016" i="48" s="1"/>
  <c r="CU575" i="48"/>
  <c r="CY575" i="48" s="1"/>
  <c r="DH575" i="48" s="1"/>
  <c r="V575" i="48" s="1"/>
  <c r="AC575" i="48" s="1"/>
  <c r="CU543" i="48"/>
  <c r="CY543" i="48" s="1"/>
  <c r="DH543" i="48" s="1"/>
  <c r="V543" i="48" s="1"/>
  <c r="AC543" i="48" s="1"/>
  <c r="CU341" i="48"/>
  <c r="CY341" i="48" s="1"/>
  <c r="DH341" i="48" s="1"/>
  <c r="V341" i="48" s="1"/>
  <c r="AC341" i="48" s="1"/>
  <c r="CU1103" i="48"/>
  <c r="CY1103" i="48" s="1"/>
  <c r="DH1103" i="48" s="1"/>
  <c r="V1103" i="48" s="1"/>
  <c r="AC1103" i="48" s="1"/>
  <c r="CU1271" i="48"/>
  <c r="CY1271" i="48" s="1"/>
  <c r="DH1271" i="48" s="1"/>
  <c r="V1271" i="48" s="1"/>
  <c r="AC1271" i="48" s="1"/>
  <c r="CU1078" i="48"/>
  <c r="CY1078" i="48" s="1"/>
  <c r="DH1078" i="48" s="1"/>
  <c r="V1078" i="48" s="1"/>
  <c r="AC1078" i="48" s="1"/>
  <c r="CU714" i="48"/>
  <c r="CY714" i="48" s="1"/>
  <c r="DH714" i="48" s="1"/>
  <c r="V714" i="48" s="1"/>
  <c r="AC714" i="48" s="1"/>
  <c r="AN714" i="48" s="1"/>
  <c r="CU885" i="48"/>
  <c r="CY885" i="48" s="1"/>
  <c r="DH885" i="48" s="1"/>
  <c r="V885" i="48" s="1"/>
  <c r="AC885" i="48" s="1"/>
  <c r="CU555" i="48"/>
  <c r="CY555" i="48" s="1"/>
  <c r="DH555" i="48" s="1"/>
  <c r="V555" i="48" s="1"/>
  <c r="AC555" i="48" s="1"/>
  <c r="CU1197" i="48"/>
  <c r="CY1197" i="48" s="1"/>
  <c r="DH1197" i="48" s="1"/>
  <c r="V1197" i="48" s="1"/>
  <c r="AC1197" i="48" s="1"/>
  <c r="CU802" i="48"/>
  <c r="CY802" i="48" s="1"/>
  <c r="DH802" i="48" s="1"/>
  <c r="V802" i="48" s="1"/>
  <c r="AC802" i="48" s="1"/>
  <c r="CU1296" i="48"/>
  <c r="CY1296" i="48" s="1"/>
  <c r="DH1296" i="48" s="1"/>
  <c r="V1296" i="48" s="1"/>
  <c r="AC1296" i="48" s="1"/>
  <c r="CU607" i="48"/>
  <c r="CY607" i="48" s="1"/>
  <c r="DH607" i="48" s="1"/>
  <c r="V607" i="48" s="1"/>
  <c r="AC607" i="48" s="1"/>
  <c r="CU880" i="48"/>
  <c r="CY880" i="48" s="1"/>
  <c r="DH880" i="48" s="1"/>
  <c r="V880" i="48" s="1"/>
  <c r="AC880" i="48" s="1"/>
  <c r="CU870" i="48"/>
  <c r="CY870" i="48" s="1"/>
  <c r="DH870" i="48" s="1"/>
  <c r="V870" i="48" s="1"/>
  <c r="AC870" i="48" s="1"/>
  <c r="CU1050" i="48"/>
  <c r="CY1050" i="48" s="1"/>
  <c r="DH1050" i="48" s="1"/>
  <c r="V1050" i="48" s="1"/>
  <c r="AC1050" i="48" s="1"/>
  <c r="AN1050" i="48" s="1"/>
  <c r="CU719" i="48"/>
  <c r="CY719" i="48" s="1"/>
  <c r="DH719" i="48" s="1"/>
  <c r="V719" i="48" s="1"/>
  <c r="AC719" i="48" s="1"/>
  <c r="CU1171" i="48"/>
  <c r="CY1171" i="48" s="1"/>
  <c r="DH1171" i="48" s="1"/>
  <c r="V1171" i="48" s="1"/>
  <c r="AC1171" i="48" s="1"/>
  <c r="CU632" i="48"/>
  <c r="CY632" i="48" s="1"/>
  <c r="DH632" i="48" s="1"/>
  <c r="V632" i="48" s="1"/>
  <c r="AC632" i="48" s="1"/>
  <c r="CU783" i="48"/>
  <c r="CY783" i="48" s="1"/>
  <c r="DH783" i="48" s="1"/>
  <c r="V783" i="48" s="1"/>
  <c r="AC783" i="48" s="1"/>
  <c r="CU983" i="48"/>
  <c r="CY983" i="48" s="1"/>
  <c r="DH983" i="48" s="1"/>
  <c r="V983" i="48" s="1"/>
  <c r="AC983" i="48" s="1"/>
  <c r="CU990" i="48"/>
  <c r="CY990" i="48" s="1"/>
  <c r="DH990" i="48" s="1"/>
  <c r="V990" i="48" s="1"/>
  <c r="AC990" i="48" s="1"/>
  <c r="CU334" i="48"/>
  <c r="CY334" i="48" s="1"/>
  <c r="DH334" i="48" s="1"/>
  <c r="V334" i="48" s="1"/>
  <c r="AC334" i="48" s="1"/>
  <c r="CU1004" i="48"/>
  <c r="CY1004" i="48" s="1"/>
  <c r="DH1004" i="48" s="1"/>
  <c r="V1004" i="48" s="1"/>
  <c r="AC1004" i="48" s="1"/>
  <c r="CU99" i="48"/>
  <c r="CY99" i="48" s="1"/>
  <c r="DH99" i="48" s="1"/>
  <c r="V99" i="48" s="1"/>
  <c r="AC99" i="48" s="1"/>
  <c r="CU1222" i="48"/>
  <c r="CY1222" i="48" s="1"/>
  <c r="DH1222" i="48" s="1"/>
  <c r="V1222" i="48" s="1"/>
  <c r="AC1222" i="48" s="1"/>
  <c r="CU981" i="48"/>
  <c r="CY981" i="48" s="1"/>
  <c r="DH981" i="48" s="1"/>
  <c r="V981" i="48" s="1"/>
  <c r="AC981" i="48" s="1"/>
  <c r="CU642" i="48"/>
  <c r="CY642" i="48" s="1"/>
  <c r="DH642" i="48" s="1"/>
  <c r="V642" i="48" s="1"/>
  <c r="AC642" i="48" s="1"/>
  <c r="CU928" i="48"/>
  <c r="CY928" i="48" s="1"/>
  <c r="DH928" i="48" s="1"/>
  <c r="V928" i="48" s="1"/>
  <c r="AC928" i="48" s="1"/>
  <c r="CU523" i="48"/>
  <c r="CY523" i="48" s="1"/>
  <c r="DH523" i="48" s="1"/>
  <c r="V523" i="48" s="1"/>
  <c r="AC523" i="48" s="1"/>
  <c r="CU1247" i="48"/>
  <c r="CY1247" i="48" s="1"/>
  <c r="DH1247" i="48" s="1"/>
  <c r="V1247" i="48" s="1"/>
  <c r="AC1247" i="48" s="1"/>
  <c r="CU1291" i="48"/>
  <c r="CY1291" i="48" s="1"/>
  <c r="DH1291" i="48" s="1"/>
  <c r="V1291" i="48" s="1"/>
  <c r="AC1291" i="48" s="1"/>
  <c r="CU1122" i="48"/>
  <c r="CY1122" i="48" s="1"/>
  <c r="DH1122" i="48" s="1"/>
  <c r="V1122" i="48" s="1"/>
  <c r="AC1122" i="48" s="1"/>
  <c r="AN1122" i="48" s="1"/>
  <c r="CU838" i="48"/>
  <c r="CY838" i="48" s="1"/>
  <c r="DH838" i="48" s="1"/>
  <c r="V838" i="48" s="1"/>
  <c r="AC838" i="48" s="1"/>
  <c r="CU1013" i="48"/>
  <c r="CY1013" i="48" s="1"/>
  <c r="DH1013" i="48" s="1"/>
  <c r="V1013" i="48" s="1"/>
  <c r="AC1013" i="48" s="1"/>
  <c r="CU895" i="48"/>
  <c r="CY895" i="48" s="1"/>
  <c r="DH895" i="48" s="1"/>
  <c r="V895" i="48" s="1"/>
  <c r="AC895" i="48" s="1"/>
  <c r="CU916" i="48"/>
  <c r="CY916" i="48" s="1"/>
  <c r="DH916" i="48" s="1"/>
  <c r="V916" i="48" s="1"/>
  <c r="AC916" i="48" s="1"/>
  <c r="CU699" i="48"/>
  <c r="CY699" i="48" s="1"/>
  <c r="DH699" i="48" s="1"/>
  <c r="V699" i="48" s="1"/>
  <c r="AC699" i="48" s="1"/>
  <c r="CU955" i="48"/>
  <c r="CY955" i="48" s="1"/>
  <c r="DH955" i="48" s="1"/>
  <c r="V955" i="48" s="1"/>
  <c r="AC955" i="48" s="1"/>
  <c r="CU128" i="48"/>
  <c r="CY128" i="48" s="1"/>
  <c r="DH128" i="48" s="1"/>
  <c r="V128" i="48" s="1"/>
  <c r="AC128" i="48" s="1"/>
  <c r="CU1220" i="48"/>
  <c r="CY1220" i="48" s="1"/>
  <c r="DH1220" i="48" s="1"/>
  <c r="V1220" i="48" s="1"/>
  <c r="AC1220" i="48" s="1"/>
  <c r="CU1084" i="48"/>
  <c r="CY1084" i="48" s="1"/>
  <c r="DH1084" i="48" s="1"/>
  <c r="V1084" i="48" s="1"/>
  <c r="AC1084" i="48" s="1"/>
  <c r="CU745" i="48"/>
  <c r="CY745" i="48" s="1"/>
  <c r="DH745" i="48" s="1"/>
  <c r="V745" i="48" s="1"/>
  <c r="AC745" i="48" s="1"/>
  <c r="CU498" i="48"/>
  <c r="CY498" i="48" s="1"/>
  <c r="DH498" i="48" s="1"/>
  <c r="V498" i="48" s="1"/>
  <c r="AC498" i="48" s="1"/>
  <c r="AN498" i="48" s="1"/>
  <c r="CU459" i="48"/>
  <c r="CY459" i="48" s="1"/>
  <c r="DH459" i="48" s="1"/>
  <c r="V459" i="48" s="1"/>
  <c r="AC459" i="48" s="1"/>
  <c r="CU1175" i="48"/>
  <c r="CY1175" i="48" s="1"/>
  <c r="DH1175" i="48" s="1"/>
  <c r="V1175" i="48" s="1"/>
  <c r="AC1175" i="48" s="1"/>
  <c r="CU881" i="48"/>
  <c r="CY881" i="48" s="1"/>
  <c r="DH881" i="48" s="1"/>
  <c r="V881" i="48" s="1"/>
  <c r="CU1246" i="48"/>
  <c r="CY1246" i="48" s="1"/>
  <c r="DH1246" i="48" s="1"/>
  <c r="V1246" i="48" s="1"/>
  <c r="AC1246" i="48" s="1"/>
  <c r="CU308" i="48"/>
  <c r="CY308" i="48" s="1"/>
  <c r="DH308" i="48" s="1"/>
  <c r="V308" i="48" s="1"/>
  <c r="AC308" i="48" s="1"/>
  <c r="CU927" i="48"/>
  <c r="CY927" i="48" s="1"/>
  <c r="DH927" i="48" s="1"/>
  <c r="V927" i="48" s="1"/>
  <c r="AC927" i="48" s="1"/>
  <c r="CU164" i="48"/>
  <c r="CY164" i="48" s="1"/>
  <c r="DH164" i="48" s="1"/>
  <c r="V164" i="48" s="1"/>
  <c r="AC164" i="48" s="1"/>
  <c r="CU767" i="48"/>
  <c r="CY767" i="48" s="1"/>
  <c r="DH767" i="48" s="1"/>
  <c r="V767" i="48" s="1"/>
  <c r="AC767" i="48" s="1"/>
  <c r="CU1192" i="48"/>
  <c r="CY1192" i="48" s="1"/>
  <c r="DH1192" i="48" s="1"/>
  <c r="V1192" i="48" s="1"/>
  <c r="AC1192" i="48" s="1"/>
  <c r="CU938" i="48"/>
  <c r="CY938" i="48" s="1"/>
  <c r="DH938" i="48" s="1"/>
  <c r="V938" i="48" s="1"/>
  <c r="AC938" i="48" s="1"/>
  <c r="CU425" i="48"/>
  <c r="CY425" i="48" s="1"/>
  <c r="DH425" i="48" s="1"/>
  <c r="V425" i="48" s="1"/>
  <c r="AC425" i="48" s="1"/>
  <c r="CU139" i="48"/>
  <c r="CY139" i="48" s="1"/>
  <c r="DH139" i="48" s="1"/>
  <c r="V139" i="48" s="1"/>
  <c r="AC139" i="48" s="1"/>
  <c r="CU797" i="48"/>
  <c r="CY797" i="48" s="1"/>
  <c r="DH797" i="48" s="1"/>
  <c r="V797" i="48" s="1"/>
  <c r="AC797" i="48" s="1"/>
  <c r="CU454" i="48"/>
  <c r="CY454" i="48" s="1"/>
  <c r="DH454" i="48" s="1"/>
  <c r="V454" i="48" s="1"/>
  <c r="AC454" i="48" s="1"/>
  <c r="CU655" i="48"/>
  <c r="CY655" i="48" s="1"/>
  <c r="DH655" i="48" s="1"/>
  <c r="V655" i="48" s="1"/>
  <c r="AC655" i="48" s="1"/>
  <c r="CU989" i="48"/>
  <c r="CY989" i="48" s="1"/>
  <c r="DH989" i="48" s="1"/>
  <c r="V989" i="48" s="1"/>
  <c r="AC989" i="48" s="1"/>
  <c r="CU692" i="48"/>
  <c r="CY692" i="48" s="1"/>
  <c r="DH692" i="48" s="1"/>
  <c r="V692" i="48" s="1"/>
  <c r="AC692" i="48" s="1"/>
  <c r="CU354" i="48"/>
  <c r="CY354" i="48" s="1"/>
  <c r="DH354" i="48" s="1"/>
  <c r="V354" i="48" s="1"/>
  <c r="AC354" i="48" s="1"/>
  <c r="AN354" i="48" s="1"/>
  <c r="CU381" i="48"/>
  <c r="CY381" i="48" s="1"/>
  <c r="DH381" i="48" s="1"/>
  <c r="V381" i="48" s="1"/>
  <c r="AC381" i="48" s="1"/>
  <c r="CU650" i="48"/>
  <c r="CY650" i="48" s="1"/>
  <c r="DH650" i="48" s="1"/>
  <c r="V650" i="48" s="1"/>
  <c r="AC650" i="48" s="1"/>
  <c r="CU1177" i="48"/>
  <c r="CY1177" i="48" s="1"/>
  <c r="DH1177" i="48" s="1"/>
  <c r="V1177" i="48" s="1"/>
  <c r="AC1177" i="48" s="1"/>
  <c r="CU572" i="48"/>
  <c r="CY572" i="48" s="1"/>
  <c r="DH572" i="48" s="1"/>
  <c r="V572" i="48" s="1"/>
  <c r="AC572" i="48" s="1"/>
  <c r="CU769" i="48"/>
  <c r="CY769" i="48" s="1"/>
  <c r="DH769" i="48" s="1"/>
  <c r="V769" i="48" s="1"/>
  <c r="AC769" i="48" s="1"/>
  <c r="CU843" i="48"/>
  <c r="CY843" i="48" s="1"/>
  <c r="DH843" i="48" s="1"/>
  <c r="V843" i="48" s="1"/>
  <c r="AC843" i="48" s="1"/>
  <c r="CU788" i="48"/>
  <c r="CY788" i="48" s="1"/>
  <c r="DH788" i="48" s="1"/>
  <c r="V788" i="48" s="1"/>
  <c r="AC788" i="48" s="1"/>
  <c r="CU827" i="48"/>
  <c r="CY827" i="48" s="1"/>
  <c r="DH827" i="48" s="1"/>
  <c r="V827" i="48" s="1"/>
  <c r="CU659" i="48"/>
  <c r="CY659" i="48" s="1"/>
  <c r="DH659" i="48" s="1"/>
  <c r="V659" i="48" s="1"/>
  <c r="CU491" i="48"/>
  <c r="CY491" i="48" s="1"/>
  <c r="DH491" i="48" s="1"/>
  <c r="V491" i="48" s="1"/>
  <c r="CU611" i="48"/>
  <c r="CY611" i="48" s="1"/>
  <c r="DH611" i="48" s="1"/>
  <c r="CU131" i="48"/>
  <c r="CY131" i="48" s="1"/>
  <c r="DH131" i="48" s="1"/>
  <c r="V131" i="48" s="1"/>
  <c r="CU635" i="48"/>
  <c r="CY635" i="48" s="1"/>
  <c r="DH635" i="48" s="1"/>
  <c r="CU347" i="48"/>
  <c r="CY347" i="48" s="1"/>
  <c r="DH347" i="48" s="1"/>
  <c r="V347" i="48" s="1"/>
  <c r="CU52" i="48"/>
  <c r="CY52" i="48" s="1"/>
  <c r="DH52" i="48" s="1"/>
  <c r="CU77" i="48"/>
  <c r="CY77" i="48" s="1"/>
  <c r="DH77" i="48" s="1"/>
  <c r="V77" i="48" s="1"/>
  <c r="AC77" i="48" s="1"/>
  <c r="CU105" i="48"/>
  <c r="CY105" i="48" s="1"/>
  <c r="DH105" i="48" s="1"/>
  <c r="V105" i="48" s="1"/>
  <c r="AC105" i="48" s="1"/>
  <c r="CU234" i="48"/>
  <c r="CY234" i="48" s="1"/>
  <c r="DH234" i="48" s="1"/>
  <c r="V234" i="48" s="1"/>
  <c r="AC234" i="48" s="1"/>
  <c r="CU268" i="48"/>
  <c r="CY268" i="48" s="1"/>
  <c r="DH268" i="48" s="1"/>
  <c r="V268" i="48" s="1"/>
  <c r="AC268" i="48" s="1"/>
  <c r="CU171" i="48"/>
  <c r="CY171" i="48" s="1"/>
  <c r="DH171" i="48" s="1"/>
  <c r="V171" i="48" s="1"/>
  <c r="AC171" i="48" s="1"/>
  <c r="CU130" i="48"/>
  <c r="CY130" i="48" s="1"/>
  <c r="DH130" i="48" s="1"/>
  <c r="V130" i="48" s="1"/>
  <c r="AC130" i="48" s="1"/>
  <c r="CU193" i="48"/>
  <c r="CY193" i="48" s="1"/>
  <c r="DH193" i="48" s="1"/>
  <c r="V193" i="48" s="1"/>
  <c r="AC193" i="48" s="1"/>
  <c r="CU260" i="48"/>
  <c r="CY260" i="48" s="1"/>
  <c r="DH260" i="48" s="1"/>
  <c r="V260" i="48" s="1"/>
  <c r="AC260" i="48" s="1"/>
  <c r="CU194" i="48"/>
  <c r="CY194" i="48" s="1"/>
  <c r="DH194" i="48" s="1"/>
  <c r="V194" i="48" s="1"/>
  <c r="AC194" i="48" s="1"/>
  <c r="CU123" i="48"/>
  <c r="CY123" i="48" s="1"/>
  <c r="DH123" i="48" s="1"/>
  <c r="V123" i="48" s="1"/>
  <c r="AC123" i="48" s="1"/>
  <c r="CU255" i="48"/>
  <c r="CY255" i="48" s="1"/>
  <c r="DH255" i="48" s="1"/>
  <c r="V255" i="48" s="1"/>
  <c r="AC255" i="48" s="1"/>
  <c r="CU214" i="48"/>
  <c r="CY214" i="48" s="1"/>
  <c r="DH214" i="48" s="1"/>
  <c r="V214" i="48" s="1"/>
  <c r="AC214" i="48" s="1"/>
  <c r="CU201" i="48"/>
  <c r="CY201" i="48" s="1"/>
  <c r="DH201" i="48" s="1"/>
  <c r="V201" i="48" s="1"/>
  <c r="AC201" i="48" s="1"/>
  <c r="CU698" i="48"/>
  <c r="CY698" i="48" s="1"/>
  <c r="DH698" i="48" s="1"/>
  <c r="V698" i="48" s="1"/>
  <c r="AC698" i="48" s="1"/>
  <c r="CU624" i="48"/>
  <c r="CY624" i="48" s="1"/>
  <c r="DH624" i="48" s="1"/>
  <c r="V624" i="48" s="1"/>
  <c r="AC624" i="48" s="1"/>
  <c r="CU1027" i="48"/>
  <c r="CY1027" i="48" s="1"/>
  <c r="DH1027" i="48" s="1"/>
  <c r="V1027" i="48" s="1"/>
  <c r="AC1027" i="48" s="1"/>
  <c r="CU749" i="48"/>
  <c r="CY749" i="48" s="1"/>
  <c r="DH749" i="48" s="1"/>
  <c r="V749" i="48" s="1"/>
  <c r="AC749" i="48" s="1"/>
  <c r="CU514" i="48"/>
  <c r="CY514" i="48" s="1"/>
  <c r="DH514" i="48" s="1"/>
  <c r="V514" i="48" s="1"/>
  <c r="AC514" i="48" s="1"/>
  <c r="CU485" i="48"/>
  <c r="CY485" i="48" s="1"/>
  <c r="DH485" i="48" s="1"/>
  <c r="V485" i="48" s="1"/>
  <c r="AC485" i="48" s="1"/>
  <c r="CU889" i="48"/>
  <c r="CY889" i="48" s="1"/>
  <c r="DH889" i="48" s="1"/>
  <c r="V889" i="48" s="1"/>
  <c r="AC889" i="48" s="1"/>
  <c r="CU322" i="48"/>
  <c r="CY322" i="48" s="1"/>
  <c r="DH322" i="48" s="1"/>
  <c r="V322" i="48" s="1"/>
  <c r="AC322" i="48" s="1"/>
  <c r="CU857" i="48"/>
  <c r="CY857" i="48" s="1"/>
  <c r="DH857" i="48" s="1"/>
  <c r="V857" i="48" s="1"/>
  <c r="AC857" i="48" s="1"/>
  <c r="CU825" i="48"/>
  <c r="CY825" i="48" s="1"/>
  <c r="DH825" i="48" s="1"/>
  <c r="V825" i="48" s="1"/>
  <c r="AC825" i="48" s="1"/>
  <c r="CU448" i="48"/>
  <c r="CY448" i="48" s="1"/>
  <c r="DH448" i="48" s="1"/>
  <c r="V448" i="48" s="1"/>
  <c r="AC448" i="48" s="1"/>
  <c r="CU689" i="48"/>
  <c r="CY689" i="48" s="1"/>
  <c r="DH689" i="48" s="1"/>
  <c r="V689" i="48" s="1"/>
  <c r="AC689" i="48" s="1"/>
  <c r="CU1114" i="48"/>
  <c r="CY1114" i="48" s="1"/>
  <c r="DH1114" i="48" s="1"/>
  <c r="V1114" i="48" s="1"/>
  <c r="AC1114" i="48" s="1"/>
  <c r="CU1323" i="48"/>
  <c r="CY1323" i="48" s="1"/>
  <c r="DH1323" i="48" s="1"/>
  <c r="V1323" i="48" s="1"/>
  <c r="AC1323" i="48" s="1"/>
  <c r="CU1226" i="48"/>
  <c r="CY1226" i="48" s="1"/>
  <c r="DH1226" i="48" s="1"/>
  <c r="V1226" i="48" s="1"/>
  <c r="AC1226" i="48" s="1"/>
  <c r="CU401" i="48"/>
  <c r="CY401" i="48" s="1"/>
  <c r="DH401" i="48" s="1"/>
  <c r="V401" i="48" s="1"/>
  <c r="CU651" i="48"/>
  <c r="CY651" i="48" s="1"/>
  <c r="DH651" i="48" s="1"/>
  <c r="V651" i="48" s="1"/>
  <c r="AC651" i="48" s="1"/>
  <c r="CU466" i="48"/>
  <c r="CY466" i="48" s="1"/>
  <c r="DH466" i="48" s="1"/>
  <c r="V466" i="48" s="1"/>
  <c r="AC466" i="48" s="1"/>
  <c r="CU531" i="48"/>
  <c r="CY531" i="48" s="1"/>
  <c r="DH531" i="48" s="1"/>
  <c r="V531" i="48" s="1"/>
  <c r="AC531" i="48" s="1"/>
  <c r="CU1249" i="48"/>
  <c r="CY1249" i="48" s="1"/>
  <c r="DH1249" i="48" s="1"/>
  <c r="V1249" i="48" s="1"/>
  <c r="AC1249" i="48" s="1"/>
  <c r="CU1294" i="48"/>
  <c r="CY1294" i="48" s="1"/>
  <c r="DH1294" i="48" s="1"/>
  <c r="V1294" i="48" s="1"/>
  <c r="AC1294" i="48" s="1"/>
  <c r="CU1153" i="48"/>
  <c r="CY1153" i="48" s="1"/>
  <c r="DH1153" i="48" s="1"/>
  <c r="V1153" i="48" s="1"/>
  <c r="AC1153" i="48" s="1"/>
  <c r="CU831" i="48"/>
  <c r="CY831" i="48" s="1"/>
  <c r="DH831" i="48" s="1"/>
  <c r="V831" i="48" s="1"/>
  <c r="AC831" i="48" s="1"/>
  <c r="CU617" i="48"/>
  <c r="CY617" i="48" s="1"/>
  <c r="DH617" i="48" s="1"/>
  <c r="V617" i="48" s="1"/>
  <c r="AC617" i="48" s="1"/>
  <c r="CU1223" i="48"/>
  <c r="CY1223" i="48" s="1"/>
  <c r="DH1223" i="48" s="1"/>
  <c r="V1223" i="48" s="1"/>
  <c r="AC1223" i="48" s="1"/>
  <c r="CU742" i="48"/>
  <c r="CY742" i="48" s="1"/>
  <c r="DH742" i="48" s="1"/>
  <c r="V742" i="48" s="1"/>
  <c r="AC742" i="48" s="1"/>
  <c r="CU718" i="48"/>
  <c r="CY718" i="48" s="1"/>
  <c r="DH718" i="48" s="1"/>
  <c r="V718" i="48" s="1"/>
  <c r="AC718" i="48" s="1"/>
  <c r="CU364" i="48"/>
  <c r="CY364" i="48" s="1"/>
  <c r="DH364" i="48" s="1"/>
  <c r="V364" i="48" s="1"/>
  <c r="AC364" i="48" s="1"/>
  <c r="CU602" i="48"/>
  <c r="CY602" i="48" s="1"/>
  <c r="DH602" i="48" s="1"/>
  <c r="V602" i="48" s="1"/>
  <c r="AC602" i="48" s="1"/>
  <c r="CU762" i="48"/>
  <c r="CY762" i="48" s="1"/>
  <c r="DH762" i="48" s="1"/>
  <c r="V762" i="48" s="1"/>
  <c r="AC762" i="48" s="1"/>
  <c r="AN762" i="48" s="1"/>
  <c r="CU861" i="48"/>
  <c r="CY861" i="48" s="1"/>
  <c r="DH861" i="48" s="1"/>
  <c r="V861" i="48" s="1"/>
  <c r="AC861" i="48" s="1"/>
  <c r="CU428" i="48"/>
  <c r="CY428" i="48" s="1"/>
  <c r="DH428" i="48" s="1"/>
  <c r="V428" i="48" s="1"/>
  <c r="AC428" i="48" s="1"/>
  <c r="CU941" i="48"/>
  <c r="CY941" i="48" s="1"/>
  <c r="DH941" i="48" s="1"/>
  <c r="V941" i="48" s="1"/>
  <c r="AC941" i="48" s="1"/>
  <c r="CU497" i="48"/>
  <c r="CY497" i="48" s="1"/>
  <c r="DH497" i="48" s="1"/>
  <c r="V497" i="48" s="1"/>
  <c r="AC497" i="48" s="1"/>
  <c r="CU1032" i="48"/>
  <c r="CY1032" i="48" s="1"/>
  <c r="DH1032" i="48" s="1"/>
  <c r="V1032" i="48" s="1"/>
  <c r="AC1032" i="48" s="1"/>
  <c r="CU772" i="48"/>
  <c r="CY772" i="48" s="1"/>
  <c r="DH772" i="48" s="1"/>
  <c r="V772" i="48" s="1"/>
  <c r="AC772" i="48" s="1"/>
  <c r="CU1060" i="48"/>
  <c r="CY1060" i="48" s="1"/>
  <c r="DH1060" i="48" s="1"/>
  <c r="V1060" i="48" s="1"/>
  <c r="AC1060" i="48" s="1"/>
  <c r="CU1218" i="48"/>
  <c r="CY1218" i="48" s="1"/>
  <c r="DH1218" i="48" s="1"/>
  <c r="V1218" i="48" s="1"/>
  <c r="AC1218" i="48" s="1"/>
  <c r="CU888" i="48"/>
  <c r="CY888" i="48" s="1"/>
  <c r="DH888" i="48" s="1"/>
  <c r="V888" i="48" s="1"/>
  <c r="AC888" i="48" s="1"/>
  <c r="CU688" i="48"/>
  <c r="CY688" i="48" s="1"/>
  <c r="DH688" i="48" s="1"/>
  <c r="V688" i="48" s="1"/>
  <c r="AC688" i="48" s="1"/>
  <c r="CU1001" i="48"/>
  <c r="CY1001" i="48" s="1"/>
  <c r="DH1001" i="48" s="1"/>
  <c r="V1001" i="48" s="1"/>
  <c r="CU464" i="48"/>
  <c r="CY464" i="48" s="1"/>
  <c r="DH464" i="48" s="1"/>
  <c r="V464" i="48" s="1"/>
  <c r="AC464" i="48" s="1"/>
  <c r="CU1066" i="48"/>
  <c r="CY1066" i="48" s="1"/>
  <c r="DH1066" i="48" s="1"/>
  <c r="V1066" i="48" s="1"/>
  <c r="AC1066" i="48" s="1"/>
  <c r="CU746" i="48"/>
  <c r="CY746" i="48" s="1"/>
  <c r="DH746" i="48" s="1"/>
  <c r="V746" i="48" s="1"/>
  <c r="AC746" i="48" s="1"/>
  <c r="CU449" i="48"/>
  <c r="CY449" i="48" s="1"/>
  <c r="DH449" i="48" s="1"/>
  <c r="V449" i="48" s="1"/>
  <c r="CU1267" i="48"/>
  <c r="CY1267" i="48" s="1"/>
  <c r="DH1267" i="48" s="1"/>
  <c r="V1267" i="48" s="1"/>
  <c r="AC1267" i="48" s="1"/>
  <c r="CU743" i="48"/>
  <c r="CY743" i="48" s="1"/>
  <c r="DH743" i="48" s="1"/>
  <c r="V743" i="48" s="1"/>
  <c r="AC743" i="48" s="1"/>
  <c r="CU578" i="48"/>
  <c r="CY578" i="48" s="1"/>
  <c r="DH578" i="48" s="1"/>
  <c r="V578" i="48" s="1"/>
  <c r="AC578" i="48" s="1"/>
  <c r="CU792" i="48"/>
  <c r="CY792" i="48" s="1"/>
  <c r="DH792" i="48" s="1"/>
  <c r="V792" i="48" s="1"/>
  <c r="AC792" i="48" s="1"/>
  <c r="CU915" i="48"/>
  <c r="CY915" i="48" s="1"/>
  <c r="DH915" i="48" s="1"/>
  <c r="V915" i="48" s="1"/>
  <c r="AC915" i="48" s="1"/>
  <c r="CU641" i="48"/>
  <c r="CY641" i="48" s="1"/>
  <c r="DH641" i="48" s="1"/>
  <c r="V641" i="48" s="1"/>
  <c r="CU841" i="48"/>
  <c r="CY841" i="48" s="1"/>
  <c r="DH841" i="48" s="1"/>
  <c r="V841" i="48" s="1"/>
  <c r="AC841" i="48" s="1"/>
  <c r="CU249" i="48"/>
  <c r="CY249" i="48" s="1"/>
  <c r="DH249" i="48" s="1"/>
  <c r="V249" i="48" s="1"/>
  <c r="AC249" i="48" s="1"/>
  <c r="CU503" i="48"/>
  <c r="CY503" i="48" s="1"/>
  <c r="DH503" i="48" s="1"/>
  <c r="V503" i="48" s="1"/>
  <c r="AC503" i="48" s="1"/>
  <c r="CU151" i="48"/>
  <c r="CY151" i="48" s="1"/>
  <c r="DH151" i="48" s="1"/>
  <c r="V151" i="48" s="1"/>
  <c r="AC151" i="48" s="1"/>
  <c r="AG151" i="48" s="1"/>
  <c r="CU1147" i="48"/>
  <c r="CY1147" i="48" s="1"/>
  <c r="DH1147" i="48" s="1"/>
  <c r="V1147" i="48" s="1"/>
  <c r="AC1147" i="48" s="1"/>
  <c r="AM1147" i="48" s="1"/>
  <c r="CU1265" i="48"/>
  <c r="CY1265" i="48" s="1"/>
  <c r="DH1265" i="48" s="1"/>
  <c r="V1265" i="48" s="1"/>
  <c r="CU1040" i="48"/>
  <c r="CY1040" i="48" s="1"/>
  <c r="DH1040" i="48" s="1"/>
  <c r="V1040" i="48" s="1"/>
  <c r="CU462" i="48"/>
  <c r="CY462" i="48" s="1"/>
  <c r="DH462" i="48" s="1"/>
  <c r="V462" i="48" s="1"/>
  <c r="AC462" i="48" s="1"/>
  <c r="CU567" i="48"/>
  <c r="CY567" i="48" s="1"/>
  <c r="DH567" i="48" s="1"/>
  <c r="V567" i="48" s="1"/>
  <c r="AC567" i="48" s="1"/>
  <c r="CU1321" i="48"/>
  <c r="CY1321" i="48" s="1"/>
  <c r="DH1321" i="48" s="1"/>
  <c r="V1321" i="48" s="1"/>
  <c r="AC1321" i="48" s="1"/>
  <c r="CU1131" i="48"/>
  <c r="CY1131" i="48" s="1"/>
  <c r="DH1131" i="48" s="1"/>
  <c r="V1131" i="48" s="1"/>
  <c r="AC1131" i="48" s="1"/>
  <c r="CU832" i="48"/>
  <c r="CY832" i="48" s="1"/>
  <c r="DH832" i="48" s="1"/>
  <c r="V832" i="48" s="1"/>
  <c r="AC832" i="48" s="1"/>
  <c r="CU1167" i="48"/>
  <c r="CY1167" i="48" s="1"/>
  <c r="DH1167" i="48" s="1"/>
  <c r="V1167" i="48" s="1"/>
  <c r="AC1167" i="48" s="1"/>
  <c r="CU103" i="48"/>
  <c r="CY103" i="48" s="1"/>
  <c r="DH103" i="48" s="1"/>
  <c r="V103" i="48" s="1"/>
  <c r="AC103" i="48" s="1"/>
  <c r="CU979" i="48"/>
  <c r="CY979" i="48" s="1"/>
  <c r="DH979" i="48" s="1"/>
  <c r="V979" i="48" s="1"/>
  <c r="AC979" i="48" s="1"/>
  <c r="CU867" i="48"/>
  <c r="CY867" i="48" s="1"/>
  <c r="DH867" i="48" s="1"/>
  <c r="V867" i="48" s="1"/>
  <c r="AC867" i="48" s="1"/>
  <c r="CU59" i="48"/>
  <c r="CY59" i="48" s="1"/>
  <c r="DH59" i="48" s="1"/>
  <c r="V59" i="48" s="1"/>
  <c r="CU1307" i="48"/>
  <c r="CY1307" i="48" s="1"/>
  <c r="DH1307" i="48" s="1"/>
  <c r="CU539" i="48"/>
  <c r="CY539" i="48" s="1"/>
  <c r="DH539" i="48" s="1"/>
  <c r="V539" i="48" s="1"/>
  <c r="CU1043" i="48"/>
  <c r="CY1043" i="48" s="1"/>
  <c r="DH1043" i="48" s="1"/>
  <c r="V1043" i="48" s="1"/>
  <c r="CU50" i="48"/>
  <c r="CY50" i="48" s="1"/>
  <c r="DH50" i="48" s="1"/>
  <c r="CU46" i="48"/>
  <c r="CY46" i="48" s="1"/>
  <c r="DH46" i="48" s="1"/>
  <c r="CU41" i="48"/>
  <c r="CY41" i="48" s="1"/>
  <c r="DH41" i="48" s="1"/>
  <c r="CU40" i="48"/>
  <c r="CY40" i="48" s="1"/>
  <c r="DH40" i="48" s="1"/>
  <c r="CU67" i="48"/>
  <c r="CY67" i="48" s="1"/>
  <c r="DH67" i="48" s="1"/>
  <c r="V67" i="48" s="1"/>
  <c r="AC67" i="48" s="1"/>
  <c r="CU70" i="48"/>
  <c r="CY70" i="48" s="1"/>
  <c r="DH70" i="48" s="1"/>
  <c r="V70" i="48" s="1"/>
  <c r="AC70" i="48" s="1"/>
  <c r="CU79" i="48"/>
  <c r="CY79" i="48" s="1"/>
  <c r="DH79" i="48" s="1"/>
  <c r="V79" i="48" s="1"/>
  <c r="AC79" i="48" s="1"/>
  <c r="CU73" i="48"/>
  <c r="CY73" i="48" s="1"/>
  <c r="DH73" i="48" s="1"/>
  <c r="V73" i="48" s="1"/>
  <c r="AC73" i="48" s="1"/>
  <c r="CU71" i="48"/>
  <c r="CY71" i="48" s="1"/>
  <c r="DH71" i="48" s="1"/>
  <c r="V71" i="48" s="1"/>
  <c r="AC71" i="48" s="1"/>
  <c r="CU68" i="48"/>
  <c r="CY68" i="48" s="1"/>
  <c r="DH68" i="48" s="1"/>
  <c r="V68" i="48" s="1"/>
  <c r="AC68" i="48" s="1"/>
  <c r="CU279" i="48"/>
  <c r="CY279" i="48" s="1"/>
  <c r="DH279" i="48" s="1"/>
  <c r="V279" i="48" s="1"/>
  <c r="AC279" i="48" s="1"/>
  <c r="CU293" i="48"/>
  <c r="CY293" i="48" s="1"/>
  <c r="DH293" i="48" s="1"/>
  <c r="V293" i="48" s="1"/>
  <c r="AC293" i="48" s="1"/>
  <c r="CU298" i="48"/>
  <c r="CY298" i="48" s="1"/>
  <c r="DH298" i="48" s="1"/>
  <c r="V298" i="48" s="1"/>
  <c r="AC298" i="48" s="1"/>
  <c r="CU91" i="48"/>
  <c r="CY91" i="48" s="1"/>
  <c r="DH91" i="48" s="1"/>
  <c r="V91" i="48" s="1"/>
  <c r="AC91" i="48" s="1"/>
  <c r="CU129" i="48"/>
  <c r="CY129" i="48" s="1"/>
  <c r="DH129" i="48" s="1"/>
  <c r="V129" i="48" s="1"/>
  <c r="AC129" i="48" s="1"/>
  <c r="CU118" i="48"/>
  <c r="CY118" i="48" s="1"/>
  <c r="DH118" i="48" s="1"/>
  <c r="V118" i="48" s="1"/>
  <c r="AC118" i="48" s="1"/>
  <c r="CU233" i="48"/>
  <c r="CY233" i="48" s="1"/>
  <c r="DH233" i="48" s="1"/>
  <c r="V233" i="48" s="1"/>
  <c r="AC233" i="48" s="1"/>
  <c r="CU192" i="48"/>
  <c r="CY192" i="48" s="1"/>
  <c r="DH192" i="48" s="1"/>
  <c r="V192" i="48" s="1"/>
  <c r="AC192" i="48" s="1"/>
  <c r="CU175" i="48"/>
  <c r="CY175" i="48" s="1"/>
  <c r="DH175" i="48" s="1"/>
  <c r="V175" i="48" s="1"/>
  <c r="AC175" i="48" s="1"/>
  <c r="CU265" i="48"/>
  <c r="CY265" i="48" s="1"/>
  <c r="DH265" i="48" s="1"/>
  <c r="V265" i="48" s="1"/>
  <c r="AC265" i="48" s="1"/>
  <c r="CU220" i="48"/>
  <c r="CY220" i="48" s="1"/>
  <c r="DH220" i="48" s="1"/>
  <c r="V220" i="48" s="1"/>
  <c r="AC220" i="48" s="1"/>
  <c r="CU215" i="48"/>
  <c r="CY215" i="48" s="1"/>
  <c r="DH215" i="48" s="1"/>
  <c r="V215" i="48" s="1"/>
  <c r="AC215" i="48" s="1"/>
  <c r="CU272" i="48"/>
  <c r="CY272" i="48" s="1"/>
  <c r="DH272" i="48" s="1"/>
  <c r="V272" i="48" s="1"/>
  <c r="CU106" i="48"/>
  <c r="CY106" i="48" s="1"/>
  <c r="DH106" i="48" s="1"/>
  <c r="V106" i="48" s="1"/>
  <c r="AC106" i="48" s="1"/>
  <c r="CU127" i="48"/>
  <c r="CY127" i="48" s="1"/>
  <c r="DH127" i="48" s="1"/>
  <c r="V127" i="48" s="1"/>
  <c r="AC127" i="48" s="1"/>
  <c r="CU113" i="48"/>
  <c r="CY113" i="48" s="1"/>
  <c r="DH113" i="48" s="1"/>
  <c r="V113" i="48" s="1"/>
  <c r="AC113" i="48" s="1"/>
  <c r="CU237" i="48"/>
  <c r="CY237" i="48" s="1"/>
  <c r="DH237" i="48" s="1"/>
  <c r="V237" i="48" s="1"/>
  <c r="AC237" i="48" s="1"/>
  <c r="CU190" i="48"/>
  <c r="CY190" i="48" s="1"/>
  <c r="DH190" i="48" s="1"/>
  <c r="V190" i="48" s="1"/>
  <c r="AC190" i="48" s="1"/>
  <c r="CU169" i="48"/>
  <c r="CY169" i="48" s="1"/>
  <c r="DH169" i="48" s="1"/>
  <c r="V169" i="48" s="1"/>
  <c r="AC169" i="48" s="1"/>
  <c r="CU270" i="48"/>
  <c r="CY270" i="48" s="1"/>
  <c r="DH270" i="48" s="1"/>
  <c r="V270" i="48" s="1"/>
  <c r="AC270" i="48" s="1"/>
  <c r="CU223" i="48"/>
  <c r="CY223" i="48" s="1"/>
  <c r="DH223" i="48" s="1"/>
  <c r="V223" i="48" s="1"/>
  <c r="AC223" i="48" s="1"/>
  <c r="CU292" i="48"/>
  <c r="CY292" i="48" s="1"/>
  <c r="DH292" i="48" s="1"/>
  <c r="V292" i="48" s="1"/>
  <c r="AC292" i="48" s="1"/>
  <c r="CU274" i="48"/>
  <c r="CY274" i="48" s="1"/>
  <c r="DH274" i="48" s="1"/>
  <c r="V274" i="48" s="1"/>
  <c r="AC274" i="48" s="1"/>
  <c r="CU102" i="48"/>
  <c r="CY102" i="48" s="1"/>
  <c r="DH102" i="48" s="1"/>
  <c r="V102" i="48" s="1"/>
  <c r="AC102" i="48" s="1"/>
  <c r="CU125" i="48"/>
  <c r="CY125" i="48" s="1"/>
  <c r="DH125" i="48" s="1"/>
  <c r="V125" i="48" s="1"/>
  <c r="AC125" i="48" s="1"/>
  <c r="CU147" i="48"/>
  <c r="CY147" i="48" s="1"/>
  <c r="DH147" i="48" s="1"/>
  <c r="V147" i="48" s="1"/>
  <c r="AC147" i="48" s="1"/>
  <c r="AG147" i="48" s="1"/>
  <c r="CU183" i="48"/>
  <c r="CY183" i="48" s="1"/>
  <c r="DH183" i="48" s="1"/>
  <c r="V183" i="48" s="1"/>
  <c r="AC183" i="48" s="1"/>
  <c r="CU101" i="48"/>
  <c r="CY101" i="48" s="1"/>
  <c r="DH101" i="48" s="1"/>
  <c r="V101" i="48" s="1"/>
  <c r="AC101" i="48" s="1"/>
  <c r="CU117" i="48"/>
  <c r="CY117" i="48" s="1"/>
  <c r="DH117" i="48" s="1"/>
  <c r="V117" i="48" s="1"/>
  <c r="AC117" i="48" s="1"/>
  <c r="CU239" i="48"/>
  <c r="CY239" i="48" s="1"/>
  <c r="DH239" i="48" s="1"/>
  <c r="V239" i="48" s="1"/>
  <c r="CU195" i="48"/>
  <c r="CY195" i="48" s="1"/>
  <c r="DH195" i="48" s="1"/>
  <c r="V195" i="48" s="1"/>
  <c r="AC195" i="48" s="1"/>
  <c r="CU167" i="48"/>
  <c r="CY167" i="48" s="1"/>
  <c r="DH167" i="48" s="1"/>
  <c r="V167" i="48" s="1"/>
  <c r="AC167" i="48" s="1"/>
  <c r="CU213" i="48"/>
  <c r="CY213" i="48" s="1"/>
  <c r="DH213" i="48" s="1"/>
  <c r="V213" i="48" s="1"/>
  <c r="AC213" i="48" s="1"/>
  <c r="CU191" i="48"/>
  <c r="CY191" i="48" s="1"/>
  <c r="DH191" i="48" s="1"/>
  <c r="V191" i="48" s="1"/>
  <c r="AC191" i="48" s="1"/>
  <c r="CU185" i="48"/>
  <c r="CY185" i="48" s="1"/>
  <c r="DH185" i="48" s="1"/>
  <c r="V185" i="48" s="1"/>
  <c r="CU221" i="48"/>
  <c r="CY221" i="48" s="1"/>
  <c r="DH221" i="48" s="1"/>
  <c r="V221" i="48" s="1"/>
  <c r="AC221" i="48" s="1"/>
  <c r="CU126" i="48"/>
  <c r="CY126" i="48" s="1"/>
  <c r="DH126" i="48" s="1"/>
  <c r="V126" i="48" s="1"/>
  <c r="AC126" i="48" s="1"/>
  <c r="CU263" i="48"/>
  <c r="CY263" i="48" s="1"/>
  <c r="DH263" i="48" s="1"/>
  <c r="V263" i="48" s="1"/>
  <c r="AC263" i="48" s="1"/>
  <c r="CU290" i="48"/>
  <c r="CY290" i="48" s="1"/>
  <c r="DH290" i="48" s="1"/>
  <c r="V290" i="48" s="1"/>
  <c r="AC290" i="48" s="1"/>
  <c r="CU136" i="48"/>
  <c r="CY136" i="48" s="1"/>
  <c r="DH136" i="48" s="1"/>
  <c r="V136" i="48" s="1"/>
  <c r="AC136" i="48" s="1"/>
  <c r="CU244" i="48"/>
  <c r="CY244" i="48" s="1"/>
  <c r="DH244" i="48" s="1"/>
  <c r="V244" i="48" s="1"/>
  <c r="AC244" i="48" s="1"/>
  <c r="CU975" i="48"/>
  <c r="CY975" i="48" s="1"/>
  <c r="DH975" i="48" s="1"/>
  <c r="V975" i="48" s="1"/>
  <c r="AC975" i="48" s="1"/>
  <c r="CU332" i="48"/>
  <c r="CY332" i="48" s="1"/>
  <c r="DH332" i="48" s="1"/>
  <c r="V332" i="48" s="1"/>
  <c r="AC332" i="48" s="1"/>
  <c r="CU693" i="48"/>
  <c r="CY693" i="48" s="1"/>
  <c r="DH693" i="48" s="1"/>
  <c r="V693" i="48" s="1"/>
  <c r="AC693" i="48" s="1"/>
  <c r="CU1095" i="48"/>
  <c r="CY1095" i="48" s="1"/>
  <c r="DH1095" i="48" s="1"/>
  <c r="V1095" i="48" s="1"/>
  <c r="AC1095" i="48" s="1"/>
  <c r="CU966" i="48"/>
  <c r="CY966" i="48" s="1"/>
  <c r="DH966" i="48" s="1"/>
  <c r="V966" i="48" s="1"/>
  <c r="AC966" i="48" s="1"/>
  <c r="CU621" i="48"/>
  <c r="CY621" i="48" s="1"/>
  <c r="DH621" i="48" s="1"/>
  <c r="V621" i="48" s="1"/>
  <c r="AC621" i="48" s="1"/>
  <c r="CU986" i="48"/>
  <c r="CY986" i="48" s="1"/>
  <c r="DH986" i="48" s="1"/>
  <c r="V986" i="48" s="1"/>
  <c r="AC986" i="48" s="1"/>
  <c r="CU848" i="48"/>
  <c r="CY848" i="48" s="1"/>
  <c r="DH848" i="48" s="1"/>
  <c r="V848" i="48" s="1"/>
  <c r="CU1037" i="48"/>
  <c r="CY1037" i="48" s="1"/>
  <c r="DH1037" i="48" s="1"/>
  <c r="V1037" i="48" s="1"/>
  <c r="AC1037" i="48" s="1"/>
  <c r="CU1268" i="48"/>
  <c r="CY1268" i="48" s="1"/>
  <c r="DH1268" i="48" s="1"/>
  <c r="V1268" i="48" s="1"/>
  <c r="AC1268" i="48" s="1"/>
  <c r="CU1216" i="48"/>
  <c r="CY1216" i="48" s="1"/>
  <c r="DH1216" i="48" s="1"/>
  <c r="V1216" i="48" s="1"/>
  <c r="AC1216" i="48" s="1"/>
  <c r="CU1119" i="48"/>
  <c r="CY1119" i="48" s="1"/>
  <c r="DH1119" i="48" s="1"/>
  <c r="V1119" i="48" s="1"/>
  <c r="AC1119" i="48" s="1"/>
  <c r="CU1082" i="48"/>
  <c r="CY1082" i="48" s="1"/>
  <c r="DH1082" i="48" s="1"/>
  <c r="V1082" i="48" s="1"/>
  <c r="AC1082" i="48" s="1"/>
  <c r="CU404" i="48"/>
  <c r="CY404" i="48" s="1"/>
  <c r="DH404" i="48" s="1"/>
  <c r="V404" i="48" s="1"/>
  <c r="AC404" i="48" s="1"/>
  <c r="CU738" i="48"/>
  <c r="CY738" i="48" s="1"/>
  <c r="DH738" i="48" s="1"/>
  <c r="V738" i="48" s="1"/>
  <c r="AC738" i="48" s="1"/>
  <c r="AN738" i="48" s="1"/>
  <c r="CU850" i="48"/>
  <c r="CY850" i="48" s="1"/>
  <c r="DH850" i="48" s="1"/>
  <c r="V850" i="48" s="1"/>
  <c r="AC850" i="48" s="1"/>
  <c r="CU1011" i="48"/>
  <c r="CY1011" i="48" s="1"/>
  <c r="DH1011" i="48" s="1"/>
  <c r="V1011" i="48" s="1"/>
  <c r="AC1011" i="48" s="1"/>
  <c r="CU511" i="48"/>
  <c r="CY511" i="48" s="1"/>
  <c r="DH511" i="48" s="1"/>
  <c r="V511" i="48" s="1"/>
  <c r="AC511" i="48" s="1"/>
  <c r="CU715" i="48"/>
  <c r="CY715" i="48" s="1"/>
  <c r="DH715" i="48" s="1"/>
  <c r="V715" i="48" s="1"/>
  <c r="AC715" i="48" s="1"/>
  <c r="CU1121" i="48"/>
  <c r="CY1121" i="48" s="1"/>
  <c r="DH1121" i="48" s="1"/>
  <c r="V1121" i="48" s="1"/>
  <c r="CU482" i="48"/>
  <c r="CY482" i="48" s="1"/>
  <c r="DH482" i="48" s="1"/>
  <c r="V482" i="48" s="1"/>
  <c r="AC482" i="48" s="1"/>
  <c r="CU355" i="48"/>
  <c r="CY355" i="48" s="1"/>
  <c r="DH355" i="48" s="1"/>
  <c r="V355" i="48" s="1"/>
  <c r="AC355" i="48" s="1"/>
  <c r="CU530" i="48"/>
  <c r="CY530" i="48" s="1"/>
  <c r="DH530" i="48" s="1"/>
  <c r="V530" i="48" s="1"/>
  <c r="AC530" i="48" s="1"/>
  <c r="CU1168" i="48"/>
  <c r="CY1168" i="48" s="1"/>
  <c r="DH1168" i="48" s="1"/>
  <c r="V1168" i="48" s="1"/>
  <c r="AC1168" i="48" s="1"/>
  <c r="CU570" i="48"/>
  <c r="CY570" i="48" s="1"/>
  <c r="DH570" i="48" s="1"/>
  <c r="V570" i="48" s="1"/>
  <c r="AC570" i="48" s="1"/>
  <c r="AN570" i="48" s="1"/>
  <c r="CU896" i="48"/>
  <c r="CY896" i="48" s="1"/>
  <c r="DH896" i="48" s="1"/>
  <c r="V896" i="48" s="1"/>
  <c r="CU1243" i="48"/>
  <c r="CY1243" i="48" s="1"/>
  <c r="DH1243" i="48" s="1"/>
  <c r="V1243" i="48" s="1"/>
  <c r="AC1243" i="48" s="1"/>
  <c r="CU592" i="48"/>
  <c r="CY592" i="48" s="1"/>
  <c r="DH592" i="48" s="1"/>
  <c r="V592" i="48" s="1"/>
  <c r="AC592" i="48" s="1"/>
  <c r="CU311" i="48"/>
  <c r="CY311" i="48" s="1"/>
  <c r="DH311" i="48" s="1"/>
  <c r="V311" i="48" s="1"/>
  <c r="AC311" i="48" s="1"/>
  <c r="CU390" i="48"/>
  <c r="CY390" i="48" s="1"/>
  <c r="DH390" i="48" s="1"/>
  <c r="V390" i="48" s="1"/>
  <c r="AC390" i="48" s="1"/>
  <c r="CU944" i="48"/>
  <c r="CY944" i="48" s="1"/>
  <c r="DH944" i="48" s="1"/>
  <c r="V944" i="48" s="1"/>
  <c r="CU561" i="48"/>
  <c r="CY561" i="48" s="1"/>
  <c r="DH561" i="48" s="1"/>
  <c r="V561" i="48" s="1"/>
  <c r="AC561" i="48" s="1"/>
  <c r="CU766" i="48"/>
  <c r="CY766" i="48" s="1"/>
  <c r="DH766" i="48" s="1"/>
  <c r="V766" i="48" s="1"/>
  <c r="AC766" i="48" s="1"/>
  <c r="CU860" i="48"/>
  <c r="CY860" i="48" s="1"/>
  <c r="DH860" i="48" s="1"/>
  <c r="V860" i="48" s="1"/>
  <c r="AC860" i="48" s="1"/>
  <c r="CU1206" i="48"/>
  <c r="CY1206" i="48" s="1"/>
  <c r="DH1206" i="48" s="1"/>
  <c r="V1206" i="48" s="1"/>
  <c r="AC1206" i="48" s="1"/>
  <c r="CU1191" i="48"/>
  <c r="CY1191" i="48" s="1"/>
  <c r="DH1191" i="48" s="1"/>
  <c r="V1191" i="48" s="1"/>
  <c r="AC1191" i="48" s="1"/>
  <c r="CU823" i="48"/>
  <c r="CY823" i="48" s="1"/>
  <c r="DH823" i="48" s="1"/>
  <c r="V823" i="48" s="1"/>
  <c r="AC823" i="48" s="1"/>
  <c r="CU809" i="48"/>
  <c r="CY809" i="48" s="1"/>
  <c r="DH809" i="48" s="1"/>
  <c r="V809" i="48" s="1"/>
  <c r="AC809" i="48" s="1"/>
  <c r="CU1065" i="48"/>
  <c r="CY1065" i="48" s="1"/>
  <c r="DH1065" i="48" s="1"/>
  <c r="V1065" i="48" s="1"/>
  <c r="AC1065" i="48" s="1"/>
  <c r="CU794" i="48"/>
  <c r="CY794" i="48" s="1"/>
  <c r="DH794" i="48" s="1"/>
  <c r="V794" i="48" s="1"/>
  <c r="AC794" i="48" s="1"/>
  <c r="CU1155" i="48"/>
  <c r="CY1155" i="48" s="1"/>
  <c r="DH1155" i="48" s="1"/>
  <c r="V1155" i="48" s="1"/>
  <c r="AC1155" i="48" s="1"/>
  <c r="CU144" i="48"/>
  <c r="CY144" i="48" s="1"/>
  <c r="DH144" i="48" s="1"/>
  <c r="V144" i="48" s="1"/>
  <c r="AC144" i="48" s="1"/>
  <c r="AG144" i="48" s="1"/>
  <c r="CU453" i="48"/>
  <c r="CY453" i="48" s="1"/>
  <c r="DH453" i="48" s="1"/>
  <c r="V453" i="48" s="1"/>
  <c r="AC453" i="48" s="1"/>
  <c r="CU408" i="48"/>
  <c r="CY408" i="48" s="1"/>
  <c r="DH408" i="48" s="1"/>
  <c r="V408" i="48" s="1"/>
  <c r="AC408" i="48" s="1"/>
  <c r="CU304" i="48"/>
  <c r="CY304" i="48" s="1"/>
  <c r="DH304" i="48" s="1"/>
  <c r="V304" i="48" s="1"/>
  <c r="AC304" i="48" s="1"/>
  <c r="CU701" i="48"/>
  <c r="CY701" i="48" s="1"/>
  <c r="DH701" i="48" s="1"/>
  <c r="V701" i="48" s="1"/>
  <c r="AC701" i="48" s="1"/>
  <c r="CU696" i="48"/>
  <c r="CY696" i="48" s="1"/>
  <c r="DH696" i="48" s="1"/>
  <c r="V696" i="48" s="1"/>
  <c r="AC696" i="48" s="1"/>
  <c r="CU907" i="48"/>
  <c r="CY907" i="48" s="1"/>
  <c r="DH907" i="48" s="1"/>
  <c r="V907" i="48" s="1"/>
  <c r="AC907" i="48" s="1"/>
  <c r="CU1096" i="48"/>
  <c r="CY1096" i="48" s="1"/>
  <c r="DH1096" i="48" s="1"/>
  <c r="V1096" i="48" s="1"/>
  <c r="AC1096" i="48" s="1"/>
  <c r="CU964" i="48"/>
  <c r="CY964" i="48" s="1"/>
  <c r="DH964" i="48" s="1"/>
  <c r="V964" i="48" s="1"/>
  <c r="AC964" i="48" s="1"/>
  <c r="CU616" i="48"/>
  <c r="CY616" i="48" s="1"/>
  <c r="DH616" i="48" s="1"/>
  <c r="V616" i="48" s="1"/>
  <c r="AC616" i="48" s="1"/>
  <c r="CU388" i="48"/>
  <c r="CY388" i="48" s="1"/>
  <c r="DH388" i="48" s="1"/>
  <c r="V388" i="48" s="1"/>
  <c r="AC388" i="48" s="1"/>
  <c r="CU1026" i="48"/>
  <c r="CY1026" i="48" s="1"/>
  <c r="DH1026" i="48" s="1"/>
  <c r="V1026" i="48" s="1"/>
  <c r="AC1026" i="48" s="1"/>
  <c r="AN1026" i="48" s="1"/>
  <c r="CU1280" i="48"/>
  <c r="CY1280" i="48" s="1"/>
  <c r="DH1280" i="48" s="1"/>
  <c r="V1280" i="48" s="1"/>
  <c r="CU1221" i="48"/>
  <c r="CY1221" i="48" s="1"/>
  <c r="DH1221" i="48" s="1"/>
  <c r="V1221" i="48" s="1"/>
  <c r="AC1221" i="48" s="1"/>
  <c r="CU457" i="48"/>
  <c r="CY457" i="48" s="1"/>
  <c r="DH457" i="48" s="1"/>
  <c r="V457" i="48" s="1"/>
  <c r="AC457" i="48" s="1"/>
  <c r="CU1085" i="48"/>
  <c r="CY1085" i="48" s="1"/>
  <c r="DH1085" i="48" s="1"/>
  <c r="V1085" i="48" s="1"/>
  <c r="AC1085" i="48" s="1"/>
  <c r="CU753" i="48"/>
  <c r="CY753" i="48" s="1"/>
  <c r="DH753" i="48" s="1"/>
  <c r="V753" i="48" s="1"/>
  <c r="AC753" i="48" s="1"/>
  <c r="CU750" i="48"/>
  <c r="CY750" i="48" s="1"/>
  <c r="DH750" i="48" s="1"/>
  <c r="V750" i="48" s="1"/>
  <c r="AC750" i="48" s="1"/>
  <c r="CU648" i="48"/>
  <c r="CY648" i="48" s="1"/>
  <c r="DH648" i="48" s="1"/>
  <c r="V648" i="48" s="1"/>
  <c r="AC648" i="48" s="1"/>
  <c r="CU1015" i="48"/>
  <c r="CY1015" i="48" s="1"/>
  <c r="DH1015" i="48" s="1"/>
  <c r="V1015" i="48" s="1"/>
  <c r="AC1015" i="48" s="1"/>
  <c r="CU504" i="48"/>
  <c r="CY504" i="48" s="1"/>
  <c r="DH504" i="48" s="1"/>
  <c r="V504" i="48" s="1"/>
  <c r="AC504" i="48" s="1"/>
  <c r="CU726" i="48"/>
  <c r="CY726" i="48" s="1"/>
  <c r="DH726" i="48" s="1"/>
  <c r="V726" i="48" s="1"/>
  <c r="AC726" i="48" s="1"/>
  <c r="CU1130" i="48"/>
  <c r="CY1130" i="48" s="1"/>
  <c r="DH1130" i="48" s="1"/>
  <c r="V1130" i="48" s="1"/>
  <c r="AC1130" i="48" s="1"/>
  <c r="CU480" i="48"/>
  <c r="CY480" i="48" s="1"/>
  <c r="DH480" i="48" s="1"/>
  <c r="V480" i="48" s="1"/>
  <c r="AC480" i="48" s="1"/>
  <c r="CU360" i="48"/>
  <c r="CY360" i="48" s="1"/>
  <c r="DH360" i="48" s="1"/>
  <c r="V360" i="48" s="1"/>
  <c r="AC360" i="48" s="1"/>
  <c r="CU536" i="48"/>
  <c r="CY536" i="48" s="1"/>
  <c r="DH536" i="48" s="1"/>
  <c r="V536" i="48" s="1"/>
  <c r="CU1182" i="48"/>
  <c r="CY1182" i="48" s="1"/>
  <c r="DH1182" i="48" s="1"/>
  <c r="V1182" i="48" s="1"/>
  <c r="AC1182" i="48" s="1"/>
  <c r="CU574" i="48"/>
  <c r="CY574" i="48" s="1"/>
  <c r="DH574" i="48" s="1"/>
  <c r="V574" i="48" s="1"/>
  <c r="AC574" i="48" s="1"/>
  <c r="CU887" i="48"/>
  <c r="CY887" i="48" s="1"/>
  <c r="DH887" i="48" s="1"/>
  <c r="V887" i="48" s="1"/>
  <c r="AC887" i="48" s="1"/>
  <c r="CU1245" i="48"/>
  <c r="CY1245" i="48" s="1"/>
  <c r="DH1245" i="48" s="1"/>
  <c r="V1245" i="48" s="1"/>
  <c r="AC1245" i="48" s="1"/>
  <c r="CU593" i="48"/>
  <c r="CY593" i="48" s="1"/>
  <c r="DH593" i="48" s="1"/>
  <c r="V593" i="48" s="1"/>
  <c r="AC593" i="48" s="1"/>
  <c r="CU307" i="48"/>
  <c r="CY307" i="48" s="1"/>
  <c r="DH307" i="48" s="1"/>
  <c r="V307" i="48" s="1"/>
  <c r="AC307" i="48" s="1"/>
  <c r="CU1134" i="48"/>
  <c r="CY1134" i="48" s="1"/>
  <c r="DH1134" i="48" s="1"/>
  <c r="V1134" i="48" s="1"/>
  <c r="AC1134" i="48" s="1"/>
  <c r="CU1306" i="48"/>
  <c r="CY1306" i="48" s="1"/>
  <c r="DH1306" i="48" s="1"/>
  <c r="V1306" i="48" s="1"/>
  <c r="AC1306" i="48" s="1"/>
  <c r="CU558" i="48"/>
  <c r="CY558" i="48" s="1"/>
  <c r="DH558" i="48" s="1"/>
  <c r="V558" i="48" s="1"/>
  <c r="AC558" i="48" s="1"/>
  <c r="CU871" i="48"/>
  <c r="CY871" i="48" s="1"/>
  <c r="DH871" i="48" s="1"/>
  <c r="V871" i="48" s="1"/>
  <c r="AC871" i="48" s="1"/>
  <c r="CU432" i="48"/>
  <c r="CY432" i="48" s="1"/>
  <c r="DH432" i="48" s="1"/>
  <c r="V432" i="48" s="1"/>
  <c r="AC432" i="48" s="1"/>
  <c r="CU1051" i="48"/>
  <c r="CY1051" i="48" s="1"/>
  <c r="DH1051" i="48" s="1"/>
  <c r="V1051" i="48" s="1"/>
  <c r="AC1051" i="48" s="1"/>
  <c r="CU795" i="48"/>
  <c r="CY795" i="48" s="1"/>
  <c r="DH795" i="48" s="1"/>
  <c r="V795" i="48" s="1"/>
  <c r="AC795" i="48" s="1"/>
  <c r="CU835" i="48"/>
  <c r="CY835" i="48" s="1"/>
  <c r="DH835" i="48" s="1"/>
  <c r="V835" i="48" s="1"/>
  <c r="AC835" i="48" s="1"/>
  <c r="CU1276" i="48"/>
  <c r="CY1276" i="48" s="1"/>
  <c r="DH1276" i="48" s="1"/>
  <c r="V1276" i="48" s="1"/>
  <c r="AC1276" i="48" s="1"/>
  <c r="CU338" i="48"/>
  <c r="CY338" i="48" s="1"/>
  <c r="DH338" i="48" s="1"/>
  <c r="V338" i="48" s="1"/>
  <c r="AC338" i="48" s="1"/>
  <c r="CU912" i="48"/>
  <c r="CY912" i="48" s="1"/>
  <c r="DH912" i="48" s="1"/>
  <c r="V912" i="48" s="1"/>
  <c r="AC912" i="48" s="1"/>
  <c r="CU957" i="48"/>
  <c r="CY957" i="48" s="1"/>
  <c r="DH957" i="48" s="1"/>
  <c r="V957" i="48" s="1"/>
  <c r="AC957" i="48" s="1"/>
  <c r="CU946" i="48"/>
  <c r="CY946" i="48" s="1"/>
  <c r="DH946" i="48" s="1"/>
  <c r="V946" i="48" s="1"/>
  <c r="AC946" i="48" s="1"/>
  <c r="CU1270" i="48"/>
  <c r="CY1270" i="48" s="1"/>
  <c r="DH1270" i="48" s="1"/>
  <c r="V1270" i="48" s="1"/>
  <c r="AC1270" i="48" s="1"/>
  <c r="CU1089" i="48"/>
  <c r="CY1089" i="48" s="1"/>
  <c r="DH1089" i="48" s="1"/>
  <c r="V1089" i="48" s="1"/>
  <c r="AC1089" i="48" s="1"/>
  <c r="CU416" i="48"/>
  <c r="CY416" i="48" s="1"/>
  <c r="DH416" i="48" s="1"/>
  <c r="V416" i="48" s="1"/>
  <c r="CU754" i="48"/>
  <c r="CY754" i="48" s="1"/>
  <c r="DH754" i="48" s="1"/>
  <c r="V754" i="48" s="1"/>
  <c r="AC754" i="48" s="1"/>
  <c r="CU930" i="48"/>
  <c r="CY930" i="48" s="1"/>
  <c r="DH930" i="48" s="1"/>
  <c r="V930" i="48" s="1"/>
  <c r="AC930" i="48" s="1"/>
  <c r="AN930" i="48" s="1"/>
  <c r="CU1009" i="48"/>
  <c r="CY1009" i="48" s="1"/>
  <c r="DH1009" i="48" s="1"/>
  <c r="V1009" i="48" s="1"/>
  <c r="AC1009" i="48" s="1"/>
  <c r="CU502" i="48"/>
  <c r="CY502" i="48" s="1"/>
  <c r="DH502" i="48" s="1"/>
  <c r="V502" i="48" s="1"/>
  <c r="AC502" i="48" s="1"/>
  <c r="CU984" i="48"/>
  <c r="CY984" i="48" s="1"/>
  <c r="DH984" i="48" s="1"/>
  <c r="V984" i="48" s="1"/>
  <c r="AC984" i="48" s="1"/>
  <c r="CU472" i="48"/>
  <c r="CY472" i="48" s="1"/>
  <c r="DH472" i="48" s="1"/>
  <c r="V472" i="48" s="1"/>
  <c r="AC472" i="48" s="1"/>
  <c r="CU351" i="48"/>
  <c r="CY351" i="48" s="1"/>
  <c r="DH351" i="48" s="1"/>
  <c r="V351" i="48" s="1"/>
  <c r="AC351" i="48" s="1"/>
  <c r="CU525" i="48"/>
  <c r="CY525" i="48" s="1"/>
  <c r="DH525" i="48" s="1"/>
  <c r="V525" i="48" s="1"/>
  <c r="AC525" i="48" s="1"/>
  <c r="CU1172" i="48"/>
  <c r="CY1172" i="48" s="1"/>
  <c r="DH1172" i="48" s="1"/>
  <c r="V1172" i="48" s="1"/>
  <c r="AC1172" i="48" s="1"/>
  <c r="CU583" i="48"/>
  <c r="CY583" i="48" s="1"/>
  <c r="DH583" i="48" s="1"/>
  <c r="V583" i="48" s="1"/>
  <c r="AC583" i="48" s="1"/>
  <c r="CU1251" i="48"/>
  <c r="CY1251" i="48" s="1"/>
  <c r="DH1251" i="48" s="1"/>
  <c r="V1251" i="48" s="1"/>
  <c r="AC1251" i="48" s="1"/>
  <c r="CU608" i="48"/>
  <c r="CY608" i="48" s="1"/>
  <c r="DH608" i="48" s="1"/>
  <c r="V608" i="48" s="1"/>
  <c r="AC608" i="48" s="1"/>
  <c r="CU321" i="48"/>
  <c r="CY321" i="48" s="1"/>
  <c r="DH321" i="48" s="1"/>
  <c r="V321" i="48" s="1"/>
  <c r="AC321" i="48" s="1"/>
  <c r="CU1292" i="48"/>
  <c r="CY1292" i="48" s="1"/>
  <c r="DH1292" i="48" s="1"/>
  <c r="V1292" i="48" s="1"/>
  <c r="AC1292" i="48" s="1"/>
  <c r="CU554" i="48"/>
  <c r="CY554" i="48" s="1"/>
  <c r="DH554" i="48" s="1"/>
  <c r="V554" i="48" s="1"/>
  <c r="AC554" i="48" s="1"/>
  <c r="CU774" i="48"/>
  <c r="CY774" i="48" s="1"/>
  <c r="DH774" i="48" s="1"/>
  <c r="V774" i="48" s="1"/>
  <c r="AC774" i="48" s="1"/>
  <c r="CU856" i="48"/>
  <c r="CY856" i="48" s="1"/>
  <c r="DH856" i="48" s="1"/>
  <c r="V856" i="48" s="1"/>
  <c r="AC856" i="48" s="1"/>
  <c r="CU1202" i="48"/>
  <c r="CY1202" i="48" s="1"/>
  <c r="DH1202" i="48" s="1"/>
  <c r="V1202" i="48" s="1"/>
  <c r="AC1202" i="48" s="1"/>
  <c r="CU842" i="48"/>
  <c r="CY842" i="48" s="1"/>
  <c r="DH842" i="48" s="1"/>
  <c r="V842" i="48" s="1"/>
  <c r="AC842" i="48" s="1"/>
  <c r="CU812" i="48"/>
  <c r="CY812" i="48" s="1"/>
  <c r="DH812" i="48" s="1"/>
  <c r="V812" i="48" s="1"/>
  <c r="AC812" i="48" s="1"/>
  <c r="CU438" i="48"/>
  <c r="CY438" i="48" s="1"/>
  <c r="DH438" i="48" s="1"/>
  <c r="V438" i="48" s="1"/>
  <c r="AC438" i="48" s="1"/>
  <c r="CU993" i="48"/>
  <c r="CY993" i="48" s="1"/>
  <c r="DH993" i="48" s="1"/>
  <c r="V993" i="48" s="1"/>
  <c r="AC993" i="48" s="1"/>
  <c r="CU793" i="48"/>
  <c r="CY793" i="48" s="1"/>
  <c r="DH793" i="48" s="1"/>
  <c r="V793" i="48" s="1"/>
  <c r="AC793" i="48" s="1"/>
  <c r="CU940" i="48"/>
  <c r="CY940" i="48" s="1"/>
  <c r="DH940" i="48" s="1"/>
  <c r="V940" i="48" s="1"/>
  <c r="AC940" i="48" s="1"/>
  <c r="CU954" i="48"/>
  <c r="CY954" i="48" s="1"/>
  <c r="DH954" i="48" s="1"/>
  <c r="V954" i="48" s="1"/>
  <c r="AC954" i="48" s="1"/>
  <c r="AN954" i="48" s="1"/>
  <c r="CU496" i="48"/>
  <c r="CY496" i="48" s="1"/>
  <c r="DH496" i="48" s="1"/>
  <c r="V496" i="48" s="1"/>
  <c r="AC496" i="48" s="1"/>
  <c r="CU1287" i="48"/>
  <c r="CY1287" i="48" s="1"/>
  <c r="DH1287" i="48" s="1"/>
  <c r="V1287" i="48" s="1"/>
  <c r="AC1287" i="48" s="1"/>
  <c r="CU1143" i="48"/>
  <c r="CY1143" i="48" s="1"/>
  <c r="DH1143" i="48" s="1"/>
  <c r="V1143" i="48" s="1"/>
  <c r="AC1143" i="48" s="1"/>
  <c r="CU622" i="48"/>
  <c r="CY622" i="48" s="1"/>
  <c r="DH622" i="48" s="1"/>
  <c r="V622" i="48" s="1"/>
  <c r="AC622" i="48" s="1"/>
  <c r="CU402" i="48"/>
  <c r="CY402" i="48" s="1"/>
  <c r="DH402" i="48" s="1"/>
  <c r="V402" i="48" s="1"/>
  <c r="AC402" i="48" s="1"/>
  <c r="AN402" i="48" s="1"/>
  <c r="CU483" i="48"/>
  <c r="CY483" i="48" s="1"/>
  <c r="DH483" i="48" s="1"/>
  <c r="V483" i="48" s="1"/>
  <c r="AC483" i="48" s="1"/>
  <c r="CU1304" i="48"/>
  <c r="CY1304" i="48" s="1"/>
  <c r="DH1304" i="48" s="1"/>
  <c r="V1304" i="48" s="1"/>
  <c r="CU1204" i="48"/>
  <c r="CY1204" i="48" s="1"/>
  <c r="DH1204" i="48" s="1"/>
  <c r="V1204" i="48" s="1"/>
  <c r="AC1204" i="48" s="1"/>
  <c r="CU822" i="48"/>
  <c r="CY822" i="48" s="1"/>
  <c r="DH822" i="48" s="1"/>
  <c r="V822" i="48" s="1"/>
  <c r="AC822" i="48" s="1"/>
  <c r="CU433" i="48"/>
  <c r="CY433" i="48" s="1"/>
  <c r="DH433" i="48" s="1"/>
  <c r="V433" i="48" s="1"/>
  <c r="AC433" i="48" s="1"/>
  <c r="CU800" i="48"/>
  <c r="CY800" i="48" s="1"/>
  <c r="DH800" i="48" s="1"/>
  <c r="V800" i="48" s="1"/>
  <c r="CU603" i="48"/>
  <c r="CY603" i="48" s="1"/>
  <c r="DH603" i="48" s="1"/>
  <c r="V603" i="48" s="1"/>
  <c r="AC603" i="48" s="1"/>
  <c r="CU1232" i="48"/>
  <c r="CY1232" i="48" s="1"/>
  <c r="DH1232" i="48" s="1"/>
  <c r="V1232" i="48" s="1"/>
  <c r="AC1232" i="48" s="1"/>
  <c r="CU1075" i="48"/>
  <c r="CY1075" i="48" s="1"/>
  <c r="DH1075" i="48" s="1"/>
  <c r="V1075" i="48" s="1"/>
  <c r="AC1075" i="48" s="1"/>
  <c r="CU1010" i="48"/>
  <c r="CY1010" i="48" s="1"/>
  <c r="DH1010" i="48" s="1"/>
  <c r="V1010" i="48" s="1"/>
  <c r="AC1010" i="48" s="1"/>
  <c r="CU894" i="48"/>
  <c r="CY894" i="48" s="1"/>
  <c r="DH894" i="48" s="1"/>
  <c r="V894" i="48" s="1"/>
  <c r="AC894" i="48" s="1"/>
  <c r="CU310" i="48"/>
  <c r="CY310" i="48" s="1"/>
  <c r="DH310" i="48" s="1"/>
  <c r="V310" i="48" s="1"/>
  <c r="AC310" i="48" s="1"/>
  <c r="CU1205" i="48"/>
  <c r="CY1205" i="48" s="1"/>
  <c r="DH1205" i="48" s="1"/>
  <c r="V1205" i="48" s="1"/>
  <c r="AC1205" i="48" s="1"/>
  <c r="CU706" i="48"/>
  <c r="CY706" i="48" s="1"/>
  <c r="DH706" i="48" s="1"/>
  <c r="V706" i="48" s="1"/>
  <c r="AC706" i="48" s="1"/>
  <c r="CU1107" i="48"/>
  <c r="CY1107" i="48" s="1"/>
  <c r="DH1107" i="48" s="1"/>
  <c r="V1107" i="48" s="1"/>
  <c r="AC1107" i="48" s="1"/>
  <c r="CU1279" i="48"/>
  <c r="CY1279" i="48" s="1"/>
  <c r="DH1279" i="48" s="1"/>
  <c r="V1279" i="48" s="1"/>
  <c r="AC1279" i="48" s="1"/>
  <c r="CU646" i="48"/>
  <c r="CY646" i="48" s="1"/>
  <c r="DH646" i="48" s="1"/>
  <c r="V646" i="48" s="1"/>
  <c r="AC646" i="48" s="1"/>
  <c r="CU1248" i="48"/>
  <c r="CY1248" i="48" s="1"/>
  <c r="DH1248" i="48" s="1"/>
  <c r="V1248" i="48" s="1"/>
  <c r="AC1248" i="48" s="1"/>
  <c r="CU1326" i="48"/>
  <c r="CY1326" i="48" s="1"/>
  <c r="DH1326" i="48" s="1"/>
  <c r="V1326" i="48" s="1"/>
  <c r="AC1326" i="48" s="1"/>
  <c r="CU1128" i="48"/>
  <c r="CY1128" i="48" s="1"/>
  <c r="DH1128" i="48" s="1"/>
  <c r="V1128" i="48" s="1"/>
  <c r="AC1128" i="48" s="1"/>
  <c r="CU346" i="48"/>
  <c r="CY346" i="48" s="1"/>
  <c r="DH346" i="48" s="1"/>
  <c r="V346" i="48" s="1"/>
  <c r="AC346" i="48" s="1"/>
  <c r="CU490" i="48"/>
  <c r="CY490" i="48" s="1"/>
  <c r="DH490" i="48" s="1"/>
  <c r="V490" i="48" s="1"/>
  <c r="AC490" i="48" s="1"/>
  <c r="CU442" i="48"/>
  <c r="CY442" i="48" s="1"/>
  <c r="DH442" i="48" s="1"/>
  <c r="CU1123" i="48"/>
  <c r="CY1123" i="48" s="1"/>
  <c r="DH1123" i="48" s="1"/>
  <c r="V1123" i="48" s="1"/>
  <c r="AC1123" i="48" s="1"/>
  <c r="CU620" i="48"/>
  <c r="CY620" i="48" s="1"/>
  <c r="DH620" i="48" s="1"/>
  <c r="V620" i="48" s="1"/>
  <c r="AC620" i="48" s="1"/>
  <c r="CU1087" i="48"/>
  <c r="CY1087" i="48" s="1"/>
  <c r="DH1087" i="48" s="1"/>
  <c r="V1087" i="48" s="1"/>
  <c r="AC1087" i="48" s="1"/>
  <c r="CU1012" i="48"/>
  <c r="CY1012" i="48" s="1"/>
  <c r="DH1012" i="48" s="1"/>
  <c r="V1012" i="48" s="1"/>
  <c r="AC1012" i="48" s="1"/>
  <c r="CU584" i="48"/>
  <c r="CY584" i="48" s="1"/>
  <c r="DH584" i="48" s="1"/>
  <c r="V584" i="48" s="1"/>
  <c r="AC584" i="48" s="1"/>
  <c r="CU808" i="48"/>
  <c r="CY808" i="48" s="1"/>
  <c r="DH808" i="48" s="1"/>
  <c r="V808" i="48" s="1"/>
  <c r="AC808" i="48" s="1"/>
  <c r="CU1327" i="48"/>
  <c r="CY1327" i="48" s="1"/>
  <c r="DH1327" i="48" s="1"/>
  <c r="V1327" i="48" s="1"/>
  <c r="AC1327" i="48" s="1"/>
  <c r="CU1112" i="48"/>
  <c r="CY1112" i="48" s="1"/>
  <c r="DH1112" i="48" s="1"/>
  <c r="V1112" i="48" s="1"/>
  <c r="AC1112" i="48" s="1"/>
  <c r="CU1277" i="48"/>
  <c r="CY1277" i="48" s="1"/>
  <c r="DH1277" i="48" s="1"/>
  <c r="V1277" i="48" s="1"/>
  <c r="AC1277" i="48" s="1"/>
  <c r="CU409" i="48"/>
  <c r="CY409" i="48" s="1"/>
  <c r="DH409" i="48" s="1"/>
  <c r="V409" i="48" s="1"/>
  <c r="AC409" i="48" s="1"/>
  <c r="CU487" i="48"/>
  <c r="CY487" i="48" s="1"/>
  <c r="DH487" i="48" s="1"/>
  <c r="V487" i="48" s="1"/>
  <c r="AC487" i="48" s="1"/>
  <c r="CU314" i="48"/>
  <c r="CY314" i="48" s="1"/>
  <c r="DH314" i="48" s="1"/>
  <c r="V314" i="48" s="1"/>
  <c r="AC314" i="48" s="1"/>
  <c r="CU546" i="48"/>
  <c r="CY546" i="48" s="1"/>
  <c r="DH546" i="48" s="1"/>
  <c r="V546" i="48" s="1"/>
  <c r="AC546" i="48" s="1"/>
  <c r="CU380" i="48"/>
  <c r="CY380" i="48" s="1"/>
  <c r="DH380" i="48" s="1"/>
  <c r="V380" i="48" s="1"/>
  <c r="AC380" i="48" s="1"/>
  <c r="CU476" i="48"/>
  <c r="CY476" i="48" s="1"/>
  <c r="DH476" i="48" s="1"/>
  <c r="V476" i="48" s="1"/>
  <c r="AC476" i="48" s="1"/>
  <c r="CU1088" i="48"/>
  <c r="CY1088" i="48" s="1"/>
  <c r="DH1088" i="48" s="1"/>
  <c r="V1088" i="48" s="1"/>
  <c r="AC1088" i="48" s="1"/>
  <c r="CU1063" i="48"/>
  <c r="CY1063" i="48" s="1"/>
  <c r="DH1063" i="48" s="1"/>
  <c r="V1063" i="48" s="1"/>
  <c r="AC1063" i="48" s="1"/>
  <c r="CU690" i="48"/>
  <c r="CY690" i="48" s="1"/>
  <c r="DH690" i="48" s="1"/>
  <c r="V690" i="48" s="1"/>
  <c r="AC690" i="48" s="1"/>
  <c r="AN690" i="48" s="1"/>
  <c r="CU811" i="48"/>
  <c r="CY811" i="48" s="1"/>
  <c r="DH811" i="48" s="1"/>
  <c r="V811" i="48" s="1"/>
  <c r="AC811" i="48" s="1"/>
  <c r="CU836" i="48"/>
  <c r="CY836" i="48" s="1"/>
  <c r="DH836" i="48" s="1"/>
  <c r="V836" i="48" s="1"/>
  <c r="AC836" i="48" s="1"/>
  <c r="CU473" i="48"/>
  <c r="CY473" i="48" s="1"/>
  <c r="DH473" i="48" s="1"/>
  <c r="V473" i="48" s="1"/>
  <c r="AC473" i="48" s="1"/>
  <c r="CU1057" i="48"/>
  <c r="CY1057" i="48" s="1"/>
  <c r="DH1057" i="48" s="1"/>
  <c r="V1057" i="48" s="1"/>
  <c r="AC1057" i="48" s="1"/>
  <c r="CU1224" i="48"/>
  <c r="CY1224" i="48" s="1"/>
  <c r="DH1224" i="48" s="1"/>
  <c r="V1224" i="48" s="1"/>
  <c r="AC1224" i="48" s="1"/>
  <c r="CU1144" i="48"/>
  <c r="CY1144" i="48" s="1"/>
  <c r="DH1144" i="48" s="1"/>
  <c r="V1144" i="48" s="1"/>
  <c r="AC1144" i="48" s="1"/>
  <c r="CU1328" i="48"/>
  <c r="CY1328" i="48" s="1"/>
  <c r="DH1328" i="48" s="1"/>
  <c r="V1328" i="48" s="1"/>
  <c r="AC1328" i="48" s="1"/>
  <c r="CU1136" i="48"/>
  <c r="CY1136" i="48" s="1"/>
  <c r="DH1136" i="48" s="1"/>
  <c r="V1136" i="48" s="1"/>
  <c r="CU1311" i="48"/>
  <c r="CY1311" i="48" s="1"/>
  <c r="DH1311" i="48" s="1"/>
  <c r="V1311" i="48" s="1"/>
  <c r="AC1311" i="48" s="1"/>
  <c r="CU687" i="48"/>
  <c r="CY687" i="48" s="1"/>
  <c r="DH687" i="48" s="1"/>
  <c r="V687" i="48" s="1"/>
  <c r="AC687" i="48" s="1"/>
  <c r="CU337" i="48"/>
  <c r="CY337" i="48" s="1"/>
  <c r="DH337" i="48" s="1"/>
  <c r="V337" i="48" s="1"/>
  <c r="AC337" i="48" s="1"/>
  <c r="CU335" i="48"/>
  <c r="CY335" i="48" s="1"/>
  <c r="DH335" i="48" s="1"/>
  <c r="V335" i="48" s="1"/>
  <c r="AC335" i="48" s="1"/>
  <c r="CU152" i="48"/>
  <c r="CY152" i="48" s="1"/>
  <c r="DH152" i="48" s="1"/>
  <c r="V152" i="48" s="1"/>
  <c r="CU500" i="48"/>
  <c r="CY500" i="48" s="1"/>
  <c r="DH500" i="48" s="1"/>
  <c r="V500" i="48" s="1"/>
  <c r="AC500" i="48" s="1"/>
  <c r="CU471" i="48"/>
  <c r="CY471" i="48" s="1"/>
  <c r="DH471" i="48" s="1"/>
  <c r="V471" i="48" s="1"/>
  <c r="AC471" i="48" s="1"/>
  <c r="CU1169" i="48"/>
  <c r="CY1169" i="48" s="1"/>
  <c r="DH1169" i="48" s="1"/>
  <c r="V1169" i="48" s="1"/>
  <c r="AC1169" i="48" s="1"/>
  <c r="CU597" i="48"/>
  <c r="CY597" i="48" s="1"/>
  <c r="DH597" i="48" s="1"/>
  <c r="V597" i="48" s="1"/>
  <c r="AC597" i="48" s="1"/>
  <c r="CU269" i="48"/>
  <c r="CY269" i="48" s="1"/>
  <c r="DH269" i="48" s="1"/>
  <c r="V269" i="48" s="1"/>
  <c r="AC269" i="48" s="1"/>
  <c r="CU815" i="48"/>
  <c r="CY815" i="48" s="1"/>
  <c r="DH815" i="48" s="1"/>
  <c r="V815" i="48" s="1"/>
  <c r="AC815" i="48" s="1"/>
  <c r="CU786" i="48"/>
  <c r="CY786" i="48" s="1"/>
  <c r="DH786" i="48" s="1"/>
  <c r="V786" i="48" s="1"/>
  <c r="AC786" i="48" s="1"/>
  <c r="AN786" i="48" s="1"/>
  <c r="CU509" i="48"/>
  <c r="CY509" i="48" s="1"/>
  <c r="DH509" i="48" s="1"/>
  <c r="V509" i="48" s="1"/>
  <c r="AC509" i="48" s="1"/>
  <c r="CU864" i="48"/>
  <c r="CY864" i="48" s="1"/>
  <c r="DH864" i="48" s="1"/>
  <c r="V864" i="48" s="1"/>
  <c r="AC864" i="48" s="1"/>
  <c r="CU231" i="48"/>
  <c r="CY231" i="48" s="1"/>
  <c r="DH231" i="48" s="1"/>
  <c r="V231" i="48" s="1"/>
  <c r="AC231" i="48" s="1"/>
  <c r="CU704" i="48"/>
  <c r="CY704" i="48" s="1"/>
  <c r="DH704" i="48" s="1"/>
  <c r="V704" i="48" s="1"/>
  <c r="CU958" i="48"/>
  <c r="CY958" i="48" s="1"/>
  <c r="DH958" i="48" s="1"/>
  <c r="V958" i="48" s="1"/>
  <c r="AC958" i="48" s="1"/>
  <c r="CU1028" i="48"/>
  <c r="CY1028" i="48" s="1"/>
  <c r="DH1028" i="48" s="1"/>
  <c r="V1028" i="48" s="1"/>
  <c r="AC1028" i="48" s="1"/>
  <c r="CU1228" i="48"/>
  <c r="CY1228" i="48" s="1"/>
  <c r="DH1228" i="48" s="1"/>
  <c r="V1228" i="48" s="1"/>
  <c r="AC1228" i="48" s="1"/>
  <c r="CU412" i="48"/>
  <c r="CY412" i="48" s="1"/>
  <c r="DH412" i="48" s="1"/>
  <c r="V412" i="48" s="1"/>
  <c r="AC412" i="48" s="1"/>
  <c r="CU1317" i="48"/>
  <c r="CY1317" i="48" s="1"/>
  <c r="DH1317" i="48" s="1"/>
  <c r="V1317" i="48" s="1"/>
  <c r="AC1317" i="48" s="1"/>
  <c r="CU717" i="48"/>
  <c r="CY717" i="48" s="1"/>
  <c r="DH717" i="48" s="1"/>
  <c r="V717" i="48" s="1"/>
  <c r="AC717" i="48" s="1"/>
  <c r="CU184" i="48"/>
  <c r="CY184" i="48" s="1"/>
  <c r="DH184" i="48" s="1"/>
  <c r="V184" i="48" s="1"/>
  <c r="AC184" i="48" s="1"/>
  <c r="CU1173" i="48"/>
  <c r="CY1173" i="48" s="1"/>
  <c r="DH1173" i="48" s="1"/>
  <c r="V1173" i="48" s="1"/>
  <c r="AC1173" i="48" s="1"/>
  <c r="CU883" i="48"/>
  <c r="CY883" i="48" s="1"/>
  <c r="DH883" i="48" s="1"/>
  <c r="V883" i="48" s="1"/>
  <c r="AC883" i="48" s="1"/>
  <c r="CU1250" i="48"/>
  <c r="CY1250" i="48" s="1"/>
  <c r="DH1250" i="48" s="1"/>
  <c r="V1250" i="48" s="1"/>
  <c r="AC1250" i="48" s="1"/>
  <c r="CU305" i="48"/>
  <c r="CY305" i="48" s="1"/>
  <c r="DH305" i="48" s="1"/>
  <c r="V305" i="48" s="1"/>
  <c r="AC305" i="48" s="1"/>
  <c r="CU1293" i="48"/>
  <c r="CY1293" i="48" s="1"/>
  <c r="DH1293" i="48" s="1"/>
  <c r="V1293" i="48" s="1"/>
  <c r="AC1293" i="48" s="1"/>
  <c r="CU256" i="48"/>
  <c r="CY256" i="48" s="1"/>
  <c r="DH256" i="48" s="1"/>
  <c r="V256" i="48" s="1"/>
  <c r="AC256" i="48" s="1"/>
  <c r="CU869" i="48"/>
  <c r="CY869" i="48" s="1"/>
  <c r="DH869" i="48" s="1"/>
  <c r="V869" i="48" s="1"/>
  <c r="AC869" i="48" s="1"/>
  <c r="CU1195" i="48"/>
  <c r="CY1195" i="48" s="1"/>
  <c r="DH1195" i="48" s="1"/>
  <c r="V1195" i="48" s="1"/>
  <c r="AC1195" i="48" s="1"/>
  <c r="CU814" i="48"/>
  <c r="CY814" i="48" s="1"/>
  <c r="DH814" i="48" s="1"/>
  <c r="V814" i="48" s="1"/>
  <c r="AC814" i="48" s="1"/>
  <c r="CU423" i="48"/>
  <c r="CY423" i="48" s="1"/>
  <c r="DH423" i="48" s="1"/>
  <c r="V423" i="48" s="1"/>
  <c r="AC423" i="48" s="1"/>
  <c r="CU1127" i="48"/>
  <c r="CY1127" i="48" s="1"/>
  <c r="DH1127" i="48" s="1"/>
  <c r="V1127" i="48" s="1"/>
  <c r="AC1127" i="48" s="1"/>
  <c r="CU796" i="48"/>
  <c r="CY796" i="48" s="1"/>
  <c r="DH796" i="48" s="1"/>
  <c r="V796" i="48" s="1"/>
  <c r="AC796" i="48" s="1"/>
  <c r="CU942" i="48"/>
  <c r="CY942" i="48" s="1"/>
  <c r="DH942" i="48" s="1"/>
  <c r="V942" i="48" s="1"/>
  <c r="AC942" i="48" s="1"/>
  <c r="CU365" i="48"/>
  <c r="CY365" i="48" s="1"/>
  <c r="DH365" i="48" s="1"/>
  <c r="V365" i="48" s="1"/>
  <c r="AC365" i="48" s="1"/>
  <c r="CU725" i="48"/>
  <c r="CY725" i="48" s="1"/>
  <c r="DH725" i="48" s="1"/>
  <c r="V725" i="48" s="1"/>
  <c r="AC725" i="48" s="1"/>
  <c r="CU905" i="48"/>
  <c r="CY905" i="48" s="1"/>
  <c r="DH905" i="48" s="1"/>
  <c r="V905" i="48" s="1"/>
  <c r="AC905" i="48" s="1"/>
  <c r="CU740" i="48"/>
  <c r="CY740" i="48" s="1"/>
  <c r="DH740" i="48" s="1"/>
  <c r="V740" i="48" s="1"/>
  <c r="AC740" i="48" s="1"/>
  <c r="CU886" i="48"/>
  <c r="CY886" i="48" s="1"/>
  <c r="DH886" i="48" s="1"/>
  <c r="V886" i="48" s="1"/>
  <c r="AC886" i="48" s="1"/>
  <c r="CU339" i="48"/>
  <c r="CY339" i="48" s="1"/>
  <c r="DH339" i="48" s="1"/>
  <c r="V339" i="48" s="1"/>
  <c r="AC339" i="48" s="1"/>
  <c r="CU505" i="48"/>
  <c r="CY505" i="48" s="1"/>
  <c r="DH505" i="48" s="1"/>
  <c r="V505" i="48" s="1"/>
  <c r="AC505" i="48" s="1"/>
  <c r="CU456" i="48"/>
  <c r="CY456" i="48" s="1"/>
  <c r="DH456" i="48" s="1"/>
  <c r="V456" i="48" s="1"/>
  <c r="AC456" i="48" s="1"/>
  <c r="CU890" i="48"/>
  <c r="CY890" i="48" s="1"/>
  <c r="DH890" i="48" s="1"/>
  <c r="V890" i="48" s="1"/>
  <c r="AC890" i="48" s="1"/>
  <c r="CU858" i="48"/>
  <c r="CY858" i="48" s="1"/>
  <c r="DH858" i="48" s="1"/>
  <c r="V858" i="48" s="1"/>
  <c r="AC858" i="48" s="1"/>
  <c r="AN858" i="48" s="1"/>
  <c r="CU817" i="48"/>
  <c r="CY817" i="48" s="1"/>
  <c r="DH817" i="48" s="1"/>
  <c r="V817" i="48" s="1"/>
  <c r="AC817" i="48" s="1"/>
  <c r="CU1152" i="48"/>
  <c r="CY1152" i="48" s="1"/>
  <c r="DH1152" i="48" s="1"/>
  <c r="V1152" i="48" s="1"/>
  <c r="AC1152" i="48" s="1"/>
  <c r="CU395" i="48"/>
  <c r="CY395" i="48" s="1"/>
  <c r="DH395" i="48" s="1"/>
  <c r="CU803" i="48"/>
  <c r="CY803" i="48" s="1"/>
  <c r="DH803" i="48" s="1"/>
  <c r="V803" i="48" s="1"/>
  <c r="CU1067" i="48"/>
  <c r="CY1067" i="48" s="1"/>
  <c r="DH1067" i="48" s="1"/>
  <c r="V1067" i="48" s="1"/>
  <c r="CU899" i="48"/>
  <c r="CY899" i="48" s="1"/>
  <c r="DH899" i="48" s="1"/>
  <c r="CU203" i="48"/>
  <c r="CY203" i="48" s="1"/>
  <c r="DH203" i="48" s="1"/>
  <c r="CU1331" i="48"/>
  <c r="CY1331" i="48" s="1"/>
  <c r="DH1331" i="48" s="1"/>
  <c r="CU1163" i="48"/>
  <c r="CY1163" i="48" s="1"/>
  <c r="DH1163" i="48" s="1"/>
  <c r="V1163" i="48" s="1"/>
  <c r="CU275" i="48"/>
  <c r="CY275" i="48" s="1"/>
  <c r="DH275" i="48" s="1"/>
  <c r="CU1115" i="48"/>
  <c r="CY1115" i="48" s="1"/>
  <c r="DH1115" i="48" s="1"/>
  <c r="CU563" i="48"/>
  <c r="CY563" i="48" s="1"/>
  <c r="DH563" i="48" s="1"/>
  <c r="V563" i="48" s="1"/>
  <c r="CU995" i="48"/>
  <c r="CY995" i="48" s="1"/>
  <c r="DH995" i="48" s="1"/>
  <c r="V995" i="48" s="1"/>
  <c r="CU1259" i="48"/>
  <c r="CY1259" i="48" s="1"/>
  <c r="DH1259" i="48" s="1"/>
  <c r="CU923" i="48"/>
  <c r="CY923" i="48" s="1"/>
  <c r="DH923" i="48" s="1"/>
  <c r="CU947" i="48"/>
  <c r="CY947" i="48" s="1"/>
  <c r="DH947" i="48" s="1"/>
  <c r="V947" i="48" s="1"/>
  <c r="CU251" i="48"/>
  <c r="CY251" i="48" s="1"/>
  <c r="DH251" i="48" s="1"/>
  <c r="V251" i="48" s="1"/>
  <c r="CU1283" i="48"/>
  <c r="CY1283" i="48" s="1"/>
  <c r="DH1283" i="48" s="1"/>
  <c r="CU107" i="48"/>
  <c r="CY107" i="48" s="1"/>
  <c r="DH107" i="48" s="1"/>
  <c r="CU1139" i="48"/>
  <c r="CY1139" i="48" s="1"/>
  <c r="DH1139" i="48" s="1"/>
  <c r="V1139" i="48" s="1"/>
  <c r="CU83" i="48"/>
  <c r="CY83" i="48" s="1"/>
  <c r="DH83" i="48" s="1"/>
  <c r="V83" i="48" s="1"/>
  <c r="CU299" i="48"/>
  <c r="CY299" i="48" s="1"/>
  <c r="DH299" i="48" s="1"/>
  <c r="CU39" i="48"/>
  <c r="CY39" i="48" s="1"/>
  <c r="DH39" i="48" s="1"/>
  <c r="V39" i="48" s="1"/>
  <c r="DJ731" i="48"/>
  <c r="CR107" i="48"/>
  <c r="AC1102" i="48"/>
  <c r="AC163" i="48"/>
  <c r="AD163" i="48" s="1"/>
  <c r="AC238" i="48"/>
  <c r="AC216" i="48"/>
  <c r="AC522" i="48"/>
  <c r="AN522" i="48" s="1"/>
  <c r="AC239" i="48"/>
  <c r="AC436" i="48"/>
  <c r="AC771" i="48"/>
  <c r="AC1181" i="48"/>
  <c r="AC74" i="48"/>
  <c r="AC124" i="48"/>
  <c r="AC104" i="48"/>
  <c r="AC247" i="48"/>
  <c r="AC379" i="48"/>
  <c r="AC1033" i="48"/>
  <c r="AC1007" i="48"/>
  <c r="AC340" i="48"/>
  <c r="AC1203" i="48"/>
  <c r="AC906" i="48"/>
  <c r="AN906" i="48" s="1"/>
  <c r="AC1080" i="48"/>
  <c r="AC528" i="48"/>
  <c r="AC873" i="48"/>
  <c r="AC798" i="48"/>
  <c r="AC363" i="48"/>
  <c r="AC362" i="48"/>
  <c r="AC656" i="48"/>
  <c r="AC344" i="48"/>
  <c r="AC1184" i="48"/>
  <c r="AC224" i="48"/>
  <c r="AC992" i="48"/>
  <c r="AC296" i="48"/>
  <c r="DH43" i="48"/>
  <c r="DH55" i="48"/>
  <c r="DH49" i="48"/>
  <c r="DH42" i="48"/>
  <c r="DH54" i="48"/>
  <c r="DH48" i="48"/>
  <c r="AK144" i="48" l="1"/>
  <c r="AJ144" i="48"/>
  <c r="AK140" i="48"/>
  <c r="AJ140" i="48"/>
  <c r="AK148" i="48"/>
  <c r="AJ148" i="48"/>
  <c r="AK141" i="48"/>
  <c r="AJ141" i="48"/>
  <c r="AK150" i="48"/>
  <c r="AJ150" i="48"/>
  <c r="AK145" i="48"/>
  <c r="AJ145" i="48"/>
  <c r="AK147" i="48"/>
  <c r="AJ147" i="48"/>
  <c r="AK151" i="48"/>
  <c r="AJ151" i="48"/>
  <c r="AK142" i="48"/>
  <c r="AJ142" i="48"/>
  <c r="AK153" i="48"/>
  <c r="AJ153" i="48"/>
  <c r="AK146" i="48"/>
  <c r="AJ146" i="48"/>
  <c r="AK149" i="48"/>
  <c r="AJ149" i="48"/>
  <c r="AK143" i="48"/>
  <c r="AJ143" i="48"/>
  <c r="V40" i="48"/>
  <c r="DJ40" i="48"/>
  <c r="AC896" i="48"/>
  <c r="AC785" i="48"/>
  <c r="AC713" i="48"/>
  <c r="AC1280" i="48"/>
  <c r="AN1280" i="48" s="1"/>
  <c r="AC728" i="48"/>
  <c r="AD728" i="48" s="1"/>
  <c r="AL720" i="48"/>
  <c r="AC1160" i="48"/>
  <c r="AG1160" i="48" s="1"/>
  <c r="AC1208" i="48"/>
  <c r="AN1208" i="48" s="1"/>
  <c r="AC368" i="48"/>
  <c r="AG368" i="48" s="1"/>
  <c r="AC65" i="48"/>
  <c r="AN720" i="48"/>
  <c r="AD527" i="48"/>
  <c r="AD249" i="48"/>
  <c r="AD344" i="48"/>
  <c r="AD1112" i="48"/>
  <c r="AD144" i="48"/>
  <c r="AL1066" i="48"/>
  <c r="AD1162" i="48"/>
  <c r="AD777" i="48"/>
  <c r="AD538" i="48"/>
  <c r="AC752" i="48"/>
  <c r="AD752" i="48" s="1"/>
  <c r="AC377" i="48"/>
  <c r="DJ875" i="48"/>
  <c r="AC161" i="48"/>
  <c r="AC392" i="48"/>
  <c r="AC416" i="48"/>
  <c r="AC1304" i="48"/>
  <c r="AD970" i="48"/>
  <c r="AD896" i="48"/>
  <c r="AD739" i="48"/>
  <c r="AN234" i="48"/>
  <c r="AC944" i="48"/>
  <c r="AL944" i="48" s="1"/>
  <c r="AC536" i="48"/>
  <c r="AL536" i="48" s="1"/>
  <c r="AD346" i="48"/>
  <c r="AC800" i="48"/>
  <c r="AC152" i="48"/>
  <c r="AG152" i="48" s="1"/>
  <c r="AC80" i="48"/>
  <c r="AN80" i="48" s="1"/>
  <c r="AC137" i="48"/>
  <c r="AD946" i="48"/>
  <c r="AD274" i="48"/>
  <c r="AD632" i="48"/>
  <c r="AD560" i="48"/>
  <c r="DJ1211" i="48"/>
  <c r="AD513" i="48"/>
  <c r="DJ179" i="48"/>
  <c r="DJ251" i="48"/>
  <c r="AD921" i="48"/>
  <c r="AC1265" i="48"/>
  <c r="AC1064" i="48"/>
  <c r="AN1064" i="48" s="1"/>
  <c r="AD706" i="48"/>
  <c r="AD608" i="48"/>
  <c r="AC641" i="48"/>
  <c r="AD730" i="48"/>
  <c r="AD178" i="48"/>
  <c r="DJ1163" i="48"/>
  <c r="AD1257" i="48"/>
  <c r="AD1328" i="48"/>
  <c r="AD451" i="48"/>
  <c r="AD883" i="48"/>
  <c r="AD922" i="48"/>
  <c r="AD531" i="48"/>
  <c r="AD331" i="48"/>
  <c r="AD1232" i="48"/>
  <c r="AD571" i="48"/>
  <c r="AD441" i="48"/>
  <c r="AD1088" i="48"/>
  <c r="AD321" i="48"/>
  <c r="AD1329" i="48"/>
  <c r="AD584" i="48"/>
  <c r="AD585" i="48"/>
  <c r="AD1233" i="48"/>
  <c r="V226" i="48"/>
  <c r="AC226" i="48" s="1"/>
  <c r="AG226" i="48" s="1"/>
  <c r="DJ227" i="48"/>
  <c r="AC1193" i="48"/>
  <c r="AD151" i="48"/>
  <c r="AD464" i="48"/>
  <c r="AD466" i="48"/>
  <c r="AD1016" i="48"/>
  <c r="AD140" i="48"/>
  <c r="AD176" i="48"/>
  <c r="AD148" i="48"/>
  <c r="AD872" i="48"/>
  <c r="AD824" i="48"/>
  <c r="AD609" i="48"/>
  <c r="AD526" i="48"/>
  <c r="AD532" i="48"/>
  <c r="AD418" i="48"/>
  <c r="AD489" i="48"/>
  <c r="AD143" i="48"/>
  <c r="AD534" i="48"/>
  <c r="AD128" i="48"/>
  <c r="AD992" i="48"/>
  <c r="AC1040" i="48"/>
  <c r="AG1040" i="48" s="1"/>
  <c r="AC449" i="48"/>
  <c r="AC968" i="48"/>
  <c r="AL968" i="48" s="1"/>
  <c r="AD146" i="48"/>
  <c r="AD530" i="48"/>
  <c r="DJ467" i="48"/>
  <c r="AD1066" i="48"/>
  <c r="AD1114" i="48"/>
  <c r="AD105" i="48"/>
  <c r="AD898" i="48"/>
  <c r="AD656" i="48"/>
  <c r="AN1066" i="48"/>
  <c r="AD658" i="48"/>
  <c r="DJ539" i="48"/>
  <c r="DJ851" i="48"/>
  <c r="AG1127" i="48"/>
  <c r="AD1127" i="48"/>
  <c r="AG717" i="48"/>
  <c r="AD717" i="48"/>
  <c r="AG864" i="48"/>
  <c r="AD864" i="48"/>
  <c r="AG314" i="48"/>
  <c r="AD314" i="48"/>
  <c r="AG1012" i="48"/>
  <c r="AD1012" i="48"/>
  <c r="AG894" i="48"/>
  <c r="AD894" i="48"/>
  <c r="AG622" i="48"/>
  <c r="AD622" i="48"/>
  <c r="AG1134" i="48"/>
  <c r="AD1134" i="48"/>
  <c r="AG360" i="48"/>
  <c r="AD360" i="48"/>
  <c r="AG964" i="48"/>
  <c r="AD964" i="48"/>
  <c r="AG860" i="48"/>
  <c r="AD860" i="48"/>
  <c r="AG390" i="48"/>
  <c r="AD390" i="48"/>
  <c r="AN355" i="48"/>
  <c r="AD355" i="48"/>
  <c r="AG511" i="48"/>
  <c r="AD511" i="48"/>
  <c r="AG1268" i="48"/>
  <c r="AD1268" i="48"/>
  <c r="AG332" i="48"/>
  <c r="AD332" i="48"/>
  <c r="AG195" i="48"/>
  <c r="AD195" i="48"/>
  <c r="AG169" i="48"/>
  <c r="AD169" i="48"/>
  <c r="AG71" i="48"/>
  <c r="AD71" i="48"/>
  <c r="AG503" i="48"/>
  <c r="AD503" i="48"/>
  <c r="AG915" i="48"/>
  <c r="AD915" i="48"/>
  <c r="AG746" i="48"/>
  <c r="AD746" i="48"/>
  <c r="AG772" i="48"/>
  <c r="AD772" i="48"/>
  <c r="AG428" i="48"/>
  <c r="AD428" i="48"/>
  <c r="AG364" i="48"/>
  <c r="AD364" i="48"/>
  <c r="AG1249" i="48"/>
  <c r="AD1249" i="48"/>
  <c r="AD322" i="48"/>
  <c r="AG749" i="48"/>
  <c r="AD749" i="48"/>
  <c r="AG624" i="48"/>
  <c r="AD624" i="48"/>
  <c r="AG194" i="48"/>
  <c r="AD194" i="48"/>
  <c r="AG193" i="48"/>
  <c r="AD193" i="48"/>
  <c r="AG77" i="48"/>
  <c r="AD77" i="48"/>
  <c r="AG843" i="48"/>
  <c r="AD843" i="48"/>
  <c r="AG650" i="48"/>
  <c r="AD650" i="48"/>
  <c r="AG989" i="48"/>
  <c r="AD989" i="48"/>
  <c r="AG454" i="48"/>
  <c r="AD454" i="48"/>
  <c r="AG938" i="48"/>
  <c r="AD938" i="48"/>
  <c r="AG1246" i="48"/>
  <c r="AD1246" i="48"/>
  <c r="AG1175" i="48"/>
  <c r="AD1175" i="48"/>
  <c r="AG1084" i="48"/>
  <c r="AD1084" i="48"/>
  <c r="AN1291" i="48"/>
  <c r="AD1291" i="48"/>
  <c r="AN523" i="48"/>
  <c r="AD523" i="48"/>
  <c r="AG1004" i="48"/>
  <c r="AD1004" i="48"/>
  <c r="AN1171" i="48"/>
  <c r="AD1171" i="48"/>
  <c r="AG1197" i="48"/>
  <c r="AD1197" i="48"/>
  <c r="AG1078" i="48"/>
  <c r="AD1078" i="48"/>
  <c r="AG333" i="48"/>
  <c r="AD333" i="48"/>
  <c r="AG775" i="48"/>
  <c r="AD775" i="48"/>
  <c r="AG202" i="48"/>
  <c r="AD202" i="48"/>
  <c r="AG188" i="48"/>
  <c r="AD188" i="48"/>
  <c r="AG96" i="48"/>
  <c r="AD96" i="48"/>
  <c r="AD283" i="48"/>
  <c r="AG316" i="48"/>
  <c r="AD316" i="48"/>
  <c r="AG1254" i="48"/>
  <c r="AD1254" i="48"/>
  <c r="AG1227" i="48"/>
  <c r="AD1227" i="48"/>
  <c r="AG199" i="48"/>
  <c r="AD199" i="48"/>
  <c r="AG908" i="48"/>
  <c r="AD908" i="48"/>
  <c r="AG747" i="48"/>
  <c r="AD747" i="48"/>
  <c r="AG367" i="48"/>
  <c r="AD367" i="48"/>
  <c r="AG960" i="48"/>
  <c r="AD960" i="48"/>
  <c r="AG791" i="48"/>
  <c r="AD791" i="48"/>
  <c r="AN475" i="48"/>
  <c r="AD475" i="48"/>
  <c r="AG414" i="48"/>
  <c r="AD414" i="48"/>
  <c r="AG435" i="48"/>
  <c r="AD435" i="48"/>
  <c r="AD524" i="48"/>
  <c r="AG741" i="48"/>
  <c r="AD741" i="48"/>
  <c r="AG1029" i="48"/>
  <c r="AD1029" i="48"/>
  <c r="AN595" i="48"/>
  <c r="AD595" i="48"/>
  <c r="AG1301" i="48"/>
  <c r="AD1301" i="48"/>
  <c r="AG649" i="48"/>
  <c r="AD649" i="48"/>
  <c r="AG382" i="48"/>
  <c r="AD382" i="48"/>
  <c r="AG95" i="48"/>
  <c r="AD95" i="48"/>
  <c r="AD149" i="48"/>
  <c r="AG627" i="48"/>
  <c r="AD627" i="48"/>
  <c r="AG389" i="48"/>
  <c r="AD389" i="48"/>
  <c r="AG284" i="48"/>
  <c r="AD284" i="48"/>
  <c r="AG1250" i="48"/>
  <c r="AD1250" i="48"/>
  <c r="AG1028" i="48"/>
  <c r="AD1028" i="48"/>
  <c r="AG500" i="48"/>
  <c r="AD500" i="48"/>
  <c r="AG836" i="48"/>
  <c r="AD836" i="48"/>
  <c r="AG1107" i="48"/>
  <c r="AD1107" i="48"/>
  <c r="AG603" i="48"/>
  <c r="AD603" i="48"/>
  <c r="AG438" i="48"/>
  <c r="AD438" i="48"/>
  <c r="AG1172" i="48"/>
  <c r="AD1172" i="48"/>
  <c r="AG1276" i="48"/>
  <c r="AD1276" i="48"/>
  <c r="AG504" i="48"/>
  <c r="AD504" i="48"/>
  <c r="AG1154" i="48"/>
  <c r="AD1154" i="48"/>
  <c r="AG437" i="48"/>
  <c r="AD437" i="48"/>
  <c r="AG1201" i="48"/>
  <c r="AD1201" i="48"/>
  <c r="AG1196" i="48"/>
  <c r="AD1196" i="48"/>
  <c r="AG1295" i="48"/>
  <c r="AD1295" i="48"/>
  <c r="AD499" i="48"/>
  <c r="AG1106" i="48"/>
  <c r="AD1106" i="48"/>
  <c r="AG1058" i="48"/>
  <c r="AD1058" i="48"/>
  <c r="AG868" i="48"/>
  <c r="AD868" i="48"/>
  <c r="AG598" i="48"/>
  <c r="AD598" i="48"/>
  <c r="AD1258" i="48"/>
  <c r="AG477" i="48"/>
  <c r="AD477" i="48"/>
  <c r="AG722" i="48"/>
  <c r="AD722" i="48"/>
  <c r="AG1014" i="48"/>
  <c r="AD1014" i="48"/>
  <c r="AG1229" i="48"/>
  <c r="AD1229" i="48"/>
  <c r="AG628" i="48"/>
  <c r="AD628" i="48"/>
  <c r="AN691" i="48"/>
  <c r="AD691" i="48"/>
  <c r="AG361" i="48"/>
  <c r="AD361" i="48"/>
  <c r="AG452" i="48"/>
  <c r="AD452" i="48"/>
  <c r="AG865" i="48"/>
  <c r="AD865" i="48"/>
  <c r="AG315" i="48"/>
  <c r="AD315" i="48"/>
  <c r="AG1253" i="48"/>
  <c r="AD1253" i="48"/>
  <c r="AG385" i="48"/>
  <c r="AD385" i="48"/>
  <c r="AG654" i="48"/>
  <c r="AD654" i="48"/>
  <c r="AG1034" i="48"/>
  <c r="AD1034" i="48"/>
  <c r="AG630" i="48"/>
  <c r="AD630" i="48"/>
  <c r="AG911" i="48"/>
  <c r="AD911" i="48"/>
  <c r="AG1124" i="48"/>
  <c r="AD1124" i="48"/>
  <c r="AG222" i="48"/>
  <c r="AD222" i="48"/>
  <c r="AG262" i="48"/>
  <c r="AD262" i="48"/>
  <c r="AG197" i="48"/>
  <c r="AD197" i="48"/>
  <c r="AG740" i="48"/>
  <c r="AD740" i="48"/>
  <c r="AG79" i="48"/>
  <c r="AD79" i="48"/>
  <c r="AG792" i="48"/>
  <c r="AD792" i="48"/>
  <c r="AG888" i="48"/>
  <c r="AD888" i="48"/>
  <c r="AG1223" i="48"/>
  <c r="AD1223" i="48"/>
  <c r="AG651" i="48"/>
  <c r="AD651" i="48"/>
  <c r="AG1226" i="48"/>
  <c r="AD1226" i="48"/>
  <c r="AG214" i="48"/>
  <c r="AD214" i="48"/>
  <c r="AG268" i="48"/>
  <c r="AD268" i="48"/>
  <c r="AG164" i="48"/>
  <c r="AD164" i="48"/>
  <c r="AG99" i="48"/>
  <c r="AD99" i="48"/>
  <c r="AG1271" i="48"/>
  <c r="AD1271" i="48"/>
  <c r="AG770" i="48"/>
  <c r="AD770" i="48"/>
  <c r="AG218" i="48"/>
  <c r="AD218" i="48"/>
  <c r="AG404" i="48"/>
  <c r="AD404" i="48"/>
  <c r="AG621" i="48"/>
  <c r="AD621" i="48"/>
  <c r="AG290" i="48"/>
  <c r="AD290" i="48"/>
  <c r="AG1131" i="48"/>
  <c r="AD1131" i="48"/>
  <c r="AG841" i="48"/>
  <c r="AD841" i="48"/>
  <c r="AG1055" i="48"/>
  <c r="AD1055" i="48"/>
  <c r="AG768" i="48"/>
  <c r="AD768" i="48"/>
  <c r="AG484" i="48"/>
  <c r="AD484" i="48"/>
  <c r="AG75" i="48"/>
  <c r="AD75" i="48"/>
  <c r="AD1330" i="48"/>
  <c r="AG842" i="48"/>
  <c r="AD842" i="48"/>
  <c r="AN907" i="48"/>
  <c r="AD907" i="48"/>
  <c r="AD129" i="48"/>
  <c r="AG743" i="48"/>
  <c r="AD743" i="48"/>
  <c r="AG861" i="48"/>
  <c r="AD861" i="48"/>
  <c r="AG505" i="48"/>
  <c r="AD505" i="48"/>
  <c r="AG725" i="48"/>
  <c r="AD725" i="48"/>
  <c r="AG1220" i="48"/>
  <c r="AD1220" i="48"/>
  <c r="AG838" i="48"/>
  <c r="AD838" i="48"/>
  <c r="AG790" i="48"/>
  <c r="AD790" i="48"/>
  <c r="AG578" i="48"/>
  <c r="AD578" i="48"/>
  <c r="AD528" i="48"/>
  <c r="AG1153" i="48"/>
  <c r="AD1153" i="48"/>
  <c r="AG1294" i="48"/>
  <c r="AD1294" i="48"/>
  <c r="AG507" i="48"/>
  <c r="AD507" i="48"/>
  <c r="AG1323" i="48"/>
  <c r="AD1323" i="48"/>
  <c r="AG1302" i="48"/>
  <c r="AD1302" i="48"/>
  <c r="AG889" i="48"/>
  <c r="AD889" i="48"/>
  <c r="AG1086" i="48"/>
  <c r="AD1086" i="48"/>
  <c r="AG698" i="48"/>
  <c r="AD698" i="48"/>
  <c r="AD130" i="48"/>
  <c r="AG309" i="48"/>
  <c r="AD309" i="48"/>
  <c r="AG771" i="48"/>
  <c r="AD771" i="48"/>
  <c r="AN979" i="48"/>
  <c r="AD979" i="48"/>
  <c r="AN139" i="48"/>
  <c r="AD139" i="48"/>
  <c r="AG335" i="48"/>
  <c r="AD335" i="48"/>
  <c r="AG823" i="48"/>
  <c r="AD823" i="48"/>
  <c r="AG311" i="48"/>
  <c r="AD311" i="48"/>
  <c r="AG1082" i="48"/>
  <c r="AD1082" i="48"/>
  <c r="AG191" i="48"/>
  <c r="AD191" i="48"/>
  <c r="AG223" i="48"/>
  <c r="AD223" i="48"/>
  <c r="AG298" i="48"/>
  <c r="AD298" i="48"/>
  <c r="AG694" i="48"/>
  <c r="AD694" i="48"/>
  <c r="AN211" i="48"/>
  <c r="AD211" i="48"/>
  <c r="AG604" i="48"/>
  <c r="AD604" i="48"/>
  <c r="AG988" i="48"/>
  <c r="AD988" i="48"/>
  <c r="AG1008" i="48"/>
  <c r="AD1008" i="48"/>
  <c r="AD533" i="48"/>
  <c r="AG1079" i="48"/>
  <c r="AD1079" i="48"/>
  <c r="AG744" i="48"/>
  <c r="AD744" i="48"/>
  <c r="AG549" i="48"/>
  <c r="AD549" i="48"/>
  <c r="AG339" i="48"/>
  <c r="AD339" i="48"/>
  <c r="AG269" i="48"/>
  <c r="AD269" i="48"/>
  <c r="AD754" i="48"/>
  <c r="AG220" i="48"/>
  <c r="AD220" i="48"/>
  <c r="AG485" i="48"/>
  <c r="AD485" i="48"/>
  <c r="AG171" i="48"/>
  <c r="AD171" i="48"/>
  <c r="AG837" i="48"/>
  <c r="AD837" i="48"/>
  <c r="AD826" i="48"/>
  <c r="AG653" i="48"/>
  <c r="AD653" i="48"/>
  <c r="AG165" i="48"/>
  <c r="AD165" i="48"/>
  <c r="AG240" i="48"/>
  <c r="AD240" i="48"/>
  <c r="AG261" i="48"/>
  <c r="AD261" i="48"/>
  <c r="AG357" i="48"/>
  <c r="AD357" i="48"/>
  <c r="AG342" i="48"/>
  <c r="AD342" i="48"/>
  <c r="AG987" i="48"/>
  <c r="AD987" i="48"/>
  <c r="AG461" i="48"/>
  <c r="AD461" i="48"/>
  <c r="AG846" i="48"/>
  <c r="AD846" i="48"/>
  <c r="AG647" i="48"/>
  <c r="AD647" i="48"/>
  <c r="AG1125" i="48"/>
  <c r="AD1125" i="48"/>
  <c r="AG189" i="48"/>
  <c r="AD189" i="48"/>
  <c r="AG1054" i="48"/>
  <c r="AD1054" i="48"/>
  <c r="AG313" i="48"/>
  <c r="AD313" i="48"/>
  <c r="AG863" i="48"/>
  <c r="AD863" i="48"/>
  <c r="AG985" i="48"/>
  <c r="AD985" i="48"/>
  <c r="AG913" i="48"/>
  <c r="AD913" i="48"/>
  <c r="AG1225" i="48"/>
  <c r="AD1225" i="48"/>
  <c r="AG933" i="48"/>
  <c r="AD933" i="48"/>
  <c r="AG820" i="48"/>
  <c r="AD820" i="48"/>
  <c r="AG937" i="48"/>
  <c r="AD937" i="48"/>
  <c r="AG816" i="48"/>
  <c r="AD816" i="48"/>
  <c r="AG773" i="48"/>
  <c r="AD773" i="48"/>
  <c r="AG460" i="48"/>
  <c r="AD460" i="48"/>
  <c r="AG384" i="48"/>
  <c r="AD384" i="48"/>
  <c r="AG1111" i="48"/>
  <c r="AD1111" i="48"/>
  <c r="AG1159" i="48"/>
  <c r="AD1159" i="48"/>
  <c r="AG318" i="48"/>
  <c r="AD318" i="48"/>
  <c r="AG891" i="48"/>
  <c r="AD891" i="48"/>
  <c r="AG1083" i="48"/>
  <c r="AD1083" i="48"/>
  <c r="AD1282" i="48"/>
  <c r="AG813" i="48"/>
  <c r="AD813" i="48"/>
  <c r="AD776" i="48"/>
  <c r="AG606" i="48"/>
  <c r="AD606" i="48"/>
  <c r="AG1180" i="48"/>
  <c r="AD1180" i="48"/>
  <c r="AG286" i="48"/>
  <c r="AD286" i="48"/>
  <c r="AG1076" i="48"/>
  <c r="AD1076" i="48"/>
  <c r="AG1031" i="48"/>
  <c r="AD1031" i="48"/>
  <c r="AG967" i="48"/>
  <c r="AD967" i="48"/>
  <c r="AG343" i="48"/>
  <c r="AD343" i="48"/>
  <c r="AG243" i="48"/>
  <c r="AD243" i="48"/>
  <c r="AG271" i="48"/>
  <c r="AD271" i="48"/>
  <c r="AD248" i="48"/>
  <c r="AG295" i="48"/>
  <c r="AD295" i="48"/>
  <c r="AG72" i="48"/>
  <c r="AD72" i="48"/>
  <c r="AD1184" i="48"/>
  <c r="AC569" i="48"/>
  <c r="AD141" i="48"/>
  <c r="AG365" i="48"/>
  <c r="AD365" i="48"/>
  <c r="AG363" i="48"/>
  <c r="AD363" i="48"/>
  <c r="AG605" i="48"/>
  <c r="AD605" i="48"/>
  <c r="AG405" i="48"/>
  <c r="AD405" i="48"/>
  <c r="AG599" i="48"/>
  <c r="AD599" i="48"/>
  <c r="AG1056" i="48"/>
  <c r="AD1056" i="48"/>
  <c r="AG340" i="48"/>
  <c r="AD340" i="48"/>
  <c r="AG576" i="48"/>
  <c r="AD576" i="48"/>
  <c r="AG1007" i="48"/>
  <c r="AD1007" i="48"/>
  <c r="AN259" i="48"/>
  <c r="AD259" i="48"/>
  <c r="AG242" i="48"/>
  <c r="AD242" i="48"/>
  <c r="AG94" i="48"/>
  <c r="AD94" i="48"/>
  <c r="AG74" i="48"/>
  <c r="AD74" i="48"/>
  <c r="AG625" i="48"/>
  <c r="AD625" i="48"/>
  <c r="AG721" i="48"/>
  <c r="AD721" i="48"/>
  <c r="AG1030" i="48"/>
  <c r="AD1030" i="48"/>
  <c r="AG716" i="48"/>
  <c r="AD716" i="48"/>
  <c r="AG1297" i="48"/>
  <c r="AD1297" i="48"/>
  <c r="AD440" i="48"/>
  <c r="AN403" i="48"/>
  <c r="AD403" i="48"/>
  <c r="AG436" i="48"/>
  <c r="AD436" i="48"/>
  <c r="AG1224" i="48"/>
  <c r="AD1224" i="48"/>
  <c r="AN1123" i="48"/>
  <c r="AD1123" i="48"/>
  <c r="AG1248" i="48"/>
  <c r="AD1248" i="48"/>
  <c r="AG310" i="48"/>
  <c r="AD310" i="48"/>
  <c r="AD993" i="48"/>
  <c r="AG774" i="48"/>
  <c r="AD774" i="48"/>
  <c r="AG583" i="48"/>
  <c r="AD583" i="48"/>
  <c r="AG338" i="48"/>
  <c r="AD338" i="48"/>
  <c r="AD1306" i="48"/>
  <c r="AG574" i="48"/>
  <c r="AD574" i="48"/>
  <c r="AG726" i="48"/>
  <c r="AD726" i="48"/>
  <c r="AG453" i="48"/>
  <c r="AD453" i="48"/>
  <c r="AN1243" i="48"/>
  <c r="AD1243" i="48"/>
  <c r="AG167" i="48"/>
  <c r="AD167" i="48"/>
  <c r="AD147" i="48"/>
  <c r="AG265" i="48"/>
  <c r="AD265" i="48"/>
  <c r="AG723" i="48"/>
  <c r="AD723" i="48"/>
  <c r="AG652" i="48"/>
  <c r="AD652" i="48"/>
  <c r="AG963" i="48"/>
  <c r="AD963" i="48"/>
  <c r="AG478" i="48"/>
  <c r="AD478" i="48"/>
  <c r="AG1039" i="48"/>
  <c r="AD1039" i="48"/>
  <c r="AG1105" i="48"/>
  <c r="AD1105" i="48"/>
  <c r="AD320" i="48"/>
  <c r="AN619" i="48"/>
  <c r="AD619" i="48"/>
  <c r="AD145" i="48"/>
  <c r="AG170" i="48"/>
  <c r="AD170" i="48"/>
  <c r="AG119" i="48"/>
  <c r="AD119" i="48"/>
  <c r="AG644" i="48"/>
  <c r="AD644" i="48"/>
  <c r="AN1147" i="48"/>
  <c r="AG991" i="48"/>
  <c r="AD991" i="48"/>
  <c r="AG573" i="48"/>
  <c r="AD573" i="48"/>
  <c r="AG1278" i="48"/>
  <c r="AD1278" i="48"/>
  <c r="AG245" i="48"/>
  <c r="AD245" i="48"/>
  <c r="AG76" i="48"/>
  <c r="AD76" i="48"/>
  <c r="DJ563" i="48"/>
  <c r="DJ995" i="48"/>
  <c r="AG1317" i="48"/>
  <c r="AD1317" i="48"/>
  <c r="AG597" i="48"/>
  <c r="AD597" i="48"/>
  <c r="AD811" i="48"/>
  <c r="AG476" i="48"/>
  <c r="AD476" i="48"/>
  <c r="AG487" i="48"/>
  <c r="AD487" i="48"/>
  <c r="AG1327" i="48"/>
  <c r="AD1327" i="48"/>
  <c r="AG940" i="48"/>
  <c r="AD940" i="48"/>
  <c r="AG812" i="48"/>
  <c r="AD812" i="48"/>
  <c r="AG957" i="48"/>
  <c r="AD957" i="48"/>
  <c r="AN835" i="48"/>
  <c r="AD835" i="48"/>
  <c r="AG871" i="48"/>
  <c r="AD871" i="48"/>
  <c r="AD307" i="48"/>
  <c r="AG1155" i="48"/>
  <c r="AD1155" i="48"/>
  <c r="AG1037" i="48"/>
  <c r="AD1037" i="48"/>
  <c r="AG263" i="48"/>
  <c r="AD263" i="48"/>
  <c r="AG118" i="48"/>
  <c r="AD118" i="48"/>
  <c r="AG293" i="48"/>
  <c r="AD293" i="48"/>
  <c r="AG73" i="48"/>
  <c r="AD73" i="48"/>
  <c r="AG720" i="48"/>
  <c r="AD720" i="48"/>
  <c r="AG1059" i="48"/>
  <c r="AD1059" i="48"/>
  <c r="AG502" i="48"/>
  <c r="AD502" i="48"/>
  <c r="AG432" i="48"/>
  <c r="AD432" i="48"/>
  <c r="AG887" i="48"/>
  <c r="AD887" i="48"/>
  <c r="AG480" i="48"/>
  <c r="AD480" i="48"/>
  <c r="AG750" i="48"/>
  <c r="AD750" i="48"/>
  <c r="AG696" i="48"/>
  <c r="AD696" i="48"/>
  <c r="AG482" i="48"/>
  <c r="AD482" i="48"/>
  <c r="AG966" i="48"/>
  <c r="AD966" i="48"/>
  <c r="AG101" i="48"/>
  <c r="AD101" i="48"/>
  <c r="AG215" i="48"/>
  <c r="AD215" i="48"/>
  <c r="AN67" i="48"/>
  <c r="AD67" i="48"/>
  <c r="AG958" i="48"/>
  <c r="AD958" i="48"/>
  <c r="AG212" i="48"/>
  <c r="AD212" i="48"/>
  <c r="AG411" i="48"/>
  <c r="AD411" i="48"/>
  <c r="AG1230" i="48"/>
  <c r="AD1230" i="48"/>
  <c r="AG216" i="48"/>
  <c r="AD216" i="48"/>
  <c r="AG120" i="48"/>
  <c r="AD120" i="48"/>
  <c r="AG890" i="48"/>
  <c r="AD890" i="48"/>
  <c r="AG1110" i="48"/>
  <c r="AD1110" i="48"/>
  <c r="AG847" i="48"/>
  <c r="AD847" i="48"/>
  <c r="AG819" i="48"/>
  <c r="AD819" i="48"/>
  <c r="AG463" i="48"/>
  <c r="AD463" i="48"/>
  <c r="AG789" i="48"/>
  <c r="AD789" i="48"/>
  <c r="AN547" i="48"/>
  <c r="AD547" i="48"/>
  <c r="AG241" i="48"/>
  <c r="AD241" i="48"/>
  <c r="AD115" i="48"/>
  <c r="AG383" i="48"/>
  <c r="AD383" i="48"/>
  <c r="AG1100" i="48"/>
  <c r="AD1100" i="48"/>
  <c r="AG1102" i="48"/>
  <c r="AD1102" i="48"/>
  <c r="AG291" i="48"/>
  <c r="AD291" i="48"/>
  <c r="AG869" i="48"/>
  <c r="AD869" i="48"/>
  <c r="AG984" i="48"/>
  <c r="AD984" i="48"/>
  <c r="AG701" i="48"/>
  <c r="AD701" i="48"/>
  <c r="AG742" i="48"/>
  <c r="AD742" i="48"/>
  <c r="AG201" i="48"/>
  <c r="AG895" i="48"/>
  <c r="AD895" i="48"/>
  <c r="AG1222" i="48"/>
  <c r="AD1222" i="48"/>
  <c r="AG990" i="48"/>
  <c r="AD990" i="48"/>
  <c r="AG1296" i="48"/>
  <c r="AD1296" i="48"/>
  <c r="AN787" i="48"/>
  <c r="AD787" i="48"/>
  <c r="AG626" i="48"/>
  <c r="AD626" i="48"/>
  <c r="AC185" i="48"/>
  <c r="AG1183" i="48"/>
  <c r="AD1183" i="48"/>
  <c r="AG319" i="48"/>
  <c r="AD319" i="48"/>
  <c r="AG1032" i="48"/>
  <c r="AD1032" i="48"/>
  <c r="AG764" i="48"/>
  <c r="AD764" i="48"/>
  <c r="AG1077" i="48"/>
  <c r="AD1077" i="48"/>
  <c r="AG124" i="48"/>
  <c r="AD124" i="48"/>
  <c r="AG1252" i="48"/>
  <c r="AD1252" i="48"/>
  <c r="AG1062" i="48"/>
  <c r="AD1062" i="48"/>
  <c r="AN643" i="48"/>
  <c r="AD643" i="48"/>
  <c r="AG1324" i="48"/>
  <c r="AD1324" i="48"/>
  <c r="AG217" i="48"/>
  <c r="AD217" i="48"/>
  <c r="AG509" i="48"/>
  <c r="AD509" i="48"/>
  <c r="AG1292" i="48"/>
  <c r="AD1292" i="48"/>
  <c r="AD1089" i="48"/>
  <c r="AG1085" i="48"/>
  <c r="AD1085" i="48"/>
  <c r="AG986" i="48"/>
  <c r="AD986" i="48"/>
  <c r="AG190" i="48"/>
  <c r="AD190" i="48"/>
  <c r="AG336" i="48"/>
  <c r="AD336" i="48"/>
  <c r="AN763" i="48"/>
  <c r="AD763" i="48"/>
  <c r="AG748" i="48"/>
  <c r="AD748" i="48"/>
  <c r="AG1101" i="48"/>
  <c r="AD1101" i="48"/>
  <c r="AG267" i="48"/>
  <c r="AD267" i="48"/>
  <c r="AD529" i="48"/>
  <c r="AG1148" i="48"/>
  <c r="AD1148" i="48"/>
  <c r="AG844" i="48"/>
  <c r="AD844" i="48"/>
  <c r="AG97" i="48"/>
  <c r="AD97" i="48"/>
  <c r="AG456" i="48"/>
  <c r="AD456" i="48"/>
  <c r="AG942" i="48"/>
  <c r="AD942" i="48"/>
  <c r="AG1293" i="48"/>
  <c r="AD1293" i="48"/>
  <c r="AG1057" i="48"/>
  <c r="AD1057" i="48"/>
  <c r="AG380" i="48"/>
  <c r="AD380" i="48"/>
  <c r="AG1205" i="48"/>
  <c r="AD1205" i="48"/>
  <c r="AG433" i="48"/>
  <c r="AD433" i="48"/>
  <c r="AG1251" i="48"/>
  <c r="AD1251" i="48"/>
  <c r="AG1009" i="48"/>
  <c r="AD1009" i="48"/>
  <c r="AG912" i="48"/>
  <c r="AD912" i="48"/>
  <c r="AG1130" i="48"/>
  <c r="AD1130" i="48"/>
  <c r="AG457" i="48"/>
  <c r="AD457" i="48"/>
  <c r="AG794" i="48"/>
  <c r="AD794" i="48"/>
  <c r="AD561" i="48"/>
  <c r="AG244" i="48"/>
  <c r="AD244" i="48"/>
  <c r="AG126" i="48"/>
  <c r="AD126" i="48"/>
  <c r="AG213" i="48"/>
  <c r="AD213" i="48"/>
  <c r="AG117" i="48"/>
  <c r="AD117" i="48"/>
  <c r="AG125" i="48"/>
  <c r="AD125" i="48"/>
  <c r="AG237" i="48"/>
  <c r="AD237" i="48"/>
  <c r="AG788" i="48"/>
  <c r="AD788" i="48"/>
  <c r="AG769" i="48"/>
  <c r="AD769" i="48"/>
  <c r="AG1177" i="48"/>
  <c r="AD1177" i="48"/>
  <c r="AG381" i="48"/>
  <c r="AD381" i="48"/>
  <c r="AD692" i="48"/>
  <c r="AG655" i="48"/>
  <c r="AD655" i="48"/>
  <c r="AG797" i="48"/>
  <c r="AD797" i="48"/>
  <c r="AG308" i="48"/>
  <c r="AD308" i="48"/>
  <c r="AG459" i="48"/>
  <c r="AD459" i="48"/>
  <c r="AG745" i="48"/>
  <c r="AD745" i="48"/>
  <c r="AN955" i="48"/>
  <c r="AD955" i="48"/>
  <c r="AG916" i="48"/>
  <c r="AD916" i="48"/>
  <c r="AL1013" i="48"/>
  <c r="AD1013" i="48"/>
  <c r="AG981" i="48"/>
  <c r="AD981" i="48"/>
  <c r="AG334" i="48"/>
  <c r="AD334" i="48"/>
  <c r="AG983" i="48"/>
  <c r="AD983" i="48"/>
  <c r="AG719" i="48"/>
  <c r="AD719" i="48"/>
  <c r="AG870" i="48"/>
  <c r="AD870" i="48"/>
  <c r="AG607" i="48"/>
  <c r="AD607" i="48"/>
  <c r="AD802" i="48"/>
  <c r="AG555" i="48"/>
  <c r="AD555" i="48"/>
  <c r="AG341" i="48"/>
  <c r="AD341" i="48"/>
  <c r="AG575" i="48"/>
  <c r="AD575" i="48"/>
  <c r="AG1081" i="48"/>
  <c r="AD1081" i="48"/>
  <c r="AG1104" i="48"/>
  <c r="AD1104" i="48"/>
  <c r="AD1042" i="48"/>
  <c r="AG1255" i="48"/>
  <c r="AD1255" i="48"/>
  <c r="AG387" i="48"/>
  <c r="AD387" i="48"/>
  <c r="AG1036" i="48"/>
  <c r="AD1036" i="48"/>
  <c r="AG943" i="48"/>
  <c r="AD943" i="48"/>
  <c r="AG818" i="48"/>
  <c r="AD818" i="48"/>
  <c r="AG839" i="48"/>
  <c r="AD839" i="48"/>
  <c r="AG429" i="48"/>
  <c r="AD429" i="48"/>
  <c r="AD657" i="48"/>
  <c r="AN427" i="48"/>
  <c r="AD427" i="48"/>
  <c r="AG1325" i="48"/>
  <c r="AD1325" i="48"/>
  <c r="AG866" i="48"/>
  <c r="AD866" i="48"/>
  <c r="AG553" i="48"/>
  <c r="AD553" i="48"/>
  <c r="AG312" i="48"/>
  <c r="AD312" i="48"/>
  <c r="AG1174" i="48"/>
  <c r="AD1174" i="48"/>
  <c r="AG727" i="48"/>
  <c r="AD727" i="48"/>
  <c r="AN1003" i="48"/>
  <c r="AD1003" i="48"/>
  <c r="AG751" i="48"/>
  <c r="AD751" i="48"/>
  <c r="AG1273" i="48"/>
  <c r="AD1273" i="48"/>
  <c r="AG959" i="48"/>
  <c r="AD959" i="48"/>
  <c r="AG909" i="48"/>
  <c r="AD909" i="48"/>
  <c r="AG1274" i="48"/>
  <c r="AD1274" i="48"/>
  <c r="AG1126" i="48"/>
  <c r="AD1126" i="48"/>
  <c r="AG1299" i="48"/>
  <c r="AD1299" i="48"/>
  <c r="AG317" i="48"/>
  <c r="AD317" i="48"/>
  <c r="AD1256" i="48"/>
  <c r="AG884" i="48"/>
  <c r="AD884" i="48"/>
  <c r="AG1178" i="48"/>
  <c r="AD1178" i="48"/>
  <c r="AG359" i="48"/>
  <c r="AD359" i="48"/>
  <c r="AD394" i="48"/>
  <c r="AG506" i="48"/>
  <c r="AD506" i="48"/>
  <c r="AG645" i="48"/>
  <c r="AD645" i="48"/>
  <c r="AG413" i="48"/>
  <c r="AD413" i="48"/>
  <c r="AG1320" i="48"/>
  <c r="AD1320" i="48"/>
  <c r="AG980" i="48"/>
  <c r="AD980" i="48"/>
  <c r="AG961" i="48"/>
  <c r="AD961" i="48"/>
  <c r="AG600" i="48"/>
  <c r="AD600" i="48"/>
  <c r="AG1158" i="48"/>
  <c r="AD1158" i="48"/>
  <c r="AG458" i="48"/>
  <c r="AD458" i="48"/>
  <c r="AG434" i="48"/>
  <c r="AD434" i="48"/>
  <c r="AG1198" i="48"/>
  <c r="AD1198" i="48"/>
  <c r="AD778" i="48"/>
  <c r="AG845" i="48"/>
  <c r="AD845" i="48"/>
  <c r="AG596" i="48"/>
  <c r="AD596" i="48"/>
  <c r="AD1185" i="48"/>
  <c r="AD535" i="48"/>
  <c r="AN931" i="48"/>
  <c r="AD931" i="48"/>
  <c r="AD1138" i="48"/>
  <c r="AG406" i="48"/>
  <c r="AD406" i="48"/>
  <c r="AG1272" i="48"/>
  <c r="AD1272" i="48"/>
  <c r="AG1316" i="48"/>
  <c r="AD1316" i="48"/>
  <c r="AG623" i="48"/>
  <c r="AD623" i="48"/>
  <c r="AN1099" i="48"/>
  <c r="AD1099" i="48"/>
  <c r="AG914" i="48"/>
  <c r="AD914" i="48"/>
  <c r="AG219" i="48"/>
  <c r="AD219" i="48"/>
  <c r="AD225" i="48"/>
  <c r="AD177" i="48"/>
  <c r="AG92" i="48"/>
  <c r="AD92" i="48"/>
  <c r="AG236" i="48"/>
  <c r="AD236" i="48"/>
  <c r="AG122" i="48"/>
  <c r="AD122" i="48"/>
  <c r="AG289" i="48"/>
  <c r="AD289" i="48"/>
  <c r="AG246" i="48"/>
  <c r="AD246" i="48"/>
  <c r="AD142" i="48"/>
  <c r="AG294" i="48"/>
  <c r="AD294" i="48"/>
  <c r="AG288" i="48"/>
  <c r="AD288" i="48"/>
  <c r="AG78" i="48"/>
  <c r="AD78" i="48"/>
  <c r="AG266" i="48"/>
  <c r="AD266" i="48"/>
  <c r="AG479" i="48"/>
  <c r="AD479" i="48"/>
  <c r="AD920" i="48"/>
  <c r="AG551" i="48"/>
  <c r="AD551" i="48"/>
  <c r="AG1061" i="48"/>
  <c r="AD1061" i="48"/>
  <c r="AG765" i="48"/>
  <c r="AD765" i="48"/>
  <c r="AG697" i="48"/>
  <c r="AD697" i="48"/>
  <c r="AN1315" i="48"/>
  <c r="AD1315" i="48"/>
  <c r="AG1298" i="48"/>
  <c r="AD1298" i="48"/>
  <c r="AG910" i="48"/>
  <c r="AD910" i="48"/>
  <c r="AG481" i="48"/>
  <c r="AD481" i="48"/>
  <c r="AG1005" i="48"/>
  <c r="AD1005" i="48"/>
  <c r="AG548" i="48"/>
  <c r="AD548" i="48"/>
  <c r="AG580" i="48"/>
  <c r="AD580" i="48"/>
  <c r="AG962" i="48"/>
  <c r="AD962" i="48"/>
  <c r="AG1149" i="48"/>
  <c r="AD1149" i="48"/>
  <c r="AN1219" i="48"/>
  <c r="AD1219" i="48"/>
  <c r="AG174" i="48"/>
  <c r="AD174" i="48"/>
  <c r="AG172" i="48"/>
  <c r="AD172" i="48"/>
  <c r="AN187" i="48"/>
  <c r="AD187" i="48"/>
  <c r="AG559" i="48"/>
  <c r="AD559" i="48"/>
  <c r="AG556" i="48"/>
  <c r="AD556" i="48"/>
  <c r="AG1052" i="48"/>
  <c r="AD1052" i="48"/>
  <c r="AG1244" i="48"/>
  <c r="AD1244" i="48"/>
  <c r="AG1322" i="48"/>
  <c r="AD1322" i="48"/>
  <c r="AG455" i="48"/>
  <c r="AD455" i="48"/>
  <c r="AG577" i="48"/>
  <c r="AD577" i="48"/>
  <c r="AG1006" i="48"/>
  <c r="AD1006" i="48"/>
  <c r="AD586" i="48"/>
  <c r="AG1200" i="48"/>
  <c r="AD1200" i="48"/>
  <c r="AG700" i="48"/>
  <c r="AD700" i="48"/>
  <c r="AG1179" i="48"/>
  <c r="AD1179" i="48"/>
  <c r="AG1156" i="48"/>
  <c r="AD1156" i="48"/>
  <c r="AN859" i="48"/>
  <c r="AD859" i="48"/>
  <c r="AG965" i="48"/>
  <c r="AD965" i="48"/>
  <c r="AG1109" i="48"/>
  <c r="AD1109" i="48"/>
  <c r="AG431" i="48"/>
  <c r="AD431" i="48"/>
  <c r="AG862" i="48"/>
  <c r="AD862" i="48"/>
  <c r="AG501" i="48"/>
  <c r="AD501" i="48"/>
  <c r="AG631" i="48"/>
  <c r="AD631" i="48"/>
  <c r="AD345" i="48"/>
  <c r="AG557" i="48"/>
  <c r="AD557" i="48"/>
  <c r="AD610" i="48"/>
  <c r="AG724" i="48"/>
  <c r="AD724" i="48"/>
  <c r="AG982" i="48"/>
  <c r="AD982" i="48"/>
  <c r="AD633" i="48"/>
  <c r="AG917" i="48"/>
  <c r="AD917" i="48"/>
  <c r="AG1135" i="48"/>
  <c r="AD1135" i="48"/>
  <c r="AG892" i="48"/>
  <c r="AD892" i="48"/>
  <c r="AD488" i="48"/>
  <c r="AD512" i="48"/>
  <c r="AG410" i="48"/>
  <c r="AD410" i="48"/>
  <c r="AG918" i="48"/>
  <c r="AD918" i="48"/>
  <c r="AG168" i="48"/>
  <c r="AD168" i="48"/>
  <c r="AG98" i="48"/>
  <c r="AD98" i="48"/>
  <c r="AG285" i="48"/>
  <c r="AD285" i="48"/>
  <c r="AG198" i="48"/>
  <c r="AD198" i="48"/>
  <c r="AG93" i="48"/>
  <c r="AD93" i="48"/>
  <c r="DJ59" i="48"/>
  <c r="AN1195" i="48"/>
  <c r="AD1195" i="48"/>
  <c r="AG1176" i="48"/>
  <c r="AD1176" i="48"/>
  <c r="AN1267" i="48"/>
  <c r="AD1267" i="48"/>
  <c r="AG932" i="48"/>
  <c r="AD932" i="48"/>
  <c r="AG1060" i="48"/>
  <c r="AD1060" i="48"/>
  <c r="AG941" i="48"/>
  <c r="AD941" i="48"/>
  <c r="AG552" i="48"/>
  <c r="AD552" i="48"/>
  <c r="AG718" i="48"/>
  <c r="AD718" i="48"/>
  <c r="AG1080" i="48"/>
  <c r="AD1080" i="48"/>
  <c r="AG799" i="48"/>
  <c r="AD799" i="48"/>
  <c r="AD514" i="48"/>
  <c r="AN379" i="48"/>
  <c r="AD379" i="48"/>
  <c r="AG264" i="48"/>
  <c r="AD264" i="48"/>
  <c r="AG196" i="48"/>
  <c r="AD196" i="48"/>
  <c r="AG260" i="48"/>
  <c r="AD260" i="48"/>
  <c r="AG173" i="48"/>
  <c r="AD173" i="48"/>
  <c r="AG572" i="48"/>
  <c r="AD572" i="48"/>
  <c r="AG69" i="48"/>
  <c r="AD69" i="48"/>
  <c r="AG699" i="48"/>
  <c r="AD699" i="48"/>
  <c r="AG1247" i="48"/>
  <c r="AD1247" i="48"/>
  <c r="AG1063" i="48"/>
  <c r="AD1063" i="48"/>
  <c r="AG1277" i="48"/>
  <c r="AD1277" i="48"/>
  <c r="AG1087" i="48"/>
  <c r="AD1087" i="48"/>
  <c r="AG1326" i="48"/>
  <c r="AD1326" i="48"/>
  <c r="AG1204" i="48"/>
  <c r="AD1204" i="48"/>
  <c r="AG1202" i="48"/>
  <c r="AD1202" i="48"/>
  <c r="AG1108" i="48"/>
  <c r="AD1108" i="48"/>
  <c r="AG486" i="48"/>
  <c r="AD486" i="48"/>
  <c r="AG287" i="48"/>
  <c r="AD287" i="48"/>
  <c r="AG116" i="48"/>
  <c r="AD116" i="48"/>
  <c r="AG886" i="48"/>
  <c r="AD886" i="48"/>
  <c r="AG166" i="48"/>
  <c r="AD166" i="48"/>
  <c r="AG127" i="48"/>
  <c r="AD127" i="48"/>
  <c r="AL1147" i="48"/>
  <c r="AD1147" i="48"/>
  <c r="AD825" i="48"/>
  <c r="AG767" i="48"/>
  <c r="AD767" i="48"/>
  <c r="AG885" i="48"/>
  <c r="AD885" i="48"/>
  <c r="AG1103" i="48"/>
  <c r="AD1103" i="48"/>
  <c r="AG695" i="48"/>
  <c r="AD695" i="48"/>
  <c r="AD224" i="48"/>
  <c r="AG796" i="48"/>
  <c r="AD796" i="48"/>
  <c r="AG602" i="48"/>
  <c r="AD602" i="48"/>
  <c r="AG358" i="48"/>
  <c r="AD358" i="48"/>
  <c r="AG1133" i="48"/>
  <c r="AD1133" i="48"/>
  <c r="AG1269" i="48"/>
  <c r="AD1269" i="48"/>
  <c r="AG919" i="48"/>
  <c r="AD919" i="48"/>
  <c r="AG1203" i="48"/>
  <c r="AD1203" i="48"/>
  <c r="AG366" i="48"/>
  <c r="AD366" i="48"/>
  <c r="AN1027" i="48"/>
  <c r="AD1027" i="48"/>
  <c r="AD1113" i="48"/>
  <c r="AG247" i="48"/>
  <c r="AD247" i="48"/>
  <c r="AG123" i="48"/>
  <c r="AD123" i="48"/>
  <c r="AN235" i="48"/>
  <c r="AD235" i="48"/>
  <c r="AD490" i="48"/>
  <c r="AG1279" i="48"/>
  <c r="AD1279" i="48"/>
  <c r="AG766" i="48"/>
  <c r="AD766" i="48"/>
  <c r="AG1011" i="48"/>
  <c r="AD1011" i="48"/>
  <c r="AG192" i="48"/>
  <c r="AD192" i="48"/>
  <c r="AG934" i="48"/>
  <c r="AD934" i="48"/>
  <c r="AG356" i="48"/>
  <c r="AD356" i="48"/>
  <c r="AG238" i="48"/>
  <c r="AD238" i="48"/>
  <c r="AG936" i="48"/>
  <c r="AD936" i="48"/>
  <c r="AG1157" i="48"/>
  <c r="AD1157" i="48"/>
  <c r="AG1151" i="48"/>
  <c r="AD1151" i="48"/>
  <c r="AG1152" i="48"/>
  <c r="AD1152" i="48"/>
  <c r="AG814" i="48"/>
  <c r="AD814" i="48"/>
  <c r="AG1173" i="48"/>
  <c r="AD1173" i="48"/>
  <c r="AG412" i="48"/>
  <c r="AD412" i="48"/>
  <c r="AG409" i="48"/>
  <c r="AD409" i="48"/>
  <c r="AG620" i="48"/>
  <c r="AD620" i="48"/>
  <c r="AG646" i="48"/>
  <c r="AD646" i="48"/>
  <c r="AD1075" i="48"/>
  <c r="AG483" i="48"/>
  <c r="AD483" i="48"/>
  <c r="AG793" i="48"/>
  <c r="AD793" i="48"/>
  <c r="AG554" i="48"/>
  <c r="AD554" i="48"/>
  <c r="AG795" i="48"/>
  <c r="AD795" i="48"/>
  <c r="AG558" i="48"/>
  <c r="AD558" i="48"/>
  <c r="AG1182" i="48"/>
  <c r="AD1182" i="48"/>
  <c r="AG648" i="48"/>
  <c r="AD648" i="48"/>
  <c r="AG388" i="48"/>
  <c r="AD388" i="48"/>
  <c r="AG408" i="48"/>
  <c r="AD408" i="48"/>
  <c r="AD850" i="48"/>
  <c r="AG175" i="48"/>
  <c r="AD175" i="48"/>
  <c r="AG867" i="48"/>
  <c r="AD867" i="48"/>
  <c r="AG103" i="48"/>
  <c r="AD103" i="48"/>
  <c r="AG1321" i="48"/>
  <c r="AD1321" i="48"/>
  <c r="AG462" i="48"/>
  <c r="AD462" i="48"/>
  <c r="AG296" i="48"/>
  <c r="AD296" i="48"/>
  <c r="AC401" i="48"/>
  <c r="AC1001" i="48"/>
  <c r="AC1145" i="48"/>
  <c r="AD1064" i="48"/>
  <c r="AC1121" i="48"/>
  <c r="AM1066" i="48"/>
  <c r="AG362" i="48"/>
  <c r="AD362" i="48"/>
  <c r="AG1150" i="48"/>
  <c r="AD1150" i="48"/>
  <c r="AG1132" i="48"/>
  <c r="AD1132" i="48"/>
  <c r="AG439" i="48"/>
  <c r="AD439" i="48"/>
  <c r="AG430" i="48"/>
  <c r="AD430" i="48"/>
  <c r="AG1303" i="48"/>
  <c r="AD1303" i="48"/>
  <c r="AG798" i="48"/>
  <c r="AD798" i="48"/>
  <c r="AD873" i="48"/>
  <c r="AG821" i="48"/>
  <c r="AD821" i="48"/>
  <c r="AG581" i="48"/>
  <c r="AD581" i="48"/>
  <c r="AG1129" i="48"/>
  <c r="AD1129" i="48"/>
  <c r="AG1207" i="48"/>
  <c r="AD1207" i="48"/>
  <c r="AD1210" i="48"/>
  <c r="AG407" i="48"/>
  <c r="AD407" i="48"/>
  <c r="AG1033" i="48"/>
  <c r="AD1033" i="48"/>
  <c r="AG702" i="48"/>
  <c r="AD702" i="48"/>
  <c r="AD104" i="48"/>
  <c r="AD250" i="48"/>
  <c r="AG1181" i="48"/>
  <c r="AD1181" i="48"/>
  <c r="AG1053" i="48"/>
  <c r="AD1053" i="48"/>
  <c r="AG550" i="48"/>
  <c r="AD550" i="48"/>
  <c r="AD465" i="48"/>
  <c r="AG579" i="48"/>
  <c r="AD579" i="48"/>
  <c r="AG1231" i="48"/>
  <c r="AD1231" i="48"/>
  <c r="AD150" i="48"/>
  <c r="AG1128" i="48"/>
  <c r="AD1128" i="48"/>
  <c r="AG1010" i="48"/>
  <c r="AD1010" i="48"/>
  <c r="AG822" i="48"/>
  <c r="AD822" i="48"/>
  <c r="AD525" i="48"/>
  <c r="AG1270" i="48"/>
  <c r="AD1270" i="48"/>
  <c r="AN1051" i="48"/>
  <c r="AD1051" i="48"/>
  <c r="AG1245" i="48"/>
  <c r="AD1245" i="48"/>
  <c r="AG1015" i="48"/>
  <c r="AD1015" i="48"/>
  <c r="AG1221" i="48"/>
  <c r="AD1221" i="48"/>
  <c r="AG221" i="48"/>
  <c r="AD221" i="48"/>
  <c r="AG239" i="48"/>
  <c r="AD239" i="48"/>
  <c r="AG292" i="48"/>
  <c r="AD292" i="48"/>
  <c r="AD106" i="48"/>
  <c r="AG1199" i="48"/>
  <c r="AD1199" i="48"/>
  <c r="AD368" i="48"/>
  <c r="AG391" i="48"/>
  <c r="AD391" i="48"/>
  <c r="AD874" i="48"/>
  <c r="AG956" i="48"/>
  <c r="AD956" i="48"/>
  <c r="AG508" i="48"/>
  <c r="AD508" i="48"/>
  <c r="AD897" i="48"/>
  <c r="AD1017" i="48"/>
  <c r="AG703" i="48"/>
  <c r="AD703" i="48"/>
  <c r="AG121" i="48"/>
  <c r="AD121" i="48"/>
  <c r="AG817" i="48"/>
  <c r="AD817" i="48"/>
  <c r="AG510" i="48"/>
  <c r="AD510" i="48"/>
  <c r="AG893" i="48"/>
  <c r="AD893" i="48"/>
  <c r="AG68" i="48"/>
  <c r="AD68" i="48"/>
  <c r="AG582" i="48"/>
  <c r="AD582" i="48"/>
  <c r="AG939" i="48"/>
  <c r="AD939" i="48"/>
  <c r="AD994" i="48"/>
  <c r="AD562" i="48"/>
  <c r="AD1234" i="48"/>
  <c r="AG840" i="48"/>
  <c r="AD840" i="48"/>
  <c r="AG100" i="48"/>
  <c r="AD100" i="48"/>
  <c r="AG297" i="48"/>
  <c r="AD297" i="48"/>
  <c r="AG1066" i="48"/>
  <c r="DJ1067" i="48"/>
  <c r="DJ947" i="48"/>
  <c r="AG1228" i="48"/>
  <c r="AD1228" i="48"/>
  <c r="AG815" i="48"/>
  <c r="AD815" i="48"/>
  <c r="AG337" i="48"/>
  <c r="AD337" i="48"/>
  <c r="AG1206" i="48"/>
  <c r="AD1206" i="48"/>
  <c r="AN715" i="48"/>
  <c r="AD715" i="48"/>
  <c r="AG693" i="48"/>
  <c r="AD693" i="48"/>
  <c r="AG102" i="48"/>
  <c r="AD102" i="48"/>
  <c r="AG270" i="48"/>
  <c r="AD270" i="48"/>
  <c r="AN91" i="48"/>
  <c r="AD91" i="48"/>
  <c r="AG70" i="48"/>
  <c r="AD70" i="48"/>
  <c r="AG1319" i="48"/>
  <c r="AD1319" i="48"/>
  <c r="AG1035" i="48"/>
  <c r="AD1035" i="48"/>
  <c r="AG935" i="48"/>
  <c r="AD935" i="48"/>
  <c r="AG415" i="48"/>
  <c r="AD415" i="48"/>
  <c r="AG1038" i="48"/>
  <c r="AD1038" i="48"/>
  <c r="AG1275" i="48"/>
  <c r="AD1275" i="48"/>
  <c r="AG601" i="48"/>
  <c r="AD601" i="48"/>
  <c r="AG386" i="48"/>
  <c r="AD386" i="48"/>
  <c r="AG629" i="48"/>
  <c r="AD629" i="48"/>
  <c r="AG1318" i="48"/>
  <c r="AD1318" i="48"/>
  <c r="AG1300" i="48"/>
  <c r="AD1300" i="48"/>
  <c r="AD634" i="48"/>
  <c r="V275" i="48"/>
  <c r="DJ275" i="48"/>
  <c r="V1018" i="48"/>
  <c r="AC1018" i="48" s="1"/>
  <c r="DJ1019" i="48"/>
  <c r="V323" i="48"/>
  <c r="DJ323" i="48"/>
  <c r="V755" i="48"/>
  <c r="DJ755" i="48"/>
  <c r="V1186" i="48"/>
  <c r="AC1186" i="48" s="1"/>
  <c r="DJ1187" i="48"/>
  <c r="AC1136" i="48"/>
  <c r="AC737" i="48"/>
  <c r="AC1025" i="48"/>
  <c r="AC272" i="48"/>
  <c r="AC881" i="48"/>
  <c r="AC1217" i="48"/>
  <c r="AC848" i="48"/>
  <c r="DJ827" i="48"/>
  <c r="DJ347" i="48"/>
  <c r="DJ803" i="48"/>
  <c r="DJ587" i="48"/>
  <c r="V635" i="48"/>
  <c r="DJ635" i="48"/>
  <c r="V154" i="48"/>
  <c r="AC154" i="48" s="1"/>
  <c r="AG154" i="48" s="1"/>
  <c r="DJ155" i="48"/>
  <c r="V1283" i="48"/>
  <c r="DJ1283" i="48"/>
  <c r="V899" i="48"/>
  <c r="DJ899" i="48"/>
  <c r="V1307" i="48"/>
  <c r="DJ1307" i="48"/>
  <c r="AG1013" i="48"/>
  <c r="AM1013" i="48"/>
  <c r="V779" i="48"/>
  <c r="DJ779" i="48"/>
  <c r="V370" i="48"/>
  <c r="AC370" i="48" s="1"/>
  <c r="DJ371" i="48"/>
  <c r="V971" i="48"/>
  <c r="DJ971" i="48"/>
  <c r="DJ515" i="48"/>
  <c r="DJ1235" i="48"/>
  <c r="DJ659" i="48"/>
  <c r="DJ1139" i="48"/>
  <c r="V1331" i="48"/>
  <c r="DJ1331" i="48"/>
  <c r="V442" i="48"/>
  <c r="AC442" i="48" s="1"/>
  <c r="DJ443" i="48"/>
  <c r="V1259" i="48"/>
  <c r="DJ1259" i="48"/>
  <c r="V611" i="48"/>
  <c r="DJ611" i="48"/>
  <c r="V1090" i="48"/>
  <c r="AC1090" i="48" s="1"/>
  <c r="DJ1091" i="48"/>
  <c r="V82" i="48"/>
  <c r="AC82" i="48" s="1"/>
  <c r="DJ83" i="48"/>
  <c r="V419" i="48"/>
  <c r="DJ419" i="48"/>
  <c r="AC200" i="48"/>
  <c r="AC329" i="48"/>
  <c r="AC704" i="48"/>
  <c r="AC281" i="48"/>
  <c r="AN1013" i="48"/>
  <c r="DJ1043" i="48"/>
  <c r="DJ707" i="48"/>
  <c r="V107" i="48"/>
  <c r="DJ107" i="48"/>
  <c r="V923" i="48"/>
  <c r="DJ923" i="48"/>
  <c r="V1115" i="48"/>
  <c r="DJ1115" i="48"/>
  <c r="V203" i="48"/>
  <c r="DJ203" i="48"/>
  <c r="V395" i="48"/>
  <c r="DJ395" i="48"/>
  <c r="DJ491" i="48"/>
  <c r="V299" i="48"/>
  <c r="AC299" i="48" s="1"/>
  <c r="DJ299" i="48"/>
  <c r="DJ131" i="48"/>
  <c r="AC89" i="48"/>
  <c r="V48" i="48"/>
  <c r="DJ48" i="48"/>
  <c r="V57" i="48"/>
  <c r="DJ57" i="48"/>
  <c r="V54" i="48"/>
  <c r="DJ54" i="48"/>
  <c r="V51" i="48"/>
  <c r="DJ51" i="48"/>
  <c r="V43" i="48"/>
  <c r="AC43" i="48" s="1"/>
  <c r="DJ43" i="48"/>
  <c r="V44" i="48"/>
  <c r="DJ44" i="48"/>
  <c r="V56" i="48"/>
  <c r="DJ56" i="48"/>
  <c r="V42" i="48"/>
  <c r="DJ42" i="48"/>
  <c r="V45" i="48"/>
  <c r="DJ45" i="48"/>
  <c r="V47" i="48"/>
  <c r="DJ47" i="48"/>
  <c r="V50" i="48"/>
  <c r="DJ50" i="48"/>
  <c r="V49" i="48"/>
  <c r="DJ49" i="48"/>
  <c r="V41" i="48"/>
  <c r="DJ41" i="48"/>
  <c r="V52" i="48"/>
  <c r="W52" i="48" s="1"/>
  <c r="DJ52" i="48"/>
  <c r="V53" i="48"/>
  <c r="DJ53" i="48"/>
  <c r="V46" i="48"/>
  <c r="DJ46" i="48"/>
  <c r="V55" i="48"/>
  <c r="W55" i="48" s="1"/>
  <c r="DJ55" i="48"/>
  <c r="AG1184" i="48"/>
  <c r="AG1112" i="48"/>
  <c r="AG656" i="48"/>
  <c r="AG873" i="48"/>
  <c r="AG609" i="48"/>
  <c r="AG466" i="48"/>
  <c r="AG1210" i="48"/>
  <c r="AG969" i="48"/>
  <c r="AG105" i="48"/>
  <c r="AG81" i="48"/>
  <c r="AG393" i="48"/>
  <c r="AG490" i="48"/>
  <c r="AG706" i="48"/>
  <c r="AG946" i="48"/>
  <c r="AG561" i="48"/>
  <c r="AG850" i="48"/>
  <c r="AG658" i="48"/>
  <c r="AG874" i="48"/>
  <c r="AG610" i="48"/>
  <c r="AG1258" i="48"/>
  <c r="AG778" i="48"/>
  <c r="AG1185" i="48"/>
  <c r="AG1138" i="48"/>
  <c r="AG1233" i="48"/>
  <c r="AG345" i="48"/>
  <c r="AG1234" i="48"/>
  <c r="AG945" i="48"/>
  <c r="AG1016" i="48"/>
  <c r="AG992" i="48"/>
  <c r="AG464" i="48"/>
  <c r="AG224" i="48"/>
  <c r="AG560" i="48"/>
  <c r="AG1088" i="48"/>
  <c r="AG128" i="48"/>
  <c r="AG729" i="48"/>
  <c r="AG1114" i="48"/>
  <c r="AG825" i="48"/>
  <c r="AG1113" i="48"/>
  <c r="AG250" i="48"/>
  <c r="AG1161" i="48"/>
  <c r="AG730" i="48"/>
  <c r="AG346" i="48"/>
  <c r="AG754" i="48"/>
  <c r="AG777" i="48"/>
  <c r="AG1042" i="48"/>
  <c r="AG801" i="48"/>
  <c r="AG513" i="48"/>
  <c r="AG225" i="48"/>
  <c r="AG80" i="48"/>
  <c r="AG994" i="48"/>
  <c r="AG633" i="48"/>
  <c r="AG584" i="48"/>
  <c r="AG344" i="48"/>
  <c r="AG608" i="48"/>
  <c r="AG824" i="48"/>
  <c r="AG1328" i="48"/>
  <c r="AG826" i="48"/>
  <c r="AG1330" i="48"/>
  <c r="AG104" i="48"/>
  <c r="AG178" i="48"/>
  <c r="AG130" i="48"/>
  <c r="AG586" i="48"/>
  <c r="AG465" i="48"/>
  <c r="AG1282" i="48"/>
  <c r="AG440" i="48"/>
  <c r="AG1232" i="48"/>
  <c r="AG1089" i="48"/>
  <c r="AG274" i="48"/>
  <c r="AG106" i="48"/>
  <c r="AG417" i="48"/>
  <c r="AG320" i="48"/>
  <c r="AG1017" i="48"/>
  <c r="AG273" i="48"/>
  <c r="AG248" i="48"/>
  <c r="AG802" i="48"/>
  <c r="AG1257" i="48"/>
  <c r="AG1329" i="48"/>
  <c r="AG921" i="48"/>
  <c r="AG898" i="48"/>
  <c r="AG970" i="48"/>
  <c r="AG177" i="48"/>
  <c r="AG562" i="48"/>
  <c r="AG512" i="48"/>
  <c r="AG896" i="48"/>
  <c r="AG872" i="48"/>
  <c r="AG416" i="48"/>
  <c r="AG920" i="48"/>
  <c r="AG776" i="48"/>
  <c r="AG176" i="48"/>
  <c r="AG488" i="48"/>
  <c r="AG249" i="48"/>
  <c r="AG1209" i="48"/>
  <c r="AG634" i="48"/>
  <c r="AG514" i="48"/>
  <c r="AG1281" i="48"/>
  <c r="AG418" i="48"/>
  <c r="AG489" i="48"/>
  <c r="AG849" i="48"/>
  <c r="AG993" i="48"/>
  <c r="AG321" i="48"/>
  <c r="AG1306" i="48"/>
  <c r="AG753" i="48"/>
  <c r="AG1065" i="48"/>
  <c r="AG1162" i="48"/>
  <c r="AG1041" i="48"/>
  <c r="AG897" i="48"/>
  <c r="AG632" i="48"/>
  <c r="AG657" i="48"/>
  <c r="AG369" i="48"/>
  <c r="AG1256" i="48"/>
  <c r="AG394" i="48"/>
  <c r="AG922" i="48"/>
  <c r="AG441" i="48"/>
  <c r="AG585" i="48"/>
  <c r="AG1137" i="48"/>
  <c r="AG705" i="48"/>
  <c r="AG1305" i="48"/>
  <c r="AN840" i="48"/>
  <c r="AN322" i="48"/>
  <c r="AG322" i="48"/>
  <c r="AG129" i="48"/>
  <c r="AN1179" i="48"/>
  <c r="AN965" i="48"/>
  <c r="AN773" i="48"/>
  <c r="AN991" i="48"/>
  <c r="AN562" i="48"/>
  <c r="AN844" i="48"/>
  <c r="AN1102" i="48"/>
  <c r="AN1278" i="48"/>
  <c r="AN166" i="48"/>
  <c r="AN291" i="48"/>
  <c r="AN462" i="48"/>
  <c r="AN381" i="48"/>
  <c r="AN597" i="48"/>
  <c r="AN249" i="48"/>
  <c r="AN915" i="48"/>
  <c r="AN389" i="48"/>
  <c r="AN405" i="48"/>
  <c r="AN1032" i="48"/>
  <c r="AN1209" i="48"/>
  <c r="AN528" i="48"/>
  <c r="AN1077" i="48"/>
  <c r="AN580" i="48"/>
  <c r="AN651" i="48"/>
  <c r="AN634" i="48"/>
  <c r="AN799" i="48"/>
  <c r="AN514" i="48"/>
  <c r="AN1281" i="48"/>
  <c r="AN698" i="48"/>
  <c r="AN172" i="48"/>
  <c r="AN94" i="48"/>
  <c r="AN74" i="48"/>
  <c r="AN1084" i="48"/>
  <c r="AN1181" i="48"/>
  <c r="AN1221" i="48"/>
  <c r="AN794" i="48"/>
  <c r="AN390" i="48"/>
  <c r="AN332" i="48"/>
  <c r="AN167" i="48"/>
  <c r="AN274" i="48"/>
  <c r="AN106" i="48"/>
  <c r="AN79" i="48"/>
  <c r="AN963" i="48"/>
  <c r="AN937" i="48"/>
  <c r="AN417" i="48"/>
  <c r="AN1039" i="48"/>
  <c r="AN382" i="48"/>
  <c r="AN320" i="48"/>
  <c r="AN1017" i="48"/>
  <c r="AN343" i="48"/>
  <c r="AN98" i="48"/>
  <c r="AN273" i="48"/>
  <c r="AN120" i="48"/>
  <c r="AN248" i="48"/>
  <c r="AN295" i="48"/>
  <c r="AN890" i="48"/>
  <c r="AN1052" i="48"/>
  <c r="AN1321" i="48"/>
  <c r="AN627" i="48"/>
  <c r="AN189" i="48"/>
  <c r="AN99" i="48"/>
  <c r="AN983" i="48"/>
  <c r="AN802" i="48"/>
  <c r="AN341" i="48"/>
  <c r="AN1104" i="48"/>
  <c r="AN333" i="48"/>
  <c r="AN1157" i="48"/>
  <c r="AN1154" i="48"/>
  <c r="AN1201" i="48"/>
  <c r="AN992" i="48"/>
  <c r="AN464" i="48"/>
  <c r="AN224" i="48"/>
  <c r="AN560" i="48"/>
  <c r="AN1088" i="48"/>
  <c r="AN141" i="48"/>
  <c r="AN740" i="48"/>
  <c r="AN796" i="48"/>
  <c r="AN1220" i="48"/>
  <c r="AN199" i="48"/>
  <c r="AN908" i="48"/>
  <c r="AN439" i="48"/>
  <c r="AN430" i="48"/>
  <c r="AN1303" i="48"/>
  <c r="AN367" i="48"/>
  <c r="AN605" i="48"/>
  <c r="AN538" i="48"/>
  <c r="AN772" i="48"/>
  <c r="AN873" i="48"/>
  <c r="AN428" i="48"/>
  <c r="AN861" i="48"/>
  <c r="AN609" i="48"/>
  <c r="AN364" i="48"/>
  <c r="AN1005" i="48"/>
  <c r="AN1223" i="48"/>
  <c r="AN435" i="48"/>
  <c r="AN1294" i="48"/>
  <c r="AN466" i="48"/>
  <c r="AN1133" i="48"/>
  <c r="AN1269" i="48"/>
  <c r="AN962" i="48"/>
  <c r="AN837" i="48"/>
  <c r="AN1056" i="48"/>
  <c r="AN1210" i="48"/>
  <c r="AN366" i="48"/>
  <c r="AN1007" i="48"/>
  <c r="AN1086" i="48"/>
  <c r="AN969" i="48"/>
  <c r="AN174" i="48"/>
  <c r="AN214" i="48"/>
  <c r="AN242" i="48"/>
  <c r="AN194" i="48"/>
  <c r="AN153" i="48"/>
  <c r="AN261" i="48"/>
  <c r="AN173" i="48"/>
  <c r="AN124" i="48"/>
  <c r="AN77" i="48"/>
  <c r="AN313" i="48"/>
  <c r="AN1301" i="48"/>
  <c r="AN418" i="48"/>
  <c r="AN489" i="48"/>
  <c r="AN550" i="48"/>
  <c r="AN771" i="48"/>
  <c r="AN849" i="48"/>
  <c r="AN917" i="48"/>
  <c r="AN1324" i="48"/>
  <c r="AN579" i="48"/>
  <c r="AN146" i="48"/>
  <c r="AN867" i="48"/>
  <c r="AN989" i="48"/>
  <c r="AN846" i="48"/>
  <c r="AN1173" i="48"/>
  <c r="AN1231" i="48"/>
  <c r="AN864" i="48"/>
  <c r="AN455" i="48"/>
  <c r="AN1270" i="48"/>
  <c r="AN338" i="48"/>
  <c r="AN1306" i="48"/>
  <c r="AN887" i="48"/>
  <c r="AN360" i="48"/>
  <c r="AN504" i="48"/>
  <c r="AN753" i="48"/>
  <c r="AN453" i="48"/>
  <c r="AN1065" i="48"/>
  <c r="AN766" i="48"/>
  <c r="AN311" i="48"/>
  <c r="AN1011" i="48"/>
  <c r="AN1082" i="48"/>
  <c r="AN621" i="48"/>
  <c r="AN244" i="48"/>
  <c r="AN221" i="48"/>
  <c r="AN195" i="48"/>
  <c r="AN147" i="48"/>
  <c r="AN292" i="48"/>
  <c r="AN190" i="48"/>
  <c r="AN175" i="48"/>
  <c r="AN70" i="48"/>
  <c r="AN1319" i="48"/>
  <c r="AN601" i="48"/>
  <c r="AN815" i="48"/>
  <c r="AN1162" i="48"/>
  <c r="AN212" i="48"/>
  <c r="AN1006" i="48"/>
  <c r="AN933" i="48"/>
  <c r="AN816" i="48"/>
  <c r="AN1041" i="48"/>
  <c r="AN557" i="48"/>
  <c r="AN508" i="48"/>
  <c r="AN897" i="48"/>
  <c r="AN892" i="48"/>
  <c r="AN410" i="48"/>
  <c r="AN967" i="48"/>
  <c r="AN168" i="48"/>
  <c r="AN170" i="48"/>
  <c r="AN119" i="48"/>
  <c r="AN143" i="48"/>
  <c r="AN788" i="48"/>
  <c r="AN456" i="48"/>
  <c r="AN510" i="48"/>
  <c r="AN644" i="48"/>
  <c r="AN604" i="48"/>
  <c r="AN1317" i="48"/>
  <c r="AN1110" i="48"/>
  <c r="AN988" i="48"/>
  <c r="AN1255" i="48"/>
  <c r="AN775" i="48"/>
  <c r="AN943" i="48"/>
  <c r="AN839" i="48"/>
  <c r="AN657" i="48"/>
  <c r="AN866" i="48"/>
  <c r="AN312" i="48"/>
  <c r="AN369" i="48"/>
  <c r="AN1273" i="48"/>
  <c r="AN1106" i="48"/>
  <c r="AN1058" i="48"/>
  <c r="AN1256" i="48"/>
  <c r="AN1178" i="48"/>
  <c r="AN394" i="48"/>
  <c r="AN645" i="48"/>
  <c r="AN1320" i="48"/>
  <c r="AN628" i="48"/>
  <c r="AN922" i="48"/>
  <c r="AN441" i="48"/>
  <c r="AN865" i="48"/>
  <c r="AN315" i="48"/>
  <c r="AN585" i="48"/>
  <c r="AN654" i="48"/>
  <c r="AN1316" i="48"/>
  <c r="AN219" i="48"/>
  <c r="AN287" i="48"/>
  <c r="AN262" i="48"/>
  <c r="AN148" i="48"/>
  <c r="AN142" i="48"/>
  <c r="AN288" i="48"/>
  <c r="AN75" i="48"/>
  <c r="AN1177" i="48"/>
  <c r="AN1059" i="48"/>
  <c r="AN582" i="48"/>
  <c r="AN529" i="48"/>
  <c r="AN1100" i="48"/>
  <c r="AN1148" i="48"/>
  <c r="AN1137" i="48"/>
  <c r="AN1083" i="48"/>
  <c r="AN705" i="48"/>
  <c r="AN1305" i="48"/>
  <c r="AN512" i="48"/>
  <c r="AN245" i="48"/>
  <c r="AN76" i="48"/>
  <c r="AN1184" i="48"/>
  <c r="AN1128" i="48"/>
  <c r="AN1279" i="48"/>
  <c r="AN1232" i="48"/>
  <c r="AN842" i="48"/>
  <c r="AN583" i="48"/>
  <c r="AN1089" i="48"/>
  <c r="AN795" i="48"/>
  <c r="AN1245" i="48"/>
  <c r="AN750" i="48"/>
  <c r="AN408" i="48"/>
  <c r="AN986" i="48"/>
  <c r="AN126" i="48"/>
  <c r="AN101" i="48"/>
  <c r="AN169" i="48"/>
  <c r="AN265" i="48"/>
  <c r="AN129" i="48"/>
  <c r="AN1199" i="48"/>
  <c r="AN958" i="48"/>
  <c r="AN391" i="48"/>
  <c r="AN316" i="48"/>
  <c r="AN896" i="48"/>
  <c r="AN584" i="48"/>
  <c r="AN344" i="48"/>
  <c r="AN608" i="48"/>
  <c r="AN1328" i="48"/>
  <c r="AN559" i="48"/>
  <c r="AN725" i="48"/>
  <c r="AN1127" i="48"/>
  <c r="AN1254" i="48"/>
  <c r="AN128" i="48"/>
  <c r="AN1150" i="48"/>
  <c r="AN503" i="48"/>
  <c r="AN386" i="48"/>
  <c r="AN790" i="48"/>
  <c r="AN1176" i="48"/>
  <c r="AN578" i="48"/>
  <c r="AN743" i="48"/>
  <c r="AN746" i="48"/>
  <c r="AN932" i="48"/>
  <c r="AN888" i="48"/>
  <c r="AN910" i="48"/>
  <c r="AN481" i="48"/>
  <c r="AN1038" i="48"/>
  <c r="AN764" i="48"/>
  <c r="AN602" i="48"/>
  <c r="AN742" i="48"/>
  <c r="AN1035" i="48"/>
  <c r="AN1207" i="48"/>
  <c r="AN599" i="48"/>
  <c r="AN531" i="48"/>
  <c r="AN729" i="48"/>
  <c r="AN741" i="48"/>
  <c r="AN1029" i="48"/>
  <c r="AN1114" i="48"/>
  <c r="AN1275" i="48"/>
  <c r="AN825" i="48"/>
  <c r="AN1302" i="48"/>
  <c r="AN889" i="48"/>
  <c r="AN485" i="48"/>
  <c r="AN653" i="48"/>
  <c r="AN935" i="48"/>
  <c r="AN1033" i="48"/>
  <c r="AN1113" i="48"/>
  <c r="AN201" i="48"/>
  <c r="AN165" i="48"/>
  <c r="AN123" i="48"/>
  <c r="AN240" i="48"/>
  <c r="AN260" i="48"/>
  <c r="AN250" i="48"/>
  <c r="AN171" i="48"/>
  <c r="AN105" i="48"/>
  <c r="AN81" i="48"/>
  <c r="AN836" i="48"/>
  <c r="AN314" i="48"/>
  <c r="AN1087" i="48"/>
  <c r="AN490" i="48"/>
  <c r="AN1248" i="48"/>
  <c r="AN706" i="48"/>
  <c r="AN1010" i="48"/>
  <c r="AN438" i="48"/>
  <c r="AN774" i="48"/>
  <c r="AN525" i="48"/>
  <c r="AN946" i="48"/>
  <c r="AN1276" i="48"/>
  <c r="AN432" i="48"/>
  <c r="AN1134" i="48"/>
  <c r="AN574" i="48"/>
  <c r="AN480" i="48"/>
  <c r="AN1015" i="48"/>
  <c r="AN1085" i="48"/>
  <c r="AN696" i="48"/>
  <c r="AN144" i="48"/>
  <c r="AN823" i="48"/>
  <c r="AN561" i="48"/>
  <c r="AN966" i="48"/>
  <c r="AN290" i="48"/>
  <c r="AN191" i="48"/>
  <c r="AN239" i="48"/>
  <c r="AN125" i="48"/>
  <c r="AN223" i="48"/>
  <c r="AN237" i="48"/>
  <c r="AN215" i="48"/>
  <c r="AN192" i="48"/>
  <c r="AN298" i="48"/>
  <c r="AN71" i="48"/>
  <c r="AN479" i="48"/>
  <c r="AN526" i="48"/>
  <c r="AN723" i="48"/>
  <c r="AN652" i="48"/>
  <c r="AN658" i="48"/>
  <c r="AN748" i="48"/>
  <c r="AN874" i="48"/>
  <c r="AN478" i="48"/>
  <c r="AN956" i="48"/>
  <c r="AN610" i="48"/>
  <c r="AN813" i="48"/>
  <c r="AN356" i="48"/>
  <c r="AN1230" i="48"/>
  <c r="AN1101" i="48"/>
  <c r="AN216" i="48"/>
  <c r="AN95" i="48"/>
  <c r="AN149" i="48"/>
  <c r="AN238" i="48"/>
  <c r="AN198" i="48"/>
  <c r="AN817" i="48"/>
  <c r="AN505" i="48"/>
  <c r="AN342" i="48"/>
  <c r="AN987" i="48"/>
  <c r="AN461" i="48"/>
  <c r="AN1175" i="48"/>
  <c r="AN412" i="48"/>
  <c r="AN647" i="48"/>
  <c r="AN151" i="48"/>
  <c r="AN981" i="48"/>
  <c r="AN334" i="48"/>
  <c r="AN607" i="48"/>
  <c r="AN555" i="48"/>
  <c r="AN1271" i="48"/>
  <c r="AN1081" i="48"/>
  <c r="AN387" i="48"/>
  <c r="AN847" i="48"/>
  <c r="AN437" i="48"/>
  <c r="AN1008" i="48"/>
  <c r="AN939" i="48"/>
  <c r="AN820" i="48"/>
  <c r="AN431" i="48"/>
  <c r="AN460" i="48"/>
  <c r="AN345" i="48"/>
  <c r="AN573" i="48"/>
  <c r="AN1234" i="48"/>
  <c r="AN945" i="48"/>
  <c r="AN1180" i="48"/>
  <c r="AN744" i="48"/>
  <c r="AN918" i="48"/>
  <c r="AN97" i="48"/>
  <c r="AN72" i="48"/>
  <c r="AN357" i="48"/>
  <c r="AN942" i="48"/>
  <c r="AN1061" i="48"/>
  <c r="AN747" i="48"/>
  <c r="AN697" i="48"/>
  <c r="AN960" i="48"/>
  <c r="AN1060" i="48"/>
  <c r="AN791" i="48"/>
  <c r="AN552" i="48"/>
  <c r="AN718" i="48"/>
  <c r="AN1300" i="48"/>
  <c r="AN358" i="48"/>
  <c r="AN1226" i="48"/>
  <c r="AN1203" i="48"/>
  <c r="AN407" i="48"/>
  <c r="AN624" i="48"/>
  <c r="AN247" i="48"/>
  <c r="AN196" i="48"/>
  <c r="AN193" i="48"/>
  <c r="AN268" i="48"/>
  <c r="AN1224" i="48"/>
  <c r="AN380" i="48"/>
  <c r="AN409" i="48"/>
  <c r="AN310" i="48"/>
  <c r="AN822" i="48"/>
  <c r="AN793" i="48"/>
  <c r="AN1292" i="48"/>
  <c r="AN502" i="48"/>
  <c r="AN912" i="48"/>
  <c r="AN558" i="48"/>
  <c r="AN726" i="48"/>
  <c r="AN964" i="48"/>
  <c r="AN860" i="48"/>
  <c r="AN650" i="48"/>
  <c r="AN296" i="48"/>
  <c r="AN872" i="48"/>
  <c r="AN416" i="48"/>
  <c r="AN920" i="48"/>
  <c r="AN1040" i="48"/>
  <c r="AN1183" i="48"/>
  <c r="AN365" i="48"/>
  <c r="AN814" i="48"/>
  <c r="AN838" i="48"/>
  <c r="AN1132" i="48"/>
  <c r="AN841" i="48"/>
  <c r="AN363" i="48"/>
  <c r="AN792" i="48"/>
  <c r="AN765" i="48"/>
  <c r="AN629" i="48"/>
  <c r="AN1298" i="48"/>
  <c r="AN1318" i="48"/>
  <c r="AN941" i="48"/>
  <c r="AN821" i="48"/>
  <c r="AN581" i="48"/>
  <c r="AN1129" i="48"/>
  <c r="AN414" i="48"/>
  <c r="AN1153" i="48"/>
  <c r="AN548" i="48"/>
  <c r="AN1249" i="48"/>
  <c r="AN524" i="48"/>
  <c r="AN507" i="48"/>
  <c r="AN1080" i="48"/>
  <c r="AN1323" i="48"/>
  <c r="AN919" i="48"/>
  <c r="AN1149" i="48"/>
  <c r="AN826" i="48"/>
  <c r="AN340" i="48"/>
  <c r="AN576" i="48"/>
  <c r="AN1330" i="48"/>
  <c r="AN749" i="48"/>
  <c r="AN702" i="48"/>
  <c r="AN264" i="48"/>
  <c r="AN104" i="48"/>
  <c r="AN178" i="48"/>
  <c r="AN130" i="48"/>
  <c r="AN284" i="48"/>
  <c r="AN572" i="48"/>
  <c r="AN269" i="48"/>
  <c r="AN1054" i="48"/>
  <c r="AN577" i="48"/>
  <c r="AN913" i="48"/>
  <c r="AN700" i="48"/>
  <c r="AN1062" i="48"/>
  <c r="AN1111" i="48"/>
  <c r="AN318" i="48"/>
  <c r="AN982" i="48"/>
  <c r="AN1161" i="48"/>
  <c r="AN1135" i="48"/>
  <c r="AN730" i="48"/>
  <c r="AN217" i="48"/>
  <c r="AN1152" i="48"/>
  <c r="AN266" i="48"/>
  <c r="AN454" i="48"/>
  <c r="AN869" i="48"/>
  <c r="AN1246" i="48"/>
  <c r="AN415" i="48"/>
  <c r="AN699" i="48"/>
  <c r="AN1125" i="48"/>
  <c r="AN337" i="48"/>
  <c r="AN957" i="48"/>
  <c r="AN871" i="48"/>
  <c r="AN307" i="48"/>
  <c r="AN1182" i="48"/>
  <c r="AN1130" i="48"/>
  <c r="AN648" i="48"/>
  <c r="AN457" i="48"/>
  <c r="AN388" i="48"/>
  <c r="AN701" i="48"/>
  <c r="AN1155" i="48"/>
  <c r="AN1206" i="48"/>
  <c r="AN1037" i="48"/>
  <c r="AN693" i="48"/>
  <c r="AN263" i="48"/>
  <c r="AN213" i="48"/>
  <c r="AN117" i="48"/>
  <c r="AN102" i="48"/>
  <c r="AN270" i="48"/>
  <c r="AN127" i="48"/>
  <c r="AN220" i="48"/>
  <c r="AN118" i="48"/>
  <c r="AN293" i="48"/>
  <c r="AN73" i="48"/>
  <c r="AN769" i="48"/>
  <c r="AN934" i="48"/>
  <c r="AN1228" i="48"/>
  <c r="AN336" i="48"/>
  <c r="AN1200" i="48"/>
  <c r="AN1156" i="48"/>
  <c r="AN411" i="48"/>
  <c r="AN501" i="48"/>
  <c r="AN694" i="48"/>
  <c r="AN891" i="48"/>
  <c r="AN1105" i="48"/>
  <c r="AN777" i="48"/>
  <c r="AN286" i="48"/>
  <c r="AN1031" i="48"/>
  <c r="AN703" i="48"/>
  <c r="AN145" i="48"/>
  <c r="AN121" i="48"/>
  <c r="AN285" i="48"/>
  <c r="AN93" i="48"/>
  <c r="AN339" i="48"/>
  <c r="AN936" i="48"/>
  <c r="AN767" i="48"/>
  <c r="AN459" i="48"/>
  <c r="AN895" i="48"/>
  <c r="AN1042" i="48"/>
  <c r="AN695" i="48"/>
  <c r="AN1036" i="48"/>
  <c r="AN818" i="48"/>
  <c r="AN429" i="48"/>
  <c r="AN1325" i="48"/>
  <c r="AN553" i="48"/>
  <c r="AN1174" i="48"/>
  <c r="AN727" i="48"/>
  <c r="AN751" i="48"/>
  <c r="AN626" i="48"/>
  <c r="AN1274" i="48"/>
  <c r="AN868" i="48"/>
  <c r="AN317" i="48"/>
  <c r="AN884" i="48"/>
  <c r="AN359" i="48"/>
  <c r="AN506" i="48"/>
  <c r="AN413" i="48"/>
  <c r="AN1108" i="48"/>
  <c r="AN361" i="48"/>
  <c r="AN801" i="48"/>
  <c r="AN452" i="48"/>
  <c r="AN1253" i="48"/>
  <c r="AN535" i="48"/>
  <c r="AN513" i="48"/>
  <c r="AN406" i="48"/>
  <c r="AN1272" i="48"/>
  <c r="AN623" i="48"/>
  <c r="AN914" i="48"/>
  <c r="AN225" i="48"/>
  <c r="AN140" i="48"/>
  <c r="AN197" i="48"/>
  <c r="AN241" i="48"/>
  <c r="AN289" i="48"/>
  <c r="AN246" i="48"/>
  <c r="AN188" i="48"/>
  <c r="AN294" i="48"/>
  <c r="AN103" i="48"/>
  <c r="AN1293" i="48"/>
  <c r="AN745" i="48"/>
  <c r="AN1225" i="48"/>
  <c r="AN994" i="48"/>
  <c r="AN384" i="48"/>
  <c r="AN1159" i="48"/>
  <c r="AN724" i="48"/>
  <c r="AN633" i="48"/>
  <c r="AN1076" i="48"/>
  <c r="AN100" i="48"/>
  <c r="AN297" i="48"/>
  <c r="AM1250" i="48"/>
  <c r="AL1250" i="48"/>
  <c r="AM534" i="48"/>
  <c r="AL534" i="48"/>
  <c r="AM798" i="48"/>
  <c r="AL798" i="48"/>
  <c r="AM606" i="48"/>
  <c r="AL606" i="48"/>
  <c r="AM655" i="48"/>
  <c r="AL655" i="48"/>
  <c r="AL797" i="48"/>
  <c r="AM797" i="48"/>
  <c r="AM1290" i="48"/>
  <c r="AL1290" i="48"/>
  <c r="AM883" i="48"/>
  <c r="AL883" i="48"/>
  <c r="AL1227" i="48"/>
  <c r="AM1227" i="48"/>
  <c r="AM916" i="48"/>
  <c r="AL916" i="48"/>
  <c r="AM150" i="48"/>
  <c r="AL150" i="48"/>
  <c r="AL1247" i="48"/>
  <c r="AM1247" i="48"/>
  <c r="AM500" i="48"/>
  <c r="AL500" i="48"/>
  <c r="AM811" i="48"/>
  <c r="AL811" i="48"/>
  <c r="AM476" i="48"/>
  <c r="AL476" i="48"/>
  <c r="AL487" i="48"/>
  <c r="AM487" i="48"/>
  <c r="AL1327" i="48"/>
  <c r="AM1327" i="48"/>
  <c r="AL620" i="48"/>
  <c r="AM620" i="48"/>
  <c r="AM346" i="48"/>
  <c r="AL346" i="48"/>
  <c r="AM646" i="48"/>
  <c r="AL646" i="48"/>
  <c r="AM1205" i="48"/>
  <c r="AL1205" i="48"/>
  <c r="AM1075" i="48"/>
  <c r="AL1075" i="48"/>
  <c r="AL603" i="48"/>
  <c r="AM603" i="48"/>
  <c r="AM1204" i="48"/>
  <c r="AL1204" i="48"/>
  <c r="AM622" i="48"/>
  <c r="AL622" i="48"/>
  <c r="AL993" i="48"/>
  <c r="AM993" i="48"/>
  <c r="AL1202" i="48"/>
  <c r="AM1202" i="48"/>
  <c r="AL321" i="48"/>
  <c r="AM321" i="48"/>
  <c r="AM1172" i="48"/>
  <c r="AL1172" i="48"/>
  <c r="AM1009" i="48"/>
  <c r="AL1009" i="48"/>
  <c r="AL530" i="48"/>
  <c r="AM530" i="48"/>
  <c r="AM482" i="48"/>
  <c r="AL482" i="48"/>
  <c r="AL511" i="48"/>
  <c r="AM511" i="48"/>
  <c r="AM850" i="48"/>
  <c r="AL850" i="48"/>
  <c r="AM404" i="48"/>
  <c r="AL404" i="48"/>
  <c r="AM1268" i="48"/>
  <c r="AL1268" i="48"/>
  <c r="AL551" i="48"/>
  <c r="AM551" i="48"/>
  <c r="AM893" i="48"/>
  <c r="AL893" i="48"/>
  <c r="AM642" i="48"/>
  <c r="AL642" i="48"/>
  <c r="AL1222" i="48"/>
  <c r="AM1222" i="48"/>
  <c r="AM1004" i="48"/>
  <c r="AL1004" i="48"/>
  <c r="AL990" i="48"/>
  <c r="AM990" i="48"/>
  <c r="AL632" i="48"/>
  <c r="AM632" i="48"/>
  <c r="AL719" i="48"/>
  <c r="AM719" i="48"/>
  <c r="AL870" i="48"/>
  <c r="AM870" i="48"/>
  <c r="AM1296" i="48"/>
  <c r="AL1296" i="48"/>
  <c r="AL1197" i="48"/>
  <c r="AM1197" i="48"/>
  <c r="AL885" i="48"/>
  <c r="AM885" i="48"/>
  <c r="AM1078" i="48"/>
  <c r="AL1078" i="48"/>
  <c r="AL1103" i="48"/>
  <c r="AM1103" i="48"/>
  <c r="AM575" i="48"/>
  <c r="AL575" i="48"/>
  <c r="AM1257" i="48"/>
  <c r="AL1257" i="48"/>
  <c r="AL1151" i="48"/>
  <c r="AM1151" i="48"/>
  <c r="AL1055" i="48"/>
  <c r="AM1055" i="48"/>
  <c r="AL819" i="48"/>
  <c r="AM819" i="48"/>
  <c r="AM1196" i="48"/>
  <c r="AL1196" i="48"/>
  <c r="AL768" i="48"/>
  <c r="AM768" i="48"/>
  <c r="AM1295" i="48"/>
  <c r="AL1295" i="48"/>
  <c r="AL882" i="48"/>
  <c r="AM882" i="48"/>
  <c r="AM527" i="48"/>
  <c r="AL527" i="48"/>
  <c r="AM484" i="48"/>
  <c r="AL484" i="48"/>
  <c r="AL499" i="48"/>
  <c r="AM499" i="48"/>
  <c r="AM463" i="48"/>
  <c r="AL463" i="48"/>
  <c r="AM1329" i="48"/>
  <c r="AL1329" i="48"/>
  <c r="AM451" i="48"/>
  <c r="AL451" i="48"/>
  <c r="AM959" i="48"/>
  <c r="AL959" i="48"/>
  <c r="AM909" i="48"/>
  <c r="AL909" i="48"/>
  <c r="AL789" i="48"/>
  <c r="AM789" i="48"/>
  <c r="AL1126" i="48"/>
  <c r="AM1126" i="48"/>
  <c r="AM770" i="48"/>
  <c r="AL770" i="48"/>
  <c r="AL1299" i="48"/>
  <c r="AM1299" i="48"/>
  <c r="AM598" i="48"/>
  <c r="AL598" i="48"/>
  <c r="AM1258" i="48"/>
  <c r="AL1258" i="48"/>
  <c r="AM571" i="48"/>
  <c r="AL571" i="48"/>
  <c r="AL533" i="48"/>
  <c r="AM533" i="48"/>
  <c r="AL477" i="48"/>
  <c r="AM477" i="48"/>
  <c r="AL722" i="48"/>
  <c r="AM722" i="48"/>
  <c r="AL1014" i="48"/>
  <c r="AM1014" i="48"/>
  <c r="AL739" i="48"/>
  <c r="AM739" i="48"/>
  <c r="AM1074" i="48"/>
  <c r="AL1074" i="48"/>
  <c r="AM1229" i="48"/>
  <c r="AL1229" i="48"/>
  <c r="AM980" i="48"/>
  <c r="AL980" i="48"/>
  <c r="AL961" i="48"/>
  <c r="AM961" i="48"/>
  <c r="AM921" i="48"/>
  <c r="AL921" i="48"/>
  <c r="AL600" i="48"/>
  <c r="AM600" i="48"/>
  <c r="AM1158" i="48"/>
  <c r="AL1158" i="48"/>
  <c r="AL458" i="48"/>
  <c r="AM458" i="48"/>
  <c r="AL434" i="48"/>
  <c r="AM434" i="48"/>
  <c r="AM1198" i="48"/>
  <c r="AL1198" i="48"/>
  <c r="AM778" i="48"/>
  <c r="AL778" i="48"/>
  <c r="AL845" i="48"/>
  <c r="AM845" i="48"/>
  <c r="AL596" i="48"/>
  <c r="AM596" i="48"/>
  <c r="AL898" i="48"/>
  <c r="AM898" i="48"/>
  <c r="AL1185" i="48"/>
  <c r="AM1185" i="48"/>
  <c r="AM486" i="48"/>
  <c r="AL486" i="48"/>
  <c r="AL385" i="48"/>
  <c r="AM385" i="48"/>
  <c r="AL1138" i="48"/>
  <c r="AM1138" i="48"/>
  <c r="AM1079" i="48"/>
  <c r="AL1079" i="48"/>
  <c r="AM1233" i="48"/>
  <c r="AL1233" i="48"/>
  <c r="AL1034" i="48"/>
  <c r="AM1034" i="48"/>
  <c r="AL630" i="48"/>
  <c r="AM630" i="48"/>
  <c r="AL970" i="48"/>
  <c r="AM970" i="48"/>
  <c r="AM911" i="48"/>
  <c r="AL911" i="48"/>
  <c r="AM1124" i="48"/>
  <c r="AL1124" i="48"/>
  <c r="AL222" i="48"/>
  <c r="AM222" i="48"/>
  <c r="AL177" i="48"/>
  <c r="AM177" i="48"/>
  <c r="AL218" i="48"/>
  <c r="AM218" i="48"/>
  <c r="AL92" i="48"/>
  <c r="AM92" i="48"/>
  <c r="AM163" i="48"/>
  <c r="AL163" i="48"/>
  <c r="AM236" i="48"/>
  <c r="AL236" i="48"/>
  <c r="AM90" i="48"/>
  <c r="AL90" i="48"/>
  <c r="AM122" i="48"/>
  <c r="AL122" i="48"/>
  <c r="AL210" i="48"/>
  <c r="AM210" i="48"/>
  <c r="AL202" i="48"/>
  <c r="AM202" i="48"/>
  <c r="AL116" i="48"/>
  <c r="AM116" i="48"/>
  <c r="AL267" i="48"/>
  <c r="AM267" i="48"/>
  <c r="AM115" i="48"/>
  <c r="AL115" i="48"/>
  <c r="AL96" i="48"/>
  <c r="AM96" i="48"/>
  <c r="AL282" i="48"/>
  <c r="AM282" i="48"/>
  <c r="AM68" i="48"/>
  <c r="AL68" i="48"/>
  <c r="AM78" i="48"/>
  <c r="AL78" i="48"/>
  <c r="AM843" i="48"/>
  <c r="AL843" i="48"/>
  <c r="AL886" i="48"/>
  <c r="AM886" i="48"/>
  <c r="AM1146" i="48"/>
  <c r="AL1146" i="48"/>
  <c r="AL1131" i="48"/>
  <c r="AM1131" i="48"/>
  <c r="AL1244" i="48"/>
  <c r="AM1244" i="48"/>
  <c r="AM383" i="48"/>
  <c r="AL383" i="48"/>
  <c r="AL1028" i="48"/>
  <c r="AM1028" i="48"/>
  <c r="AM164" i="48"/>
  <c r="AL164" i="48"/>
  <c r="AM1016" i="48"/>
  <c r="AL1016" i="48"/>
  <c r="AL1184" i="48"/>
  <c r="AM1184" i="48"/>
  <c r="AM1112" i="48"/>
  <c r="AL1112" i="48"/>
  <c r="AL656" i="48"/>
  <c r="AM656" i="48"/>
  <c r="AL559" i="48"/>
  <c r="AM559" i="48"/>
  <c r="AM357" i="48"/>
  <c r="AL357" i="48"/>
  <c r="AL725" i="48"/>
  <c r="AM725" i="48"/>
  <c r="AL942" i="48"/>
  <c r="AM942" i="48"/>
  <c r="AL1127" i="48"/>
  <c r="AM1127" i="48"/>
  <c r="AL1195" i="48"/>
  <c r="AM1195" i="48"/>
  <c r="AM1220" i="48"/>
  <c r="AL1220" i="48"/>
  <c r="AM955" i="48"/>
  <c r="AL955" i="48"/>
  <c r="AL199" i="48"/>
  <c r="AM199" i="48"/>
  <c r="AM838" i="48"/>
  <c r="AL838" i="48"/>
  <c r="AL1291" i="48"/>
  <c r="AM1291" i="48"/>
  <c r="AM1132" i="48"/>
  <c r="AL1132" i="48"/>
  <c r="AM908" i="48"/>
  <c r="AL908" i="48"/>
  <c r="AL841" i="48"/>
  <c r="AM841" i="48"/>
  <c r="AM439" i="48"/>
  <c r="AL439" i="48"/>
  <c r="AL363" i="48"/>
  <c r="AM363" i="48"/>
  <c r="AM430" i="48"/>
  <c r="AL430" i="48"/>
  <c r="AL792" i="48"/>
  <c r="AM792" i="48"/>
  <c r="AL1303" i="48"/>
  <c r="AM1303" i="48"/>
  <c r="AM765" i="48"/>
  <c r="AL765" i="48"/>
  <c r="AM367" i="48"/>
  <c r="AL367" i="48"/>
  <c r="AL1267" i="48"/>
  <c r="AM1267" i="48"/>
  <c r="AL605" i="48"/>
  <c r="AM605" i="48"/>
  <c r="AL629" i="48"/>
  <c r="AM629" i="48"/>
  <c r="AL538" i="48"/>
  <c r="AM538" i="48"/>
  <c r="AL960" i="48"/>
  <c r="AM960" i="48"/>
  <c r="AL772" i="48"/>
  <c r="AM772" i="48"/>
  <c r="AM1318" i="48"/>
  <c r="AL1318" i="48"/>
  <c r="AL873" i="48"/>
  <c r="AM873" i="48"/>
  <c r="AL941" i="48"/>
  <c r="AM941" i="48"/>
  <c r="AM428" i="48"/>
  <c r="AL428" i="48"/>
  <c r="AL821" i="48"/>
  <c r="AM821" i="48"/>
  <c r="AL861" i="48"/>
  <c r="AM861" i="48"/>
  <c r="AM762" i="48"/>
  <c r="AL762" i="48"/>
  <c r="AL609" i="48"/>
  <c r="AM609" i="48"/>
  <c r="AL581" i="48"/>
  <c r="AM581" i="48"/>
  <c r="AM364" i="48"/>
  <c r="AL364" i="48"/>
  <c r="AL1129" i="48"/>
  <c r="AM1129" i="48"/>
  <c r="AM1005" i="48"/>
  <c r="AL1005" i="48"/>
  <c r="AL414" i="48"/>
  <c r="AM414" i="48"/>
  <c r="AL1223" i="48"/>
  <c r="AM1223" i="48"/>
  <c r="AL1153" i="48"/>
  <c r="AM1153" i="48"/>
  <c r="AM435" i="48"/>
  <c r="AL435" i="48"/>
  <c r="AL548" i="48"/>
  <c r="AM548" i="48"/>
  <c r="AL1294" i="48"/>
  <c r="AM1294" i="48"/>
  <c r="AM1249" i="48"/>
  <c r="AL1249" i="48"/>
  <c r="AL524" i="48"/>
  <c r="AM524" i="48"/>
  <c r="AL466" i="48"/>
  <c r="AM466" i="48"/>
  <c r="AL507" i="48"/>
  <c r="AM507" i="48"/>
  <c r="AM1133" i="48"/>
  <c r="AL1133" i="48"/>
  <c r="AL1080" i="48"/>
  <c r="AM1080" i="48"/>
  <c r="AL1269" i="48"/>
  <c r="AM1269" i="48"/>
  <c r="AL1323" i="48"/>
  <c r="AM1323" i="48"/>
  <c r="AL962" i="48"/>
  <c r="AM962" i="48"/>
  <c r="AM919" i="48"/>
  <c r="AL919" i="48"/>
  <c r="AL837" i="48"/>
  <c r="AM837" i="48"/>
  <c r="AM1149" i="48"/>
  <c r="AL1149" i="48"/>
  <c r="AL1056" i="48"/>
  <c r="AM1056" i="48"/>
  <c r="AM826" i="48"/>
  <c r="AL826" i="48"/>
  <c r="AL1210" i="48"/>
  <c r="AM1210" i="48"/>
  <c r="AM340" i="48"/>
  <c r="AL340" i="48"/>
  <c r="AM595" i="48"/>
  <c r="AL595" i="48"/>
  <c r="AL576" i="48"/>
  <c r="AM576" i="48"/>
  <c r="AL366" i="48"/>
  <c r="AM366" i="48"/>
  <c r="AM1330" i="48"/>
  <c r="AL1330" i="48"/>
  <c r="AL1007" i="48"/>
  <c r="AM1007" i="48"/>
  <c r="AL749" i="48"/>
  <c r="AM749" i="48"/>
  <c r="AM1086" i="48"/>
  <c r="AL1086" i="48"/>
  <c r="AL1219" i="48"/>
  <c r="AM1219" i="48"/>
  <c r="AM1027" i="48"/>
  <c r="AL1027" i="48"/>
  <c r="AL379" i="48"/>
  <c r="AM379" i="48"/>
  <c r="AL969" i="48"/>
  <c r="AM969" i="48"/>
  <c r="AM702" i="48"/>
  <c r="AL702" i="48"/>
  <c r="AM174" i="48"/>
  <c r="AL174" i="48"/>
  <c r="AL259" i="48"/>
  <c r="AM259" i="48"/>
  <c r="AL214" i="48"/>
  <c r="AM214" i="48"/>
  <c r="AM264" i="48"/>
  <c r="AL264" i="48"/>
  <c r="AM242" i="48"/>
  <c r="AL242" i="48"/>
  <c r="AL104" i="48"/>
  <c r="AM104" i="48"/>
  <c r="AL194" i="48"/>
  <c r="AM194" i="48"/>
  <c r="AL178" i="48"/>
  <c r="AM178" i="48"/>
  <c r="AL153" i="48"/>
  <c r="AM153" i="48"/>
  <c r="AL130" i="48"/>
  <c r="AM130" i="48"/>
  <c r="AM261" i="48"/>
  <c r="AL261" i="48"/>
  <c r="AM173" i="48"/>
  <c r="AL173" i="48"/>
  <c r="AM234" i="48"/>
  <c r="AL234" i="48"/>
  <c r="AM105" i="48"/>
  <c r="AL105" i="48"/>
  <c r="AM74" i="48"/>
  <c r="AL74" i="48"/>
  <c r="AM81" i="48"/>
  <c r="AL81" i="48"/>
  <c r="AL1084" i="48"/>
  <c r="AM1084" i="48"/>
  <c r="AM786" i="48"/>
  <c r="AL786" i="48"/>
  <c r="AM1181" i="48"/>
  <c r="AL1181" i="48"/>
  <c r="AN1112" i="48"/>
  <c r="AN1304" i="48"/>
  <c r="AM1270" i="48"/>
  <c r="AL1270" i="48"/>
  <c r="AL957" i="48"/>
  <c r="AM957" i="48"/>
  <c r="AL338" i="48"/>
  <c r="AM338" i="48"/>
  <c r="AL835" i="48"/>
  <c r="AM835" i="48"/>
  <c r="AM1051" i="48"/>
  <c r="AL1051" i="48"/>
  <c r="AM871" i="48"/>
  <c r="AL871" i="48"/>
  <c r="AL1306" i="48"/>
  <c r="AM1306" i="48"/>
  <c r="AM307" i="48"/>
  <c r="AL307" i="48"/>
  <c r="AM887" i="48"/>
  <c r="AL887" i="48"/>
  <c r="AL1182" i="48"/>
  <c r="AM1182" i="48"/>
  <c r="AL360" i="48"/>
  <c r="AM360" i="48"/>
  <c r="AM1130" i="48"/>
  <c r="AL1130" i="48"/>
  <c r="AM504" i="48"/>
  <c r="AL504" i="48"/>
  <c r="AL648" i="48"/>
  <c r="AM648" i="48"/>
  <c r="AL753" i="48"/>
  <c r="AM753" i="48"/>
  <c r="AL457" i="48"/>
  <c r="AM457" i="48"/>
  <c r="AL388" i="48"/>
  <c r="AM388" i="48"/>
  <c r="AM907" i="48"/>
  <c r="AL907" i="48"/>
  <c r="AL701" i="48"/>
  <c r="AM701" i="48"/>
  <c r="AL453" i="48"/>
  <c r="AM453" i="48"/>
  <c r="AL1155" i="48"/>
  <c r="AM1155" i="48"/>
  <c r="AL1065" i="48"/>
  <c r="AM1065" i="48"/>
  <c r="AL1206" i="48"/>
  <c r="AM1206" i="48"/>
  <c r="AM766" i="48"/>
  <c r="AL766" i="48"/>
  <c r="AM311" i="48"/>
  <c r="AL311" i="48"/>
  <c r="AL986" i="48"/>
  <c r="AM986" i="48"/>
  <c r="AL966" i="48"/>
  <c r="AM966" i="48"/>
  <c r="AM332" i="48"/>
  <c r="AL332" i="48"/>
  <c r="AM290" i="48"/>
  <c r="AL290" i="48"/>
  <c r="AM126" i="48"/>
  <c r="AL126" i="48"/>
  <c r="AL191" i="48"/>
  <c r="AM191" i="48"/>
  <c r="AL167" i="48"/>
  <c r="AM167" i="48"/>
  <c r="AM239" i="48"/>
  <c r="AL239" i="48"/>
  <c r="AM101" i="48"/>
  <c r="AL101" i="48"/>
  <c r="AM125" i="48"/>
  <c r="AL125" i="48"/>
  <c r="AL274" i="48"/>
  <c r="AM274" i="48"/>
  <c r="AM223" i="48"/>
  <c r="AL223" i="48"/>
  <c r="AM169" i="48"/>
  <c r="AL169" i="48"/>
  <c r="AM237" i="48"/>
  <c r="AL237" i="48"/>
  <c r="AM106" i="48"/>
  <c r="AL106" i="48"/>
  <c r="AM215" i="48"/>
  <c r="AL215" i="48"/>
  <c r="AM265" i="48"/>
  <c r="AL265" i="48"/>
  <c r="AL192" i="48"/>
  <c r="AM192" i="48"/>
  <c r="AM129" i="48"/>
  <c r="AL129" i="48"/>
  <c r="AM298" i="48"/>
  <c r="AL298" i="48"/>
  <c r="AM73" i="48"/>
  <c r="AL73" i="48"/>
  <c r="AM70" i="48"/>
  <c r="AL70" i="48"/>
  <c r="AM769" i="48"/>
  <c r="AL769" i="48"/>
  <c r="AL1319" i="48"/>
  <c r="AM1319" i="48"/>
  <c r="AL934" i="48"/>
  <c r="AM934" i="48"/>
  <c r="AL601" i="48"/>
  <c r="AM601" i="48"/>
  <c r="AM1228" i="48"/>
  <c r="AL1228" i="48"/>
  <c r="AL815" i="48"/>
  <c r="AM815" i="48"/>
  <c r="AL336" i="48"/>
  <c r="AM336" i="48"/>
  <c r="AM1162" i="48"/>
  <c r="AL1162" i="48"/>
  <c r="AM763" i="48"/>
  <c r="AL763" i="48"/>
  <c r="AM212" i="48"/>
  <c r="AL212" i="48"/>
  <c r="AM618" i="48"/>
  <c r="AL618" i="48"/>
  <c r="AM1006" i="48"/>
  <c r="AL1006" i="48"/>
  <c r="AM1200" i="48"/>
  <c r="AL1200" i="48"/>
  <c r="AM933" i="48"/>
  <c r="AL933" i="48"/>
  <c r="AM1156" i="48"/>
  <c r="AL1156" i="48"/>
  <c r="AM1002" i="48"/>
  <c r="AL1002" i="48"/>
  <c r="AM411" i="48"/>
  <c r="AL411" i="48"/>
  <c r="AL816" i="48"/>
  <c r="AM816" i="48"/>
  <c r="AL501" i="48"/>
  <c r="AM501" i="48"/>
  <c r="AM1041" i="48"/>
  <c r="AL1041" i="48"/>
  <c r="AL694" i="48"/>
  <c r="AM694" i="48"/>
  <c r="AM557" i="48"/>
  <c r="AL557" i="48"/>
  <c r="AM891" i="48"/>
  <c r="AL891" i="48"/>
  <c r="AM508" i="48"/>
  <c r="AL508" i="48"/>
  <c r="AM1105" i="48"/>
  <c r="AL1105" i="48"/>
  <c r="AM897" i="48"/>
  <c r="AL897" i="48"/>
  <c r="AM777" i="48"/>
  <c r="AL777" i="48"/>
  <c r="AL892" i="48"/>
  <c r="AM892" i="48"/>
  <c r="AM286" i="48"/>
  <c r="AL286" i="48"/>
  <c r="AL410" i="48"/>
  <c r="AM410" i="48"/>
  <c r="AM1031" i="48"/>
  <c r="AL1031" i="48"/>
  <c r="AL967" i="48"/>
  <c r="AM967" i="48"/>
  <c r="AL703" i="48"/>
  <c r="AM703" i="48"/>
  <c r="AL168" i="48"/>
  <c r="AM168" i="48"/>
  <c r="AM145" i="48"/>
  <c r="AL145" i="48"/>
  <c r="AL258" i="48"/>
  <c r="AM258" i="48"/>
  <c r="AM211" i="48"/>
  <c r="AL211" i="48"/>
  <c r="AL170" i="48"/>
  <c r="AM170" i="48"/>
  <c r="AL121" i="48"/>
  <c r="AM121" i="48"/>
  <c r="AL119" i="48"/>
  <c r="AM119" i="48"/>
  <c r="AM285" i="48"/>
  <c r="AL285" i="48"/>
  <c r="AM143" i="48"/>
  <c r="AL143" i="48"/>
  <c r="AL93" i="48"/>
  <c r="AM93" i="48"/>
  <c r="AL788" i="48"/>
  <c r="AM788" i="48"/>
  <c r="AL858" i="48"/>
  <c r="AM858" i="48"/>
  <c r="AM456" i="48"/>
  <c r="AL456" i="48"/>
  <c r="AL339" i="48"/>
  <c r="AM339" i="48"/>
  <c r="AL510" i="48"/>
  <c r="AM510" i="48"/>
  <c r="AM186" i="48"/>
  <c r="AL186" i="48"/>
  <c r="AL644" i="48"/>
  <c r="AM644" i="48"/>
  <c r="AM936" i="48"/>
  <c r="AL936" i="48"/>
  <c r="AM810" i="48"/>
  <c r="AL810" i="48"/>
  <c r="AM767" i="48"/>
  <c r="AL767" i="48"/>
  <c r="AL604" i="48"/>
  <c r="AM604" i="48"/>
  <c r="AM459" i="48"/>
  <c r="AL459" i="48"/>
  <c r="AM1317" i="48"/>
  <c r="AL1317" i="48"/>
  <c r="AL1110" i="48"/>
  <c r="AM1110" i="48"/>
  <c r="AM895" i="48"/>
  <c r="AL895" i="48"/>
  <c r="AN1016" i="48"/>
  <c r="AL1098" i="48"/>
  <c r="AM1098" i="48"/>
  <c r="AM988" i="48"/>
  <c r="AL988" i="48"/>
  <c r="AM1042" i="48"/>
  <c r="AL1042" i="48"/>
  <c r="AL1255" i="48"/>
  <c r="AM1255" i="48"/>
  <c r="AL695" i="48"/>
  <c r="AM695" i="48"/>
  <c r="AL775" i="48"/>
  <c r="AM775" i="48"/>
  <c r="AL1036" i="48"/>
  <c r="AM1036" i="48"/>
  <c r="AL943" i="48"/>
  <c r="AM943" i="48"/>
  <c r="AM818" i="48"/>
  <c r="AL818" i="48"/>
  <c r="AL839" i="48"/>
  <c r="AM839" i="48"/>
  <c r="AM939" i="48"/>
  <c r="AL939" i="48"/>
  <c r="AL1179" i="48"/>
  <c r="AM1179" i="48"/>
  <c r="AL820" i="48"/>
  <c r="AM820" i="48"/>
  <c r="AL965" i="48"/>
  <c r="AM965" i="48"/>
  <c r="AM431" i="48"/>
  <c r="AL431" i="48"/>
  <c r="AM773" i="48"/>
  <c r="AL773" i="48"/>
  <c r="AL460" i="48"/>
  <c r="AM460" i="48"/>
  <c r="AM991" i="48"/>
  <c r="AL991" i="48"/>
  <c r="AL345" i="48"/>
  <c r="AM345" i="48"/>
  <c r="AM562" i="48"/>
  <c r="AL562" i="48"/>
  <c r="AM573" i="48"/>
  <c r="AL573" i="48"/>
  <c r="AM844" i="48"/>
  <c r="AL844" i="48"/>
  <c r="AL1234" i="48"/>
  <c r="AM1234" i="48"/>
  <c r="AM1102" i="48"/>
  <c r="AL1102" i="48"/>
  <c r="AL945" i="48"/>
  <c r="AM945" i="48"/>
  <c r="AL1194" i="48"/>
  <c r="AM1194" i="48"/>
  <c r="AM1180" i="48"/>
  <c r="AL1180" i="48"/>
  <c r="AM512" i="48"/>
  <c r="AL512" i="48"/>
  <c r="AM1076" i="48"/>
  <c r="AL1076" i="48"/>
  <c r="AL330" i="48"/>
  <c r="AM330" i="48"/>
  <c r="AL100" i="48"/>
  <c r="AM100" i="48"/>
  <c r="AL245" i="48"/>
  <c r="AM245" i="48"/>
  <c r="AL297" i="48"/>
  <c r="AM297" i="48"/>
  <c r="AM76" i="48"/>
  <c r="AL76" i="48"/>
  <c r="AN164" i="48"/>
  <c r="AM381" i="48"/>
  <c r="AL381" i="48"/>
  <c r="AL296" i="48"/>
  <c r="AM296" i="48"/>
  <c r="AM1040" i="48"/>
  <c r="AL1040" i="48"/>
  <c r="AM536" i="48"/>
  <c r="AL776" i="48"/>
  <c r="AM776" i="48"/>
  <c r="AL176" i="48"/>
  <c r="AM176" i="48"/>
  <c r="AM488" i="48"/>
  <c r="AL488" i="48"/>
  <c r="AL319" i="48"/>
  <c r="AM319" i="48"/>
  <c r="AL985" i="48"/>
  <c r="AM985" i="48"/>
  <c r="AM243" i="48"/>
  <c r="AL243" i="48"/>
  <c r="AL271" i="48"/>
  <c r="AM271" i="48"/>
  <c r="AM69" i="48"/>
  <c r="AL69" i="48"/>
  <c r="AL436" i="48"/>
  <c r="AM436" i="48"/>
  <c r="AL283" i="48"/>
  <c r="AM283" i="48"/>
  <c r="AL556" i="48"/>
  <c r="AM556" i="48"/>
  <c r="AM692" i="48"/>
  <c r="AL692" i="48"/>
  <c r="AL938" i="48"/>
  <c r="AM938" i="48"/>
  <c r="AL308" i="48"/>
  <c r="AM308" i="48"/>
  <c r="AM717" i="48"/>
  <c r="AL717" i="48"/>
  <c r="AL1322" i="48"/>
  <c r="AM1322" i="48"/>
  <c r="AM509" i="48"/>
  <c r="AL509" i="48"/>
  <c r="AM335" i="48"/>
  <c r="AL335" i="48"/>
  <c r="AL1057" i="48"/>
  <c r="AM1057" i="48"/>
  <c r="AL1063" i="48"/>
  <c r="AM1063" i="48"/>
  <c r="AL546" i="48"/>
  <c r="AM546" i="48"/>
  <c r="AM1277" i="48"/>
  <c r="AL1277" i="48"/>
  <c r="AM1012" i="48"/>
  <c r="AL1012" i="48"/>
  <c r="AL1326" i="48"/>
  <c r="AM1326" i="48"/>
  <c r="AM1107" i="48"/>
  <c r="AL1107" i="48"/>
  <c r="AL894" i="48"/>
  <c r="AM894" i="48"/>
  <c r="AL433" i="48"/>
  <c r="AM433" i="48"/>
  <c r="AL483" i="48"/>
  <c r="AM483" i="48"/>
  <c r="AM940" i="48"/>
  <c r="AL940" i="48"/>
  <c r="AL812" i="48"/>
  <c r="AM812" i="48"/>
  <c r="AM554" i="48"/>
  <c r="AL554" i="48"/>
  <c r="AL1251" i="48"/>
  <c r="AM1251" i="48"/>
  <c r="AL984" i="48"/>
  <c r="AM984" i="48"/>
  <c r="AL754" i="48"/>
  <c r="AM754" i="48"/>
  <c r="AM992" i="48"/>
  <c r="AL992" i="48"/>
  <c r="AM464" i="48"/>
  <c r="AL464" i="48"/>
  <c r="AM224" i="48"/>
  <c r="AL224" i="48"/>
  <c r="AL560" i="48"/>
  <c r="AM560" i="48"/>
  <c r="AM1088" i="48"/>
  <c r="AL1088" i="48"/>
  <c r="AM1254" i="48"/>
  <c r="AL1254" i="48"/>
  <c r="AL978" i="48"/>
  <c r="AM978" i="48"/>
  <c r="AL888" i="48"/>
  <c r="AM888" i="48"/>
  <c r="AM405" i="48"/>
  <c r="AL405" i="48"/>
  <c r="AL910" i="48"/>
  <c r="AM910" i="48"/>
  <c r="AL1060" i="48"/>
  <c r="AM1060" i="48"/>
  <c r="AM1054" i="48"/>
  <c r="AL1054" i="48"/>
  <c r="AM313" i="48"/>
  <c r="AL313" i="48"/>
  <c r="AM577" i="48"/>
  <c r="AL577" i="48"/>
  <c r="AM1301" i="48"/>
  <c r="AL1301" i="48"/>
  <c r="AL913" i="48"/>
  <c r="AM913" i="48"/>
  <c r="AL418" i="48"/>
  <c r="AM418" i="48"/>
  <c r="AM700" i="48"/>
  <c r="AL700" i="48"/>
  <c r="AM378" i="48"/>
  <c r="AL378" i="48"/>
  <c r="AM489" i="48"/>
  <c r="AL489" i="48"/>
  <c r="AM1062" i="48"/>
  <c r="AL1062" i="48"/>
  <c r="AL550" i="48"/>
  <c r="AM550" i="48"/>
  <c r="AM643" i="48"/>
  <c r="AL643" i="48"/>
  <c r="AL1111" i="48"/>
  <c r="AM1111" i="48"/>
  <c r="AL771" i="48"/>
  <c r="AM771" i="48"/>
  <c r="AL318" i="48"/>
  <c r="AM318" i="48"/>
  <c r="AM849" i="48"/>
  <c r="AL849" i="48"/>
  <c r="AL982" i="48"/>
  <c r="AM982" i="48"/>
  <c r="AM917" i="48"/>
  <c r="AL917" i="48"/>
  <c r="AM1161" i="48"/>
  <c r="AL1161" i="48"/>
  <c r="AM1324" i="48"/>
  <c r="AL1324" i="48"/>
  <c r="AL1135" i="48"/>
  <c r="AM1135" i="48"/>
  <c r="AL579" i="48"/>
  <c r="AM579" i="48"/>
  <c r="AM730" i="48"/>
  <c r="AL730" i="48"/>
  <c r="AL403" i="48"/>
  <c r="AM403" i="48"/>
  <c r="AL217" i="48"/>
  <c r="AM217" i="48"/>
  <c r="AL146" i="48"/>
  <c r="AM146" i="48"/>
  <c r="AM1152" i="48"/>
  <c r="AL1152" i="48"/>
  <c r="AM867" i="48"/>
  <c r="AL867" i="48"/>
  <c r="AL266" i="48"/>
  <c r="AM266" i="48"/>
  <c r="AM979" i="48"/>
  <c r="AL979" i="48"/>
  <c r="AL354" i="48"/>
  <c r="AM354" i="48"/>
  <c r="AM989" i="48"/>
  <c r="AL989" i="48"/>
  <c r="AL454" i="48"/>
  <c r="AM454" i="48"/>
  <c r="AL139" i="48"/>
  <c r="AM139" i="48"/>
  <c r="AM869" i="48"/>
  <c r="AL869" i="48"/>
  <c r="AM846" i="48"/>
  <c r="AL846" i="48"/>
  <c r="AL1246" i="48"/>
  <c r="AM1246" i="48"/>
  <c r="AM1173" i="48"/>
  <c r="AL1173" i="48"/>
  <c r="AM415" i="48"/>
  <c r="AL415" i="48"/>
  <c r="AL1231" i="48"/>
  <c r="AM1231" i="48"/>
  <c r="AL699" i="48"/>
  <c r="AM699" i="48"/>
  <c r="AL864" i="48"/>
  <c r="AM864" i="48"/>
  <c r="AL1125" i="48"/>
  <c r="AM1125" i="48"/>
  <c r="AM455" i="48"/>
  <c r="AL455" i="48"/>
  <c r="AL523" i="48"/>
  <c r="AM523" i="48"/>
  <c r="AM337" i="48"/>
  <c r="AL337" i="48"/>
  <c r="AM1224" i="48"/>
  <c r="AL1224" i="48"/>
  <c r="AL836" i="48"/>
  <c r="AM836" i="48"/>
  <c r="AM690" i="48"/>
  <c r="AL690" i="48"/>
  <c r="AM380" i="48"/>
  <c r="AL380" i="48"/>
  <c r="AL314" i="48"/>
  <c r="AM314" i="48"/>
  <c r="AM409" i="48"/>
  <c r="AL409" i="48"/>
  <c r="AL1087" i="48"/>
  <c r="AM1087" i="48"/>
  <c r="AL1123" i="48"/>
  <c r="AM1123" i="48"/>
  <c r="AL490" i="48"/>
  <c r="AM490" i="48"/>
  <c r="AM1128" i="48"/>
  <c r="AL1128" i="48"/>
  <c r="AL1248" i="48"/>
  <c r="AM1248" i="48"/>
  <c r="AM1279" i="48"/>
  <c r="AL1279" i="48"/>
  <c r="AL706" i="48"/>
  <c r="AM706" i="48"/>
  <c r="AM310" i="48"/>
  <c r="AL310" i="48"/>
  <c r="AM1010" i="48"/>
  <c r="AL1010" i="48"/>
  <c r="AM1232" i="48"/>
  <c r="AL1232" i="48"/>
  <c r="AM822" i="48"/>
  <c r="AL822" i="48"/>
  <c r="AL402" i="48"/>
  <c r="AM402" i="48"/>
  <c r="AL954" i="48"/>
  <c r="AM954" i="48"/>
  <c r="AL793" i="48"/>
  <c r="AM793" i="48"/>
  <c r="AL438" i="48"/>
  <c r="AM438" i="48"/>
  <c r="AL842" i="48"/>
  <c r="AM842" i="48"/>
  <c r="AL774" i="48"/>
  <c r="AM774" i="48"/>
  <c r="AM1292" i="48"/>
  <c r="AL1292" i="48"/>
  <c r="AL583" i="48"/>
  <c r="AM583" i="48"/>
  <c r="AM525" i="48"/>
  <c r="AL525" i="48"/>
  <c r="AL502" i="48"/>
  <c r="AM502" i="48"/>
  <c r="AM930" i="48"/>
  <c r="AL930" i="48"/>
  <c r="AL570" i="48"/>
  <c r="AM570" i="48"/>
  <c r="AM355" i="48"/>
  <c r="AL355" i="48"/>
  <c r="AL715" i="48"/>
  <c r="AM715" i="48"/>
  <c r="AL1011" i="48"/>
  <c r="AM1011" i="48"/>
  <c r="AL738" i="48"/>
  <c r="AM738" i="48"/>
  <c r="AL1082" i="48"/>
  <c r="AM1082" i="48"/>
  <c r="AL1037" i="48"/>
  <c r="AM1037" i="48"/>
  <c r="AM151" i="48"/>
  <c r="AL151" i="48"/>
  <c r="AL189" i="48"/>
  <c r="AM189" i="48"/>
  <c r="AL981" i="48"/>
  <c r="AM981" i="48"/>
  <c r="AM99" i="48"/>
  <c r="AL99" i="48"/>
  <c r="AL334" i="48"/>
  <c r="AM334" i="48"/>
  <c r="AM983" i="48"/>
  <c r="AL983" i="48"/>
  <c r="AL1171" i="48"/>
  <c r="AM1171" i="48"/>
  <c r="AM1050" i="48"/>
  <c r="AL1050" i="48"/>
  <c r="AM607" i="48"/>
  <c r="AL607" i="48"/>
  <c r="AM802" i="48"/>
  <c r="AL802" i="48"/>
  <c r="AL555" i="48"/>
  <c r="AM555" i="48"/>
  <c r="AM714" i="48"/>
  <c r="AL714" i="48"/>
  <c r="AL1271" i="48"/>
  <c r="AM1271" i="48"/>
  <c r="AL341" i="48"/>
  <c r="AM341" i="48"/>
  <c r="AL429" i="48"/>
  <c r="AM429" i="48"/>
  <c r="AL657" i="48"/>
  <c r="AM657" i="48"/>
  <c r="AM787" i="48"/>
  <c r="AL787" i="48"/>
  <c r="AM427" i="48"/>
  <c r="AL427" i="48"/>
  <c r="AL1325" i="48"/>
  <c r="AM1325" i="48"/>
  <c r="AL866" i="48"/>
  <c r="AM866" i="48"/>
  <c r="AM553" i="48"/>
  <c r="AL553" i="48"/>
  <c r="AM312" i="48"/>
  <c r="AL312" i="48"/>
  <c r="AM1174" i="48"/>
  <c r="AL1174" i="48"/>
  <c r="AM369" i="48"/>
  <c r="AL369" i="48"/>
  <c r="AL727" i="48"/>
  <c r="AM727" i="48"/>
  <c r="AL1003" i="48"/>
  <c r="AM1003" i="48"/>
  <c r="AL751" i="48"/>
  <c r="AM751" i="48"/>
  <c r="AL1273" i="48"/>
  <c r="AM1273" i="48"/>
  <c r="AM626" i="48"/>
  <c r="AL626" i="48"/>
  <c r="AL1106" i="48"/>
  <c r="AM1106" i="48"/>
  <c r="AM1274" i="48"/>
  <c r="AL1274" i="48"/>
  <c r="AL1058" i="48"/>
  <c r="AM1058" i="48"/>
  <c r="AL868" i="48"/>
  <c r="AM868" i="48"/>
  <c r="AM317" i="48"/>
  <c r="AL317" i="48"/>
  <c r="AL1256" i="48"/>
  <c r="AM1256" i="48"/>
  <c r="AL884" i="48"/>
  <c r="AM884" i="48"/>
  <c r="AM1178" i="48"/>
  <c r="AL1178" i="48"/>
  <c r="AL359" i="48"/>
  <c r="AM359" i="48"/>
  <c r="AM394" i="48"/>
  <c r="AL394" i="48"/>
  <c r="AL506" i="48"/>
  <c r="AM506" i="48"/>
  <c r="AL645" i="48"/>
  <c r="AM645" i="48"/>
  <c r="AL413" i="48"/>
  <c r="AM413" i="48"/>
  <c r="AM1320" i="48"/>
  <c r="AL1320" i="48"/>
  <c r="AM1266" i="48"/>
  <c r="AL1266" i="48"/>
  <c r="AM628" i="48"/>
  <c r="AL628" i="48"/>
  <c r="AM1108" i="48"/>
  <c r="AL1108" i="48"/>
  <c r="AL691" i="48"/>
  <c r="AM691" i="48"/>
  <c r="AM361" i="48"/>
  <c r="AL361" i="48"/>
  <c r="AL922" i="48"/>
  <c r="AM922" i="48"/>
  <c r="AL801" i="48"/>
  <c r="AM801" i="48"/>
  <c r="AL441" i="48"/>
  <c r="AM441" i="48"/>
  <c r="AL452" i="48"/>
  <c r="AM452" i="48"/>
  <c r="AL865" i="48"/>
  <c r="AM865" i="48"/>
  <c r="AL547" i="48"/>
  <c r="AM547" i="48"/>
  <c r="AL315" i="48"/>
  <c r="AM315" i="48"/>
  <c r="AM1253" i="48"/>
  <c r="AL1253" i="48"/>
  <c r="AM585" i="48"/>
  <c r="AL585" i="48"/>
  <c r="AL535" i="48"/>
  <c r="AM535" i="48"/>
  <c r="AL931" i="48"/>
  <c r="AM931" i="48"/>
  <c r="AM513" i="48"/>
  <c r="AL513" i="48"/>
  <c r="AM654" i="48"/>
  <c r="AL654" i="48"/>
  <c r="AL406" i="48"/>
  <c r="AM406" i="48"/>
  <c r="AL1272" i="48"/>
  <c r="AM1272" i="48"/>
  <c r="AM1316" i="48"/>
  <c r="AL1316" i="48"/>
  <c r="AL623" i="48"/>
  <c r="AM623" i="48"/>
  <c r="AL1099" i="48"/>
  <c r="AM1099" i="48"/>
  <c r="AL914" i="48"/>
  <c r="AM914" i="48"/>
  <c r="AL219" i="48"/>
  <c r="AM219" i="48"/>
  <c r="AM225" i="48"/>
  <c r="AL225" i="48"/>
  <c r="AL287" i="48"/>
  <c r="AM287" i="48"/>
  <c r="AL140" i="48"/>
  <c r="AM140" i="48"/>
  <c r="AL262" i="48"/>
  <c r="AM262" i="48"/>
  <c r="AL197" i="48"/>
  <c r="AM197" i="48"/>
  <c r="AL114" i="48"/>
  <c r="AM114" i="48"/>
  <c r="AL241" i="48"/>
  <c r="AM241" i="48"/>
  <c r="AM289" i="48"/>
  <c r="AL289" i="48"/>
  <c r="AM162" i="48"/>
  <c r="AL162" i="48"/>
  <c r="AL246" i="48"/>
  <c r="AM246" i="48"/>
  <c r="AL148" i="48"/>
  <c r="AM148" i="48"/>
  <c r="AL188" i="48"/>
  <c r="AM188" i="48"/>
  <c r="AM142" i="48"/>
  <c r="AL142" i="48"/>
  <c r="AM294" i="48"/>
  <c r="AL294" i="48"/>
  <c r="AL288" i="48"/>
  <c r="AM288" i="48"/>
  <c r="AL80" i="48"/>
  <c r="AM75" i="48"/>
  <c r="AL75" i="48"/>
  <c r="AM66" i="48"/>
  <c r="AL66" i="48"/>
  <c r="AM1177" i="48"/>
  <c r="AL1177" i="48"/>
  <c r="AL103" i="48"/>
  <c r="AM103" i="48"/>
  <c r="AL1059" i="48"/>
  <c r="AM1059" i="48"/>
  <c r="AM1293" i="48"/>
  <c r="AL1293" i="48"/>
  <c r="AL582" i="48"/>
  <c r="AM582" i="48"/>
  <c r="AM745" i="48"/>
  <c r="AL745" i="48"/>
  <c r="AL529" i="48"/>
  <c r="AM529" i="48"/>
  <c r="AM549" i="48"/>
  <c r="AL549" i="48"/>
  <c r="AL872" i="48"/>
  <c r="AM872" i="48"/>
  <c r="AL416" i="48"/>
  <c r="AM416" i="48"/>
  <c r="AL920" i="48"/>
  <c r="AM920" i="48"/>
  <c r="AL362" i="48"/>
  <c r="AM362" i="48"/>
  <c r="AL1218" i="48"/>
  <c r="AM1218" i="48"/>
  <c r="AL625" i="48"/>
  <c r="AM625" i="48"/>
  <c r="AM532" i="48"/>
  <c r="AL532" i="48"/>
  <c r="AM863" i="48"/>
  <c r="AL863" i="48"/>
  <c r="AL331" i="48"/>
  <c r="AM331" i="48"/>
  <c r="AL586" i="48"/>
  <c r="AM586" i="48"/>
  <c r="AM721" i="48"/>
  <c r="AL721" i="48"/>
  <c r="AL1252" i="48"/>
  <c r="AM1252" i="48"/>
  <c r="AL1053" i="48"/>
  <c r="AM1053" i="48"/>
  <c r="AL1030" i="48"/>
  <c r="AM1030" i="48"/>
  <c r="AM1109" i="48"/>
  <c r="AL1109" i="48"/>
  <c r="AL862" i="48"/>
  <c r="AM862" i="48"/>
  <c r="AM309" i="48"/>
  <c r="AL309" i="48"/>
  <c r="AM716" i="48"/>
  <c r="AL716" i="48"/>
  <c r="AM631" i="48"/>
  <c r="AL631" i="48"/>
  <c r="AM465" i="48"/>
  <c r="AL465" i="48"/>
  <c r="AL1297" i="48"/>
  <c r="AM1297" i="48"/>
  <c r="AM537" i="48"/>
  <c r="AL537" i="48"/>
  <c r="AL649" i="48"/>
  <c r="AM649" i="48"/>
  <c r="AM1282" i="48"/>
  <c r="AL1282" i="48"/>
  <c r="AM393" i="48"/>
  <c r="AL393" i="48"/>
  <c r="AL440" i="48"/>
  <c r="AM440" i="48"/>
  <c r="AL896" i="48"/>
  <c r="AM896" i="48"/>
  <c r="AL584" i="48"/>
  <c r="AM584" i="48"/>
  <c r="AM344" i="48"/>
  <c r="AL344" i="48"/>
  <c r="AL608" i="48"/>
  <c r="AM608" i="48"/>
  <c r="AL824" i="48"/>
  <c r="AM824" i="48"/>
  <c r="AL1328" i="48"/>
  <c r="AM1328" i="48"/>
  <c r="AL141" i="48"/>
  <c r="AM141" i="48"/>
  <c r="AL1183" i="48"/>
  <c r="AM1183" i="48"/>
  <c r="AM740" i="48"/>
  <c r="AL740" i="48"/>
  <c r="AM365" i="48"/>
  <c r="AL365" i="48"/>
  <c r="AM796" i="48"/>
  <c r="AL796" i="48"/>
  <c r="AM814" i="48"/>
  <c r="AL814" i="48"/>
  <c r="AN1250" i="48"/>
  <c r="AN362" i="48"/>
  <c r="AM128" i="48"/>
  <c r="AL128" i="48"/>
  <c r="AL1150" i="48"/>
  <c r="AM1150" i="48"/>
  <c r="AL1122" i="48"/>
  <c r="AM1122" i="48"/>
  <c r="AL503" i="48"/>
  <c r="AM503" i="48"/>
  <c r="AM249" i="48"/>
  <c r="AL249" i="48"/>
  <c r="AL386" i="48"/>
  <c r="AM386" i="48"/>
  <c r="AL1061" i="48"/>
  <c r="AM1061" i="48"/>
  <c r="AM790" i="48"/>
  <c r="AL790" i="48"/>
  <c r="AM915" i="48"/>
  <c r="AL915" i="48"/>
  <c r="AM1176" i="48"/>
  <c r="AL1176" i="48"/>
  <c r="AL747" i="48"/>
  <c r="AM747" i="48"/>
  <c r="AM578" i="48"/>
  <c r="AL578" i="48"/>
  <c r="AL389" i="48"/>
  <c r="AM389" i="48"/>
  <c r="AM743" i="48"/>
  <c r="AL743" i="48"/>
  <c r="AL697" i="48"/>
  <c r="AM697" i="48"/>
  <c r="AM746" i="48"/>
  <c r="AL746" i="48"/>
  <c r="AL1315" i="48"/>
  <c r="AM1315" i="48"/>
  <c r="AM932" i="48"/>
  <c r="AL932" i="48"/>
  <c r="AL1298" i="48"/>
  <c r="AM1298" i="48"/>
  <c r="AN319" i="48"/>
  <c r="AN534" i="48"/>
  <c r="AN1218" i="48"/>
  <c r="AN798" i="48"/>
  <c r="AN824" i="48"/>
  <c r="AL481" i="48"/>
  <c r="AM481" i="48"/>
  <c r="AM1032" i="48"/>
  <c r="AL1032" i="48"/>
  <c r="AL1038" i="48"/>
  <c r="AM1038" i="48"/>
  <c r="AL791" i="48"/>
  <c r="AM791" i="48"/>
  <c r="AL426" i="48"/>
  <c r="AM426" i="48"/>
  <c r="AL1209" i="48"/>
  <c r="AM1209" i="48"/>
  <c r="AL764" i="48"/>
  <c r="AM764" i="48"/>
  <c r="AL552" i="48"/>
  <c r="AM552" i="48"/>
  <c r="AM602" i="48"/>
  <c r="AL602" i="48"/>
  <c r="AM528" i="48"/>
  <c r="AL528" i="48"/>
  <c r="AL475" i="48"/>
  <c r="AM475" i="48"/>
  <c r="AM718" i="48"/>
  <c r="AL718" i="48"/>
  <c r="AM742" i="48"/>
  <c r="AL742" i="48"/>
  <c r="AL1077" i="48"/>
  <c r="AM1077" i="48"/>
  <c r="AL1035" i="48"/>
  <c r="AM1035" i="48"/>
  <c r="AL1207" i="48"/>
  <c r="AM1207" i="48"/>
  <c r="AL1300" i="48"/>
  <c r="AM1300" i="48"/>
  <c r="AL599" i="48"/>
  <c r="AM599" i="48"/>
  <c r="AL580" i="48"/>
  <c r="AM580" i="48"/>
  <c r="AL531" i="48"/>
  <c r="AM531" i="48"/>
  <c r="AM358" i="48"/>
  <c r="AL358" i="48"/>
  <c r="AL729" i="48"/>
  <c r="AM729" i="48"/>
  <c r="AL651" i="48"/>
  <c r="AM651" i="48"/>
  <c r="AL741" i="48"/>
  <c r="AM741" i="48"/>
  <c r="AM1226" i="48"/>
  <c r="AL1226" i="48"/>
  <c r="AM1029" i="48"/>
  <c r="AL1029" i="48"/>
  <c r="AM634" i="48"/>
  <c r="AL634" i="48"/>
  <c r="AL1114" i="48"/>
  <c r="AM1114" i="48"/>
  <c r="AL906" i="48"/>
  <c r="AM906" i="48"/>
  <c r="AL1275" i="48"/>
  <c r="AM1275" i="48"/>
  <c r="AL799" i="48"/>
  <c r="AM799" i="48"/>
  <c r="AM825" i="48"/>
  <c r="AL825" i="48"/>
  <c r="AM1203" i="48"/>
  <c r="AL1203" i="48"/>
  <c r="AM1302" i="48"/>
  <c r="AL1302" i="48"/>
  <c r="AM322" i="48"/>
  <c r="AL322" i="48"/>
  <c r="AL889" i="48"/>
  <c r="AM889" i="48"/>
  <c r="AM485" i="48"/>
  <c r="AL485" i="48"/>
  <c r="AL514" i="48"/>
  <c r="AM514" i="48"/>
  <c r="AL653" i="48"/>
  <c r="AM653" i="48"/>
  <c r="AM407" i="48"/>
  <c r="AL407" i="48"/>
  <c r="AL935" i="48"/>
  <c r="AM935" i="48"/>
  <c r="AL1281" i="48"/>
  <c r="AM1281" i="48"/>
  <c r="AL1033" i="48"/>
  <c r="AM1033" i="48"/>
  <c r="AL624" i="48"/>
  <c r="AM624" i="48"/>
  <c r="AL1113" i="48"/>
  <c r="AM1113" i="48"/>
  <c r="AL698" i="48"/>
  <c r="AM698" i="48"/>
  <c r="AL201" i="48"/>
  <c r="AM201" i="48"/>
  <c r="AL247" i="48"/>
  <c r="AM247" i="48"/>
  <c r="AM165" i="48"/>
  <c r="AL165" i="48"/>
  <c r="AM172" i="48"/>
  <c r="AL172" i="48"/>
  <c r="AM123" i="48"/>
  <c r="AL123" i="48"/>
  <c r="AL196" i="48"/>
  <c r="AM196" i="48"/>
  <c r="AM240" i="48"/>
  <c r="AL240" i="48"/>
  <c r="AL235" i="48"/>
  <c r="AM235" i="48"/>
  <c r="AL260" i="48"/>
  <c r="AM260" i="48"/>
  <c r="AL193" i="48"/>
  <c r="AM193" i="48"/>
  <c r="AL250" i="48"/>
  <c r="AM250" i="48"/>
  <c r="AL94" i="48"/>
  <c r="AM94" i="48"/>
  <c r="AL171" i="48"/>
  <c r="AM171" i="48"/>
  <c r="AM268" i="48"/>
  <c r="AL268" i="48"/>
  <c r="AL187" i="48"/>
  <c r="AM187" i="48"/>
  <c r="AL124" i="48"/>
  <c r="AM124" i="48"/>
  <c r="AM284" i="48"/>
  <c r="AL284" i="48"/>
  <c r="AM77" i="48"/>
  <c r="AL77" i="48"/>
  <c r="AL572" i="48"/>
  <c r="AM572" i="48"/>
  <c r="AL269" i="48"/>
  <c r="AM269" i="48"/>
  <c r="AN625" i="48"/>
  <c r="AN532" i="48"/>
  <c r="AN863" i="48"/>
  <c r="AN985" i="48"/>
  <c r="AN331" i="48"/>
  <c r="AN586" i="48"/>
  <c r="AN721" i="48"/>
  <c r="AN1252" i="48"/>
  <c r="AN1053" i="48"/>
  <c r="AN1030" i="48"/>
  <c r="AN1109" i="48"/>
  <c r="AN862" i="48"/>
  <c r="AN309" i="48"/>
  <c r="AN716" i="48"/>
  <c r="AN631" i="48"/>
  <c r="AN465" i="48"/>
  <c r="AN1297" i="48"/>
  <c r="AN537" i="48"/>
  <c r="AN649" i="48"/>
  <c r="AN1282" i="48"/>
  <c r="AN393" i="48"/>
  <c r="AN440" i="48"/>
  <c r="AN776" i="48"/>
  <c r="AN606" i="48"/>
  <c r="AN488" i="48"/>
  <c r="AN656" i="48"/>
  <c r="AN243" i="48"/>
  <c r="AN271" i="48"/>
  <c r="AN69" i="48"/>
  <c r="AN436" i="48"/>
  <c r="AN283" i="48"/>
  <c r="AN728" i="48"/>
  <c r="AN556" i="48"/>
  <c r="AN692" i="48"/>
  <c r="AN655" i="48"/>
  <c r="AN797" i="48"/>
  <c r="AN938" i="48"/>
  <c r="AN1290" i="48"/>
  <c r="AN308" i="48"/>
  <c r="AN883" i="48"/>
  <c r="AN717" i="48"/>
  <c r="AN1227" i="48"/>
  <c r="AN1322" i="48"/>
  <c r="AN916" i="48"/>
  <c r="AN509" i="48"/>
  <c r="AN150" i="48"/>
  <c r="AN1247" i="48"/>
  <c r="AN500" i="48"/>
  <c r="AN335" i="48"/>
  <c r="AN1057" i="48"/>
  <c r="AN811" i="48"/>
  <c r="AN1063" i="48"/>
  <c r="AN476" i="48"/>
  <c r="AN546" i="48"/>
  <c r="AN487" i="48"/>
  <c r="AN1277" i="48"/>
  <c r="AN1327" i="48"/>
  <c r="AN1012" i="48"/>
  <c r="AN620" i="48"/>
  <c r="AN346" i="48"/>
  <c r="AN1326" i="48"/>
  <c r="AN646" i="48"/>
  <c r="AN1107" i="48"/>
  <c r="AN1205" i="48"/>
  <c r="AN894" i="48"/>
  <c r="AN1075" i="48"/>
  <c r="AN603" i="48"/>
  <c r="AN433" i="48"/>
  <c r="AN1204" i="48"/>
  <c r="AN483" i="48"/>
  <c r="AN622" i="48"/>
  <c r="AN940" i="48"/>
  <c r="AN993" i="48"/>
  <c r="AN812" i="48"/>
  <c r="AN1202" i="48"/>
  <c r="AN554" i="48"/>
  <c r="AN321" i="48"/>
  <c r="AN1251" i="48"/>
  <c r="AN1172" i="48"/>
  <c r="AN984" i="48"/>
  <c r="AN1009" i="48"/>
  <c r="AN754" i="48"/>
  <c r="AL1089" i="48"/>
  <c r="AM1089" i="48"/>
  <c r="AM946" i="48"/>
  <c r="AL946" i="48"/>
  <c r="AL912" i="48"/>
  <c r="AM912" i="48"/>
  <c r="AL1276" i="48"/>
  <c r="AM1276" i="48"/>
  <c r="AL795" i="48"/>
  <c r="AM795" i="48"/>
  <c r="AL432" i="48"/>
  <c r="AM432" i="48"/>
  <c r="AL558" i="48"/>
  <c r="AM558" i="48"/>
  <c r="AL1134" i="48"/>
  <c r="AM1134" i="48"/>
  <c r="AM1245" i="48"/>
  <c r="AL1245" i="48"/>
  <c r="AM574" i="48"/>
  <c r="AL574" i="48"/>
  <c r="AM480" i="48"/>
  <c r="AL480" i="48"/>
  <c r="AL726" i="48"/>
  <c r="AM726" i="48"/>
  <c r="AL1015" i="48"/>
  <c r="AM1015" i="48"/>
  <c r="AM750" i="48"/>
  <c r="AL750" i="48"/>
  <c r="AL1085" i="48"/>
  <c r="AM1085" i="48"/>
  <c r="AL1221" i="48"/>
  <c r="AM1221" i="48"/>
  <c r="AM1026" i="48"/>
  <c r="AL1026" i="48"/>
  <c r="AM964" i="48"/>
  <c r="AL964" i="48"/>
  <c r="AM696" i="48"/>
  <c r="AL696" i="48"/>
  <c r="AL408" i="48"/>
  <c r="AM408" i="48"/>
  <c r="AL144" i="48"/>
  <c r="AM144" i="48"/>
  <c r="AM794" i="48"/>
  <c r="AL794" i="48"/>
  <c r="AM823" i="48"/>
  <c r="AL823" i="48"/>
  <c r="AM860" i="48"/>
  <c r="AL860" i="48"/>
  <c r="AM561" i="48"/>
  <c r="AL561" i="48"/>
  <c r="AM390" i="48"/>
  <c r="AL390" i="48"/>
  <c r="AL1243" i="48"/>
  <c r="AM1243" i="48"/>
  <c r="AN530" i="48"/>
  <c r="AN482" i="48"/>
  <c r="AN511" i="48"/>
  <c r="AN850" i="48"/>
  <c r="AN404" i="48"/>
  <c r="AN1268" i="48"/>
  <c r="AL621" i="48"/>
  <c r="AM621" i="48"/>
  <c r="AM693" i="48"/>
  <c r="AL693" i="48"/>
  <c r="AL244" i="48"/>
  <c r="AM244" i="48"/>
  <c r="AM263" i="48"/>
  <c r="AL263" i="48"/>
  <c r="AL221" i="48"/>
  <c r="AM221" i="48"/>
  <c r="AM213" i="48"/>
  <c r="AL213" i="48"/>
  <c r="AL195" i="48"/>
  <c r="AM195" i="48"/>
  <c r="AL117" i="48"/>
  <c r="AM117" i="48"/>
  <c r="AL147" i="48"/>
  <c r="AM147" i="48"/>
  <c r="AM102" i="48"/>
  <c r="AL102" i="48"/>
  <c r="AM292" i="48"/>
  <c r="AL292" i="48"/>
  <c r="AL270" i="48"/>
  <c r="AM270" i="48"/>
  <c r="AL190" i="48"/>
  <c r="AM190" i="48"/>
  <c r="AM127" i="48"/>
  <c r="AL127" i="48"/>
  <c r="AL220" i="48"/>
  <c r="AM220" i="48"/>
  <c r="AM175" i="48"/>
  <c r="AL175" i="48"/>
  <c r="AL118" i="48"/>
  <c r="AM118" i="48"/>
  <c r="AL91" i="48"/>
  <c r="AM91" i="48"/>
  <c r="AM293" i="48"/>
  <c r="AL293" i="48"/>
  <c r="AM71" i="48"/>
  <c r="AL71" i="48"/>
  <c r="AM79" i="48"/>
  <c r="AL79" i="48"/>
  <c r="AM67" i="48"/>
  <c r="AL67" i="48"/>
  <c r="AM650" i="48"/>
  <c r="AL650" i="48"/>
  <c r="AM479" i="48"/>
  <c r="AL479" i="48"/>
  <c r="AL1199" i="48"/>
  <c r="AM1199" i="48"/>
  <c r="AL526" i="48"/>
  <c r="AM526" i="48"/>
  <c r="AL958" i="48"/>
  <c r="AM958" i="48"/>
  <c r="AL474" i="48"/>
  <c r="AM474" i="48"/>
  <c r="AL450" i="48"/>
  <c r="AM450" i="48"/>
  <c r="AL723" i="48"/>
  <c r="AM723" i="48"/>
  <c r="AL652" i="48"/>
  <c r="AM652" i="48"/>
  <c r="AM391" i="48"/>
  <c r="AL391" i="48"/>
  <c r="AM658" i="48"/>
  <c r="AL658" i="48"/>
  <c r="AM963" i="48"/>
  <c r="AL963" i="48"/>
  <c r="AM748" i="48"/>
  <c r="AL748" i="48"/>
  <c r="AM859" i="48"/>
  <c r="AL859" i="48"/>
  <c r="AL874" i="48"/>
  <c r="AM874" i="48"/>
  <c r="AM937" i="48"/>
  <c r="AL937" i="48"/>
  <c r="AM478" i="48"/>
  <c r="AL478" i="48"/>
  <c r="AM417" i="48"/>
  <c r="AL417" i="48"/>
  <c r="AM956" i="48"/>
  <c r="AL956" i="48"/>
  <c r="AM1039" i="48"/>
  <c r="AL1039" i="48"/>
  <c r="AM610" i="48"/>
  <c r="AL610" i="48"/>
  <c r="AL522" i="48"/>
  <c r="AM522" i="48"/>
  <c r="AM834" i="48"/>
  <c r="AL834" i="48"/>
  <c r="AM382" i="48"/>
  <c r="AL382" i="48"/>
  <c r="AL813" i="48"/>
  <c r="AM813" i="48"/>
  <c r="AL320" i="48"/>
  <c r="AM320" i="48"/>
  <c r="AL356" i="48"/>
  <c r="AM356" i="48"/>
  <c r="AM1017" i="48"/>
  <c r="AL1017" i="48"/>
  <c r="AL1230" i="48"/>
  <c r="AM1230" i="48"/>
  <c r="AM619" i="48"/>
  <c r="AL619" i="48"/>
  <c r="AL1101" i="48"/>
  <c r="AM1101" i="48"/>
  <c r="AL343" i="48"/>
  <c r="AM343" i="48"/>
  <c r="AM216" i="48"/>
  <c r="AL216" i="48"/>
  <c r="AM98" i="48"/>
  <c r="AL98" i="48"/>
  <c r="AM95" i="48"/>
  <c r="AL95" i="48"/>
  <c r="AL273" i="48"/>
  <c r="AM273" i="48"/>
  <c r="AL149" i="48"/>
  <c r="AM149" i="48"/>
  <c r="AM120" i="48"/>
  <c r="AL120" i="48"/>
  <c r="AL238" i="48"/>
  <c r="AM238" i="48"/>
  <c r="AM248" i="48"/>
  <c r="AL248" i="48"/>
  <c r="AL198" i="48"/>
  <c r="AM198" i="48"/>
  <c r="AM295" i="48"/>
  <c r="AL295" i="48"/>
  <c r="AL817" i="48"/>
  <c r="AM817" i="48"/>
  <c r="AM890" i="48"/>
  <c r="AL890" i="48"/>
  <c r="AL505" i="48"/>
  <c r="AM505" i="48"/>
  <c r="AM316" i="48"/>
  <c r="AL316" i="48"/>
  <c r="AL342" i="48"/>
  <c r="AM342" i="48"/>
  <c r="AL1242" i="48"/>
  <c r="AM1242" i="48"/>
  <c r="AM987" i="48"/>
  <c r="AL987" i="48"/>
  <c r="AL1052" i="48"/>
  <c r="AM1052" i="48"/>
  <c r="AL461" i="48"/>
  <c r="AM461" i="48"/>
  <c r="AM1321" i="48"/>
  <c r="AL1321" i="48"/>
  <c r="AL1175" i="48"/>
  <c r="AM1175" i="48"/>
  <c r="AL498" i="48"/>
  <c r="AM498" i="48"/>
  <c r="AL412" i="48"/>
  <c r="AM412" i="48"/>
  <c r="AL627" i="48"/>
  <c r="AM627" i="48"/>
  <c r="AL647" i="48"/>
  <c r="AM647" i="48"/>
  <c r="AN551" i="48"/>
  <c r="AN893" i="48"/>
  <c r="AN642" i="48"/>
  <c r="AN1222" i="48"/>
  <c r="AN1004" i="48"/>
  <c r="AN990" i="48"/>
  <c r="AN632" i="48"/>
  <c r="AN719" i="48"/>
  <c r="AN870" i="48"/>
  <c r="AN1296" i="48"/>
  <c r="AN1197" i="48"/>
  <c r="AN885" i="48"/>
  <c r="AN1078" i="48"/>
  <c r="AN1103" i="48"/>
  <c r="AN575" i="48"/>
  <c r="AL1081" i="48"/>
  <c r="AM1081" i="48"/>
  <c r="AM1104" i="48"/>
  <c r="AL1104" i="48"/>
  <c r="AM1314" i="48"/>
  <c r="AL1314" i="48"/>
  <c r="AM333" i="48"/>
  <c r="AL333" i="48"/>
  <c r="AL387" i="48"/>
  <c r="AM387" i="48"/>
  <c r="AM1157" i="48"/>
  <c r="AL1157" i="48"/>
  <c r="AL847" i="48"/>
  <c r="AM847" i="48"/>
  <c r="AL1154" i="48"/>
  <c r="AM1154" i="48"/>
  <c r="AL437" i="48"/>
  <c r="AM437" i="48"/>
  <c r="AL1201" i="48"/>
  <c r="AM1201" i="48"/>
  <c r="AM1008" i="48"/>
  <c r="AL1008" i="48"/>
  <c r="AN1257" i="48"/>
  <c r="AN1151" i="48"/>
  <c r="AN1055" i="48"/>
  <c r="AN819" i="48"/>
  <c r="AN1196" i="48"/>
  <c r="AN768" i="48"/>
  <c r="AN1295" i="48"/>
  <c r="AN882" i="48"/>
  <c r="AN527" i="48"/>
  <c r="AN484" i="48"/>
  <c r="AN499" i="48"/>
  <c r="AN463" i="48"/>
  <c r="AN1329" i="48"/>
  <c r="AN451" i="48"/>
  <c r="AN959" i="48"/>
  <c r="AN909" i="48"/>
  <c r="AN789" i="48"/>
  <c r="AN1126" i="48"/>
  <c r="AN770" i="48"/>
  <c r="AN1299" i="48"/>
  <c r="AN598" i="48"/>
  <c r="AN1258" i="48"/>
  <c r="AN571" i="48"/>
  <c r="AN533" i="48"/>
  <c r="AN477" i="48"/>
  <c r="AN722" i="48"/>
  <c r="AN1014" i="48"/>
  <c r="AN739" i="48"/>
  <c r="AN1074" i="48"/>
  <c r="AN1229" i="48"/>
  <c r="AN980" i="48"/>
  <c r="AN961" i="48"/>
  <c r="AN921" i="48"/>
  <c r="AN600" i="48"/>
  <c r="AN1158" i="48"/>
  <c r="AN458" i="48"/>
  <c r="AN434" i="48"/>
  <c r="AN1198" i="48"/>
  <c r="AN778" i="48"/>
  <c r="AN845" i="48"/>
  <c r="AN596" i="48"/>
  <c r="AN898" i="48"/>
  <c r="AN1185" i="48"/>
  <c r="AN486" i="48"/>
  <c r="AN385" i="48"/>
  <c r="AN1138" i="48"/>
  <c r="AN1079" i="48"/>
  <c r="AN1233" i="48"/>
  <c r="AN1034" i="48"/>
  <c r="AN630" i="48"/>
  <c r="AN970" i="48"/>
  <c r="AN911" i="48"/>
  <c r="AN1124" i="48"/>
  <c r="AN222" i="48"/>
  <c r="AN177" i="48"/>
  <c r="AN218" i="48"/>
  <c r="AN92" i="48"/>
  <c r="AN163" i="48"/>
  <c r="AN236" i="48"/>
  <c r="AN90" i="48"/>
  <c r="AN122" i="48"/>
  <c r="AN210" i="48"/>
  <c r="AN176" i="48"/>
  <c r="AN202" i="48"/>
  <c r="AN116" i="48"/>
  <c r="AN267" i="48"/>
  <c r="AN115" i="48"/>
  <c r="AN96" i="48"/>
  <c r="AN282" i="48"/>
  <c r="AN68" i="48"/>
  <c r="AN78" i="48"/>
  <c r="AN843" i="48"/>
  <c r="AN886" i="48"/>
  <c r="AN1146" i="48"/>
  <c r="AN1131" i="48"/>
  <c r="AN1244" i="48"/>
  <c r="AN383" i="48"/>
  <c r="AN1028" i="48"/>
  <c r="AM1225" i="48"/>
  <c r="AL1225" i="48"/>
  <c r="AL1100" i="48"/>
  <c r="AM1100" i="48"/>
  <c r="AM594" i="48"/>
  <c r="AL594" i="48"/>
  <c r="AL1148" i="48"/>
  <c r="AM1148" i="48"/>
  <c r="AL994" i="48"/>
  <c r="AM994" i="48"/>
  <c r="AM1170" i="48"/>
  <c r="AL1170" i="48"/>
  <c r="AL384" i="48"/>
  <c r="AM384" i="48"/>
  <c r="AM1137" i="48"/>
  <c r="AL1137" i="48"/>
  <c r="AL1159" i="48"/>
  <c r="AM1159" i="48"/>
  <c r="AM306" i="48"/>
  <c r="AL306" i="48"/>
  <c r="AM724" i="48"/>
  <c r="AL724" i="48"/>
  <c r="AL1083" i="48"/>
  <c r="AM1083" i="48"/>
  <c r="AM633" i="48"/>
  <c r="AL633" i="48"/>
  <c r="AL705" i="48"/>
  <c r="AM705" i="48"/>
  <c r="AM138" i="48"/>
  <c r="AL138" i="48"/>
  <c r="AL1305" i="48"/>
  <c r="AM1305" i="48"/>
  <c r="AL840" i="48"/>
  <c r="AM840" i="48"/>
  <c r="AM744" i="48"/>
  <c r="AL744" i="48"/>
  <c r="AM1278" i="48"/>
  <c r="AL1278" i="48"/>
  <c r="AL918" i="48"/>
  <c r="AM918" i="48"/>
  <c r="AM166" i="48"/>
  <c r="AL166" i="48"/>
  <c r="AM97" i="48"/>
  <c r="AL97" i="48"/>
  <c r="AM291" i="48"/>
  <c r="AL291" i="48"/>
  <c r="AM72" i="48"/>
  <c r="AL72" i="48"/>
  <c r="AL462" i="48"/>
  <c r="AM462" i="48"/>
  <c r="AN549" i="48"/>
  <c r="AL597" i="48"/>
  <c r="AM597" i="48"/>
  <c r="AG968" i="48" l="1"/>
  <c r="BL61" i="48"/>
  <c r="BM61" i="48" s="1"/>
  <c r="AG1208" i="48"/>
  <c r="AJ1208" i="48" s="1"/>
  <c r="AD1280" i="48"/>
  <c r="AL1280" i="48"/>
  <c r="AJ129" i="48"/>
  <c r="AK129" i="48"/>
  <c r="AK1305" i="48"/>
  <c r="AJ1305" i="48"/>
  <c r="AJ441" i="48"/>
  <c r="AK441" i="48"/>
  <c r="AJ369" i="48"/>
  <c r="AK369" i="48"/>
  <c r="AJ1041" i="48"/>
  <c r="AK1041" i="48"/>
  <c r="AK1306" i="48"/>
  <c r="AJ1306" i="48"/>
  <c r="AK489" i="48"/>
  <c r="AJ489" i="48"/>
  <c r="AK634" i="48"/>
  <c r="AJ634" i="48"/>
  <c r="AK488" i="48"/>
  <c r="AJ488" i="48"/>
  <c r="AK416" i="48"/>
  <c r="AJ416" i="48"/>
  <c r="AK562" i="48"/>
  <c r="AJ562" i="48"/>
  <c r="AK921" i="48"/>
  <c r="AJ921" i="48"/>
  <c r="AK248" i="48"/>
  <c r="AJ248" i="48"/>
  <c r="AK417" i="48"/>
  <c r="AJ417" i="48"/>
  <c r="AK1232" i="48"/>
  <c r="AJ1232" i="48"/>
  <c r="AK586" i="48"/>
  <c r="AJ586" i="48"/>
  <c r="AK1330" i="48"/>
  <c r="AJ1330" i="48"/>
  <c r="AK608" i="48"/>
  <c r="AJ608" i="48"/>
  <c r="AK994" i="48"/>
  <c r="AJ994" i="48"/>
  <c r="AK801" i="48"/>
  <c r="AJ801" i="48"/>
  <c r="AK346" i="48"/>
  <c r="AJ346" i="48"/>
  <c r="AK1113" i="48"/>
  <c r="AJ1113" i="48"/>
  <c r="AJ128" i="48"/>
  <c r="AK128" i="48"/>
  <c r="AK1208" i="48"/>
  <c r="AJ945" i="48"/>
  <c r="AK945" i="48"/>
  <c r="AK1138" i="48"/>
  <c r="AJ1138" i="48"/>
  <c r="AK610" i="48"/>
  <c r="AJ610" i="48"/>
  <c r="AK561" i="48"/>
  <c r="AJ561" i="48"/>
  <c r="AJ393" i="48"/>
  <c r="AK393" i="48"/>
  <c r="AK1210" i="48"/>
  <c r="AJ1210" i="48"/>
  <c r="AJ656" i="48"/>
  <c r="AK656" i="48"/>
  <c r="AK297" i="48"/>
  <c r="AJ297" i="48"/>
  <c r="AK840" i="48"/>
  <c r="AJ840" i="48"/>
  <c r="AK391" i="48"/>
  <c r="AJ391" i="48"/>
  <c r="AK239" i="48"/>
  <c r="AJ239" i="48"/>
  <c r="AK1221" i="48"/>
  <c r="AJ1221" i="48"/>
  <c r="AK1245" i="48"/>
  <c r="AJ1245" i="48"/>
  <c r="AK1270" i="48"/>
  <c r="AJ1270" i="48"/>
  <c r="AK579" i="48"/>
  <c r="AJ579" i="48"/>
  <c r="AK1129" i="48"/>
  <c r="AJ1129" i="48"/>
  <c r="AK821" i="48"/>
  <c r="AJ821" i="48"/>
  <c r="AK408" i="48"/>
  <c r="AJ408" i="48"/>
  <c r="AJ648" i="48"/>
  <c r="AK648" i="48"/>
  <c r="AK558" i="48"/>
  <c r="AJ558" i="48"/>
  <c r="AK554" i="48"/>
  <c r="AJ554" i="48"/>
  <c r="AK483" i="48"/>
  <c r="AJ483" i="48"/>
  <c r="AJ123" i="48"/>
  <c r="AK123" i="48"/>
  <c r="AK695" i="48"/>
  <c r="AJ695" i="48"/>
  <c r="AK885" i="48"/>
  <c r="AJ885" i="48"/>
  <c r="AK799" i="48"/>
  <c r="AJ799" i="48"/>
  <c r="AK718" i="48"/>
  <c r="AJ718" i="48"/>
  <c r="AJ941" i="48"/>
  <c r="AK941" i="48"/>
  <c r="AJ932" i="48"/>
  <c r="AK932" i="48"/>
  <c r="AK1176" i="48"/>
  <c r="AJ1176" i="48"/>
  <c r="AK982" i="48"/>
  <c r="AJ982" i="48"/>
  <c r="AK631" i="48"/>
  <c r="AJ631" i="48"/>
  <c r="AK862" i="48"/>
  <c r="AJ862" i="48"/>
  <c r="AK1109" i="48"/>
  <c r="AJ1109" i="48"/>
  <c r="AK1179" i="48"/>
  <c r="AJ1179" i="48"/>
  <c r="AK1200" i="48"/>
  <c r="AJ1200" i="48"/>
  <c r="AK266" i="48"/>
  <c r="AJ266" i="48"/>
  <c r="AK288" i="48"/>
  <c r="AJ288" i="48"/>
  <c r="AJ596" i="48"/>
  <c r="AK596" i="48"/>
  <c r="AJ359" i="48"/>
  <c r="AK359" i="48"/>
  <c r="AK884" i="48"/>
  <c r="AJ884" i="48"/>
  <c r="AJ429" i="48"/>
  <c r="AK429" i="48"/>
  <c r="AK818" i="48"/>
  <c r="AJ818" i="48"/>
  <c r="AJ1036" i="48"/>
  <c r="AK1036" i="48"/>
  <c r="AK1255" i="48"/>
  <c r="AJ1255" i="48"/>
  <c r="AK870" i="48"/>
  <c r="AJ870" i="48"/>
  <c r="AK983" i="48"/>
  <c r="AJ983" i="48"/>
  <c r="AK981" i="48"/>
  <c r="AJ981" i="48"/>
  <c r="AK916" i="48"/>
  <c r="AJ916" i="48"/>
  <c r="AK745" i="48"/>
  <c r="AJ745" i="48"/>
  <c r="AK308" i="48"/>
  <c r="AJ308" i="48"/>
  <c r="AK655" i="48"/>
  <c r="AJ655" i="48"/>
  <c r="AK794" i="48"/>
  <c r="AJ794" i="48"/>
  <c r="AK1130" i="48"/>
  <c r="AJ1130" i="48"/>
  <c r="AK1009" i="48"/>
  <c r="AJ1009" i="48"/>
  <c r="AK433" i="48"/>
  <c r="AJ433" i="48"/>
  <c r="AK380" i="48"/>
  <c r="AJ380" i="48"/>
  <c r="AK1293" i="48"/>
  <c r="AJ1293" i="48"/>
  <c r="AK456" i="48"/>
  <c r="AJ456" i="48"/>
  <c r="AK844" i="48"/>
  <c r="AJ844" i="48"/>
  <c r="AK509" i="48"/>
  <c r="AJ509" i="48"/>
  <c r="AK1324" i="48"/>
  <c r="AJ1324" i="48"/>
  <c r="AK1062" i="48"/>
  <c r="AJ1062" i="48"/>
  <c r="AJ124" i="48"/>
  <c r="AK124" i="48"/>
  <c r="AK764" i="48"/>
  <c r="AJ764" i="48"/>
  <c r="AK319" i="48"/>
  <c r="AJ319" i="48"/>
  <c r="AJ201" i="48"/>
  <c r="AK201" i="48"/>
  <c r="AK701" i="48"/>
  <c r="AJ701" i="48"/>
  <c r="AK869" i="48"/>
  <c r="AJ869" i="48"/>
  <c r="AK1102" i="48"/>
  <c r="AJ1102" i="48"/>
  <c r="AJ383" i="48"/>
  <c r="AK383" i="48"/>
  <c r="AK812" i="48"/>
  <c r="AJ812" i="48"/>
  <c r="AK1327" i="48"/>
  <c r="AJ1327" i="48"/>
  <c r="AK476" i="48"/>
  <c r="AJ476" i="48"/>
  <c r="AJ644" i="48"/>
  <c r="AK644" i="48"/>
  <c r="AK170" i="48"/>
  <c r="AJ170" i="48"/>
  <c r="AJ1039" i="48"/>
  <c r="AK1039" i="48"/>
  <c r="AK963" i="48"/>
  <c r="AJ963" i="48"/>
  <c r="AK723" i="48"/>
  <c r="AJ723" i="48"/>
  <c r="AK338" i="48"/>
  <c r="AJ338" i="48"/>
  <c r="AK774" i="48"/>
  <c r="AJ774" i="48"/>
  <c r="AK1297" i="48"/>
  <c r="AJ1297" i="48"/>
  <c r="AJ1030" i="48"/>
  <c r="AK1030" i="48"/>
  <c r="AJ625" i="48"/>
  <c r="AK625" i="48"/>
  <c r="AK94" i="48"/>
  <c r="AJ94" i="48"/>
  <c r="AK576" i="48"/>
  <c r="AJ576" i="48"/>
  <c r="AK1056" i="48"/>
  <c r="AJ1056" i="48"/>
  <c r="AK405" i="48"/>
  <c r="AJ405" i="48"/>
  <c r="AK363" i="48"/>
  <c r="AJ363" i="48"/>
  <c r="AK271" i="48"/>
  <c r="AJ271" i="48"/>
  <c r="AK343" i="48"/>
  <c r="AJ343" i="48"/>
  <c r="AK1031" i="48"/>
  <c r="AJ1031" i="48"/>
  <c r="AJ286" i="48"/>
  <c r="AK286" i="48"/>
  <c r="AK606" i="48"/>
  <c r="AJ606" i="48"/>
  <c r="AK891" i="48"/>
  <c r="AJ891" i="48"/>
  <c r="AK1159" i="48"/>
  <c r="AJ1159" i="48"/>
  <c r="AJ384" i="48"/>
  <c r="AK384" i="48"/>
  <c r="AK773" i="48"/>
  <c r="AJ773" i="48"/>
  <c r="AK937" i="48"/>
  <c r="AJ937" i="48"/>
  <c r="AJ933" i="48"/>
  <c r="AK933" i="48"/>
  <c r="AK913" i="48"/>
  <c r="AJ913" i="48"/>
  <c r="AK863" i="48"/>
  <c r="AJ863" i="48"/>
  <c r="AK1054" i="48"/>
  <c r="AJ1054" i="48"/>
  <c r="AK1125" i="48"/>
  <c r="AJ1125" i="48"/>
  <c r="AK846" i="48"/>
  <c r="AJ846" i="48"/>
  <c r="AK987" i="48"/>
  <c r="AJ987" i="48"/>
  <c r="AJ357" i="48"/>
  <c r="AK357" i="48"/>
  <c r="AK240" i="48"/>
  <c r="AJ240" i="48"/>
  <c r="AJ653" i="48"/>
  <c r="AK653" i="48"/>
  <c r="AK269" i="48"/>
  <c r="AJ269" i="48"/>
  <c r="AK549" i="48"/>
  <c r="AJ549" i="48"/>
  <c r="AK1079" i="48"/>
  <c r="AJ1079" i="48"/>
  <c r="AK698" i="48"/>
  <c r="AJ698" i="48"/>
  <c r="AK889" i="48"/>
  <c r="AJ889" i="48"/>
  <c r="AJ1323" i="48"/>
  <c r="AK1323" i="48"/>
  <c r="AK1294" i="48"/>
  <c r="AJ1294" i="48"/>
  <c r="AK842" i="48"/>
  <c r="AJ842" i="48"/>
  <c r="AK868" i="48"/>
  <c r="AJ868" i="48"/>
  <c r="AK1106" i="48"/>
  <c r="AJ1106" i="48"/>
  <c r="AK95" i="48"/>
  <c r="AJ95" i="48"/>
  <c r="AK649" i="48"/>
  <c r="AJ649" i="48"/>
  <c r="AK741" i="48"/>
  <c r="AJ741" i="48"/>
  <c r="AK96" i="48"/>
  <c r="AJ96" i="48"/>
  <c r="AK202" i="48"/>
  <c r="AJ202" i="48"/>
  <c r="AK333" i="48"/>
  <c r="AJ333" i="48"/>
  <c r="AK1197" i="48"/>
  <c r="AJ1197" i="48"/>
  <c r="AJ1004" i="48"/>
  <c r="AK1004" i="48"/>
  <c r="AK1175" i="48"/>
  <c r="AJ1175" i="48"/>
  <c r="AK938" i="48"/>
  <c r="AJ938" i="48"/>
  <c r="AK989" i="48"/>
  <c r="AJ989" i="48"/>
  <c r="AK843" i="48"/>
  <c r="AJ843" i="48"/>
  <c r="AK193" i="48"/>
  <c r="AJ193" i="48"/>
  <c r="AJ624" i="48"/>
  <c r="AK624" i="48"/>
  <c r="AK152" i="48"/>
  <c r="AJ152" i="48"/>
  <c r="AK322" i="48"/>
  <c r="AJ322" i="48"/>
  <c r="AK705" i="48"/>
  <c r="AJ705" i="48"/>
  <c r="AK922" i="48"/>
  <c r="AJ922" i="48"/>
  <c r="AJ657" i="48"/>
  <c r="AK657" i="48"/>
  <c r="AK1162" i="48"/>
  <c r="AJ1162" i="48"/>
  <c r="AK321" i="48"/>
  <c r="AJ321" i="48"/>
  <c r="AK418" i="48"/>
  <c r="AJ418" i="48"/>
  <c r="AK1209" i="48"/>
  <c r="AJ1209" i="48"/>
  <c r="AK176" i="48"/>
  <c r="AJ176" i="48"/>
  <c r="AK872" i="48"/>
  <c r="AJ872" i="48"/>
  <c r="AK177" i="48"/>
  <c r="AJ177" i="48"/>
  <c r="AJ1329" i="48"/>
  <c r="AK1329" i="48"/>
  <c r="AJ273" i="48"/>
  <c r="AK273" i="48"/>
  <c r="AK106" i="48"/>
  <c r="AJ106" i="48"/>
  <c r="AK440" i="48"/>
  <c r="AJ440" i="48"/>
  <c r="AK130" i="48"/>
  <c r="AJ130" i="48"/>
  <c r="AK826" i="48"/>
  <c r="AJ826" i="48"/>
  <c r="AK344" i="48"/>
  <c r="AJ344" i="48"/>
  <c r="AK80" i="48"/>
  <c r="AJ80" i="48"/>
  <c r="AK1042" i="48"/>
  <c r="AJ1042" i="48"/>
  <c r="AK730" i="48"/>
  <c r="AJ730" i="48"/>
  <c r="AK825" i="48"/>
  <c r="AJ825" i="48"/>
  <c r="AJ1088" i="48"/>
  <c r="AK1088" i="48"/>
  <c r="AK464" i="48"/>
  <c r="AJ464" i="48"/>
  <c r="AK1234" i="48"/>
  <c r="AJ1234" i="48"/>
  <c r="AK1185" i="48"/>
  <c r="AJ1185" i="48"/>
  <c r="AK874" i="48"/>
  <c r="AJ874" i="48"/>
  <c r="AK946" i="48"/>
  <c r="AJ946" i="48"/>
  <c r="AK81" i="48"/>
  <c r="AJ81" i="48"/>
  <c r="AK466" i="48"/>
  <c r="AJ466" i="48"/>
  <c r="AK1112" i="48"/>
  <c r="AJ1112" i="48"/>
  <c r="AJ1013" i="48"/>
  <c r="AK1013" i="48"/>
  <c r="AK154" i="48"/>
  <c r="AJ154" i="48"/>
  <c r="AJ1318" i="48"/>
  <c r="AK1318" i="48"/>
  <c r="AK386" i="48"/>
  <c r="AJ386" i="48"/>
  <c r="AK1275" i="48"/>
  <c r="AJ1275" i="48"/>
  <c r="AK415" i="48"/>
  <c r="AJ415" i="48"/>
  <c r="AJ1035" i="48"/>
  <c r="AK1035" i="48"/>
  <c r="AK70" i="48"/>
  <c r="AJ70" i="48"/>
  <c r="AK270" i="48"/>
  <c r="AJ270" i="48"/>
  <c r="AK693" i="48"/>
  <c r="AJ693" i="48"/>
  <c r="AK1206" i="48"/>
  <c r="AJ1206" i="48"/>
  <c r="AJ815" i="48"/>
  <c r="AK815" i="48"/>
  <c r="AJ939" i="48"/>
  <c r="AK939" i="48"/>
  <c r="AK68" i="48"/>
  <c r="AJ68" i="48"/>
  <c r="AK510" i="48"/>
  <c r="AJ510" i="48"/>
  <c r="AJ121" i="48"/>
  <c r="AK121" i="48"/>
  <c r="AK956" i="48"/>
  <c r="AJ956" i="48"/>
  <c r="AK1010" i="48"/>
  <c r="AJ1010" i="48"/>
  <c r="AK1053" i="48"/>
  <c r="AJ1053" i="48"/>
  <c r="AJ1033" i="48"/>
  <c r="AK1033" i="48"/>
  <c r="AK1303" i="48"/>
  <c r="AJ1303" i="48"/>
  <c r="AK439" i="48"/>
  <c r="AJ439" i="48"/>
  <c r="AJ1150" i="48"/>
  <c r="AK1150" i="48"/>
  <c r="AK462" i="48"/>
  <c r="AJ462" i="48"/>
  <c r="AK103" i="48"/>
  <c r="AJ103" i="48"/>
  <c r="AK175" i="48"/>
  <c r="AJ175" i="48"/>
  <c r="AK620" i="48"/>
  <c r="AJ620" i="48"/>
  <c r="AK412" i="48"/>
  <c r="AJ412" i="48"/>
  <c r="AK814" i="48"/>
  <c r="AJ814" i="48"/>
  <c r="AJ1151" i="48"/>
  <c r="AK1151" i="48"/>
  <c r="AJ936" i="48"/>
  <c r="AK936" i="48"/>
  <c r="AK356" i="48"/>
  <c r="AJ356" i="48"/>
  <c r="AJ192" i="48"/>
  <c r="AK192" i="48"/>
  <c r="AK766" i="48"/>
  <c r="AJ766" i="48"/>
  <c r="AK1203" i="48"/>
  <c r="AJ1203" i="48"/>
  <c r="AK1269" i="48"/>
  <c r="AJ1269" i="48"/>
  <c r="AJ358" i="48"/>
  <c r="AK358" i="48"/>
  <c r="AK796" i="48"/>
  <c r="AJ796" i="48"/>
  <c r="AK166" i="48"/>
  <c r="AJ166" i="48"/>
  <c r="AJ116" i="48"/>
  <c r="AK116" i="48"/>
  <c r="AK486" i="48"/>
  <c r="AJ486" i="48"/>
  <c r="AK1202" i="48"/>
  <c r="AJ1202" i="48"/>
  <c r="AJ1326" i="48"/>
  <c r="AK1326" i="48"/>
  <c r="AK1277" i="48"/>
  <c r="AJ1277" i="48"/>
  <c r="AK1247" i="48"/>
  <c r="AJ1247" i="48"/>
  <c r="AK69" i="48"/>
  <c r="AJ69" i="48"/>
  <c r="AK173" i="48"/>
  <c r="AJ173" i="48"/>
  <c r="AJ196" i="48"/>
  <c r="AK196" i="48"/>
  <c r="AK93" i="48"/>
  <c r="AJ93" i="48"/>
  <c r="AK285" i="48"/>
  <c r="AJ285" i="48"/>
  <c r="AK168" i="48"/>
  <c r="AJ168" i="48"/>
  <c r="AK410" i="48"/>
  <c r="AJ410" i="48"/>
  <c r="AK892" i="48"/>
  <c r="AJ892" i="48"/>
  <c r="AK917" i="48"/>
  <c r="AJ917" i="48"/>
  <c r="AK557" i="48"/>
  <c r="AJ557" i="48"/>
  <c r="AK577" i="48"/>
  <c r="AJ577" i="48"/>
  <c r="AJ1322" i="48"/>
  <c r="AK1322" i="48"/>
  <c r="AK1052" i="48"/>
  <c r="AJ1052" i="48"/>
  <c r="AK559" i="48"/>
  <c r="AJ559" i="48"/>
  <c r="AK172" i="48"/>
  <c r="AJ172" i="48"/>
  <c r="AK962" i="48"/>
  <c r="AJ962" i="48"/>
  <c r="AK548" i="48"/>
  <c r="AJ548" i="48"/>
  <c r="AK481" i="48"/>
  <c r="AJ481" i="48"/>
  <c r="AK1298" i="48"/>
  <c r="AJ1298" i="48"/>
  <c r="AK697" i="48"/>
  <c r="AJ697" i="48"/>
  <c r="AK1061" i="48"/>
  <c r="AJ1061" i="48"/>
  <c r="AK246" i="48"/>
  <c r="AJ246" i="48"/>
  <c r="AJ122" i="48"/>
  <c r="AK122" i="48"/>
  <c r="AK92" i="48"/>
  <c r="AJ92" i="48"/>
  <c r="AJ219" i="48"/>
  <c r="AK219" i="48"/>
  <c r="AK1316" i="48"/>
  <c r="AJ1316" i="48"/>
  <c r="AK406" i="48"/>
  <c r="AJ406" i="48"/>
  <c r="AK1198" i="48"/>
  <c r="AJ1198" i="48"/>
  <c r="AK458" i="48"/>
  <c r="AJ458" i="48"/>
  <c r="AK600" i="48"/>
  <c r="AJ600" i="48"/>
  <c r="AK980" i="48"/>
  <c r="AJ980" i="48"/>
  <c r="AK413" i="48"/>
  <c r="AJ413" i="48"/>
  <c r="AK506" i="48"/>
  <c r="AJ506" i="48"/>
  <c r="AK1299" i="48"/>
  <c r="AJ1299" i="48"/>
  <c r="AK1274" i="48"/>
  <c r="AJ1274" i="48"/>
  <c r="AK959" i="48"/>
  <c r="AJ959" i="48"/>
  <c r="AK751" i="48"/>
  <c r="AJ751" i="48"/>
  <c r="AK727" i="48"/>
  <c r="AJ727" i="48"/>
  <c r="AK312" i="48"/>
  <c r="AJ312" i="48"/>
  <c r="AK866" i="48"/>
  <c r="AJ866" i="48"/>
  <c r="AK1081" i="48"/>
  <c r="AJ1081" i="48"/>
  <c r="AK341" i="48"/>
  <c r="AJ341" i="48"/>
  <c r="AK1177" i="48"/>
  <c r="AJ1177" i="48"/>
  <c r="AK788" i="48"/>
  <c r="AJ788" i="48"/>
  <c r="AJ125" i="48"/>
  <c r="AK125" i="48"/>
  <c r="AK213" i="48"/>
  <c r="AJ213" i="48"/>
  <c r="AK244" i="48"/>
  <c r="AJ244" i="48"/>
  <c r="AK267" i="48"/>
  <c r="AJ267" i="48"/>
  <c r="AK748" i="48"/>
  <c r="AJ748" i="48"/>
  <c r="AK336" i="48"/>
  <c r="AJ336" i="48"/>
  <c r="AK986" i="48"/>
  <c r="AJ986" i="48"/>
  <c r="AK626" i="48"/>
  <c r="AJ626" i="48"/>
  <c r="AK1296" i="48"/>
  <c r="AJ1296" i="48"/>
  <c r="AK1222" i="48"/>
  <c r="AJ1222" i="48"/>
  <c r="AK463" i="48"/>
  <c r="AJ463" i="48"/>
  <c r="AK847" i="48"/>
  <c r="AJ847" i="48"/>
  <c r="AK890" i="48"/>
  <c r="AJ890" i="48"/>
  <c r="AJ216" i="48"/>
  <c r="AK216" i="48"/>
  <c r="AK411" i="48"/>
  <c r="AJ411" i="48"/>
  <c r="AK958" i="48"/>
  <c r="AJ958" i="48"/>
  <c r="AJ215" i="48"/>
  <c r="AK215" i="48"/>
  <c r="AK966" i="48"/>
  <c r="AJ966" i="48"/>
  <c r="AK696" i="48"/>
  <c r="AJ696" i="48"/>
  <c r="AK480" i="48"/>
  <c r="AJ480" i="48"/>
  <c r="AK432" i="48"/>
  <c r="AJ432" i="48"/>
  <c r="AK1059" i="48"/>
  <c r="AJ1059" i="48"/>
  <c r="AK73" i="48"/>
  <c r="AJ73" i="48"/>
  <c r="AK118" i="48"/>
  <c r="AJ118" i="48"/>
  <c r="AJ1037" i="48"/>
  <c r="AK1037" i="48"/>
  <c r="AJ1317" i="48"/>
  <c r="AK1317" i="48"/>
  <c r="AK76" i="48"/>
  <c r="AJ76" i="48"/>
  <c r="AK1278" i="48"/>
  <c r="AJ1278" i="48"/>
  <c r="AK991" i="48"/>
  <c r="AJ991" i="48"/>
  <c r="AK167" i="48"/>
  <c r="AJ167" i="48"/>
  <c r="AK453" i="48"/>
  <c r="AJ453" i="48"/>
  <c r="AK574" i="48"/>
  <c r="AJ574" i="48"/>
  <c r="AK1248" i="48"/>
  <c r="AJ1248" i="48"/>
  <c r="AK1224" i="48"/>
  <c r="AJ1224" i="48"/>
  <c r="AK295" i="48"/>
  <c r="AJ295" i="48"/>
  <c r="AK171" i="48"/>
  <c r="AJ171" i="48"/>
  <c r="AK220" i="48"/>
  <c r="AJ220" i="48"/>
  <c r="AK988" i="48"/>
  <c r="AJ988" i="48"/>
  <c r="AK298" i="48"/>
  <c r="AJ298" i="48"/>
  <c r="AK191" i="48"/>
  <c r="AJ191" i="48"/>
  <c r="AK311" i="48"/>
  <c r="AJ311" i="48"/>
  <c r="AK335" i="48"/>
  <c r="AJ335" i="48"/>
  <c r="AK309" i="48"/>
  <c r="AJ309" i="48"/>
  <c r="AK578" i="48"/>
  <c r="AJ578" i="48"/>
  <c r="AK838" i="48"/>
  <c r="AJ838" i="48"/>
  <c r="AK725" i="48"/>
  <c r="AJ725" i="48"/>
  <c r="AK861" i="48"/>
  <c r="AJ861" i="48"/>
  <c r="AK484" i="48"/>
  <c r="AJ484" i="48"/>
  <c r="AK1055" i="48"/>
  <c r="AJ1055" i="48"/>
  <c r="AK1131" i="48"/>
  <c r="AJ1131" i="48"/>
  <c r="AK621" i="48"/>
  <c r="AJ621" i="48"/>
  <c r="AK218" i="48"/>
  <c r="AJ218" i="48"/>
  <c r="AK1271" i="48"/>
  <c r="AJ1271" i="48"/>
  <c r="AK164" i="48"/>
  <c r="AJ164" i="48"/>
  <c r="AJ214" i="48"/>
  <c r="AK214" i="48"/>
  <c r="AK651" i="48"/>
  <c r="AJ651" i="48"/>
  <c r="AK888" i="48"/>
  <c r="AJ888" i="48"/>
  <c r="AK79" i="48"/>
  <c r="AJ79" i="48"/>
  <c r="AJ197" i="48"/>
  <c r="AK197" i="48"/>
  <c r="AK222" i="48"/>
  <c r="AJ222" i="48"/>
  <c r="AK911" i="48"/>
  <c r="AJ911" i="48"/>
  <c r="AK1034" i="48"/>
  <c r="AJ1034" i="48"/>
  <c r="AK385" i="48"/>
  <c r="AJ385" i="48"/>
  <c r="AK315" i="48"/>
  <c r="AJ315" i="48"/>
  <c r="AK452" i="48"/>
  <c r="AJ452" i="48"/>
  <c r="AK1229" i="48"/>
  <c r="AJ1229" i="48"/>
  <c r="AK722" i="48"/>
  <c r="AJ722" i="48"/>
  <c r="AK1196" i="48"/>
  <c r="AJ1196" i="48"/>
  <c r="AJ437" i="48"/>
  <c r="AK437" i="48"/>
  <c r="AK504" i="48"/>
  <c r="AJ504" i="48"/>
  <c r="AK1172" i="48"/>
  <c r="AJ1172" i="48"/>
  <c r="AK603" i="48"/>
  <c r="AJ603" i="48"/>
  <c r="AK836" i="48"/>
  <c r="AJ836" i="48"/>
  <c r="AJ1028" i="48"/>
  <c r="AK1028" i="48"/>
  <c r="AK284" i="48"/>
  <c r="AJ284" i="48"/>
  <c r="AK627" i="48"/>
  <c r="AJ627" i="48"/>
  <c r="AK414" i="48"/>
  <c r="AJ414" i="48"/>
  <c r="AK791" i="48"/>
  <c r="AJ791" i="48"/>
  <c r="AK367" i="48"/>
  <c r="AJ367" i="48"/>
  <c r="AK908" i="48"/>
  <c r="AJ908" i="48"/>
  <c r="AK1227" i="48"/>
  <c r="AJ1227" i="48"/>
  <c r="AK316" i="48"/>
  <c r="AJ316" i="48"/>
  <c r="AK1249" i="48"/>
  <c r="AJ1249" i="48"/>
  <c r="AK428" i="48"/>
  <c r="AJ428" i="48"/>
  <c r="AK746" i="48"/>
  <c r="AJ746" i="48"/>
  <c r="AK503" i="48"/>
  <c r="AJ503" i="48"/>
  <c r="AK169" i="48"/>
  <c r="AJ169" i="48"/>
  <c r="AK332" i="48"/>
  <c r="AJ332" i="48"/>
  <c r="AK511" i="48"/>
  <c r="AJ511" i="48"/>
  <c r="AJ390" i="48"/>
  <c r="AK390" i="48"/>
  <c r="AK964" i="48"/>
  <c r="AJ964" i="48"/>
  <c r="AK1134" i="48"/>
  <c r="AJ1134" i="48"/>
  <c r="AK894" i="48"/>
  <c r="AJ894" i="48"/>
  <c r="AK314" i="48"/>
  <c r="AJ314" i="48"/>
  <c r="AK717" i="48"/>
  <c r="AJ717" i="48"/>
  <c r="AK1160" i="48"/>
  <c r="AJ1160" i="48"/>
  <c r="AK1137" i="48"/>
  <c r="AJ1137" i="48"/>
  <c r="AK394" i="48"/>
  <c r="AJ394" i="48"/>
  <c r="AJ632" i="48"/>
  <c r="AK632" i="48"/>
  <c r="AK1065" i="48"/>
  <c r="AJ1065" i="48"/>
  <c r="AK993" i="48"/>
  <c r="AJ993" i="48"/>
  <c r="AK1281" i="48"/>
  <c r="AJ1281" i="48"/>
  <c r="AK249" i="48"/>
  <c r="AJ249" i="48"/>
  <c r="AK776" i="48"/>
  <c r="AJ776" i="48"/>
  <c r="AK896" i="48"/>
  <c r="AJ896" i="48"/>
  <c r="AK970" i="48"/>
  <c r="AJ970" i="48"/>
  <c r="AK1257" i="48"/>
  <c r="AJ1257" i="48"/>
  <c r="AJ1017" i="48"/>
  <c r="AK1017" i="48"/>
  <c r="AK274" i="48"/>
  <c r="AJ274" i="48"/>
  <c r="AK1282" i="48"/>
  <c r="AJ1282" i="48"/>
  <c r="AK178" i="48"/>
  <c r="AJ178" i="48"/>
  <c r="AJ1328" i="48"/>
  <c r="AK1328" i="48"/>
  <c r="AK584" i="48"/>
  <c r="AJ584" i="48"/>
  <c r="AK225" i="48"/>
  <c r="AJ225" i="48"/>
  <c r="AK777" i="48"/>
  <c r="AJ777" i="48"/>
  <c r="AJ1161" i="48"/>
  <c r="AK1161" i="48"/>
  <c r="AK1114" i="48"/>
  <c r="AJ1114" i="48"/>
  <c r="AK560" i="48"/>
  <c r="AJ560" i="48"/>
  <c r="AK992" i="48"/>
  <c r="AJ992" i="48"/>
  <c r="AK345" i="48"/>
  <c r="AJ345" i="48"/>
  <c r="AK778" i="48"/>
  <c r="AJ778" i="48"/>
  <c r="AK658" i="48"/>
  <c r="AJ658" i="48"/>
  <c r="AK706" i="48"/>
  <c r="AJ706" i="48"/>
  <c r="AK105" i="48"/>
  <c r="AJ105" i="48"/>
  <c r="AK609" i="48"/>
  <c r="AJ609" i="48"/>
  <c r="AK1184" i="48"/>
  <c r="AJ1184" i="48"/>
  <c r="AK1066" i="48"/>
  <c r="AJ1066" i="48"/>
  <c r="AK100" i="48"/>
  <c r="AJ100" i="48"/>
  <c r="AJ292" i="48"/>
  <c r="AK292" i="48"/>
  <c r="AK221" i="48"/>
  <c r="AJ221" i="48"/>
  <c r="AK1015" i="48"/>
  <c r="AJ1015" i="48"/>
  <c r="AK1231" i="48"/>
  <c r="AJ1231" i="48"/>
  <c r="AK1207" i="48"/>
  <c r="AJ1207" i="48"/>
  <c r="AK581" i="48"/>
  <c r="AJ581" i="48"/>
  <c r="AJ388" i="48"/>
  <c r="AK388" i="48"/>
  <c r="AK1182" i="48"/>
  <c r="AJ1182" i="48"/>
  <c r="AK795" i="48"/>
  <c r="AJ795" i="48"/>
  <c r="AK793" i="48"/>
  <c r="AJ793" i="48"/>
  <c r="AK247" i="48"/>
  <c r="AJ247" i="48"/>
  <c r="AK1103" i="48"/>
  <c r="AJ1103" i="48"/>
  <c r="AK767" i="48"/>
  <c r="AJ767" i="48"/>
  <c r="AJ1080" i="48"/>
  <c r="AK1080" i="48"/>
  <c r="AK552" i="48"/>
  <c r="AJ552" i="48"/>
  <c r="AK1060" i="48"/>
  <c r="AJ1060" i="48"/>
  <c r="AK724" i="48"/>
  <c r="AJ724" i="48"/>
  <c r="AK501" i="48"/>
  <c r="AJ501" i="48"/>
  <c r="AJ431" i="48"/>
  <c r="AK431" i="48"/>
  <c r="AK965" i="48"/>
  <c r="AJ965" i="48"/>
  <c r="AK1156" i="48"/>
  <c r="AJ1156" i="48"/>
  <c r="AK700" i="48"/>
  <c r="AJ700" i="48"/>
  <c r="AK479" i="48"/>
  <c r="AJ479" i="48"/>
  <c r="AK78" i="48"/>
  <c r="AJ78" i="48"/>
  <c r="AJ294" i="48"/>
  <c r="AK294" i="48"/>
  <c r="AK845" i="48"/>
  <c r="AJ845" i="48"/>
  <c r="AK1178" i="48"/>
  <c r="AJ1178" i="48"/>
  <c r="AK839" i="48"/>
  <c r="AJ839" i="48"/>
  <c r="AJ943" i="48"/>
  <c r="AK943" i="48"/>
  <c r="AJ387" i="48"/>
  <c r="AK387" i="48"/>
  <c r="AK607" i="48"/>
  <c r="AJ607" i="48"/>
  <c r="AK719" i="48"/>
  <c r="AJ719" i="48"/>
  <c r="AK334" i="48"/>
  <c r="AJ334" i="48"/>
  <c r="AK459" i="48"/>
  <c r="AJ459" i="48"/>
  <c r="AK797" i="48"/>
  <c r="AJ797" i="48"/>
  <c r="AK457" i="48"/>
  <c r="AJ457" i="48"/>
  <c r="AK912" i="48"/>
  <c r="AJ912" i="48"/>
  <c r="AK1251" i="48"/>
  <c r="AJ1251" i="48"/>
  <c r="AK1205" i="48"/>
  <c r="AJ1205" i="48"/>
  <c r="AK1057" i="48"/>
  <c r="AJ1057" i="48"/>
  <c r="AJ942" i="48"/>
  <c r="AK942" i="48"/>
  <c r="AK97" i="48"/>
  <c r="AJ97" i="48"/>
  <c r="AJ1148" i="48"/>
  <c r="AK1148" i="48"/>
  <c r="AK1292" i="48"/>
  <c r="AJ1292" i="48"/>
  <c r="AK217" i="48"/>
  <c r="AJ217" i="48"/>
  <c r="AK1252" i="48"/>
  <c r="AJ1252" i="48"/>
  <c r="AJ1077" i="48"/>
  <c r="AK1077" i="48"/>
  <c r="AJ1032" i="48"/>
  <c r="AK1032" i="48"/>
  <c r="AK1183" i="48"/>
  <c r="AJ1183" i="48"/>
  <c r="AK742" i="48"/>
  <c r="AJ742" i="48"/>
  <c r="AK984" i="48"/>
  <c r="AJ984" i="48"/>
  <c r="AJ291" i="48"/>
  <c r="AK291" i="48"/>
  <c r="AK1100" i="48"/>
  <c r="AJ1100" i="48"/>
  <c r="AK871" i="48"/>
  <c r="AJ871" i="48"/>
  <c r="AK957" i="48"/>
  <c r="AJ957" i="48"/>
  <c r="AK940" i="48"/>
  <c r="AJ940" i="48"/>
  <c r="AK487" i="48"/>
  <c r="AJ487" i="48"/>
  <c r="AK119" i="48"/>
  <c r="AJ119" i="48"/>
  <c r="AK1105" i="48"/>
  <c r="AJ1105" i="48"/>
  <c r="AK478" i="48"/>
  <c r="AJ478" i="48"/>
  <c r="AK652" i="48"/>
  <c r="AJ652" i="48"/>
  <c r="AK265" i="48"/>
  <c r="AJ265" i="48"/>
  <c r="AK583" i="48"/>
  <c r="AJ583" i="48"/>
  <c r="AK716" i="48"/>
  <c r="AJ716" i="48"/>
  <c r="AK721" i="48"/>
  <c r="AJ721" i="48"/>
  <c r="AK74" i="48"/>
  <c r="AJ74" i="48"/>
  <c r="AK242" i="48"/>
  <c r="AJ242" i="48"/>
  <c r="AK1007" i="48"/>
  <c r="AJ1007" i="48"/>
  <c r="AK340" i="48"/>
  <c r="AJ340" i="48"/>
  <c r="AK599" i="48"/>
  <c r="AJ599" i="48"/>
  <c r="AK605" i="48"/>
  <c r="AJ605" i="48"/>
  <c r="AJ365" i="48"/>
  <c r="AK365" i="48"/>
  <c r="AK243" i="48"/>
  <c r="AJ243" i="48"/>
  <c r="AK967" i="48"/>
  <c r="AJ967" i="48"/>
  <c r="AK1076" i="48"/>
  <c r="AJ1076" i="48"/>
  <c r="AK1180" i="48"/>
  <c r="AJ1180" i="48"/>
  <c r="AJ1083" i="48"/>
  <c r="AK1083" i="48"/>
  <c r="AK318" i="48"/>
  <c r="AJ318" i="48"/>
  <c r="AK1111" i="48"/>
  <c r="AJ1111" i="48"/>
  <c r="AK460" i="48"/>
  <c r="AJ460" i="48"/>
  <c r="AJ816" i="48"/>
  <c r="AK816" i="48"/>
  <c r="AK820" i="48"/>
  <c r="AJ820" i="48"/>
  <c r="AK1225" i="48"/>
  <c r="AJ1225" i="48"/>
  <c r="AK985" i="48"/>
  <c r="AJ985" i="48"/>
  <c r="AK313" i="48"/>
  <c r="AJ313" i="48"/>
  <c r="AK189" i="48"/>
  <c r="AJ189" i="48"/>
  <c r="AK647" i="48"/>
  <c r="AJ647" i="48"/>
  <c r="AK461" i="48"/>
  <c r="AJ461" i="48"/>
  <c r="AK342" i="48"/>
  <c r="AJ342" i="48"/>
  <c r="AK261" i="48"/>
  <c r="AJ261" i="48"/>
  <c r="AK165" i="48"/>
  <c r="AJ165" i="48"/>
  <c r="AK339" i="48"/>
  <c r="AJ339" i="48"/>
  <c r="AK744" i="48"/>
  <c r="AJ744" i="48"/>
  <c r="AJ1086" i="48"/>
  <c r="AK1086" i="48"/>
  <c r="AK1302" i="48"/>
  <c r="AJ1302" i="48"/>
  <c r="AK507" i="48"/>
  <c r="AJ507" i="48"/>
  <c r="AJ1153" i="48"/>
  <c r="AK1153" i="48"/>
  <c r="AJ598" i="48"/>
  <c r="AK598" i="48"/>
  <c r="AK1058" i="48"/>
  <c r="AJ1058" i="48"/>
  <c r="AJ382" i="48"/>
  <c r="AK382" i="48"/>
  <c r="AK1301" i="48"/>
  <c r="AJ1301" i="48"/>
  <c r="AJ1029" i="48"/>
  <c r="AK1029" i="48"/>
  <c r="AK188" i="48"/>
  <c r="AJ188" i="48"/>
  <c r="AK775" i="48"/>
  <c r="AJ775" i="48"/>
  <c r="AJ1078" i="48"/>
  <c r="AK1078" i="48"/>
  <c r="AJ1084" i="48"/>
  <c r="AK1084" i="48"/>
  <c r="AK1246" i="48"/>
  <c r="AJ1246" i="48"/>
  <c r="AK454" i="48"/>
  <c r="AJ454" i="48"/>
  <c r="AK650" i="48"/>
  <c r="AJ650" i="48"/>
  <c r="AK77" i="48"/>
  <c r="AJ77" i="48"/>
  <c r="AK194" i="48"/>
  <c r="AJ194" i="48"/>
  <c r="AK749" i="48"/>
  <c r="AJ749" i="48"/>
  <c r="AJ1040" i="48"/>
  <c r="AK1040" i="48"/>
  <c r="AK585" i="48"/>
  <c r="AJ585" i="48"/>
  <c r="AK1256" i="48"/>
  <c r="AJ1256" i="48"/>
  <c r="AK897" i="48"/>
  <c r="AJ897" i="48"/>
  <c r="AK753" i="48"/>
  <c r="AJ753" i="48"/>
  <c r="AK849" i="48"/>
  <c r="AJ849" i="48"/>
  <c r="AK514" i="48"/>
  <c r="AJ514" i="48"/>
  <c r="AK968" i="48"/>
  <c r="AJ968" i="48"/>
  <c r="AK920" i="48"/>
  <c r="AJ920" i="48"/>
  <c r="AK512" i="48"/>
  <c r="AJ512" i="48"/>
  <c r="AK898" i="48"/>
  <c r="AJ898" i="48"/>
  <c r="AK802" i="48"/>
  <c r="AJ802" i="48"/>
  <c r="AK320" i="48"/>
  <c r="AJ320" i="48"/>
  <c r="AJ1089" i="48"/>
  <c r="AK1089" i="48"/>
  <c r="AK465" i="48"/>
  <c r="AJ465" i="48"/>
  <c r="AK104" i="48"/>
  <c r="AJ104" i="48"/>
  <c r="AK824" i="48"/>
  <c r="AJ824" i="48"/>
  <c r="AJ633" i="48"/>
  <c r="AK633" i="48"/>
  <c r="AK513" i="48"/>
  <c r="AJ513" i="48"/>
  <c r="AK754" i="48"/>
  <c r="AJ754" i="48"/>
  <c r="AK250" i="48"/>
  <c r="AJ250" i="48"/>
  <c r="AK729" i="48"/>
  <c r="AJ729" i="48"/>
  <c r="AK224" i="48"/>
  <c r="AJ224" i="48"/>
  <c r="AJ1016" i="48"/>
  <c r="AK1016" i="48"/>
  <c r="AK1233" i="48"/>
  <c r="AJ1233" i="48"/>
  <c r="AK1258" i="48"/>
  <c r="AJ1258" i="48"/>
  <c r="AK850" i="48"/>
  <c r="AJ850" i="48"/>
  <c r="AK490" i="48"/>
  <c r="AJ490" i="48"/>
  <c r="AK969" i="48"/>
  <c r="AJ969" i="48"/>
  <c r="AK873" i="48"/>
  <c r="AJ873" i="48"/>
  <c r="AK1300" i="48"/>
  <c r="AJ1300" i="48"/>
  <c r="AK629" i="48"/>
  <c r="AJ629" i="48"/>
  <c r="AK601" i="48"/>
  <c r="AJ601" i="48"/>
  <c r="AJ1038" i="48"/>
  <c r="AK1038" i="48"/>
  <c r="AJ935" i="48"/>
  <c r="AK935" i="48"/>
  <c r="AK1319" i="48"/>
  <c r="AJ1319" i="48"/>
  <c r="AK102" i="48"/>
  <c r="AJ102" i="48"/>
  <c r="AK337" i="48"/>
  <c r="AJ337" i="48"/>
  <c r="AK1228" i="48"/>
  <c r="AJ1228" i="48"/>
  <c r="AK582" i="48"/>
  <c r="AJ582" i="48"/>
  <c r="AK893" i="48"/>
  <c r="AJ893" i="48"/>
  <c r="AK817" i="48"/>
  <c r="AJ817" i="48"/>
  <c r="AK703" i="48"/>
  <c r="AJ703" i="48"/>
  <c r="AK508" i="48"/>
  <c r="AJ508" i="48"/>
  <c r="AK1199" i="48"/>
  <c r="AJ1199" i="48"/>
  <c r="AK822" i="48"/>
  <c r="AJ822" i="48"/>
  <c r="AK1128" i="48"/>
  <c r="AJ1128" i="48"/>
  <c r="AK550" i="48"/>
  <c r="AJ550" i="48"/>
  <c r="AK1181" i="48"/>
  <c r="AJ1181" i="48"/>
  <c r="AK702" i="48"/>
  <c r="AJ702" i="48"/>
  <c r="AK407" i="48"/>
  <c r="AJ407" i="48"/>
  <c r="AK798" i="48"/>
  <c r="AJ798" i="48"/>
  <c r="AK430" i="48"/>
  <c r="AJ430" i="48"/>
  <c r="AK1132" i="48"/>
  <c r="AJ1132" i="48"/>
  <c r="AK362" i="48"/>
  <c r="AJ362" i="48"/>
  <c r="AJ296" i="48"/>
  <c r="AK296" i="48"/>
  <c r="AJ1321" i="48"/>
  <c r="AK1321" i="48"/>
  <c r="AK867" i="48"/>
  <c r="AJ867" i="48"/>
  <c r="AJ646" i="48"/>
  <c r="AK646" i="48"/>
  <c r="AK409" i="48"/>
  <c r="AJ409" i="48"/>
  <c r="AK1173" i="48"/>
  <c r="AJ1173" i="48"/>
  <c r="AJ1152" i="48"/>
  <c r="AK1152" i="48"/>
  <c r="AK1157" i="48"/>
  <c r="AJ1157" i="48"/>
  <c r="AK238" i="48"/>
  <c r="AJ238" i="48"/>
  <c r="AK934" i="48"/>
  <c r="AJ934" i="48"/>
  <c r="AJ1011" i="48"/>
  <c r="AK1011" i="48"/>
  <c r="AK1279" i="48"/>
  <c r="AJ1279" i="48"/>
  <c r="AJ366" i="48"/>
  <c r="AK366" i="48"/>
  <c r="AK919" i="48"/>
  <c r="AJ919" i="48"/>
  <c r="AK1133" i="48"/>
  <c r="AJ1133" i="48"/>
  <c r="AK602" i="48"/>
  <c r="AJ602" i="48"/>
  <c r="AK127" i="48"/>
  <c r="AJ127" i="48"/>
  <c r="AK886" i="48"/>
  <c r="AJ886" i="48"/>
  <c r="AK287" i="48"/>
  <c r="AJ287" i="48"/>
  <c r="AK1108" i="48"/>
  <c r="AJ1108" i="48"/>
  <c r="AK1204" i="48"/>
  <c r="AJ1204" i="48"/>
  <c r="AK1087" i="48"/>
  <c r="AJ1087" i="48"/>
  <c r="AK1063" i="48"/>
  <c r="AJ1063" i="48"/>
  <c r="AK699" i="48"/>
  <c r="AJ699" i="48"/>
  <c r="AK572" i="48"/>
  <c r="AJ572" i="48"/>
  <c r="AJ260" i="48"/>
  <c r="AK260" i="48"/>
  <c r="AJ264" i="48"/>
  <c r="AK264" i="48"/>
  <c r="AJ198" i="48"/>
  <c r="AK198" i="48"/>
  <c r="AK98" i="48"/>
  <c r="AJ98" i="48"/>
  <c r="AK918" i="48"/>
  <c r="AJ918" i="48"/>
  <c r="AK1135" i="48"/>
  <c r="AJ1135" i="48"/>
  <c r="AJ1006" i="48"/>
  <c r="AK1006" i="48"/>
  <c r="AK455" i="48"/>
  <c r="AJ455" i="48"/>
  <c r="AK1244" i="48"/>
  <c r="AJ1244" i="48"/>
  <c r="AK556" i="48"/>
  <c r="AJ556" i="48"/>
  <c r="AK174" i="48"/>
  <c r="AJ174" i="48"/>
  <c r="AJ1149" i="48"/>
  <c r="AK1149" i="48"/>
  <c r="AK580" i="48"/>
  <c r="AJ580" i="48"/>
  <c r="AJ1005" i="48"/>
  <c r="AK1005" i="48"/>
  <c r="AK910" i="48"/>
  <c r="AJ910" i="48"/>
  <c r="AK765" i="48"/>
  <c r="AJ765" i="48"/>
  <c r="AK551" i="48"/>
  <c r="AJ551" i="48"/>
  <c r="AK289" i="48"/>
  <c r="AJ289" i="48"/>
  <c r="AK236" i="48"/>
  <c r="AJ236" i="48"/>
  <c r="AK914" i="48"/>
  <c r="AJ914" i="48"/>
  <c r="AJ623" i="48"/>
  <c r="AK623" i="48"/>
  <c r="AK1272" i="48"/>
  <c r="AJ1272" i="48"/>
  <c r="AK434" i="48"/>
  <c r="AJ434" i="48"/>
  <c r="AK1158" i="48"/>
  <c r="AJ1158" i="48"/>
  <c r="AK961" i="48"/>
  <c r="AJ961" i="48"/>
  <c r="AJ1320" i="48"/>
  <c r="AK1320" i="48"/>
  <c r="AJ645" i="48"/>
  <c r="AK645" i="48"/>
  <c r="AK317" i="48"/>
  <c r="AJ317" i="48"/>
  <c r="AK1126" i="48"/>
  <c r="AJ1126" i="48"/>
  <c r="AK909" i="48"/>
  <c r="AJ909" i="48"/>
  <c r="AK1273" i="48"/>
  <c r="AJ1273" i="48"/>
  <c r="AK1174" i="48"/>
  <c r="AJ1174" i="48"/>
  <c r="AK553" i="48"/>
  <c r="AJ553" i="48"/>
  <c r="AJ1325" i="48"/>
  <c r="AK1325" i="48"/>
  <c r="AK1104" i="48"/>
  <c r="AJ1104" i="48"/>
  <c r="AK575" i="48"/>
  <c r="AJ575" i="48"/>
  <c r="AK555" i="48"/>
  <c r="AJ555" i="48"/>
  <c r="AK381" i="48"/>
  <c r="AJ381" i="48"/>
  <c r="AK769" i="48"/>
  <c r="AJ769" i="48"/>
  <c r="AK237" i="48"/>
  <c r="AJ237" i="48"/>
  <c r="AJ117" i="48"/>
  <c r="AK117" i="48"/>
  <c r="AJ126" i="48"/>
  <c r="AK126" i="48"/>
  <c r="AK1101" i="48"/>
  <c r="AJ1101" i="48"/>
  <c r="AJ190" i="48"/>
  <c r="AK190" i="48"/>
  <c r="AJ1085" i="48"/>
  <c r="AK1085" i="48"/>
  <c r="AK990" i="48"/>
  <c r="AJ990" i="48"/>
  <c r="AK895" i="48"/>
  <c r="AJ895" i="48"/>
  <c r="AK241" i="48"/>
  <c r="AJ241" i="48"/>
  <c r="AK789" i="48"/>
  <c r="AJ789" i="48"/>
  <c r="AK819" i="48"/>
  <c r="AJ819" i="48"/>
  <c r="AK1110" i="48"/>
  <c r="AJ1110" i="48"/>
  <c r="AJ120" i="48"/>
  <c r="AK120" i="48"/>
  <c r="AK1230" i="48"/>
  <c r="AJ1230" i="48"/>
  <c r="AJ212" i="48"/>
  <c r="AK212" i="48"/>
  <c r="AK101" i="48"/>
  <c r="AJ101" i="48"/>
  <c r="AK482" i="48"/>
  <c r="AJ482" i="48"/>
  <c r="AK750" i="48"/>
  <c r="AJ750" i="48"/>
  <c r="AK887" i="48"/>
  <c r="AJ887" i="48"/>
  <c r="AK502" i="48"/>
  <c r="AJ502" i="48"/>
  <c r="AK720" i="48"/>
  <c r="AJ720" i="48"/>
  <c r="AK293" i="48"/>
  <c r="AJ293" i="48"/>
  <c r="AJ263" i="48"/>
  <c r="AK263" i="48"/>
  <c r="AJ1155" i="48"/>
  <c r="AK1155" i="48"/>
  <c r="AK597" i="48"/>
  <c r="AJ597" i="48"/>
  <c r="AK245" i="48"/>
  <c r="AJ245" i="48"/>
  <c r="AK573" i="48"/>
  <c r="AJ573" i="48"/>
  <c r="AK726" i="48"/>
  <c r="AJ726" i="48"/>
  <c r="AK310" i="48"/>
  <c r="AJ310" i="48"/>
  <c r="AK436" i="48"/>
  <c r="AJ436" i="48"/>
  <c r="AK72" i="48"/>
  <c r="AJ72" i="48"/>
  <c r="AK813" i="48"/>
  <c r="AJ813" i="48"/>
  <c r="AK837" i="48"/>
  <c r="AJ837" i="48"/>
  <c r="AK485" i="48"/>
  <c r="AJ485" i="48"/>
  <c r="AJ1008" i="48"/>
  <c r="AK1008" i="48"/>
  <c r="AK604" i="48"/>
  <c r="AJ604" i="48"/>
  <c r="AK694" i="48"/>
  <c r="AJ694" i="48"/>
  <c r="AJ223" i="48"/>
  <c r="AK223" i="48"/>
  <c r="AK1082" i="48"/>
  <c r="AJ1082" i="48"/>
  <c r="AK823" i="48"/>
  <c r="AJ823" i="48"/>
  <c r="AK771" i="48"/>
  <c r="AJ771" i="48"/>
  <c r="AK790" i="48"/>
  <c r="AJ790" i="48"/>
  <c r="AK1220" i="48"/>
  <c r="AJ1220" i="48"/>
  <c r="AK505" i="48"/>
  <c r="AJ505" i="48"/>
  <c r="AK743" i="48"/>
  <c r="AJ743" i="48"/>
  <c r="AK75" i="48"/>
  <c r="AJ75" i="48"/>
  <c r="AK768" i="48"/>
  <c r="AJ768" i="48"/>
  <c r="AK841" i="48"/>
  <c r="AJ841" i="48"/>
  <c r="AK290" i="48"/>
  <c r="AJ290" i="48"/>
  <c r="AK404" i="48"/>
  <c r="AJ404" i="48"/>
  <c r="AK770" i="48"/>
  <c r="AJ770" i="48"/>
  <c r="AK99" i="48"/>
  <c r="AJ99" i="48"/>
  <c r="AK268" i="48"/>
  <c r="AJ268" i="48"/>
  <c r="AK1226" i="48"/>
  <c r="AJ1226" i="48"/>
  <c r="AK1223" i="48"/>
  <c r="AJ1223" i="48"/>
  <c r="AK792" i="48"/>
  <c r="AJ792" i="48"/>
  <c r="AK740" i="48"/>
  <c r="AJ740" i="48"/>
  <c r="AK262" i="48"/>
  <c r="AJ262" i="48"/>
  <c r="AK1124" i="48"/>
  <c r="AJ1124" i="48"/>
  <c r="AK630" i="48"/>
  <c r="AJ630" i="48"/>
  <c r="AJ654" i="48"/>
  <c r="AK654" i="48"/>
  <c r="AK1253" i="48"/>
  <c r="AJ1253" i="48"/>
  <c r="AK865" i="48"/>
  <c r="AJ865" i="48"/>
  <c r="AK361" i="48"/>
  <c r="AJ361" i="48"/>
  <c r="AK628" i="48"/>
  <c r="AJ628" i="48"/>
  <c r="AJ1014" i="48"/>
  <c r="AK1014" i="48"/>
  <c r="AK477" i="48"/>
  <c r="AJ477" i="48"/>
  <c r="AK1295" i="48"/>
  <c r="AJ1295" i="48"/>
  <c r="AK1201" i="48"/>
  <c r="AJ1201" i="48"/>
  <c r="AJ1154" i="48"/>
  <c r="AK1154" i="48"/>
  <c r="AK1276" i="48"/>
  <c r="AJ1276" i="48"/>
  <c r="AK438" i="48"/>
  <c r="AJ438" i="48"/>
  <c r="AK1107" i="48"/>
  <c r="AJ1107" i="48"/>
  <c r="AK500" i="48"/>
  <c r="AJ500" i="48"/>
  <c r="AK1250" i="48"/>
  <c r="AJ1250" i="48"/>
  <c r="AK389" i="48"/>
  <c r="AJ389" i="48"/>
  <c r="AJ435" i="48"/>
  <c r="AK435" i="48"/>
  <c r="AK960" i="48"/>
  <c r="AJ960" i="48"/>
  <c r="AK747" i="48"/>
  <c r="AJ747" i="48"/>
  <c r="AK199" i="48"/>
  <c r="AJ199" i="48"/>
  <c r="AK1254" i="48"/>
  <c r="AJ1254" i="48"/>
  <c r="AK364" i="48"/>
  <c r="AJ364" i="48"/>
  <c r="AK772" i="48"/>
  <c r="AJ772" i="48"/>
  <c r="AK915" i="48"/>
  <c r="AJ915" i="48"/>
  <c r="AK71" i="48"/>
  <c r="AJ71" i="48"/>
  <c r="AJ195" i="48"/>
  <c r="AK195" i="48"/>
  <c r="AK1268" i="48"/>
  <c r="AJ1268" i="48"/>
  <c r="AK860" i="48"/>
  <c r="AJ860" i="48"/>
  <c r="AJ360" i="48"/>
  <c r="AK360" i="48"/>
  <c r="AK622" i="48"/>
  <c r="AJ622" i="48"/>
  <c r="AJ1012" i="48"/>
  <c r="AK1012" i="48"/>
  <c r="AK864" i="48"/>
  <c r="AJ864" i="48"/>
  <c r="AK1127" i="48"/>
  <c r="AJ1127" i="48"/>
  <c r="AK226" i="48"/>
  <c r="AJ226" i="48"/>
  <c r="AK368" i="48"/>
  <c r="AJ368" i="48"/>
  <c r="AO691" i="48"/>
  <c r="AO187" i="48"/>
  <c r="AO259" i="48"/>
  <c r="AN226" i="48"/>
  <c r="AL1064" i="48"/>
  <c r="AN1160" i="48"/>
  <c r="AG752" i="48"/>
  <c r="AD1161" i="48"/>
  <c r="AL1160" i="48"/>
  <c r="AM1280" i="48"/>
  <c r="AG1280" i="48"/>
  <c r="AM1160" i="48"/>
  <c r="AL752" i="48"/>
  <c r="AD1160" i="48"/>
  <c r="AD1281" i="48"/>
  <c r="AD753" i="48"/>
  <c r="AN752" i="48"/>
  <c r="AM752" i="48"/>
  <c r="AM80" i="48"/>
  <c r="AM1064" i="48"/>
  <c r="AD1208" i="48"/>
  <c r="AL728" i="48"/>
  <c r="AL1208" i="48"/>
  <c r="AG728" i="48"/>
  <c r="AG1064" i="48"/>
  <c r="AD1209" i="48"/>
  <c r="AM728" i="48"/>
  <c r="AM1208" i="48"/>
  <c r="AD729" i="48"/>
  <c r="AD369" i="48"/>
  <c r="AM368" i="48"/>
  <c r="AN536" i="48"/>
  <c r="AL368" i="48"/>
  <c r="AN368" i="48"/>
  <c r="AM226" i="48"/>
  <c r="W46" i="48"/>
  <c r="W49" i="48"/>
  <c r="W44" i="48"/>
  <c r="W51" i="48"/>
  <c r="W57" i="48"/>
  <c r="AL1304" i="48"/>
  <c r="AL800" i="48"/>
  <c r="AD945" i="48"/>
  <c r="AD80" i="48"/>
  <c r="W53" i="48"/>
  <c r="W50" i="48"/>
  <c r="W45" i="48"/>
  <c r="W56" i="48"/>
  <c r="W54" i="48"/>
  <c r="W48" i="48"/>
  <c r="W47" i="48"/>
  <c r="AM944" i="48"/>
  <c r="AM1304" i="48"/>
  <c r="AN944" i="48"/>
  <c r="AG944" i="48"/>
  <c r="AG1304" i="48"/>
  <c r="AD1304" i="48"/>
  <c r="AM800" i="48"/>
  <c r="AN800" i="48"/>
  <c r="AG800" i="48"/>
  <c r="AD800" i="48"/>
  <c r="AD201" i="48"/>
  <c r="AG82" i="48"/>
  <c r="AD273" i="48"/>
  <c r="AD536" i="48"/>
  <c r="AD370" i="48"/>
  <c r="AD154" i="48"/>
  <c r="AD848" i="48"/>
  <c r="AD1018" i="48"/>
  <c r="AD801" i="48"/>
  <c r="AD944" i="48"/>
  <c r="AD1305" i="48"/>
  <c r="AM299" i="48"/>
  <c r="AD704" i="48"/>
  <c r="AD1090" i="48"/>
  <c r="AD1040" i="48"/>
  <c r="AD1065" i="48"/>
  <c r="AD81" i="48"/>
  <c r="AD416" i="48"/>
  <c r="AD1136" i="48"/>
  <c r="AD1186" i="48"/>
  <c r="AD968" i="48"/>
  <c r="AD226" i="48"/>
  <c r="AD153" i="48"/>
  <c r="AD392" i="48"/>
  <c r="AD417" i="48"/>
  <c r="AM370" i="48"/>
  <c r="AM848" i="48"/>
  <c r="AL154" i="48"/>
  <c r="AC42" i="48"/>
  <c r="AN42" i="48" s="1"/>
  <c r="AD393" i="48"/>
  <c r="AN392" i="48"/>
  <c r="AL392" i="48"/>
  <c r="AG392" i="48"/>
  <c r="AM392" i="48"/>
  <c r="AL704" i="48"/>
  <c r="AL152" i="48"/>
  <c r="AN152" i="48"/>
  <c r="AM152" i="48"/>
  <c r="AD152" i="48"/>
  <c r="AC55" i="48"/>
  <c r="AN704" i="48"/>
  <c r="AL1186" i="48"/>
  <c r="AM968" i="48"/>
  <c r="AM1186" i="48"/>
  <c r="AN1136" i="48"/>
  <c r="AM200" i="48"/>
  <c r="AL226" i="48"/>
  <c r="AN968" i="48"/>
  <c r="AD537" i="48"/>
  <c r="AM704" i="48"/>
  <c r="AN1090" i="48"/>
  <c r="AL1136" i="48"/>
  <c r="AM1090" i="48"/>
  <c r="AM1136" i="48"/>
  <c r="AL1090" i="48"/>
  <c r="AD1041" i="48"/>
  <c r="AG1136" i="48"/>
  <c r="AN1186" i="48"/>
  <c r="AL299" i="48"/>
  <c r="AG704" i="48"/>
  <c r="AG1090" i="48"/>
  <c r="AD969" i="48"/>
  <c r="AG1186" i="48"/>
  <c r="AD1137" i="48"/>
  <c r="AL848" i="48"/>
  <c r="AM154" i="48"/>
  <c r="AL1018" i="48"/>
  <c r="AN154" i="48"/>
  <c r="AG848" i="48"/>
  <c r="AC49" i="48"/>
  <c r="AN299" i="48"/>
  <c r="AD299" i="48"/>
  <c r="AD705" i="48"/>
  <c r="AM1018" i="48"/>
  <c r="AN370" i="48"/>
  <c r="AG1018" i="48"/>
  <c r="AG370" i="48"/>
  <c r="AD849" i="48"/>
  <c r="AN1018" i="48"/>
  <c r="AN848" i="48"/>
  <c r="AL370" i="48"/>
  <c r="AC53" i="48"/>
  <c r="AC50" i="48"/>
  <c r="AC45" i="48"/>
  <c r="AC54" i="48"/>
  <c r="AC48" i="48"/>
  <c r="AG200" i="48"/>
  <c r="AD200" i="48"/>
  <c r="AL82" i="48"/>
  <c r="AD82" i="48"/>
  <c r="AG442" i="48"/>
  <c r="AD442" i="48"/>
  <c r="AL272" i="48"/>
  <c r="AD272" i="48"/>
  <c r="AN442" i="48"/>
  <c r="AL200" i="48"/>
  <c r="AM272" i="48"/>
  <c r="AM82" i="48"/>
  <c r="AG272" i="48"/>
  <c r="AN82" i="48"/>
  <c r="AN272" i="48"/>
  <c r="AM442" i="48"/>
  <c r="AN200" i="48"/>
  <c r="AL442" i="48"/>
  <c r="AC56" i="48"/>
  <c r="AG396" i="48"/>
  <c r="AG900" i="48"/>
  <c r="AG852" i="48"/>
  <c r="AC46" i="48"/>
  <c r="AC52" i="48"/>
  <c r="AC47" i="48"/>
  <c r="AC44" i="48"/>
  <c r="AC51" i="48"/>
  <c r="AC57" i="48"/>
  <c r="V58" i="48"/>
  <c r="DJ58" i="48"/>
  <c r="DJ60" i="48" s="1"/>
  <c r="AM43" i="48"/>
  <c r="AL43" i="48"/>
  <c r="AN43" i="48"/>
  <c r="AK442" i="48" l="1"/>
  <c r="AJ442" i="48"/>
  <c r="AK82" i="48"/>
  <c r="AJ82" i="48"/>
  <c r="AK1304" i="48"/>
  <c r="AJ1304" i="48"/>
  <c r="AK1186" i="48"/>
  <c r="AJ1186" i="48"/>
  <c r="AG372" i="48"/>
  <c r="AJ392" i="48"/>
  <c r="AK392" i="48"/>
  <c r="AJ944" i="48"/>
  <c r="AK944" i="48"/>
  <c r="AK752" i="48"/>
  <c r="AJ752" i="48"/>
  <c r="AK1018" i="48"/>
  <c r="AJ1018" i="48"/>
  <c r="AK1136" i="48"/>
  <c r="AJ1136" i="48"/>
  <c r="AJ272" i="48"/>
  <c r="AK272" i="48"/>
  <c r="AJ200" i="48"/>
  <c r="AK200" i="48"/>
  <c r="AK704" i="48"/>
  <c r="AJ704" i="48"/>
  <c r="AK800" i="48"/>
  <c r="AJ800" i="48"/>
  <c r="AK1280" i="48"/>
  <c r="AJ1280" i="48"/>
  <c r="AK370" i="48"/>
  <c r="AJ370" i="48"/>
  <c r="AK1064" i="48"/>
  <c r="AJ1064" i="48"/>
  <c r="AK848" i="48"/>
  <c r="AJ848" i="48"/>
  <c r="AK728" i="48"/>
  <c r="AJ728" i="48"/>
  <c r="AK1090" i="48"/>
  <c r="AJ1090" i="48"/>
  <c r="AG1044" i="48"/>
  <c r="W58" i="48"/>
  <c r="W59" i="48"/>
  <c r="AD43" i="48"/>
  <c r="AM54" i="48"/>
  <c r="AN45" i="48"/>
  <c r="AM53" i="48"/>
  <c r="AL48" i="48"/>
  <c r="AL50" i="48"/>
  <c r="AL49" i="48"/>
  <c r="AM55" i="48"/>
  <c r="AO299" i="48"/>
  <c r="AL42" i="48"/>
  <c r="AM42" i="48"/>
  <c r="AN55" i="48"/>
  <c r="AM49" i="48"/>
  <c r="AL55" i="48"/>
  <c r="AL45" i="48"/>
  <c r="AN53" i="48"/>
  <c r="AN49" i="48"/>
  <c r="AG55" i="48"/>
  <c r="AM50" i="48"/>
  <c r="AN50" i="48"/>
  <c r="AG828" i="48"/>
  <c r="AN48" i="48"/>
  <c r="AG54" i="48"/>
  <c r="AD54" i="48"/>
  <c r="AG45" i="48"/>
  <c r="AD45" i="48"/>
  <c r="AG53" i="48"/>
  <c r="AD53" i="48"/>
  <c r="AM45" i="48"/>
  <c r="AG47" i="48"/>
  <c r="AD47" i="48"/>
  <c r="AD55" i="48"/>
  <c r="AG49" i="48"/>
  <c r="AD49" i="48"/>
  <c r="AG50" i="48"/>
  <c r="AD50" i="48"/>
  <c r="AG44" i="48"/>
  <c r="AD44" i="48"/>
  <c r="AG57" i="48"/>
  <c r="AD57" i="48"/>
  <c r="AG52" i="48"/>
  <c r="AD52" i="48"/>
  <c r="AL56" i="48"/>
  <c r="AD56" i="48"/>
  <c r="AG48" i="48"/>
  <c r="AD48" i="48"/>
  <c r="AL53" i="48"/>
  <c r="AM48" i="48"/>
  <c r="AN54" i="48"/>
  <c r="AL54" i="48"/>
  <c r="AG51" i="48"/>
  <c r="AD51" i="48"/>
  <c r="AG46" i="48"/>
  <c r="AD46" i="48"/>
  <c r="AN56" i="48"/>
  <c r="AM56" i="48"/>
  <c r="AG56" i="48"/>
  <c r="AL47" i="48"/>
  <c r="AN57" i="48"/>
  <c r="AL57" i="48"/>
  <c r="AN46" i="48"/>
  <c r="AL46" i="48"/>
  <c r="AM47" i="48"/>
  <c r="AM57" i="48"/>
  <c r="AM46" i="48"/>
  <c r="AM52" i="48"/>
  <c r="AL52" i="48"/>
  <c r="AN52" i="48"/>
  <c r="AN47" i="48"/>
  <c r="AN51" i="48"/>
  <c r="AM51" i="48"/>
  <c r="AL51" i="48"/>
  <c r="AM44" i="48"/>
  <c r="AL44" i="48"/>
  <c r="AN44" i="48"/>
  <c r="AC58" i="48"/>
  <c r="AK47" i="48" l="1"/>
  <c r="AJ47" i="48"/>
  <c r="AK52" i="48"/>
  <c r="AJ52" i="48"/>
  <c r="AK44" i="48"/>
  <c r="AJ44" i="48"/>
  <c r="AK51" i="48"/>
  <c r="AJ51" i="48"/>
  <c r="AK49" i="48"/>
  <c r="AJ49" i="48"/>
  <c r="AK45" i="48"/>
  <c r="AJ45" i="48"/>
  <c r="AK56" i="48"/>
  <c r="AJ56" i="48"/>
  <c r="AK46" i="48"/>
  <c r="AJ46" i="48"/>
  <c r="AK48" i="48"/>
  <c r="AJ48" i="48"/>
  <c r="AK57" i="48"/>
  <c r="AJ57" i="48"/>
  <c r="AK50" i="48"/>
  <c r="AJ50" i="48"/>
  <c r="AK53" i="48"/>
  <c r="AJ53" i="48"/>
  <c r="AK54" i="48"/>
  <c r="AJ54" i="48"/>
  <c r="AK55" i="48"/>
  <c r="AJ55" i="48"/>
  <c r="AD58" i="48"/>
  <c r="AG58" i="48"/>
  <c r="AL58" i="48"/>
  <c r="AN58" i="48"/>
  <c r="AM58" i="48"/>
  <c r="DN1330" i="48"/>
  <c r="DN1296" i="48"/>
  <c r="DN1200" i="48"/>
  <c r="DN1032" i="48"/>
  <c r="DN1320" i="48"/>
  <c r="DN1224" i="48"/>
  <c r="DN1128" i="48"/>
  <c r="DN1056" i="48"/>
  <c r="DN1272" i="48"/>
  <c r="DN1176" i="48"/>
  <c r="DN1104" i="48"/>
  <c r="DN1008" i="48"/>
  <c r="DN1080" i="48"/>
  <c r="DN984" i="48"/>
  <c r="DN888" i="48"/>
  <c r="DN816" i="48"/>
  <c r="DN744" i="48"/>
  <c r="DN1248" i="48"/>
  <c r="DN912" i="48"/>
  <c r="DN840" i="48"/>
  <c r="DN768" i="48"/>
  <c r="DN936" i="48"/>
  <c r="DN792" i="48"/>
  <c r="DN1152" i="48"/>
  <c r="DN960" i="48"/>
  <c r="DN864" i="48"/>
  <c r="DN672" i="48"/>
  <c r="DN576" i="48"/>
  <c r="DN696" i="48"/>
  <c r="DN600" i="48"/>
  <c r="DN432" i="48"/>
  <c r="DN720" i="48"/>
  <c r="DN624" i="48"/>
  <c r="DN648" i="48"/>
  <c r="DN552" i="48"/>
  <c r="DN480" i="48"/>
  <c r="DN528" i="48"/>
  <c r="DN384" i="48"/>
  <c r="DN312" i="48"/>
  <c r="DN216" i="48"/>
  <c r="DN120" i="48"/>
  <c r="DN48" i="48"/>
  <c r="DN456" i="48"/>
  <c r="DN408" i="48"/>
  <c r="DN336" i="48"/>
  <c r="DN240" i="48"/>
  <c r="DN264" i="48"/>
  <c r="DN168" i="48"/>
  <c r="DN504" i="48"/>
  <c r="DN360" i="48"/>
  <c r="DN288" i="48"/>
  <c r="DN192" i="48"/>
  <c r="DN72" i="48"/>
  <c r="DN144" i="48"/>
  <c r="DN96" i="48"/>
  <c r="DN1279" i="48"/>
  <c r="DN1183" i="48"/>
  <c r="DN1111" i="48"/>
  <c r="DN1015" i="48"/>
  <c r="DN1303" i="48"/>
  <c r="DN1207" i="48"/>
  <c r="DN1039" i="48"/>
  <c r="DN1255" i="48"/>
  <c r="DN1159" i="48"/>
  <c r="DN1087" i="48"/>
  <c r="DN967" i="48"/>
  <c r="DN871" i="48"/>
  <c r="DN1135" i="48"/>
  <c r="DN991" i="48"/>
  <c r="DN895" i="48"/>
  <c r="DN823" i="48"/>
  <c r="DN751" i="48"/>
  <c r="DN1327" i="48"/>
  <c r="DN1063" i="48"/>
  <c r="DN919" i="48"/>
  <c r="DN847" i="48"/>
  <c r="DN775" i="48"/>
  <c r="DN1231" i="48"/>
  <c r="DN943" i="48"/>
  <c r="DN799" i="48"/>
  <c r="DN655" i="48"/>
  <c r="DN559" i="48"/>
  <c r="DN679" i="48"/>
  <c r="DN583" i="48"/>
  <c r="DN511" i="48"/>
  <c r="DN415" i="48"/>
  <c r="DN703" i="48"/>
  <c r="DN607" i="48"/>
  <c r="DN727" i="48"/>
  <c r="DN631" i="48"/>
  <c r="DN535" i="48"/>
  <c r="DN463" i="48"/>
  <c r="DN367" i="48"/>
  <c r="DN295" i="48"/>
  <c r="DN199" i="48"/>
  <c r="DN439" i="48"/>
  <c r="DN391" i="48"/>
  <c r="DN319" i="48"/>
  <c r="DN223" i="48"/>
  <c r="DN343" i="48"/>
  <c r="DN247" i="48"/>
  <c r="DN151" i="48"/>
  <c r="DN271" i="48"/>
  <c r="DN175" i="48"/>
  <c r="DN103" i="48"/>
  <c r="DN55" i="48"/>
  <c r="DN487" i="48"/>
  <c r="DN79" i="48"/>
  <c r="DN127" i="48"/>
  <c r="DN1271" i="48"/>
  <c r="DN1175" i="48"/>
  <c r="DN1103" i="48"/>
  <c r="DN1295" i="48"/>
  <c r="DN1199" i="48"/>
  <c r="DN1031" i="48"/>
  <c r="DN1247" i="48"/>
  <c r="DN1151" i="48"/>
  <c r="DN1079" i="48"/>
  <c r="DN1223" i="48"/>
  <c r="DN1007" i="48"/>
  <c r="DN959" i="48"/>
  <c r="DN863" i="48"/>
  <c r="DN983" i="48"/>
  <c r="DN887" i="48"/>
  <c r="DN815" i="48"/>
  <c r="DN743" i="48"/>
  <c r="DN1127" i="48"/>
  <c r="DN911" i="48"/>
  <c r="DN839" i="48"/>
  <c r="DN767" i="48"/>
  <c r="DN1319" i="48"/>
  <c r="DN1055" i="48"/>
  <c r="DN935" i="48"/>
  <c r="DN791" i="48"/>
  <c r="DN647" i="48"/>
  <c r="DN671" i="48"/>
  <c r="DN575" i="48"/>
  <c r="DN503" i="48"/>
  <c r="DN695" i="48"/>
  <c r="DN599" i="48"/>
  <c r="DN719" i="48"/>
  <c r="DN623" i="48"/>
  <c r="DN527" i="48"/>
  <c r="DN455" i="48"/>
  <c r="DN359" i="48"/>
  <c r="DN287" i="48"/>
  <c r="DN191" i="48"/>
  <c r="DN479" i="48"/>
  <c r="DN383" i="48"/>
  <c r="DN311" i="48"/>
  <c r="DN215" i="48"/>
  <c r="DN407" i="48"/>
  <c r="DN335" i="48"/>
  <c r="DN239" i="48"/>
  <c r="DN143" i="48"/>
  <c r="DN431" i="48"/>
  <c r="DN263" i="48"/>
  <c r="DN167" i="48"/>
  <c r="DN95" i="48"/>
  <c r="DN551" i="48"/>
  <c r="DN119" i="48"/>
  <c r="DN71" i="48"/>
  <c r="DN47" i="48"/>
  <c r="DN1254" i="48"/>
  <c r="DN1158" i="48"/>
  <c r="DN1086" i="48"/>
  <c r="DN1278" i="48"/>
  <c r="DN1182" i="48"/>
  <c r="DN1110" i="48"/>
  <c r="DN1014" i="48"/>
  <c r="DN1326" i="48"/>
  <c r="DN1230" i="48"/>
  <c r="DN1134" i="48"/>
  <c r="DN1062" i="48"/>
  <c r="DN942" i="48"/>
  <c r="DN798" i="48"/>
  <c r="DN1302" i="48"/>
  <c r="DN1038" i="48"/>
  <c r="DN966" i="48"/>
  <c r="DN870" i="48"/>
  <c r="DN1206" i="48"/>
  <c r="DN990" i="48"/>
  <c r="DN894" i="48"/>
  <c r="DN822" i="48"/>
  <c r="DN750" i="48"/>
  <c r="DN918" i="48"/>
  <c r="DN846" i="48"/>
  <c r="DN774" i="48"/>
  <c r="DN726" i="48"/>
  <c r="DN630" i="48"/>
  <c r="DN654" i="48"/>
  <c r="DN558" i="48"/>
  <c r="DN486" i="48"/>
  <c r="DN678" i="48"/>
  <c r="DN582" i="48"/>
  <c r="DN702" i="48"/>
  <c r="DN606" i="48"/>
  <c r="DN438" i="48"/>
  <c r="DN270" i="48"/>
  <c r="DN174" i="48"/>
  <c r="DN102" i="48"/>
  <c r="DN462" i="48"/>
  <c r="DN366" i="48"/>
  <c r="DN294" i="48"/>
  <c r="DN198" i="48"/>
  <c r="DN510" i="48"/>
  <c r="DN390" i="48"/>
  <c r="DN318" i="48"/>
  <c r="DN222" i="48"/>
  <c r="DN126" i="48"/>
  <c r="DN414" i="48"/>
  <c r="DN342" i="48"/>
  <c r="DN246" i="48"/>
  <c r="DN150" i="48"/>
  <c r="DN78" i="48"/>
  <c r="DN534" i="48"/>
  <c r="DN54" i="48"/>
  <c r="DN1246" i="48"/>
  <c r="DN1150" i="48"/>
  <c r="DN1078" i="48"/>
  <c r="DN1270" i="48"/>
  <c r="DN1174" i="48"/>
  <c r="DN1102" i="48"/>
  <c r="DN1006" i="48"/>
  <c r="DN1318" i="48"/>
  <c r="DN1222" i="48"/>
  <c r="DN1126" i="48"/>
  <c r="DN1054" i="48"/>
  <c r="DN934" i="48"/>
  <c r="DN790" i="48"/>
  <c r="DN958" i="48"/>
  <c r="DN862" i="48"/>
  <c r="DN1294" i="48"/>
  <c r="DN1030" i="48"/>
  <c r="DN982" i="48"/>
  <c r="DN886" i="48"/>
  <c r="DN814" i="48"/>
  <c r="DN742" i="48"/>
  <c r="DN1198" i="48"/>
  <c r="DN910" i="48"/>
  <c r="DN838" i="48"/>
  <c r="DN766" i="48"/>
  <c r="DN718" i="48"/>
  <c r="DN622" i="48"/>
  <c r="DN646" i="48"/>
  <c r="DN550" i="48"/>
  <c r="DN478" i="48"/>
  <c r="DN670" i="48"/>
  <c r="DN694" i="48"/>
  <c r="DN598" i="48"/>
  <c r="DN430" i="48"/>
  <c r="DN502" i="48"/>
  <c r="DN262" i="48"/>
  <c r="DN166" i="48"/>
  <c r="DN94" i="48"/>
  <c r="DN358" i="48"/>
  <c r="DN286" i="48"/>
  <c r="DN190" i="48"/>
  <c r="DN574" i="48"/>
  <c r="DN526" i="48"/>
  <c r="DN382" i="48"/>
  <c r="DN310" i="48"/>
  <c r="DN214" i="48"/>
  <c r="DN406" i="48"/>
  <c r="DN334" i="48"/>
  <c r="DN238" i="48"/>
  <c r="DN142" i="48"/>
  <c r="DN70" i="48"/>
  <c r="DN118" i="48"/>
  <c r="DN454" i="48"/>
  <c r="DN46" i="48"/>
  <c r="DN1325" i="48"/>
  <c r="DN1229" i="48"/>
  <c r="DN1133" i="48"/>
  <c r="DN1061" i="48"/>
  <c r="DN1253" i="48"/>
  <c r="DN1157" i="48"/>
  <c r="DN1085" i="48"/>
  <c r="DN1301" i="48"/>
  <c r="DN1205" i="48"/>
  <c r="DN1037" i="48"/>
  <c r="DN1013" i="48"/>
  <c r="DN917" i="48"/>
  <c r="DN845" i="48"/>
  <c r="DN773" i="48"/>
  <c r="DN1181" i="48"/>
  <c r="DN941" i="48"/>
  <c r="DN797" i="48"/>
  <c r="DN965" i="48"/>
  <c r="DN869" i="48"/>
  <c r="DN1109" i="48"/>
  <c r="DN989" i="48"/>
  <c r="DN893" i="48"/>
  <c r="DN821" i="48"/>
  <c r="DN749" i="48"/>
  <c r="DN701" i="48"/>
  <c r="DN605" i="48"/>
  <c r="DN725" i="48"/>
  <c r="DN629" i="48"/>
  <c r="DN533" i="48"/>
  <c r="DN461" i="48"/>
  <c r="DN1277" i="48"/>
  <c r="DN653" i="48"/>
  <c r="DN677" i="48"/>
  <c r="DN581" i="48"/>
  <c r="DN509" i="48"/>
  <c r="DN485" i="48"/>
  <c r="DN413" i="48"/>
  <c r="DN341" i="48"/>
  <c r="DN245" i="48"/>
  <c r="DN149" i="48"/>
  <c r="DN77" i="48"/>
  <c r="DN269" i="48"/>
  <c r="DN173" i="48"/>
  <c r="DN365" i="48"/>
  <c r="DN293" i="48"/>
  <c r="DN197" i="48"/>
  <c r="DN389" i="48"/>
  <c r="DN317" i="48"/>
  <c r="DN221" i="48"/>
  <c r="DN125" i="48"/>
  <c r="DN53" i="48"/>
  <c r="DN557" i="48"/>
  <c r="DN101" i="48"/>
  <c r="DN437" i="48"/>
  <c r="DN1317" i="48"/>
  <c r="DN1221" i="48"/>
  <c r="DN1125" i="48"/>
  <c r="DN1053" i="48"/>
  <c r="DN1245" i="48"/>
  <c r="DN1149" i="48"/>
  <c r="DN1077" i="48"/>
  <c r="DN1293" i="48"/>
  <c r="DN1197" i="48"/>
  <c r="DN1029" i="48"/>
  <c r="DN909" i="48"/>
  <c r="DN837" i="48"/>
  <c r="DN765" i="48"/>
  <c r="DN1269" i="48"/>
  <c r="DN933" i="48"/>
  <c r="DN789" i="48"/>
  <c r="DN1005" i="48"/>
  <c r="DN1173" i="48"/>
  <c r="DN957" i="48"/>
  <c r="DN861" i="48"/>
  <c r="DN981" i="48"/>
  <c r="DN885" i="48"/>
  <c r="DN813" i="48"/>
  <c r="DN741" i="48"/>
  <c r="DN693" i="48"/>
  <c r="DN597" i="48"/>
  <c r="DN1101" i="48"/>
  <c r="DN717" i="48"/>
  <c r="DN621" i="48"/>
  <c r="DN525" i="48"/>
  <c r="DN453" i="48"/>
  <c r="DN645" i="48"/>
  <c r="DN669" i="48"/>
  <c r="DN573" i="48"/>
  <c r="DN501" i="48"/>
  <c r="DN405" i="48"/>
  <c r="DN333" i="48"/>
  <c r="DN237" i="48"/>
  <c r="DN141" i="48"/>
  <c r="DN69" i="48"/>
  <c r="DN429" i="48"/>
  <c r="DN549" i="48"/>
  <c r="DN261" i="48"/>
  <c r="DN165" i="48"/>
  <c r="DN477" i="48"/>
  <c r="DN357" i="48"/>
  <c r="DN285" i="48"/>
  <c r="DN189" i="48"/>
  <c r="DN381" i="48"/>
  <c r="DN309" i="48"/>
  <c r="DN213" i="48"/>
  <c r="DN117" i="48"/>
  <c r="DN45" i="48"/>
  <c r="DN93" i="48"/>
  <c r="DN1304" i="48"/>
  <c r="DN1208" i="48"/>
  <c r="DN1040" i="48"/>
  <c r="DN1328" i="48"/>
  <c r="DN1232" i="48"/>
  <c r="DN1136" i="48"/>
  <c r="DN1064" i="48"/>
  <c r="DN1280" i="48"/>
  <c r="DN1184" i="48"/>
  <c r="DN1112" i="48"/>
  <c r="DN1016" i="48"/>
  <c r="DN1256" i="48"/>
  <c r="DN992" i="48"/>
  <c r="DN896" i="48"/>
  <c r="DN824" i="48"/>
  <c r="DN752" i="48"/>
  <c r="DN920" i="48"/>
  <c r="DN848" i="48"/>
  <c r="DN776" i="48"/>
  <c r="DN1160" i="48"/>
  <c r="DN944" i="48"/>
  <c r="DN800" i="48"/>
  <c r="DN1088" i="48"/>
  <c r="DN968" i="48"/>
  <c r="DN872" i="48"/>
  <c r="DN680" i="48"/>
  <c r="DN584" i="48"/>
  <c r="DN704" i="48"/>
  <c r="DN608" i="48"/>
  <c r="DN440" i="48"/>
  <c r="DN728" i="48"/>
  <c r="DN632" i="48"/>
  <c r="DN656" i="48"/>
  <c r="DN560" i="48"/>
  <c r="DN488" i="48"/>
  <c r="DN392" i="48"/>
  <c r="DN320" i="48"/>
  <c r="DN224" i="48"/>
  <c r="DN128" i="48"/>
  <c r="DN56" i="48"/>
  <c r="DN512" i="48"/>
  <c r="DN344" i="48"/>
  <c r="DN248" i="48"/>
  <c r="DN416" i="48"/>
  <c r="DN536" i="48"/>
  <c r="DN272" i="48"/>
  <c r="DN176" i="48"/>
  <c r="DN464" i="48"/>
  <c r="DN368" i="48"/>
  <c r="DN296" i="48"/>
  <c r="DN200" i="48"/>
  <c r="DN152" i="48"/>
  <c r="DN104" i="48"/>
  <c r="DN80" i="48"/>
  <c r="DN1300" i="48"/>
  <c r="DN1204" i="48"/>
  <c r="DN1036" i="48"/>
  <c r="DN1324" i="48"/>
  <c r="DN1228" i="48"/>
  <c r="DN1132" i="48"/>
  <c r="DN1060" i="48"/>
  <c r="DN1276" i="48"/>
  <c r="DN1180" i="48"/>
  <c r="DN1108" i="48"/>
  <c r="DN1012" i="48"/>
  <c r="DN1156" i="48"/>
  <c r="DN988" i="48"/>
  <c r="DN892" i="48"/>
  <c r="DN820" i="48"/>
  <c r="DN748" i="48"/>
  <c r="DN916" i="48"/>
  <c r="DN844" i="48"/>
  <c r="DN772" i="48"/>
  <c r="DN1084" i="48"/>
  <c r="DN940" i="48"/>
  <c r="DN796" i="48"/>
  <c r="DN1252" i="48"/>
  <c r="DN964" i="48"/>
  <c r="DN868" i="48"/>
  <c r="DN676" i="48"/>
  <c r="DN580" i="48"/>
  <c r="DN700" i="48"/>
  <c r="DN604" i="48"/>
  <c r="DN436" i="48"/>
  <c r="DN724" i="48"/>
  <c r="DN628" i="48"/>
  <c r="DN652" i="48"/>
  <c r="DN556" i="48"/>
  <c r="DN484" i="48"/>
  <c r="DN388" i="48"/>
  <c r="DN316" i="48"/>
  <c r="DN220" i="48"/>
  <c r="DN124" i="48"/>
  <c r="DN52" i="48"/>
  <c r="DN532" i="48"/>
  <c r="DN412" i="48"/>
  <c r="DN340" i="48"/>
  <c r="DN244" i="48"/>
  <c r="DN460" i="48"/>
  <c r="DN268" i="48"/>
  <c r="DN172" i="48"/>
  <c r="DN364" i="48"/>
  <c r="DN292" i="48"/>
  <c r="DN196" i="48"/>
  <c r="DN508" i="48"/>
  <c r="DN100" i="48"/>
  <c r="DN76" i="48"/>
  <c r="DN148" i="48"/>
  <c r="DN1292" i="48"/>
  <c r="DN1196" i="48"/>
  <c r="DN1028" i="48"/>
  <c r="DN1316" i="48"/>
  <c r="DN1220" i="48"/>
  <c r="DN1124" i="48"/>
  <c r="DN1052" i="48"/>
  <c r="DN1268" i="48"/>
  <c r="DN1172" i="48"/>
  <c r="DN1100" i="48"/>
  <c r="DN1004" i="48"/>
  <c r="DN980" i="48"/>
  <c r="DN884" i="48"/>
  <c r="DN812" i="48"/>
  <c r="DN1148" i="48"/>
  <c r="DN908" i="48"/>
  <c r="DN836" i="48"/>
  <c r="DN764" i="48"/>
  <c r="DN932" i="48"/>
  <c r="DN788" i="48"/>
  <c r="DN1076" i="48"/>
  <c r="DN956" i="48"/>
  <c r="DN860" i="48"/>
  <c r="DN668" i="48"/>
  <c r="DN572" i="48"/>
  <c r="DN692" i="48"/>
  <c r="DN596" i="48"/>
  <c r="DN428" i="48"/>
  <c r="DN716" i="48"/>
  <c r="DN620" i="48"/>
  <c r="DN1244" i="48"/>
  <c r="DN740" i="48"/>
  <c r="DN644" i="48"/>
  <c r="DN548" i="48"/>
  <c r="DN476" i="48"/>
  <c r="DN452" i="48"/>
  <c r="DN380" i="48"/>
  <c r="DN308" i="48"/>
  <c r="DN212" i="48"/>
  <c r="DN116" i="48"/>
  <c r="DN44" i="48"/>
  <c r="DN404" i="48"/>
  <c r="DN332" i="48"/>
  <c r="DN236" i="48"/>
  <c r="DN500" i="48"/>
  <c r="DN260" i="48"/>
  <c r="DN164" i="48"/>
  <c r="DN524" i="48"/>
  <c r="DN356" i="48"/>
  <c r="DN284" i="48"/>
  <c r="DN188" i="48"/>
  <c r="DN140" i="48"/>
  <c r="DN92" i="48"/>
  <c r="DN68" i="48"/>
  <c r="DN1267" i="48"/>
  <c r="DN1171" i="48"/>
  <c r="DN1099" i="48"/>
  <c r="DN1291" i="48"/>
  <c r="DN1195" i="48"/>
  <c r="DN1027" i="48"/>
  <c r="DN1243" i="48"/>
  <c r="DN1147" i="48"/>
  <c r="DN1075" i="48"/>
  <c r="DN1123" i="48"/>
  <c r="DN955" i="48"/>
  <c r="DN859" i="48"/>
  <c r="DN1315" i="48"/>
  <c r="DN979" i="48"/>
  <c r="DN883" i="48"/>
  <c r="DN811" i="48"/>
  <c r="DN1051" i="48"/>
  <c r="DN907" i="48"/>
  <c r="DN835" i="48"/>
  <c r="DN763" i="48"/>
  <c r="DN1219" i="48"/>
  <c r="DN1003" i="48"/>
  <c r="DN931" i="48"/>
  <c r="DN787" i="48"/>
  <c r="DN739" i="48"/>
  <c r="DN643" i="48"/>
  <c r="DN667" i="48"/>
  <c r="DN571" i="48"/>
  <c r="DN499" i="48"/>
  <c r="DN691" i="48"/>
  <c r="DN595" i="48"/>
  <c r="DN715" i="48"/>
  <c r="DN619" i="48"/>
  <c r="DN523" i="48"/>
  <c r="DN451" i="48"/>
  <c r="DN355" i="48"/>
  <c r="DN283" i="48"/>
  <c r="DN187" i="48"/>
  <c r="DN379" i="48"/>
  <c r="DN307" i="48"/>
  <c r="DN211" i="48"/>
  <c r="DN427" i="48"/>
  <c r="DN403" i="48"/>
  <c r="DN331" i="48"/>
  <c r="DN235" i="48"/>
  <c r="DN139" i="48"/>
  <c r="DN547" i="48"/>
  <c r="DN259" i="48"/>
  <c r="DN163" i="48"/>
  <c r="DN91" i="48"/>
  <c r="K91" i="48" s="1"/>
  <c r="DN475" i="48"/>
  <c r="DN115" i="48"/>
  <c r="DN67" i="48"/>
  <c r="K67" i="48" s="1"/>
  <c r="DN43" i="48"/>
  <c r="I17" i="28"/>
  <c r="DN1258" i="48"/>
  <c r="DN1162" i="48"/>
  <c r="DN1090" i="48"/>
  <c r="DN1282" i="48"/>
  <c r="DN1186" i="48"/>
  <c r="DN1114" i="48"/>
  <c r="DN1018" i="48"/>
  <c r="DN1234" i="48"/>
  <c r="DN1138" i="48"/>
  <c r="DN1066" i="48"/>
  <c r="DN946" i="48"/>
  <c r="DN802" i="48"/>
  <c r="DN970" i="48"/>
  <c r="DN874" i="48"/>
  <c r="DN1306" i="48"/>
  <c r="DN994" i="48"/>
  <c r="DN898" i="48"/>
  <c r="DN826" i="48"/>
  <c r="DN754" i="48"/>
  <c r="DN1042" i="48"/>
  <c r="DN922" i="48"/>
  <c r="DN850" i="48"/>
  <c r="DN778" i="48"/>
  <c r="DN730" i="48"/>
  <c r="DN634" i="48"/>
  <c r="DN658" i="48"/>
  <c r="DN562" i="48"/>
  <c r="DN490" i="48"/>
  <c r="DN682" i="48"/>
  <c r="DN586" i="48"/>
  <c r="DN1210" i="48"/>
  <c r="DN706" i="48"/>
  <c r="DN610" i="48"/>
  <c r="DN442" i="48"/>
  <c r="DN418" i="48"/>
  <c r="DN274" i="48"/>
  <c r="DN178" i="48"/>
  <c r="DN106" i="48"/>
  <c r="DN538" i="48"/>
  <c r="DN370" i="48"/>
  <c r="DN298" i="48"/>
  <c r="DN202" i="48"/>
  <c r="DN466" i="48"/>
  <c r="DN394" i="48"/>
  <c r="DN322" i="48"/>
  <c r="DN226" i="48"/>
  <c r="DN130" i="48"/>
  <c r="DN514" i="48"/>
  <c r="DN346" i="48"/>
  <c r="DN250" i="48"/>
  <c r="DN154" i="48"/>
  <c r="DN82" i="48"/>
  <c r="DN1250" i="48"/>
  <c r="DN1154" i="48"/>
  <c r="DN1082" i="48"/>
  <c r="DN1274" i="48"/>
  <c r="DN1178" i="48"/>
  <c r="DN1106" i="48"/>
  <c r="DN1010" i="48"/>
  <c r="DN1322" i="48"/>
  <c r="DN1226" i="48"/>
  <c r="DN1130" i="48"/>
  <c r="DN1058" i="48"/>
  <c r="DN938" i="48"/>
  <c r="DN794" i="48"/>
  <c r="DN1202" i="48"/>
  <c r="DN962" i="48"/>
  <c r="DN866" i="48"/>
  <c r="DN986" i="48"/>
  <c r="DN890" i="48"/>
  <c r="DN818" i="48"/>
  <c r="DN746" i="48"/>
  <c r="DN1298" i="48"/>
  <c r="DN914" i="48"/>
  <c r="DN842" i="48"/>
  <c r="DN770" i="48"/>
  <c r="DN722" i="48"/>
  <c r="DN626" i="48"/>
  <c r="DN650" i="48"/>
  <c r="DN554" i="48"/>
  <c r="DN482" i="48"/>
  <c r="DN1034" i="48"/>
  <c r="DN674" i="48"/>
  <c r="DN698" i="48"/>
  <c r="DN602" i="48"/>
  <c r="DN434" i="48"/>
  <c r="DN266" i="48"/>
  <c r="DN170" i="48"/>
  <c r="DN98" i="48"/>
  <c r="DN506" i="48"/>
  <c r="DN362" i="48"/>
  <c r="DN290" i="48"/>
  <c r="DN194" i="48"/>
  <c r="DN386" i="48"/>
  <c r="DN314" i="48"/>
  <c r="DN218" i="48"/>
  <c r="DN530" i="48"/>
  <c r="DN578" i="48"/>
  <c r="DN410" i="48"/>
  <c r="DN338" i="48"/>
  <c r="DN242" i="48"/>
  <c r="DN146" i="48"/>
  <c r="DN74" i="48"/>
  <c r="DN458" i="48"/>
  <c r="DN50" i="48"/>
  <c r="DN122" i="48"/>
  <c r="DN1242" i="48"/>
  <c r="DN1146" i="48"/>
  <c r="DN1074" i="48"/>
  <c r="DN1266" i="48"/>
  <c r="DN1170" i="48"/>
  <c r="DN1098" i="48"/>
  <c r="DN1002" i="48"/>
  <c r="DN1314" i="48"/>
  <c r="DN1218" i="48"/>
  <c r="DN1122" i="48"/>
  <c r="DN1050" i="48"/>
  <c r="DN1290" i="48"/>
  <c r="DN930" i="48"/>
  <c r="DN786" i="48"/>
  <c r="DN1026" i="48"/>
  <c r="DN954" i="48"/>
  <c r="DN858" i="48"/>
  <c r="DN1194" i="48"/>
  <c r="DN978" i="48"/>
  <c r="DN882" i="48"/>
  <c r="DN810" i="48"/>
  <c r="DN906" i="48"/>
  <c r="DN834" i="48"/>
  <c r="DN762" i="48"/>
  <c r="DN714" i="48"/>
  <c r="DN618" i="48"/>
  <c r="DN738" i="48"/>
  <c r="DN642" i="48"/>
  <c r="DN546" i="48"/>
  <c r="DN474" i="48"/>
  <c r="DN666" i="48"/>
  <c r="DN690" i="48"/>
  <c r="DN594" i="48"/>
  <c r="DN426" i="48"/>
  <c r="DN570" i="48"/>
  <c r="DN258" i="48"/>
  <c r="DN162" i="48"/>
  <c r="DN90" i="48"/>
  <c r="K90" i="48" s="1"/>
  <c r="DN522" i="48"/>
  <c r="DN354" i="48"/>
  <c r="DN282" i="48"/>
  <c r="DN186" i="48"/>
  <c r="DN450" i="48"/>
  <c r="DN378" i="48"/>
  <c r="DN306" i="48"/>
  <c r="DN210" i="48"/>
  <c r="DN498" i="48"/>
  <c r="DN402" i="48"/>
  <c r="DN330" i="48"/>
  <c r="DN234" i="48"/>
  <c r="DN138" i="48"/>
  <c r="DN66" i="48"/>
  <c r="K66" i="48" s="1"/>
  <c r="DN114" i="48"/>
  <c r="DN42" i="48"/>
  <c r="DN1275" i="48"/>
  <c r="DN1179" i="48"/>
  <c r="DN1107" i="48"/>
  <c r="DN1011" i="48"/>
  <c r="DN1299" i="48"/>
  <c r="DN1203" i="48"/>
  <c r="DN1035" i="48"/>
  <c r="DN1251" i="48"/>
  <c r="DN1155" i="48"/>
  <c r="DN1083" i="48"/>
  <c r="DN1323" i="48"/>
  <c r="DN963" i="48"/>
  <c r="DN867" i="48"/>
  <c r="DN1059" i="48"/>
  <c r="DN987" i="48"/>
  <c r="DN891" i="48"/>
  <c r="DN819" i="48"/>
  <c r="DN747" i="48"/>
  <c r="DN1227" i="48"/>
  <c r="DN915" i="48"/>
  <c r="DN843" i="48"/>
  <c r="DN771" i="48"/>
  <c r="DN1131" i="48"/>
  <c r="DN939" i="48"/>
  <c r="DN795" i="48"/>
  <c r="DN651" i="48"/>
  <c r="DN555" i="48"/>
  <c r="DN675" i="48"/>
  <c r="DN579" i="48"/>
  <c r="DN507" i="48"/>
  <c r="DN699" i="48"/>
  <c r="DN603" i="48"/>
  <c r="DN723" i="48"/>
  <c r="DN627" i="48"/>
  <c r="DN531" i="48"/>
  <c r="DN459" i="48"/>
  <c r="DN435" i="48"/>
  <c r="DN363" i="48"/>
  <c r="DN291" i="48"/>
  <c r="DN195" i="48"/>
  <c r="DN387" i="48"/>
  <c r="DN315" i="48"/>
  <c r="DN219" i="48"/>
  <c r="DN483" i="48"/>
  <c r="DN411" i="48"/>
  <c r="DN339" i="48"/>
  <c r="DN243" i="48"/>
  <c r="DN147" i="48"/>
  <c r="DN267" i="48"/>
  <c r="DN171" i="48"/>
  <c r="DN99" i="48"/>
  <c r="DN123" i="48"/>
  <c r="DN75" i="48"/>
  <c r="DN51" i="48"/>
  <c r="DN1329" i="48"/>
  <c r="DN1233" i="48"/>
  <c r="DN1137" i="48"/>
  <c r="DN1065" i="48"/>
  <c r="DN1257" i="48"/>
  <c r="DN1161" i="48"/>
  <c r="DN1089" i="48"/>
  <c r="DN1305" i="48"/>
  <c r="DN1209" i="48"/>
  <c r="DN1041" i="48"/>
  <c r="DN1113" i="48"/>
  <c r="DN921" i="48"/>
  <c r="DN849" i="48"/>
  <c r="DN777" i="48"/>
  <c r="DN1281" i="48"/>
  <c r="DN945" i="48"/>
  <c r="DN801" i="48"/>
  <c r="DN1017" i="48"/>
  <c r="DN969" i="48"/>
  <c r="DN873" i="48"/>
  <c r="DN1185" i="48"/>
  <c r="DN993" i="48"/>
  <c r="DN897" i="48"/>
  <c r="DN825" i="48"/>
  <c r="DN753" i="48"/>
  <c r="DN705" i="48"/>
  <c r="DN609" i="48"/>
  <c r="DN729" i="48"/>
  <c r="DN633" i="48"/>
  <c r="DN537" i="48"/>
  <c r="DN465" i="48"/>
  <c r="DN657" i="48"/>
  <c r="DN681" i="48"/>
  <c r="DN585" i="48"/>
  <c r="DN513" i="48"/>
  <c r="DN417" i="48"/>
  <c r="DN345" i="48"/>
  <c r="DN249" i="48"/>
  <c r="DN153" i="48"/>
  <c r="DN81" i="48"/>
  <c r="DN561" i="48"/>
  <c r="DN489" i="48"/>
  <c r="DN273" i="48"/>
  <c r="DN177" i="48"/>
  <c r="DN369" i="48"/>
  <c r="DN297" i="48"/>
  <c r="DN201" i="48"/>
  <c r="DN393" i="48"/>
  <c r="DN321" i="48"/>
  <c r="DN225" i="48"/>
  <c r="DN129" i="48"/>
  <c r="DN57" i="48"/>
  <c r="DN441" i="48"/>
  <c r="DN105" i="48"/>
  <c r="DN1321" i="48"/>
  <c r="DN1225" i="48"/>
  <c r="DN1129" i="48"/>
  <c r="DN1057" i="48"/>
  <c r="DN1249" i="48"/>
  <c r="DN1153" i="48"/>
  <c r="DN1081" i="48"/>
  <c r="DN1297" i="48"/>
  <c r="DN1201" i="48"/>
  <c r="DN1033" i="48"/>
  <c r="DN913" i="48"/>
  <c r="DN841" i="48"/>
  <c r="DN769" i="48"/>
  <c r="DN1105" i="48"/>
  <c r="DN937" i="48"/>
  <c r="DN793" i="48"/>
  <c r="DN1273" i="48"/>
  <c r="DN961" i="48"/>
  <c r="DN865" i="48"/>
  <c r="DN985" i="48"/>
  <c r="DN889" i="48"/>
  <c r="DN817" i="48"/>
  <c r="DN745" i="48"/>
  <c r="DN697" i="48"/>
  <c r="DN601" i="48"/>
  <c r="DN721" i="48"/>
  <c r="DN625" i="48"/>
  <c r="DN529" i="48"/>
  <c r="DN457" i="48"/>
  <c r="DN649" i="48"/>
  <c r="DN1009" i="48"/>
  <c r="DN673" i="48"/>
  <c r="DN577" i="48"/>
  <c r="DN505" i="48"/>
  <c r="DN1177" i="48"/>
  <c r="DN409" i="48"/>
  <c r="DN337" i="48"/>
  <c r="DN241" i="48"/>
  <c r="DN145" i="48"/>
  <c r="DN73" i="48"/>
  <c r="DN265" i="48"/>
  <c r="DN169" i="48"/>
  <c r="DN433" i="48"/>
  <c r="DN553" i="48"/>
  <c r="DN361" i="48"/>
  <c r="DN289" i="48"/>
  <c r="DN193" i="48"/>
  <c r="DN481" i="48"/>
  <c r="DN385" i="48"/>
  <c r="DN313" i="48"/>
  <c r="DN217" i="48"/>
  <c r="DN121" i="48"/>
  <c r="DN49" i="48"/>
  <c r="DN97" i="48"/>
  <c r="DN1284" i="48"/>
  <c r="DN1142" i="48"/>
  <c r="DN1095" i="48"/>
  <c r="DN1262" i="48"/>
  <c r="DN1212" i="48"/>
  <c r="DN1069" i="48"/>
  <c r="DN1023" i="48"/>
  <c r="DN1189" i="48"/>
  <c r="DN1143" i="48"/>
  <c r="DN1190" i="48"/>
  <c r="DN997" i="48"/>
  <c r="DN855" i="48"/>
  <c r="DN829" i="48"/>
  <c r="DN925" i="48"/>
  <c r="DN879" i="48"/>
  <c r="DN756" i="48"/>
  <c r="DN1140" i="48"/>
  <c r="DN924" i="48"/>
  <c r="DN878" i="48"/>
  <c r="DN759" i="48"/>
  <c r="DN1119" i="48"/>
  <c r="DN973" i="48"/>
  <c r="DN927" i="48"/>
  <c r="DN783" i="48"/>
  <c r="DN660" i="48"/>
  <c r="DN614" i="48"/>
  <c r="DN709" i="48"/>
  <c r="DN663" i="48"/>
  <c r="DN542" i="48"/>
  <c r="DN517" i="48"/>
  <c r="DN1311" i="48"/>
  <c r="DN637" i="48"/>
  <c r="DN591" i="48"/>
  <c r="DN636" i="48"/>
  <c r="DN590" i="48"/>
  <c r="DN493" i="48"/>
  <c r="DN447" i="48"/>
  <c r="DN372" i="48"/>
  <c r="DN229" i="48"/>
  <c r="DN183" i="48"/>
  <c r="DN446" i="48"/>
  <c r="DN350" i="48"/>
  <c r="DN303" i="48"/>
  <c r="DN182" i="48"/>
  <c r="DN157" i="48"/>
  <c r="DN327" i="48"/>
  <c r="DN206" i="48"/>
  <c r="DN181" i="48"/>
  <c r="DN348" i="48"/>
  <c r="DN230" i="48"/>
  <c r="DN205" i="48"/>
  <c r="DN87" i="48"/>
  <c r="DN110" i="48"/>
  <c r="DN84" i="48"/>
  <c r="DN111" i="48"/>
  <c r="DN63" i="48"/>
  <c r="AK58" i="48" l="1"/>
  <c r="AJ58" i="48"/>
  <c r="DN85" i="48"/>
  <c r="DN62" i="48"/>
  <c r="DN373" i="48"/>
  <c r="DN349" i="48"/>
  <c r="DN324" i="48"/>
  <c r="DN61" i="48"/>
  <c r="DN204" i="48"/>
  <c r="DN351" i="48"/>
  <c r="DN468" i="48"/>
  <c r="DN615" i="48"/>
  <c r="DN612" i="48"/>
  <c r="DN1068" i="48"/>
  <c r="DN684" i="48"/>
  <c r="DN639" i="48"/>
  <c r="DN805" i="48"/>
  <c r="DN948" i="48"/>
  <c r="DN1286" i="48"/>
  <c r="DN903" i="48"/>
  <c r="DN1261" i="48"/>
  <c r="DN900" i="48"/>
  <c r="DN1093" i="48"/>
  <c r="DN1047" i="48"/>
  <c r="DN1164" i="48"/>
  <c r="DN1044" i="48"/>
  <c r="DN1237" i="48"/>
  <c r="DN1117" i="48"/>
  <c r="DN1309" i="48"/>
  <c r="DN109" i="48"/>
  <c r="DN255" i="48"/>
  <c r="DN398" i="48"/>
  <c r="DN231" i="48"/>
  <c r="DN374" i="48"/>
  <c r="DN207" i="48"/>
  <c r="DN375" i="48"/>
  <c r="DN86" i="48"/>
  <c r="DN397" i="48"/>
  <c r="DN661" i="48"/>
  <c r="DN420" i="48"/>
  <c r="DN567" i="48"/>
  <c r="DN685" i="48"/>
  <c r="DN830" i="48"/>
  <c r="DN780" i="48"/>
  <c r="DN949" i="48"/>
  <c r="DN781" i="48"/>
  <c r="DN1236" i="48"/>
  <c r="DN876" i="48"/>
  <c r="DN1021" i="48"/>
  <c r="DN1214" i="48"/>
  <c r="DN1094" i="48"/>
  <c r="DN1287" i="48"/>
  <c r="DN1167" i="48"/>
  <c r="DN421" i="48"/>
  <c r="DN38" i="48"/>
  <c r="DN276" i="48"/>
  <c r="DN541" i="48"/>
  <c r="DN252" i="48"/>
  <c r="DN399" i="48"/>
  <c r="DN228" i="48"/>
  <c r="DN396" i="48"/>
  <c r="DN108" i="48"/>
  <c r="DN254" i="48"/>
  <c r="DN519" i="48"/>
  <c r="DN662" i="48"/>
  <c r="DN445" i="48"/>
  <c r="DN588" i="48"/>
  <c r="DN734" i="48"/>
  <c r="DN852" i="48"/>
  <c r="DN998" i="48"/>
  <c r="DN806" i="48"/>
  <c r="DN950" i="48"/>
  <c r="DN757" i="48"/>
  <c r="DN901" i="48"/>
  <c r="DN1046" i="48"/>
  <c r="DN1239" i="48"/>
  <c r="DN1116" i="48"/>
  <c r="DN1308" i="48"/>
  <c r="DN1188" i="48"/>
  <c r="DN60" i="48"/>
  <c r="DN492" i="48"/>
  <c r="DN134" i="48"/>
  <c r="DN301" i="48"/>
  <c r="DN566" i="48"/>
  <c r="DN277" i="48"/>
  <c r="DN444" i="48"/>
  <c r="DN253" i="48"/>
  <c r="DN423" i="48"/>
  <c r="DN133" i="48"/>
  <c r="DN279" i="48"/>
  <c r="DN469" i="48"/>
  <c r="DN540" i="48"/>
  <c r="DN686" i="48"/>
  <c r="DN687" i="48"/>
  <c r="DN613" i="48"/>
  <c r="DN564" i="48"/>
  <c r="DN710" i="48"/>
  <c r="DN877" i="48"/>
  <c r="DN1022" i="48"/>
  <c r="DN831" i="48"/>
  <c r="DN974" i="48"/>
  <c r="DN807" i="48"/>
  <c r="DN975" i="48"/>
  <c r="DN926" i="48"/>
  <c r="DN1071" i="48"/>
  <c r="DN1260" i="48"/>
  <c r="DN1141" i="48"/>
  <c r="DN1020" i="48"/>
  <c r="DN1213" i="48"/>
  <c r="DN471" i="48"/>
  <c r="DN132" i="48"/>
  <c r="DN518" i="48"/>
  <c r="DN159" i="48"/>
  <c r="DN135" i="48"/>
  <c r="DN494" i="48"/>
  <c r="DN300" i="48"/>
  <c r="DN565" i="48"/>
  <c r="DN711" i="48"/>
  <c r="DN708" i="48"/>
  <c r="DN470" i="48"/>
  <c r="DN589" i="48"/>
  <c r="DN735" i="48"/>
  <c r="DN1165" i="48"/>
  <c r="DN853" i="48"/>
  <c r="DN999" i="48"/>
  <c r="DN828" i="48"/>
  <c r="DN996" i="48"/>
  <c r="DN782" i="48"/>
  <c r="DN951" i="48"/>
  <c r="DN1092" i="48"/>
  <c r="DN1285" i="48"/>
  <c r="DN1166" i="48"/>
  <c r="DN1045" i="48"/>
  <c r="DN1238" i="48"/>
  <c r="DN137" i="48"/>
  <c r="DO138" i="48" s="1"/>
  <c r="DN36" i="48"/>
  <c r="DN39" i="48"/>
  <c r="DN37" i="48"/>
  <c r="DN180" i="48"/>
  <c r="DN326" i="48"/>
  <c r="DN156" i="48"/>
  <c r="DN302" i="48"/>
  <c r="DN543" i="48"/>
  <c r="DN278" i="48"/>
  <c r="DN516" i="48"/>
  <c r="DN158" i="48"/>
  <c r="DN325" i="48"/>
  <c r="DN422" i="48"/>
  <c r="DN732" i="48"/>
  <c r="DN733" i="48"/>
  <c r="DN495" i="48"/>
  <c r="DN638" i="48"/>
  <c r="DN758" i="48"/>
  <c r="DN902" i="48"/>
  <c r="DN1265" i="48"/>
  <c r="DO1266" i="48" s="1"/>
  <c r="DN1097" i="48"/>
  <c r="DO1098" i="48" s="1"/>
  <c r="DN854" i="48"/>
  <c r="DN1215" i="48"/>
  <c r="DN804" i="48"/>
  <c r="DN972" i="48"/>
  <c r="DN1118" i="48"/>
  <c r="DN1310" i="48"/>
  <c r="DN1191" i="48"/>
  <c r="DN1070" i="48"/>
  <c r="DN1263" i="48"/>
  <c r="K75" i="48"/>
  <c r="K73" i="48"/>
  <c r="K105" i="48"/>
  <c r="K99" i="48"/>
  <c r="K97" i="48"/>
  <c r="K81" i="48"/>
  <c r="K106" i="48"/>
  <c r="K71" i="48"/>
  <c r="K80" i="48"/>
  <c r="K102" i="48"/>
  <c r="K103" i="48"/>
  <c r="K82" i="48"/>
  <c r="K104" i="48"/>
  <c r="K77" i="48"/>
  <c r="K94" i="48"/>
  <c r="K78" i="48"/>
  <c r="K95" i="48"/>
  <c r="K96" i="48"/>
  <c r="K98" i="48"/>
  <c r="K76" i="48"/>
  <c r="K68" i="48"/>
  <c r="L68" i="48" s="1"/>
  <c r="K100" i="48"/>
  <c r="K69" i="48"/>
  <c r="K72" i="48"/>
  <c r="L72" i="48" s="1"/>
  <c r="K74" i="48"/>
  <c r="K92" i="48"/>
  <c r="K101" i="48"/>
  <c r="K70" i="48"/>
  <c r="K79" i="48"/>
  <c r="K93" i="48"/>
  <c r="L91" i="48"/>
  <c r="AO91" i="48" s="1"/>
  <c r="L67" i="48"/>
  <c r="AO67" i="48" s="1"/>
  <c r="K49" i="48"/>
  <c r="DO49" i="48"/>
  <c r="AY49" i="48" s="1"/>
  <c r="K385" i="48"/>
  <c r="DO385" i="48"/>
  <c r="K361" i="48"/>
  <c r="DO361" i="48"/>
  <c r="K265" i="48"/>
  <c r="DO265" i="48"/>
  <c r="K337" i="48"/>
  <c r="DO337" i="48"/>
  <c r="K577" i="48"/>
  <c r="DO577" i="48"/>
  <c r="K457" i="48"/>
  <c r="DO457" i="48"/>
  <c r="K601" i="48"/>
  <c r="DO601" i="48"/>
  <c r="K889" i="48"/>
  <c r="DO889" i="48"/>
  <c r="K1273" i="48"/>
  <c r="DO1273" i="48"/>
  <c r="K769" i="48"/>
  <c r="DO769" i="48"/>
  <c r="K1201" i="48"/>
  <c r="DO1201" i="48"/>
  <c r="K1249" i="48"/>
  <c r="DO1249" i="48"/>
  <c r="K1321" i="48"/>
  <c r="DO1321" i="48"/>
  <c r="K129" i="48"/>
  <c r="DO129" i="48"/>
  <c r="K201" i="48"/>
  <c r="DO201" i="48"/>
  <c r="K273" i="48"/>
  <c r="DO273" i="48"/>
  <c r="K153" i="48"/>
  <c r="DO153" i="48"/>
  <c r="K513" i="48"/>
  <c r="DO513" i="48"/>
  <c r="K465" i="48"/>
  <c r="DO465" i="48"/>
  <c r="K609" i="48"/>
  <c r="DO609" i="48"/>
  <c r="K897" i="48"/>
  <c r="DO897" i="48"/>
  <c r="K969" i="48"/>
  <c r="DO969" i="48"/>
  <c r="K1281" i="48"/>
  <c r="DO1281" i="48"/>
  <c r="K1113" i="48"/>
  <c r="DO1113" i="48"/>
  <c r="K1089" i="48"/>
  <c r="DO1089" i="48"/>
  <c r="K1137" i="48"/>
  <c r="DO1137" i="48"/>
  <c r="DO75" i="48"/>
  <c r="K267" i="48"/>
  <c r="DO267" i="48"/>
  <c r="K411" i="48"/>
  <c r="DO411" i="48"/>
  <c r="K387" i="48"/>
  <c r="DO387" i="48"/>
  <c r="K435" i="48"/>
  <c r="DO435" i="48"/>
  <c r="K723" i="48"/>
  <c r="DO723" i="48"/>
  <c r="K579" i="48"/>
  <c r="DO579" i="48"/>
  <c r="K795" i="48"/>
  <c r="DO795" i="48"/>
  <c r="K843" i="48"/>
  <c r="DO843" i="48"/>
  <c r="K819" i="48"/>
  <c r="DO819" i="48"/>
  <c r="K867" i="48"/>
  <c r="DO867" i="48"/>
  <c r="K1155" i="48"/>
  <c r="DO1155" i="48"/>
  <c r="K1299" i="48"/>
  <c r="DO1299" i="48"/>
  <c r="K1275" i="48"/>
  <c r="DO1275" i="48"/>
  <c r="K138" i="48"/>
  <c r="K498" i="48"/>
  <c r="K450" i="48"/>
  <c r="K522" i="48"/>
  <c r="K570" i="48"/>
  <c r="K666" i="48"/>
  <c r="K738" i="48"/>
  <c r="K834" i="48"/>
  <c r="K978" i="48"/>
  <c r="K1026" i="48"/>
  <c r="K1050" i="48"/>
  <c r="K1002" i="48"/>
  <c r="K1074" i="48"/>
  <c r="K50" i="48"/>
  <c r="DO50" i="48"/>
  <c r="AY50" i="48" s="1"/>
  <c r="K242" i="48"/>
  <c r="DO242" i="48"/>
  <c r="K530" i="48"/>
  <c r="DO530" i="48"/>
  <c r="K194" i="48"/>
  <c r="DO194" i="48"/>
  <c r="DO98" i="48"/>
  <c r="K602" i="48"/>
  <c r="DO602" i="48"/>
  <c r="K482" i="48"/>
  <c r="DO482" i="48"/>
  <c r="K722" i="48"/>
  <c r="DO722" i="48"/>
  <c r="K1298" i="48"/>
  <c r="DO1298" i="48"/>
  <c r="K986" i="48"/>
  <c r="DO986" i="48"/>
  <c r="K794" i="48"/>
  <c r="DO794" i="48"/>
  <c r="K1226" i="48"/>
  <c r="DO1226" i="48"/>
  <c r="K1178" i="48"/>
  <c r="DO1178" i="48"/>
  <c r="K1250" i="48"/>
  <c r="DO1250" i="48"/>
  <c r="K250" i="48"/>
  <c r="DO250" i="48"/>
  <c r="DO251" i="48"/>
  <c r="K226" i="48"/>
  <c r="DO227" i="48"/>
  <c r="DO226" i="48"/>
  <c r="K202" i="48"/>
  <c r="DO203" i="48"/>
  <c r="DO202" i="48"/>
  <c r="DO107" i="48"/>
  <c r="DO106" i="48"/>
  <c r="K442" i="48"/>
  <c r="DO443" i="48"/>
  <c r="DO442" i="48"/>
  <c r="K586" i="48"/>
  <c r="DO586" i="48"/>
  <c r="DO587" i="48"/>
  <c r="K658" i="48"/>
  <c r="DO659" i="48"/>
  <c r="DO658" i="48"/>
  <c r="K850" i="48"/>
  <c r="DO851" i="48"/>
  <c r="DO850" i="48"/>
  <c r="K826" i="48"/>
  <c r="DO827" i="48"/>
  <c r="DO826" i="48"/>
  <c r="K874" i="48"/>
  <c r="DO875" i="48"/>
  <c r="DO874" i="48"/>
  <c r="K1066" i="48"/>
  <c r="DO1066" i="48"/>
  <c r="DO1067" i="48"/>
  <c r="K1114" i="48"/>
  <c r="DO1114" i="48"/>
  <c r="DO1115" i="48"/>
  <c r="K1162" i="48"/>
  <c r="DO1163" i="48"/>
  <c r="DO1162" i="48"/>
  <c r="DO67" i="48"/>
  <c r="K163" i="48"/>
  <c r="DO163" i="48"/>
  <c r="K235" i="48"/>
  <c r="DO235" i="48"/>
  <c r="K211" i="48"/>
  <c r="DO211" i="48"/>
  <c r="K283" i="48"/>
  <c r="DO283" i="48"/>
  <c r="K619" i="48"/>
  <c r="DO619" i="48"/>
  <c r="K499" i="48"/>
  <c r="DO499" i="48"/>
  <c r="K739" i="48"/>
  <c r="DO739" i="48"/>
  <c r="K1219" i="48"/>
  <c r="DO1219" i="48"/>
  <c r="K1051" i="48"/>
  <c r="DO1051" i="48"/>
  <c r="K1315" i="48"/>
  <c r="DO1315" i="48"/>
  <c r="K1075" i="48"/>
  <c r="DO1075" i="48"/>
  <c r="K1195" i="48"/>
  <c r="DO1195" i="48"/>
  <c r="K1267" i="48"/>
  <c r="DO1267" i="48"/>
  <c r="K188" i="48"/>
  <c r="DO188" i="48"/>
  <c r="K164" i="48"/>
  <c r="DO164" i="48"/>
  <c r="K332" i="48"/>
  <c r="DO332" i="48"/>
  <c r="K212" i="48"/>
  <c r="DO212" i="48"/>
  <c r="K476" i="48"/>
  <c r="DO476" i="48"/>
  <c r="K1244" i="48"/>
  <c r="DO1244" i="48"/>
  <c r="K596" i="48"/>
  <c r="DO596" i="48"/>
  <c r="K860" i="48"/>
  <c r="DO860" i="48"/>
  <c r="K932" i="48"/>
  <c r="DO932" i="48"/>
  <c r="K1148" i="48"/>
  <c r="DO1148" i="48"/>
  <c r="K1004" i="48"/>
  <c r="DO1004" i="48"/>
  <c r="K1052" i="48"/>
  <c r="DO1052" i="48"/>
  <c r="K1028" i="48"/>
  <c r="DO1028" i="48"/>
  <c r="DO76" i="48"/>
  <c r="K292" i="48"/>
  <c r="DO292" i="48"/>
  <c r="K460" i="48"/>
  <c r="DO460" i="48"/>
  <c r="K532" i="48"/>
  <c r="DO532" i="48"/>
  <c r="K316" i="48"/>
  <c r="DO316" i="48"/>
  <c r="K652" i="48"/>
  <c r="DO652" i="48"/>
  <c r="K604" i="48"/>
  <c r="DO604" i="48"/>
  <c r="K868" i="48"/>
  <c r="DO868" i="48"/>
  <c r="K940" i="48"/>
  <c r="DO940" i="48"/>
  <c r="K916" i="48"/>
  <c r="DO916" i="48"/>
  <c r="K988" i="48"/>
  <c r="DO988" i="48"/>
  <c r="K1180" i="48"/>
  <c r="DO1180" i="48"/>
  <c r="K1228" i="48"/>
  <c r="DO1228" i="48"/>
  <c r="K1300" i="48"/>
  <c r="DO1300" i="48"/>
  <c r="K200" i="48"/>
  <c r="DO200" i="48"/>
  <c r="K176" i="48"/>
  <c r="DO176" i="48"/>
  <c r="K248" i="48"/>
  <c r="DO248" i="48"/>
  <c r="K128" i="48"/>
  <c r="DO128" i="48"/>
  <c r="K488" i="48"/>
  <c r="DO488" i="48"/>
  <c r="K728" i="48"/>
  <c r="DO728" i="48"/>
  <c r="K584" i="48"/>
  <c r="DO584" i="48"/>
  <c r="K1088" i="48"/>
  <c r="DO1088" i="48"/>
  <c r="K776" i="48"/>
  <c r="DO776" i="48"/>
  <c r="K824" i="48"/>
  <c r="DO824" i="48"/>
  <c r="K1016" i="48"/>
  <c r="DO1016" i="48"/>
  <c r="K1064" i="48"/>
  <c r="DO1064" i="48"/>
  <c r="K1040" i="48"/>
  <c r="DO1040" i="48"/>
  <c r="K45" i="48"/>
  <c r="DO45" i="48"/>
  <c r="AY45" i="48" s="1"/>
  <c r="K381" i="48"/>
  <c r="DO381" i="48"/>
  <c r="K477" i="48"/>
  <c r="DO477" i="48"/>
  <c r="K429" i="48"/>
  <c r="DO429" i="48"/>
  <c r="K333" i="48"/>
  <c r="DO333" i="48"/>
  <c r="K669" i="48"/>
  <c r="DO669" i="48"/>
  <c r="K621" i="48"/>
  <c r="DO621" i="48"/>
  <c r="K693" i="48"/>
  <c r="DO693" i="48"/>
  <c r="K981" i="48"/>
  <c r="DO981" i="48"/>
  <c r="K1005" i="48"/>
  <c r="DO1005" i="48"/>
  <c r="K765" i="48"/>
  <c r="DO765" i="48"/>
  <c r="K1197" i="48"/>
  <c r="DO1197" i="48"/>
  <c r="K1245" i="48"/>
  <c r="DO1245" i="48"/>
  <c r="K1317" i="48"/>
  <c r="DO1317" i="48"/>
  <c r="K53" i="48"/>
  <c r="DO53" i="48"/>
  <c r="AY53" i="48" s="1"/>
  <c r="K389" i="48"/>
  <c r="DO389" i="48"/>
  <c r="K173" i="48"/>
  <c r="DO173" i="48"/>
  <c r="K245" i="48"/>
  <c r="DO245" i="48"/>
  <c r="K509" i="48"/>
  <c r="DO509" i="48"/>
  <c r="K1277" i="48"/>
  <c r="DO1277" i="48"/>
  <c r="K725" i="48"/>
  <c r="DO725" i="48"/>
  <c r="K821" i="48"/>
  <c r="DO821" i="48"/>
  <c r="K869" i="48"/>
  <c r="DO869" i="48"/>
  <c r="K1181" i="48"/>
  <c r="DO1181" i="48"/>
  <c r="K1013" i="48"/>
  <c r="DO1013" i="48"/>
  <c r="K1085" i="48"/>
  <c r="DO1085" i="48"/>
  <c r="K1133" i="48"/>
  <c r="DO1133" i="48"/>
  <c r="K454" i="48"/>
  <c r="DO454" i="48"/>
  <c r="K238" i="48"/>
  <c r="DO238" i="48"/>
  <c r="K310" i="48"/>
  <c r="DO310" i="48"/>
  <c r="K190" i="48"/>
  <c r="DO190" i="48"/>
  <c r="K166" i="48"/>
  <c r="DO166" i="48"/>
  <c r="K598" i="48"/>
  <c r="DO598" i="48"/>
  <c r="K550" i="48"/>
  <c r="DO550" i="48"/>
  <c r="K766" i="48"/>
  <c r="L766" i="48" s="1"/>
  <c r="DO766" i="48"/>
  <c r="K742" i="48"/>
  <c r="DO742" i="48"/>
  <c r="K1030" i="48"/>
  <c r="DO1030" i="48"/>
  <c r="K790" i="48"/>
  <c r="DO790" i="48"/>
  <c r="K1222" i="48"/>
  <c r="DO1222" i="48"/>
  <c r="K1174" i="48"/>
  <c r="DO1174" i="48"/>
  <c r="K1246" i="48"/>
  <c r="DO1246" i="48"/>
  <c r="K150" i="48"/>
  <c r="DO150" i="48"/>
  <c r="K126" i="48"/>
  <c r="DO126" i="48"/>
  <c r="K510" i="48"/>
  <c r="DO510" i="48"/>
  <c r="K462" i="48"/>
  <c r="DO462" i="48"/>
  <c r="K438" i="48"/>
  <c r="DO438" i="48"/>
  <c r="K678" i="48"/>
  <c r="DO678" i="48"/>
  <c r="K630" i="48"/>
  <c r="DO630" i="48"/>
  <c r="K918" i="48"/>
  <c r="DO918" i="48"/>
  <c r="K990" i="48"/>
  <c r="DO990" i="48"/>
  <c r="K1038" i="48"/>
  <c r="DO1038" i="48"/>
  <c r="K1062" i="48"/>
  <c r="DO1062" i="48"/>
  <c r="K1014" i="48"/>
  <c r="L1014" i="48" s="1"/>
  <c r="DO1014" i="48"/>
  <c r="K1086" i="48"/>
  <c r="L1086" i="48" s="1"/>
  <c r="DO1086" i="48"/>
  <c r="DO71" i="48"/>
  <c r="K167" i="48"/>
  <c r="DO167" i="48"/>
  <c r="K239" i="48"/>
  <c r="DO239" i="48"/>
  <c r="K311" i="48"/>
  <c r="DO311" i="48"/>
  <c r="K287" i="48"/>
  <c r="DO287" i="48"/>
  <c r="K623" i="48"/>
  <c r="DO623" i="48"/>
  <c r="K503" i="48"/>
  <c r="DO503" i="48"/>
  <c r="K791" i="48"/>
  <c r="DO791" i="48"/>
  <c r="K767" i="48"/>
  <c r="DO767" i="48"/>
  <c r="K743" i="48"/>
  <c r="DO743" i="48"/>
  <c r="K863" i="48"/>
  <c r="DO863" i="48"/>
  <c r="K1079" i="48"/>
  <c r="DO1079" i="48"/>
  <c r="K1199" i="48"/>
  <c r="DO1199" i="48"/>
  <c r="K1271" i="48"/>
  <c r="DO1271" i="48"/>
  <c r="K55" i="48"/>
  <c r="DO55" i="48"/>
  <c r="AY55" i="48" s="1"/>
  <c r="K151" i="48"/>
  <c r="DO151" i="48"/>
  <c r="K319" i="48"/>
  <c r="DO319" i="48"/>
  <c r="K295" i="48"/>
  <c r="DO295" i="48"/>
  <c r="K631" i="48"/>
  <c r="DO631" i="48"/>
  <c r="K415" i="48"/>
  <c r="DO415" i="48"/>
  <c r="K559" i="48"/>
  <c r="DO559" i="48"/>
  <c r="K1231" i="48"/>
  <c r="DO1231" i="48"/>
  <c r="K1063" i="48"/>
  <c r="DO1063" i="48"/>
  <c r="K895" i="48"/>
  <c r="DO895" i="48"/>
  <c r="K967" i="48"/>
  <c r="DO967" i="48"/>
  <c r="K1039" i="48"/>
  <c r="DO1039" i="48"/>
  <c r="K1111" i="48"/>
  <c r="DO1111" i="48"/>
  <c r="K144" i="48"/>
  <c r="DO144" i="48"/>
  <c r="K360" i="48"/>
  <c r="DO360" i="48"/>
  <c r="K240" i="48"/>
  <c r="DO240" i="48"/>
  <c r="K48" i="48"/>
  <c r="DO48" i="48"/>
  <c r="AY48" i="48" s="1"/>
  <c r="K384" i="48"/>
  <c r="DO384" i="48"/>
  <c r="K648" i="48"/>
  <c r="DO648" i="48"/>
  <c r="K600" i="48"/>
  <c r="DO600" i="48"/>
  <c r="K864" i="48"/>
  <c r="L864" i="48" s="1"/>
  <c r="DO864" i="48"/>
  <c r="K936" i="48"/>
  <c r="DO936" i="48"/>
  <c r="K1248" i="48"/>
  <c r="DO1248" i="48"/>
  <c r="K984" i="48"/>
  <c r="DO984" i="48"/>
  <c r="K1176" i="48"/>
  <c r="DO1176" i="48"/>
  <c r="K1224" i="48"/>
  <c r="DO1224" i="48"/>
  <c r="K1296" i="48"/>
  <c r="DO1296" i="48"/>
  <c r="K121" i="48"/>
  <c r="DO121" i="48"/>
  <c r="K481" i="48"/>
  <c r="DO481" i="48"/>
  <c r="K553" i="48"/>
  <c r="DO553" i="48"/>
  <c r="DO73" i="48"/>
  <c r="K409" i="48"/>
  <c r="DO409" i="48"/>
  <c r="K673" i="48"/>
  <c r="DO673" i="48"/>
  <c r="K529" i="48"/>
  <c r="DO529" i="48"/>
  <c r="K697" i="48"/>
  <c r="DO697" i="48"/>
  <c r="K985" i="48"/>
  <c r="DO985" i="48"/>
  <c r="K793" i="48"/>
  <c r="DO793" i="48"/>
  <c r="K841" i="48"/>
  <c r="DO841" i="48"/>
  <c r="K1297" i="48"/>
  <c r="DO1297" i="48"/>
  <c r="K1057" i="48"/>
  <c r="DO1057" i="48"/>
  <c r="DO105" i="48"/>
  <c r="K225" i="48"/>
  <c r="DO225" i="48"/>
  <c r="K297" i="48"/>
  <c r="DO297" i="48"/>
  <c r="K489" i="48"/>
  <c r="DO489" i="48"/>
  <c r="K249" i="48"/>
  <c r="DO249" i="48"/>
  <c r="K585" i="48"/>
  <c r="DO585" i="48"/>
  <c r="K537" i="48"/>
  <c r="DO537" i="48"/>
  <c r="K705" i="48"/>
  <c r="DO705" i="48"/>
  <c r="K993" i="48"/>
  <c r="DO993" i="48"/>
  <c r="K1017" i="48"/>
  <c r="DO1017" i="48"/>
  <c r="K777" i="48"/>
  <c r="DO777" i="48"/>
  <c r="K1041" i="48"/>
  <c r="DO1041" i="48"/>
  <c r="K1161" i="48"/>
  <c r="DO1161" i="48"/>
  <c r="K1233" i="48"/>
  <c r="DO1233" i="48"/>
  <c r="K123" i="48"/>
  <c r="DO123" i="48"/>
  <c r="K147" i="48"/>
  <c r="DO147" i="48"/>
  <c r="K483" i="48"/>
  <c r="DO483" i="48"/>
  <c r="K195" i="48"/>
  <c r="DO195" i="48"/>
  <c r="K459" i="48"/>
  <c r="DO459" i="48"/>
  <c r="K603" i="48"/>
  <c r="DO603" i="48"/>
  <c r="K675" i="48"/>
  <c r="DO675" i="48"/>
  <c r="K939" i="48"/>
  <c r="DO939" i="48"/>
  <c r="K915" i="48"/>
  <c r="DO915" i="48"/>
  <c r="K891" i="48"/>
  <c r="DO891" i="48"/>
  <c r="K963" i="48"/>
  <c r="DO963" i="48"/>
  <c r="K1251" i="48"/>
  <c r="DO1251" i="48"/>
  <c r="K1011" i="48"/>
  <c r="DO1011" i="48"/>
  <c r="K42" i="48"/>
  <c r="K234" i="48"/>
  <c r="K210" i="48"/>
  <c r="K186" i="48"/>
  <c r="K426" i="48"/>
  <c r="K474" i="48"/>
  <c r="K618" i="48"/>
  <c r="K906" i="48"/>
  <c r="K1194" i="48"/>
  <c r="K786" i="48"/>
  <c r="K1122" i="48"/>
  <c r="K1098" i="48"/>
  <c r="K1146" i="48"/>
  <c r="K458" i="48"/>
  <c r="DO458" i="48"/>
  <c r="K338" i="48"/>
  <c r="DO338" i="48"/>
  <c r="K218" i="48"/>
  <c r="DO218" i="48"/>
  <c r="K290" i="48"/>
  <c r="DO290" i="48"/>
  <c r="K170" i="48"/>
  <c r="DO170" i="48"/>
  <c r="K698" i="48"/>
  <c r="DO698" i="48"/>
  <c r="K554" i="48"/>
  <c r="DO554" i="48"/>
  <c r="K770" i="48"/>
  <c r="DO770" i="48"/>
  <c r="K746" i="48"/>
  <c r="DO746" i="48"/>
  <c r="K866" i="48"/>
  <c r="DO866" i="48"/>
  <c r="K938" i="48"/>
  <c r="DO938" i="48"/>
  <c r="K1322" i="48"/>
  <c r="DO1322" i="48"/>
  <c r="K1274" i="48"/>
  <c r="DO1274" i="48"/>
  <c r="K58" i="48"/>
  <c r="DO58" i="48"/>
  <c r="AY58" i="48" s="1"/>
  <c r="K346" i="48"/>
  <c r="DO347" i="48"/>
  <c r="DO346" i="48"/>
  <c r="K322" i="48"/>
  <c r="DO323" i="48"/>
  <c r="DO322" i="48"/>
  <c r="K298" i="48"/>
  <c r="DO299" i="48"/>
  <c r="DO298" i="48"/>
  <c r="K178" i="48"/>
  <c r="DO179" i="48"/>
  <c r="DO178" i="48"/>
  <c r="K610" i="48"/>
  <c r="DO610" i="48"/>
  <c r="DO611" i="48"/>
  <c r="K682" i="48"/>
  <c r="DO682" i="48"/>
  <c r="DO683" i="48"/>
  <c r="K634" i="48"/>
  <c r="DO635" i="48"/>
  <c r="DO634" i="48"/>
  <c r="K922" i="48"/>
  <c r="DO923" i="48"/>
  <c r="DO922" i="48"/>
  <c r="K898" i="48"/>
  <c r="DO898" i="48"/>
  <c r="DO899" i="48"/>
  <c r="K970" i="48"/>
  <c r="DO971" i="48"/>
  <c r="DO970" i="48"/>
  <c r="K1138" i="48"/>
  <c r="DO1138" i="48"/>
  <c r="DO1139" i="48"/>
  <c r="K1186" i="48"/>
  <c r="DO1186" i="48"/>
  <c r="DO1187" i="48"/>
  <c r="K1258" i="48"/>
  <c r="DO1259" i="48"/>
  <c r="DO1258" i="48"/>
  <c r="K115" i="48"/>
  <c r="DO115" i="48"/>
  <c r="K259" i="48"/>
  <c r="DO259" i="48"/>
  <c r="K331" i="48"/>
  <c r="DO331" i="48"/>
  <c r="K307" i="48"/>
  <c r="DO307" i="48"/>
  <c r="K355" i="48"/>
  <c r="DO355" i="48"/>
  <c r="K715" i="48"/>
  <c r="DO715" i="48"/>
  <c r="K571" i="48"/>
  <c r="DO571" i="48"/>
  <c r="K787" i="48"/>
  <c r="DO787" i="48"/>
  <c r="K763" i="48"/>
  <c r="DO763" i="48"/>
  <c r="K811" i="48"/>
  <c r="DO811" i="48"/>
  <c r="K859" i="48"/>
  <c r="DO859" i="48"/>
  <c r="K1147" i="48"/>
  <c r="DO1147" i="48"/>
  <c r="K1291" i="48"/>
  <c r="DO1291" i="48"/>
  <c r="DO68" i="48"/>
  <c r="K284" i="48"/>
  <c r="DO284" i="48"/>
  <c r="K260" i="48"/>
  <c r="DO260" i="48"/>
  <c r="K404" i="48"/>
  <c r="DO404" i="48"/>
  <c r="K308" i="48"/>
  <c r="DO308" i="48"/>
  <c r="K548" i="48"/>
  <c r="DO548" i="48"/>
  <c r="K620" i="48"/>
  <c r="DO620" i="48"/>
  <c r="K692" i="48"/>
  <c r="DO692" i="48"/>
  <c r="K956" i="48"/>
  <c r="DO956" i="48"/>
  <c r="K764" i="48"/>
  <c r="DO764" i="48"/>
  <c r="K812" i="48"/>
  <c r="DO812" i="48"/>
  <c r="K1100" i="48"/>
  <c r="DO1100" i="48"/>
  <c r="K1124" i="48"/>
  <c r="DO1124" i="48"/>
  <c r="K1196" i="48"/>
  <c r="DO1196" i="48"/>
  <c r="DO100" i="48"/>
  <c r="K364" i="48"/>
  <c r="DO364" i="48"/>
  <c r="K244" i="48"/>
  <c r="DO244" i="48"/>
  <c r="K52" i="48"/>
  <c r="DO52" i="48"/>
  <c r="AY52" i="48" s="1"/>
  <c r="K388" i="48"/>
  <c r="DO388" i="48"/>
  <c r="K628" i="48"/>
  <c r="DO628" i="48"/>
  <c r="K700" i="48"/>
  <c r="DO700" i="48"/>
  <c r="K964" i="48"/>
  <c r="DO964" i="48"/>
  <c r="K1084" i="48"/>
  <c r="DO1084" i="48"/>
  <c r="K748" i="48"/>
  <c r="DO748" i="48"/>
  <c r="K1156" i="48"/>
  <c r="DO1156" i="48"/>
  <c r="K1276" i="48"/>
  <c r="DO1276" i="48"/>
  <c r="K1324" i="48"/>
  <c r="DO1324" i="48"/>
  <c r="DO80" i="48"/>
  <c r="K296" i="48"/>
  <c r="DO296" i="48"/>
  <c r="K272" i="48"/>
  <c r="DO272" i="48"/>
  <c r="K344" i="48"/>
  <c r="DO344" i="48"/>
  <c r="K224" i="48"/>
  <c r="DO224" i="48"/>
  <c r="K560" i="48"/>
  <c r="DO560" i="48"/>
  <c r="K440" i="48"/>
  <c r="DO440" i="48"/>
  <c r="K680" i="48"/>
  <c r="DO680" i="48"/>
  <c r="K800" i="48"/>
  <c r="DO800" i="48"/>
  <c r="K848" i="48"/>
  <c r="DO848" i="48"/>
  <c r="K896" i="48"/>
  <c r="DO896" i="48"/>
  <c r="K1112" i="48"/>
  <c r="DO1112" i="48"/>
  <c r="K1136" i="48"/>
  <c r="DO1136" i="48"/>
  <c r="K1208" i="48"/>
  <c r="DO1208" i="48"/>
  <c r="K117" i="48"/>
  <c r="DO117" i="48"/>
  <c r="K189" i="48"/>
  <c r="DO189" i="48"/>
  <c r="K165" i="48"/>
  <c r="DO165" i="48"/>
  <c r="DO69" i="48"/>
  <c r="K405" i="48"/>
  <c r="DO405" i="48"/>
  <c r="K645" i="48"/>
  <c r="DO645" i="48"/>
  <c r="K717" i="48"/>
  <c r="DO717" i="48"/>
  <c r="K741" i="48"/>
  <c r="DO741" i="48"/>
  <c r="K861" i="48"/>
  <c r="DO861" i="48"/>
  <c r="K789" i="48"/>
  <c r="DO789" i="48"/>
  <c r="K837" i="48"/>
  <c r="DO837" i="48"/>
  <c r="K1293" i="48"/>
  <c r="DO1293" i="48"/>
  <c r="K1053" i="48"/>
  <c r="DO1053" i="48"/>
  <c r="K437" i="48"/>
  <c r="DO437" i="48"/>
  <c r="K125" i="48"/>
  <c r="DO125" i="48"/>
  <c r="K197" i="48"/>
  <c r="DO197" i="48"/>
  <c r="K269" i="48"/>
  <c r="DO269" i="48"/>
  <c r="K341" i="48"/>
  <c r="DO341" i="48"/>
  <c r="K581" i="48"/>
  <c r="DO581" i="48"/>
  <c r="K461" i="48"/>
  <c r="DO461" i="48"/>
  <c r="K605" i="48"/>
  <c r="DO605" i="48"/>
  <c r="K893" i="48"/>
  <c r="DO893" i="48"/>
  <c r="K965" i="48"/>
  <c r="DO965" i="48"/>
  <c r="K773" i="48"/>
  <c r="DO773" i="48"/>
  <c r="K1037" i="48"/>
  <c r="DO1037" i="48"/>
  <c r="K1157" i="48"/>
  <c r="DO1157" i="48"/>
  <c r="K1229" i="48"/>
  <c r="DO1229" i="48"/>
  <c r="K118" i="48"/>
  <c r="DO118" i="48"/>
  <c r="K334" i="48"/>
  <c r="DO334" i="48"/>
  <c r="K382" i="48"/>
  <c r="DO382" i="48"/>
  <c r="K286" i="48"/>
  <c r="DO286" i="48"/>
  <c r="K262" i="48"/>
  <c r="DO262" i="48"/>
  <c r="K694" i="48"/>
  <c r="DO694" i="48"/>
  <c r="K646" i="48"/>
  <c r="L646" i="48" s="1"/>
  <c r="DO646" i="48"/>
  <c r="K838" i="48"/>
  <c r="L838" i="48" s="1"/>
  <c r="DO838" i="48"/>
  <c r="K814" i="48"/>
  <c r="DO814" i="48"/>
  <c r="K1294" i="48"/>
  <c r="DO1294" i="48"/>
  <c r="K934" i="48"/>
  <c r="DO934" i="48"/>
  <c r="K1318" i="48"/>
  <c r="DO1318" i="48"/>
  <c r="K1270" i="48"/>
  <c r="DO1270" i="48"/>
  <c r="K54" i="48"/>
  <c r="DO54" i="48"/>
  <c r="AY54" i="48" s="1"/>
  <c r="K246" i="48"/>
  <c r="DO246" i="48"/>
  <c r="K222" i="48"/>
  <c r="DO222" i="48"/>
  <c r="K198" i="48"/>
  <c r="L198" i="48" s="1"/>
  <c r="DO198" i="48"/>
  <c r="DO102" i="48"/>
  <c r="K606" i="48"/>
  <c r="DO606" i="48"/>
  <c r="K486" i="48"/>
  <c r="DO486" i="48"/>
  <c r="K726" i="48"/>
  <c r="DO726" i="48"/>
  <c r="K750" i="48"/>
  <c r="DO750" i="48"/>
  <c r="K1206" i="48"/>
  <c r="DO1206" i="48"/>
  <c r="K1302" i="48"/>
  <c r="DO1302" i="48"/>
  <c r="K1134" i="48"/>
  <c r="DO1134" i="48"/>
  <c r="K1110" i="48"/>
  <c r="DO1110" i="48"/>
  <c r="K1158" i="48"/>
  <c r="DO1158" i="48"/>
  <c r="K119" i="48"/>
  <c r="DO119" i="48"/>
  <c r="K263" i="48"/>
  <c r="DO263" i="48"/>
  <c r="K335" i="48"/>
  <c r="DO335" i="48"/>
  <c r="K383" i="48"/>
  <c r="DO383" i="48"/>
  <c r="K359" i="48"/>
  <c r="DO359" i="48"/>
  <c r="K719" i="48"/>
  <c r="DO719" i="48"/>
  <c r="K575" i="48"/>
  <c r="DO575" i="48"/>
  <c r="K935" i="48"/>
  <c r="DO935" i="48"/>
  <c r="K839" i="48"/>
  <c r="DO839" i="48"/>
  <c r="K815" i="48"/>
  <c r="DO815" i="48"/>
  <c r="K959" i="48"/>
  <c r="DO959" i="48"/>
  <c r="K1151" i="48"/>
  <c r="DO1151" i="48"/>
  <c r="K1295" i="48"/>
  <c r="DO1295" i="48"/>
  <c r="K127" i="48"/>
  <c r="DO127" i="48"/>
  <c r="DO103" i="48"/>
  <c r="K247" i="48"/>
  <c r="DO247" i="48"/>
  <c r="K391" i="48"/>
  <c r="DO391" i="48"/>
  <c r="K367" i="48"/>
  <c r="DO367" i="48"/>
  <c r="K727" i="48"/>
  <c r="DO727" i="48"/>
  <c r="K511" i="48"/>
  <c r="DO511" i="48"/>
  <c r="K655" i="48"/>
  <c r="DO655" i="48"/>
  <c r="K775" i="48"/>
  <c r="DO775" i="48"/>
  <c r="K1327" i="48"/>
  <c r="DO1327" i="48"/>
  <c r="K991" i="48"/>
  <c r="DO991" i="48"/>
  <c r="K1087" i="48"/>
  <c r="DO1087" i="48"/>
  <c r="K1207" i="48"/>
  <c r="DO1207" i="48"/>
  <c r="K1183" i="48"/>
  <c r="DO1183" i="48"/>
  <c r="DO72" i="48"/>
  <c r="K504" i="48"/>
  <c r="DO504" i="48"/>
  <c r="K336" i="48"/>
  <c r="DO336" i="48"/>
  <c r="K120" i="48"/>
  <c r="DO120" i="48"/>
  <c r="K528" i="48"/>
  <c r="DO528" i="48"/>
  <c r="K624" i="48"/>
  <c r="DO624" i="48"/>
  <c r="K696" i="48"/>
  <c r="DO696" i="48"/>
  <c r="K960" i="48"/>
  <c r="DO960" i="48"/>
  <c r="K768" i="48"/>
  <c r="DO768" i="48"/>
  <c r="K744" i="48"/>
  <c r="DO744" i="48"/>
  <c r="K1080" i="48"/>
  <c r="DO1080" i="48"/>
  <c r="K1272" i="48"/>
  <c r="DO1272" i="48"/>
  <c r="K1320" i="48"/>
  <c r="DO1320" i="48"/>
  <c r="K1330" i="48"/>
  <c r="DO1330" i="48"/>
  <c r="DO1331" i="48"/>
  <c r="K217" i="48"/>
  <c r="DO217" i="48"/>
  <c r="K193" i="48"/>
  <c r="DO193" i="48"/>
  <c r="K433" i="48"/>
  <c r="DO433" i="48"/>
  <c r="K145" i="48"/>
  <c r="DO145" i="48"/>
  <c r="K1177" i="48"/>
  <c r="DO1177" i="48"/>
  <c r="K1009" i="48"/>
  <c r="DO1009" i="48"/>
  <c r="K625" i="48"/>
  <c r="DO625" i="48"/>
  <c r="K745" i="48"/>
  <c r="DO745" i="48"/>
  <c r="K865" i="48"/>
  <c r="DO865" i="48"/>
  <c r="K937" i="48"/>
  <c r="DO937" i="48"/>
  <c r="K913" i="48"/>
  <c r="DO913" i="48"/>
  <c r="K1081" i="48"/>
  <c r="DO1081" i="48"/>
  <c r="K1129" i="48"/>
  <c r="DO1129" i="48"/>
  <c r="K441" i="48"/>
  <c r="DO441" i="48"/>
  <c r="K321" i="48"/>
  <c r="DO321" i="48"/>
  <c r="K369" i="48"/>
  <c r="DO369" i="48"/>
  <c r="K561" i="48"/>
  <c r="DO561" i="48"/>
  <c r="K345" i="48"/>
  <c r="DO345" i="48"/>
  <c r="K681" i="48"/>
  <c r="DO681" i="48"/>
  <c r="K633" i="48"/>
  <c r="DO633" i="48"/>
  <c r="K753" i="48"/>
  <c r="DO753" i="48"/>
  <c r="K1185" i="48"/>
  <c r="DO1185" i="48"/>
  <c r="K801" i="48"/>
  <c r="DO801" i="48"/>
  <c r="K849" i="48"/>
  <c r="DO849" i="48"/>
  <c r="K1209" i="48"/>
  <c r="DO1209" i="48"/>
  <c r="K1257" i="48"/>
  <c r="DO1257" i="48"/>
  <c r="K1329" i="48"/>
  <c r="DO1329" i="48"/>
  <c r="DO99" i="48"/>
  <c r="K243" i="48"/>
  <c r="DO243" i="48"/>
  <c r="K219" i="48"/>
  <c r="DO219" i="48"/>
  <c r="K291" i="48"/>
  <c r="DO291" i="48"/>
  <c r="K531" i="48"/>
  <c r="DO531" i="48"/>
  <c r="K699" i="48"/>
  <c r="DO699" i="48"/>
  <c r="K555" i="48"/>
  <c r="DO555" i="48"/>
  <c r="K1131" i="48"/>
  <c r="DO1131" i="48"/>
  <c r="K1227" i="48"/>
  <c r="DO1227" i="48"/>
  <c r="K987" i="48"/>
  <c r="DO987" i="48"/>
  <c r="K1323" i="48"/>
  <c r="DO1323" i="48"/>
  <c r="K1035" i="48"/>
  <c r="DO1035" i="48"/>
  <c r="K1107" i="48"/>
  <c r="DO1107" i="48"/>
  <c r="K114" i="48"/>
  <c r="K330" i="48"/>
  <c r="K306" i="48"/>
  <c r="K282" i="48"/>
  <c r="K162" i="48"/>
  <c r="K594" i="48"/>
  <c r="K546" i="48"/>
  <c r="K714" i="48"/>
  <c r="K810" i="48"/>
  <c r="K858" i="48"/>
  <c r="K930" i="48"/>
  <c r="K1218" i="48"/>
  <c r="K1170" i="48"/>
  <c r="K1242" i="48"/>
  <c r="DO74" i="48"/>
  <c r="K410" i="48"/>
  <c r="DO410" i="48"/>
  <c r="K314" i="48"/>
  <c r="DO314" i="48"/>
  <c r="K362" i="48"/>
  <c r="DO362" i="48"/>
  <c r="K266" i="48"/>
  <c r="DO266" i="48"/>
  <c r="K674" i="48"/>
  <c r="DO674" i="48"/>
  <c r="K650" i="48"/>
  <c r="DO650" i="48"/>
  <c r="K842" i="48"/>
  <c r="DO842" i="48"/>
  <c r="K818" i="48"/>
  <c r="DO818" i="48"/>
  <c r="K962" i="48"/>
  <c r="DO962" i="48"/>
  <c r="K1058" i="48"/>
  <c r="DO1058" i="48"/>
  <c r="K1010" i="48"/>
  <c r="DO1010" i="48"/>
  <c r="K1082" i="48"/>
  <c r="DO1082" i="48"/>
  <c r="DO82" i="48"/>
  <c r="DO83" i="48"/>
  <c r="K514" i="48"/>
  <c r="DO514" i="48"/>
  <c r="DO515" i="48"/>
  <c r="K394" i="48"/>
  <c r="DO394" i="48"/>
  <c r="DO395" i="48"/>
  <c r="K370" i="48"/>
  <c r="DO370" i="48"/>
  <c r="DO371" i="48"/>
  <c r="K274" i="48"/>
  <c r="DO275" i="48"/>
  <c r="DO274" i="48"/>
  <c r="K706" i="48"/>
  <c r="DO706" i="48"/>
  <c r="DO707" i="48"/>
  <c r="K490" i="48"/>
  <c r="DO490" i="48"/>
  <c r="DO491" i="48"/>
  <c r="K730" i="48"/>
  <c r="DO731" i="48"/>
  <c r="DO730" i="48"/>
  <c r="K1042" i="48"/>
  <c r="DO1043" i="48"/>
  <c r="DO1042" i="48"/>
  <c r="K994" i="48"/>
  <c r="DO994" i="48"/>
  <c r="DO995" i="48"/>
  <c r="K802" i="48"/>
  <c r="DO802" i="48"/>
  <c r="DO803" i="48"/>
  <c r="K1234" i="48"/>
  <c r="DO1234" i="48"/>
  <c r="DO1235" i="48"/>
  <c r="K1282" i="48"/>
  <c r="DO1283" i="48"/>
  <c r="DO1282" i="48"/>
  <c r="K475" i="48"/>
  <c r="DO475" i="48"/>
  <c r="K547" i="48"/>
  <c r="DO547" i="48"/>
  <c r="K403" i="48"/>
  <c r="DO403" i="48"/>
  <c r="K379" i="48"/>
  <c r="DO379" i="48"/>
  <c r="K451" i="48"/>
  <c r="DO451" i="48"/>
  <c r="K595" i="48"/>
  <c r="DO595" i="48"/>
  <c r="K667" i="48"/>
  <c r="DO667" i="48"/>
  <c r="K931" i="48"/>
  <c r="DO931" i="48"/>
  <c r="K835" i="48"/>
  <c r="DO835" i="48"/>
  <c r="K883" i="48"/>
  <c r="DO883" i="48"/>
  <c r="K955" i="48"/>
  <c r="DO955" i="48"/>
  <c r="K1243" i="48"/>
  <c r="DO1243" i="48"/>
  <c r="K1099" i="48"/>
  <c r="DO1099" i="48"/>
  <c r="DO92" i="48"/>
  <c r="K356" i="48"/>
  <c r="DO356" i="48"/>
  <c r="K500" i="48"/>
  <c r="DO500" i="48"/>
  <c r="K44" i="48"/>
  <c r="DO44" i="48"/>
  <c r="AY44" i="48" s="1"/>
  <c r="K380" i="48"/>
  <c r="DO380" i="48"/>
  <c r="K644" i="48"/>
  <c r="DO644" i="48"/>
  <c r="K716" i="48"/>
  <c r="DO716" i="48"/>
  <c r="K572" i="48"/>
  <c r="DO572" i="48"/>
  <c r="K1076" i="48"/>
  <c r="DO1076" i="48"/>
  <c r="K836" i="48"/>
  <c r="DO836" i="48"/>
  <c r="K884" i="48"/>
  <c r="DO884" i="48"/>
  <c r="K1172" i="48"/>
  <c r="DO1172" i="48"/>
  <c r="K1220" i="48"/>
  <c r="DO1220" i="48"/>
  <c r="K1292" i="48"/>
  <c r="DO1292" i="48"/>
  <c r="K508" i="48"/>
  <c r="DO508" i="48"/>
  <c r="K172" i="48"/>
  <c r="DO172" i="48"/>
  <c r="K340" i="48"/>
  <c r="DO340" i="48"/>
  <c r="K124" i="48"/>
  <c r="DO124" i="48"/>
  <c r="K484" i="48"/>
  <c r="DO484" i="48"/>
  <c r="K724" i="48"/>
  <c r="DO724" i="48"/>
  <c r="K580" i="48"/>
  <c r="DO580" i="48"/>
  <c r="K1252" i="48"/>
  <c r="DO1252" i="48"/>
  <c r="K772" i="48"/>
  <c r="DO772" i="48"/>
  <c r="K820" i="48"/>
  <c r="DO820" i="48"/>
  <c r="K1012" i="48"/>
  <c r="DO1012" i="48"/>
  <c r="K1060" i="48"/>
  <c r="DO1060" i="48"/>
  <c r="K1036" i="48"/>
  <c r="DO1036" i="48"/>
  <c r="DO104" i="48"/>
  <c r="K368" i="48"/>
  <c r="DO368" i="48"/>
  <c r="K536" i="48"/>
  <c r="DO536" i="48"/>
  <c r="K512" i="48"/>
  <c r="DO512" i="48"/>
  <c r="K320" i="48"/>
  <c r="DO320" i="48"/>
  <c r="K656" i="48"/>
  <c r="DO656" i="48"/>
  <c r="K608" i="48"/>
  <c r="DO608" i="48"/>
  <c r="K872" i="48"/>
  <c r="DO872" i="48"/>
  <c r="K944" i="48"/>
  <c r="DO944" i="48"/>
  <c r="K920" i="48"/>
  <c r="DO920" i="48"/>
  <c r="K992" i="48"/>
  <c r="DO992" i="48"/>
  <c r="K1184" i="48"/>
  <c r="DO1184" i="48"/>
  <c r="K1232" i="48"/>
  <c r="DO1232" i="48"/>
  <c r="K1304" i="48"/>
  <c r="DO1304" i="48"/>
  <c r="K213" i="48"/>
  <c r="DO213" i="48"/>
  <c r="K285" i="48"/>
  <c r="DO285" i="48"/>
  <c r="K261" i="48"/>
  <c r="DO261" i="48"/>
  <c r="K141" i="48"/>
  <c r="DO141" i="48"/>
  <c r="K501" i="48"/>
  <c r="DO501" i="48"/>
  <c r="K453" i="48"/>
  <c r="DO453" i="48"/>
  <c r="K1101" i="48"/>
  <c r="DO1101" i="48"/>
  <c r="K813" i="48"/>
  <c r="DO813" i="48"/>
  <c r="K957" i="48"/>
  <c r="DO957" i="48"/>
  <c r="K933" i="48"/>
  <c r="DO933" i="48"/>
  <c r="K909" i="48"/>
  <c r="DO909" i="48"/>
  <c r="K1077" i="48"/>
  <c r="DO1077" i="48"/>
  <c r="K1125" i="48"/>
  <c r="DO1125" i="48"/>
  <c r="DO101" i="48"/>
  <c r="K221" i="48"/>
  <c r="DO221" i="48"/>
  <c r="K293" i="48"/>
  <c r="DO293" i="48"/>
  <c r="DO77" i="48"/>
  <c r="K413" i="48"/>
  <c r="DO413" i="48"/>
  <c r="K677" i="48"/>
  <c r="DO677" i="48"/>
  <c r="K533" i="48"/>
  <c r="DO533" i="48"/>
  <c r="K701" i="48"/>
  <c r="DO701" i="48"/>
  <c r="K989" i="48"/>
  <c r="DO989" i="48"/>
  <c r="K797" i="48"/>
  <c r="DO797" i="48"/>
  <c r="K845" i="48"/>
  <c r="DO845" i="48"/>
  <c r="K1205" i="48"/>
  <c r="DO1205" i="48"/>
  <c r="K1253" i="48"/>
  <c r="DO1253" i="48"/>
  <c r="K1325" i="48"/>
  <c r="L1325" i="48" s="1"/>
  <c r="DO1325" i="48"/>
  <c r="DO70" i="48"/>
  <c r="K406" i="48"/>
  <c r="DO406" i="48"/>
  <c r="K526" i="48"/>
  <c r="DO526" i="48"/>
  <c r="K358" i="48"/>
  <c r="DO358" i="48"/>
  <c r="K502" i="48"/>
  <c r="DO502" i="48"/>
  <c r="K670" i="48"/>
  <c r="DO670" i="48"/>
  <c r="K622" i="48"/>
  <c r="DO622" i="48"/>
  <c r="K910" i="48"/>
  <c r="DO910" i="48"/>
  <c r="K886" i="48"/>
  <c r="DO886" i="48"/>
  <c r="K862" i="48"/>
  <c r="DO862" i="48"/>
  <c r="K1054" i="48"/>
  <c r="DO1054" i="48"/>
  <c r="K1006" i="48"/>
  <c r="DO1006" i="48"/>
  <c r="K1078" i="48"/>
  <c r="DO1078" i="48"/>
  <c r="K534" i="48"/>
  <c r="DO534" i="48"/>
  <c r="K342" i="48"/>
  <c r="DO342" i="48"/>
  <c r="K318" i="48"/>
  <c r="DO318" i="48"/>
  <c r="K294" i="48"/>
  <c r="DO294" i="48"/>
  <c r="K174" i="48"/>
  <c r="DO174" i="48"/>
  <c r="K702" i="48"/>
  <c r="DO702" i="48"/>
  <c r="K558" i="48"/>
  <c r="DO558" i="48"/>
  <c r="K774" i="48"/>
  <c r="DO774" i="48"/>
  <c r="K822" i="48"/>
  <c r="DO822" i="48"/>
  <c r="K870" i="48"/>
  <c r="DO870" i="48"/>
  <c r="K798" i="48"/>
  <c r="DO798" i="48"/>
  <c r="K1230" i="48"/>
  <c r="DO1230" i="48"/>
  <c r="K1182" i="48"/>
  <c r="DO1182" i="48"/>
  <c r="K1254" i="48"/>
  <c r="DO1254" i="48"/>
  <c r="K551" i="48"/>
  <c r="DO551" i="48"/>
  <c r="K431" i="48"/>
  <c r="DO431" i="48"/>
  <c r="K407" i="48"/>
  <c r="DO407" i="48"/>
  <c r="K479" i="48"/>
  <c r="DO479" i="48"/>
  <c r="K455" i="48"/>
  <c r="DO455" i="48"/>
  <c r="K599" i="48"/>
  <c r="DO599" i="48"/>
  <c r="K671" i="48"/>
  <c r="L671" i="48" s="1"/>
  <c r="DO671" i="48"/>
  <c r="K1055" i="48"/>
  <c r="L1055" i="48" s="1"/>
  <c r="DO1055" i="48"/>
  <c r="K911" i="48"/>
  <c r="L911" i="48" s="1"/>
  <c r="DO911" i="48"/>
  <c r="K887" i="48"/>
  <c r="L887" i="48" s="1"/>
  <c r="DO887" i="48"/>
  <c r="K1007" i="48"/>
  <c r="DO1007" i="48"/>
  <c r="K1247" i="48"/>
  <c r="DO1247" i="48"/>
  <c r="K1103" i="48"/>
  <c r="DO1103" i="48"/>
  <c r="DO79" i="48"/>
  <c r="K175" i="48"/>
  <c r="DO175" i="48"/>
  <c r="K343" i="48"/>
  <c r="DO343" i="48"/>
  <c r="K439" i="48"/>
  <c r="DO439" i="48"/>
  <c r="K463" i="48"/>
  <c r="DO463" i="48"/>
  <c r="K607" i="48"/>
  <c r="DO607" i="48"/>
  <c r="K583" i="48"/>
  <c r="DO583" i="48"/>
  <c r="K799" i="48"/>
  <c r="DO799" i="48"/>
  <c r="K847" i="48"/>
  <c r="DO847" i="48"/>
  <c r="K751" i="48"/>
  <c r="DO751" i="48"/>
  <c r="K1135" i="48"/>
  <c r="DO1135" i="48"/>
  <c r="K1159" i="48"/>
  <c r="DO1159" i="48"/>
  <c r="K1303" i="48"/>
  <c r="DO1303" i="48"/>
  <c r="K1279" i="48"/>
  <c r="DO1279" i="48"/>
  <c r="K192" i="48"/>
  <c r="DO192" i="48"/>
  <c r="K168" i="48"/>
  <c r="DO168" i="48"/>
  <c r="K408" i="48"/>
  <c r="DO408" i="48"/>
  <c r="K216" i="48"/>
  <c r="DO216" i="48"/>
  <c r="K480" i="48"/>
  <c r="DO480" i="48"/>
  <c r="K720" i="48"/>
  <c r="DO720" i="48"/>
  <c r="K576" i="48"/>
  <c r="DO576" i="48"/>
  <c r="K1152" i="48"/>
  <c r="DO1152" i="48"/>
  <c r="K840" i="48"/>
  <c r="DO840" i="48"/>
  <c r="K816" i="48"/>
  <c r="DO816" i="48"/>
  <c r="K1008" i="48"/>
  <c r="DO1008" i="48"/>
  <c r="K1056" i="48"/>
  <c r="DO1056" i="48"/>
  <c r="K1032" i="48"/>
  <c r="DO1032" i="48"/>
  <c r="DO97" i="48"/>
  <c r="K313" i="48"/>
  <c r="DO313" i="48"/>
  <c r="K289" i="48"/>
  <c r="DO289" i="48"/>
  <c r="K169" i="48"/>
  <c r="DO169" i="48"/>
  <c r="K241" i="48"/>
  <c r="DO241" i="48"/>
  <c r="K505" i="48"/>
  <c r="DO505" i="48"/>
  <c r="K649" i="48"/>
  <c r="DO649" i="48"/>
  <c r="K721" i="48"/>
  <c r="DO721" i="48"/>
  <c r="K817" i="48"/>
  <c r="DO817" i="48"/>
  <c r="K961" i="48"/>
  <c r="DO961" i="48"/>
  <c r="K1105" i="48"/>
  <c r="DO1105" i="48"/>
  <c r="K1033" i="48"/>
  <c r="DO1033" i="48"/>
  <c r="K1153" i="48"/>
  <c r="DO1153" i="48"/>
  <c r="K1225" i="48"/>
  <c r="DO1225" i="48"/>
  <c r="K57" i="48"/>
  <c r="DO57" i="48"/>
  <c r="AY57" i="48" s="1"/>
  <c r="K393" i="48"/>
  <c r="DO393" i="48"/>
  <c r="K177" i="48"/>
  <c r="DO177" i="48"/>
  <c r="DO81" i="48"/>
  <c r="K417" i="48"/>
  <c r="DO417" i="48"/>
  <c r="K657" i="48"/>
  <c r="DO657" i="48"/>
  <c r="K729" i="48"/>
  <c r="DO729" i="48"/>
  <c r="K825" i="48"/>
  <c r="DO825" i="48"/>
  <c r="K873" i="48"/>
  <c r="DO873" i="48"/>
  <c r="K945" i="48"/>
  <c r="DO945" i="48"/>
  <c r="K921" i="48"/>
  <c r="DO921" i="48"/>
  <c r="K1305" i="48"/>
  <c r="DO1305" i="48"/>
  <c r="K1065" i="48"/>
  <c r="DO1065" i="48"/>
  <c r="K51" i="48"/>
  <c r="DO51" i="48"/>
  <c r="AY51" i="48" s="1"/>
  <c r="K171" i="48"/>
  <c r="DO171" i="48"/>
  <c r="K339" i="48"/>
  <c r="DO339" i="48"/>
  <c r="K315" i="48"/>
  <c r="DO315" i="48"/>
  <c r="K363" i="48"/>
  <c r="L364" i="48" s="1"/>
  <c r="DO363" i="48"/>
  <c r="K627" i="48"/>
  <c r="DO627" i="48"/>
  <c r="K507" i="48"/>
  <c r="DO507" i="48"/>
  <c r="K651" i="48"/>
  <c r="DO651" i="48"/>
  <c r="K771" i="48"/>
  <c r="DO771" i="48"/>
  <c r="K747" i="48"/>
  <c r="DO747" i="48"/>
  <c r="K1059" i="48"/>
  <c r="DO1059" i="48"/>
  <c r="K1083" i="48"/>
  <c r="L1084" i="48" s="1"/>
  <c r="DO1083" i="48"/>
  <c r="K1203" i="48"/>
  <c r="DO1203" i="48"/>
  <c r="K1179" i="48"/>
  <c r="DO1179" i="48"/>
  <c r="K402" i="48"/>
  <c r="K378" i="48"/>
  <c r="K354" i="48"/>
  <c r="K258" i="48"/>
  <c r="K690" i="48"/>
  <c r="K642" i="48"/>
  <c r="K762" i="48"/>
  <c r="K882" i="48"/>
  <c r="K954" i="48"/>
  <c r="K1290" i="48"/>
  <c r="K1314" i="48"/>
  <c r="K1266" i="48"/>
  <c r="K122" i="48"/>
  <c r="DO122" i="48"/>
  <c r="K146" i="48"/>
  <c r="DO146" i="48"/>
  <c r="K578" i="48"/>
  <c r="DO578" i="48"/>
  <c r="K386" i="48"/>
  <c r="DO386" i="48"/>
  <c r="K506" i="48"/>
  <c r="DO506" i="48"/>
  <c r="K434" i="48"/>
  <c r="DO434" i="48"/>
  <c r="K1034" i="48"/>
  <c r="DO1034" i="48"/>
  <c r="K626" i="48"/>
  <c r="DO626" i="48"/>
  <c r="K914" i="48"/>
  <c r="DO914" i="48"/>
  <c r="K890" i="48"/>
  <c r="DO890" i="48"/>
  <c r="K1202" i="48"/>
  <c r="DO1202" i="48"/>
  <c r="K1130" i="48"/>
  <c r="DO1130" i="48"/>
  <c r="K1106" i="48"/>
  <c r="DO1106" i="48"/>
  <c r="K1154" i="48"/>
  <c r="DO1154" i="48"/>
  <c r="K154" i="48"/>
  <c r="DO154" i="48"/>
  <c r="DO155" i="48"/>
  <c r="K130" i="48"/>
  <c r="DO131" i="48"/>
  <c r="DO130" i="48"/>
  <c r="K466" i="48"/>
  <c r="DO467" i="48"/>
  <c r="DO466" i="48"/>
  <c r="K538" i="48"/>
  <c r="DO539" i="48"/>
  <c r="DO538" i="48"/>
  <c r="K418" i="48"/>
  <c r="DO419" i="48"/>
  <c r="DO418" i="48"/>
  <c r="K1210" i="48"/>
  <c r="DO1210" i="48"/>
  <c r="DO1211" i="48"/>
  <c r="K562" i="48"/>
  <c r="DO563" i="48"/>
  <c r="DO562" i="48"/>
  <c r="K778" i="48"/>
  <c r="DO778" i="48"/>
  <c r="DO779" i="48"/>
  <c r="K754" i="48"/>
  <c r="DO755" i="48"/>
  <c r="DO754" i="48"/>
  <c r="K1306" i="48"/>
  <c r="DO1307" i="48"/>
  <c r="DO1306" i="48"/>
  <c r="K946" i="48"/>
  <c r="DO947" i="48"/>
  <c r="DO946" i="48"/>
  <c r="K1018" i="48"/>
  <c r="DO1019" i="48"/>
  <c r="DO1018" i="48"/>
  <c r="K1090" i="48"/>
  <c r="DO1090" i="48"/>
  <c r="DO1091" i="48"/>
  <c r="K43" i="48"/>
  <c r="DO43" i="48"/>
  <c r="DO91" i="48"/>
  <c r="K139" i="48"/>
  <c r="DO139" i="48"/>
  <c r="K427" i="48"/>
  <c r="DO427" i="48"/>
  <c r="K187" i="48"/>
  <c r="DO187" i="48"/>
  <c r="K523" i="48"/>
  <c r="DO523" i="48"/>
  <c r="K691" i="48"/>
  <c r="DO691" i="48"/>
  <c r="K643" i="48"/>
  <c r="DO643" i="48"/>
  <c r="K1003" i="48"/>
  <c r="DO1003" i="48"/>
  <c r="K907" i="48"/>
  <c r="DO907" i="48"/>
  <c r="K979" i="48"/>
  <c r="DO979" i="48"/>
  <c r="K1123" i="48"/>
  <c r="DO1123" i="48"/>
  <c r="K1027" i="48"/>
  <c r="DO1027" i="48"/>
  <c r="K1171" i="48"/>
  <c r="DO1171" i="48"/>
  <c r="K140" i="48"/>
  <c r="DO140" i="48"/>
  <c r="K524" i="48"/>
  <c r="DO524" i="48"/>
  <c r="K236" i="48"/>
  <c r="DO236" i="48"/>
  <c r="K116" i="48"/>
  <c r="DO116" i="48"/>
  <c r="K452" i="48"/>
  <c r="DO452" i="48"/>
  <c r="K740" i="48"/>
  <c r="DO740" i="48"/>
  <c r="K428" i="48"/>
  <c r="DO428" i="48"/>
  <c r="K668" i="48"/>
  <c r="DO668" i="48"/>
  <c r="K788" i="48"/>
  <c r="DO788" i="48"/>
  <c r="K908" i="48"/>
  <c r="DO908" i="48"/>
  <c r="K980" i="48"/>
  <c r="DO980" i="48"/>
  <c r="K1268" i="48"/>
  <c r="DO1268" i="48"/>
  <c r="K1316" i="48"/>
  <c r="DO1316" i="48"/>
  <c r="K148" i="48"/>
  <c r="DO148" i="48"/>
  <c r="K196" i="48"/>
  <c r="DO196" i="48"/>
  <c r="K268" i="48"/>
  <c r="DO268" i="48"/>
  <c r="K412" i="48"/>
  <c r="DO412" i="48"/>
  <c r="K220" i="48"/>
  <c r="DO220" i="48"/>
  <c r="K556" i="48"/>
  <c r="DO556" i="48"/>
  <c r="K436" i="48"/>
  <c r="DO436" i="48"/>
  <c r="K676" i="48"/>
  <c r="DO676" i="48"/>
  <c r="K796" i="48"/>
  <c r="DO796" i="48"/>
  <c r="K844" i="48"/>
  <c r="DO844" i="48"/>
  <c r="K892" i="48"/>
  <c r="DO892" i="48"/>
  <c r="K1108" i="48"/>
  <c r="DO1108" i="48"/>
  <c r="K1132" i="48"/>
  <c r="DO1132" i="48"/>
  <c r="K1204" i="48"/>
  <c r="DO1204" i="48"/>
  <c r="K152" i="48"/>
  <c r="DO152" i="48"/>
  <c r="K464" i="48"/>
  <c r="DO464" i="48"/>
  <c r="K416" i="48"/>
  <c r="DO416" i="48"/>
  <c r="K56" i="48"/>
  <c r="DO56" i="48"/>
  <c r="AY56" i="48" s="1"/>
  <c r="K392" i="48"/>
  <c r="DO392" i="48"/>
  <c r="K632" i="48"/>
  <c r="DO632" i="48"/>
  <c r="K704" i="48"/>
  <c r="DO704" i="48"/>
  <c r="K968" i="48"/>
  <c r="DO968" i="48"/>
  <c r="K1160" i="48"/>
  <c r="DO1160" i="48"/>
  <c r="K752" i="48"/>
  <c r="DO752" i="48"/>
  <c r="K1256" i="48"/>
  <c r="DO1256" i="48"/>
  <c r="K1280" i="48"/>
  <c r="DO1280" i="48"/>
  <c r="K1328" i="48"/>
  <c r="DO1328" i="48"/>
  <c r="DO93" i="48"/>
  <c r="K309" i="48"/>
  <c r="DO309" i="48"/>
  <c r="K357" i="48"/>
  <c r="DO357" i="48"/>
  <c r="K549" i="48"/>
  <c r="DO549" i="48"/>
  <c r="K237" i="48"/>
  <c r="DO237" i="48"/>
  <c r="K573" i="48"/>
  <c r="DO573" i="48"/>
  <c r="K525" i="48"/>
  <c r="DO525" i="48"/>
  <c r="K597" i="48"/>
  <c r="DO597" i="48"/>
  <c r="K885" i="48"/>
  <c r="DO885" i="48"/>
  <c r="K1173" i="48"/>
  <c r="DO1173" i="48"/>
  <c r="K1269" i="48"/>
  <c r="DO1269" i="48"/>
  <c r="K1029" i="48"/>
  <c r="DO1029" i="48"/>
  <c r="K1149" i="48"/>
  <c r="DO1149" i="48"/>
  <c r="K1221" i="48"/>
  <c r="DO1221" i="48"/>
  <c r="K557" i="48"/>
  <c r="DO557" i="48"/>
  <c r="K317" i="48"/>
  <c r="DO317" i="48"/>
  <c r="K365" i="48"/>
  <c r="DO365" i="48"/>
  <c r="K149" i="48"/>
  <c r="DO149" i="48"/>
  <c r="K485" i="48"/>
  <c r="DO485" i="48"/>
  <c r="K653" i="48"/>
  <c r="DO653" i="48"/>
  <c r="K629" i="48"/>
  <c r="DO629" i="48"/>
  <c r="K749" i="48"/>
  <c r="DO749" i="48"/>
  <c r="K1109" i="48"/>
  <c r="DO1109" i="48"/>
  <c r="K941" i="48"/>
  <c r="DO941" i="48"/>
  <c r="K917" i="48"/>
  <c r="DO917" i="48"/>
  <c r="K1301" i="48"/>
  <c r="DO1301" i="48"/>
  <c r="K1061" i="48"/>
  <c r="DO1061" i="48"/>
  <c r="K46" i="48"/>
  <c r="DO46" i="48"/>
  <c r="AY46" i="48" s="1"/>
  <c r="K142" i="48"/>
  <c r="DO142" i="48"/>
  <c r="K214" i="48"/>
  <c r="DO214" i="48"/>
  <c r="K574" i="48"/>
  <c r="DO574" i="48"/>
  <c r="DO94" i="48"/>
  <c r="K430" i="48"/>
  <c r="DO430" i="48"/>
  <c r="K478" i="48"/>
  <c r="DO478" i="48"/>
  <c r="K718" i="48"/>
  <c r="DO718" i="48"/>
  <c r="K1198" i="48"/>
  <c r="DO1198" i="48"/>
  <c r="K982" i="48"/>
  <c r="DO982" i="48"/>
  <c r="K958" i="48"/>
  <c r="DO958" i="48"/>
  <c r="K1126" i="48"/>
  <c r="DO1126" i="48"/>
  <c r="K1102" i="48"/>
  <c r="DO1102" i="48"/>
  <c r="K1150" i="48"/>
  <c r="DO1150" i="48"/>
  <c r="DO78" i="48"/>
  <c r="K414" i="48"/>
  <c r="DO414" i="48"/>
  <c r="K390" i="48"/>
  <c r="DO390" i="48"/>
  <c r="K366" i="48"/>
  <c r="DO366" i="48"/>
  <c r="K270" i="48"/>
  <c r="DO270" i="48"/>
  <c r="K582" i="48"/>
  <c r="DO582" i="48"/>
  <c r="K654" i="48"/>
  <c r="DO654" i="48"/>
  <c r="K846" i="48"/>
  <c r="DO846" i="48"/>
  <c r="K894" i="48"/>
  <c r="DO894" i="48"/>
  <c r="K966" i="48"/>
  <c r="DO966" i="48"/>
  <c r="K942" i="48"/>
  <c r="DO942" i="48"/>
  <c r="K1326" i="48"/>
  <c r="DO1326" i="48"/>
  <c r="K1278" i="48"/>
  <c r="DO1278" i="48"/>
  <c r="K47" i="48"/>
  <c r="DO47" i="48"/>
  <c r="AY47" i="48" s="1"/>
  <c r="DO95" i="48"/>
  <c r="K143" i="48"/>
  <c r="DO143" i="48"/>
  <c r="K215" i="48"/>
  <c r="DO215" i="48"/>
  <c r="K191" i="48"/>
  <c r="DO191" i="48"/>
  <c r="K527" i="48"/>
  <c r="DO527" i="48"/>
  <c r="K695" i="48"/>
  <c r="DO695" i="48"/>
  <c r="K647" i="48"/>
  <c r="DO647" i="48"/>
  <c r="K1319" i="48"/>
  <c r="DO1319" i="48"/>
  <c r="K1127" i="48"/>
  <c r="DO1127" i="48"/>
  <c r="K983" i="48"/>
  <c r="DO983" i="48"/>
  <c r="K1223" i="48"/>
  <c r="DO1223" i="48"/>
  <c r="K1031" i="48"/>
  <c r="DO1031" i="48"/>
  <c r="K1175" i="48"/>
  <c r="DO1175" i="48"/>
  <c r="K487" i="48"/>
  <c r="DO487" i="48"/>
  <c r="K271" i="48"/>
  <c r="DO271" i="48"/>
  <c r="K223" i="48"/>
  <c r="DO223" i="48"/>
  <c r="K199" i="48"/>
  <c r="DO199" i="48"/>
  <c r="K535" i="48"/>
  <c r="DO535" i="48"/>
  <c r="K703" i="48"/>
  <c r="DO703" i="48"/>
  <c r="K679" i="48"/>
  <c r="DO679" i="48"/>
  <c r="K943" i="48"/>
  <c r="DO943" i="48"/>
  <c r="K919" i="48"/>
  <c r="DO919" i="48"/>
  <c r="K823" i="48"/>
  <c r="DO823" i="48"/>
  <c r="K871" i="48"/>
  <c r="DO871" i="48"/>
  <c r="K1255" i="48"/>
  <c r="DO1255" i="48"/>
  <c r="K1015" i="48"/>
  <c r="DO1015" i="48"/>
  <c r="DO96" i="48"/>
  <c r="K288" i="48"/>
  <c r="DO288" i="48"/>
  <c r="K264" i="48"/>
  <c r="DO264" i="48"/>
  <c r="K456" i="48"/>
  <c r="DO456" i="48"/>
  <c r="K312" i="48"/>
  <c r="DO312" i="48"/>
  <c r="K552" i="48"/>
  <c r="DO552" i="48"/>
  <c r="K432" i="48"/>
  <c r="DO432" i="48"/>
  <c r="K672" i="48"/>
  <c r="DO672" i="48"/>
  <c r="K792" i="48"/>
  <c r="DO792" i="48"/>
  <c r="K912" i="48"/>
  <c r="DO912" i="48"/>
  <c r="K888" i="48"/>
  <c r="DO888" i="48"/>
  <c r="K1104" i="48"/>
  <c r="DO1104" i="48"/>
  <c r="K1128" i="48"/>
  <c r="DO1128" i="48"/>
  <c r="K1200" i="48"/>
  <c r="DO1200" i="48"/>
  <c r="DN1025" i="48"/>
  <c r="DO1026" i="48" s="1"/>
  <c r="DN136" i="48"/>
  <c r="DN352" i="48"/>
  <c r="DN256" i="48"/>
  <c r="DN472" i="48"/>
  <c r="DN568" i="48"/>
  <c r="DN880" i="48"/>
  <c r="DO880" i="48" s="1"/>
  <c r="DN1096" i="48"/>
  <c r="DO1096" i="48" s="1"/>
  <c r="DN1193" i="48"/>
  <c r="DO1194" i="48" s="1"/>
  <c r="DN1120" i="48"/>
  <c r="DO1120" i="48" s="1"/>
  <c r="DN1241" i="48"/>
  <c r="DN1049" i="48"/>
  <c r="DN1288" i="48"/>
  <c r="DN400" i="48"/>
  <c r="DN304" i="48"/>
  <c r="DO304" i="48" s="1"/>
  <c r="DN424" i="48"/>
  <c r="DN1240" i="48"/>
  <c r="DN904" i="48"/>
  <c r="DN64" i="48"/>
  <c r="DO64" i="48" s="1"/>
  <c r="DN280" i="48"/>
  <c r="DN160" i="48"/>
  <c r="DN736" i="48"/>
  <c r="DN928" i="48"/>
  <c r="DO928" i="48" s="1"/>
  <c r="DN808" i="48"/>
  <c r="DN1000" i="48"/>
  <c r="DN1048" i="48"/>
  <c r="DN1145" i="48"/>
  <c r="DN1192" i="48"/>
  <c r="DN1313" i="48"/>
  <c r="DO1314" i="48" s="1"/>
  <c r="DN328" i="48"/>
  <c r="DO328" i="48" s="1"/>
  <c r="DN208" i="48"/>
  <c r="DN712" i="48"/>
  <c r="DN688" i="48"/>
  <c r="DN1144" i="48"/>
  <c r="DO1144" i="48" s="1"/>
  <c r="DN952" i="48"/>
  <c r="DN832" i="48"/>
  <c r="DN184" i="48"/>
  <c r="DO184" i="48" s="1"/>
  <c r="DN448" i="48"/>
  <c r="DO448" i="48" s="1"/>
  <c r="DN640" i="48"/>
  <c r="DN1264" i="48"/>
  <c r="DN1073" i="48"/>
  <c r="DN1312" i="48"/>
  <c r="DO1312" i="48" s="1"/>
  <c r="DN1217" i="48"/>
  <c r="DN520" i="48"/>
  <c r="DN232" i="48"/>
  <c r="DN112" i="48"/>
  <c r="DO112" i="48" s="1"/>
  <c r="DN616" i="48"/>
  <c r="DN592" i="48"/>
  <c r="DO592" i="48" s="1"/>
  <c r="DN856" i="48"/>
  <c r="DO856" i="48" s="1"/>
  <c r="DN760" i="48"/>
  <c r="DO760" i="48" s="1"/>
  <c r="DN88" i="48"/>
  <c r="DO88" i="48" s="1"/>
  <c r="DN496" i="48"/>
  <c r="DN544" i="48"/>
  <c r="DN664" i="48"/>
  <c r="DO664" i="48" s="1"/>
  <c r="DN784" i="48"/>
  <c r="DO784" i="48" s="1"/>
  <c r="DN976" i="48"/>
  <c r="DN1168" i="48"/>
  <c r="DN1289" i="48"/>
  <c r="DN1216" i="48"/>
  <c r="DN1024" i="48"/>
  <c r="DO1024" i="48" s="1"/>
  <c r="DN40" i="48"/>
  <c r="DN376" i="48"/>
  <c r="D4" i="21"/>
  <c r="D5" i="21" s="1"/>
  <c r="DO208" i="48" l="1"/>
  <c r="AO198" i="48"/>
  <c r="AO887" i="48"/>
  <c r="AO1055" i="48"/>
  <c r="AO1014" i="48"/>
  <c r="AO766" i="48"/>
  <c r="AO364" i="48"/>
  <c r="AO646" i="48"/>
  <c r="AO1084" i="48"/>
  <c r="AO1325" i="48"/>
  <c r="AO838" i="48"/>
  <c r="AO864" i="48"/>
  <c r="AO68" i="48"/>
  <c r="AP68" i="48" s="1"/>
  <c r="AO911" i="48"/>
  <c r="AO1086" i="48"/>
  <c r="AO72" i="48"/>
  <c r="DO1240" i="48"/>
  <c r="L1246" i="48"/>
  <c r="AX44" i="48"/>
  <c r="AX45" i="48" s="1"/>
  <c r="AX46" i="48" s="1"/>
  <c r="AX47" i="48" s="1"/>
  <c r="AX48" i="48" s="1"/>
  <c r="AX49" i="48" s="1"/>
  <c r="AX50" i="48" s="1"/>
  <c r="AX51" i="48" s="1"/>
  <c r="AX52" i="48" s="1"/>
  <c r="AX53" i="48" s="1"/>
  <c r="AX54" i="48" s="1"/>
  <c r="AX55" i="48" s="1"/>
  <c r="AX56" i="48" s="1"/>
  <c r="AX57" i="48" s="1"/>
  <c r="AX58" i="48" s="1"/>
  <c r="DO1000" i="48"/>
  <c r="DO472" i="48"/>
  <c r="DO1192" i="48"/>
  <c r="L968" i="48"/>
  <c r="L147" i="48"/>
  <c r="L1052" i="48"/>
  <c r="DO1264" i="48"/>
  <c r="L1220" i="48"/>
  <c r="L54" i="48"/>
  <c r="L1038" i="48"/>
  <c r="L241" i="48"/>
  <c r="L272" i="48"/>
  <c r="DO544" i="48"/>
  <c r="L1297" i="48"/>
  <c r="L653" i="48"/>
  <c r="L870" i="48"/>
  <c r="DO808" i="48"/>
  <c r="L819" i="48"/>
  <c r="L267" i="48"/>
  <c r="DO712" i="48"/>
  <c r="DO496" i="48"/>
  <c r="DO256" i="48"/>
  <c r="L466" i="48"/>
  <c r="DO976" i="48"/>
  <c r="L965" i="48"/>
  <c r="DO1048" i="48"/>
  <c r="DO424" i="48"/>
  <c r="L1210" i="48"/>
  <c r="L629" i="48"/>
  <c r="L365" i="48"/>
  <c r="L98" i="48"/>
  <c r="DO136" i="48"/>
  <c r="L246" i="48"/>
  <c r="L382" i="48"/>
  <c r="L104" i="48"/>
  <c r="DO232" i="48"/>
  <c r="L980" i="48"/>
  <c r="L1012" i="48"/>
  <c r="L70" i="48"/>
  <c r="L220" i="48"/>
  <c r="L100" i="48"/>
  <c r="DO640" i="48"/>
  <c r="L50" i="48"/>
  <c r="L1219" i="48"/>
  <c r="AO1219" i="48" s="1"/>
  <c r="L283" i="48"/>
  <c r="AO283" i="48" s="1"/>
  <c r="L79" i="48"/>
  <c r="DO520" i="48"/>
  <c r="L632" i="48"/>
  <c r="L1267" i="48"/>
  <c r="AO1267" i="48" s="1"/>
  <c r="L484" i="48"/>
  <c r="L274" i="48"/>
  <c r="L610" i="48"/>
  <c r="L106" i="48"/>
  <c r="DO280" i="48"/>
  <c r="DO352" i="48"/>
  <c r="L94" i="48"/>
  <c r="L69" i="48"/>
  <c r="L99" i="48"/>
  <c r="L74" i="48"/>
  <c r="L212" i="48"/>
  <c r="L77" i="48"/>
  <c r="L82" i="48"/>
  <c r="L81" i="48"/>
  <c r="L96" i="48"/>
  <c r="L80" i="48"/>
  <c r="DN593" i="48"/>
  <c r="DO594" i="48" s="1"/>
  <c r="DN881" i="48"/>
  <c r="DO882" i="48" s="1"/>
  <c r="DN545" i="48"/>
  <c r="DO546" i="48" s="1"/>
  <c r="DN305" i="48"/>
  <c r="DO306" i="48" s="1"/>
  <c r="DN953" i="48"/>
  <c r="DO954" i="48" s="1"/>
  <c r="L71" i="48"/>
  <c r="DN665" i="48"/>
  <c r="DO666" i="48" s="1"/>
  <c r="DN641" i="48"/>
  <c r="DO642" i="48" s="1"/>
  <c r="DN185" i="48"/>
  <c r="DO186" i="48" s="1"/>
  <c r="DN1072" i="48"/>
  <c r="DO1072" i="48" s="1"/>
  <c r="DN65" i="48"/>
  <c r="DO66" i="48" s="1"/>
  <c r="DN377" i="48"/>
  <c r="DO378" i="48" s="1"/>
  <c r="DN329" i="48"/>
  <c r="DO330" i="48" s="1"/>
  <c r="DN737" i="48"/>
  <c r="DO738" i="48" s="1"/>
  <c r="DN1121" i="48"/>
  <c r="DO1122" i="48" s="1"/>
  <c r="DN353" i="48"/>
  <c r="DO354" i="48" s="1"/>
  <c r="DN41" i="48"/>
  <c r="DO42" i="48" s="1"/>
  <c r="DN617" i="48"/>
  <c r="DO618" i="48" s="1"/>
  <c r="DN473" i="48"/>
  <c r="DO474" i="48" s="1"/>
  <c r="DN401" i="48"/>
  <c r="DO402" i="48" s="1"/>
  <c r="DN977" i="48"/>
  <c r="DO978" i="48" s="1"/>
  <c r="DN497" i="48"/>
  <c r="DO498" i="48" s="1"/>
  <c r="DN209" i="48"/>
  <c r="DO210" i="48" s="1"/>
  <c r="DN905" i="48"/>
  <c r="DO906" i="48" s="1"/>
  <c r="DN857" i="48"/>
  <c r="DO858" i="48" s="1"/>
  <c r="DN257" i="48"/>
  <c r="DO258" i="48" s="1"/>
  <c r="DN761" i="48"/>
  <c r="DO762" i="48" s="1"/>
  <c r="DN689" i="48"/>
  <c r="DO690" i="48" s="1"/>
  <c r="DN113" i="48"/>
  <c r="DO114" i="48" s="1"/>
  <c r="DN833" i="48"/>
  <c r="DO834" i="48" s="1"/>
  <c r="DN569" i="48"/>
  <c r="DO570" i="48" s="1"/>
  <c r="DN1169" i="48"/>
  <c r="DO1170" i="48" s="1"/>
  <c r="DN425" i="48"/>
  <c r="DO426" i="48" s="1"/>
  <c r="DN233" i="48"/>
  <c r="DO234" i="48" s="1"/>
  <c r="DN89" i="48"/>
  <c r="DO90" i="48" s="1"/>
  <c r="DN281" i="48"/>
  <c r="DO282" i="48" s="1"/>
  <c r="DN449" i="48"/>
  <c r="DO450" i="48" s="1"/>
  <c r="DN809" i="48"/>
  <c r="DO810" i="48" s="1"/>
  <c r="DN713" i="48"/>
  <c r="DO714" i="48" s="1"/>
  <c r="DN521" i="48"/>
  <c r="DO522" i="48" s="1"/>
  <c r="DN785" i="48"/>
  <c r="DO786" i="48" s="1"/>
  <c r="DN929" i="48"/>
  <c r="DO930" i="48" s="1"/>
  <c r="DN161" i="48"/>
  <c r="DO162" i="48" s="1"/>
  <c r="DN1001" i="48"/>
  <c r="DO1002" i="48" s="1"/>
  <c r="L583" i="48"/>
  <c r="L527" i="48"/>
  <c r="L123" i="48"/>
  <c r="DO832" i="48"/>
  <c r="L915" i="48"/>
  <c r="L75" i="48"/>
  <c r="L500" i="48"/>
  <c r="L101" i="48"/>
  <c r="DO904" i="48"/>
  <c r="L703" i="48"/>
  <c r="DO1168" i="48"/>
  <c r="DO400" i="48"/>
  <c r="L1255" i="48"/>
  <c r="L487" i="48"/>
  <c r="L93" i="48"/>
  <c r="L102" i="48"/>
  <c r="L105" i="48"/>
  <c r="DO688" i="48"/>
  <c r="L463" i="48"/>
  <c r="L334" i="48"/>
  <c r="L92" i="48"/>
  <c r="L78" i="48"/>
  <c r="DO616" i="48"/>
  <c r="DO376" i="48"/>
  <c r="DO736" i="48"/>
  <c r="DO568" i="48"/>
  <c r="L908" i="48"/>
  <c r="L643" i="48"/>
  <c r="AO643" i="48" s="1"/>
  <c r="L869" i="48"/>
  <c r="L76" i="48"/>
  <c r="DO40" i="48"/>
  <c r="DO160" i="48"/>
  <c r="DO1288" i="48"/>
  <c r="L692" i="48"/>
  <c r="L103" i="48"/>
  <c r="DO1216" i="48"/>
  <c r="DO952" i="48"/>
  <c r="L97" i="48"/>
  <c r="L95" i="48"/>
  <c r="L1111" i="48"/>
  <c r="L243" i="48"/>
  <c r="L1296" i="48"/>
  <c r="L503" i="48"/>
  <c r="L73" i="48"/>
  <c r="L883" i="48"/>
  <c r="AO883" i="48" s="1"/>
  <c r="L1254" i="48"/>
  <c r="L884" i="48"/>
  <c r="L120" i="48"/>
  <c r="L235" i="48"/>
  <c r="AO235" i="48" s="1"/>
  <c r="L273" i="48"/>
  <c r="L1013" i="48"/>
  <c r="L480" i="48"/>
  <c r="L596" i="48"/>
  <c r="L477" i="48"/>
  <c r="L1195" i="48"/>
  <c r="AO1195" i="48" s="1"/>
  <c r="L284" i="48"/>
  <c r="L1137" i="48"/>
  <c r="L513" i="48"/>
  <c r="L889" i="48"/>
  <c r="L1029" i="48"/>
  <c r="L597" i="48"/>
  <c r="L130" i="48"/>
  <c r="L933" i="48"/>
  <c r="L332" i="48"/>
  <c r="L970" i="48"/>
  <c r="L458" i="48"/>
  <c r="L333" i="48"/>
  <c r="L871" i="48"/>
  <c r="L983" i="48"/>
  <c r="L236" i="48"/>
  <c r="L1028" i="48"/>
  <c r="L1004" i="48"/>
  <c r="L890" i="48"/>
  <c r="L961" i="48"/>
  <c r="L505" i="48"/>
  <c r="L296" i="48"/>
  <c r="L1196" i="48"/>
  <c r="L1248" i="48"/>
  <c r="L360" i="48"/>
  <c r="L504" i="48"/>
  <c r="L1315" i="48"/>
  <c r="AO1315" i="48" s="1"/>
  <c r="L51" i="48"/>
  <c r="L932" i="48"/>
  <c r="L1200" i="48"/>
  <c r="L288" i="48"/>
  <c r="L213" i="48"/>
  <c r="L442" i="48"/>
  <c r="L1322" i="48"/>
  <c r="L967" i="48"/>
  <c r="L706" i="48"/>
  <c r="L55" i="48"/>
  <c r="L499" i="48"/>
  <c r="AO499" i="48" s="1"/>
  <c r="L1295" i="48"/>
  <c r="L286" i="48"/>
  <c r="L1054" i="48"/>
  <c r="L717" i="48"/>
  <c r="L764" i="48"/>
  <c r="L126" i="48"/>
  <c r="L239" i="48"/>
  <c r="L509" i="48"/>
  <c r="L916" i="48"/>
  <c r="L293" i="48"/>
  <c r="L1276" i="48"/>
  <c r="L1034" i="48"/>
  <c r="L287" i="48"/>
  <c r="L1275" i="48"/>
  <c r="L919" i="48"/>
  <c r="L679" i="48"/>
  <c r="L223" i="48"/>
  <c r="L1031" i="48"/>
  <c r="L1319" i="48"/>
  <c r="L695" i="48"/>
  <c r="L191" i="48"/>
  <c r="L478" i="48"/>
  <c r="L464" i="48"/>
  <c r="L453" i="48"/>
  <c r="L141" i="48"/>
  <c r="L1155" i="48"/>
  <c r="L955" i="48"/>
  <c r="AO955" i="48" s="1"/>
  <c r="L1033" i="48"/>
  <c r="L798" i="48"/>
  <c r="L839" i="48"/>
  <c r="L765" i="48"/>
  <c r="L942" i="48"/>
  <c r="L654" i="48"/>
  <c r="L270" i="48"/>
  <c r="L142" i="48"/>
  <c r="L917" i="48"/>
  <c r="L1305" i="48"/>
  <c r="L825" i="48"/>
  <c r="L657" i="48"/>
  <c r="L533" i="48"/>
  <c r="L1243" i="48"/>
  <c r="AO1243" i="48" s="1"/>
  <c r="L938" i="48"/>
  <c r="L746" i="48"/>
  <c r="L1088" i="48"/>
  <c r="L728" i="48"/>
  <c r="L1157" i="48"/>
  <c r="L53" i="48"/>
  <c r="L335" i="48"/>
  <c r="L767" i="48"/>
  <c r="L982" i="48"/>
  <c r="L1133" i="48"/>
  <c r="L796" i="48"/>
  <c r="L268" i="48"/>
  <c r="L116" i="48"/>
  <c r="L523" i="48"/>
  <c r="AO523" i="48" s="1"/>
  <c r="L427" i="48"/>
  <c r="AO427" i="48" s="1"/>
  <c r="L1291" i="48"/>
  <c r="AO1291" i="48" s="1"/>
  <c r="L1247" i="48"/>
  <c r="L599" i="48"/>
  <c r="L1230" i="48"/>
  <c r="L1078" i="48"/>
  <c r="L622" i="48"/>
  <c r="L1037" i="48"/>
  <c r="L581" i="48"/>
  <c r="L532" i="48"/>
  <c r="L960" i="48"/>
  <c r="L1303" i="48"/>
  <c r="L548" i="48"/>
  <c r="L405" i="48"/>
  <c r="L285" i="48"/>
  <c r="L772" i="48"/>
  <c r="L1077" i="48"/>
  <c r="L188" i="48"/>
  <c r="L1109" i="48"/>
  <c r="L485" i="48"/>
  <c r="L557" i="48"/>
  <c r="L885" i="48"/>
  <c r="L237" i="48"/>
  <c r="L778" i="48"/>
  <c r="L538" i="48"/>
  <c r="L508" i="48"/>
  <c r="L340" i="48"/>
  <c r="L816" i="48"/>
  <c r="L1152" i="48"/>
  <c r="L720" i="48"/>
  <c r="L168" i="48"/>
  <c r="L1159" i="48"/>
  <c r="L607" i="48"/>
  <c r="L1125" i="48"/>
  <c r="L957" i="48"/>
  <c r="L1232" i="48"/>
  <c r="L380" i="48"/>
  <c r="L1258" i="48"/>
  <c r="L346" i="48"/>
  <c r="L656" i="48"/>
  <c r="L964" i="48"/>
  <c r="L506" i="48"/>
  <c r="L294" i="48"/>
  <c r="L840" i="48"/>
  <c r="L1302" i="48"/>
  <c r="L1221" i="48"/>
  <c r="L576" i="48"/>
  <c r="L1136" i="48"/>
  <c r="L343" i="48"/>
  <c r="L1207" i="48"/>
  <c r="L985" i="48"/>
  <c r="L1150" i="48"/>
  <c r="L1257" i="48"/>
  <c r="L392" i="48"/>
  <c r="L379" i="48"/>
  <c r="AO379" i="48" s="1"/>
  <c r="L178" i="48"/>
  <c r="L1153" i="48"/>
  <c r="L817" i="48"/>
  <c r="L815" i="48"/>
  <c r="L935" i="48"/>
  <c r="L383" i="48"/>
  <c r="L1158" i="48"/>
  <c r="L260" i="48"/>
  <c r="L151" i="48"/>
  <c r="L791" i="48"/>
  <c r="L311" i="48"/>
  <c r="L167" i="48"/>
  <c r="L793" i="48"/>
  <c r="L846" i="48"/>
  <c r="L749" i="48"/>
  <c r="L1306" i="48"/>
  <c r="L316" i="48"/>
  <c r="L1184" i="48"/>
  <c r="L451" i="48"/>
  <c r="AO451" i="48" s="1"/>
  <c r="L1082" i="48"/>
  <c r="L991" i="48"/>
  <c r="L511" i="48"/>
  <c r="L247" i="48"/>
  <c r="L143" i="48"/>
  <c r="L1204" i="48"/>
  <c r="L845" i="48"/>
  <c r="L413" i="48"/>
  <c r="L435" i="48"/>
  <c r="L455" i="48"/>
  <c r="L551" i="48"/>
  <c r="L822" i="48"/>
  <c r="L1006" i="48"/>
  <c r="L910" i="48"/>
  <c r="L670" i="48"/>
  <c r="L1041" i="48"/>
  <c r="L1017" i="48"/>
  <c r="L489" i="48"/>
  <c r="L739" i="48"/>
  <c r="AO739" i="48" s="1"/>
  <c r="L386" i="48"/>
  <c r="L250" i="48"/>
  <c r="L794" i="48"/>
  <c r="L1162" i="48"/>
  <c r="L1298" i="48"/>
  <c r="L483" i="48"/>
  <c r="L1007" i="48"/>
  <c r="L530" i="48"/>
  <c r="L578" i="48"/>
  <c r="L826" i="48"/>
  <c r="L482" i="48"/>
  <c r="L945" i="48"/>
  <c r="L56" i="48"/>
  <c r="L763" i="48"/>
  <c r="AO763" i="48" s="1"/>
  <c r="L1101" i="48"/>
  <c r="L609" i="48"/>
  <c r="L820" i="48"/>
  <c r="L835" i="48"/>
  <c r="AO835" i="48" s="1"/>
  <c r="L667" i="48"/>
  <c r="L514" i="48"/>
  <c r="L1156" i="48"/>
  <c r="L388" i="48"/>
  <c r="L46" i="48"/>
  <c r="L859" i="48"/>
  <c r="AO859" i="48" s="1"/>
  <c r="L331" i="48"/>
  <c r="AO331" i="48" s="1"/>
  <c r="L555" i="48"/>
  <c r="L219" i="48"/>
  <c r="L441" i="48"/>
  <c r="L52" i="48"/>
  <c r="L1011" i="48"/>
  <c r="L675" i="48"/>
  <c r="L115" i="48"/>
  <c r="AO115" i="48" s="1"/>
  <c r="L1138" i="48"/>
  <c r="L1250" i="48"/>
  <c r="L261" i="48"/>
  <c r="L308" i="48"/>
  <c r="L263" i="48"/>
  <c r="L650" i="48"/>
  <c r="L295" i="48"/>
  <c r="L342" i="48"/>
  <c r="L604" i="48"/>
  <c r="L265" i="48"/>
  <c r="L389" i="48"/>
  <c r="L355" i="48"/>
  <c r="AO355" i="48" s="1"/>
  <c r="L628" i="48"/>
  <c r="L171" i="48"/>
  <c r="L874" i="48"/>
  <c r="L730" i="48"/>
  <c r="L1056" i="48"/>
  <c r="L751" i="48"/>
  <c r="L800" i="48"/>
  <c r="L559" i="48"/>
  <c r="L174" i="48"/>
  <c r="L319" i="48"/>
  <c r="L863" i="48"/>
  <c r="L359" i="48"/>
  <c r="L406" i="48"/>
  <c r="L678" i="48"/>
  <c r="L222" i="48"/>
  <c r="L993" i="48"/>
  <c r="L320" i="48"/>
  <c r="L537" i="48"/>
  <c r="L1292" i="48"/>
  <c r="L572" i="48"/>
  <c r="L45" i="48"/>
  <c r="L356" i="48"/>
  <c r="L994" i="48"/>
  <c r="L726" i="48"/>
  <c r="L462" i="48"/>
  <c r="L560" i="48"/>
  <c r="L621" i="48"/>
  <c r="L586" i="48"/>
  <c r="L226" i="48"/>
  <c r="L394" i="48"/>
  <c r="L1059" i="48"/>
  <c r="L314" i="48"/>
  <c r="L595" i="48"/>
  <c r="AO595" i="48" s="1"/>
  <c r="L1107" i="48"/>
  <c r="L370" i="48"/>
  <c r="L962" i="48"/>
  <c r="L363" i="48"/>
  <c r="L931" i="48"/>
  <c r="AO931" i="48" s="1"/>
  <c r="L547" i="48"/>
  <c r="AO547" i="48" s="1"/>
  <c r="L1036" i="48"/>
  <c r="L1106" i="48"/>
  <c r="L534" i="48"/>
  <c r="L501" i="48"/>
  <c r="L1253" i="48"/>
  <c r="L606" i="48"/>
  <c r="L118" i="48"/>
  <c r="L1294" i="48"/>
  <c r="L698" i="48"/>
  <c r="L240" i="48"/>
  <c r="L1039" i="48"/>
  <c r="L510" i="48"/>
  <c r="L1181" i="48"/>
  <c r="L1005" i="48"/>
  <c r="L1114" i="48"/>
  <c r="L1060" i="48"/>
  <c r="L554" i="48"/>
  <c r="L1063" i="48"/>
  <c r="L631" i="48"/>
  <c r="L1081" i="48"/>
  <c r="L775" i="48"/>
  <c r="L368" i="48"/>
  <c r="L934" i="48"/>
  <c r="L814" i="48"/>
  <c r="L773" i="48"/>
  <c r="L341" i="48"/>
  <c r="L848" i="48"/>
  <c r="L344" i="48"/>
  <c r="L1324" i="48"/>
  <c r="L787" i="48"/>
  <c r="AO787" i="48" s="1"/>
  <c r="L716" i="48"/>
  <c r="L1186" i="48"/>
  <c r="L1234" i="48"/>
  <c r="L122" i="48"/>
  <c r="L896" i="48"/>
  <c r="L1231" i="48"/>
  <c r="L1079" i="48"/>
  <c r="L1087" i="48"/>
  <c r="L990" i="48"/>
  <c r="L166" i="48"/>
  <c r="L454" i="48"/>
  <c r="L1277" i="48"/>
  <c r="L1318" i="48"/>
  <c r="L1197" i="48"/>
  <c r="L381" i="48"/>
  <c r="L584" i="48"/>
  <c r="L989" i="48"/>
  <c r="L605" i="48"/>
  <c r="L460" i="48"/>
  <c r="L1051" i="48"/>
  <c r="AO1051" i="48" s="1"/>
  <c r="L619" i="48"/>
  <c r="AO619" i="48" s="1"/>
  <c r="L571" i="48"/>
  <c r="AO571" i="48" s="1"/>
  <c r="L1300" i="48"/>
  <c r="L580" i="48"/>
  <c r="L897" i="48"/>
  <c r="L1274" i="48"/>
  <c r="L266" i="48"/>
  <c r="L290" i="48"/>
  <c r="L821" i="48"/>
  <c r="L1148" i="48"/>
  <c r="L1202" i="48"/>
  <c r="L1180" i="48"/>
  <c r="L1179" i="48"/>
  <c r="L748" i="48"/>
  <c r="L747" i="48"/>
  <c r="L651" i="48"/>
  <c r="L652" i="48"/>
  <c r="L922" i="48"/>
  <c r="L921" i="48"/>
  <c r="L408" i="48"/>
  <c r="L407" i="48"/>
  <c r="L1183" i="48"/>
  <c r="L1182" i="48"/>
  <c r="L701" i="48"/>
  <c r="L702" i="48"/>
  <c r="L725" i="48"/>
  <c r="L724" i="48"/>
  <c r="L128" i="48"/>
  <c r="L127" i="48"/>
  <c r="L1206" i="48"/>
  <c r="L645" i="48"/>
  <c r="L190" i="48"/>
  <c r="L189" i="48"/>
  <c r="L1113" i="48"/>
  <c r="L1112" i="48"/>
  <c r="L813" i="48"/>
  <c r="L812" i="48"/>
  <c r="L339" i="48"/>
  <c r="L338" i="48"/>
  <c r="L1271" i="48"/>
  <c r="L1272" i="48"/>
  <c r="L742" i="48"/>
  <c r="L1085" i="48"/>
  <c r="L248" i="48"/>
  <c r="L249" i="48"/>
  <c r="L1229" i="48"/>
  <c r="L1228" i="48"/>
  <c r="L940" i="48"/>
  <c r="L860" i="48"/>
  <c r="L861" i="48"/>
  <c r="L1245" i="48"/>
  <c r="L1244" i="48"/>
  <c r="L164" i="48"/>
  <c r="L165" i="48"/>
  <c r="L1075" i="48"/>
  <c r="AO1075" i="48" s="1"/>
  <c r="L1076" i="48"/>
  <c r="L387" i="48"/>
  <c r="L992" i="48"/>
  <c r="L1323" i="48"/>
  <c r="L774" i="48"/>
  <c r="L1080" i="48"/>
  <c r="L715" i="48"/>
  <c r="AO715" i="48" s="1"/>
  <c r="L440" i="48"/>
  <c r="L439" i="48"/>
  <c r="L176" i="48"/>
  <c r="L175" i="48"/>
  <c r="L125" i="48"/>
  <c r="L124" i="48"/>
  <c r="L173" i="48"/>
  <c r="L172" i="48"/>
  <c r="L836" i="48"/>
  <c r="L837" i="48"/>
  <c r="L1100" i="48"/>
  <c r="L1099" i="48"/>
  <c r="AO1099" i="48" s="1"/>
  <c r="L404" i="48"/>
  <c r="L403" i="48"/>
  <c r="AO403" i="48" s="1"/>
  <c r="L476" i="48"/>
  <c r="L475" i="48"/>
  <c r="AO475" i="48" s="1"/>
  <c r="L769" i="48"/>
  <c r="L768" i="48"/>
  <c r="L336" i="48"/>
  <c r="L337" i="48"/>
  <c r="L1134" i="48"/>
  <c r="L1135" i="48"/>
  <c r="L262" i="48"/>
  <c r="L1293" i="48"/>
  <c r="L956" i="48"/>
  <c r="L58" i="48"/>
  <c r="L771" i="48"/>
  <c r="L770" i="48"/>
  <c r="L891" i="48"/>
  <c r="L1233" i="48"/>
  <c r="L936" i="48"/>
  <c r="L384" i="48"/>
  <c r="L743" i="48"/>
  <c r="L744" i="48"/>
  <c r="L623" i="48"/>
  <c r="L624" i="48"/>
  <c r="L438" i="48"/>
  <c r="L790" i="48"/>
  <c r="L245" i="48"/>
  <c r="L693" i="48"/>
  <c r="L694" i="48"/>
  <c r="L776" i="48"/>
  <c r="L777" i="48"/>
  <c r="L211" i="48"/>
  <c r="AO211" i="48" s="1"/>
  <c r="L868" i="48"/>
  <c r="L867" i="48"/>
  <c r="L1008" i="48"/>
  <c r="L502" i="48"/>
  <c r="L1252" i="48"/>
  <c r="L119" i="48"/>
  <c r="L461" i="48"/>
  <c r="L490" i="48"/>
  <c r="L799" i="48"/>
  <c r="L862" i="48"/>
  <c r="L727" i="48"/>
  <c r="L1053" i="48"/>
  <c r="L620" i="48"/>
  <c r="L585" i="48"/>
  <c r="L345" i="48"/>
  <c r="L1321" i="48"/>
  <c r="L312" i="48"/>
  <c r="L823" i="48"/>
  <c r="L944" i="48"/>
  <c r="L1175" i="48"/>
  <c r="L941" i="48"/>
  <c r="L317" i="48"/>
  <c r="L1174" i="48"/>
  <c r="L573" i="48"/>
  <c r="L550" i="48"/>
  <c r="L416" i="48"/>
  <c r="L892" i="48"/>
  <c r="L436" i="48"/>
  <c r="L1268" i="48"/>
  <c r="L907" i="48"/>
  <c r="AO907" i="48" s="1"/>
  <c r="L850" i="48"/>
  <c r="L849" i="48"/>
  <c r="L937" i="48"/>
  <c r="L145" i="48"/>
  <c r="L898" i="48"/>
  <c r="L531" i="48"/>
  <c r="L200" i="48"/>
  <c r="L1224" i="48"/>
  <c r="L647" i="48"/>
  <c r="L1278" i="48"/>
  <c r="L894" i="48"/>
  <c r="L390" i="48"/>
  <c r="L1102" i="48"/>
  <c r="L1198" i="48"/>
  <c r="L214" i="48"/>
  <c r="L150" i="48"/>
  <c r="L310" i="48"/>
  <c r="L705" i="48"/>
  <c r="L148" i="48"/>
  <c r="L740" i="48"/>
  <c r="L1171" i="48"/>
  <c r="AO1171" i="48" s="1"/>
  <c r="L1018" i="48"/>
  <c r="L1058" i="48"/>
  <c r="L818" i="48"/>
  <c r="L1090" i="48"/>
  <c r="L154" i="48"/>
  <c r="L579" i="48"/>
  <c r="L1104" i="48"/>
  <c r="L912" i="48"/>
  <c r="L672" i="48"/>
  <c r="L535" i="48"/>
  <c r="L47" i="48"/>
  <c r="L1326" i="48"/>
  <c r="L367" i="48"/>
  <c r="L415" i="48"/>
  <c r="L1126" i="48"/>
  <c r="L719" i="48"/>
  <c r="L430" i="48"/>
  <c r="L574" i="48"/>
  <c r="L1061" i="48"/>
  <c r="L1149" i="48"/>
  <c r="L1269" i="48"/>
  <c r="L525" i="48"/>
  <c r="L357" i="48"/>
  <c r="L1108" i="48"/>
  <c r="L677" i="48"/>
  <c r="L556" i="48"/>
  <c r="L197" i="48"/>
  <c r="L1317" i="48"/>
  <c r="L789" i="48"/>
  <c r="L429" i="48"/>
  <c r="L979" i="48"/>
  <c r="AO979" i="48" s="1"/>
  <c r="L139" i="48"/>
  <c r="AO139" i="48" s="1"/>
  <c r="L44" i="48"/>
  <c r="L1282" i="48"/>
  <c r="L1042" i="48"/>
  <c r="L842" i="48"/>
  <c r="L410" i="48"/>
  <c r="L811" i="48"/>
  <c r="AO811" i="48" s="1"/>
  <c r="L163" i="48"/>
  <c r="AO163" i="48" s="1"/>
  <c r="L307" i="48"/>
  <c r="AO307" i="48" s="1"/>
  <c r="L988" i="48"/>
  <c r="L1131" i="48"/>
  <c r="L699" i="48"/>
  <c r="L291" i="48"/>
  <c r="L1209" i="48"/>
  <c r="L561" i="48"/>
  <c r="L1130" i="48"/>
  <c r="L217" i="48"/>
  <c r="L418" i="48"/>
  <c r="L722" i="48"/>
  <c r="L802" i="48"/>
  <c r="L824" i="48"/>
  <c r="L1154" i="48"/>
  <c r="L1083" i="48"/>
  <c r="L1225" i="48"/>
  <c r="L600" i="48"/>
  <c r="L1147" i="48"/>
  <c r="AO1147" i="48" s="1"/>
  <c r="L1226" i="48"/>
  <c r="L195" i="48"/>
  <c r="L315" i="48"/>
  <c r="L244" i="48"/>
  <c r="L202" i="48"/>
  <c r="L194" i="48"/>
  <c r="L562" i="48"/>
  <c r="L434" i="48"/>
  <c r="L680" i="48"/>
  <c r="L512" i="48"/>
  <c r="L700" i="48"/>
  <c r="L843" i="48"/>
  <c r="L43" i="48"/>
  <c r="L1010" i="48"/>
  <c r="L146" i="48"/>
  <c r="L1251" i="48"/>
  <c r="L721" i="48"/>
  <c r="L169" i="48"/>
  <c r="L873" i="48"/>
  <c r="L1330" i="48"/>
  <c r="L801" i="48"/>
  <c r="L754" i="48"/>
  <c r="L682" i="48"/>
  <c r="L322" i="48"/>
  <c r="L914" i="48"/>
  <c r="L865" i="48"/>
  <c r="L625" i="48"/>
  <c r="L1177" i="48"/>
  <c r="L218" i="48"/>
  <c r="L298" i="48"/>
  <c r="L362" i="48"/>
  <c r="L170" i="48"/>
  <c r="L292" i="48"/>
  <c r="L946" i="48"/>
  <c r="L1065" i="48"/>
  <c r="L729" i="48"/>
  <c r="L177" i="48"/>
  <c r="L649" i="48"/>
  <c r="L1279" i="48"/>
  <c r="L792" i="48"/>
  <c r="L216" i="48"/>
  <c r="L215" i="48"/>
  <c r="L958" i="48"/>
  <c r="L959" i="48"/>
  <c r="L1173" i="48"/>
  <c r="DO60" i="48"/>
  <c r="L634" i="48"/>
  <c r="L1066" i="48"/>
  <c r="L658" i="48"/>
  <c r="L1227" i="48"/>
  <c r="L986" i="48"/>
  <c r="L603" i="48"/>
  <c r="L242" i="48"/>
  <c r="L676" i="48"/>
  <c r="L633" i="48"/>
  <c r="L797" i="48"/>
  <c r="L1301" i="48"/>
  <c r="L1327" i="48"/>
  <c r="L866" i="48"/>
  <c r="L48" i="48"/>
  <c r="L966" i="48"/>
  <c r="L149" i="48"/>
  <c r="L1316" i="48"/>
  <c r="L1035" i="48"/>
  <c r="L963" i="48"/>
  <c r="L411" i="48"/>
  <c r="L1129" i="48"/>
  <c r="L433" i="48"/>
  <c r="L1127" i="48"/>
  <c r="L1132" i="48"/>
  <c r="L1123" i="48"/>
  <c r="AO1123" i="48" s="1"/>
  <c r="L674" i="48"/>
  <c r="L575" i="48"/>
  <c r="L602" i="48"/>
  <c r="L414" i="48"/>
  <c r="L452" i="48"/>
  <c r="L626" i="48"/>
  <c r="L987" i="48"/>
  <c r="L224" i="48"/>
  <c r="L681" i="48"/>
  <c r="L358" i="48"/>
  <c r="L655" i="48"/>
  <c r="L648" i="48"/>
  <c r="L630" i="48"/>
  <c r="L238" i="48"/>
  <c r="L1178" i="48"/>
  <c r="L1223" i="48"/>
  <c r="L718" i="48"/>
  <c r="L309" i="48"/>
  <c r="L1032" i="48"/>
  <c r="L558" i="48"/>
  <c r="L318" i="48"/>
  <c r="L1205" i="48"/>
  <c r="L221" i="48"/>
  <c r="L909" i="48"/>
  <c r="L486" i="48"/>
  <c r="L269" i="48"/>
  <c r="L117" i="48"/>
  <c r="L1222" i="48"/>
  <c r="L1128" i="48"/>
  <c r="L582" i="48"/>
  <c r="L788" i="48"/>
  <c r="L872" i="48"/>
  <c r="L488" i="48"/>
  <c r="L524" i="48"/>
  <c r="DO1289" i="48"/>
  <c r="L1103" i="48"/>
  <c r="L391" i="48"/>
  <c r="L1110" i="48"/>
  <c r="L750" i="48"/>
  <c r="L1176" i="48"/>
  <c r="L1062" i="48"/>
  <c r="L1030" i="48"/>
  <c r="L271" i="48"/>
  <c r="L412" i="48"/>
  <c r="L140" i="48"/>
  <c r="L536" i="48"/>
  <c r="L969" i="48"/>
  <c r="L552" i="48"/>
  <c r="L553" i="48"/>
  <c r="L457" i="48"/>
  <c r="L456" i="48"/>
  <c r="L1016" i="48"/>
  <c r="L1015" i="48"/>
  <c r="L1280" i="48"/>
  <c r="L1281" i="48"/>
  <c r="L752" i="48"/>
  <c r="L753" i="48"/>
  <c r="L192" i="48"/>
  <c r="L479" i="48"/>
  <c r="L526" i="48"/>
  <c r="L644" i="48"/>
  <c r="L1320" i="48"/>
  <c r="L528" i="48"/>
  <c r="L1151" i="48"/>
  <c r="L893" i="48"/>
  <c r="L437" i="48"/>
  <c r="L1124" i="48"/>
  <c r="L144" i="48"/>
  <c r="L895" i="48"/>
  <c r="L918" i="48"/>
  <c r="L981" i="48"/>
  <c r="L888" i="48"/>
  <c r="L264" i="48"/>
  <c r="L943" i="48"/>
  <c r="L366" i="48"/>
  <c r="L549" i="48"/>
  <c r="L844" i="48"/>
  <c r="L196" i="48"/>
  <c r="L428" i="48"/>
  <c r="L1027" i="48"/>
  <c r="AO1027" i="48" s="1"/>
  <c r="L920" i="48"/>
  <c r="L465" i="48"/>
  <c r="L1328" i="48"/>
  <c r="L1329" i="48"/>
  <c r="L1160" i="48"/>
  <c r="L1161" i="48"/>
  <c r="L152" i="48"/>
  <c r="L153" i="48"/>
  <c r="L668" i="48"/>
  <c r="L669" i="48"/>
  <c r="DO1049" i="48"/>
  <c r="L847" i="48"/>
  <c r="L431" i="48"/>
  <c r="L886" i="48"/>
  <c r="L1172" i="48"/>
  <c r="L696" i="48"/>
  <c r="L1270" i="48"/>
  <c r="L741" i="48"/>
  <c r="L984" i="48"/>
  <c r="L1199" i="48"/>
  <c r="L598" i="48"/>
  <c r="L432" i="48"/>
  <c r="L199" i="48"/>
  <c r="L1003" i="48"/>
  <c r="AO1003" i="48" s="1"/>
  <c r="L913" i="48"/>
  <c r="L1201" i="48"/>
  <c r="L673" i="48"/>
  <c r="L627" i="48"/>
  <c r="L57" i="48"/>
  <c r="L1105" i="48"/>
  <c r="L289" i="48"/>
  <c r="L529" i="48"/>
  <c r="L1299" i="48"/>
  <c r="L1089" i="48"/>
  <c r="DO1217" i="48"/>
  <c r="DO1145" i="48"/>
  <c r="DO1241" i="48"/>
  <c r="L1256" i="48"/>
  <c r="L704" i="48"/>
  <c r="L608" i="48"/>
  <c r="DO1097" i="48"/>
  <c r="L939" i="48"/>
  <c r="L225" i="48"/>
  <c r="L1057" i="48"/>
  <c r="L841" i="48"/>
  <c r="L409" i="48"/>
  <c r="L121" i="48"/>
  <c r="L201" i="48"/>
  <c r="L1273" i="48"/>
  <c r="L601" i="48"/>
  <c r="L577" i="48"/>
  <c r="L385" i="48"/>
  <c r="L417" i="48"/>
  <c r="L321" i="48"/>
  <c r="DO1146" i="48"/>
  <c r="L1040" i="48"/>
  <c r="DO1313" i="48"/>
  <c r="DO1193" i="48"/>
  <c r="DO1025" i="48"/>
  <c r="DO1290" i="48"/>
  <c r="L1304" i="48"/>
  <c r="DO1242" i="48"/>
  <c r="DO1218" i="48"/>
  <c r="DO1265" i="48"/>
  <c r="L1208" i="48"/>
  <c r="L459" i="48"/>
  <c r="L297" i="48"/>
  <c r="L697" i="48"/>
  <c r="L481" i="48"/>
  <c r="DO137" i="48"/>
  <c r="L795" i="48"/>
  <c r="L723" i="48"/>
  <c r="L129" i="48"/>
  <c r="L1249" i="48"/>
  <c r="L361" i="48"/>
  <c r="L49" i="48"/>
  <c r="L1203" i="48"/>
  <c r="L507" i="48"/>
  <c r="L393" i="48"/>
  <c r="L313" i="48"/>
  <c r="L1185" i="48"/>
  <c r="L369" i="48"/>
  <c r="L745" i="48"/>
  <c r="L1009" i="48"/>
  <c r="L193" i="48"/>
  <c r="L1064" i="48"/>
  <c r="DO1074" i="48"/>
  <c r="DO1050" i="48"/>
  <c r="D6" i="2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AO129" i="48" l="1"/>
  <c r="AO1208" i="48"/>
  <c r="AO1273" i="48"/>
  <c r="AO1299" i="48"/>
  <c r="AO1270" i="48"/>
  <c r="AO920" i="48"/>
  <c r="AO895" i="48"/>
  <c r="AO1015" i="48"/>
  <c r="AO391" i="48"/>
  <c r="AO1128" i="48"/>
  <c r="AO318" i="48"/>
  <c r="AO630" i="48"/>
  <c r="AO433" i="48"/>
  <c r="AO1035" i="48"/>
  <c r="AO797" i="48"/>
  <c r="AO603" i="48"/>
  <c r="AO1066" i="48"/>
  <c r="AO959" i="48"/>
  <c r="AO792" i="48"/>
  <c r="AO729" i="48"/>
  <c r="AO170" i="48"/>
  <c r="AO1177" i="48"/>
  <c r="AO322" i="48"/>
  <c r="AO1330" i="48"/>
  <c r="AO1251" i="48"/>
  <c r="AO843" i="48"/>
  <c r="AO434" i="48"/>
  <c r="AO244" i="48"/>
  <c r="AO1154" i="48"/>
  <c r="AO418" i="48"/>
  <c r="AO1209" i="48"/>
  <c r="AO988" i="48"/>
  <c r="AO410" i="48"/>
  <c r="AO789" i="48"/>
  <c r="AO1269" i="48"/>
  <c r="AO430" i="48"/>
  <c r="AO367" i="48"/>
  <c r="AO154" i="48"/>
  <c r="AO1018" i="48"/>
  <c r="AO705" i="48"/>
  <c r="AO1198" i="48"/>
  <c r="AO1278" i="48"/>
  <c r="AO531" i="48"/>
  <c r="AO849" i="48"/>
  <c r="AO436" i="48"/>
  <c r="AO573" i="48"/>
  <c r="AO1175" i="48"/>
  <c r="AO1321" i="48"/>
  <c r="AO1053" i="48"/>
  <c r="AO490" i="48"/>
  <c r="AO502" i="48"/>
  <c r="AO693" i="48"/>
  <c r="AO624" i="48"/>
  <c r="AO384" i="48"/>
  <c r="AO770" i="48"/>
  <c r="AO1293" i="48"/>
  <c r="AO337" i="48"/>
  <c r="AO172" i="48"/>
  <c r="AO175" i="48"/>
  <c r="AO992" i="48"/>
  <c r="AO165" i="48"/>
  <c r="AO861" i="48"/>
  <c r="AO1229" i="48"/>
  <c r="AO742" i="48"/>
  <c r="AO339" i="48"/>
  <c r="AO1113" i="48"/>
  <c r="AO1206" i="48"/>
  <c r="AO725" i="48"/>
  <c r="AO1183" i="48"/>
  <c r="AO922" i="48"/>
  <c r="AO748" i="48"/>
  <c r="AO1148" i="48"/>
  <c r="AP1148" i="48" s="1"/>
  <c r="AQ1148" i="48" s="1"/>
  <c r="AO1274" i="48"/>
  <c r="AO605" i="48"/>
  <c r="AO1197" i="48"/>
  <c r="AO166" i="48"/>
  <c r="AO1231" i="48"/>
  <c r="AO1186" i="48"/>
  <c r="AO344" i="48"/>
  <c r="AO814" i="48"/>
  <c r="AO1081" i="48"/>
  <c r="AO1060" i="48"/>
  <c r="AO510" i="48"/>
  <c r="AO1294" i="48"/>
  <c r="AO501" i="48"/>
  <c r="AO370" i="48"/>
  <c r="AO1059" i="48"/>
  <c r="AO621" i="48"/>
  <c r="AO994" i="48"/>
  <c r="AO1292" i="48"/>
  <c r="AP1292" i="48" s="1"/>
  <c r="AQ1292" i="48" s="1"/>
  <c r="AO222" i="48"/>
  <c r="AO863" i="48"/>
  <c r="AO800" i="48"/>
  <c r="AO874" i="48"/>
  <c r="AO389" i="48"/>
  <c r="AO295" i="48"/>
  <c r="AO261" i="48"/>
  <c r="AO219" i="48"/>
  <c r="AO1101" i="48"/>
  <c r="AO482" i="48"/>
  <c r="AO1007" i="48"/>
  <c r="AO794" i="48"/>
  <c r="AO489" i="48"/>
  <c r="AO910" i="48"/>
  <c r="AO455" i="48"/>
  <c r="AO1204" i="48"/>
  <c r="AO991" i="48"/>
  <c r="AO316" i="48"/>
  <c r="AO793" i="48"/>
  <c r="AO151" i="48"/>
  <c r="AO935" i="48"/>
  <c r="AO178" i="48"/>
  <c r="AO1150" i="48"/>
  <c r="AO1136" i="48"/>
  <c r="AO840" i="48"/>
  <c r="AO656" i="48"/>
  <c r="AO1232" i="48"/>
  <c r="AO1159" i="48"/>
  <c r="AO816" i="48"/>
  <c r="AO778" i="48"/>
  <c r="AO485" i="48"/>
  <c r="AO772" i="48"/>
  <c r="AO1303" i="48"/>
  <c r="AO1037" i="48"/>
  <c r="AO599" i="48"/>
  <c r="AO1133" i="48"/>
  <c r="AO746" i="48"/>
  <c r="AO657" i="48"/>
  <c r="AO142" i="48"/>
  <c r="AO765" i="48"/>
  <c r="AO464" i="48"/>
  <c r="AO1319" i="48"/>
  <c r="AO919" i="48"/>
  <c r="AO1276" i="48"/>
  <c r="AO239" i="48"/>
  <c r="AO1054" i="48"/>
  <c r="AO442" i="48"/>
  <c r="AO932" i="48"/>
  <c r="AP932" i="48" s="1"/>
  <c r="AQ932" i="48" s="1"/>
  <c r="AO360" i="48"/>
  <c r="AO505" i="48"/>
  <c r="AO1028" i="48"/>
  <c r="AP1028" i="48" s="1"/>
  <c r="AQ1028" i="48" s="1"/>
  <c r="AO333" i="48"/>
  <c r="AO933" i="48"/>
  <c r="AO889" i="48"/>
  <c r="AO1013" i="48"/>
  <c r="AO884" i="48"/>
  <c r="AP884" i="48" s="1"/>
  <c r="AQ884" i="48" s="1"/>
  <c r="AO503" i="48"/>
  <c r="AO95" i="48"/>
  <c r="AO103" i="48"/>
  <c r="AO908" i="48"/>
  <c r="AP908" i="48" s="1"/>
  <c r="AQ908" i="48" s="1"/>
  <c r="AO463" i="48"/>
  <c r="AO93" i="48"/>
  <c r="AO500" i="48"/>
  <c r="AP500" i="48" s="1"/>
  <c r="AQ500" i="48" s="1"/>
  <c r="AO123" i="48"/>
  <c r="AO96" i="48"/>
  <c r="AO212" i="48"/>
  <c r="AP212" i="48" s="1"/>
  <c r="AQ212" i="48" s="1"/>
  <c r="AO94" i="48"/>
  <c r="AO610" i="48"/>
  <c r="AO632" i="48"/>
  <c r="AO220" i="48"/>
  <c r="AO1210" i="48"/>
  <c r="AO870" i="48"/>
  <c r="AO272" i="48"/>
  <c r="AO1220" i="48"/>
  <c r="AP1220" i="48" s="1"/>
  <c r="AQ1220" i="48" s="1"/>
  <c r="AO968" i="48"/>
  <c r="AO1185" i="48"/>
  <c r="AO264" i="48"/>
  <c r="AO753" i="48"/>
  <c r="AO1062" i="48"/>
  <c r="AO488" i="48"/>
  <c r="AO452" i="48"/>
  <c r="AP452" i="48" s="1"/>
  <c r="AQ452" i="48" s="1"/>
  <c r="AO1009" i="48"/>
  <c r="AO313" i="48"/>
  <c r="AO723" i="48"/>
  <c r="AO697" i="48"/>
  <c r="AO1040" i="48"/>
  <c r="AO385" i="48"/>
  <c r="AO201" i="48"/>
  <c r="AO1057" i="48"/>
  <c r="AO608" i="48"/>
  <c r="AO529" i="48"/>
  <c r="AO627" i="48"/>
  <c r="AO1199" i="48"/>
  <c r="AO696" i="48"/>
  <c r="AO847" i="48"/>
  <c r="AO153" i="48"/>
  <c r="AO1329" i="48"/>
  <c r="AO549" i="48"/>
  <c r="AO888" i="48"/>
  <c r="AO144" i="48"/>
  <c r="AO1151" i="48"/>
  <c r="AO526" i="48"/>
  <c r="AO752" i="48"/>
  <c r="AO1016" i="48"/>
  <c r="AO552" i="48"/>
  <c r="AO412" i="48"/>
  <c r="AO1176" i="48"/>
  <c r="AO1103" i="48"/>
  <c r="AO872" i="48"/>
  <c r="AO1222" i="48"/>
  <c r="AO909" i="48"/>
  <c r="AO558" i="48"/>
  <c r="AO1223" i="48"/>
  <c r="AO648" i="48"/>
  <c r="AO224" i="48"/>
  <c r="AO414" i="48"/>
  <c r="AO1129" i="48"/>
  <c r="AO1316" i="48"/>
  <c r="AP1316" i="48" s="1"/>
  <c r="AQ1316" i="48" s="1"/>
  <c r="AO866" i="48"/>
  <c r="AO633" i="48"/>
  <c r="AO986" i="48"/>
  <c r="AO634" i="48"/>
  <c r="AO958" i="48"/>
  <c r="AO1279" i="48"/>
  <c r="AO1065" i="48"/>
  <c r="AO362" i="48"/>
  <c r="AO625" i="48"/>
  <c r="AO873" i="48"/>
  <c r="AO146" i="48"/>
  <c r="AO700" i="48"/>
  <c r="AO562" i="48"/>
  <c r="AO315" i="48"/>
  <c r="AO600" i="48"/>
  <c r="AO824" i="48"/>
  <c r="AO217" i="48"/>
  <c r="AO291" i="48"/>
  <c r="AO842" i="48"/>
  <c r="AO1317" i="48"/>
  <c r="AO1108" i="48"/>
  <c r="AO1149" i="48"/>
  <c r="AO719" i="48"/>
  <c r="AO1326" i="48"/>
  <c r="AO912" i="48"/>
  <c r="AO1090" i="48"/>
  <c r="AO310" i="48"/>
  <c r="AO1102" i="48"/>
  <c r="AO647" i="48"/>
  <c r="AO898" i="48"/>
  <c r="AO850" i="48"/>
  <c r="AO892" i="48"/>
  <c r="AO1174" i="48"/>
  <c r="AO944" i="48"/>
  <c r="AO345" i="48"/>
  <c r="AO727" i="48"/>
  <c r="AO461" i="48"/>
  <c r="AO1008" i="48"/>
  <c r="AO777" i="48"/>
  <c r="AO245" i="48"/>
  <c r="AO623" i="48"/>
  <c r="AO936" i="48"/>
  <c r="AO771" i="48"/>
  <c r="AO262" i="48"/>
  <c r="AO336" i="48"/>
  <c r="AO476" i="48"/>
  <c r="AP476" i="48" s="1"/>
  <c r="AQ476" i="48" s="1"/>
  <c r="AO1100" i="48"/>
  <c r="AP1100" i="48" s="1"/>
  <c r="AQ1100" i="48" s="1"/>
  <c r="AO173" i="48"/>
  <c r="AO176" i="48"/>
  <c r="AO1080" i="48"/>
  <c r="AO387" i="48"/>
  <c r="AO164" i="48"/>
  <c r="AP164" i="48" s="1"/>
  <c r="AQ164" i="48" s="1"/>
  <c r="AO860" i="48"/>
  <c r="AP860" i="48" s="1"/>
  <c r="AQ860" i="48" s="1"/>
  <c r="AO249" i="48"/>
  <c r="AO1272" i="48"/>
  <c r="AO812" i="48"/>
  <c r="AP812" i="48" s="1"/>
  <c r="AQ812" i="48" s="1"/>
  <c r="AO189" i="48"/>
  <c r="AO127" i="48"/>
  <c r="AO702" i="48"/>
  <c r="AO407" i="48"/>
  <c r="AO652" i="48"/>
  <c r="AO1179" i="48"/>
  <c r="AO821" i="48"/>
  <c r="AO897" i="48"/>
  <c r="AO989" i="48"/>
  <c r="AO1318" i="48"/>
  <c r="AO990" i="48"/>
  <c r="AO896" i="48"/>
  <c r="AO716" i="48"/>
  <c r="AP716" i="48" s="1"/>
  <c r="AQ716" i="48" s="1"/>
  <c r="AO848" i="48"/>
  <c r="AO934" i="48"/>
  <c r="AO631" i="48"/>
  <c r="AO1114" i="48"/>
  <c r="AO1039" i="48"/>
  <c r="AO118" i="48"/>
  <c r="AO534" i="48"/>
  <c r="AO1107" i="48"/>
  <c r="AO394" i="48"/>
  <c r="AO560" i="48"/>
  <c r="AO356" i="48"/>
  <c r="AP356" i="48" s="1"/>
  <c r="AQ356" i="48" s="1"/>
  <c r="AO537" i="48"/>
  <c r="AO319" i="48"/>
  <c r="AO751" i="48"/>
  <c r="AO171" i="48"/>
  <c r="AO265" i="48"/>
  <c r="AO650" i="48"/>
  <c r="AO1250" i="48"/>
  <c r="AO1011" i="48"/>
  <c r="AO555" i="48"/>
  <c r="AO388" i="48"/>
  <c r="AO826" i="48"/>
  <c r="AO483" i="48"/>
  <c r="AO250" i="48"/>
  <c r="AO1017" i="48"/>
  <c r="AO1006" i="48"/>
  <c r="AO435" i="48"/>
  <c r="AO143" i="48"/>
  <c r="AO1082" i="48"/>
  <c r="AO1306" i="48"/>
  <c r="AO167" i="48"/>
  <c r="AO260" i="48"/>
  <c r="AP260" i="48" s="1"/>
  <c r="AQ260" i="48" s="1"/>
  <c r="AO815" i="48"/>
  <c r="AO985" i="48"/>
  <c r="AO576" i="48"/>
  <c r="AO294" i="48"/>
  <c r="AO346" i="48"/>
  <c r="AO957" i="48"/>
  <c r="AO168" i="48"/>
  <c r="AO340" i="48"/>
  <c r="AO237" i="48"/>
  <c r="AO1109" i="48"/>
  <c r="AO285" i="48"/>
  <c r="AO960" i="48"/>
  <c r="AO622" i="48"/>
  <c r="AO1247" i="48"/>
  <c r="AO116" i="48"/>
  <c r="AP116" i="48" s="1"/>
  <c r="AQ116" i="48" s="1"/>
  <c r="AO982" i="48"/>
  <c r="AO1157" i="48"/>
  <c r="AO938" i="48"/>
  <c r="AO825" i="48"/>
  <c r="AO270" i="48"/>
  <c r="AO839" i="48"/>
  <c r="AO1155" i="48"/>
  <c r="AO478" i="48"/>
  <c r="AO1031" i="48"/>
  <c r="AO1275" i="48"/>
  <c r="AO293" i="48"/>
  <c r="AO126" i="48"/>
  <c r="AO286" i="48"/>
  <c r="AO706" i="48"/>
  <c r="AO213" i="48"/>
  <c r="AO1248" i="48"/>
  <c r="AO961" i="48"/>
  <c r="AO236" i="48"/>
  <c r="AP236" i="48" s="1"/>
  <c r="AQ236" i="48" s="1"/>
  <c r="AO458" i="48"/>
  <c r="AO130" i="48"/>
  <c r="AO513" i="48"/>
  <c r="AO477" i="48"/>
  <c r="AO273" i="48"/>
  <c r="AO1254" i="48"/>
  <c r="AO1296" i="48"/>
  <c r="AO97" i="48"/>
  <c r="AO692" i="48"/>
  <c r="AP692" i="48" s="1"/>
  <c r="AQ692" i="48" s="1"/>
  <c r="AO76" i="48"/>
  <c r="AO78" i="48"/>
  <c r="AO487" i="48"/>
  <c r="AO703" i="48"/>
  <c r="AO75" i="48"/>
  <c r="AO527" i="48"/>
  <c r="AO71" i="48"/>
  <c r="AO81" i="48"/>
  <c r="AO74" i="48"/>
  <c r="AO274" i="48"/>
  <c r="AO70" i="48"/>
  <c r="AO104" i="48"/>
  <c r="AO98" i="48"/>
  <c r="AO466" i="48"/>
  <c r="AO267" i="48"/>
  <c r="AO653" i="48"/>
  <c r="AO241" i="48"/>
  <c r="AO193" i="48"/>
  <c r="AO481" i="48"/>
  <c r="AO1304" i="48"/>
  <c r="AO841" i="48"/>
  <c r="AO598" i="48"/>
  <c r="AO1160" i="48"/>
  <c r="AO893" i="48"/>
  <c r="AO553" i="48"/>
  <c r="AO718" i="48"/>
  <c r="AO745" i="48"/>
  <c r="AO361" i="48"/>
  <c r="AO297" i="48"/>
  <c r="AO577" i="48"/>
  <c r="AO121" i="48"/>
  <c r="AO225" i="48"/>
  <c r="AO704" i="48"/>
  <c r="AO289" i="48"/>
  <c r="AO199" i="48"/>
  <c r="AO984" i="48"/>
  <c r="AO1172" i="48"/>
  <c r="AP1172" i="48" s="1"/>
  <c r="AQ1172" i="48" s="1"/>
  <c r="AO152" i="48"/>
  <c r="AO1328" i="48"/>
  <c r="AO428" i="48"/>
  <c r="AP428" i="48" s="1"/>
  <c r="AQ428" i="48" s="1"/>
  <c r="AO366" i="48"/>
  <c r="AO981" i="48"/>
  <c r="AO1124" i="48"/>
  <c r="AP1124" i="48" s="1"/>
  <c r="AQ1124" i="48" s="1"/>
  <c r="AO528" i="48"/>
  <c r="AO479" i="48"/>
  <c r="AO1281" i="48"/>
  <c r="AO456" i="48"/>
  <c r="AO969" i="48"/>
  <c r="AO271" i="48"/>
  <c r="AO750" i="48"/>
  <c r="AO788" i="48"/>
  <c r="AP788" i="48" s="1"/>
  <c r="AQ788" i="48" s="1"/>
  <c r="AO117" i="48"/>
  <c r="AO221" i="48"/>
  <c r="AO1032" i="48"/>
  <c r="AO1178" i="48"/>
  <c r="AO655" i="48"/>
  <c r="AO987" i="48"/>
  <c r="AO602" i="48"/>
  <c r="AO1132" i="48"/>
  <c r="AO411" i="48"/>
  <c r="AO149" i="48"/>
  <c r="AO1327" i="48"/>
  <c r="AO1227" i="48"/>
  <c r="AO215" i="48"/>
  <c r="AO649" i="48"/>
  <c r="AO946" i="48"/>
  <c r="AO298" i="48"/>
  <c r="AO865" i="48"/>
  <c r="AO754" i="48"/>
  <c r="AO169" i="48"/>
  <c r="AO1010" i="48"/>
  <c r="AO512" i="48"/>
  <c r="AO194" i="48"/>
  <c r="AO195" i="48"/>
  <c r="AO1225" i="48"/>
  <c r="AO802" i="48"/>
  <c r="AO1130" i="48"/>
  <c r="AO699" i="48"/>
  <c r="AO1042" i="48"/>
  <c r="AO197" i="48"/>
  <c r="AO357" i="48"/>
  <c r="AO1061" i="48"/>
  <c r="AO1126" i="48"/>
  <c r="AO1104" i="48"/>
  <c r="AO818" i="48"/>
  <c r="AO740" i="48"/>
  <c r="AP740" i="48" s="1"/>
  <c r="AQ740" i="48" s="1"/>
  <c r="AO150" i="48"/>
  <c r="AO390" i="48"/>
  <c r="AO1224" i="48"/>
  <c r="AO145" i="48"/>
  <c r="AO416" i="48"/>
  <c r="AO317" i="48"/>
  <c r="AO823" i="48"/>
  <c r="AO585" i="48"/>
  <c r="AO862" i="48"/>
  <c r="AO119" i="48"/>
  <c r="AO867" i="48"/>
  <c r="AO776" i="48"/>
  <c r="AO790" i="48"/>
  <c r="AO744" i="48"/>
  <c r="AO1233" i="48"/>
  <c r="AO1135" i="48"/>
  <c r="AO768" i="48"/>
  <c r="AO837" i="48"/>
  <c r="AO124" i="48"/>
  <c r="AO439" i="48"/>
  <c r="AO774" i="48"/>
  <c r="AO1076" i="48"/>
  <c r="AP1076" i="48" s="1"/>
  <c r="AQ1076" i="48" s="1"/>
  <c r="AO1244" i="48"/>
  <c r="AP1244" i="48" s="1"/>
  <c r="AQ1244" i="48" s="1"/>
  <c r="AO940" i="48"/>
  <c r="AO248" i="48"/>
  <c r="AO1271" i="48"/>
  <c r="AO813" i="48"/>
  <c r="AO190" i="48"/>
  <c r="AO128" i="48"/>
  <c r="AO701" i="48"/>
  <c r="AO408" i="48"/>
  <c r="AO651" i="48"/>
  <c r="AO1180" i="48"/>
  <c r="AO290" i="48"/>
  <c r="AO580" i="48"/>
  <c r="AO584" i="48"/>
  <c r="AO1277" i="48"/>
  <c r="AO1087" i="48"/>
  <c r="AO122" i="48"/>
  <c r="AO341" i="48"/>
  <c r="AO368" i="48"/>
  <c r="AO1063" i="48"/>
  <c r="AO1005" i="48"/>
  <c r="AO240" i="48"/>
  <c r="AO606" i="48"/>
  <c r="AO1106" i="48"/>
  <c r="AO363" i="48"/>
  <c r="AO226" i="48"/>
  <c r="AO462" i="48"/>
  <c r="AO320" i="48"/>
  <c r="AO406" i="48"/>
  <c r="AO174" i="48"/>
  <c r="AO1056" i="48"/>
  <c r="AO628" i="48"/>
  <c r="AO604" i="48"/>
  <c r="AO263" i="48"/>
  <c r="AO1138" i="48"/>
  <c r="AO1156" i="48"/>
  <c r="AO820" i="48"/>
  <c r="AO578" i="48"/>
  <c r="AO1298" i="48"/>
  <c r="AO386" i="48"/>
  <c r="AO1041" i="48"/>
  <c r="AO822" i="48"/>
  <c r="AO413" i="48"/>
  <c r="AO247" i="48"/>
  <c r="AO749" i="48"/>
  <c r="AO311" i="48"/>
  <c r="AO1158" i="48"/>
  <c r="AO817" i="48"/>
  <c r="AO392" i="48"/>
  <c r="AO1207" i="48"/>
  <c r="AO1221" i="48"/>
  <c r="AO506" i="48"/>
  <c r="AO1258" i="48"/>
  <c r="AO1125" i="48"/>
  <c r="AO720" i="48"/>
  <c r="AO508" i="48"/>
  <c r="AO885" i="48"/>
  <c r="AP885" i="48" s="1"/>
  <c r="AO188" i="48"/>
  <c r="AP188" i="48" s="1"/>
  <c r="AQ188" i="48" s="1"/>
  <c r="AO405" i="48"/>
  <c r="AO532" i="48"/>
  <c r="AO1078" i="48"/>
  <c r="AO268" i="48"/>
  <c r="AO767" i="48"/>
  <c r="AO728" i="48"/>
  <c r="AO1305" i="48"/>
  <c r="AO654" i="48"/>
  <c r="AO798" i="48"/>
  <c r="AO141" i="48"/>
  <c r="AO191" i="48"/>
  <c r="AO223" i="48"/>
  <c r="AO287" i="48"/>
  <c r="AO916" i="48"/>
  <c r="AO764" i="48"/>
  <c r="AP764" i="48" s="1"/>
  <c r="AQ764" i="48" s="1"/>
  <c r="AO1295" i="48"/>
  <c r="AO967" i="48"/>
  <c r="AO288" i="48"/>
  <c r="AO1196" i="48"/>
  <c r="AP1196" i="48" s="1"/>
  <c r="AQ1196" i="48" s="1"/>
  <c r="AO890" i="48"/>
  <c r="AO983" i="48"/>
  <c r="AO970" i="48"/>
  <c r="AO597" i="48"/>
  <c r="AO1137" i="48"/>
  <c r="AO596" i="48"/>
  <c r="AP596" i="48" s="1"/>
  <c r="AQ596" i="48" s="1"/>
  <c r="AO243" i="48"/>
  <c r="AO869" i="48"/>
  <c r="AO92" i="48"/>
  <c r="AP92" i="48" s="1"/>
  <c r="AQ92" i="48" s="1"/>
  <c r="AO105" i="48"/>
  <c r="AO1255" i="48"/>
  <c r="AO915" i="48"/>
  <c r="AO583" i="48"/>
  <c r="AO82" i="48"/>
  <c r="AO99" i="48"/>
  <c r="AO484" i="48"/>
  <c r="AO79" i="48"/>
  <c r="AO1012" i="48"/>
  <c r="AO382" i="48"/>
  <c r="AO365" i="48"/>
  <c r="AO819" i="48"/>
  <c r="AO1297" i="48"/>
  <c r="AO1038" i="48"/>
  <c r="AO1052" i="48"/>
  <c r="AP1052" i="48" s="1"/>
  <c r="AQ1052" i="48" s="1"/>
  <c r="AO1203" i="48"/>
  <c r="AO417" i="48"/>
  <c r="AO913" i="48"/>
  <c r="AO431" i="48"/>
  <c r="AO844" i="48"/>
  <c r="AO644" i="48"/>
  <c r="AP644" i="48" s="1"/>
  <c r="AQ644" i="48" s="1"/>
  <c r="AO140" i="48"/>
  <c r="AP140" i="48" s="1"/>
  <c r="AQ140" i="48" s="1"/>
  <c r="AO486" i="48"/>
  <c r="AO393" i="48"/>
  <c r="AO795" i="48"/>
  <c r="AO1064" i="48"/>
  <c r="AO369" i="48"/>
  <c r="AO507" i="48"/>
  <c r="AO1249" i="48"/>
  <c r="AO459" i="48"/>
  <c r="AO321" i="48"/>
  <c r="AO601" i="48"/>
  <c r="AO409" i="48"/>
  <c r="AO939" i="48"/>
  <c r="AO1256" i="48"/>
  <c r="AO1089" i="48"/>
  <c r="AO1105" i="48"/>
  <c r="AO1201" i="48"/>
  <c r="AO432" i="48"/>
  <c r="AO741" i="48"/>
  <c r="AP741" i="48" s="1"/>
  <c r="AO886" i="48"/>
  <c r="AO1161" i="48"/>
  <c r="AO465" i="48"/>
  <c r="AO196" i="48"/>
  <c r="AO943" i="48"/>
  <c r="AO918" i="48"/>
  <c r="AO437" i="48"/>
  <c r="AO1320" i="48"/>
  <c r="AO192" i="48"/>
  <c r="AO1280" i="48"/>
  <c r="AO457" i="48"/>
  <c r="AO536" i="48"/>
  <c r="AO1030" i="48"/>
  <c r="AO1110" i="48"/>
  <c r="AO524" i="48"/>
  <c r="AP524" i="48" s="1"/>
  <c r="AQ524" i="48" s="1"/>
  <c r="AO582" i="48"/>
  <c r="AO269" i="48"/>
  <c r="AO1205" i="48"/>
  <c r="AO309" i="48"/>
  <c r="AO238" i="48"/>
  <c r="AO358" i="48"/>
  <c r="AO626" i="48"/>
  <c r="AO575" i="48"/>
  <c r="AO1127" i="48"/>
  <c r="AO963" i="48"/>
  <c r="AO966" i="48"/>
  <c r="AO1301" i="48"/>
  <c r="AO242" i="48"/>
  <c r="AO658" i="48"/>
  <c r="AO1173" i="48"/>
  <c r="AO216" i="48"/>
  <c r="AO177" i="48"/>
  <c r="AO292" i="48"/>
  <c r="AO218" i="48"/>
  <c r="AO914" i="48"/>
  <c r="AO801" i="48"/>
  <c r="AO721" i="48"/>
  <c r="AO202" i="48"/>
  <c r="AO1226" i="48"/>
  <c r="AO1083" i="48"/>
  <c r="AO722" i="48"/>
  <c r="AO561" i="48"/>
  <c r="AO1131" i="48"/>
  <c r="AO1282" i="48"/>
  <c r="AO429" i="48"/>
  <c r="AO556" i="48"/>
  <c r="AO525" i="48"/>
  <c r="AO574" i="48"/>
  <c r="AO415" i="48"/>
  <c r="AO535" i="48"/>
  <c r="AO579" i="48"/>
  <c r="AO1058" i="48"/>
  <c r="AO148" i="48"/>
  <c r="AO214" i="48"/>
  <c r="AO894" i="48"/>
  <c r="AO200" i="48"/>
  <c r="AO937" i="48"/>
  <c r="AO1268" i="48"/>
  <c r="AP1268" i="48" s="1"/>
  <c r="AQ1268" i="48" s="1"/>
  <c r="AO550" i="48"/>
  <c r="AO941" i="48"/>
  <c r="AO312" i="48"/>
  <c r="AO620" i="48"/>
  <c r="AP620" i="48" s="1"/>
  <c r="AQ620" i="48" s="1"/>
  <c r="AO799" i="48"/>
  <c r="AO1252" i="48"/>
  <c r="AO868" i="48"/>
  <c r="AO694" i="48"/>
  <c r="AO438" i="48"/>
  <c r="AO743" i="48"/>
  <c r="AO891" i="48"/>
  <c r="AO956" i="48"/>
  <c r="AP956" i="48" s="1"/>
  <c r="AQ956" i="48" s="1"/>
  <c r="AO1134" i="48"/>
  <c r="AO769" i="48"/>
  <c r="AO404" i="48"/>
  <c r="AP404" i="48" s="1"/>
  <c r="AQ404" i="48" s="1"/>
  <c r="AO836" i="48"/>
  <c r="AP836" i="48" s="1"/>
  <c r="AQ836" i="48" s="1"/>
  <c r="AO125" i="48"/>
  <c r="AO440" i="48"/>
  <c r="AO1323" i="48"/>
  <c r="AO1245" i="48"/>
  <c r="AO1228" i="48"/>
  <c r="AO1085" i="48"/>
  <c r="AO338" i="48"/>
  <c r="AO1112" i="48"/>
  <c r="AO645" i="48"/>
  <c r="AP645" i="48" s="1"/>
  <c r="AQ645" i="48" s="1"/>
  <c r="AO724" i="48"/>
  <c r="AO1182" i="48"/>
  <c r="AO921" i="48"/>
  <c r="AO747" i="48"/>
  <c r="AO1202" i="48"/>
  <c r="AO266" i="48"/>
  <c r="AO1300" i="48"/>
  <c r="AO460" i="48"/>
  <c r="AO381" i="48"/>
  <c r="AO454" i="48"/>
  <c r="AO1079" i="48"/>
  <c r="AO1234" i="48"/>
  <c r="AO1324" i="48"/>
  <c r="AO773" i="48"/>
  <c r="AO775" i="48"/>
  <c r="AO554" i="48"/>
  <c r="AO1181" i="48"/>
  <c r="AO698" i="48"/>
  <c r="AO1253" i="48"/>
  <c r="AO1036" i="48"/>
  <c r="AO962" i="48"/>
  <c r="AO314" i="48"/>
  <c r="AO586" i="48"/>
  <c r="AO726" i="48"/>
  <c r="AO572" i="48"/>
  <c r="AP572" i="48" s="1"/>
  <c r="AQ572" i="48" s="1"/>
  <c r="AO993" i="48"/>
  <c r="AO359" i="48"/>
  <c r="AO559" i="48"/>
  <c r="AO730" i="48"/>
  <c r="AO342" i="48"/>
  <c r="AO308" i="48"/>
  <c r="AP308" i="48" s="1"/>
  <c r="AQ308" i="48" s="1"/>
  <c r="AO441" i="48"/>
  <c r="AO514" i="48"/>
  <c r="AO609" i="48"/>
  <c r="AO945" i="48"/>
  <c r="AO530" i="48"/>
  <c r="AO1162" i="48"/>
  <c r="AO551" i="48"/>
  <c r="AO845" i="48"/>
  <c r="AO511" i="48"/>
  <c r="AO1184" i="48"/>
  <c r="AO846" i="48"/>
  <c r="AO791" i="48"/>
  <c r="AO383" i="48"/>
  <c r="AO1153" i="48"/>
  <c r="AO1257" i="48"/>
  <c r="AO343" i="48"/>
  <c r="AO1302" i="48"/>
  <c r="AO964" i="48"/>
  <c r="AO380" i="48"/>
  <c r="AP380" i="48" s="1"/>
  <c r="AQ380" i="48" s="1"/>
  <c r="AO607" i="48"/>
  <c r="AO1152" i="48"/>
  <c r="AO538" i="48"/>
  <c r="AO557" i="48"/>
  <c r="AO1077" i="48"/>
  <c r="AP1077" i="48" s="1"/>
  <c r="AO548" i="48"/>
  <c r="AP548" i="48" s="1"/>
  <c r="AQ548" i="48" s="1"/>
  <c r="AO581" i="48"/>
  <c r="AO1230" i="48"/>
  <c r="AO796" i="48"/>
  <c r="AO335" i="48"/>
  <c r="AO1088" i="48"/>
  <c r="AO533" i="48"/>
  <c r="AO917" i="48"/>
  <c r="AO942" i="48"/>
  <c r="AO1033" i="48"/>
  <c r="AO453" i="48"/>
  <c r="AO695" i="48"/>
  <c r="AO1034" i="48"/>
  <c r="AO509" i="48"/>
  <c r="AO717" i="48"/>
  <c r="AP717" i="48" s="1"/>
  <c r="AP718" i="48" s="1"/>
  <c r="AO1322" i="48"/>
  <c r="AO1200" i="48"/>
  <c r="AO504" i="48"/>
  <c r="AO296" i="48"/>
  <c r="AO1004" i="48"/>
  <c r="AP1004" i="48" s="1"/>
  <c r="AQ1004" i="48" s="1"/>
  <c r="AO871" i="48"/>
  <c r="AO332" i="48"/>
  <c r="AP332" i="48" s="1"/>
  <c r="AQ332" i="48" s="1"/>
  <c r="AO1029" i="48"/>
  <c r="AO284" i="48"/>
  <c r="AP284" i="48" s="1"/>
  <c r="AQ284" i="48" s="1"/>
  <c r="AO480" i="48"/>
  <c r="AO120" i="48"/>
  <c r="AO73" i="48"/>
  <c r="AO1111" i="48"/>
  <c r="AO334" i="48"/>
  <c r="AO102" i="48"/>
  <c r="AO101" i="48"/>
  <c r="AO80" i="48"/>
  <c r="AO77" i="48"/>
  <c r="AO69" i="48"/>
  <c r="AP69" i="48" s="1"/>
  <c r="AQ69" i="48" s="1"/>
  <c r="AO106" i="48"/>
  <c r="AO100" i="48"/>
  <c r="AO980" i="48"/>
  <c r="AP980" i="48" s="1"/>
  <c r="AQ980" i="48" s="1"/>
  <c r="AO246" i="48"/>
  <c r="AO629" i="48"/>
  <c r="AO965" i="48"/>
  <c r="AO147" i="48"/>
  <c r="AO1246" i="48"/>
  <c r="AO49" i="48"/>
  <c r="AO51" i="48"/>
  <c r="AO50" i="48"/>
  <c r="AO47" i="48"/>
  <c r="AO58" i="48"/>
  <c r="AO52" i="48"/>
  <c r="AO56" i="48"/>
  <c r="AO54" i="48"/>
  <c r="AO57" i="48"/>
  <c r="AO48" i="48"/>
  <c r="AO44" i="48"/>
  <c r="AP44" i="48" s="1"/>
  <c r="AQ44" i="48" s="1"/>
  <c r="AO46" i="48"/>
  <c r="AO53" i="48"/>
  <c r="AO55" i="48"/>
  <c r="AP693" i="48"/>
  <c r="AQ693" i="48" s="1"/>
  <c r="AP261" i="48"/>
  <c r="AQ261" i="48" s="1"/>
  <c r="AP789" i="48"/>
  <c r="AP790" i="48" s="1"/>
  <c r="AP861" i="48"/>
  <c r="AP862" i="48" s="1"/>
  <c r="AP1101" i="48"/>
  <c r="AQ1101" i="48" s="1"/>
  <c r="AP477" i="48"/>
  <c r="AQ477" i="48" s="1"/>
  <c r="AP1125" i="48"/>
  <c r="AP1126" i="48" s="1"/>
  <c r="AP141" i="48"/>
  <c r="AQ141" i="48" s="1"/>
  <c r="AP1029" i="48"/>
  <c r="AQ1029" i="48" s="1"/>
  <c r="AQ68" i="48"/>
  <c r="DO953" i="48"/>
  <c r="AO45" i="48"/>
  <c r="DO569" i="48"/>
  <c r="DO1121" i="48"/>
  <c r="DO209" i="48"/>
  <c r="DO329" i="48"/>
  <c r="DO665" i="48"/>
  <c r="DO857" i="48"/>
  <c r="DO305" i="48"/>
  <c r="DO401" i="48"/>
  <c r="DO977" i="48"/>
  <c r="DO449" i="48"/>
  <c r="DO113" i="48"/>
  <c r="DO281" i="48"/>
  <c r="DO737" i="48"/>
  <c r="DO1001" i="48"/>
  <c r="DO497" i="48"/>
  <c r="DO377" i="48"/>
  <c r="DO689" i="48"/>
  <c r="DO881" i="48"/>
  <c r="DO257" i="48"/>
  <c r="DO929" i="48"/>
  <c r="DO233" i="48"/>
  <c r="DO617" i="48"/>
  <c r="DO713" i="48"/>
  <c r="DO833" i="48"/>
  <c r="DO809" i="48"/>
  <c r="DO65" i="48"/>
  <c r="DO761" i="48"/>
  <c r="DO89" i="48"/>
  <c r="DO545" i="48"/>
  <c r="DO161" i="48"/>
  <c r="DO473" i="48"/>
  <c r="DO785" i="48"/>
  <c r="DO185" i="48"/>
  <c r="DO425" i="48"/>
  <c r="DO41" i="48"/>
  <c r="DO593" i="48"/>
  <c r="DO521" i="48"/>
  <c r="DO353" i="48"/>
  <c r="DO905" i="48"/>
  <c r="DO1169" i="48"/>
  <c r="DO641" i="48"/>
  <c r="DO1073" i="48"/>
  <c r="F3" i="21"/>
  <c r="AP933" i="48" l="1"/>
  <c r="AQ933" i="48" s="1"/>
  <c r="AP453" i="48"/>
  <c r="AQ453" i="48" s="1"/>
  <c r="AP429" i="48"/>
  <c r="AP430" i="48" s="1"/>
  <c r="AQ430" i="48" s="1"/>
  <c r="AP262" i="48"/>
  <c r="AQ262" i="48" s="1"/>
  <c r="AP405" i="48"/>
  <c r="AP406" i="48" s="1"/>
  <c r="AP117" i="48"/>
  <c r="AQ117" i="48" s="1"/>
  <c r="AP1078" i="48"/>
  <c r="AQ1078" i="48" s="1"/>
  <c r="AP1245" i="48"/>
  <c r="AP1246" i="48" s="1"/>
  <c r="AP1173" i="48"/>
  <c r="AP1174" i="48" s="1"/>
  <c r="AP694" i="48"/>
  <c r="AP357" i="48"/>
  <c r="AQ357" i="48" s="1"/>
  <c r="AP1149" i="48"/>
  <c r="AP525" i="48"/>
  <c r="AQ525" i="48" s="1"/>
  <c r="AP45" i="48"/>
  <c r="AP813" i="48"/>
  <c r="AQ813" i="48" s="1"/>
  <c r="AP1317" i="48"/>
  <c r="AP1318" i="48" s="1"/>
  <c r="AQ1318" i="48" s="1"/>
  <c r="AP165" i="48"/>
  <c r="AP166" i="48" s="1"/>
  <c r="AP381" i="48"/>
  <c r="AQ381" i="48" s="1"/>
  <c r="AP1269" i="48"/>
  <c r="AP1270" i="48" s="1"/>
  <c r="AP1271" i="48" s="1"/>
  <c r="AP742" i="48"/>
  <c r="AQ742" i="48" s="1"/>
  <c r="AQ741" i="48"/>
  <c r="AP93" i="48"/>
  <c r="AQ93" i="48" s="1"/>
  <c r="AP957" i="48"/>
  <c r="AP958" i="48" s="1"/>
  <c r="AP959" i="48" s="1"/>
  <c r="AP621" i="48"/>
  <c r="AP837" i="48"/>
  <c r="AQ837" i="48" s="1"/>
  <c r="AP285" i="48"/>
  <c r="AQ285" i="48" s="1"/>
  <c r="AP454" i="48"/>
  <c r="AP455" i="48" s="1"/>
  <c r="AP478" i="48"/>
  <c r="AP479" i="48" s="1"/>
  <c r="AQ1077" i="48"/>
  <c r="AP333" i="48"/>
  <c r="AP334" i="48" s="1"/>
  <c r="AQ334" i="48" s="1"/>
  <c r="AP886" i="48"/>
  <c r="AP887" i="48" s="1"/>
  <c r="AP309" i="48"/>
  <c r="AP189" i="48"/>
  <c r="AP597" i="48"/>
  <c r="AP1221" i="48"/>
  <c r="AP1005" i="48"/>
  <c r="AP765" i="48"/>
  <c r="AP237" i="48"/>
  <c r="AP909" i="48"/>
  <c r="AP1293" i="48"/>
  <c r="AP573" i="48"/>
  <c r="AP981" i="48"/>
  <c r="AP213" i="48"/>
  <c r="AP549" i="48"/>
  <c r="AP501" i="48"/>
  <c r="AP1197" i="48"/>
  <c r="AP1053" i="48"/>
  <c r="AP838" i="48"/>
  <c r="AP839" i="48" s="1"/>
  <c r="AP142" i="48"/>
  <c r="AP143" i="48" s="1"/>
  <c r="AQ885" i="48"/>
  <c r="AQ789" i="48"/>
  <c r="AP1030" i="48"/>
  <c r="AQ1030" i="48" s="1"/>
  <c r="AQ861" i="48"/>
  <c r="AQ1125" i="48"/>
  <c r="AP646" i="48"/>
  <c r="AP647" i="48" s="1"/>
  <c r="AP934" i="48"/>
  <c r="AQ934" i="48" s="1"/>
  <c r="AQ405" i="48"/>
  <c r="AQ1173" i="48"/>
  <c r="AP118" i="48"/>
  <c r="AQ118" i="48" s="1"/>
  <c r="AP1102" i="48"/>
  <c r="AQ1102" i="48" s="1"/>
  <c r="AP526" i="48"/>
  <c r="AP527" i="48" s="1"/>
  <c r="AQ165" i="48"/>
  <c r="AQ717" i="48"/>
  <c r="AP70" i="48"/>
  <c r="AQ70" i="48" s="1"/>
  <c r="AQ45" i="48"/>
  <c r="AP46" i="48"/>
  <c r="AP47" i="48" s="1"/>
  <c r="AP719" i="48"/>
  <c r="AQ718" i="48"/>
  <c r="AP1079" i="48"/>
  <c r="AQ406" i="48"/>
  <c r="AP407" i="48"/>
  <c r="AQ1126" i="48"/>
  <c r="AP1127" i="48"/>
  <c r="AQ862" i="48"/>
  <c r="AP863" i="48"/>
  <c r="AQ1270" i="48"/>
  <c r="AP431" i="48"/>
  <c r="AQ886" i="48"/>
  <c r="AP167" i="48"/>
  <c r="AQ166" i="48"/>
  <c r="AP695" i="48"/>
  <c r="AQ694" i="48"/>
  <c r="AQ790" i="48"/>
  <c r="AP791" i="48"/>
  <c r="AQ1174" i="48"/>
  <c r="AP1175" i="48"/>
  <c r="CH524" i="48"/>
  <c r="CH740" i="48"/>
  <c r="CH356" i="48"/>
  <c r="CH1196" i="48"/>
  <c r="CH68" i="48"/>
  <c r="CH476" i="48"/>
  <c r="CH620" i="48"/>
  <c r="CH1268" i="48"/>
  <c r="CH116" i="48"/>
  <c r="CH788" i="48"/>
  <c r="CH956" i="48"/>
  <c r="CH188" i="48"/>
  <c r="CH884" i="48"/>
  <c r="CH596" i="48"/>
  <c r="CH500" i="48"/>
  <c r="CH764" i="48"/>
  <c r="CH1316" i="48"/>
  <c r="CH164" i="48"/>
  <c r="CH1100" i="48"/>
  <c r="CH92" i="48"/>
  <c r="CH1244" i="48"/>
  <c r="CH716" i="48"/>
  <c r="CH812" i="48"/>
  <c r="CH1004" i="48"/>
  <c r="CH1148" i="48"/>
  <c r="CH1052" i="48"/>
  <c r="CH1028" i="48"/>
  <c r="CH284" i="48"/>
  <c r="CH548" i="48"/>
  <c r="CH212" i="48"/>
  <c r="CH1292" i="48"/>
  <c r="CH404" i="48"/>
  <c r="CH308" i="48"/>
  <c r="CH332" i="48"/>
  <c r="CH692" i="48"/>
  <c r="CH1220" i="48"/>
  <c r="CH260" i="48"/>
  <c r="CH836" i="48"/>
  <c r="CH908" i="48"/>
  <c r="CH140" i="48"/>
  <c r="CH452" i="48"/>
  <c r="CH1172" i="48"/>
  <c r="CH1076" i="48"/>
  <c r="CH236" i="48"/>
  <c r="CH644" i="48"/>
  <c r="CH572" i="48"/>
  <c r="CH932" i="48"/>
  <c r="CH860" i="48"/>
  <c r="CH380" i="48"/>
  <c r="CH428" i="48"/>
  <c r="CH980" i="48"/>
  <c r="CH1124" i="48"/>
  <c r="AP263" i="48" l="1"/>
  <c r="AQ454" i="48"/>
  <c r="AQ429" i="48"/>
  <c r="AP358" i="48"/>
  <c r="AQ958" i="48"/>
  <c r="AP814" i="48"/>
  <c r="AP815" i="48" s="1"/>
  <c r="AQ1246" i="48"/>
  <c r="AP1247" i="48"/>
  <c r="AP1319" i="48"/>
  <c r="AQ1245" i="48"/>
  <c r="AQ478" i="48"/>
  <c r="AP382" i="48"/>
  <c r="AQ382" i="48" s="1"/>
  <c r="AQ646" i="48"/>
  <c r="AQ838" i="48"/>
  <c r="AQ526" i="48"/>
  <c r="AQ814" i="48"/>
  <c r="AQ1149" i="48"/>
  <c r="AP1150" i="48"/>
  <c r="AQ957" i="48"/>
  <c r="AQ1317" i="48"/>
  <c r="AP94" i="48"/>
  <c r="AQ94" i="48" s="1"/>
  <c r="AQ1269" i="48"/>
  <c r="AP286" i="48"/>
  <c r="AP935" i="48"/>
  <c r="AP936" i="48" s="1"/>
  <c r="AP335" i="48"/>
  <c r="AP743" i="48"/>
  <c r="AP744" i="48" s="1"/>
  <c r="AQ621" i="48"/>
  <c r="AP622" i="48"/>
  <c r="AQ333" i="48"/>
  <c r="AP1054" i="48"/>
  <c r="AQ1053" i="48"/>
  <c r="AP214" i="48"/>
  <c r="AQ213" i="48"/>
  <c r="AP910" i="48"/>
  <c r="AQ909" i="48"/>
  <c r="AP1031" i="48"/>
  <c r="AQ1031" i="48" s="1"/>
  <c r="AQ1197" i="48"/>
  <c r="AP1198" i="48"/>
  <c r="AQ981" i="48"/>
  <c r="AP982" i="48"/>
  <c r="AP238" i="48"/>
  <c r="AQ237" i="48"/>
  <c r="AP598" i="48"/>
  <c r="AQ597" i="48"/>
  <c r="AP502" i="48"/>
  <c r="AQ501" i="48"/>
  <c r="AQ573" i="48"/>
  <c r="AP574" i="48"/>
  <c r="AP766" i="48"/>
  <c r="AQ765" i="48"/>
  <c r="AP190" i="48"/>
  <c r="AQ189" i="48"/>
  <c r="AQ1221" i="48"/>
  <c r="AP1222" i="48"/>
  <c r="AQ549" i="48"/>
  <c r="AP550" i="48"/>
  <c r="AP1294" i="48"/>
  <c r="AQ1293" i="48"/>
  <c r="AQ1005" i="48"/>
  <c r="AP1006" i="48"/>
  <c r="AP310" i="48"/>
  <c r="AQ309" i="48"/>
  <c r="AQ142" i="48"/>
  <c r="AP95" i="48"/>
  <c r="AQ95" i="48" s="1"/>
  <c r="AP1103" i="48"/>
  <c r="AQ1103" i="48" s="1"/>
  <c r="AP119" i="48"/>
  <c r="AP120" i="48" s="1"/>
  <c r="AP71" i="48"/>
  <c r="AP72" i="48" s="1"/>
  <c r="AQ46" i="48"/>
  <c r="AQ743" i="48"/>
  <c r="AQ527" i="48"/>
  <c r="AP528" i="48"/>
  <c r="AP696" i="48"/>
  <c r="AQ695" i="48"/>
  <c r="AP144" i="48"/>
  <c r="AQ143" i="48"/>
  <c r="AP456" i="48"/>
  <c r="AQ455" i="48"/>
  <c r="AQ863" i="48"/>
  <c r="AP864" i="48"/>
  <c r="AP408" i="48"/>
  <c r="AQ407" i="48"/>
  <c r="AP1176" i="48"/>
  <c r="AQ1175" i="48"/>
  <c r="AP888" i="48"/>
  <c r="AQ887" i="48"/>
  <c r="AP432" i="48"/>
  <c r="AQ431" i="48"/>
  <c r="AQ719" i="48"/>
  <c r="AP720" i="48"/>
  <c r="AP648" i="48"/>
  <c r="AQ647" i="48"/>
  <c r="AQ167" i="48"/>
  <c r="AP168" i="48"/>
  <c r="AQ479" i="48"/>
  <c r="AP480" i="48"/>
  <c r="AQ815" i="48"/>
  <c r="AP816" i="48"/>
  <c r="AQ1247" i="48"/>
  <c r="AP1248" i="48"/>
  <c r="AP1272" i="48"/>
  <c r="AQ1271" i="48"/>
  <c r="AP1128" i="48"/>
  <c r="AQ1127" i="48"/>
  <c r="AP792" i="48"/>
  <c r="AQ791" i="48"/>
  <c r="AQ959" i="48"/>
  <c r="AP960" i="48"/>
  <c r="AQ335" i="48"/>
  <c r="AP336" i="48"/>
  <c r="AP1320" i="48"/>
  <c r="AQ1319" i="48"/>
  <c r="AP840" i="48"/>
  <c r="AQ839" i="48"/>
  <c r="AP1080" i="48"/>
  <c r="AQ1079" i="48"/>
  <c r="AP264" i="48"/>
  <c r="AQ263" i="48"/>
  <c r="AP48" i="48"/>
  <c r="AQ47" i="48"/>
  <c r="AQ358" i="48" l="1"/>
  <c r="AP359" i="48"/>
  <c r="AP383" i="48"/>
  <c r="AQ383" i="48" s="1"/>
  <c r="AQ286" i="48"/>
  <c r="AP287" i="48"/>
  <c r="AQ935" i="48"/>
  <c r="AQ1150" i="48"/>
  <c r="AP1151" i="48"/>
  <c r="AP1032" i="48"/>
  <c r="AP96" i="48"/>
  <c r="AQ96" i="48" s="1"/>
  <c r="AP623" i="48"/>
  <c r="AQ622" i="48"/>
  <c r="AQ310" i="48"/>
  <c r="AP311" i="48"/>
  <c r="AP1295" i="48"/>
  <c r="AQ1294" i="48"/>
  <c r="AQ766" i="48"/>
  <c r="AP767" i="48"/>
  <c r="AQ502" i="48"/>
  <c r="AP503" i="48"/>
  <c r="AP239" i="48"/>
  <c r="AQ238" i="48"/>
  <c r="AP551" i="48"/>
  <c r="AQ550" i="48"/>
  <c r="AQ574" i="48"/>
  <c r="AP575" i="48"/>
  <c r="AQ982" i="48"/>
  <c r="AP983" i="48"/>
  <c r="AP191" i="48"/>
  <c r="AQ190" i="48"/>
  <c r="AQ598" i="48"/>
  <c r="AP599" i="48"/>
  <c r="AP1007" i="48"/>
  <c r="AQ1006" i="48"/>
  <c r="AQ214" i="48"/>
  <c r="AP215" i="48"/>
  <c r="AQ1222" i="48"/>
  <c r="AP1223" i="48"/>
  <c r="AQ1198" i="48"/>
  <c r="AP1199" i="48"/>
  <c r="AP911" i="48"/>
  <c r="AQ910" i="48"/>
  <c r="AQ1054" i="48"/>
  <c r="AP1055" i="48"/>
  <c r="AP1104" i="48"/>
  <c r="AQ1104" i="48" s="1"/>
  <c r="AQ119" i="48"/>
  <c r="AQ71" i="48"/>
  <c r="AQ336" i="48"/>
  <c r="AP337" i="48"/>
  <c r="AQ960" i="48"/>
  <c r="AP961" i="48"/>
  <c r="AQ72" i="48"/>
  <c r="AP73" i="48"/>
  <c r="AP817" i="48"/>
  <c r="AQ816" i="48"/>
  <c r="AQ720" i="48"/>
  <c r="AP721" i="48"/>
  <c r="AP529" i="48"/>
  <c r="AQ528" i="48"/>
  <c r="AQ840" i="48"/>
  <c r="AP841" i="48"/>
  <c r="AP793" i="48"/>
  <c r="AQ792" i="48"/>
  <c r="AP1129" i="48"/>
  <c r="AQ1128" i="48"/>
  <c r="AP1273" i="48"/>
  <c r="AQ1272" i="48"/>
  <c r="AP1177" i="48"/>
  <c r="AQ1176" i="48"/>
  <c r="AQ408" i="48"/>
  <c r="AP409" i="48"/>
  <c r="AQ1248" i="48"/>
  <c r="AP1249" i="48"/>
  <c r="AP481" i="48"/>
  <c r="AQ480" i="48"/>
  <c r="AP169" i="48"/>
  <c r="AQ168" i="48"/>
  <c r="AQ864" i="48"/>
  <c r="AP865" i="48"/>
  <c r="AQ1080" i="48"/>
  <c r="AP1081" i="48"/>
  <c r="AQ1320" i="48"/>
  <c r="AP1321" i="48"/>
  <c r="AQ1032" i="48"/>
  <c r="AP1033" i="48"/>
  <c r="AP649" i="48"/>
  <c r="AQ648" i="48"/>
  <c r="AP97" i="48"/>
  <c r="AQ432" i="48"/>
  <c r="AP433" i="48"/>
  <c r="AP889" i="48"/>
  <c r="AQ888" i="48"/>
  <c r="AQ936" i="48"/>
  <c r="AP937" i="48"/>
  <c r="AP121" i="48"/>
  <c r="AQ120" i="48"/>
  <c r="AP457" i="48"/>
  <c r="AQ456" i="48"/>
  <c r="AP145" i="48"/>
  <c r="AQ144" i="48"/>
  <c r="AQ696" i="48"/>
  <c r="AP697" i="48"/>
  <c r="AQ744" i="48"/>
  <c r="AP745" i="48"/>
  <c r="AP265" i="48"/>
  <c r="AQ264" i="48"/>
  <c r="AP49" i="48"/>
  <c r="AQ48" i="48"/>
  <c r="AQ359" i="48" l="1"/>
  <c r="AP360" i="48"/>
  <c r="AP384" i="48"/>
  <c r="AP1152" i="48"/>
  <c r="AQ1151" i="48"/>
  <c r="AP288" i="48"/>
  <c r="AQ287" i="48"/>
  <c r="AQ623" i="48"/>
  <c r="AP624" i="48"/>
  <c r="AP1105" i="48"/>
  <c r="AQ1105" i="48" s="1"/>
  <c r="AQ1055" i="48"/>
  <c r="AP1056" i="48"/>
  <c r="AP1200" i="48"/>
  <c r="AQ1199" i="48"/>
  <c r="AP216" i="48"/>
  <c r="AQ215" i="48"/>
  <c r="AQ599" i="48"/>
  <c r="AP600" i="48"/>
  <c r="AP984" i="48"/>
  <c r="AQ983" i="48"/>
  <c r="AQ503" i="48"/>
  <c r="AP504" i="48"/>
  <c r="AQ551" i="48"/>
  <c r="AP552" i="48"/>
  <c r="AP1296" i="48"/>
  <c r="AQ1295" i="48"/>
  <c r="AP1224" i="48"/>
  <c r="AQ1223" i="48"/>
  <c r="AP576" i="48"/>
  <c r="AQ575" i="48"/>
  <c r="AQ767" i="48"/>
  <c r="AP768" i="48"/>
  <c r="AP312" i="48"/>
  <c r="AQ311" i="48"/>
  <c r="AQ911" i="48"/>
  <c r="AP912" i="48"/>
  <c r="AP1008" i="48"/>
  <c r="AQ1007" i="48"/>
  <c r="AP192" i="48"/>
  <c r="AQ191" i="48"/>
  <c r="AP240" i="48"/>
  <c r="AQ239" i="48"/>
  <c r="AP746" i="48"/>
  <c r="AQ745" i="48"/>
  <c r="AP938" i="48"/>
  <c r="AQ937" i="48"/>
  <c r="AQ433" i="48"/>
  <c r="AP434" i="48"/>
  <c r="AP1322" i="48"/>
  <c r="AQ1321" i="48"/>
  <c r="AQ865" i="48"/>
  <c r="AP866" i="48"/>
  <c r="AQ1249" i="48"/>
  <c r="AP1250" i="48"/>
  <c r="AP410" i="48"/>
  <c r="AQ409" i="48"/>
  <c r="AQ1129" i="48"/>
  <c r="AP1130" i="48"/>
  <c r="AQ529" i="48"/>
  <c r="AP530" i="48"/>
  <c r="AQ145" i="48"/>
  <c r="AP146" i="48"/>
  <c r="AQ649" i="48"/>
  <c r="AP650" i="48"/>
  <c r="AQ169" i="48"/>
  <c r="AP170" i="48"/>
  <c r="AP842" i="48"/>
  <c r="AQ841" i="48"/>
  <c r="AQ73" i="48"/>
  <c r="AP74" i="48"/>
  <c r="AQ337" i="48"/>
  <c r="AP338" i="48"/>
  <c r="AP698" i="48"/>
  <c r="AQ697" i="48"/>
  <c r="AQ1033" i="48"/>
  <c r="AP1034" i="48"/>
  <c r="AP1082" i="48"/>
  <c r="AQ1081" i="48"/>
  <c r="AQ1273" i="48"/>
  <c r="AP1274" i="48"/>
  <c r="AQ793" i="48"/>
  <c r="AP794" i="48"/>
  <c r="AQ817" i="48"/>
  <c r="AP818" i="48"/>
  <c r="AP458" i="48"/>
  <c r="AQ457" i="48"/>
  <c r="AQ121" i="48"/>
  <c r="AP122" i="48"/>
  <c r="AQ889" i="48"/>
  <c r="AP890" i="48"/>
  <c r="AP98" i="48"/>
  <c r="AQ97" i="48"/>
  <c r="AQ481" i="48"/>
  <c r="AP482" i="48"/>
  <c r="AP1178" i="48"/>
  <c r="AQ1177" i="48"/>
  <c r="AQ721" i="48"/>
  <c r="AP722" i="48"/>
  <c r="AQ961" i="48"/>
  <c r="AP962" i="48"/>
  <c r="AP50" i="48"/>
  <c r="AQ49" i="48"/>
  <c r="AQ265" i="48"/>
  <c r="AP266" i="48"/>
  <c r="AP361" i="48" l="1"/>
  <c r="AQ360" i="48"/>
  <c r="AP385" i="48"/>
  <c r="AQ384" i="48"/>
  <c r="AQ288" i="48"/>
  <c r="AP289" i="48"/>
  <c r="AP1153" i="48"/>
  <c r="AQ1152" i="48"/>
  <c r="AP1106" i="48"/>
  <c r="AQ1106" i="48" s="1"/>
  <c r="AQ624" i="48"/>
  <c r="AP625" i="48"/>
  <c r="AP505" i="48"/>
  <c r="AQ504" i="48"/>
  <c r="AQ240" i="48"/>
  <c r="AP241" i="48"/>
  <c r="AP1009" i="48"/>
  <c r="AQ1008" i="48"/>
  <c r="AQ576" i="48"/>
  <c r="AP577" i="48"/>
  <c r="AQ1296" i="48"/>
  <c r="AP1297" i="48"/>
  <c r="AQ912" i="48"/>
  <c r="AP913" i="48"/>
  <c r="AQ768" i="48"/>
  <c r="AP769" i="48"/>
  <c r="AQ552" i="48"/>
  <c r="AP553" i="48"/>
  <c r="AP1057" i="48"/>
  <c r="AQ1056" i="48"/>
  <c r="AP601" i="48"/>
  <c r="AQ600" i="48"/>
  <c r="AQ312" i="48"/>
  <c r="AP313" i="48"/>
  <c r="AQ1200" i="48"/>
  <c r="AP1201" i="48"/>
  <c r="AP193" i="48"/>
  <c r="AQ192" i="48"/>
  <c r="AQ1224" i="48"/>
  <c r="AP1225" i="48"/>
  <c r="AQ984" i="48"/>
  <c r="AP985" i="48"/>
  <c r="AP217" i="48"/>
  <c r="AQ216" i="48"/>
  <c r="AQ1178" i="48"/>
  <c r="AP1179" i="48"/>
  <c r="AQ98" i="48"/>
  <c r="AP99" i="48"/>
  <c r="AQ698" i="48"/>
  <c r="AP699" i="48"/>
  <c r="AP411" i="48"/>
  <c r="AQ410" i="48"/>
  <c r="AQ962" i="48"/>
  <c r="AP963" i="48"/>
  <c r="AQ890" i="48"/>
  <c r="AP891" i="48"/>
  <c r="AQ794" i="48"/>
  <c r="AP795" i="48"/>
  <c r="AP1035" i="48"/>
  <c r="AQ1034" i="48"/>
  <c r="AP339" i="48"/>
  <c r="AQ338" i="48"/>
  <c r="AP147" i="48"/>
  <c r="AQ146" i="48"/>
  <c r="AQ1250" i="48"/>
  <c r="AP1251" i="48"/>
  <c r="AP459" i="48"/>
  <c r="AQ458" i="48"/>
  <c r="AQ1082" i="48"/>
  <c r="AP1083" i="48"/>
  <c r="AP843" i="48"/>
  <c r="AQ842" i="48"/>
  <c r="AP1323" i="48"/>
  <c r="AQ1322" i="48"/>
  <c r="AQ938" i="48"/>
  <c r="AP939" i="48"/>
  <c r="AP747" i="48"/>
  <c r="AQ746" i="48"/>
  <c r="AQ722" i="48"/>
  <c r="AP723" i="48"/>
  <c r="AQ482" i="48"/>
  <c r="AP483" i="48"/>
  <c r="AP123" i="48"/>
  <c r="AQ122" i="48"/>
  <c r="AP819" i="48"/>
  <c r="AQ818" i="48"/>
  <c r="AQ1274" i="48"/>
  <c r="AP1275" i="48"/>
  <c r="AQ74" i="48"/>
  <c r="AP75" i="48"/>
  <c r="AP171" i="48"/>
  <c r="AQ170" i="48"/>
  <c r="AQ650" i="48"/>
  <c r="AP651" i="48"/>
  <c r="AP531" i="48"/>
  <c r="AQ530" i="48"/>
  <c r="AQ1130" i="48"/>
  <c r="AP1131" i="48"/>
  <c r="AQ866" i="48"/>
  <c r="AP867" i="48"/>
  <c r="AQ434" i="48"/>
  <c r="AP435" i="48"/>
  <c r="AQ266" i="48"/>
  <c r="AP267" i="48"/>
  <c r="AP51" i="48"/>
  <c r="AQ50" i="48"/>
  <c r="CQ660" i="48"/>
  <c r="AQ361" i="48" l="1"/>
  <c r="AP362" i="48"/>
  <c r="AQ385" i="48"/>
  <c r="AP386" i="48"/>
  <c r="AP1107" i="48"/>
  <c r="AQ1107" i="48" s="1"/>
  <c r="AQ1153" i="48"/>
  <c r="AP1154" i="48"/>
  <c r="AQ289" i="48"/>
  <c r="AP290" i="48"/>
  <c r="AQ625" i="48"/>
  <c r="AP626" i="48"/>
  <c r="AP242" i="48"/>
  <c r="AQ241" i="48"/>
  <c r="AQ217" i="48"/>
  <c r="AP218" i="48"/>
  <c r="AP602" i="48"/>
  <c r="AQ601" i="48"/>
  <c r="AP1202" i="48"/>
  <c r="AQ1201" i="48"/>
  <c r="AP554" i="48"/>
  <c r="AQ553" i="48"/>
  <c r="AQ913" i="48"/>
  <c r="AP914" i="48"/>
  <c r="AP986" i="48"/>
  <c r="AQ985" i="48"/>
  <c r="AQ313" i="48"/>
  <c r="AP314" i="48"/>
  <c r="AP770" i="48"/>
  <c r="AQ769" i="48"/>
  <c r="AQ1297" i="48"/>
  <c r="AP1298" i="48"/>
  <c r="AQ1225" i="48"/>
  <c r="AP1226" i="48"/>
  <c r="AQ577" i="48"/>
  <c r="AP578" i="48"/>
  <c r="AP194" i="48"/>
  <c r="AQ193" i="48"/>
  <c r="AQ1057" i="48"/>
  <c r="AP1058" i="48"/>
  <c r="AQ1009" i="48"/>
  <c r="AP1010" i="48"/>
  <c r="AQ505" i="48"/>
  <c r="AP506" i="48"/>
  <c r="AQ171" i="48"/>
  <c r="AP172" i="48"/>
  <c r="AQ123" i="48"/>
  <c r="AP124" i="48"/>
  <c r="AQ843" i="48"/>
  <c r="AP844" i="48"/>
  <c r="AQ459" i="48"/>
  <c r="AP460" i="48"/>
  <c r="AQ1251" i="48"/>
  <c r="AP1252" i="48"/>
  <c r="AP700" i="48"/>
  <c r="AQ699" i="48"/>
  <c r="AP1180" i="48"/>
  <c r="AQ1179" i="48"/>
  <c r="AQ867" i="48"/>
  <c r="AP868" i="48"/>
  <c r="AQ435" i="48"/>
  <c r="AP436" i="48"/>
  <c r="AQ651" i="48"/>
  <c r="AP652" i="48"/>
  <c r="AQ1275" i="48"/>
  <c r="AP1276" i="48"/>
  <c r="AQ483" i="48"/>
  <c r="AP484" i="48"/>
  <c r="AP1084" i="48"/>
  <c r="AQ1083" i="48"/>
  <c r="AP148" i="48"/>
  <c r="AQ147" i="48"/>
  <c r="AQ339" i="48"/>
  <c r="AP340" i="48"/>
  <c r="AQ1131" i="48"/>
  <c r="AP1132" i="48"/>
  <c r="AQ531" i="48"/>
  <c r="AP532" i="48"/>
  <c r="AQ819" i="48"/>
  <c r="AP820" i="48"/>
  <c r="AQ747" i="48"/>
  <c r="AP748" i="48"/>
  <c r="AP1324" i="48"/>
  <c r="AQ1323" i="48"/>
  <c r="AP1108" i="48"/>
  <c r="AP796" i="48"/>
  <c r="AQ795" i="48"/>
  <c r="AP892" i="48"/>
  <c r="AQ891" i="48"/>
  <c r="AQ963" i="48"/>
  <c r="AP964" i="48"/>
  <c r="AQ99" i="48"/>
  <c r="AP100" i="48"/>
  <c r="AQ75" i="48"/>
  <c r="AP76" i="48"/>
  <c r="AQ723" i="48"/>
  <c r="AP724" i="48"/>
  <c r="AQ939" i="48"/>
  <c r="AP940" i="48"/>
  <c r="AQ1035" i="48"/>
  <c r="AP1036" i="48"/>
  <c r="AQ411" i="48"/>
  <c r="AP412" i="48"/>
  <c r="AP52" i="48"/>
  <c r="AQ51" i="48"/>
  <c r="AP268" i="48"/>
  <c r="AQ267" i="48"/>
  <c r="V661" i="48"/>
  <c r="AC661" i="48" s="1"/>
  <c r="CQ683" i="48"/>
  <c r="CQ662" i="48"/>
  <c r="CQ664" i="48"/>
  <c r="CQ665" i="48"/>
  <c r="CQ669" i="48"/>
  <c r="CQ671" i="48"/>
  <c r="AC660" i="48"/>
  <c r="CQ666" i="48"/>
  <c r="CQ678" i="48"/>
  <c r="CQ672" i="48"/>
  <c r="CQ663" i="48"/>
  <c r="CQ668" i="48"/>
  <c r="CQ677" i="48"/>
  <c r="CQ667" i="48"/>
  <c r="CS43" i="48" s="1"/>
  <c r="CQ682" i="48"/>
  <c r="CQ673" i="48"/>
  <c r="CQ679" i="48"/>
  <c r="CQ674" i="48"/>
  <c r="CQ680" i="48"/>
  <c r="CQ661" i="48"/>
  <c r="CR661" i="48" s="1"/>
  <c r="CQ681" i="48"/>
  <c r="CQ670" i="48"/>
  <c r="CQ675" i="48"/>
  <c r="CQ676" i="48"/>
  <c r="AQ362" i="48" l="1"/>
  <c r="AP363" i="48"/>
  <c r="AP387" i="48"/>
  <c r="AQ386" i="48"/>
  <c r="AQ290" i="48"/>
  <c r="AP291" i="48"/>
  <c r="AP1155" i="48"/>
  <c r="AQ1154" i="48"/>
  <c r="AP627" i="48"/>
  <c r="AQ626" i="48"/>
  <c r="AP1203" i="48"/>
  <c r="AQ1202" i="48"/>
  <c r="AQ506" i="48"/>
  <c r="AP507" i="48"/>
  <c r="AP1059" i="48"/>
  <c r="AQ1058" i="48"/>
  <c r="AQ578" i="48"/>
  <c r="AP579" i="48"/>
  <c r="AQ1298" i="48"/>
  <c r="AP1299" i="48"/>
  <c r="AP315" i="48"/>
  <c r="AQ314" i="48"/>
  <c r="AQ914" i="48"/>
  <c r="AP915" i="48"/>
  <c r="AP219" i="48"/>
  <c r="AQ218" i="48"/>
  <c r="AQ1010" i="48"/>
  <c r="AP1011" i="48"/>
  <c r="AQ1226" i="48"/>
  <c r="AP1227" i="48"/>
  <c r="AQ194" i="48"/>
  <c r="AP195" i="48"/>
  <c r="AQ770" i="48"/>
  <c r="AP771" i="48"/>
  <c r="AQ986" i="48"/>
  <c r="AP987" i="48"/>
  <c r="AP555" i="48"/>
  <c r="AQ554" i="48"/>
  <c r="AQ602" i="48"/>
  <c r="AP603" i="48"/>
  <c r="AP243" i="48"/>
  <c r="AQ242" i="48"/>
  <c r="CS48" i="48"/>
  <c r="AQ412" i="48"/>
  <c r="AP413" i="48"/>
  <c r="AP1037" i="48"/>
  <c r="AQ1036" i="48"/>
  <c r="AQ940" i="48"/>
  <c r="AP941" i="48"/>
  <c r="AQ100" i="48"/>
  <c r="AP101" i="48"/>
  <c r="AQ1108" i="48"/>
  <c r="AP1109" i="48"/>
  <c r="AP821" i="48"/>
  <c r="AQ820" i="48"/>
  <c r="AP1133" i="48"/>
  <c r="AQ1132" i="48"/>
  <c r="AQ484" i="48"/>
  <c r="AP485" i="48"/>
  <c r="AQ652" i="48"/>
  <c r="AP653" i="48"/>
  <c r="AQ436" i="48"/>
  <c r="AP437" i="48"/>
  <c r="AP1253" i="48"/>
  <c r="AQ1252" i="48"/>
  <c r="AQ844" i="48"/>
  <c r="AP845" i="48"/>
  <c r="AP125" i="48"/>
  <c r="AQ124" i="48"/>
  <c r="AP173" i="48"/>
  <c r="AQ172" i="48"/>
  <c r="AP893" i="48"/>
  <c r="AQ892" i="48"/>
  <c r="AQ1324" i="48"/>
  <c r="AP1325" i="48"/>
  <c r="AQ148" i="48"/>
  <c r="AP149" i="48"/>
  <c r="AP1085" i="48"/>
  <c r="AQ1084" i="48"/>
  <c r="AP1181" i="48"/>
  <c r="AQ1180" i="48"/>
  <c r="AP725" i="48"/>
  <c r="AQ724" i="48"/>
  <c r="AQ76" i="48"/>
  <c r="AP77" i="48"/>
  <c r="AP965" i="48"/>
  <c r="AQ964" i="48"/>
  <c r="AQ748" i="48"/>
  <c r="AP749" i="48"/>
  <c r="AQ532" i="48"/>
  <c r="AP533" i="48"/>
  <c r="AP341" i="48"/>
  <c r="AQ340" i="48"/>
  <c r="AP1277" i="48"/>
  <c r="AQ1276" i="48"/>
  <c r="AQ868" i="48"/>
  <c r="AP869" i="48"/>
  <c r="AQ460" i="48"/>
  <c r="AP461" i="48"/>
  <c r="AP797" i="48"/>
  <c r="AQ796" i="48"/>
  <c r="AP701" i="48"/>
  <c r="AQ700" i="48"/>
  <c r="AP53" i="48"/>
  <c r="AQ52" i="48"/>
  <c r="AQ268" i="48"/>
  <c r="AP269" i="48"/>
  <c r="CS59" i="48"/>
  <c r="CT683" i="48"/>
  <c r="CS46" i="48"/>
  <c r="CS57" i="48"/>
  <c r="CS52" i="48"/>
  <c r="CS49" i="48"/>
  <c r="CS53" i="48"/>
  <c r="CS54" i="48"/>
  <c r="CS45" i="48"/>
  <c r="CS50" i="48"/>
  <c r="CS55" i="48"/>
  <c r="CS51" i="48"/>
  <c r="CS56" i="48"/>
  <c r="CS58" i="48"/>
  <c r="CS44" i="48"/>
  <c r="CR666" i="48"/>
  <c r="CS42" i="48"/>
  <c r="CS47" i="48"/>
  <c r="CR672" i="48"/>
  <c r="CR675" i="48"/>
  <c r="CR665" i="48"/>
  <c r="CR680" i="48"/>
  <c r="CR670" i="48"/>
  <c r="CR679" i="48"/>
  <c r="CR681" i="48"/>
  <c r="CR676" i="48"/>
  <c r="CR673" i="48"/>
  <c r="CR667" i="48"/>
  <c r="CR663" i="48"/>
  <c r="CR677" i="48"/>
  <c r="CR678" i="48"/>
  <c r="CR669" i="48"/>
  <c r="CR682" i="48"/>
  <c r="CR668" i="48"/>
  <c r="CR674" i="48"/>
  <c r="CR664" i="48"/>
  <c r="CR671" i="48"/>
  <c r="CR662" i="48"/>
  <c r="CT662" i="48"/>
  <c r="V662" i="48"/>
  <c r="AC662" i="48" s="1"/>
  <c r="CT671" i="48"/>
  <c r="CT664" i="48"/>
  <c r="CT676" i="48"/>
  <c r="CT674" i="48"/>
  <c r="CT679" i="48"/>
  <c r="CT682" i="48"/>
  <c r="CT681" i="48"/>
  <c r="CT669" i="48"/>
  <c r="CT675" i="48"/>
  <c r="CT668" i="48"/>
  <c r="CT665" i="48"/>
  <c r="CT678" i="48"/>
  <c r="CT667" i="48"/>
  <c r="CT666" i="48"/>
  <c r="CT677" i="48"/>
  <c r="CT680" i="48"/>
  <c r="CT673" i="48"/>
  <c r="CT672" i="48"/>
  <c r="CT663" i="48"/>
  <c r="CT670" i="48"/>
  <c r="CT661" i="48"/>
  <c r="AP364" i="48" l="1"/>
  <c r="AQ363" i="48"/>
  <c r="AP388" i="48"/>
  <c r="AQ387" i="48"/>
  <c r="AQ1155" i="48"/>
  <c r="AP1156" i="48"/>
  <c r="AQ291" i="48"/>
  <c r="AP292" i="48"/>
  <c r="AQ627" i="48"/>
  <c r="AP628" i="48"/>
  <c r="AQ771" i="48"/>
  <c r="AP772" i="48"/>
  <c r="AP580" i="48"/>
  <c r="AQ579" i="48"/>
  <c r="AP244" i="48"/>
  <c r="AQ243" i="48"/>
  <c r="AQ219" i="48"/>
  <c r="AP220" i="48"/>
  <c r="AP316" i="48"/>
  <c r="AQ315" i="48"/>
  <c r="AP1228" i="48"/>
  <c r="AQ1227" i="48"/>
  <c r="AP508" i="48"/>
  <c r="AQ507" i="48"/>
  <c r="AP556" i="48"/>
  <c r="AQ555" i="48"/>
  <c r="AP604" i="48"/>
  <c r="AQ603" i="48"/>
  <c r="AP988" i="48"/>
  <c r="AQ987" i="48"/>
  <c r="AP196" i="48"/>
  <c r="AQ195" i="48"/>
  <c r="AQ1011" i="48"/>
  <c r="AP1012" i="48"/>
  <c r="AQ915" i="48"/>
  <c r="AP916" i="48"/>
  <c r="AQ1299" i="48"/>
  <c r="AP1300" i="48"/>
  <c r="AQ1059" i="48"/>
  <c r="AP1060" i="48"/>
  <c r="AP1204" i="48"/>
  <c r="AQ1203" i="48"/>
  <c r="AQ461" i="48"/>
  <c r="AP462" i="48"/>
  <c r="AP870" i="48"/>
  <c r="AQ869" i="48"/>
  <c r="AP534" i="48"/>
  <c r="AQ533" i="48"/>
  <c r="AP78" i="48"/>
  <c r="AQ77" i="48"/>
  <c r="AQ1325" i="48"/>
  <c r="AP1326" i="48"/>
  <c r="AQ845" i="48"/>
  <c r="AP846" i="48"/>
  <c r="AQ653" i="48"/>
  <c r="AP654" i="48"/>
  <c r="AP486" i="48"/>
  <c r="AQ485" i="48"/>
  <c r="AP1110" i="48"/>
  <c r="AQ1109" i="48"/>
  <c r="AQ797" i="48"/>
  <c r="AP798" i="48"/>
  <c r="AP342" i="48"/>
  <c r="AQ341" i="48"/>
  <c r="AQ1085" i="48"/>
  <c r="AP1086" i="48"/>
  <c r="AP174" i="48"/>
  <c r="AQ173" i="48"/>
  <c r="AQ1133" i="48"/>
  <c r="AP1134" i="48"/>
  <c r="AQ1037" i="48"/>
  <c r="AP1038" i="48"/>
  <c r="AQ749" i="48"/>
  <c r="AP750" i="48"/>
  <c r="AQ149" i="48"/>
  <c r="AP150" i="48"/>
  <c r="AP438" i="48"/>
  <c r="AQ437" i="48"/>
  <c r="AQ101" i="48"/>
  <c r="AP102" i="48"/>
  <c r="AQ941" i="48"/>
  <c r="AP942" i="48"/>
  <c r="AQ413" i="48"/>
  <c r="AP414" i="48"/>
  <c r="AQ701" i="48"/>
  <c r="AP702" i="48"/>
  <c r="AQ1277" i="48"/>
  <c r="AP1278" i="48"/>
  <c r="AP966" i="48"/>
  <c r="AQ965" i="48"/>
  <c r="AP726" i="48"/>
  <c r="AQ725" i="48"/>
  <c r="AQ1181" i="48"/>
  <c r="AP1182" i="48"/>
  <c r="AQ893" i="48"/>
  <c r="AP894" i="48"/>
  <c r="AP126" i="48"/>
  <c r="AQ125" i="48"/>
  <c r="AP1254" i="48"/>
  <c r="AQ1253" i="48"/>
  <c r="AP822" i="48"/>
  <c r="AQ821" i="48"/>
  <c r="AQ269" i="48"/>
  <c r="AP270" i="48"/>
  <c r="AP54" i="48"/>
  <c r="AQ53" i="48"/>
  <c r="CU670" i="48"/>
  <c r="CY670" i="48" s="1"/>
  <c r="DH670" i="48" s="1"/>
  <c r="V670" i="48" s="1"/>
  <c r="CU680" i="48"/>
  <c r="CY680" i="48" s="1"/>
  <c r="DH680" i="48" s="1"/>
  <c r="V680" i="48" s="1"/>
  <c r="CU678" i="48"/>
  <c r="CY678" i="48" s="1"/>
  <c r="DH678" i="48" s="1"/>
  <c r="V678" i="48" s="1"/>
  <c r="CU669" i="48"/>
  <c r="CY669" i="48" s="1"/>
  <c r="DH669" i="48" s="1"/>
  <c r="V669" i="48" s="1"/>
  <c r="CU674" i="48"/>
  <c r="CY674" i="48" s="1"/>
  <c r="DH674" i="48" s="1"/>
  <c r="V674" i="48" s="1"/>
  <c r="CU667" i="48"/>
  <c r="CY667" i="48" s="1"/>
  <c r="DH667" i="48" s="1"/>
  <c r="V667" i="48" s="1"/>
  <c r="AC667" i="48" s="1"/>
  <c r="AE43" i="48" s="1"/>
  <c r="CU679" i="48"/>
  <c r="CY679" i="48" s="1"/>
  <c r="DH679" i="48" s="1"/>
  <c r="V679" i="48" s="1"/>
  <c r="CU683" i="48"/>
  <c r="CY683" i="48" s="1"/>
  <c r="DH683" i="48" s="1"/>
  <c r="CU663" i="48"/>
  <c r="CY663" i="48" s="1"/>
  <c r="DH663" i="48" s="1"/>
  <c r="V663" i="48" s="1"/>
  <c r="AC663" i="48" s="1"/>
  <c r="CU677" i="48"/>
  <c r="CY677" i="48" s="1"/>
  <c r="DH677" i="48" s="1"/>
  <c r="V677" i="48" s="1"/>
  <c r="CU665" i="48"/>
  <c r="CY665" i="48" s="1"/>
  <c r="DH665" i="48" s="1"/>
  <c r="V665" i="48" s="1"/>
  <c r="CU681" i="48"/>
  <c r="CY681" i="48" s="1"/>
  <c r="DH681" i="48" s="1"/>
  <c r="V681" i="48" s="1"/>
  <c r="CU676" i="48"/>
  <c r="CY676" i="48" s="1"/>
  <c r="DH676" i="48" s="1"/>
  <c r="V676" i="48" s="1"/>
  <c r="CU672" i="48"/>
  <c r="CY672" i="48" s="1"/>
  <c r="DH672" i="48" s="1"/>
  <c r="V672" i="48" s="1"/>
  <c r="CU666" i="48"/>
  <c r="CY666" i="48" s="1"/>
  <c r="DH666" i="48" s="1"/>
  <c r="V666" i="48" s="1"/>
  <c r="AC666" i="48" s="1"/>
  <c r="CU668" i="48"/>
  <c r="CY668" i="48" s="1"/>
  <c r="DH668" i="48" s="1"/>
  <c r="V668" i="48" s="1"/>
  <c r="CU682" i="48"/>
  <c r="CY682" i="48" s="1"/>
  <c r="DH682" i="48" s="1"/>
  <c r="V682" i="48" s="1"/>
  <c r="CU664" i="48"/>
  <c r="CY664" i="48" s="1"/>
  <c r="DH664" i="48" s="1"/>
  <c r="V664" i="48" s="1"/>
  <c r="AC664" i="48" s="1"/>
  <c r="CU673" i="48"/>
  <c r="CY673" i="48" s="1"/>
  <c r="DH673" i="48" s="1"/>
  <c r="V673" i="48" s="1"/>
  <c r="CU675" i="48"/>
  <c r="CY675" i="48" s="1"/>
  <c r="DH675" i="48" s="1"/>
  <c r="V675" i="48" s="1"/>
  <c r="CU671" i="48"/>
  <c r="CY671" i="48" s="1"/>
  <c r="DH671" i="48" s="1"/>
  <c r="V671" i="48" s="1"/>
  <c r="CS36" i="48"/>
  <c r="AP365" i="48" l="1"/>
  <c r="AQ364" i="48"/>
  <c r="AP389" i="48"/>
  <c r="AQ388" i="48"/>
  <c r="AQ292" i="48"/>
  <c r="AP293" i="48"/>
  <c r="AP1157" i="48"/>
  <c r="AQ1156" i="48"/>
  <c r="AP629" i="48"/>
  <c r="AQ628" i="48"/>
  <c r="AP1301" i="48"/>
  <c r="AQ1300" i="48"/>
  <c r="AQ1012" i="48"/>
  <c r="AP1013" i="48"/>
  <c r="AP221" i="48"/>
  <c r="AQ220" i="48"/>
  <c r="AP1205" i="48"/>
  <c r="AQ1204" i="48"/>
  <c r="AP989" i="48"/>
  <c r="AQ988" i="48"/>
  <c r="AQ556" i="48"/>
  <c r="AP557" i="48"/>
  <c r="AP1229" i="48"/>
  <c r="AQ1228" i="48"/>
  <c r="AQ580" i="48"/>
  <c r="AP581" i="48"/>
  <c r="AP1061" i="48"/>
  <c r="AQ1060" i="48"/>
  <c r="AP917" i="48"/>
  <c r="AQ916" i="48"/>
  <c r="AP773" i="48"/>
  <c r="AQ772" i="48"/>
  <c r="AP197" i="48"/>
  <c r="AQ196" i="48"/>
  <c r="AQ604" i="48"/>
  <c r="AP605" i="48"/>
  <c r="AP509" i="48"/>
  <c r="AQ508" i="48"/>
  <c r="AP317" i="48"/>
  <c r="AQ316" i="48"/>
  <c r="AP245" i="48"/>
  <c r="AQ244" i="48"/>
  <c r="AP1183" i="48"/>
  <c r="AQ1182" i="48"/>
  <c r="AP1279" i="48"/>
  <c r="AQ1278" i="48"/>
  <c r="AP703" i="48"/>
  <c r="AQ702" i="48"/>
  <c r="AQ414" i="48"/>
  <c r="AP415" i="48"/>
  <c r="AP103" i="48"/>
  <c r="AQ102" i="48"/>
  <c r="AP751" i="48"/>
  <c r="AQ750" i="48"/>
  <c r="AP1039" i="48"/>
  <c r="AQ1038" i="48"/>
  <c r="AP1087" i="48"/>
  <c r="AQ1086" i="48"/>
  <c r="AQ654" i="48"/>
  <c r="AP655" i="48"/>
  <c r="AP1327" i="48"/>
  <c r="AQ1326" i="48"/>
  <c r="AQ126" i="48"/>
  <c r="AP127" i="48"/>
  <c r="AP727" i="48"/>
  <c r="AQ726" i="48"/>
  <c r="AP439" i="48"/>
  <c r="AQ438" i="48"/>
  <c r="AP343" i="48"/>
  <c r="AQ342" i="48"/>
  <c r="AP1111" i="48"/>
  <c r="AQ1110" i="48"/>
  <c r="AP79" i="48"/>
  <c r="AQ78" i="48"/>
  <c r="AP535" i="48"/>
  <c r="AQ534" i="48"/>
  <c r="AP871" i="48"/>
  <c r="AQ870" i="48"/>
  <c r="AP895" i="48"/>
  <c r="AQ894" i="48"/>
  <c r="AP943" i="48"/>
  <c r="AQ942" i="48"/>
  <c r="AQ150" i="48"/>
  <c r="AP151" i="48"/>
  <c r="AP1135" i="48"/>
  <c r="AQ1134" i="48"/>
  <c r="AP799" i="48"/>
  <c r="AQ798" i="48"/>
  <c r="AP847" i="48"/>
  <c r="AQ846" i="48"/>
  <c r="AQ462" i="48"/>
  <c r="AP463" i="48"/>
  <c r="AQ822" i="48"/>
  <c r="AP823" i="48"/>
  <c r="AQ1254" i="48"/>
  <c r="AP1255" i="48"/>
  <c r="AP967" i="48"/>
  <c r="AQ966" i="48"/>
  <c r="AQ174" i="48"/>
  <c r="AP175" i="48"/>
  <c r="AP487" i="48"/>
  <c r="AQ486" i="48"/>
  <c r="AQ270" i="48"/>
  <c r="AP271" i="48"/>
  <c r="AP55" i="48"/>
  <c r="AQ54" i="48"/>
  <c r="AD667" i="48"/>
  <c r="AC682" i="48"/>
  <c r="AC675" i="48"/>
  <c r="AC668" i="48"/>
  <c r="AC681" i="48"/>
  <c r="V683" i="48"/>
  <c r="DJ683" i="48"/>
  <c r="AC669" i="48"/>
  <c r="AM669" i="48" s="1"/>
  <c r="AC665" i="48"/>
  <c r="AC679" i="48"/>
  <c r="AC678" i="48"/>
  <c r="AC673" i="48"/>
  <c r="AC672" i="48"/>
  <c r="AC677" i="48"/>
  <c r="AM677" i="48" s="1"/>
  <c r="AC680" i="48"/>
  <c r="AC671" i="48"/>
  <c r="AC676" i="48"/>
  <c r="AC674" i="48"/>
  <c r="AC670" i="48"/>
  <c r="CS37" i="48"/>
  <c r="AM666" i="48"/>
  <c r="AL666" i="48"/>
  <c r="AM667" i="48"/>
  <c r="AL667" i="48"/>
  <c r="AN666" i="48"/>
  <c r="AN667" i="48"/>
  <c r="AQ365" i="48" l="1"/>
  <c r="AP366" i="48"/>
  <c r="AP390" i="48"/>
  <c r="AQ389" i="48"/>
  <c r="AP1158" i="48"/>
  <c r="AQ1157" i="48"/>
  <c r="AP294" i="48"/>
  <c r="AQ293" i="48"/>
  <c r="AP630" i="48"/>
  <c r="AQ629" i="48"/>
  <c r="AP582" i="48"/>
  <c r="AQ581" i="48"/>
  <c r="AQ557" i="48"/>
  <c r="AP558" i="48"/>
  <c r="AP1014" i="48"/>
  <c r="AQ1013" i="48"/>
  <c r="AP246" i="48"/>
  <c r="AQ245" i="48"/>
  <c r="AQ509" i="48"/>
  <c r="AP510" i="48"/>
  <c r="AQ197" i="48"/>
  <c r="AP198" i="48"/>
  <c r="AP918" i="48"/>
  <c r="AQ917" i="48"/>
  <c r="AP1206" i="48"/>
  <c r="AQ1205" i="48"/>
  <c r="AQ605" i="48"/>
  <c r="AP606" i="48"/>
  <c r="AQ317" i="48"/>
  <c r="AP318" i="48"/>
  <c r="AP774" i="48"/>
  <c r="AQ773" i="48"/>
  <c r="AP1062" i="48"/>
  <c r="AQ1061" i="48"/>
  <c r="AQ1229" i="48"/>
  <c r="AP1230" i="48"/>
  <c r="AQ989" i="48"/>
  <c r="AP990" i="48"/>
  <c r="AP222" i="48"/>
  <c r="AQ221" i="48"/>
  <c r="AP1302" i="48"/>
  <c r="AQ1301" i="48"/>
  <c r="AO667" i="48"/>
  <c r="AL669" i="48"/>
  <c r="AN673" i="48"/>
  <c r="AG682" i="48"/>
  <c r="AL674" i="48"/>
  <c r="AQ175" i="48"/>
  <c r="AP176" i="48"/>
  <c r="AQ823" i="48"/>
  <c r="AP824" i="48"/>
  <c r="AP464" i="48"/>
  <c r="AQ463" i="48"/>
  <c r="AP416" i="48"/>
  <c r="AQ415" i="48"/>
  <c r="AL677" i="48"/>
  <c r="AL673" i="48"/>
  <c r="AL679" i="48"/>
  <c r="AN669" i="48"/>
  <c r="AN681" i="48"/>
  <c r="AN675" i="48"/>
  <c r="AQ487" i="48"/>
  <c r="AP488" i="48"/>
  <c r="AQ799" i="48"/>
  <c r="AP800" i="48"/>
  <c r="AP1136" i="48"/>
  <c r="AQ1135" i="48"/>
  <c r="AQ943" i="48"/>
  <c r="AP944" i="48"/>
  <c r="AQ535" i="48"/>
  <c r="AP536" i="48"/>
  <c r="AQ1111" i="48"/>
  <c r="AP1112" i="48"/>
  <c r="AQ727" i="48"/>
  <c r="AP728" i="48"/>
  <c r="AQ1327" i="48"/>
  <c r="AP1328" i="48"/>
  <c r="AP752" i="48"/>
  <c r="AQ751" i="48"/>
  <c r="AP1184" i="48"/>
  <c r="AQ1183" i="48"/>
  <c r="AN670" i="48"/>
  <c r="AL680" i="48"/>
  <c r="AQ1255" i="48"/>
  <c r="AP1256" i="48"/>
  <c r="AP152" i="48"/>
  <c r="AQ151" i="48"/>
  <c r="AQ127" i="48"/>
  <c r="AP128" i="48"/>
  <c r="AP656" i="48"/>
  <c r="AQ655" i="48"/>
  <c r="AL672" i="48"/>
  <c r="AM678" i="48"/>
  <c r="AN682" i="48"/>
  <c r="AQ967" i="48"/>
  <c r="AP968" i="48"/>
  <c r="AP848" i="48"/>
  <c r="AQ847" i="48"/>
  <c r="AP896" i="48"/>
  <c r="AQ895" i="48"/>
  <c r="AQ871" i="48"/>
  <c r="AP872" i="48"/>
  <c r="AQ79" i="48"/>
  <c r="AP80" i="48"/>
  <c r="AQ343" i="48"/>
  <c r="AP344" i="48"/>
  <c r="AQ439" i="48"/>
  <c r="AP440" i="48"/>
  <c r="AP1088" i="48"/>
  <c r="AQ1087" i="48"/>
  <c r="AP1040" i="48"/>
  <c r="AQ1039" i="48"/>
  <c r="AQ103" i="48"/>
  <c r="AP104" i="48"/>
  <c r="AQ703" i="48"/>
  <c r="AP704" i="48"/>
  <c r="AP1280" i="48"/>
  <c r="AQ1279" i="48"/>
  <c r="AQ271" i="48"/>
  <c r="AP272" i="48"/>
  <c r="AP56" i="48"/>
  <c r="AQ55" i="48"/>
  <c r="AN668" i="48"/>
  <c r="AN677" i="48"/>
  <c r="AN678" i="48"/>
  <c r="AM672" i="48"/>
  <c r="AN679" i="48"/>
  <c r="AM682" i="48"/>
  <c r="AN672" i="48"/>
  <c r="AN680" i="48"/>
  <c r="AL678" i="48"/>
  <c r="AM668" i="48"/>
  <c r="AG680" i="48"/>
  <c r="AL668" i="48"/>
  <c r="AL682" i="48"/>
  <c r="AM676" i="48"/>
  <c r="AN671" i="48"/>
  <c r="AM671" i="48"/>
  <c r="AN674" i="48"/>
  <c r="AG681" i="48"/>
  <c r="AD680" i="48"/>
  <c r="AM673" i="48"/>
  <c r="AM675" i="48"/>
  <c r="AM681" i="48"/>
  <c r="AM679" i="48"/>
  <c r="AL675" i="48"/>
  <c r="AL681" i="48"/>
  <c r="AD682" i="48"/>
  <c r="AG672" i="48"/>
  <c r="AD672" i="48"/>
  <c r="AG678" i="48"/>
  <c r="AD678" i="48"/>
  <c r="AG668" i="48"/>
  <c r="AD668" i="48"/>
  <c r="AG670" i="48"/>
  <c r="AD670" i="48"/>
  <c r="AG676" i="48"/>
  <c r="AD676" i="48"/>
  <c r="AL670" i="48"/>
  <c r="AN676" i="48"/>
  <c r="AG674" i="48"/>
  <c r="AD674" i="48"/>
  <c r="AG671" i="48"/>
  <c r="AD671" i="48"/>
  <c r="AM670" i="48"/>
  <c r="AM680" i="48"/>
  <c r="AL676" i="48"/>
  <c r="AL671" i="48"/>
  <c r="AM674" i="48"/>
  <c r="AG677" i="48"/>
  <c r="AD677" i="48"/>
  <c r="AG673" i="48"/>
  <c r="AD673" i="48"/>
  <c r="AG679" i="48"/>
  <c r="AD679" i="48"/>
  <c r="AG669" i="48"/>
  <c r="AD669" i="48"/>
  <c r="AD681" i="48"/>
  <c r="AG675" i="48"/>
  <c r="AD675" i="48"/>
  <c r="AP367" i="48" l="1"/>
  <c r="AQ366" i="48"/>
  <c r="AQ390" i="48"/>
  <c r="AP391" i="48"/>
  <c r="AP295" i="48"/>
  <c r="AQ294" i="48"/>
  <c r="AP1159" i="48"/>
  <c r="AQ1158" i="48"/>
  <c r="AP631" i="48"/>
  <c r="AQ630" i="48"/>
  <c r="AQ222" i="48"/>
  <c r="AP223" i="48"/>
  <c r="AP775" i="48"/>
  <c r="AQ774" i="48"/>
  <c r="AP919" i="48"/>
  <c r="AQ918" i="48"/>
  <c r="AP583" i="48"/>
  <c r="AQ582" i="48"/>
  <c r="AP991" i="48"/>
  <c r="AQ990" i="48"/>
  <c r="AQ318" i="48"/>
  <c r="AP319" i="48"/>
  <c r="AQ198" i="48"/>
  <c r="AP199" i="48"/>
  <c r="AQ558" i="48"/>
  <c r="AP559" i="48"/>
  <c r="AQ1230" i="48"/>
  <c r="AP1231" i="48"/>
  <c r="AP607" i="48"/>
  <c r="AQ606" i="48"/>
  <c r="AQ510" i="48"/>
  <c r="AP511" i="48"/>
  <c r="AP1015" i="48"/>
  <c r="AQ1014" i="48"/>
  <c r="AP1303" i="48"/>
  <c r="AQ1302" i="48"/>
  <c r="AP1063" i="48"/>
  <c r="AQ1062" i="48"/>
  <c r="AP1207" i="48"/>
  <c r="AQ1206" i="48"/>
  <c r="AQ246" i="48"/>
  <c r="AP247" i="48"/>
  <c r="AK669" i="48"/>
  <c r="BH45" i="48" s="1"/>
  <c r="AJ669" i="48"/>
  <c r="BG45" i="48" s="1"/>
  <c r="AJ681" i="48"/>
  <c r="BG57" i="48" s="1"/>
  <c r="AK681" i="48"/>
  <c r="BH57" i="48" s="1"/>
  <c r="AK682" i="48"/>
  <c r="BH58" i="48" s="1"/>
  <c r="AJ682" i="48"/>
  <c r="BG58" i="48" s="1"/>
  <c r="AJ675" i="48"/>
  <c r="BG51" i="48" s="1"/>
  <c r="AK675" i="48"/>
  <c r="BH51" i="48" s="1"/>
  <c r="AJ671" i="48"/>
  <c r="BG47" i="48" s="1"/>
  <c r="AK671" i="48"/>
  <c r="BH47" i="48" s="1"/>
  <c r="AK670" i="48"/>
  <c r="BH46" i="48" s="1"/>
  <c r="AJ670" i="48"/>
  <c r="BG46" i="48" s="1"/>
  <c r="AK678" i="48"/>
  <c r="BH54" i="48" s="1"/>
  <c r="AJ678" i="48"/>
  <c r="BG54" i="48" s="1"/>
  <c r="AK673" i="48"/>
  <c r="BH49" i="48" s="1"/>
  <c r="AJ673" i="48"/>
  <c r="BG49" i="48" s="1"/>
  <c r="AK679" i="48"/>
  <c r="BH55" i="48" s="1"/>
  <c r="AJ679" i="48"/>
  <c r="BG55" i="48" s="1"/>
  <c r="AJ677" i="48"/>
  <c r="BG53" i="48" s="1"/>
  <c r="AK677" i="48"/>
  <c r="BH53" i="48" s="1"/>
  <c r="AK674" i="48"/>
  <c r="BH50" i="48" s="1"/>
  <c r="AJ674" i="48"/>
  <c r="BG50" i="48" s="1"/>
  <c r="AK676" i="48"/>
  <c r="BH52" i="48" s="1"/>
  <c r="AJ676" i="48"/>
  <c r="BG52" i="48" s="1"/>
  <c r="AJ668" i="48"/>
  <c r="BG44" i="48" s="1"/>
  <c r="AK668" i="48"/>
  <c r="BH44" i="48" s="1"/>
  <c r="AK672" i="48"/>
  <c r="BH48" i="48" s="1"/>
  <c r="AJ672" i="48"/>
  <c r="BG48" i="48" s="1"/>
  <c r="AJ680" i="48"/>
  <c r="BG56" i="48" s="1"/>
  <c r="AK680" i="48"/>
  <c r="BH56" i="48" s="1"/>
  <c r="AO668" i="48"/>
  <c r="AP668" i="48" s="1"/>
  <c r="AQ668" i="48" s="1"/>
  <c r="AO678" i="48"/>
  <c r="AO671" i="48"/>
  <c r="AO669" i="48"/>
  <c r="AQ1280" i="48"/>
  <c r="AP1281" i="48"/>
  <c r="AQ1088" i="48"/>
  <c r="AP1089" i="48"/>
  <c r="AQ848" i="48"/>
  <c r="AP849" i="48"/>
  <c r="AO672" i="48"/>
  <c r="AQ656" i="48"/>
  <c r="AP657" i="48"/>
  <c r="AP153" i="48"/>
  <c r="AQ152" i="48"/>
  <c r="AO680" i="48"/>
  <c r="AP729" i="48"/>
  <c r="AQ728" i="48"/>
  <c r="AQ1112" i="48"/>
  <c r="AP1113" i="48"/>
  <c r="AQ488" i="48"/>
  <c r="AP489" i="48"/>
  <c r="AO676" i="48"/>
  <c r="AO670" i="48"/>
  <c r="AO681" i="48"/>
  <c r="AQ704" i="48"/>
  <c r="AP705" i="48"/>
  <c r="AQ440" i="48"/>
  <c r="AP441" i="48"/>
  <c r="AP81" i="48"/>
  <c r="AQ80" i="48"/>
  <c r="AP969" i="48"/>
  <c r="AQ968" i="48"/>
  <c r="AP129" i="48"/>
  <c r="AQ128" i="48"/>
  <c r="AQ1184" i="48"/>
  <c r="AP1185" i="48"/>
  <c r="AQ1136" i="48"/>
  <c r="AP1137" i="48"/>
  <c r="AO673" i="48"/>
  <c r="AQ464" i="48"/>
  <c r="AP465" i="48"/>
  <c r="AO675" i="48"/>
  <c r="AQ1040" i="48"/>
  <c r="AP1041" i="48"/>
  <c r="AQ896" i="48"/>
  <c r="AP897" i="48"/>
  <c r="AP1329" i="48"/>
  <c r="AQ1328" i="48"/>
  <c r="AQ536" i="48"/>
  <c r="AP537" i="48"/>
  <c r="AQ944" i="48"/>
  <c r="AP945" i="48"/>
  <c r="AQ800" i="48"/>
  <c r="AP801" i="48"/>
  <c r="AP825" i="48"/>
  <c r="AQ824" i="48"/>
  <c r="AQ176" i="48"/>
  <c r="AP177" i="48"/>
  <c r="AO674" i="48"/>
  <c r="AO682" i="48"/>
  <c r="AP105" i="48"/>
  <c r="AQ104" i="48"/>
  <c r="AP345" i="48"/>
  <c r="AQ344" i="48"/>
  <c r="AQ872" i="48"/>
  <c r="AP873" i="48"/>
  <c r="AP1257" i="48"/>
  <c r="AQ1256" i="48"/>
  <c r="AQ752" i="48"/>
  <c r="AP753" i="48"/>
  <c r="AO679" i="48"/>
  <c r="AO677" i="48"/>
  <c r="AP417" i="48"/>
  <c r="AQ416" i="48"/>
  <c r="AP57" i="48"/>
  <c r="AQ56" i="48"/>
  <c r="AQ272" i="48"/>
  <c r="AP273" i="48"/>
  <c r="AQ367" i="48" l="1"/>
  <c r="AP368" i="48"/>
  <c r="AQ391" i="48"/>
  <c r="AP392" i="48"/>
  <c r="AQ1159" i="48"/>
  <c r="AP1160" i="48"/>
  <c r="AQ295" i="48"/>
  <c r="AP296" i="48"/>
  <c r="AP632" i="48"/>
  <c r="AQ631" i="48"/>
  <c r="AQ247" i="48"/>
  <c r="AP248" i="48"/>
  <c r="AP560" i="48"/>
  <c r="AQ559" i="48"/>
  <c r="AP320" i="48"/>
  <c r="AQ319" i="48"/>
  <c r="AQ1063" i="48"/>
  <c r="AP1064" i="48"/>
  <c r="AQ1015" i="48"/>
  <c r="AP1016" i="48"/>
  <c r="AQ607" i="48"/>
  <c r="AP608" i="48"/>
  <c r="AQ583" i="48"/>
  <c r="AP584" i="48"/>
  <c r="AP776" i="48"/>
  <c r="AQ775" i="48"/>
  <c r="AP512" i="48"/>
  <c r="AQ511" i="48"/>
  <c r="AQ1231" i="48"/>
  <c r="AP1232" i="48"/>
  <c r="AP200" i="48"/>
  <c r="AQ199" i="48"/>
  <c r="AQ223" i="48"/>
  <c r="AP224" i="48"/>
  <c r="AQ1207" i="48"/>
  <c r="AP1208" i="48"/>
  <c r="AP1304" i="48"/>
  <c r="AQ1303" i="48"/>
  <c r="AP992" i="48"/>
  <c r="AQ991" i="48"/>
  <c r="AQ919" i="48"/>
  <c r="AP920" i="48"/>
  <c r="AP669" i="48"/>
  <c r="AQ669" i="48" s="1"/>
  <c r="AP418" i="48"/>
  <c r="AQ417" i="48"/>
  <c r="AP874" i="48"/>
  <c r="AQ873" i="48"/>
  <c r="AP178" i="48"/>
  <c r="AQ177" i="48"/>
  <c r="AQ1329" i="48"/>
  <c r="AP1330" i="48"/>
  <c r="AP970" i="48"/>
  <c r="AQ969" i="48"/>
  <c r="AP82" i="48"/>
  <c r="AQ81" i="48"/>
  <c r="AP1114" i="48"/>
  <c r="AQ1113" i="48"/>
  <c r="AQ1281" i="48"/>
  <c r="AP1282" i="48"/>
  <c r="AP106" i="48"/>
  <c r="AQ105" i="48"/>
  <c r="AQ945" i="48"/>
  <c r="AP946" i="48"/>
  <c r="AQ1041" i="48"/>
  <c r="AP1042" i="48"/>
  <c r="AQ465" i="48"/>
  <c r="AP466" i="48"/>
  <c r="AP442" i="48"/>
  <c r="AQ441" i="48"/>
  <c r="AQ1137" i="48"/>
  <c r="AP1138" i="48"/>
  <c r="AQ1185" i="48"/>
  <c r="AP1186" i="48"/>
  <c r="AP130" i="48"/>
  <c r="AQ129" i="48"/>
  <c r="AP490" i="48"/>
  <c r="AQ489" i="48"/>
  <c r="AP154" i="48"/>
  <c r="AQ153" i="48"/>
  <c r="AP850" i="48"/>
  <c r="AQ849" i="48"/>
  <c r="AQ1089" i="48"/>
  <c r="AP1090" i="48"/>
  <c r="AP754" i="48"/>
  <c r="AQ753" i="48"/>
  <c r="AP1258" i="48"/>
  <c r="AQ1257" i="48"/>
  <c r="AP346" i="48"/>
  <c r="AQ345" i="48"/>
  <c r="AP826" i="48"/>
  <c r="AQ825" i="48"/>
  <c r="AP802" i="48"/>
  <c r="AQ801" i="48"/>
  <c r="AP538" i="48"/>
  <c r="AQ537" i="48"/>
  <c r="AP898" i="48"/>
  <c r="AQ897" i="48"/>
  <c r="AP706" i="48"/>
  <c r="AQ705" i="48"/>
  <c r="AP730" i="48"/>
  <c r="AQ729" i="48"/>
  <c r="AQ657" i="48"/>
  <c r="AP658" i="48"/>
  <c r="AQ273" i="48"/>
  <c r="AP274" i="48"/>
  <c r="AP58" i="48"/>
  <c r="AQ57" i="48"/>
  <c r="CH668" i="48"/>
  <c r="AP369" i="48" l="1"/>
  <c r="AQ368" i="48"/>
  <c r="AP393" i="48"/>
  <c r="AQ392" i="48"/>
  <c r="AQ296" i="48"/>
  <c r="AP297" i="48"/>
  <c r="AQ1160" i="48"/>
  <c r="AP1161" i="48"/>
  <c r="AP633" i="48"/>
  <c r="AQ632" i="48"/>
  <c r="AP921" i="48"/>
  <c r="AQ920" i="48"/>
  <c r="AP1065" i="48"/>
  <c r="AQ1064" i="48"/>
  <c r="AQ1304" i="48"/>
  <c r="AP1305" i="48"/>
  <c r="AP777" i="48"/>
  <c r="AQ776" i="48"/>
  <c r="AP561" i="48"/>
  <c r="AQ560" i="48"/>
  <c r="AQ608" i="48"/>
  <c r="AP609" i="48"/>
  <c r="AQ1208" i="48"/>
  <c r="AP1209" i="48"/>
  <c r="AQ584" i="48"/>
  <c r="AP585" i="48"/>
  <c r="AQ1016" i="48"/>
  <c r="AP1017" i="48"/>
  <c r="AP249" i="48"/>
  <c r="AQ248" i="48"/>
  <c r="AP225" i="48"/>
  <c r="AQ224" i="48"/>
  <c r="AP1233" i="48"/>
  <c r="AQ1232" i="48"/>
  <c r="AQ992" i="48"/>
  <c r="AP993" i="48"/>
  <c r="AP201" i="48"/>
  <c r="AQ200" i="48"/>
  <c r="AQ512" i="48"/>
  <c r="AP513" i="48"/>
  <c r="AQ320" i="48"/>
  <c r="AP321" i="48"/>
  <c r="AP670" i="48"/>
  <c r="AQ658" i="48"/>
  <c r="AQ1138" i="48"/>
  <c r="AQ1042" i="48"/>
  <c r="AQ946" i="48"/>
  <c r="AQ1282" i="48"/>
  <c r="AQ1330" i="48"/>
  <c r="AQ538" i="48"/>
  <c r="AQ346" i="48"/>
  <c r="AQ754" i="48"/>
  <c r="AQ850" i="48"/>
  <c r="AQ442" i="48"/>
  <c r="AQ1114" i="48"/>
  <c r="AQ970" i="48"/>
  <c r="AQ874" i="48"/>
  <c r="AQ418" i="48"/>
  <c r="AQ1090" i="48"/>
  <c r="AQ1186" i="48"/>
  <c r="AQ466" i="48"/>
  <c r="AQ730" i="48"/>
  <c r="AQ706" i="48"/>
  <c r="AQ898" i="48"/>
  <c r="AQ802" i="48"/>
  <c r="AQ826" i="48"/>
  <c r="AQ1258" i="48"/>
  <c r="AQ154" i="48"/>
  <c r="AQ490" i="48"/>
  <c r="AQ130" i="48"/>
  <c r="AQ106" i="48"/>
  <c r="AQ82" i="48"/>
  <c r="AQ178" i="48"/>
  <c r="AQ58" i="48"/>
  <c r="AQ274" i="48"/>
  <c r="CH44" i="48"/>
  <c r="AQ369" i="48" l="1"/>
  <c r="AP370" i="48"/>
  <c r="AQ370" i="48" s="1"/>
  <c r="AQ393" i="48"/>
  <c r="AP394" i="48"/>
  <c r="AQ394" i="48" s="1"/>
  <c r="AP298" i="48"/>
  <c r="AQ297" i="48"/>
  <c r="AP1162" i="48"/>
  <c r="AQ1162" i="48" s="1"/>
  <c r="AQ1161" i="48"/>
  <c r="AQ633" i="48"/>
  <c r="AP634" i="48"/>
  <c r="AQ634" i="48" s="1"/>
  <c r="AQ321" i="48"/>
  <c r="AP322" i="48"/>
  <c r="AQ322" i="48" s="1"/>
  <c r="AQ609" i="48"/>
  <c r="AP610" i="48"/>
  <c r="AQ610" i="48" s="1"/>
  <c r="AP202" i="48"/>
  <c r="AQ202" i="48" s="1"/>
  <c r="AQ201" i="48"/>
  <c r="AP586" i="48"/>
  <c r="AQ586" i="48" s="1"/>
  <c r="AQ585" i="48"/>
  <c r="AP1234" i="48"/>
  <c r="AQ1234" i="48" s="1"/>
  <c r="AQ1233" i="48"/>
  <c r="AQ777" i="48"/>
  <c r="AP778" i="48"/>
  <c r="AQ778" i="48" s="1"/>
  <c r="AQ513" i="48"/>
  <c r="AP514" i="48"/>
  <c r="AQ514" i="48" s="1"/>
  <c r="AP994" i="48"/>
  <c r="AQ994" i="48" s="1"/>
  <c r="AQ993" i="48"/>
  <c r="AQ1017" i="48"/>
  <c r="AP1018" i="48"/>
  <c r="AQ1018" i="48" s="1"/>
  <c r="AP1210" i="48"/>
  <c r="AQ1210" i="48" s="1"/>
  <c r="AQ1209" i="48"/>
  <c r="AP1306" i="48"/>
  <c r="AQ1306" i="48" s="1"/>
  <c r="AQ1305" i="48"/>
  <c r="AQ249" i="48"/>
  <c r="AP250" i="48"/>
  <c r="AQ250" i="48" s="1"/>
  <c r="AQ1065" i="48"/>
  <c r="AP1066" i="48"/>
  <c r="AQ1066" i="48" s="1"/>
  <c r="AP226" i="48"/>
  <c r="AQ226" i="48" s="1"/>
  <c r="AQ225" i="48"/>
  <c r="AQ561" i="48"/>
  <c r="AP562" i="48"/>
  <c r="AQ562" i="48" s="1"/>
  <c r="AP922" i="48"/>
  <c r="AQ922" i="48" s="1"/>
  <c r="AQ921" i="48"/>
  <c r="AQ670" i="48"/>
  <c r="AP671" i="48"/>
  <c r="AQ298" i="48" l="1"/>
  <c r="AP299" i="48"/>
  <c r="AQ299" i="48" s="1"/>
  <c r="AP672" i="48"/>
  <c r="AQ671" i="48"/>
  <c r="AQ276" i="48" l="1"/>
  <c r="AP673" i="48"/>
  <c r="AQ672" i="48"/>
  <c r="J779" i="48"/>
  <c r="AQ673" i="48" l="1"/>
  <c r="AP674" i="48"/>
  <c r="K779" i="48"/>
  <c r="L779" i="48" s="1"/>
  <c r="P779" i="48"/>
  <c r="Q779" i="48" s="1"/>
  <c r="R779" i="48" s="1"/>
  <c r="J83" i="48"/>
  <c r="K83" i="48" s="1"/>
  <c r="L83" i="48" s="1"/>
  <c r="J1091" i="48"/>
  <c r="J1259" i="48"/>
  <c r="J395" i="48"/>
  <c r="J1163" i="48"/>
  <c r="J467" i="48"/>
  <c r="J203" i="48"/>
  <c r="J131" i="48"/>
  <c r="J1283" i="48"/>
  <c r="J803" i="48"/>
  <c r="J875" i="48"/>
  <c r="J923" i="48"/>
  <c r="J1187" i="48"/>
  <c r="J659" i="48"/>
  <c r="J1307" i="48"/>
  <c r="J587" i="48"/>
  <c r="J1235" i="48"/>
  <c r="J683" i="48"/>
  <c r="J1211" i="48"/>
  <c r="J947" i="48"/>
  <c r="K947" i="48" s="1"/>
  <c r="L947" i="48" s="1"/>
  <c r="J227" i="48"/>
  <c r="J1115" i="48"/>
  <c r="J827" i="48"/>
  <c r="J155" i="48"/>
  <c r="J755" i="48"/>
  <c r="J491" i="48"/>
  <c r="K491" i="48" s="1"/>
  <c r="L491" i="48" s="1"/>
  <c r="J971" i="48"/>
  <c r="J707" i="48"/>
  <c r="J1043" i="48"/>
  <c r="J851" i="48"/>
  <c r="J611" i="48"/>
  <c r="J995" i="48"/>
  <c r="J371" i="48"/>
  <c r="J1331" i="48"/>
  <c r="J731" i="48"/>
  <c r="J515" i="48"/>
  <c r="K515" i="48" s="1"/>
  <c r="L515" i="48" s="1"/>
  <c r="J1019" i="48"/>
  <c r="J635" i="48"/>
  <c r="K635" i="48" s="1"/>
  <c r="L635" i="48" s="1"/>
  <c r="J419" i="48"/>
  <c r="J563" i="48"/>
  <c r="J275" i="48"/>
  <c r="J1139" i="48"/>
  <c r="J539" i="48"/>
  <c r="K539" i="48" s="1"/>
  <c r="L539" i="48" s="1"/>
  <c r="J323" i="48"/>
  <c r="J443" i="48"/>
  <c r="K443" i="48" s="1"/>
  <c r="L443" i="48" s="1"/>
  <c r="J179" i="48"/>
  <c r="J107" i="48"/>
  <c r="J251" i="48"/>
  <c r="J899" i="48"/>
  <c r="J347" i="48"/>
  <c r="J59" i="48"/>
  <c r="AP675" i="48" l="1"/>
  <c r="AQ674" i="48"/>
  <c r="AC779" i="48"/>
  <c r="K707" i="48"/>
  <c r="L707" i="48" s="1"/>
  <c r="K971" i="48"/>
  <c r="L971" i="48" s="1"/>
  <c r="K347" i="48"/>
  <c r="L347" i="48" s="1"/>
  <c r="K1139" i="48"/>
  <c r="L1139" i="48" s="1"/>
  <c r="K1331" i="48"/>
  <c r="L1331" i="48" s="1"/>
  <c r="K683" i="48"/>
  <c r="L683" i="48" s="1"/>
  <c r="K875" i="48"/>
  <c r="L875" i="48" s="1"/>
  <c r="K1259" i="48"/>
  <c r="L1259" i="48" s="1"/>
  <c r="K323" i="48"/>
  <c r="L323" i="48" s="1"/>
  <c r="K731" i="48"/>
  <c r="L731" i="48" s="1"/>
  <c r="K395" i="48"/>
  <c r="L395" i="48" s="1"/>
  <c r="K899" i="48"/>
  <c r="L899" i="48" s="1"/>
  <c r="K275" i="48"/>
  <c r="L275" i="48" s="1"/>
  <c r="K371" i="48"/>
  <c r="L371" i="48" s="1"/>
  <c r="K755" i="48"/>
  <c r="L755" i="48" s="1"/>
  <c r="K1235" i="48"/>
  <c r="L1235" i="48" s="1"/>
  <c r="K803" i="48"/>
  <c r="L803" i="48" s="1"/>
  <c r="K1091" i="48"/>
  <c r="L1091" i="48" s="1"/>
  <c r="K59" i="48"/>
  <c r="K923" i="48"/>
  <c r="L923" i="48" s="1"/>
  <c r="K251" i="48"/>
  <c r="L251" i="48" s="1"/>
  <c r="K563" i="48"/>
  <c r="L563" i="48" s="1"/>
  <c r="K995" i="48"/>
  <c r="L995" i="48" s="1"/>
  <c r="K155" i="48"/>
  <c r="L155" i="48" s="1"/>
  <c r="K587" i="48"/>
  <c r="L587" i="48" s="1"/>
  <c r="K1283" i="48"/>
  <c r="L1283" i="48" s="1"/>
  <c r="K1019" i="48"/>
  <c r="L1019" i="48" s="1"/>
  <c r="K1211" i="48"/>
  <c r="L1211" i="48" s="1"/>
  <c r="K419" i="48"/>
  <c r="L419" i="48" s="1"/>
  <c r="K827" i="48"/>
  <c r="L827" i="48" s="1"/>
  <c r="K1067" i="48"/>
  <c r="L1067" i="48" s="1"/>
  <c r="K131" i="48"/>
  <c r="L131" i="48" s="1"/>
  <c r="K107" i="48"/>
  <c r="L107" i="48" s="1"/>
  <c r="K611" i="48"/>
  <c r="L611" i="48" s="1"/>
  <c r="K179" i="48"/>
  <c r="L179" i="48" s="1"/>
  <c r="K851" i="48"/>
  <c r="L851" i="48" s="1"/>
  <c r="K1115" i="48"/>
  <c r="L1115" i="48" s="1"/>
  <c r="K1307" i="48"/>
  <c r="L1307" i="48" s="1"/>
  <c r="K203" i="48"/>
  <c r="L203" i="48" s="1"/>
  <c r="K1043" i="48"/>
  <c r="L1043" i="48" s="1"/>
  <c r="K227" i="48"/>
  <c r="L227" i="48" s="1"/>
  <c r="K659" i="48"/>
  <c r="L659" i="48" s="1"/>
  <c r="K467" i="48"/>
  <c r="L467" i="48" s="1"/>
  <c r="K1187" i="48"/>
  <c r="L1187" i="48" s="1"/>
  <c r="K1163" i="48"/>
  <c r="L1163" i="48" s="1"/>
  <c r="P563" i="48"/>
  <c r="P1211" i="48"/>
  <c r="P1235" i="48"/>
  <c r="P875" i="48"/>
  <c r="P59" i="48"/>
  <c r="P395" i="48"/>
  <c r="P707" i="48"/>
  <c r="P1091" i="48"/>
  <c r="P995" i="48"/>
  <c r="Q995" i="48" s="1"/>
  <c r="R995" i="48" s="1"/>
  <c r="P467" i="48"/>
  <c r="AC467" i="48" s="1"/>
  <c r="P83" i="48"/>
  <c r="P131" i="48"/>
  <c r="P203" i="48"/>
  <c r="Q203" i="48" s="1"/>
  <c r="R203" i="48" s="1"/>
  <c r="P1019" i="48"/>
  <c r="Q1019" i="48" s="1"/>
  <c r="R1019" i="48" s="1"/>
  <c r="P611" i="48"/>
  <c r="AC611" i="48" s="1"/>
  <c r="P899" i="48"/>
  <c r="Q899" i="48" s="1"/>
  <c r="R899" i="48" s="1"/>
  <c r="P275" i="48"/>
  <c r="Q275" i="48" s="1"/>
  <c r="R275" i="48" s="1"/>
  <c r="P1259" i="48"/>
  <c r="P1043" i="48"/>
  <c r="Q1043" i="48" s="1"/>
  <c r="R1043" i="48" s="1"/>
  <c r="P827" i="48"/>
  <c r="P923" i="48"/>
  <c r="P539" i="48"/>
  <c r="P947" i="48"/>
  <c r="P107" i="48"/>
  <c r="Q107" i="48" s="1"/>
  <c r="R107" i="48" s="1"/>
  <c r="P371" i="48"/>
  <c r="Q371" i="48" s="1"/>
  <c r="R371" i="48" s="1"/>
  <c r="P155" i="48"/>
  <c r="AC155" i="48" s="1"/>
  <c r="AG155" i="48" s="1"/>
  <c r="P443" i="48"/>
  <c r="P515" i="48"/>
  <c r="P971" i="48"/>
  <c r="Q971" i="48" s="1"/>
  <c r="R971" i="48" s="1"/>
  <c r="P659" i="48"/>
  <c r="Q659" i="48" s="1"/>
  <c r="R659" i="48" s="1"/>
  <c r="P803" i="48"/>
  <c r="Q803" i="48" s="1"/>
  <c r="R803" i="48" s="1"/>
  <c r="P323" i="48"/>
  <c r="P731" i="48"/>
  <c r="Q731" i="48" s="1"/>
  <c r="R731" i="48" s="1"/>
  <c r="P227" i="48"/>
  <c r="P1187" i="48"/>
  <c r="P1283" i="48"/>
  <c r="P1163" i="48"/>
  <c r="AC1163" i="48" s="1"/>
  <c r="P251" i="48"/>
  <c r="Q251" i="48" s="1"/>
  <c r="R251" i="48" s="1"/>
  <c r="P419" i="48"/>
  <c r="AC419" i="48" s="1"/>
  <c r="P755" i="48"/>
  <c r="P587" i="48"/>
  <c r="Q587" i="48" s="1"/>
  <c r="R587" i="48" s="1"/>
  <c r="P347" i="48"/>
  <c r="P179" i="48"/>
  <c r="Q179" i="48" s="1"/>
  <c r="R179" i="48" s="1"/>
  <c r="P1139" i="48"/>
  <c r="P635" i="48"/>
  <c r="P1331" i="48"/>
  <c r="P851" i="48"/>
  <c r="Q851" i="48" s="1"/>
  <c r="R851" i="48" s="1"/>
  <c r="P491" i="48"/>
  <c r="P1115" i="48"/>
  <c r="P683" i="48"/>
  <c r="P1307" i="48"/>
  <c r="AK155" i="48" l="1"/>
  <c r="AJ155" i="48"/>
  <c r="AQ675" i="48"/>
  <c r="AP676" i="48"/>
  <c r="AC59" i="48"/>
  <c r="AG59" i="48" s="1"/>
  <c r="BL67" i="48" s="1"/>
  <c r="BM67" i="48" s="1"/>
  <c r="AD611" i="48"/>
  <c r="AD1163" i="48"/>
  <c r="AD155" i="48"/>
  <c r="AD467" i="48"/>
  <c r="AD419" i="48"/>
  <c r="AL779" i="48"/>
  <c r="AD779" i="48"/>
  <c r="AG779" i="48"/>
  <c r="AN779" i="48"/>
  <c r="AM779" i="48"/>
  <c r="AC1043" i="48"/>
  <c r="AC1019" i="48"/>
  <c r="AG419" i="48"/>
  <c r="BL66" i="48" s="1"/>
  <c r="BM66" i="48" s="1"/>
  <c r="AN419" i="48"/>
  <c r="AL419" i="48"/>
  <c r="AN611" i="48"/>
  <c r="AG611" i="48"/>
  <c r="AL611" i="48"/>
  <c r="AC491" i="48"/>
  <c r="Q491" i="48"/>
  <c r="R491" i="48" s="1"/>
  <c r="AC947" i="48"/>
  <c r="Q947" i="48"/>
  <c r="R947" i="48" s="1"/>
  <c r="AC251" i="48"/>
  <c r="Q1163" i="48"/>
  <c r="R1163" i="48" s="1"/>
  <c r="AM1163" i="48"/>
  <c r="AC539" i="48"/>
  <c r="Q539" i="48"/>
  <c r="R539" i="48" s="1"/>
  <c r="Q395" i="48"/>
  <c r="R395" i="48" s="1"/>
  <c r="AC899" i="48"/>
  <c r="Q1331" i="48"/>
  <c r="R1331" i="48" s="1"/>
  <c r="AC707" i="48"/>
  <c r="Q707" i="48"/>
  <c r="R707" i="48" s="1"/>
  <c r="AN1163" i="48"/>
  <c r="AG1163" i="48"/>
  <c r="AN467" i="48"/>
  <c r="AG467" i="48"/>
  <c r="AN155" i="48"/>
  <c r="AC635" i="48"/>
  <c r="Q635" i="48"/>
  <c r="R635" i="48" s="1"/>
  <c r="Q1139" i="48"/>
  <c r="R1139" i="48" s="1"/>
  <c r="AC1283" i="48"/>
  <c r="Q1283" i="48"/>
  <c r="R1283" i="48" s="1"/>
  <c r="AC515" i="48"/>
  <c r="Q515" i="48"/>
  <c r="R515" i="48" s="1"/>
  <c r="Q923" i="48"/>
  <c r="R923" i="48" s="1"/>
  <c r="Q59" i="48"/>
  <c r="AC851" i="48"/>
  <c r="AC323" i="48"/>
  <c r="Q323" i="48"/>
  <c r="R323" i="48" s="1"/>
  <c r="Q611" i="48"/>
  <c r="R611" i="48" s="1"/>
  <c r="AM611" i="48"/>
  <c r="AC1307" i="48"/>
  <c r="Q1307" i="48"/>
  <c r="R1307" i="48" s="1"/>
  <c r="AC1187" i="48"/>
  <c r="Q1187" i="48"/>
  <c r="R1187" i="48" s="1"/>
  <c r="AC443" i="48"/>
  <c r="Q443" i="48"/>
  <c r="R443" i="48" s="1"/>
  <c r="AC827" i="48"/>
  <c r="Q827" i="48"/>
  <c r="R827" i="48" s="1"/>
  <c r="AC131" i="48"/>
  <c r="Q131" i="48"/>
  <c r="R131" i="48" s="1"/>
  <c r="AC875" i="48"/>
  <c r="Q875" i="48"/>
  <c r="R875" i="48" s="1"/>
  <c r="AC659" i="48"/>
  <c r="AC203" i="48"/>
  <c r="AC995" i="48"/>
  <c r="AC923" i="48"/>
  <c r="AC371" i="48"/>
  <c r="AC1331" i="48"/>
  <c r="AC971" i="48"/>
  <c r="Q683" i="48"/>
  <c r="R683" i="48" s="1"/>
  <c r="AC347" i="48"/>
  <c r="Q347" i="48"/>
  <c r="R347" i="48" s="1"/>
  <c r="AC227" i="48"/>
  <c r="Q227" i="48"/>
  <c r="R227" i="48" s="1"/>
  <c r="AC1067" i="48"/>
  <c r="AE59" i="48" s="1"/>
  <c r="P1389" i="48" s="1"/>
  <c r="Q1067" i="48"/>
  <c r="R1067" i="48" s="1"/>
  <c r="AC83" i="48"/>
  <c r="Q83" i="48"/>
  <c r="R83" i="48" s="1"/>
  <c r="AC1235" i="48"/>
  <c r="Q1235" i="48"/>
  <c r="R1235" i="48" s="1"/>
  <c r="AC803" i="48"/>
  <c r="AC395" i="48"/>
  <c r="AC755" i="48"/>
  <c r="Q755" i="48"/>
  <c r="R755" i="48" s="1"/>
  <c r="AC1115" i="48"/>
  <c r="Q1115" i="48"/>
  <c r="R1115" i="48" s="1"/>
  <c r="Q155" i="48"/>
  <c r="R155" i="48" s="1"/>
  <c r="AM155" i="48"/>
  <c r="AC1259" i="48"/>
  <c r="Q1259" i="48"/>
  <c r="R1259" i="48" s="1"/>
  <c r="Q467" i="48"/>
  <c r="R467" i="48" s="1"/>
  <c r="AM467" i="48"/>
  <c r="AC1211" i="48"/>
  <c r="Q1211" i="48"/>
  <c r="R1211" i="48" s="1"/>
  <c r="AC179" i="48"/>
  <c r="AC587" i="48"/>
  <c r="AC563" i="48"/>
  <c r="Q563" i="48"/>
  <c r="R563" i="48" s="1"/>
  <c r="AC275" i="48"/>
  <c r="AC1139" i="48"/>
  <c r="Q419" i="48"/>
  <c r="R419" i="48" s="1"/>
  <c r="AM419" i="48"/>
  <c r="AC107" i="48"/>
  <c r="AC1091" i="48"/>
  <c r="Q1091" i="48"/>
  <c r="R1091" i="48" s="1"/>
  <c r="AL1163" i="48"/>
  <c r="AL467" i="48"/>
  <c r="AL155" i="48"/>
  <c r="L59" i="48"/>
  <c r="AC731" i="48"/>
  <c r="AC683" i="48"/>
  <c r="AK1163" i="48" l="1"/>
  <c r="AJ1163" i="48"/>
  <c r="AK611" i="48"/>
  <c r="AJ611" i="48"/>
  <c r="AK419" i="48"/>
  <c r="AJ419" i="48"/>
  <c r="AK467" i="48"/>
  <c r="AJ467" i="48"/>
  <c r="AK779" i="48"/>
  <c r="AJ779" i="48"/>
  <c r="AK59" i="48"/>
  <c r="AJ59" i="48"/>
  <c r="AN59" i="48"/>
  <c r="AN40" i="48" s="1"/>
  <c r="AQ676" i="48"/>
  <c r="AP677" i="48"/>
  <c r="AL59" i="48"/>
  <c r="AL40" i="48" s="1"/>
  <c r="AM59" i="48"/>
  <c r="AM40" i="48" s="1"/>
  <c r="AD59" i="48"/>
  <c r="AD587" i="48"/>
  <c r="AD707" i="48"/>
  <c r="AM1043" i="48"/>
  <c r="AD683" i="48"/>
  <c r="AD179" i="48"/>
  <c r="AD1067" i="48"/>
  <c r="AD371" i="48"/>
  <c r="AD659" i="48"/>
  <c r="AD731" i="48"/>
  <c r="AD107" i="48"/>
  <c r="AD275" i="48"/>
  <c r="AD851" i="48"/>
  <c r="AD899" i="48"/>
  <c r="AD947" i="48"/>
  <c r="AD203" i="48"/>
  <c r="AD251" i="48"/>
  <c r="AD539" i="48"/>
  <c r="AD1211" i="48"/>
  <c r="AD803" i="48"/>
  <c r="AD971" i="48"/>
  <c r="AD995" i="48"/>
  <c r="AD827" i="48"/>
  <c r="AO155" i="48"/>
  <c r="AP155" i="48" s="1"/>
  <c r="AQ155" i="48" s="1"/>
  <c r="AQ132" i="48" s="1"/>
  <c r="AO1163" i="48"/>
  <c r="AP1163" i="48" s="1"/>
  <c r="AQ1163" i="48" s="1"/>
  <c r="AQ1140" i="48" s="1"/>
  <c r="AO467" i="48"/>
  <c r="AP467" i="48" s="1"/>
  <c r="AQ467" i="48" s="1"/>
  <c r="AQ444" i="48" s="1"/>
  <c r="AO419" i="48"/>
  <c r="AP419" i="48" s="1"/>
  <c r="AQ419" i="48" s="1"/>
  <c r="AQ396" i="48" s="1"/>
  <c r="AO611" i="48"/>
  <c r="AP611" i="48" s="1"/>
  <c r="AQ611" i="48" s="1"/>
  <c r="AQ588" i="48" s="1"/>
  <c r="AO779" i="48"/>
  <c r="AP779" i="48" s="1"/>
  <c r="AQ779" i="48" s="1"/>
  <c r="AQ756" i="48" s="1"/>
  <c r="AG1019" i="48"/>
  <c r="AD1019" i="48"/>
  <c r="AL1019" i="48"/>
  <c r="AM1091" i="48"/>
  <c r="AD1091" i="48"/>
  <c r="AM1139" i="48"/>
  <c r="AD1139" i="48"/>
  <c r="AM755" i="48"/>
  <c r="AD755" i="48"/>
  <c r="AM1235" i="48"/>
  <c r="AD1235" i="48"/>
  <c r="AM347" i="48"/>
  <c r="AD347" i="48"/>
  <c r="AM131" i="48"/>
  <c r="AD131" i="48"/>
  <c r="AM443" i="48"/>
  <c r="AD443" i="48"/>
  <c r="AM1307" i="48"/>
  <c r="AD1307" i="48"/>
  <c r="AM323" i="48"/>
  <c r="AD323" i="48"/>
  <c r="AM1283" i="48"/>
  <c r="AD1283" i="48"/>
  <c r="AN1019" i="48"/>
  <c r="AM491" i="48"/>
  <c r="AD491" i="48"/>
  <c r="AL1043" i="48"/>
  <c r="AD1043" i="48"/>
  <c r="AM635" i="48"/>
  <c r="AD635" i="48"/>
  <c r="AM395" i="48"/>
  <c r="AD395" i="48"/>
  <c r="AM923" i="48"/>
  <c r="AD923" i="48"/>
  <c r="AM1331" i="48"/>
  <c r="AD1331" i="48"/>
  <c r="AM563" i="48"/>
  <c r="AD563" i="48"/>
  <c r="AM1259" i="48"/>
  <c r="AD1259" i="48"/>
  <c r="AM1115" i="48"/>
  <c r="AD1115" i="48"/>
  <c r="AD83" i="48"/>
  <c r="AM227" i="48"/>
  <c r="AD227" i="48"/>
  <c r="AM875" i="48"/>
  <c r="AD875" i="48"/>
  <c r="AM1187" i="48"/>
  <c r="AD1187" i="48"/>
  <c r="AM515" i="48"/>
  <c r="AD515" i="48"/>
  <c r="AG1043" i="48"/>
  <c r="AN1043" i="48"/>
  <c r="AM1019" i="48"/>
  <c r="AM83" i="48"/>
  <c r="AL539" i="48"/>
  <c r="AN539" i="48"/>
  <c r="AG539" i="48"/>
  <c r="AL947" i="48"/>
  <c r="AG947" i="48"/>
  <c r="BL65" i="48" s="1"/>
  <c r="BM65" i="48" s="1"/>
  <c r="AN947" i="48"/>
  <c r="AN683" i="48"/>
  <c r="AG683" i="48"/>
  <c r="AL683" i="48"/>
  <c r="AM803" i="48"/>
  <c r="AN803" i="48"/>
  <c r="AG803" i="48"/>
  <c r="AL803" i="48"/>
  <c r="AM683" i="48"/>
  <c r="AM851" i="48"/>
  <c r="AN851" i="48"/>
  <c r="AG851" i="48"/>
  <c r="BL64" i="48" s="1"/>
  <c r="BM64" i="48" s="1"/>
  <c r="AL851" i="48"/>
  <c r="AG707" i="48"/>
  <c r="AN707" i="48"/>
  <c r="AL707" i="48"/>
  <c r="AG107" i="48"/>
  <c r="AN107" i="48"/>
  <c r="AL107" i="48"/>
  <c r="AM971" i="48"/>
  <c r="AG971" i="48"/>
  <c r="AN971" i="48"/>
  <c r="AL971" i="48"/>
  <c r="AG1307" i="48"/>
  <c r="AN1307" i="48"/>
  <c r="AL1307" i="48"/>
  <c r="R59" i="48"/>
  <c r="AG1283" i="48"/>
  <c r="AN1283" i="48"/>
  <c r="AL1283" i="48"/>
  <c r="AG1211" i="48"/>
  <c r="AN1211" i="48"/>
  <c r="AL1211" i="48"/>
  <c r="AN1067" i="48"/>
  <c r="AG1067" i="48"/>
  <c r="BL63" i="48" s="1"/>
  <c r="BM63" i="48" s="1"/>
  <c r="AL1067" i="48"/>
  <c r="AN827" i="48"/>
  <c r="AG827" i="48"/>
  <c r="AL827" i="48"/>
  <c r="AG1115" i="48"/>
  <c r="AN1115" i="48"/>
  <c r="AL1115" i="48"/>
  <c r="AN1235" i="48"/>
  <c r="AG1235" i="48"/>
  <c r="AL1235" i="48"/>
  <c r="AN1331" i="48"/>
  <c r="AG1331" i="48"/>
  <c r="AL1331" i="48"/>
  <c r="AN875" i="48"/>
  <c r="AG875" i="48"/>
  <c r="BL62" i="48" s="1"/>
  <c r="AL875" i="48"/>
  <c r="AM899" i="48"/>
  <c r="AN899" i="48"/>
  <c r="AG899" i="48"/>
  <c r="AL899" i="48"/>
  <c r="AM251" i="48"/>
  <c r="AN251" i="48"/>
  <c r="AG251" i="48"/>
  <c r="AL251" i="48"/>
  <c r="AM659" i="48"/>
  <c r="AN659" i="48"/>
  <c r="AG659" i="48"/>
  <c r="AL659" i="48"/>
  <c r="AG1139" i="48"/>
  <c r="AN1139" i="48"/>
  <c r="AL1139" i="48"/>
  <c r="AG563" i="48"/>
  <c r="AN563" i="48"/>
  <c r="AL563" i="48"/>
  <c r="AN227" i="48"/>
  <c r="AG227" i="48"/>
  <c r="AL227" i="48"/>
  <c r="AM371" i="48"/>
  <c r="AN371" i="48"/>
  <c r="AG371" i="48"/>
  <c r="AL371" i="48"/>
  <c r="AL443" i="48"/>
  <c r="AN443" i="48"/>
  <c r="AG443" i="48"/>
  <c r="AL491" i="48"/>
  <c r="AG491" i="48"/>
  <c r="AN491" i="48"/>
  <c r="AM587" i="48"/>
  <c r="AG587" i="48"/>
  <c r="AN587" i="48"/>
  <c r="AL587" i="48"/>
  <c r="AN1091" i="48"/>
  <c r="AG1091" i="48"/>
  <c r="AL1091" i="48"/>
  <c r="AM179" i="48"/>
  <c r="AN179" i="48"/>
  <c r="AG179" i="48"/>
  <c r="AL179" i="48"/>
  <c r="AG1259" i="48"/>
  <c r="AN1259" i="48"/>
  <c r="AL1259" i="48"/>
  <c r="AN755" i="48"/>
  <c r="AG755" i="48"/>
  <c r="AL755" i="48"/>
  <c r="AL83" i="48"/>
  <c r="AG83" i="48"/>
  <c r="AN83" i="48"/>
  <c r="AM995" i="48"/>
  <c r="AN995" i="48"/>
  <c r="AG995" i="48"/>
  <c r="AL995" i="48"/>
  <c r="AG131" i="48"/>
  <c r="AN131" i="48"/>
  <c r="AL131" i="48"/>
  <c r="AM539" i="48"/>
  <c r="AM731" i="48"/>
  <c r="AG731" i="48"/>
  <c r="AN731" i="48"/>
  <c r="AL731" i="48"/>
  <c r="AM275" i="48"/>
  <c r="AG275" i="48"/>
  <c r="AN275" i="48"/>
  <c r="AL275" i="48"/>
  <c r="AN923" i="48"/>
  <c r="AG923" i="48"/>
  <c r="AL923" i="48"/>
  <c r="AM107" i="48"/>
  <c r="AM1211" i="48"/>
  <c r="AN395" i="48"/>
  <c r="AG395" i="48"/>
  <c r="AL395" i="48"/>
  <c r="AM1067" i="48"/>
  <c r="AN347" i="48"/>
  <c r="AG347" i="48"/>
  <c r="AL347" i="48"/>
  <c r="AM203" i="48"/>
  <c r="AN203" i="48"/>
  <c r="AG203" i="48"/>
  <c r="AL203" i="48"/>
  <c r="AM827" i="48"/>
  <c r="AN1187" i="48"/>
  <c r="AG1187" i="48"/>
  <c r="AL1187" i="48"/>
  <c r="AN323" i="48"/>
  <c r="AG323" i="48"/>
  <c r="AL323" i="48"/>
  <c r="AL515" i="48"/>
  <c r="AN515" i="48"/>
  <c r="AG515" i="48"/>
  <c r="AL635" i="48"/>
  <c r="AG635" i="48"/>
  <c r="AN635" i="48"/>
  <c r="AM707" i="48"/>
  <c r="AM947" i="48"/>
  <c r="BM62" i="48" l="1"/>
  <c r="BL59" i="48"/>
  <c r="BM59" i="48" s="1"/>
  <c r="AK635" i="48"/>
  <c r="AJ635" i="48"/>
  <c r="AK1259" i="48"/>
  <c r="AJ1259" i="48"/>
  <c r="AK251" i="48"/>
  <c r="AJ251" i="48"/>
  <c r="AK875" i="48"/>
  <c r="AJ875" i="48"/>
  <c r="AK707" i="48"/>
  <c r="AJ707" i="48"/>
  <c r="AK539" i="48"/>
  <c r="AJ539" i="48"/>
  <c r="AK203" i="48"/>
  <c r="AJ203" i="48"/>
  <c r="AK395" i="48"/>
  <c r="AJ395" i="48"/>
  <c r="AK83" i="48"/>
  <c r="AJ83" i="48"/>
  <c r="AK107" i="48"/>
  <c r="AJ107" i="48"/>
  <c r="AK1019" i="48"/>
  <c r="AJ1019" i="48"/>
  <c r="AK515" i="48"/>
  <c r="AJ515" i="48"/>
  <c r="AK323" i="48"/>
  <c r="AJ323" i="48"/>
  <c r="AK923" i="48"/>
  <c r="AJ923" i="48"/>
  <c r="AK275" i="48"/>
  <c r="AJ275" i="48"/>
  <c r="AK731" i="48"/>
  <c r="AJ731" i="48"/>
  <c r="AK179" i="48"/>
  <c r="AJ179" i="48"/>
  <c r="AK1091" i="48"/>
  <c r="AJ1091" i="48"/>
  <c r="AK587" i="48"/>
  <c r="AJ587" i="48"/>
  <c r="AK1139" i="48"/>
  <c r="AJ1139" i="48"/>
  <c r="AK1235" i="48"/>
  <c r="AJ1235" i="48"/>
  <c r="AK1115" i="48"/>
  <c r="AJ1115" i="48"/>
  <c r="AK1283" i="48"/>
  <c r="AJ1283" i="48"/>
  <c r="AK1307" i="48"/>
  <c r="AJ1307" i="48"/>
  <c r="AK851" i="48"/>
  <c r="AJ851" i="48"/>
  <c r="AK947" i="48"/>
  <c r="AJ947" i="48"/>
  <c r="AK1043" i="48"/>
  <c r="AJ1043" i="48"/>
  <c r="AK755" i="48"/>
  <c r="AJ755" i="48"/>
  <c r="AK659" i="48"/>
  <c r="AJ659" i="48"/>
  <c r="AK899" i="48"/>
  <c r="AJ899" i="48"/>
  <c r="AK827" i="48"/>
  <c r="AJ827" i="48"/>
  <c r="AK1187" i="48"/>
  <c r="AJ1187" i="48"/>
  <c r="AK347" i="48"/>
  <c r="AJ347" i="48"/>
  <c r="AK995" i="48"/>
  <c r="AJ995" i="48"/>
  <c r="AK491" i="48"/>
  <c r="AJ491" i="48"/>
  <c r="AK971" i="48"/>
  <c r="AJ971" i="48"/>
  <c r="AK131" i="48"/>
  <c r="AJ131" i="48"/>
  <c r="AK443" i="48"/>
  <c r="AJ443" i="48"/>
  <c r="AK371" i="48"/>
  <c r="AJ371" i="48"/>
  <c r="AK227" i="48"/>
  <c r="AJ227" i="48"/>
  <c r="AK563" i="48"/>
  <c r="AJ563" i="48"/>
  <c r="AK1331" i="48"/>
  <c r="AJ1331" i="48"/>
  <c r="AK1067" i="48"/>
  <c r="AJ1067" i="48"/>
  <c r="AK1211" i="48"/>
  <c r="AJ1211" i="48"/>
  <c r="AK803" i="48"/>
  <c r="AJ803" i="48"/>
  <c r="AK683" i="48"/>
  <c r="AJ683" i="48"/>
  <c r="AY59" i="48"/>
  <c r="AY36" i="48" s="1"/>
  <c r="AP678" i="48"/>
  <c r="AQ677" i="48"/>
  <c r="AO83" i="48"/>
  <c r="AP83" i="48" s="1"/>
  <c r="AQ83" i="48" s="1"/>
  <c r="AO227" i="48"/>
  <c r="AP227" i="48" s="1"/>
  <c r="AQ227" i="48" s="1"/>
  <c r="AQ204" i="48" s="1"/>
  <c r="AO203" i="48"/>
  <c r="AP203" i="48" s="1"/>
  <c r="AQ203" i="48" s="1"/>
  <c r="AQ180" i="48" s="1"/>
  <c r="AO1187" i="48"/>
  <c r="AP1187" i="48" s="1"/>
  <c r="AQ1187" i="48" s="1"/>
  <c r="AQ1164" i="48" s="1"/>
  <c r="AO635" i="48"/>
  <c r="AP635" i="48" s="1"/>
  <c r="AQ635" i="48" s="1"/>
  <c r="AQ612" i="48" s="1"/>
  <c r="AO923" i="48"/>
  <c r="AP923" i="48" s="1"/>
  <c r="AQ923" i="48" s="1"/>
  <c r="AQ900" i="48" s="1"/>
  <c r="AO995" i="48"/>
  <c r="AP995" i="48" s="1"/>
  <c r="AQ995" i="48" s="1"/>
  <c r="AQ972" i="48" s="1"/>
  <c r="AO587" i="48"/>
  <c r="AP587" i="48" s="1"/>
  <c r="AQ587" i="48" s="1"/>
  <c r="AQ564" i="48" s="1"/>
  <c r="AO1139" i="48"/>
  <c r="AP1139" i="48" s="1"/>
  <c r="AQ1139" i="48" s="1"/>
  <c r="AQ1116" i="48" s="1"/>
  <c r="AO659" i="48"/>
  <c r="AP659" i="48" s="1"/>
  <c r="AQ659" i="48" s="1"/>
  <c r="AQ636" i="48" s="1"/>
  <c r="AO1235" i="48"/>
  <c r="AP1235" i="48" s="1"/>
  <c r="AQ1235" i="48" s="1"/>
  <c r="AQ1212" i="48" s="1"/>
  <c r="AO1283" i="48"/>
  <c r="AP1283" i="48" s="1"/>
  <c r="AQ1283" i="48" s="1"/>
  <c r="AQ1260" i="48" s="1"/>
  <c r="AO971" i="48"/>
  <c r="AP971" i="48" s="1"/>
  <c r="AQ971" i="48" s="1"/>
  <c r="AQ948" i="48" s="1"/>
  <c r="AO107" i="48"/>
  <c r="AP107" i="48" s="1"/>
  <c r="AQ107" i="48" s="1"/>
  <c r="AQ84" i="48" s="1"/>
  <c r="AO947" i="48"/>
  <c r="AP947" i="48" s="1"/>
  <c r="AQ947" i="48" s="1"/>
  <c r="AQ924" i="48" s="1"/>
  <c r="AO131" i="48"/>
  <c r="AP131" i="48" s="1"/>
  <c r="AQ131" i="48" s="1"/>
  <c r="AQ108" i="48" s="1"/>
  <c r="AO179" i="48"/>
  <c r="AP179" i="48" s="1"/>
  <c r="AQ179" i="48" s="1"/>
  <c r="AQ156" i="48" s="1"/>
  <c r="AO1091" i="48"/>
  <c r="AP1091" i="48" s="1"/>
  <c r="AQ1091" i="48" s="1"/>
  <c r="AQ1068" i="48" s="1"/>
  <c r="AO443" i="48"/>
  <c r="AP443" i="48" s="1"/>
  <c r="AQ443" i="48" s="1"/>
  <c r="AQ420" i="48" s="1"/>
  <c r="AO563" i="48"/>
  <c r="AP563" i="48" s="1"/>
  <c r="AQ563" i="48" s="1"/>
  <c r="AQ540" i="48" s="1"/>
  <c r="AO1331" i="48"/>
  <c r="AP1331" i="48" s="1"/>
  <c r="AQ1331" i="48" s="1"/>
  <c r="AQ1308" i="48" s="1"/>
  <c r="AO1211" i="48"/>
  <c r="AP1211" i="48" s="1"/>
  <c r="AQ1211" i="48" s="1"/>
  <c r="AQ1188" i="48" s="1"/>
  <c r="AO1307" i="48"/>
  <c r="AP1307" i="48" s="1"/>
  <c r="AQ1307" i="48" s="1"/>
  <c r="AQ1284" i="48" s="1"/>
  <c r="AO59" i="48"/>
  <c r="AP59" i="48" s="1"/>
  <c r="AQ59" i="48" s="1"/>
  <c r="AQ36" i="48" s="1"/>
  <c r="AO347" i="48"/>
  <c r="AP347" i="48" s="1"/>
  <c r="AQ347" i="48" s="1"/>
  <c r="AQ324" i="48" s="1"/>
  <c r="AO395" i="48"/>
  <c r="AP395" i="48" s="1"/>
  <c r="AQ395" i="48" s="1"/>
  <c r="AQ372" i="48" s="1"/>
  <c r="AO731" i="48"/>
  <c r="AP731" i="48" s="1"/>
  <c r="AQ731" i="48" s="1"/>
  <c r="AQ708" i="48" s="1"/>
  <c r="AO1259" i="48"/>
  <c r="AP1259" i="48" s="1"/>
  <c r="AQ1259" i="48" s="1"/>
  <c r="AQ1236" i="48" s="1"/>
  <c r="AO491" i="48"/>
  <c r="AP491" i="48" s="1"/>
  <c r="AQ491" i="48" s="1"/>
  <c r="AQ468" i="48" s="1"/>
  <c r="AO371" i="48"/>
  <c r="AP371" i="48" s="1"/>
  <c r="AQ371" i="48" s="1"/>
  <c r="AQ348" i="48" s="1"/>
  <c r="AO899" i="48"/>
  <c r="AP899" i="48" s="1"/>
  <c r="AQ899" i="48" s="1"/>
  <c r="AQ876" i="48" s="1"/>
  <c r="AO875" i="48"/>
  <c r="AP875" i="48" s="1"/>
  <c r="AQ875" i="48" s="1"/>
  <c r="AQ852" i="48" s="1"/>
  <c r="AO1067" i="48"/>
  <c r="AP1067" i="48" s="1"/>
  <c r="AQ1067" i="48" s="1"/>
  <c r="AQ1044" i="48" s="1"/>
  <c r="AO851" i="48"/>
  <c r="AP851" i="48" s="1"/>
  <c r="AQ851" i="48" s="1"/>
  <c r="AQ828" i="48" s="1"/>
  <c r="AO515" i="48"/>
  <c r="AP515" i="48" s="1"/>
  <c r="AQ515" i="48" s="1"/>
  <c r="AQ492" i="48" s="1"/>
  <c r="AO323" i="48"/>
  <c r="AP323" i="48" s="1"/>
  <c r="AQ323" i="48" s="1"/>
  <c r="AQ300" i="48" s="1"/>
  <c r="AO755" i="48"/>
  <c r="AP755" i="48" s="1"/>
  <c r="AQ755" i="48" s="1"/>
  <c r="AQ732" i="48" s="1"/>
  <c r="AO1115" i="48"/>
  <c r="AP1115" i="48" s="1"/>
  <c r="AQ1115" i="48" s="1"/>
  <c r="AQ1092" i="48" s="1"/>
  <c r="AO827" i="48"/>
  <c r="AP827" i="48" s="1"/>
  <c r="AQ827" i="48" s="1"/>
  <c r="AQ804" i="48" s="1"/>
  <c r="AO707" i="48"/>
  <c r="AP707" i="48" s="1"/>
  <c r="AQ707" i="48" s="1"/>
  <c r="AQ684" i="48" s="1"/>
  <c r="AO803" i="48"/>
  <c r="AP803" i="48" s="1"/>
  <c r="AQ803" i="48" s="1"/>
  <c r="AQ780" i="48" s="1"/>
  <c r="AO683" i="48"/>
  <c r="AO539" i="48"/>
  <c r="AP539" i="48" s="1"/>
  <c r="AQ539" i="48" s="1"/>
  <c r="AQ516" i="48" s="1"/>
  <c r="AO1043" i="48"/>
  <c r="AP1043" i="48" s="1"/>
  <c r="AQ1043" i="48" s="1"/>
  <c r="AQ1020" i="48" s="1"/>
  <c r="AO1019" i="48"/>
  <c r="AP1019" i="48" s="1"/>
  <c r="AQ1019" i="48" s="1"/>
  <c r="AQ996" i="48" s="1"/>
  <c r="AO251" i="48"/>
  <c r="AP251" i="48" s="1"/>
  <c r="AQ251" i="48" s="1"/>
  <c r="AQ228" i="48" s="1"/>
  <c r="AO275" i="48"/>
  <c r="AP275" i="48" s="1"/>
  <c r="AQ275" i="48" s="1"/>
  <c r="AQ252" i="48" s="1"/>
  <c r="BG59" i="48" l="1"/>
  <c r="BH59" i="48"/>
  <c r="AX59" i="48"/>
  <c r="AP679" i="48"/>
  <c r="AQ678" i="48"/>
  <c r="AP680" i="48" l="1"/>
  <c r="AQ679" i="48"/>
  <c r="AP681" i="48" l="1"/>
  <c r="AQ680" i="48"/>
  <c r="AP682" i="48" l="1"/>
  <c r="AQ681" i="48"/>
  <c r="AE44" i="48"/>
  <c r="AF44" i="48" l="1"/>
  <c r="AR740" i="48"/>
  <c r="Z740" i="48" s="1"/>
  <c r="AR836" i="48"/>
  <c r="Z836" i="48" s="1"/>
  <c r="AR1268" i="48"/>
  <c r="Z1268" i="48" s="1"/>
  <c r="AR452" i="48"/>
  <c r="Z452" i="48" s="1"/>
  <c r="AR524" i="48"/>
  <c r="Z524" i="48" s="1"/>
  <c r="AR620" i="48"/>
  <c r="Z620" i="48" s="1"/>
  <c r="AR308" i="48"/>
  <c r="Z308" i="48" s="1"/>
  <c r="AR92" i="48"/>
  <c r="Z92" i="48" s="1"/>
  <c r="AR1244" i="48"/>
  <c r="Z1244" i="48" s="1"/>
  <c r="AR188" i="48"/>
  <c r="Z188" i="48" s="1"/>
  <c r="AR1148" i="48"/>
  <c r="Z1148" i="48" s="1"/>
  <c r="AR1292" i="48"/>
  <c r="Z1292" i="48" s="1"/>
  <c r="AR596" i="48"/>
  <c r="Z596" i="48" s="1"/>
  <c r="AR380" i="48"/>
  <c r="Z380" i="48" s="1"/>
  <c r="AR1172" i="48"/>
  <c r="Z1172" i="48" s="1"/>
  <c r="AR332" i="48"/>
  <c r="Z332" i="48" s="1"/>
  <c r="AR1124" i="48"/>
  <c r="Z1124" i="48" s="1"/>
  <c r="AR1100" i="48"/>
  <c r="Z1100" i="48" s="1"/>
  <c r="AR476" i="48"/>
  <c r="Z476" i="48" s="1"/>
  <c r="AR260" i="48"/>
  <c r="Z260" i="48" s="1"/>
  <c r="AR1220" i="48"/>
  <c r="Z1220" i="48" s="1"/>
  <c r="AR236" i="48"/>
  <c r="Z236" i="48" s="1"/>
  <c r="AR1004" i="48"/>
  <c r="Z1004" i="48" s="1"/>
  <c r="AR932" i="48"/>
  <c r="Z932" i="48" s="1"/>
  <c r="AR956" i="48"/>
  <c r="Z956" i="48" s="1"/>
  <c r="AR68" i="48"/>
  <c r="Z68" i="48" s="1"/>
  <c r="AR1076" i="48"/>
  <c r="Z1076" i="48" s="1"/>
  <c r="AR1028" i="48"/>
  <c r="Z1028" i="48" s="1"/>
  <c r="AR860" i="48"/>
  <c r="Z860" i="48" s="1"/>
  <c r="AR428" i="48"/>
  <c r="Z428" i="48" s="1"/>
  <c r="AR140" i="48"/>
  <c r="Z140" i="48" s="1"/>
  <c r="AR716" i="48"/>
  <c r="Z716" i="48" s="1"/>
  <c r="AR812" i="48"/>
  <c r="Z812" i="48" s="1"/>
  <c r="AR788" i="48"/>
  <c r="Z788" i="48" s="1"/>
  <c r="AR884" i="48"/>
  <c r="Z884" i="48" s="1"/>
  <c r="AR548" i="48"/>
  <c r="Z548" i="48" s="1"/>
  <c r="AR1196" i="48"/>
  <c r="Z1196" i="48" s="1"/>
  <c r="AR644" i="48"/>
  <c r="Z644" i="48" s="1"/>
  <c r="AR764" i="48"/>
  <c r="Z764" i="48" s="1"/>
  <c r="AR164" i="48"/>
  <c r="Z164" i="48" s="1"/>
  <c r="AR500" i="48"/>
  <c r="Z500" i="48" s="1"/>
  <c r="AR404" i="48"/>
  <c r="Z404" i="48" s="1"/>
  <c r="AR572" i="48"/>
  <c r="Z572" i="48" s="1"/>
  <c r="AR908" i="48"/>
  <c r="Z908" i="48" s="1"/>
  <c r="AR356" i="48"/>
  <c r="Z356" i="48" s="1"/>
  <c r="AR692" i="48"/>
  <c r="Z692" i="48" s="1"/>
  <c r="AR1316" i="48"/>
  <c r="Z1316" i="48" s="1"/>
  <c r="AR1052" i="48"/>
  <c r="Z1052" i="48" s="1"/>
  <c r="AR116" i="48"/>
  <c r="Z116" i="48" s="1"/>
  <c r="AR212" i="48"/>
  <c r="Z212" i="48" s="1"/>
  <c r="AR284" i="48"/>
  <c r="Z284" i="48" s="1"/>
  <c r="AR980" i="48"/>
  <c r="Z980" i="48" s="1"/>
  <c r="AR43" i="48"/>
  <c r="AR47" i="48"/>
  <c r="Z47" i="48" s="1"/>
  <c r="AR49" i="48"/>
  <c r="Z49" i="48" s="1"/>
  <c r="AR45" i="48"/>
  <c r="Z45" i="48" s="1"/>
  <c r="AR57" i="48"/>
  <c r="Z57" i="48" s="1"/>
  <c r="AR51" i="48"/>
  <c r="Z51" i="48" s="1"/>
  <c r="AR44" i="48"/>
  <c r="Z44" i="48" s="1"/>
  <c r="AR48" i="48"/>
  <c r="Z48" i="48" s="1"/>
  <c r="AR52" i="48"/>
  <c r="Z52" i="48" s="1"/>
  <c r="AR46" i="48"/>
  <c r="Z46" i="48" s="1"/>
  <c r="AR50" i="48"/>
  <c r="Z50" i="48" s="1"/>
  <c r="AR53" i="48"/>
  <c r="Z53" i="48" s="1"/>
  <c r="AR54" i="48"/>
  <c r="Z54" i="48" s="1"/>
  <c r="AR56" i="48"/>
  <c r="Z56" i="48" s="1"/>
  <c r="AR55" i="48"/>
  <c r="Z55" i="48" s="1"/>
  <c r="AR58" i="48"/>
  <c r="Z58" i="48" s="1"/>
  <c r="AR668" i="48"/>
  <c r="Z668" i="48" s="1"/>
  <c r="AR59" i="48"/>
  <c r="Z59" i="48" s="1"/>
  <c r="AQ682" i="48"/>
  <c r="AP683" i="48"/>
  <c r="AQ683" i="48" s="1"/>
  <c r="H1439" i="48"/>
  <c r="J1439" i="48"/>
  <c r="AE47" i="48"/>
  <c r="AR1199" i="48" s="1"/>
  <c r="AE51" i="48"/>
  <c r="AE55" i="48"/>
  <c r="AR1255" i="48" s="1"/>
  <c r="I1439" i="48"/>
  <c r="K1439" i="48" l="1"/>
  <c r="S1255" i="48"/>
  <c r="Z1255" i="48"/>
  <c r="S1199" i="48"/>
  <c r="Z1199" i="48"/>
  <c r="AB44" i="48"/>
  <c r="AA44" i="48" s="1"/>
  <c r="M55" i="48"/>
  <c r="S55" i="48"/>
  <c r="M50" i="48"/>
  <c r="S50" i="48"/>
  <c r="M44" i="48"/>
  <c r="S44" i="48"/>
  <c r="M49" i="48"/>
  <c r="S49" i="48"/>
  <c r="M284" i="48"/>
  <c r="S284" i="48"/>
  <c r="M1316" i="48"/>
  <c r="S1316" i="48"/>
  <c r="M572" i="48"/>
  <c r="S572" i="48"/>
  <c r="M764" i="48"/>
  <c r="S764" i="48"/>
  <c r="M884" i="48"/>
  <c r="S884" i="48"/>
  <c r="M140" i="48"/>
  <c r="S140" i="48"/>
  <c r="M1076" i="48"/>
  <c r="S1076" i="48"/>
  <c r="M1004" i="48"/>
  <c r="S1004" i="48"/>
  <c r="M476" i="48"/>
  <c r="S476" i="48"/>
  <c r="M1172" i="48"/>
  <c r="S1172" i="48"/>
  <c r="M1148" i="48"/>
  <c r="S1148" i="48"/>
  <c r="M308" i="48"/>
  <c r="S308" i="48"/>
  <c r="M1268" i="48"/>
  <c r="S1268" i="48"/>
  <c r="M59" i="48"/>
  <c r="S59" i="48"/>
  <c r="M56" i="48"/>
  <c r="S56" i="48"/>
  <c r="M46" i="48"/>
  <c r="S46" i="48"/>
  <c r="M51" i="48"/>
  <c r="S51" i="48"/>
  <c r="M47" i="48"/>
  <c r="S47" i="48"/>
  <c r="M212" i="48"/>
  <c r="S212" i="48"/>
  <c r="M692" i="48"/>
  <c r="S692" i="48"/>
  <c r="M404" i="48"/>
  <c r="S404" i="48"/>
  <c r="M644" i="48"/>
  <c r="S644" i="48"/>
  <c r="M788" i="48"/>
  <c r="S788" i="48"/>
  <c r="M428" i="48"/>
  <c r="S428" i="48"/>
  <c r="M68" i="48"/>
  <c r="S68" i="48"/>
  <c r="M236" i="48"/>
  <c r="S236" i="48"/>
  <c r="M1100" i="48"/>
  <c r="S1100" i="48"/>
  <c r="M380" i="48"/>
  <c r="S380" i="48"/>
  <c r="M188" i="48"/>
  <c r="S188" i="48"/>
  <c r="M620" i="48"/>
  <c r="S620" i="48"/>
  <c r="M836" i="48"/>
  <c r="S836" i="48"/>
  <c r="M668" i="48"/>
  <c r="S668" i="48"/>
  <c r="M54" i="48"/>
  <c r="S54" i="48"/>
  <c r="M52" i="48"/>
  <c r="S52" i="48"/>
  <c r="M57" i="48"/>
  <c r="S57" i="48"/>
  <c r="M116" i="48"/>
  <c r="S116" i="48"/>
  <c r="M356" i="48"/>
  <c r="S356" i="48"/>
  <c r="M500" i="48"/>
  <c r="S500" i="48"/>
  <c r="M1196" i="48"/>
  <c r="S1196" i="48"/>
  <c r="M812" i="48"/>
  <c r="S812" i="48"/>
  <c r="M860" i="48"/>
  <c r="S860" i="48"/>
  <c r="M956" i="48"/>
  <c r="S956" i="48"/>
  <c r="M1220" i="48"/>
  <c r="S1220" i="48"/>
  <c r="M1124" i="48"/>
  <c r="S1124" i="48"/>
  <c r="M596" i="48"/>
  <c r="S596" i="48"/>
  <c r="M1244" i="48"/>
  <c r="S1244" i="48"/>
  <c r="M524" i="48"/>
  <c r="S524" i="48"/>
  <c r="M740" i="48"/>
  <c r="S740" i="48"/>
  <c r="M58" i="48"/>
  <c r="S58" i="48"/>
  <c r="M53" i="48"/>
  <c r="S53" i="48"/>
  <c r="M48" i="48"/>
  <c r="S48" i="48"/>
  <c r="M45" i="48"/>
  <c r="S45" i="48"/>
  <c r="M980" i="48"/>
  <c r="S980" i="48"/>
  <c r="M1052" i="48"/>
  <c r="S1052" i="48"/>
  <c r="M908" i="48"/>
  <c r="S908" i="48"/>
  <c r="M164" i="48"/>
  <c r="S164" i="48"/>
  <c r="M548" i="48"/>
  <c r="S548" i="48"/>
  <c r="M716" i="48"/>
  <c r="S716" i="48"/>
  <c r="M1028" i="48"/>
  <c r="S1028" i="48"/>
  <c r="M932" i="48"/>
  <c r="S932" i="48"/>
  <c r="M260" i="48"/>
  <c r="S260" i="48"/>
  <c r="M332" i="48"/>
  <c r="S332" i="48"/>
  <c r="M1292" i="48"/>
  <c r="S1292" i="48"/>
  <c r="M92" i="48"/>
  <c r="S92" i="48"/>
  <c r="M452" i="48"/>
  <c r="S452" i="48"/>
  <c r="H1454" i="48"/>
  <c r="H1450" i="48"/>
  <c r="AS1199" i="48"/>
  <c r="M1199" i="48"/>
  <c r="AS1255" i="48"/>
  <c r="M1255" i="48"/>
  <c r="AQ660" i="48"/>
  <c r="J1459" i="48"/>
  <c r="H1442" i="48"/>
  <c r="H1446" i="48"/>
  <c r="AE58" i="48"/>
  <c r="H1453" i="48"/>
  <c r="J1453" i="48"/>
  <c r="AE54" i="48"/>
  <c r="J1449" i="48"/>
  <c r="K1449" i="48" s="1"/>
  <c r="H1449" i="48"/>
  <c r="AE50" i="48"/>
  <c r="AF51" i="48" s="1"/>
  <c r="J1445" i="48"/>
  <c r="H1445" i="48"/>
  <c r="AE46" i="48"/>
  <c r="J1441" i="48"/>
  <c r="H1441" i="48"/>
  <c r="AR227" i="48"/>
  <c r="AR251" i="48"/>
  <c r="AR275" i="48"/>
  <c r="AR299" i="48"/>
  <c r="AR323" i="48"/>
  <c r="AR347" i="48"/>
  <c r="AR371" i="48"/>
  <c r="AR395" i="48"/>
  <c r="AR419" i="48"/>
  <c r="AR443" i="48"/>
  <c r="AR467" i="48"/>
  <c r="AR491" i="48"/>
  <c r="AR515" i="48"/>
  <c r="AS59" i="48"/>
  <c r="AR83" i="48"/>
  <c r="AR131" i="48"/>
  <c r="AR179" i="48"/>
  <c r="AR107" i="48"/>
  <c r="AR203" i="48"/>
  <c r="AR155" i="48"/>
  <c r="AR539" i="48"/>
  <c r="AR563" i="48"/>
  <c r="AR587" i="48"/>
  <c r="AR611" i="48"/>
  <c r="AR635" i="48"/>
  <c r="AR659" i="48"/>
  <c r="AR683" i="48"/>
  <c r="AR707" i="48"/>
  <c r="AR731" i="48"/>
  <c r="AR755" i="48"/>
  <c r="AR779" i="48"/>
  <c r="AR803" i="48"/>
  <c r="AR947" i="48"/>
  <c r="AR971" i="48"/>
  <c r="AR995" i="48"/>
  <c r="AR1019" i="48"/>
  <c r="AR1043" i="48"/>
  <c r="AR1067" i="48"/>
  <c r="AR1091" i="48"/>
  <c r="AR1115" i="48"/>
  <c r="AR1139" i="48"/>
  <c r="AR1163" i="48"/>
  <c r="AR1187" i="48"/>
  <c r="AR827" i="48"/>
  <c r="AR851" i="48"/>
  <c r="AR875" i="48"/>
  <c r="AR899" i="48"/>
  <c r="AR923" i="48"/>
  <c r="AR243" i="48"/>
  <c r="AR267" i="48"/>
  <c r="AR291" i="48"/>
  <c r="AR315" i="48"/>
  <c r="AR339" i="48"/>
  <c r="AR363" i="48"/>
  <c r="AR387" i="48"/>
  <c r="AR411" i="48"/>
  <c r="AR435" i="48"/>
  <c r="AR459" i="48"/>
  <c r="AR483" i="48"/>
  <c r="AR507" i="48"/>
  <c r="AR531" i="48"/>
  <c r="AS51" i="48"/>
  <c r="AR75" i="48"/>
  <c r="AR123" i="48"/>
  <c r="AR171" i="48"/>
  <c r="AR219" i="48"/>
  <c r="AR99" i="48"/>
  <c r="AR195" i="48"/>
  <c r="AR555" i="48"/>
  <c r="AR579" i="48"/>
  <c r="AR603" i="48"/>
  <c r="AR627" i="48"/>
  <c r="AR651" i="48"/>
  <c r="AR675" i="48"/>
  <c r="AR699" i="48"/>
  <c r="AR723" i="48"/>
  <c r="AR747" i="48"/>
  <c r="AR771" i="48"/>
  <c r="AR795" i="48"/>
  <c r="AR819" i="48"/>
  <c r="AR147" i="48"/>
  <c r="AR963" i="48"/>
  <c r="AR987" i="48"/>
  <c r="AR1011" i="48"/>
  <c r="AR1035" i="48"/>
  <c r="AR1059" i="48"/>
  <c r="AR1083" i="48"/>
  <c r="AR1107" i="48"/>
  <c r="AR1131" i="48"/>
  <c r="AR1155" i="48"/>
  <c r="AR1179" i="48"/>
  <c r="AR843" i="48"/>
  <c r="AR867" i="48"/>
  <c r="AR891" i="48"/>
  <c r="AR915" i="48"/>
  <c r="AR939" i="48"/>
  <c r="AR1271" i="48"/>
  <c r="AR1235" i="48"/>
  <c r="AR1223" i="48"/>
  <c r="AR1203" i="48"/>
  <c r="AF55" i="48"/>
  <c r="AR223" i="48"/>
  <c r="AR247" i="48"/>
  <c r="AR271" i="48"/>
  <c r="AR295" i="48"/>
  <c r="AR319" i="48"/>
  <c r="AR343" i="48"/>
  <c r="AR367" i="48"/>
  <c r="AR391" i="48"/>
  <c r="AR415" i="48"/>
  <c r="AR439" i="48"/>
  <c r="AR463" i="48"/>
  <c r="AR487" i="48"/>
  <c r="AR511" i="48"/>
  <c r="AR535" i="48"/>
  <c r="AR79" i="48"/>
  <c r="AR127" i="48"/>
  <c r="AR175" i="48"/>
  <c r="AS55" i="48"/>
  <c r="AR151" i="48"/>
  <c r="AR199" i="48"/>
  <c r="AR559" i="48"/>
  <c r="AR583" i="48"/>
  <c r="AR607" i="48"/>
  <c r="AR631" i="48"/>
  <c r="AR655" i="48"/>
  <c r="AR679" i="48"/>
  <c r="AR703" i="48"/>
  <c r="AR727" i="48"/>
  <c r="AR751" i="48"/>
  <c r="AR775" i="48"/>
  <c r="AR799" i="48"/>
  <c r="AR847" i="48"/>
  <c r="AR871" i="48"/>
  <c r="AR895" i="48"/>
  <c r="AR919" i="48"/>
  <c r="AR943" i="48"/>
  <c r="AR967" i="48"/>
  <c r="AR991" i="48"/>
  <c r="AR1015" i="48"/>
  <c r="AR1039" i="48"/>
  <c r="AR1063" i="48"/>
  <c r="AR1087" i="48"/>
  <c r="AR1111" i="48"/>
  <c r="AR1135" i="48"/>
  <c r="AR1159" i="48"/>
  <c r="AR1183" i="48"/>
  <c r="AR1251" i="48"/>
  <c r="AR1231" i="48"/>
  <c r="AR1211" i="48"/>
  <c r="J1454" i="48"/>
  <c r="J1450" i="48"/>
  <c r="K1450" i="48" s="1"/>
  <c r="J1446" i="48"/>
  <c r="J1442" i="48"/>
  <c r="K1442" i="48" s="1"/>
  <c r="AR823" i="48"/>
  <c r="AR239" i="48"/>
  <c r="AR263" i="48"/>
  <c r="AR287" i="48"/>
  <c r="AR311" i="48"/>
  <c r="AR335" i="48"/>
  <c r="AR359" i="48"/>
  <c r="AR383" i="48"/>
  <c r="AR407" i="48"/>
  <c r="AR431" i="48"/>
  <c r="AR455" i="48"/>
  <c r="AR479" i="48"/>
  <c r="AR503" i="48"/>
  <c r="AR527" i="48"/>
  <c r="AS47" i="48"/>
  <c r="AR71" i="48"/>
  <c r="AR119" i="48"/>
  <c r="AR167" i="48"/>
  <c r="AR215" i="48"/>
  <c r="AR143" i="48"/>
  <c r="AR95" i="48"/>
  <c r="AR551" i="48"/>
  <c r="AR575" i="48"/>
  <c r="AR599" i="48"/>
  <c r="AR623" i="48"/>
  <c r="AR647" i="48"/>
  <c r="AR671" i="48"/>
  <c r="AR695" i="48"/>
  <c r="AR719" i="48"/>
  <c r="AR743" i="48"/>
  <c r="AR767" i="48"/>
  <c r="AR791" i="48"/>
  <c r="AR815" i="48"/>
  <c r="AR191" i="48"/>
  <c r="AR839" i="48"/>
  <c r="AR863" i="48"/>
  <c r="AR887" i="48"/>
  <c r="AR911" i="48"/>
  <c r="AR935" i="48"/>
  <c r="AR959" i="48"/>
  <c r="AR983" i="48"/>
  <c r="AR1007" i="48"/>
  <c r="AR1031" i="48"/>
  <c r="AR1055" i="48"/>
  <c r="AR1079" i="48"/>
  <c r="AR1103" i="48"/>
  <c r="AR1127" i="48"/>
  <c r="AR1151" i="48"/>
  <c r="AR1175" i="48"/>
  <c r="AR1259" i="48"/>
  <c r="AR1247" i="48"/>
  <c r="AR1227" i="48"/>
  <c r="AR1207" i="48"/>
  <c r="AR103" i="48"/>
  <c r="I1454" i="48"/>
  <c r="I1453" i="48"/>
  <c r="I1450" i="48"/>
  <c r="I1449" i="48"/>
  <c r="I1446" i="48"/>
  <c r="I1445" i="48"/>
  <c r="I1442" i="48"/>
  <c r="I1441" i="48"/>
  <c r="R1389" i="48"/>
  <c r="R1385" i="48"/>
  <c r="R1381" i="48"/>
  <c r="R1377" i="48"/>
  <c r="AR1331" i="48"/>
  <c r="AR1327" i="48"/>
  <c r="AR1323" i="48"/>
  <c r="AR1319" i="48"/>
  <c r="AR1307" i="48"/>
  <c r="AR1303" i="48"/>
  <c r="AR1299" i="48"/>
  <c r="AR1295" i="48"/>
  <c r="AR1283" i="48"/>
  <c r="AR1279" i="48"/>
  <c r="AR1275" i="48"/>
  <c r="AF59" i="48" l="1"/>
  <c r="P1388" i="48"/>
  <c r="O44" i="48"/>
  <c r="N44" i="48" s="1"/>
  <c r="S1295" i="48"/>
  <c r="Z1295" i="48"/>
  <c r="S1103" i="48"/>
  <c r="Z1103" i="48"/>
  <c r="S191" i="48"/>
  <c r="Z191" i="48"/>
  <c r="S647" i="48"/>
  <c r="Z647" i="48"/>
  <c r="S167" i="48"/>
  <c r="Z167" i="48"/>
  <c r="S527" i="48"/>
  <c r="Z527" i="48"/>
  <c r="S335" i="48"/>
  <c r="Z335" i="48"/>
  <c r="S239" i="48"/>
  <c r="Z239" i="48"/>
  <c r="S1251" i="48"/>
  <c r="Z1251" i="48"/>
  <c r="S1111" i="48"/>
  <c r="Z1111" i="48"/>
  <c r="S1015" i="48"/>
  <c r="Z1015" i="48"/>
  <c r="S919" i="48"/>
  <c r="Z919" i="48"/>
  <c r="S799" i="48"/>
  <c r="Z799" i="48"/>
  <c r="S703" i="48"/>
  <c r="Z703" i="48"/>
  <c r="S607" i="48"/>
  <c r="Z607" i="48"/>
  <c r="S151" i="48"/>
  <c r="Z151" i="48"/>
  <c r="S79" i="48"/>
  <c r="Z79" i="48"/>
  <c r="S463" i="48"/>
  <c r="Z463" i="48"/>
  <c r="S367" i="48"/>
  <c r="Z367" i="48"/>
  <c r="S271" i="48"/>
  <c r="Z271" i="48"/>
  <c r="S1203" i="48"/>
  <c r="Z1203" i="48"/>
  <c r="S939" i="48"/>
  <c r="Z939" i="48"/>
  <c r="S843" i="48"/>
  <c r="Z843" i="48"/>
  <c r="S1107" i="48"/>
  <c r="Z1107" i="48"/>
  <c r="S1011" i="48"/>
  <c r="Z1011" i="48"/>
  <c r="S819" i="48"/>
  <c r="Z819" i="48"/>
  <c r="S723" i="48"/>
  <c r="Z723" i="48"/>
  <c r="S627" i="48"/>
  <c r="Z627" i="48"/>
  <c r="S195" i="48"/>
  <c r="Z195" i="48"/>
  <c r="S123" i="48"/>
  <c r="Z123" i="48"/>
  <c r="S507" i="48"/>
  <c r="Z507" i="48"/>
  <c r="S411" i="48"/>
  <c r="Z411" i="48"/>
  <c r="S315" i="48"/>
  <c r="Z315" i="48"/>
  <c r="K1445" i="48"/>
  <c r="S1031" i="48"/>
  <c r="Z1031" i="48"/>
  <c r="S1319" i="48"/>
  <c r="Z1319" i="48"/>
  <c r="S103" i="48"/>
  <c r="U55" i="48" s="1"/>
  <c r="Z103" i="48"/>
  <c r="S1007" i="48"/>
  <c r="Z1007" i="48"/>
  <c r="S911" i="48"/>
  <c r="Z911" i="48"/>
  <c r="S743" i="48"/>
  <c r="Z743" i="48"/>
  <c r="S551" i="48"/>
  <c r="Z551" i="48"/>
  <c r="S431" i="48"/>
  <c r="Z431" i="48"/>
  <c r="S1275" i="48"/>
  <c r="Z1275" i="48"/>
  <c r="S1299" i="48"/>
  <c r="Z1299" i="48"/>
  <c r="S1323" i="48"/>
  <c r="Z1323" i="48"/>
  <c r="S1207" i="48"/>
  <c r="Z1207" i="48"/>
  <c r="S1175" i="48"/>
  <c r="Z1175" i="48"/>
  <c r="S1079" i="48"/>
  <c r="Z1079" i="48"/>
  <c r="S983" i="48"/>
  <c r="Z983" i="48"/>
  <c r="S887" i="48"/>
  <c r="Z887" i="48"/>
  <c r="S815" i="48"/>
  <c r="Z815" i="48"/>
  <c r="S719" i="48"/>
  <c r="Z719" i="48"/>
  <c r="S623" i="48"/>
  <c r="Z623" i="48"/>
  <c r="S95" i="48"/>
  <c r="Z95" i="48"/>
  <c r="S119" i="48"/>
  <c r="U47" i="48" s="1"/>
  <c r="Z119" i="48"/>
  <c r="S503" i="48"/>
  <c r="Z503" i="48"/>
  <c r="S407" i="48"/>
  <c r="Z407" i="48"/>
  <c r="S311" i="48"/>
  <c r="Z311" i="48"/>
  <c r="S823" i="48"/>
  <c r="Z823" i="48"/>
  <c r="K1454" i="48"/>
  <c r="S1183" i="48"/>
  <c r="Z1183" i="48"/>
  <c r="S1087" i="48"/>
  <c r="Z1087" i="48"/>
  <c r="S991" i="48"/>
  <c r="Z991" i="48"/>
  <c r="S895" i="48"/>
  <c r="Z895" i="48"/>
  <c r="S775" i="48"/>
  <c r="Z775" i="48"/>
  <c r="S679" i="48"/>
  <c r="Z679" i="48"/>
  <c r="S583" i="48"/>
  <c r="Z583" i="48"/>
  <c r="S535" i="48"/>
  <c r="Z535" i="48"/>
  <c r="S439" i="48"/>
  <c r="Z439" i="48"/>
  <c r="S343" i="48"/>
  <c r="Z343" i="48"/>
  <c r="S247" i="48"/>
  <c r="Z247" i="48"/>
  <c r="S1223" i="48"/>
  <c r="Z1223" i="48"/>
  <c r="S915" i="48"/>
  <c r="Z915" i="48"/>
  <c r="S1179" i="48"/>
  <c r="Z1179" i="48"/>
  <c r="S1083" i="48"/>
  <c r="Z1083" i="48"/>
  <c r="S987" i="48"/>
  <c r="Z987" i="48"/>
  <c r="S795" i="48"/>
  <c r="Z795" i="48"/>
  <c r="S699" i="48"/>
  <c r="Z699" i="48"/>
  <c r="S603" i="48"/>
  <c r="Z603" i="48"/>
  <c r="S99" i="48"/>
  <c r="Z99" i="48"/>
  <c r="S75" i="48"/>
  <c r="Z75" i="48"/>
  <c r="AB51" i="48" s="1"/>
  <c r="S483" i="48"/>
  <c r="Z483" i="48"/>
  <c r="S387" i="48"/>
  <c r="Z387" i="48"/>
  <c r="S291" i="48"/>
  <c r="Z291" i="48"/>
  <c r="K1441" i="48"/>
  <c r="K1453" i="48"/>
  <c r="O47" i="48"/>
  <c r="S1247" i="48"/>
  <c r="Z1247" i="48"/>
  <c r="S1127" i="48"/>
  <c r="Z1127" i="48"/>
  <c r="S935" i="48"/>
  <c r="Z935" i="48"/>
  <c r="S839" i="48"/>
  <c r="Z839" i="48"/>
  <c r="S767" i="48"/>
  <c r="Z767" i="48"/>
  <c r="S671" i="48"/>
  <c r="Z671" i="48"/>
  <c r="S575" i="48"/>
  <c r="Z575" i="48"/>
  <c r="S215" i="48"/>
  <c r="Z215" i="48"/>
  <c r="S455" i="48"/>
  <c r="Z455" i="48"/>
  <c r="S359" i="48"/>
  <c r="Z359" i="48"/>
  <c r="S263" i="48"/>
  <c r="Z263" i="48"/>
  <c r="K1446" i="48"/>
  <c r="S1231" i="48"/>
  <c r="Z1231" i="48"/>
  <c r="S1135" i="48"/>
  <c r="Z1135" i="48"/>
  <c r="S1039" i="48"/>
  <c r="Z1039" i="48"/>
  <c r="S943" i="48"/>
  <c r="Z943" i="48"/>
  <c r="S847" i="48"/>
  <c r="Z847" i="48"/>
  <c r="S727" i="48"/>
  <c r="Z727" i="48"/>
  <c r="S631" i="48"/>
  <c r="Z631" i="48"/>
  <c r="S199" i="48"/>
  <c r="Z199" i="48"/>
  <c r="S127" i="48"/>
  <c r="Z127" i="48"/>
  <c r="S487" i="48"/>
  <c r="Z487" i="48"/>
  <c r="S391" i="48"/>
  <c r="Z391" i="48"/>
  <c r="S295" i="48"/>
  <c r="Z295" i="48"/>
  <c r="S1271" i="48"/>
  <c r="Z1271" i="48"/>
  <c r="S867" i="48"/>
  <c r="Z867" i="48"/>
  <c r="S1131" i="48"/>
  <c r="Z1131" i="48"/>
  <c r="S1035" i="48"/>
  <c r="Z1035" i="48"/>
  <c r="S147" i="48"/>
  <c r="Z147" i="48"/>
  <c r="S747" i="48"/>
  <c r="Z747" i="48"/>
  <c r="S651" i="48"/>
  <c r="Z651" i="48"/>
  <c r="S555" i="48"/>
  <c r="Z555" i="48"/>
  <c r="S171" i="48"/>
  <c r="Z171" i="48"/>
  <c r="S531" i="48"/>
  <c r="Z531" i="48"/>
  <c r="S435" i="48"/>
  <c r="Z435" i="48"/>
  <c r="S339" i="48"/>
  <c r="Z339" i="48"/>
  <c r="S243" i="48"/>
  <c r="Z243" i="48"/>
  <c r="S1279" i="48"/>
  <c r="Z1279" i="48"/>
  <c r="S1303" i="48"/>
  <c r="Z1303" i="48"/>
  <c r="S1327" i="48"/>
  <c r="Z1327" i="48"/>
  <c r="S1227" i="48"/>
  <c r="Z1227" i="48"/>
  <c r="S1151" i="48"/>
  <c r="Z1151" i="48"/>
  <c r="S1055" i="48"/>
  <c r="Z1055" i="48"/>
  <c r="S959" i="48"/>
  <c r="Z959" i="48"/>
  <c r="S863" i="48"/>
  <c r="Z863" i="48"/>
  <c r="S791" i="48"/>
  <c r="Z791" i="48"/>
  <c r="S695" i="48"/>
  <c r="Z695" i="48"/>
  <c r="S599" i="48"/>
  <c r="Z599" i="48"/>
  <c r="S143" i="48"/>
  <c r="Z143" i="48"/>
  <c r="S71" i="48"/>
  <c r="Z71" i="48"/>
  <c r="S479" i="48"/>
  <c r="Z479" i="48"/>
  <c r="S383" i="48"/>
  <c r="Z383" i="48"/>
  <c r="S287" i="48"/>
  <c r="Z287" i="48"/>
  <c r="S1159" i="48"/>
  <c r="Z1159" i="48"/>
  <c r="S1063" i="48"/>
  <c r="Z1063" i="48"/>
  <c r="S967" i="48"/>
  <c r="Z967" i="48"/>
  <c r="S871" i="48"/>
  <c r="Z871" i="48"/>
  <c r="S751" i="48"/>
  <c r="Z751" i="48"/>
  <c r="S655" i="48"/>
  <c r="Z655" i="48"/>
  <c r="S559" i="48"/>
  <c r="Z559" i="48"/>
  <c r="S175" i="48"/>
  <c r="Z175" i="48"/>
  <c r="S511" i="48"/>
  <c r="Z511" i="48"/>
  <c r="S415" i="48"/>
  <c r="Z415" i="48"/>
  <c r="S319" i="48"/>
  <c r="Z319" i="48"/>
  <c r="S223" i="48"/>
  <c r="Z223" i="48"/>
  <c r="S891" i="48"/>
  <c r="Z891" i="48"/>
  <c r="S1155" i="48"/>
  <c r="Z1155" i="48"/>
  <c r="S1059" i="48"/>
  <c r="Z1059" i="48"/>
  <c r="S963" i="48"/>
  <c r="Z963" i="48"/>
  <c r="S771" i="48"/>
  <c r="Z771" i="48"/>
  <c r="S675" i="48"/>
  <c r="Z675" i="48"/>
  <c r="S579" i="48"/>
  <c r="Z579" i="48"/>
  <c r="S219" i="48"/>
  <c r="Z219" i="48"/>
  <c r="S459" i="48"/>
  <c r="Z459" i="48"/>
  <c r="S363" i="48"/>
  <c r="Z363" i="48"/>
  <c r="S267" i="48"/>
  <c r="Z267" i="48"/>
  <c r="U51" i="48"/>
  <c r="U44" i="48"/>
  <c r="S1331" i="48"/>
  <c r="Z1331" i="48"/>
  <c r="S923" i="48"/>
  <c r="Z923" i="48"/>
  <c r="S827" i="48"/>
  <c r="Z827" i="48"/>
  <c r="S1115" i="48"/>
  <c r="Z1115" i="48"/>
  <c r="S1019" i="48"/>
  <c r="Z1019" i="48"/>
  <c r="S803" i="48"/>
  <c r="Z803" i="48"/>
  <c r="S707" i="48"/>
  <c r="Z707" i="48"/>
  <c r="S611" i="48"/>
  <c r="Z611" i="48"/>
  <c r="S155" i="48"/>
  <c r="Z155" i="48"/>
  <c r="S131" i="48"/>
  <c r="Z131" i="48"/>
  <c r="S491" i="48"/>
  <c r="Z491" i="48"/>
  <c r="S395" i="48"/>
  <c r="Z395" i="48"/>
  <c r="S299" i="48"/>
  <c r="Z299" i="48"/>
  <c r="S1307" i="48"/>
  <c r="Z1307" i="48"/>
  <c r="S1259" i="48"/>
  <c r="Z1259" i="48"/>
  <c r="S899" i="48"/>
  <c r="Z899" i="48"/>
  <c r="S1187" i="48"/>
  <c r="Z1187" i="48"/>
  <c r="S1091" i="48"/>
  <c r="Z1091" i="48"/>
  <c r="S995" i="48"/>
  <c r="Z995" i="48"/>
  <c r="S779" i="48"/>
  <c r="Z779" i="48"/>
  <c r="S683" i="48"/>
  <c r="Z683" i="48"/>
  <c r="S587" i="48"/>
  <c r="Z587" i="48"/>
  <c r="S203" i="48"/>
  <c r="Z203" i="48"/>
  <c r="S83" i="48"/>
  <c r="Z83" i="48"/>
  <c r="S467" i="48"/>
  <c r="Z467" i="48"/>
  <c r="S371" i="48"/>
  <c r="Z371" i="48"/>
  <c r="S275" i="48"/>
  <c r="Z275" i="48"/>
  <c r="S1283" i="48"/>
  <c r="Z1283" i="48"/>
  <c r="S1235" i="48"/>
  <c r="Z1235" i="48"/>
  <c r="S875" i="48"/>
  <c r="Z875" i="48"/>
  <c r="S1163" i="48"/>
  <c r="Z1163" i="48"/>
  <c r="S1067" i="48"/>
  <c r="Z1067" i="48"/>
  <c r="S971" i="48"/>
  <c r="Z971" i="48"/>
  <c r="S755" i="48"/>
  <c r="Z755" i="48"/>
  <c r="S659" i="48"/>
  <c r="Z659" i="48"/>
  <c r="S563" i="48"/>
  <c r="Z563" i="48"/>
  <c r="S107" i="48"/>
  <c r="Z107" i="48"/>
  <c r="S443" i="48"/>
  <c r="Z443" i="48"/>
  <c r="S347" i="48"/>
  <c r="Z347" i="48"/>
  <c r="S251" i="48"/>
  <c r="Z251" i="48"/>
  <c r="S1211" i="48"/>
  <c r="Z1211" i="48"/>
  <c r="S851" i="48"/>
  <c r="Z851" i="48"/>
  <c r="S1139" i="48"/>
  <c r="Z1139" i="48"/>
  <c r="S1043" i="48"/>
  <c r="Z1043" i="48"/>
  <c r="S947" i="48"/>
  <c r="Z947" i="48"/>
  <c r="S731" i="48"/>
  <c r="Z731" i="48"/>
  <c r="S635" i="48"/>
  <c r="Z635" i="48"/>
  <c r="S539" i="48"/>
  <c r="Z539" i="48"/>
  <c r="S179" i="48"/>
  <c r="Z179" i="48"/>
  <c r="S515" i="48"/>
  <c r="Z515" i="48"/>
  <c r="S419" i="48"/>
  <c r="Z419" i="48"/>
  <c r="S323" i="48"/>
  <c r="Z323" i="48"/>
  <c r="S227" i="48"/>
  <c r="Z227" i="48"/>
  <c r="T44" i="48"/>
  <c r="AS1127" i="48"/>
  <c r="M1127" i="48"/>
  <c r="AS671" i="48"/>
  <c r="M671" i="48"/>
  <c r="AS1319" i="48"/>
  <c r="M1319" i="48"/>
  <c r="AS1103" i="48"/>
  <c r="M1103" i="48"/>
  <c r="AS911" i="48"/>
  <c r="M911" i="48"/>
  <c r="AS743" i="48"/>
  <c r="M743" i="48"/>
  <c r="AS167" i="48"/>
  <c r="M167" i="48"/>
  <c r="AS431" i="48"/>
  <c r="M431" i="48"/>
  <c r="AS239" i="48"/>
  <c r="M239" i="48"/>
  <c r="AS1251" i="48"/>
  <c r="M1251" i="48"/>
  <c r="AS1275" i="48"/>
  <c r="M1275" i="48"/>
  <c r="AS1323" i="48"/>
  <c r="M1323" i="48"/>
  <c r="AS1207" i="48"/>
  <c r="M1207" i="48"/>
  <c r="AS1079" i="48"/>
  <c r="M1079" i="48"/>
  <c r="AS983" i="48"/>
  <c r="M983" i="48"/>
  <c r="AS815" i="48"/>
  <c r="M815" i="48"/>
  <c r="AS719" i="48"/>
  <c r="M719" i="48"/>
  <c r="AS623" i="48"/>
  <c r="M623" i="48"/>
  <c r="AS95" i="48"/>
  <c r="M95" i="48"/>
  <c r="AS119" i="48"/>
  <c r="M119" i="48"/>
  <c r="AS503" i="48"/>
  <c r="M503" i="48"/>
  <c r="AS407" i="48"/>
  <c r="M407" i="48"/>
  <c r="AS311" i="48"/>
  <c r="M311" i="48"/>
  <c r="AS823" i="48"/>
  <c r="M823" i="48"/>
  <c r="AS1183" i="48"/>
  <c r="M1183" i="48"/>
  <c r="AS1087" i="48"/>
  <c r="M1087" i="48"/>
  <c r="AS991" i="48"/>
  <c r="M991" i="48"/>
  <c r="AS895" i="48"/>
  <c r="M895" i="48"/>
  <c r="AS775" i="48"/>
  <c r="M775" i="48"/>
  <c r="AS679" i="48"/>
  <c r="M679" i="48"/>
  <c r="AS583" i="48"/>
  <c r="M583" i="48"/>
  <c r="AS535" i="48"/>
  <c r="M535" i="48"/>
  <c r="AS439" i="48"/>
  <c r="M439" i="48"/>
  <c r="AS343" i="48"/>
  <c r="M343" i="48"/>
  <c r="AS247" i="48"/>
  <c r="M247" i="48"/>
  <c r="AS1235" i="48"/>
  <c r="M1235" i="48"/>
  <c r="AS891" i="48"/>
  <c r="M891" i="48"/>
  <c r="AS1155" i="48"/>
  <c r="M1155" i="48"/>
  <c r="AS1059" i="48"/>
  <c r="M1059" i="48"/>
  <c r="AS963" i="48"/>
  <c r="M963" i="48"/>
  <c r="AS771" i="48"/>
  <c r="M771" i="48"/>
  <c r="AS675" i="48"/>
  <c r="M675" i="48"/>
  <c r="AS579" i="48"/>
  <c r="M579" i="48"/>
  <c r="AS219" i="48"/>
  <c r="M219" i="48"/>
  <c r="AS459" i="48"/>
  <c r="M459" i="48"/>
  <c r="AS363" i="48"/>
  <c r="M363" i="48"/>
  <c r="AS267" i="48"/>
  <c r="M267" i="48"/>
  <c r="AS875" i="48"/>
  <c r="M875" i="48"/>
  <c r="AS1163" i="48"/>
  <c r="M1163" i="48"/>
  <c r="AS1067" i="48"/>
  <c r="M1067" i="48"/>
  <c r="AS971" i="48"/>
  <c r="M971" i="48"/>
  <c r="AS755" i="48"/>
  <c r="M755" i="48"/>
  <c r="AS659" i="48"/>
  <c r="M659" i="48"/>
  <c r="AS563" i="48"/>
  <c r="M563" i="48"/>
  <c r="AS107" i="48"/>
  <c r="M107" i="48"/>
  <c r="AS443" i="48"/>
  <c r="M443" i="48"/>
  <c r="AS347" i="48"/>
  <c r="M347" i="48"/>
  <c r="AS251" i="48"/>
  <c r="M251" i="48"/>
  <c r="AS1331" i="48"/>
  <c r="M1331" i="48"/>
  <c r="AS935" i="48"/>
  <c r="M935" i="48"/>
  <c r="AS767" i="48"/>
  <c r="M767" i="48"/>
  <c r="AS1295" i="48"/>
  <c r="M1295" i="48"/>
  <c r="AS1259" i="48"/>
  <c r="M1259" i="48"/>
  <c r="AS1007" i="48"/>
  <c r="M1007" i="48"/>
  <c r="AS191" i="48"/>
  <c r="M191" i="48"/>
  <c r="AS551" i="48"/>
  <c r="M551" i="48"/>
  <c r="AS527" i="48"/>
  <c r="M527" i="48"/>
  <c r="AS1015" i="48"/>
  <c r="M1015" i="48"/>
  <c r="AS1299" i="48"/>
  <c r="M1299" i="48"/>
  <c r="AS1175" i="48"/>
  <c r="M1175" i="48"/>
  <c r="AS887" i="48"/>
  <c r="M887" i="48"/>
  <c r="AS1279" i="48"/>
  <c r="M1279" i="48"/>
  <c r="AS1303" i="48"/>
  <c r="M1303" i="48"/>
  <c r="AS1327" i="48"/>
  <c r="M1327" i="48"/>
  <c r="AS1227" i="48"/>
  <c r="M1227" i="48"/>
  <c r="AS1151" i="48"/>
  <c r="M1151" i="48"/>
  <c r="AS1055" i="48"/>
  <c r="M1055" i="48"/>
  <c r="AS959" i="48"/>
  <c r="M959" i="48"/>
  <c r="AS863" i="48"/>
  <c r="M863" i="48"/>
  <c r="AS791" i="48"/>
  <c r="M791" i="48"/>
  <c r="AS695" i="48"/>
  <c r="M695" i="48"/>
  <c r="AS599" i="48"/>
  <c r="M599" i="48"/>
  <c r="AS143" i="48"/>
  <c r="M143" i="48"/>
  <c r="AS71" i="48"/>
  <c r="M71" i="48"/>
  <c r="AS479" i="48"/>
  <c r="M479" i="48"/>
  <c r="AS383" i="48"/>
  <c r="M383" i="48"/>
  <c r="AS287" i="48"/>
  <c r="M287" i="48"/>
  <c r="AS1211" i="48"/>
  <c r="M1211" i="48"/>
  <c r="AS1159" i="48"/>
  <c r="M1159" i="48"/>
  <c r="AS1063" i="48"/>
  <c r="M1063" i="48"/>
  <c r="AS967" i="48"/>
  <c r="M967" i="48"/>
  <c r="AS871" i="48"/>
  <c r="M871" i="48"/>
  <c r="AS751" i="48"/>
  <c r="M751" i="48"/>
  <c r="AS655" i="48"/>
  <c r="M655" i="48"/>
  <c r="AS559" i="48"/>
  <c r="M559" i="48"/>
  <c r="AS175" i="48"/>
  <c r="M175" i="48"/>
  <c r="AS511" i="48"/>
  <c r="M511" i="48"/>
  <c r="AS415" i="48"/>
  <c r="M415" i="48"/>
  <c r="AS319" i="48"/>
  <c r="M319" i="48"/>
  <c r="AS223" i="48"/>
  <c r="M223" i="48"/>
  <c r="AS1271" i="48"/>
  <c r="M1271" i="48"/>
  <c r="AS867" i="48"/>
  <c r="M867" i="48"/>
  <c r="AS1131" i="48"/>
  <c r="M1131" i="48"/>
  <c r="AS1035" i="48"/>
  <c r="M1035" i="48"/>
  <c r="AS147" i="48"/>
  <c r="M147" i="48"/>
  <c r="AS747" i="48"/>
  <c r="M747" i="48"/>
  <c r="AS651" i="48"/>
  <c r="M651" i="48"/>
  <c r="AS555" i="48"/>
  <c r="M555" i="48"/>
  <c r="AS171" i="48"/>
  <c r="M171" i="48"/>
  <c r="AS531" i="48"/>
  <c r="M531" i="48"/>
  <c r="AS435" i="48"/>
  <c r="M435" i="48"/>
  <c r="AS339" i="48"/>
  <c r="M339" i="48"/>
  <c r="AS243" i="48"/>
  <c r="M243" i="48"/>
  <c r="AS851" i="48"/>
  <c r="M851" i="48"/>
  <c r="AS1139" i="48"/>
  <c r="M1139" i="48"/>
  <c r="AS1043" i="48"/>
  <c r="M1043" i="48"/>
  <c r="AS947" i="48"/>
  <c r="M947" i="48"/>
  <c r="AS731" i="48"/>
  <c r="M731" i="48"/>
  <c r="AS635" i="48"/>
  <c r="M635" i="48"/>
  <c r="AS539" i="48"/>
  <c r="M539" i="48"/>
  <c r="AS179" i="48"/>
  <c r="M179" i="48"/>
  <c r="AS515" i="48"/>
  <c r="M515" i="48"/>
  <c r="AS419" i="48"/>
  <c r="M419" i="48"/>
  <c r="AS323" i="48"/>
  <c r="M323" i="48"/>
  <c r="AS227" i="48"/>
  <c r="M227" i="48"/>
  <c r="AS1283" i="48"/>
  <c r="M1283" i="48"/>
  <c r="AS1031" i="48"/>
  <c r="M1031" i="48"/>
  <c r="AS839" i="48"/>
  <c r="M839" i="48"/>
  <c r="AS575" i="48"/>
  <c r="M575" i="48"/>
  <c r="AS215" i="48"/>
  <c r="M215" i="48"/>
  <c r="AS455" i="48"/>
  <c r="M455" i="48"/>
  <c r="AS359" i="48"/>
  <c r="M359" i="48"/>
  <c r="AS263" i="48"/>
  <c r="M263" i="48"/>
  <c r="AS1231" i="48"/>
  <c r="M1231" i="48"/>
  <c r="AS1135" i="48"/>
  <c r="M1135" i="48"/>
  <c r="AS1039" i="48"/>
  <c r="M1039" i="48"/>
  <c r="AS943" i="48"/>
  <c r="M943" i="48"/>
  <c r="AS847" i="48"/>
  <c r="M847" i="48"/>
  <c r="AS727" i="48"/>
  <c r="M727" i="48"/>
  <c r="AS631" i="48"/>
  <c r="M631" i="48"/>
  <c r="AS199" i="48"/>
  <c r="M199" i="48"/>
  <c r="AS127" i="48"/>
  <c r="M127" i="48"/>
  <c r="AS487" i="48"/>
  <c r="M487" i="48"/>
  <c r="AS391" i="48"/>
  <c r="M391" i="48"/>
  <c r="AS295" i="48"/>
  <c r="M295" i="48"/>
  <c r="AS1203" i="48"/>
  <c r="M1203" i="48"/>
  <c r="AS939" i="48"/>
  <c r="M939" i="48"/>
  <c r="AS843" i="48"/>
  <c r="M843" i="48"/>
  <c r="AS1107" i="48"/>
  <c r="M1107" i="48"/>
  <c r="AS1011" i="48"/>
  <c r="M1011" i="48"/>
  <c r="AS819" i="48"/>
  <c r="M819" i="48"/>
  <c r="AS723" i="48"/>
  <c r="M723" i="48"/>
  <c r="AS627" i="48"/>
  <c r="M627" i="48"/>
  <c r="AS195" i="48"/>
  <c r="M195" i="48"/>
  <c r="AS123" i="48"/>
  <c r="M123" i="48"/>
  <c r="AS507" i="48"/>
  <c r="M507" i="48"/>
  <c r="AS411" i="48"/>
  <c r="M411" i="48"/>
  <c r="AS315" i="48"/>
  <c r="M315" i="48"/>
  <c r="AS923" i="48"/>
  <c r="M923" i="48"/>
  <c r="AS827" i="48"/>
  <c r="M827" i="48"/>
  <c r="AS1115" i="48"/>
  <c r="M1115" i="48"/>
  <c r="AS1019" i="48"/>
  <c r="M1019" i="48"/>
  <c r="AS803" i="48"/>
  <c r="M803" i="48"/>
  <c r="AS707" i="48"/>
  <c r="M707" i="48"/>
  <c r="AS611" i="48"/>
  <c r="M611" i="48"/>
  <c r="AS155" i="48"/>
  <c r="M155" i="48"/>
  <c r="AS131" i="48"/>
  <c r="M131" i="48"/>
  <c r="AS491" i="48"/>
  <c r="M491" i="48"/>
  <c r="AS395" i="48"/>
  <c r="M395" i="48"/>
  <c r="AS299" i="48"/>
  <c r="M299" i="48"/>
  <c r="AS1307" i="48"/>
  <c r="M1307" i="48"/>
  <c r="AS1247" i="48"/>
  <c r="M1247" i="48"/>
  <c r="AS103" i="48"/>
  <c r="M103" i="48"/>
  <c r="AS647" i="48"/>
  <c r="M647" i="48"/>
  <c r="AS335" i="48"/>
  <c r="M335" i="48"/>
  <c r="AS1111" i="48"/>
  <c r="M1111" i="48"/>
  <c r="AS919" i="48"/>
  <c r="M919" i="48"/>
  <c r="AS799" i="48"/>
  <c r="M799" i="48"/>
  <c r="AS703" i="48"/>
  <c r="M703" i="48"/>
  <c r="AS607" i="48"/>
  <c r="M607" i="48"/>
  <c r="AS151" i="48"/>
  <c r="M151" i="48"/>
  <c r="AS79" i="48"/>
  <c r="M79" i="48"/>
  <c r="O55" i="48" s="1"/>
  <c r="AS463" i="48"/>
  <c r="M463" i="48"/>
  <c r="AS367" i="48"/>
  <c r="M367" i="48"/>
  <c r="AS271" i="48"/>
  <c r="M271" i="48"/>
  <c r="AS1223" i="48"/>
  <c r="M1223" i="48"/>
  <c r="AS915" i="48"/>
  <c r="M915" i="48"/>
  <c r="AS1179" i="48"/>
  <c r="M1179" i="48"/>
  <c r="AS1083" i="48"/>
  <c r="M1083" i="48"/>
  <c r="AS987" i="48"/>
  <c r="M987" i="48"/>
  <c r="AS795" i="48"/>
  <c r="M795" i="48"/>
  <c r="AS699" i="48"/>
  <c r="M699" i="48"/>
  <c r="AS603" i="48"/>
  <c r="M603" i="48"/>
  <c r="AS99" i="48"/>
  <c r="M99" i="48"/>
  <c r="AS75" i="48"/>
  <c r="M75" i="48"/>
  <c r="O51" i="48" s="1"/>
  <c r="AS483" i="48"/>
  <c r="M483" i="48"/>
  <c r="AS387" i="48"/>
  <c r="M387" i="48"/>
  <c r="AS291" i="48"/>
  <c r="M291" i="48"/>
  <c r="AS899" i="48"/>
  <c r="M899" i="48"/>
  <c r="AS1187" i="48"/>
  <c r="M1187" i="48"/>
  <c r="AS1091" i="48"/>
  <c r="M1091" i="48"/>
  <c r="AS995" i="48"/>
  <c r="M995" i="48"/>
  <c r="AS779" i="48"/>
  <c r="M779" i="48"/>
  <c r="AS683" i="48"/>
  <c r="M683" i="48"/>
  <c r="AS587" i="48"/>
  <c r="M587" i="48"/>
  <c r="AS203" i="48"/>
  <c r="M203" i="48"/>
  <c r="AS83" i="48"/>
  <c r="M83" i="48"/>
  <c r="AS467" i="48"/>
  <c r="M467" i="48"/>
  <c r="AS371" i="48"/>
  <c r="M371" i="48"/>
  <c r="AS275" i="48"/>
  <c r="M275" i="48"/>
  <c r="AS46" i="48"/>
  <c r="AR238" i="48"/>
  <c r="AR262" i="48"/>
  <c r="AR286" i="48"/>
  <c r="AR310" i="48"/>
  <c r="AR334" i="48"/>
  <c r="AR358" i="48"/>
  <c r="AR382" i="48"/>
  <c r="AR406" i="48"/>
  <c r="AR430" i="48"/>
  <c r="AR454" i="48"/>
  <c r="AR478" i="48"/>
  <c r="AR502" i="48"/>
  <c r="AR94" i="48"/>
  <c r="AR142" i="48"/>
  <c r="AR190" i="48"/>
  <c r="AR70" i="48"/>
  <c r="AR166" i="48"/>
  <c r="AR550" i="48"/>
  <c r="AR574" i="48"/>
  <c r="AR598" i="48"/>
  <c r="AR622" i="48"/>
  <c r="AR646" i="48"/>
  <c r="AR670" i="48"/>
  <c r="AR694" i="48"/>
  <c r="AR718" i="48"/>
  <c r="AR742" i="48"/>
  <c r="AR766" i="48"/>
  <c r="AR790" i="48"/>
  <c r="AR814" i="48"/>
  <c r="AR118" i="48"/>
  <c r="AR214" i="48"/>
  <c r="AR526" i="48"/>
  <c r="AR838" i="48"/>
  <c r="AR862" i="48"/>
  <c r="AR886" i="48"/>
  <c r="AR910" i="48"/>
  <c r="AR934" i="48"/>
  <c r="AR958" i="48"/>
  <c r="AR982" i="48"/>
  <c r="AR1006" i="48"/>
  <c r="AR1030" i="48"/>
  <c r="AR1054" i="48"/>
  <c r="AR1078" i="48"/>
  <c r="AR1102" i="48"/>
  <c r="AR1126" i="48"/>
  <c r="AR1150" i="48"/>
  <c r="AR1174" i="48"/>
  <c r="AR1198" i="48"/>
  <c r="AR1222" i="48"/>
  <c r="AR1246" i="48"/>
  <c r="AR1270" i="48"/>
  <c r="AR1294" i="48"/>
  <c r="AR1318" i="48"/>
  <c r="AS58" i="48"/>
  <c r="AR82" i="48"/>
  <c r="AR106" i="48"/>
  <c r="AR130" i="48"/>
  <c r="AR154" i="48"/>
  <c r="AR178" i="48"/>
  <c r="AR202" i="48"/>
  <c r="AR394" i="48"/>
  <c r="AR442" i="48"/>
  <c r="AR490" i="48"/>
  <c r="AR514" i="48"/>
  <c r="AR538" i="48"/>
  <c r="AR562" i="48"/>
  <c r="AR586" i="48"/>
  <c r="AR610" i="48"/>
  <c r="AR634" i="48"/>
  <c r="AR658" i="48"/>
  <c r="AR682" i="48"/>
  <c r="AR706" i="48"/>
  <c r="AR730" i="48"/>
  <c r="AR754" i="48"/>
  <c r="AR778" i="48"/>
  <c r="AR802" i="48"/>
  <c r="AR826" i="48"/>
  <c r="AR250" i="48"/>
  <c r="AR298" i="48"/>
  <c r="AR346" i="48"/>
  <c r="AR466" i="48"/>
  <c r="AR226" i="48"/>
  <c r="AR274" i="48"/>
  <c r="AR322" i="48"/>
  <c r="AR370" i="48"/>
  <c r="AR850" i="48"/>
  <c r="AR874" i="48"/>
  <c r="AR898" i="48"/>
  <c r="AR922" i="48"/>
  <c r="AR418" i="48"/>
  <c r="AR946" i="48"/>
  <c r="AR970" i="48"/>
  <c r="AR994" i="48"/>
  <c r="AR1018" i="48"/>
  <c r="AR1042" i="48"/>
  <c r="AR1066" i="48"/>
  <c r="AR1090" i="48"/>
  <c r="AR1114" i="48"/>
  <c r="AR1138" i="48"/>
  <c r="AR1162" i="48"/>
  <c r="AR1186" i="48"/>
  <c r="AR1210" i="48"/>
  <c r="AR1234" i="48"/>
  <c r="AR1258" i="48"/>
  <c r="AR1282" i="48"/>
  <c r="AR1306" i="48"/>
  <c r="AR1330" i="48"/>
  <c r="AE45" i="48"/>
  <c r="I1440" i="48"/>
  <c r="H1440" i="48"/>
  <c r="J1440" i="48"/>
  <c r="K1440" i="48" s="1"/>
  <c r="R1375" i="48"/>
  <c r="AE48" i="48"/>
  <c r="I1443" i="48"/>
  <c r="J1443" i="48"/>
  <c r="K1443" i="48" s="1"/>
  <c r="H1443" i="48"/>
  <c r="R1378" i="48"/>
  <c r="AE57" i="48"/>
  <c r="I1452" i="48"/>
  <c r="J1452" i="48"/>
  <c r="H1452" i="48"/>
  <c r="R1387" i="48"/>
  <c r="AS54" i="48"/>
  <c r="AR78" i="48"/>
  <c r="AR126" i="48"/>
  <c r="AR174" i="48"/>
  <c r="AR222" i="48"/>
  <c r="AR246" i="48"/>
  <c r="AR270" i="48"/>
  <c r="AR294" i="48"/>
  <c r="AR318" i="48"/>
  <c r="AR342" i="48"/>
  <c r="AR366" i="48"/>
  <c r="AR390" i="48"/>
  <c r="AR414" i="48"/>
  <c r="AR438" i="48"/>
  <c r="AR462" i="48"/>
  <c r="AR486" i="48"/>
  <c r="AR150" i="48"/>
  <c r="AR558" i="48"/>
  <c r="AR582" i="48"/>
  <c r="AR606" i="48"/>
  <c r="AR630" i="48"/>
  <c r="AR654" i="48"/>
  <c r="AR678" i="48"/>
  <c r="AR702" i="48"/>
  <c r="AR726" i="48"/>
  <c r="AR750" i="48"/>
  <c r="AR774" i="48"/>
  <c r="AR798" i="48"/>
  <c r="AR822" i="48"/>
  <c r="AR198" i="48"/>
  <c r="AR510" i="48"/>
  <c r="AR534" i="48"/>
  <c r="AR102" i="48"/>
  <c r="AR846" i="48"/>
  <c r="AR870" i="48"/>
  <c r="AR894" i="48"/>
  <c r="AR918" i="48"/>
  <c r="AR942" i="48"/>
  <c r="AR966" i="48"/>
  <c r="AR990" i="48"/>
  <c r="AR1014" i="48"/>
  <c r="AR1038" i="48"/>
  <c r="AR1062" i="48"/>
  <c r="AR1086" i="48"/>
  <c r="AR1110" i="48"/>
  <c r="AR1134" i="48"/>
  <c r="AR1158" i="48"/>
  <c r="AR1182" i="48"/>
  <c r="AR1206" i="48"/>
  <c r="AR1230" i="48"/>
  <c r="AR1254" i="48"/>
  <c r="AR1278" i="48"/>
  <c r="AR1302" i="48"/>
  <c r="AR1326" i="48"/>
  <c r="AF47" i="48"/>
  <c r="AE49" i="48"/>
  <c r="I1444" i="48"/>
  <c r="H1444" i="48"/>
  <c r="J1444" i="48"/>
  <c r="R1379" i="48"/>
  <c r="I1447" i="48"/>
  <c r="J1447" i="48"/>
  <c r="R1382" i="48"/>
  <c r="H1447" i="48"/>
  <c r="AE52" i="48"/>
  <c r="R1388" i="48"/>
  <c r="AS50" i="48"/>
  <c r="AR74" i="48"/>
  <c r="AR98" i="48"/>
  <c r="AR122" i="48"/>
  <c r="AR146" i="48"/>
  <c r="AR170" i="48"/>
  <c r="AR194" i="48"/>
  <c r="AR218" i="48"/>
  <c r="AR242" i="48"/>
  <c r="AR266" i="48"/>
  <c r="AR290" i="48"/>
  <c r="AR314" i="48"/>
  <c r="AR338" i="48"/>
  <c r="AR362" i="48"/>
  <c r="AR386" i="48"/>
  <c r="AR434" i="48"/>
  <c r="AR482" i="48"/>
  <c r="AR530" i="48"/>
  <c r="AR554" i="48"/>
  <c r="AR578" i="48"/>
  <c r="AR602" i="48"/>
  <c r="AR626" i="48"/>
  <c r="AR650" i="48"/>
  <c r="AR674" i="48"/>
  <c r="AR698" i="48"/>
  <c r="AR722" i="48"/>
  <c r="AR746" i="48"/>
  <c r="AR770" i="48"/>
  <c r="AR794" i="48"/>
  <c r="AR818" i="48"/>
  <c r="AR458" i="48"/>
  <c r="AR410" i="48"/>
  <c r="AR506" i="48"/>
  <c r="AR842" i="48"/>
  <c r="AR866" i="48"/>
  <c r="AR890" i="48"/>
  <c r="AR914" i="48"/>
  <c r="AR938" i="48"/>
  <c r="AR962" i="48"/>
  <c r="AR986" i="48"/>
  <c r="AR1010" i="48"/>
  <c r="AR1034" i="48"/>
  <c r="AR1058" i="48"/>
  <c r="AR1082" i="48"/>
  <c r="AR1106" i="48"/>
  <c r="AR1130" i="48"/>
  <c r="AR1154" i="48"/>
  <c r="AR1178" i="48"/>
  <c r="AR1202" i="48"/>
  <c r="AR1226" i="48"/>
  <c r="AR1250" i="48"/>
  <c r="AR1274" i="48"/>
  <c r="AR1298" i="48"/>
  <c r="AR1322" i="48"/>
  <c r="AE53" i="48"/>
  <c r="AF54" i="48" s="1"/>
  <c r="I1448" i="48"/>
  <c r="H1448" i="48"/>
  <c r="J1448" i="48"/>
  <c r="K1448" i="48" s="1"/>
  <c r="R1383" i="48"/>
  <c r="AE56" i="48"/>
  <c r="I1451" i="48"/>
  <c r="R1386" i="48"/>
  <c r="J1451" i="48"/>
  <c r="H1451" i="48"/>
  <c r="R1376" i="48"/>
  <c r="R1380" i="48"/>
  <c r="R1384" i="48"/>
  <c r="O59" i="48" l="1"/>
  <c r="U59" i="48"/>
  <c r="S1154" i="48"/>
  <c r="Z1154" i="48"/>
  <c r="S1058" i="48"/>
  <c r="Z1058" i="48"/>
  <c r="S458" i="48"/>
  <c r="Z458" i="48"/>
  <c r="S650" i="48"/>
  <c r="Z650" i="48"/>
  <c r="S554" i="48"/>
  <c r="Z554" i="48"/>
  <c r="S386" i="48"/>
  <c r="Z386" i="48"/>
  <c r="S194" i="48"/>
  <c r="Z194" i="48"/>
  <c r="S1014" i="48"/>
  <c r="Z1014" i="48"/>
  <c r="S630" i="48"/>
  <c r="Z630" i="48"/>
  <c r="S214" i="48"/>
  <c r="Z214" i="48"/>
  <c r="S1322" i="48"/>
  <c r="Z1322" i="48"/>
  <c r="S1034" i="48"/>
  <c r="Z1034" i="48"/>
  <c r="S722" i="48"/>
  <c r="Z722" i="48"/>
  <c r="S362" i="48"/>
  <c r="Z362" i="48"/>
  <c r="S1086" i="48"/>
  <c r="Z1086" i="48"/>
  <c r="S702" i="48"/>
  <c r="Z702" i="48"/>
  <c r="S390" i="48"/>
  <c r="Z390" i="48"/>
  <c r="S294" i="48"/>
  <c r="Z294" i="48"/>
  <c r="S174" i="48"/>
  <c r="Z174" i="48"/>
  <c r="S1306" i="48"/>
  <c r="Z1306" i="48"/>
  <c r="S1210" i="48"/>
  <c r="Z1210" i="48"/>
  <c r="S1114" i="48"/>
  <c r="Z1114" i="48"/>
  <c r="S1018" i="48"/>
  <c r="Z1018" i="48"/>
  <c r="S418" i="48"/>
  <c r="Z418" i="48"/>
  <c r="S850" i="48"/>
  <c r="Z850" i="48"/>
  <c r="S226" i="48"/>
  <c r="Z226" i="48"/>
  <c r="S250" i="48"/>
  <c r="Z250" i="48"/>
  <c r="S754" i="48"/>
  <c r="Z754" i="48"/>
  <c r="S658" i="48"/>
  <c r="Z658" i="48"/>
  <c r="S562" i="48"/>
  <c r="Z562" i="48"/>
  <c r="S442" i="48"/>
  <c r="Z442" i="48"/>
  <c r="S154" i="48"/>
  <c r="Z154" i="48"/>
  <c r="S1246" i="48"/>
  <c r="Z1246" i="48"/>
  <c r="S1150" i="48"/>
  <c r="Z1150" i="48"/>
  <c r="S1054" i="48"/>
  <c r="Z1054" i="48"/>
  <c r="S958" i="48"/>
  <c r="Z958" i="48"/>
  <c r="S862" i="48"/>
  <c r="Z862" i="48"/>
  <c r="S118" i="48"/>
  <c r="Z118" i="48"/>
  <c r="S742" i="48"/>
  <c r="Z742" i="48"/>
  <c r="S646" i="48"/>
  <c r="Z646" i="48"/>
  <c r="S550" i="48"/>
  <c r="Z550" i="48"/>
  <c r="S142" i="48"/>
  <c r="Z142" i="48"/>
  <c r="S454" i="48"/>
  <c r="Z454" i="48"/>
  <c r="S358" i="48"/>
  <c r="Z358" i="48"/>
  <c r="S262" i="48"/>
  <c r="Z262" i="48"/>
  <c r="AB47" i="48"/>
  <c r="AB55" i="48"/>
  <c r="S1250" i="48"/>
  <c r="Z1250" i="48"/>
  <c r="S962" i="48"/>
  <c r="Z962" i="48"/>
  <c r="S866" i="48"/>
  <c r="Z866" i="48"/>
  <c r="S746" i="48"/>
  <c r="Z746" i="48"/>
  <c r="S290" i="48"/>
  <c r="Z290" i="48"/>
  <c r="S98" i="48"/>
  <c r="Z98" i="48"/>
  <c r="S1206" i="48"/>
  <c r="Z1206" i="48"/>
  <c r="S102" i="48"/>
  <c r="Z102" i="48"/>
  <c r="S726" i="48"/>
  <c r="Z726" i="48"/>
  <c r="S414" i="48"/>
  <c r="Z414" i="48"/>
  <c r="S222" i="48"/>
  <c r="Z222" i="48"/>
  <c r="S1330" i="48"/>
  <c r="Z1330" i="48"/>
  <c r="S1138" i="48"/>
  <c r="Z1138" i="48"/>
  <c r="S946" i="48"/>
  <c r="Z946" i="48"/>
  <c r="S274" i="48"/>
  <c r="Z274" i="48"/>
  <c r="S298" i="48"/>
  <c r="Z298" i="48"/>
  <c r="S586" i="48"/>
  <c r="Z586" i="48"/>
  <c r="S178" i="48"/>
  <c r="Z178" i="48"/>
  <c r="S1174" i="48"/>
  <c r="Z1174" i="48"/>
  <c r="S982" i="48"/>
  <c r="Z982" i="48"/>
  <c r="S766" i="48"/>
  <c r="Z766" i="48"/>
  <c r="S574" i="48"/>
  <c r="Z574" i="48"/>
  <c r="S478" i="48"/>
  <c r="Z478" i="48"/>
  <c r="S286" i="48"/>
  <c r="Z286" i="48"/>
  <c r="AB59" i="48"/>
  <c r="S1226" i="48"/>
  <c r="Z1226" i="48"/>
  <c r="S1130" i="48"/>
  <c r="Z1130" i="48"/>
  <c r="S938" i="48"/>
  <c r="Z938" i="48"/>
  <c r="S842" i="48"/>
  <c r="Z842" i="48"/>
  <c r="S818" i="48"/>
  <c r="Z818" i="48"/>
  <c r="S626" i="48"/>
  <c r="Z626" i="48"/>
  <c r="S530" i="48"/>
  <c r="Z530" i="48"/>
  <c r="S266" i="48"/>
  <c r="Z266" i="48"/>
  <c r="S170" i="48"/>
  <c r="Z170" i="48"/>
  <c r="S74" i="48"/>
  <c r="Z74" i="48"/>
  <c r="S1278" i="48"/>
  <c r="Z1278" i="48"/>
  <c r="S894" i="48"/>
  <c r="Z894" i="48"/>
  <c r="S798" i="48"/>
  <c r="Z798" i="48"/>
  <c r="S486" i="48"/>
  <c r="Z486" i="48"/>
  <c r="S1298" i="48"/>
  <c r="Z1298" i="48"/>
  <c r="S1202" i="48"/>
  <c r="Z1202" i="48"/>
  <c r="S1106" i="48"/>
  <c r="Z1106" i="48"/>
  <c r="S1010" i="48"/>
  <c r="Z1010" i="48"/>
  <c r="S914" i="48"/>
  <c r="Z914" i="48"/>
  <c r="S506" i="48"/>
  <c r="Z506" i="48"/>
  <c r="S794" i="48"/>
  <c r="Z794" i="48"/>
  <c r="S698" i="48"/>
  <c r="Z698" i="48"/>
  <c r="S602" i="48"/>
  <c r="Z602" i="48"/>
  <c r="S482" i="48"/>
  <c r="Z482" i="48"/>
  <c r="S338" i="48"/>
  <c r="Z338" i="48"/>
  <c r="S242" i="48"/>
  <c r="Z242" i="48"/>
  <c r="S146" i="48"/>
  <c r="Z146" i="48"/>
  <c r="K1444" i="48"/>
  <c r="S1254" i="48"/>
  <c r="Z1254" i="48"/>
  <c r="S1158" i="48"/>
  <c r="Z1158" i="48"/>
  <c r="S1062" i="48"/>
  <c r="Z1062" i="48"/>
  <c r="S966" i="48"/>
  <c r="Z966" i="48"/>
  <c r="S870" i="48"/>
  <c r="Z870" i="48"/>
  <c r="S510" i="48"/>
  <c r="Z510" i="48"/>
  <c r="S774" i="48"/>
  <c r="Z774" i="48"/>
  <c r="S678" i="48"/>
  <c r="Z678" i="48"/>
  <c r="S582" i="48"/>
  <c r="Z582" i="48"/>
  <c r="S462" i="48"/>
  <c r="Z462" i="48"/>
  <c r="S366" i="48"/>
  <c r="Z366" i="48"/>
  <c r="S270" i="48"/>
  <c r="Z270" i="48"/>
  <c r="S126" i="48"/>
  <c r="Z126" i="48"/>
  <c r="S1282" i="48"/>
  <c r="Z1282" i="48"/>
  <c r="S1186" i="48"/>
  <c r="Z1186" i="48"/>
  <c r="S1090" i="48"/>
  <c r="Z1090" i="48"/>
  <c r="S994" i="48"/>
  <c r="Z994" i="48"/>
  <c r="S922" i="48"/>
  <c r="Z922" i="48"/>
  <c r="S370" i="48"/>
  <c r="Z370" i="48"/>
  <c r="S466" i="48"/>
  <c r="Z466" i="48"/>
  <c r="S826" i="48"/>
  <c r="Z826" i="48"/>
  <c r="S730" i="48"/>
  <c r="Z730" i="48"/>
  <c r="S634" i="48"/>
  <c r="Z634" i="48"/>
  <c r="S538" i="48"/>
  <c r="Z538" i="48"/>
  <c r="S394" i="48"/>
  <c r="Z394" i="48"/>
  <c r="S130" i="48"/>
  <c r="Z130" i="48"/>
  <c r="S1318" i="48"/>
  <c r="Z1318" i="48"/>
  <c r="S1222" i="48"/>
  <c r="Z1222" i="48"/>
  <c r="S1126" i="48"/>
  <c r="Z1126" i="48"/>
  <c r="S1030" i="48"/>
  <c r="Z1030" i="48"/>
  <c r="S934" i="48"/>
  <c r="Z934" i="48"/>
  <c r="S838" i="48"/>
  <c r="Z838" i="48"/>
  <c r="S814" i="48"/>
  <c r="Z814" i="48"/>
  <c r="S718" i="48"/>
  <c r="Z718" i="48"/>
  <c r="S622" i="48"/>
  <c r="Z622" i="48"/>
  <c r="S166" i="48"/>
  <c r="Z166" i="48"/>
  <c r="S94" i="48"/>
  <c r="Z94" i="48"/>
  <c r="S430" i="48"/>
  <c r="Z430" i="48"/>
  <c r="S334" i="48"/>
  <c r="Z334" i="48"/>
  <c r="S238" i="48"/>
  <c r="Z238" i="48"/>
  <c r="S1302" i="48"/>
  <c r="Z1302" i="48"/>
  <c r="S1110" i="48"/>
  <c r="Z1110" i="48"/>
  <c r="S918" i="48"/>
  <c r="Z918" i="48"/>
  <c r="S822" i="48"/>
  <c r="Z822" i="48"/>
  <c r="S150" i="48"/>
  <c r="Z150" i="48"/>
  <c r="S318" i="48"/>
  <c r="Z318" i="48"/>
  <c r="S1234" i="48"/>
  <c r="Z1234" i="48"/>
  <c r="S1042" i="48"/>
  <c r="Z1042" i="48"/>
  <c r="S874" i="48"/>
  <c r="Z874" i="48"/>
  <c r="S778" i="48"/>
  <c r="Z778" i="48"/>
  <c r="S682" i="48"/>
  <c r="Z682" i="48"/>
  <c r="S490" i="48"/>
  <c r="Z490" i="48"/>
  <c r="S82" i="48"/>
  <c r="Z82" i="48"/>
  <c r="S1270" i="48"/>
  <c r="Z1270" i="48"/>
  <c r="S1078" i="48"/>
  <c r="Z1078" i="48"/>
  <c r="S886" i="48"/>
  <c r="Z886" i="48"/>
  <c r="S670" i="48"/>
  <c r="Z670" i="48"/>
  <c r="S190" i="48"/>
  <c r="Z190" i="48"/>
  <c r="S382" i="48"/>
  <c r="Z382" i="48"/>
  <c r="S1182" i="48"/>
  <c r="Z1182" i="48"/>
  <c r="S990" i="48"/>
  <c r="Z990" i="48"/>
  <c r="S534" i="48"/>
  <c r="Z534" i="48"/>
  <c r="S606" i="48"/>
  <c r="Z606" i="48"/>
  <c r="K1451" i="48"/>
  <c r="S1274" i="48"/>
  <c r="Z1274" i="48"/>
  <c r="S1178" i="48"/>
  <c r="Z1178" i="48"/>
  <c r="S1082" i="48"/>
  <c r="Z1082" i="48"/>
  <c r="S986" i="48"/>
  <c r="Z986" i="48"/>
  <c r="S890" i="48"/>
  <c r="Z890" i="48"/>
  <c r="S410" i="48"/>
  <c r="Z410" i="48"/>
  <c r="S770" i="48"/>
  <c r="Z770" i="48"/>
  <c r="S674" i="48"/>
  <c r="Z674" i="48"/>
  <c r="S578" i="48"/>
  <c r="Z578" i="48"/>
  <c r="S434" i="48"/>
  <c r="Z434" i="48"/>
  <c r="S314" i="48"/>
  <c r="Z314" i="48"/>
  <c r="S218" i="48"/>
  <c r="Z218" i="48"/>
  <c r="S122" i="48"/>
  <c r="Z122" i="48"/>
  <c r="K1447" i="48"/>
  <c r="S1326" i="48"/>
  <c r="Z1326" i="48"/>
  <c r="S1230" i="48"/>
  <c r="Z1230" i="48"/>
  <c r="S1134" i="48"/>
  <c r="Z1134" i="48"/>
  <c r="S1038" i="48"/>
  <c r="Z1038" i="48"/>
  <c r="S942" i="48"/>
  <c r="Z942" i="48"/>
  <c r="S846" i="48"/>
  <c r="Z846" i="48"/>
  <c r="S198" i="48"/>
  <c r="Z198" i="48"/>
  <c r="S750" i="48"/>
  <c r="Z750" i="48"/>
  <c r="S654" i="48"/>
  <c r="Z654" i="48"/>
  <c r="S558" i="48"/>
  <c r="Z558" i="48"/>
  <c r="S438" i="48"/>
  <c r="Z438" i="48"/>
  <c r="S342" i="48"/>
  <c r="Z342" i="48"/>
  <c r="S246" i="48"/>
  <c r="Z246" i="48"/>
  <c r="S78" i="48"/>
  <c r="Z78" i="48"/>
  <c r="K1452" i="48"/>
  <c r="S1258" i="48"/>
  <c r="Z1258" i="48"/>
  <c r="S1162" i="48"/>
  <c r="Z1162" i="48"/>
  <c r="S1066" i="48"/>
  <c r="Z1066" i="48"/>
  <c r="S970" i="48"/>
  <c r="Z970" i="48"/>
  <c r="S898" i="48"/>
  <c r="Z898" i="48"/>
  <c r="S322" i="48"/>
  <c r="Z322" i="48"/>
  <c r="S346" i="48"/>
  <c r="Z346" i="48"/>
  <c r="S802" i="48"/>
  <c r="Z802" i="48"/>
  <c r="S706" i="48"/>
  <c r="Z706" i="48"/>
  <c r="S610" i="48"/>
  <c r="Z610" i="48"/>
  <c r="S514" i="48"/>
  <c r="Z514" i="48"/>
  <c r="S202" i="48"/>
  <c r="Z202" i="48"/>
  <c r="S106" i="48"/>
  <c r="Z106" i="48"/>
  <c r="S1294" i="48"/>
  <c r="Z1294" i="48"/>
  <c r="S1198" i="48"/>
  <c r="Z1198" i="48"/>
  <c r="S1102" i="48"/>
  <c r="Z1102" i="48"/>
  <c r="S1006" i="48"/>
  <c r="Z1006" i="48"/>
  <c r="S910" i="48"/>
  <c r="Z910" i="48"/>
  <c r="S526" i="48"/>
  <c r="Z526" i="48"/>
  <c r="S790" i="48"/>
  <c r="Z790" i="48"/>
  <c r="S694" i="48"/>
  <c r="Z694" i="48"/>
  <c r="S598" i="48"/>
  <c r="Z598" i="48"/>
  <c r="S70" i="48"/>
  <c r="Z70" i="48"/>
  <c r="S502" i="48"/>
  <c r="Z502" i="48"/>
  <c r="S406" i="48"/>
  <c r="Z406" i="48"/>
  <c r="S310" i="48"/>
  <c r="Z310" i="48"/>
  <c r="AS1274" i="48"/>
  <c r="M1274" i="48"/>
  <c r="AS1082" i="48"/>
  <c r="M1082" i="48"/>
  <c r="AS410" i="48"/>
  <c r="M410" i="48"/>
  <c r="AS674" i="48"/>
  <c r="M674" i="48"/>
  <c r="AS314" i="48"/>
  <c r="M314" i="48"/>
  <c r="AS1230" i="48"/>
  <c r="M1230" i="48"/>
  <c r="AS1038" i="48"/>
  <c r="M1038" i="48"/>
  <c r="AS198" i="48"/>
  <c r="M198" i="48"/>
  <c r="AS558" i="48"/>
  <c r="M558" i="48"/>
  <c r="AS342" i="48"/>
  <c r="M342" i="48"/>
  <c r="AS78" i="48"/>
  <c r="M78" i="48"/>
  <c r="AS970" i="48"/>
  <c r="M970" i="48"/>
  <c r="AS1206" i="48"/>
  <c r="M1206" i="48"/>
  <c r="AS1014" i="48"/>
  <c r="M1014" i="48"/>
  <c r="AS102" i="48"/>
  <c r="M102" i="48"/>
  <c r="AS726" i="48"/>
  <c r="M726" i="48"/>
  <c r="AS150" i="48"/>
  <c r="M150" i="48"/>
  <c r="AS318" i="48"/>
  <c r="M318" i="48"/>
  <c r="AS1234" i="48"/>
  <c r="M1234" i="48"/>
  <c r="AS946" i="48"/>
  <c r="M946" i="48"/>
  <c r="AS298" i="48"/>
  <c r="M298" i="48"/>
  <c r="AS682" i="48"/>
  <c r="M682" i="48"/>
  <c r="AS490" i="48"/>
  <c r="M490" i="48"/>
  <c r="AS82" i="48"/>
  <c r="M82" i="48"/>
  <c r="AS1174" i="48"/>
  <c r="M1174" i="48"/>
  <c r="AS982" i="48"/>
  <c r="M982" i="48"/>
  <c r="AS214" i="48"/>
  <c r="M214" i="48"/>
  <c r="AS670" i="48"/>
  <c r="M670" i="48"/>
  <c r="AS190" i="48"/>
  <c r="M190" i="48"/>
  <c r="AS382" i="48"/>
  <c r="M382" i="48"/>
  <c r="AS1322" i="48"/>
  <c r="M1322" i="48"/>
  <c r="AS1226" i="48"/>
  <c r="M1226" i="48"/>
  <c r="AS1130" i="48"/>
  <c r="M1130" i="48"/>
  <c r="AS1034" i="48"/>
  <c r="M1034" i="48"/>
  <c r="AS938" i="48"/>
  <c r="M938" i="48"/>
  <c r="AS842" i="48"/>
  <c r="M842" i="48"/>
  <c r="AS818" i="48"/>
  <c r="M818" i="48"/>
  <c r="AS722" i="48"/>
  <c r="M722" i="48"/>
  <c r="AS626" i="48"/>
  <c r="M626" i="48"/>
  <c r="AS530" i="48"/>
  <c r="M530" i="48"/>
  <c r="AS362" i="48"/>
  <c r="M362" i="48"/>
  <c r="AS266" i="48"/>
  <c r="M266" i="48"/>
  <c r="AS170" i="48"/>
  <c r="M170" i="48"/>
  <c r="AS74" i="48"/>
  <c r="M74" i="48"/>
  <c r="AS1278" i="48"/>
  <c r="M1278" i="48"/>
  <c r="AS1182" i="48"/>
  <c r="M1182" i="48"/>
  <c r="AS1086" i="48"/>
  <c r="M1086" i="48"/>
  <c r="AS990" i="48"/>
  <c r="M990" i="48"/>
  <c r="AS894" i="48"/>
  <c r="M894" i="48"/>
  <c r="AS534" i="48"/>
  <c r="M534" i="48"/>
  <c r="AS798" i="48"/>
  <c r="M798" i="48"/>
  <c r="AS702" i="48"/>
  <c r="M702" i="48"/>
  <c r="AS606" i="48"/>
  <c r="M606" i="48"/>
  <c r="AS486" i="48"/>
  <c r="M486" i="48"/>
  <c r="AS390" i="48"/>
  <c r="M390" i="48"/>
  <c r="AS294" i="48"/>
  <c r="M294" i="48"/>
  <c r="AS174" i="48"/>
  <c r="M174" i="48"/>
  <c r="AS1306" i="48"/>
  <c r="M1306" i="48"/>
  <c r="AS1210" i="48"/>
  <c r="M1210" i="48"/>
  <c r="AS1114" i="48"/>
  <c r="M1114" i="48"/>
  <c r="AS1018" i="48"/>
  <c r="M1018" i="48"/>
  <c r="AS418" i="48"/>
  <c r="M418" i="48"/>
  <c r="AS850" i="48"/>
  <c r="M850" i="48"/>
  <c r="AS226" i="48"/>
  <c r="M226" i="48"/>
  <c r="AS250" i="48"/>
  <c r="M250" i="48"/>
  <c r="AS754" i="48"/>
  <c r="M754" i="48"/>
  <c r="AS658" i="48"/>
  <c r="M658" i="48"/>
  <c r="AS562" i="48"/>
  <c r="M562" i="48"/>
  <c r="AS442" i="48"/>
  <c r="M442" i="48"/>
  <c r="AS154" i="48"/>
  <c r="M154" i="48"/>
  <c r="AS1246" i="48"/>
  <c r="M1246" i="48"/>
  <c r="AS1150" i="48"/>
  <c r="M1150" i="48"/>
  <c r="AS1054" i="48"/>
  <c r="M1054" i="48"/>
  <c r="AS958" i="48"/>
  <c r="M958" i="48"/>
  <c r="AS862" i="48"/>
  <c r="M862" i="48"/>
  <c r="AS118" i="48"/>
  <c r="M118" i="48"/>
  <c r="AS742" i="48"/>
  <c r="M742" i="48"/>
  <c r="AS646" i="48"/>
  <c r="M646" i="48"/>
  <c r="AS550" i="48"/>
  <c r="M550" i="48"/>
  <c r="AS142" i="48"/>
  <c r="M142" i="48"/>
  <c r="AS454" i="48"/>
  <c r="M454" i="48"/>
  <c r="AS358" i="48"/>
  <c r="M358" i="48"/>
  <c r="AS262" i="48"/>
  <c r="M262" i="48"/>
  <c r="AS1178" i="48"/>
  <c r="M1178" i="48"/>
  <c r="AS890" i="48"/>
  <c r="M890" i="48"/>
  <c r="AS770" i="48"/>
  <c r="M770" i="48"/>
  <c r="AS434" i="48"/>
  <c r="M434" i="48"/>
  <c r="AS218" i="48"/>
  <c r="M218" i="48"/>
  <c r="AS1326" i="48"/>
  <c r="M1326" i="48"/>
  <c r="AS942" i="48"/>
  <c r="M942" i="48"/>
  <c r="AS846" i="48"/>
  <c r="M846" i="48"/>
  <c r="AS654" i="48"/>
  <c r="M654" i="48"/>
  <c r="AS438" i="48"/>
  <c r="M438" i="48"/>
  <c r="AS246" i="48"/>
  <c r="M246" i="48"/>
  <c r="AS1162" i="48"/>
  <c r="M1162" i="48"/>
  <c r="AS322" i="48"/>
  <c r="M322" i="48"/>
  <c r="AS706" i="48"/>
  <c r="M706" i="48"/>
  <c r="AS202" i="48"/>
  <c r="M202" i="48"/>
  <c r="AS1198" i="48"/>
  <c r="M1198" i="48"/>
  <c r="AS1006" i="48"/>
  <c r="M1006" i="48"/>
  <c r="AS790" i="48"/>
  <c r="M790" i="48"/>
  <c r="AS598" i="48"/>
  <c r="M598" i="48"/>
  <c r="AS70" i="48"/>
  <c r="M70" i="48"/>
  <c r="AS406" i="48"/>
  <c r="M406" i="48"/>
  <c r="AS1250" i="48"/>
  <c r="M1250" i="48"/>
  <c r="AS1154" i="48"/>
  <c r="M1154" i="48"/>
  <c r="AS1058" i="48"/>
  <c r="M1058" i="48"/>
  <c r="AS962" i="48"/>
  <c r="M962" i="48"/>
  <c r="AS866" i="48"/>
  <c r="M866" i="48"/>
  <c r="AS458" i="48"/>
  <c r="M458" i="48"/>
  <c r="AS650" i="48"/>
  <c r="M650" i="48"/>
  <c r="AS554" i="48"/>
  <c r="M554" i="48"/>
  <c r="AS386" i="48"/>
  <c r="M386" i="48"/>
  <c r="AS290" i="48"/>
  <c r="M290" i="48"/>
  <c r="AS194" i="48"/>
  <c r="M194" i="48"/>
  <c r="AS98" i="48"/>
  <c r="M98" i="48"/>
  <c r="AS1302" i="48"/>
  <c r="M1302" i="48"/>
  <c r="AS1110" i="48"/>
  <c r="M1110" i="48"/>
  <c r="AS918" i="48"/>
  <c r="M918" i="48"/>
  <c r="AS822" i="48"/>
  <c r="M822" i="48"/>
  <c r="AS630" i="48"/>
  <c r="M630" i="48"/>
  <c r="AS414" i="48"/>
  <c r="M414" i="48"/>
  <c r="AS222" i="48"/>
  <c r="M222" i="48"/>
  <c r="AS1330" i="48"/>
  <c r="M1330" i="48"/>
  <c r="AS1042" i="48"/>
  <c r="M1042" i="48"/>
  <c r="AS874" i="48"/>
  <c r="M874" i="48"/>
  <c r="AS274" i="48"/>
  <c r="M274" i="48"/>
  <c r="AS778" i="48"/>
  <c r="M778" i="48"/>
  <c r="AS586" i="48"/>
  <c r="M586" i="48"/>
  <c r="AS178" i="48"/>
  <c r="M178" i="48"/>
  <c r="AS1270" i="48"/>
  <c r="M1270" i="48"/>
  <c r="AS1078" i="48"/>
  <c r="M1078" i="48"/>
  <c r="AS886" i="48"/>
  <c r="M886" i="48"/>
  <c r="AS766" i="48"/>
  <c r="M766" i="48"/>
  <c r="AS574" i="48"/>
  <c r="M574" i="48"/>
  <c r="AS478" i="48"/>
  <c r="M478" i="48"/>
  <c r="AS286" i="48"/>
  <c r="M286" i="48"/>
  <c r="AS1298" i="48"/>
  <c r="M1298" i="48"/>
  <c r="AS1202" i="48"/>
  <c r="M1202" i="48"/>
  <c r="AS1106" i="48"/>
  <c r="M1106" i="48"/>
  <c r="AS1010" i="48"/>
  <c r="M1010" i="48"/>
  <c r="AS914" i="48"/>
  <c r="M914" i="48"/>
  <c r="AS506" i="48"/>
  <c r="M506" i="48"/>
  <c r="AS794" i="48"/>
  <c r="M794" i="48"/>
  <c r="AS698" i="48"/>
  <c r="M698" i="48"/>
  <c r="AS602" i="48"/>
  <c r="M602" i="48"/>
  <c r="AS482" i="48"/>
  <c r="M482" i="48"/>
  <c r="AS338" i="48"/>
  <c r="M338" i="48"/>
  <c r="AS242" i="48"/>
  <c r="M242" i="48"/>
  <c r="AS146" i="48"/>
  <c r="M146" i="48"/>
  <c r="AS1254" i="48"/>
  <c r="M1254" i="48"/>
  <c r="AS1158" i="48"/>
  <c r="M1158" i="48"/>
  <c r="AS1062" i="48"/>
  <c r="M1062" i="48"/>
  <c r="AS966" i="48"/>
  <c r="M966" i="48"/>
  <c r="AS870" i="48"/>
  <c r="M870" i="48"/>
  <c r="AS510" i="48"/>
  <c r="M510" i="48"/>
  <c r="AS774" i="48"/>
  <c r="M774" i="48"/>
  <c r="AS678" i="48"/>
  <c r="M678" i="48"/>
  <c r="AS582" i="48"/>
  <c r="M582" i="48"/>
  <c r="AS462" i="48"/>
  <c r="M462" i="48"/>
  <c r="AS366" i="48"/>
  <c r="M366" i="48"/>
  <c r="AS270" i="48"/>
  <c r="M270" i="48"/>
  <c r="AS126" i="48"/>
  <c r="M126" i="48"/>
  <c r="AS1282" i="48"/>
  <c r="M1282" i="48"/>
  <c r="AS1186" i="48"/>
  <c r="M1186" i="48"/>
  <c r="AS1090" i="48"/>
  <c r="M1090" i="48"/>
  <c r="AS994" i="48"/>
  <c r="M994" i="48"/>
  <c r="AS922" i="48"/>
  <c r="M922" i="48"/>
  <c r="AS370" i="48"/>
  <c r="M370" i="48"/>
  <c r="AS466" i="48"/>
  <c r="M466" i="48"/>
  <c r="AS826" i="48"/>
  <c r="M826" i="48"/>
  <c r="AS730" i="48"/>
  <c r="M730" i="48"/>
  <c r="AS634" i="48"/>
  <c r="M634" i="48"/>
  <c r="AS538" i="48"/>
  <c r="M538" i="48"/>
  <c r="AS394" i="48"/>
  <c r="M394" i="48"/>
  <c r="AS130" i="48"/>
  <c r="M130" i="48"/>
  <c r="AS1318" i="48"/>
  <c r="M1318" i="48"/>
  <c r="AS1222" i="48"/>
  <c r="M1222" i="48"/>
  <c r="AS1126" i="48"/>
  <c r="M1126" i="48"/>
  <c r="AS1030" i="48"/>
  <c r="M1030" i="48"/>
  <c r="AS934" i="48"/>
  <c r="M934" i="48"/>
  <c r="AS838" i="48"/>
  <c r="M838" i="48"/>
  <c r="AS814" i="48"/>
  <c r="M814" i="48"/>
  <c r="AS718" i="48"/>
  <c r="M718" i="48"/>
  <c r="AS622" i="48"/>
  <c r="M622" i="48"/>
  <c r="AS166" i="48"/>
  <c r="M166" i="48"/>
  <c r="AS94" i="48"/>
  <c r="M94" i="48"/>
  <c r="AS430" i="48"/>
  <c r="M430" i="48"/>
  <c r="AS334" i="48"/>
  <c r="M334" i="48"/>
  <c r="AS238" i="48"/>
  <c r="M238" i="48"/>
  <c r="AS986" i="48"/>
  <c r="M986" i="48"/>
  <c r="AS578" i="48"/>
  <c r="M578" i="48"/>
  <c r="AS122" i="48"/>
  <c r="M122" i="48"/>
  <c r="AS1134" i="48"/>
  <c r="M1134" i="48"/>
  <c r="AS750" i="48"/>
  <c r="M750" i="48"/>
  <c r="AS1258" i="48"/>
  <c r="M1258" i="48"/>
  <c r="AS898" i="48"/>
  <c r="M898" i="48"/>
  <c r="AS802" i="48"/>
  <c r="M802" i="48"/>
  <c r="AS514" i="48"/>
  <c r="M514" i="48"/>
  <c r="AS1294" i="48"/>
  <c r="M1294" i="48"/>
  <c r="AS910" i="48"/>
  <c r="M910" i="48"/>
  <c r="AS694" i="48"/>
  <c r="M694" i="48"/>
  <c r="AS502" i="48"/>
  <c r="M502" i="48"/>
  <c r="AS310" i="48"/>
  <c r="M310" i="48"/>
  <c r="AS1066" i="48"/>
  <c r="M1066" i="48"/>
  <c r="AS346" i="48"/>
  <c r="M346" i="48"/>
  <c r="AS610" i="48"/>
  <c r="M610" i="48"/>
  <c r="AS106" i="48"/>
  <c r="M106" i="48"/>
  <c r="AS1102" i="48"/>
  <c r="M1102" i="48"/>
  <c r="AS526" i="48"/>
  <c r="M526" i="48"/>
  <c r="AS746" i="48"/>
  <c r="M746" i="48"/>
  <c r="AS1138" i="48"/>
  <c r="M1138" i="48"/>
  <c r="AF49" i="48"/>
  <c r="AR241" i="48"/>
  <c r="AR265" i="48"/>
  <c r="AR289" i="48"/>
  <c r="AR313" i="48"/>
  <c r="AR337" i="48"/>
  <c r="AR361" i="48"/>
  <c r="AR385" i="48"/>
  <c r="AR409" i="48"/>
  <c r="AR433" i="48"/>
  <c r="AR457" i="48"/>
  <c r="AR481" i="48"/>
  <c r="AR505" i="48"/>
  <c r="AR529" i="48"/>
  <c r="AR97" i="48"/>
  <c r="AR145" i="48"/>
  <c r="AR193" i="48"/>
  <c r="AR121" i="48"/>
  <c r="AR217" i="48"/>
  <c r="AS49" i="48"/>
  <c r="AR73" i="48"/>
  <c r="AR169" i="48"/>
  <c r="AR553" i="48"/>
  <c r="AR577" i="48"/>
  <c r="AR961" i="48"/>
  <c r="AR985" i="48"/>
  <c r="AR1009" i="48"/>
  <c r="AR1033" i="48"/>
  <c r="AR1057" i="48"/>
  <c r="AR1081" i="48"/>
  <c r="AR1105" i="48"/>
  <c r="AR1129" i="48"/>
  <c r="AR1153" i="48"/>
  <c r="AR1177" i="48"/>
  <c r="AR625" i="48"/>
  <c r="AR673" i="48"/>
  <c r="AR721" i="48"/>
  <c r="AR769" i="48"/>
  <c r="AR817" i="48"/>
  <c r="AR841" i="48"/>
  <c r="AR889" i="48"/>
  <c r="AR937" i="48"/>
  <c r="AR1297" i="48"/>
  <c r="AR1321" i="48"/>
  <c r="AR1201" i="48"/>
  <c r="AR1225" i="48"/>
  <c r="AR1249" i="48"/>
  <c r="AR1273" i="48"/>
  <c r="AR601" i="48"/>
  <c r="AR649" i="48"/>
  <c r="AR697" i="48"/>
  <c r="AR745" i="48"/>
  <c r="AR793" i="48"/>
  <c r="AR865" i="48"/>
  <c r="AR913" i="48"/>
  <c r="AS44" i="48"/>
  <c r="AF45" i="48"/>
  <c r="AR69" i="48"/>
  <c r="AR93" i="48"/>
  <c r="AR117" i="48"/>
  <c r="AR141" i="48"/>
  <c r="AR165" i="48"/>
  <c r="AR189" i="48"/>
  <c r="AR213" i="48"/>
  <c r="AR237" i="48"/>
  <c r="AR261" i="48"/>
  <c r="AR285" i="48"/>
  <c r="AR309" i="48"/>
  <c r="AR333" i="48"/>
  <c r="AR357" i="48"/>
  <c r="AR381" i="48"/>
  <c r="AR405" i="48"/>
  <c r="AR429" i="48"/>
  <c r="AR453" i="48"/>
  <c r="AR477" i="48"/>
  <c r="AR501" i="48"/>
  <c r="AR525" i="48"/>
  <c r="AS68" i="48"/>
  <c r="AS116" i="48"/>
  <c r="AS164" i="48"/>
  <c r="AS212" i="48"/>
  <c r="AS236" i="48"/>
  <c r="AS260" i="48"/>
  <c r="AS284" i="48"/>
  <c r="AS308" i="48"/>
  <c r="AS332" i="48"/>
  <c r="AS356" i="48"/>
  <c r="AS380" i="48"/>
  <c r="AS45" i="48"/>
  <c r="AS524" i="48"/>
  <c r="AS92" i="48"/>
  <c r="AS188" i="48"/>
  <c r="AS428" i="48"/>
  <c r="AS476" i="48"/>
  <c r="AS548" i="48"/>
  <c r="AS572" i="48"/>
  <c r="AS596" i="48"/>
  <c r="AS620" i="48"/>
  <c r="AS644" i="48"/>
  <c r="AS668" i="48"/>
  <c r="AS692" i="48"/>
  <c r="AS716" i="48"/>
  <c r="AS740" i="48"/>
  <c r="AS764" i="48"/>
  <c r="AS788" i="48"/>
  <c r="AS812" i="48"/>
  <c r="AS140" i="48"/>
  <c r="AS452" i="48"/>
  <c r="AS404" i="48"/>
  <c r="AR957" i="48"/>
  <c r="AR981" i="48"/>
  <c r="AR1005" i="48"/>
  <c r="AR1029" i="48"/>
  <c r="AR1053" i="48"/>
  <c r="AR1077" i="48"/>
  <c r="AR1101" i="48"/>
  <c r="AR1125" i="48"/>
  <c r="AR1149" i="48"/>
  <c r="AR1173" i="48"/>
  <c r="AR1197" i="48"/>
  <c r="AS500" i="48"/>
  <c r="AR597" i="48"/>
  <c r="AR621" i="48"/>
  <c r="AR645" i="48"/>
  <c r="AR669" i="48"/>
  <c r="AR693" i="48"/>
  <c r="AR717" i="48"/>
  <c r="AR741" i="48"/>
  <c r="AR765" i="48"/>
  <c r="AR789" i="48"/>
  <c r="AR813" i="48"/>
  <c r="AR837" i="48"/>
  <c r="AR861" i="48"/>
  <c r="AR885" i="48"/>
  <c r="AR909" i="48"/>
  <c r="AR933" i="48"/>
  <c r="AS956" i="48"/>
  <c r="AS980" i="48"/>
  <c r="AS1004" i="48"/>
  <c r="AS1028" i="48"/>
  <c r="AS1052" i="48"/>
  <c r="AS1076" i="48"/>
  <c r="AS1100" i="48"/>
  <c r="AS1124" i="48"/>
  <c r="AS1148" i="48"/>
  <c r="AS1172" i="48"/>
  <c r="AS1196" i="48"/>
  <c r="AS1220" i="48"/>
  <c r="AS1244" i="48"/>
  <c r="AS1268" i="48"/>
  <c r="AR573" i="48"/>
  <c r="AS860" i="48"/>
  <c r="AS908" i="48"/>
  <c r="AR1293" i="48"/>
  <c r="AR1317" i="48"/>
  <c r="AR1221" i="48"/>
  <c r="AR1245" i="48"/>
  <c r="AR1269" i="48"/>
  <c r="AS836" i="48"/>
  <c r="AS884" i="48"/>
  <c r="AS932" i="48"/>
  <c r="AS1292" i="48"/>
  <c r="AS1316" i="48"/>
  <c r="AR549" i="48"/>
  <c r="AF56" i="48"/>
  <c r="AS56" i="48"/>
  <c r="AR104" i="48"/>
  <c r="AR152" i="48"/>
  <c r="AR200" i="48"/>
  <c r="AR128" i="48"/>
  <c r="AR224" i="48"/>
  <c r="AR248" i="48"/>
  <c r="AR272" i="48"/>
  <c r="AR296" i="48"/>
  <c r="AR320" i="48"/>
  <c r="AR344" i="48"/>
  <c r="AR368" i="48"/>
  <c r="AR416" i="48"/>
  <c r="AR464" i="48"/>
  <c r="AR560" i="48"/>
  <c r="AR584" i="48"/>
  <c r="AR608" i="48"/>
  <c r="AR632" i="48"/>
  <c r="AR656" i="48"/>
  <c r="AR680" i="48"/>
  <c r="AR704" i="48"/>
  <c r="AR728" i="48"/>
  <c r="AR752" i="48"/>
  <c r="AR776" i="48"/>
  <c r="AR800" i="48"/>
  <c r="AR824" i="48"/>
  <c r="AR176" i="48"/>
  <c r="AR392" i="48"/>
  <c r="AR488" i="48"/>
  <c r="AR80" i="48"/>
  <c r="AR512" i="48"/>
  <c r="AR536" i="48"/>
  <c r="AR440" i="48"/>
  <c r="AR848" i="48"/>
  <c r="AR872" i="48"/>
  <c r="AR896" i="48"/>
  <c r="AR920" i="48"/>
  <c r="AR944" i="48"/>
  <c r="AR968" i="48"/>
  <c r="AR992" i="48"/>
  <c r="AR1016" i="48"/>
  <c r="AR1040" i="48"/>
  <c r="AR1064" i="48"/>
  <c r="AR1088" i="48"/>
  <c r="AR1112" i="48"/>
  <c r="AR1136" i="48"/>
  <c r="AR1160" i="48"/>
  <c r="AR1184" i="48"/>
  <c r="AR1208" i="48"/>
  <c r="AR1232" i="48"/>
  <c r="AR1256" i="48"/>
  <c r="AR1280" i="48"/>
  <c r="AR1304" i="48"/>
  <c r="AR1328" i="48"/>
  <c r="AF52" i="48"/>
  <c r="AS52" i="48"/>
  <c r="AR100" i="48"/>
  <c r="AR148" i="48"/>
  <c r="AR196" i="48"/>
  <c r="AR244" i="48"/>
  <c r="AR268" i="48"/>
  <c r="AR292" i="48"/>
  <c r="AR316" i="48"/>
  <c r="AR340" i="48"/>
  <c r="AR364" i="48"/>
  <c r="AR76" i="48"/>
  <c r="AR172" i="48"/>
  <c r="AR412" i="48"/>
  <c r="AR460" i="48"/>
  <c r="AR508" i="48"/>
  <c r="AR532" i="48"/>
  <c r="AR556" i="48"/>
  <c r="AR580" i="48"/>
  <c r="AR604" i="48"/>
  <c r="AR628" i="48"/>
  <c r="AR652" i="48"/>
  <c r="AR676" i="48"/>
  <c r="AR700" i="48"/>
  <c r="AR724" i="48"/>
  <c r="AR748" i="48"/>
  <c r="AR772" i="48"/>
  <c r="AR796" i="48"/>
  <c r="AR820" i="48"/>
  <c r="AR220" i="48"/>
  <c r="AR436" i="48"/>
  <c r="AR124" i="48"/>
  <c r="AR388" i="48"/>
  <c r="AR484" i="48"/>
  <c r="AR964" i="48"/>
  <c r="AR988" i="48"/>
  <c r="AR1012" i="48"/>
  <c r="AR1036" i="48"/>
  <c r="AR1060" i="48"/>
  <c r="AR1084" i="48"/>
  <c r="AR1108" i="48"/>
  <c r="AR1132" i="48"/>
  <c r="AR1156" i="48"/>
  <c r="AR1180" i="48"/>
  <c r="AR1204" i="48"/>
  <c r="AR1228" i="48"/>
  <c r="AR1252" i="48"/>
  <c r="AR916" i="48"/>
  <c r="AR844" i="48"/>
  <c r="AR892" i="48"/>
  <c r="AR940" i="48"/>
  <c r="AR868" i="48"/>
  <c r="AR1276" i="48"/>
  <c r="AR1300" i="48"/>
  <c r="AR1324" i="48"/>
  <c r="AF57" i="48"/>
  <c r="AR225" i="48"/>
  <c r="AR249" i="48"/>
  <c r="AR273" i="48"/>
  <c r="AR297" i="48"/>
  <c r="AR321" i="48"/>
  <c r="AR345" i="48"/>
  <c r="AR369" i="48"/>
  <c r="AR393" i="48"/>
  <c r="AR417" i="48"/>
  <c r="AR441" i="48"/>
  <c r="AR465" i="48"/>
  <c r="AR489" i="48"/>
  <c r="AR513" i="48"/>
  <c r="AR537" i="48"/>
  <c r="AS57" i="48"/>
  <c r="AR105" i="48"/>
  <c r="AR153" i="48"/>
  <c r="AR201" i="48"/>
  <c r="AR129" i="48"/>
  <c r="AR177" i="48"/>
  <c r="AR825" i="48"/>
  <c r="AR945" i="48"/>
  <c r="AR969" i="48"/>
  <c r="AR993" i="48"/>
  <c r="AR1017" i="48"/>
  <c r="AR1041" i="48"/>
  <c r="AR1065" i="48"/>
  <c r="AR1089" i="48"/>
  <c r="AR1113" i="48"/>
  <c r="AR1137" i="48"/>
  <c r="AR1161" i="48"/>
  <c r="AR1185" i="48"/>
  <c r="AR81" i="48"/>
  <c r="AR561" i="48"/>
  <c r="AR1281" i="48"/>
  <c r="AR1305" i="48"/>
  <c r="AR1329" i="48"/>
  <c r="AR585" i="48"/>
  <c r="AR633" i="48"/>
  <c r="AR681" i="48"/>
  <c r="AR729" i="48"/>
  <c r="AR777" i="48"/>
  <c r="AR873" i="48"/>
  <c r="AR921" i="48"/>
  <c r="AR1209" i="48"/>
  <c r="AR1233" i="48"/>
  <c r="AR1257" i="48"/>
  <c r="AR609" i="48"/>
  <c r="AR705" i="48"/>
  <c r="AR801" i="48"/>
  <c r="AR897" i="48"/>
  <c r="AR657" i="48"/>
  <c r="AR753" i="48"/>
  <c r="AR849" i="48"/>
  <c r="I1460" i="48"/>
  <c r="AF46" i="48"/>
  <c r="AF53" i="48"/>
  <c r="AR77" i="48"/>
  <c r="AR101" i="48"/>
  <c r="AR125" i="48"/>
  <c r="AR149" i="48"/>
  <c r="AR173" i="48"/>
  <c r="AR197" i="48"/>
  <c r="AR221" i="48"/>
  <c r="AR245" i="48"/>
  <c r="AR269" i="48"/>
  <c r="AR293" i="48"/>
  <c r="AR317" i="48"/>
  <c r="AR341" i="48"/>
  <c r="AR365" i="48"/>
  <c r="AR389" i="48"/>
  <c r="AR413" i="48"/>
  <c r="AR437" i="48"/>
  <c r="AR461" i="48"/>
  <c r="AR485" i="48"/>
  <c r="AR509" i="48"/>
  <c r="AR533" i="48"/>
  <c r="AS53" i="48"/>
  <c r="AR965" i="48"/>
  <c r="AR989" i="48"/>
  <c r="AR1013" i="48"/>
  <c r="AR1037" i="48"/>
  <c r="AR1061" i="48"/>
  <c r="AR1085" i="48"/>
  <c r="AR1109" i="48"/>
  <c r="AR1133" i="48"/>
  <c r="AR1157" i="48"/>
  <c r="AR1181" i="48"/>
  <c r="AR557" i="48"/>
  <c r="AR581" i="48"/>
  <c r="AR605" i="48"/>
  <c r="AR629" i="48"/>
  <c r="AR653" i="48"/>
  <c r="AR677" i="48"/>
  <c r="AR701" i="48"/>
  <c r="AR725" i="48"/>
  <c r="AR749" i="48"/>
  <c r="AR773" i="48"/>
  <c r="AR797" i="48"/>
  <c r="AR821" i="48"/>
  <c r="AR845" i="48"/>
  <c r="AR869" i="48"/>
  <c r="AR893" i="48"/>
  <c r="AR917" i="48"/>
  <c r="AR941" i="48"/>
  <c r="AR1277" i="48"/>
  <c r="AR1301" i="48"/>
  <c r="AR1325" i="48"/>
  <c r="AR1205" i="48"/>
  <c r="AR1229" i="48"/>
  <c r="AR1253" i="48"/>
  <c r="AF50" i="48"/>
  <c r="AF48" i="48"/>
  <c r="AS48" i="48"/>
  <c r="AR72" i="48"/>
  <c r="AR120" i="48"/>
  <c r="AR168" i="48"/>
  <c r="AR216" i="48"/>
  <c r="AR408" i="48"/>
  <c r="AR456" i="48"/>
  <c r="AR504" i="48"/>
  <c r="AR144" i="48"/>
  <c r="AR552" i="48"/>
  <c r="AR576" i="48"/>
  <c r="AR600" i="48"/>
  <c r="AR624" i="48"/>
  <c r="AR648" i="48"/>
  <c r="AR672" i="48"/>
  <c r="AR696" i="48"/>
  <c r="AR720" i="48"/>
  <c r="AR744" i="48"/>
  <c r="AR768" i="48"/>
  <c r="AR792" i="48"/>
  <c r="AR816" i="48"/>
  <c r="AR480" i="48"/>
  <c r="AR528" i="48"/>
  <c r="AR96" i="48"/>
  <c r="AR240" i="48"/>
  <c r="AR288" i="48"/>
  <c r="AR336" i="48"/>
  <c r="AR384" i="48"/>
  <c r="AR432" i="48"/>
  <c r="AR360" i="48"/>
  <c r="AR840" i="48"/>
  <c r="AR864" i="48"/>
  <c r="AR888" i="48"/>
  <c r="AR912" i="48"/>
  <c r="AR936" i="48"/>
  <c r="AR312" i="48"/>
  <c r="AR960" i="48"/>
  <c r="AR984" i="48"/>
  <c r="AR1008" i="48"/>
  <c r="AR1032" i="48"/>
  <c r="AR1056" i="48"/>
  <c r="AR1080" i="48"/>
  <c r="AR1104" i="48"/>
  <c r="AR1128" i="48"/>
  <c r="AR1152" i="48"/>
  <c r="AR1176" i="48"/>
  <c r="AR1200" i="48"/>
  <c r="AR1224" i="48"/>
  <c r="AR1248" i="48"/>
  <c r="AR1272" i="48"/>
  <c r="AR192" i="48"/>
  <c r="AR264" i="48"/>
  <c r="AR1296" i="48"/>
  <c r="AR1320" i="48"/>
  <c r="AF58" i="48"/>
  <c r="AF36" i="48" l="1"/>
  <c r="S1080" i="48"/>
  <c r="Z1080" i="48"/>
  <c r="S912" i="48"/>
  <c r="Z912" i="48"/>
  <c r="S744" i="48"/>
  <c r="Z744" i="48"/>
  <c r="S72" i="48"/>
  <c r="Z72" i="48"/>
  <c r="S893" i="48"/>
  <c r="Z893" i="48"/>
  <c r="S605" i="48"/>
  <c r="Z605" i="48"/>
  <c r="S485" i="48"/>
  <c r="Z485" i="48"/>
  <c r="S101" i="48"/>
  <c r="Z101" i="48"/>
  <c r="S129" i="48"/>
  <c r="Z129" i="48"/>
  <c r="S776" i="48"/>
  <c r="Z776" i="48"/>
  <c r="S1269" i="48"/>
  <c r="Z1269" i="48"/>
  <c r="S597" i="48"/>
  <c r="Z597" i="48"/>
  <c r="S957" i="48"/>
  <c r="Z957" i="48"/>
  <c r="S453" i="48"/>
  <c r="Z453" i="48"/>
  <c r="S165" i="48"/>
  <c r="Z165" i="48"/>
  <c r="S1273" i="48"/>
  <c r="Z1273" i="48"/>
  <c r="S1033" i="48"/>
  <c r="Z1033" i="48"/>
  <c r="S289" i="48"/>
  <c r="Z289" i="48"/>
  <c r="S960" i="48"/>
  <c r="Z960" i="48"/>
  <c r="S216" i="48"/>
  <c r="Z216" i="48"/>
  <c r="S677" i="48"/>
  <c r="Z677" i="48"/>
  <c r="S269" i="48"/>
  <c r="Z269" i="48"/>
  <c r="S849" i="48"/>
  <c r="Z849" i="48"/>
  <c r="S801" i="48"/>
  <c r="Z801" i="48"/>
  <c r="S1233" i="48"/>
  <c r="Z1233" i="48"/>
  <c r="S777" i="48"/>
  <c r="Z777" i="48"/>
  <c r="S585" i="48"/>
  <c r="Z585" i="48"/>
  <c r="S561" i="48"/>
  <c r="Z561" i="48"/>
  <c r="S1137" i="48"/>
  <c r="Z1137" i="48"/>
  <c r="S1041" i="48"/>
  <c r="Z1041" i="48"/>
  <c r="S945" i="48"/>
  <c r="Z945" i="48"/>
  <c r="S201" i="48"/>
  <c r="Z201" i="48"/>
  <c r="S537" i="48"/>
  <c r="Z537" i="48"/>
  <c r="S441" i="48"/>
  <c r="Z441" i="48"/>
  <c r="S345" i="48"/>
  <c r="Z345" i="48"/>
  <c r="S249" i="48"/>
  <c r="Z249" i="48"/>
  <c r="S868" i="48"/>
  <c r="Z868" i="48"/>
  <c r="S916" i="48"/>
  <c r="Z916" i="48"/>
  <c r="S1180" i="48"/>
  <c r="Z1180" i="48"/>
  <c r="S1084" i="48"/>
  <c r="Z1084" i="48"/>
  <c r="S988" i="48"/>
  <c r="Z988" i="48"/>
  <c r="S124" i="48"/>
  <c r="Z124" i="48"/>
  <c r="S796" i="48"/>
  <c r="Z796" i="48"/>
  <c r="S700" i="48"/>
  <c r="Z700" i="48"/>
  <c r="S604" i="48"/>
  <c r="Z604" i="48"/>
  <c r="S508" i="48"/>
  <c r="Z508" i="48"/>
  <c r="S76" i="48"/>
  <c r="Z76" i="48"/>
  <c r="S292" i="48"/>
  <c r="Z292" i="48"/>
  <c r="S148" i="48"/>
  <c r="Z148" i="48"/>
  <c r="S1256" i="48"/>
  <c r="Z1256" i="48"/>
  <c r="S1160" i="48"/>
  <c r="Z1160" i="48"/>
  <c r="S1064" i="48"/>
  <c r="Z1064" i="48"/>
  <c r="S968" i="48"/>
  <c r="Z968" i="48"/>
  <c r="S872" i="48"/>
  <c r="Z872" i="48"/>
  <c r="S512" i="48"/>
  <c r="Z512" i="48"/>
  <c r="S176" i="48"/>
  <c r="Z176" i="48"/>
  <c r="S752" i="48"/>
  <c r="Z752" i="48"/>
  <c r="S656" i="48"/>
  <c r="Z656" i="48"/>
  <c r="S560" i="48"/>
  <c r="Z560" i="48"/>
  <c r="S344" i="48"/>
  <c r="Z344" i="48"/>
  <c r="S248" i="48"/>
  <c r="Z248" i="48"/>
  <c r="S152" i="48"/>
  <c r="Z152" i="48"/>
  <c r="S1245" i="48"/>
  <c r="Z1245" i="48"/>
  <c r="S861" i="48"/>
  <c r="Z861" i="48"/>
  <c r="S765" i="48"/>
  <c r="Z765" i="48"/>
  <c r="S669" i="48"/>
  <c r="Z669" i="48"/>
  <c r="S1125" i="48"/>
  <c r="Z1125" i="48"/>
  <c r="S1029" i="48"/>
  <c r="Z1029" i="48"/>
  <c r="S525" i="48"/>
  <c r="Z525" i="48"/>
  <c r="S429" i="48"/>
  <c r="Z429" i="48"/>
  <c r="S333" i="48"/>
  <c r="Z333" i="48"/>
  <c r="S237" i="48"/>
  <c r="Z237" i="48"/>
  <c r="S141" i="48"/>
  <c r="Z141" i="48"/>
  <c r="S913" i="48"/>
  <c r="Z913" i="48"/>
  <c r="S697" i="48"/>
  <c r="Z697" i="48"/>
  <c r="S1249" i="48"/>
  <c r="Z1249" i="48"/>
  <c r="S1297" i="48"/>
  <c r="Z1297" i="48"/>
  <c r="S817" i="48"/>
  <c r="Z817" i="48"/>
  <c r="S625" i="48"/>
  <c r="Z625" i="48"/>
  <c r="S1105" i="48"/>
  <c r="Z1105" i="48"/>
  <c r="S1009" i="48"/>
  <c r="Z1009" i="48"/>
  <c r="S553" i="48"/>
  <c r="Z553" i="48"/>
  <c r="S217" i="48"/>
  <c r="Z217" i="48"/>
  <c r="S97" i="48"/>
  <c r="Z97" i="48"/>
  <c r="S457" i="48"/>
  <c r="Z457" i="48"/>
  <c r="S361" i="48"/>
  <c r="Z361" i="48"/>
  <c r="S265" i="48"/>
  <c r="Z265" i="48"/>
  <c r="AB54" i="48"/>
  <c r="AB58" i="48"/>
  <c r="S1272" i="48"/>
  <c r="Z1272" i="48"/>
  <c r="S984" i="48"/>
  <c r="Z984" i="48"/>
  <c r="S288" i="48"/>
  <c r="Z288" i="48"/>
  <c r="S480" i="48"/>
  <c r="Z480" i="48"/>
  <c r="S552" i="48"/>
  <c r="Z552" i="48"/>
  <c r="S408" i="48"/>
  <c r="Z408" i="48"/>
  <c r="S1301" i="48"/>
  <c r="Z1301" i="48"/>
  <c r="S701" i="48"/>
  <c r="Z701" i="48"/>
  <c r="S965" i="48"/>
  <c r="Z965" i="48"/>
  <c r="S389" i="48"/>
  <c r="Z389" i="48"/>
  <c r="S197" i="48"/>
  <c r="Z197" i="48"/>
  <c r="S897" i="48"/>
  <c r="Z897" i="48"/>
  <c r="S873" i="48"/>
  <c r="Z873" i="48"/>
  <c r="S1161" i="48"/>
  <c r="Z1161" i="48"/>
  <c r="S969" i="48"/>
  <c r="Z969" i="48"/>
  <c r="S1276" i="48"/>
  <c r="Z1276" i="48"/>
  <c r="S1204" i="48"/>
  <c r="Z1204" i="48"/>
  <c r="S1012" i="48"/>
  <c r="Z1012" i="48"/>
  <c r="S820" i="48"/>
  <c r="Z820" i="48"/>
  <c r="S628" i="48"/>
  <c r="Z628" i="48"/>
  <c r="S172" i="48"/>
  <c r="Z172" i="48"/>
  <c r="S316" i="48"/>
  <c r="Z316" i="48"/>
  <c r="S196" i="48"/>
  <c r="Z196" i="48"/>
  <c r="S1280" i="48"/>
  <c r="Z1280" i="48"/>
  <c r="S1088" i="48"/>
  <c r="Z1088" i="48"/>
  <c r="S536" i="48"/>
  <c r="Z536" i="48"/>
  <c r="S680" i="48"/>
  <c r="Z680" i="48"/>
  <c r="S368" i="48"/>
  <c r="Z368" i="48"/>
  <c r="S272" i="48"/>
  <c r="Z272" i="48"/>
  <c r="S789" i="48"/>
  <c r="Z789" i="48"/>
  <c r="S1053" i="48"/>
  <c r="Z1053" i="48"/>
  <c r="S357" i="48"/>
  <c r="Z357" i="48"/>
  <c r="S69" i="48"/>
  <c r="Z69" i="48"/>
  <c r="S745" i="48"/>
  <c r="Z745" i="48"/>
  <c r="S841" i="48"/>
  <c r="Z841" i="48"/>
  <c r="S1129" i="48"/>
  <c r="Z1129" i="48"/>
  <c r="S385" i="48"/>
  <c r="Z385" i="48"/>
  <c r="S1248" i="48"/>
  <c r="Z1248" i="48"/>
  <c r="S1056" i="48"/>
  <c r="Z1056" i="48"/>
  <c r="S888" i="48"/>
  <c r="Z888" i="48"/>
  <c r="S816" i="48"/>
  <c r="Z816" i="48"/>
  <c r="S720" i="48"/>
  <c r="Z720" i="48"/>
  <c r="S144" i="48"/>
  <c r="Z144" i="48"/>
  <c r="S1277" i="48"/>
  <c r="Z1277" i="48"/>
  <c r="S773" i="48"/>
  <c r="Z773" i="48"/>
  <c r="S1133" i="48"/>
  <c r="Z1133" i="48"/>
  <c r="S365" i="48"/>
  <c r="Z365" i="48"/>
  <c r="S77" i="48"/>
  <c r="Z77" i="48"/>
  <c r="S264" i="48"/>
  <c r="Z264" i="48"/>
  <c r="S1224" i="48"/>
  <c r="Z1224" i="48"/>
  <c r="S1128" i="48"/>
  <c r="Z1128" i="48"/>
  <c r="S1032" i="48"/>
  <c r="Z1032" i="48"/>
  <c r="S312" i="48"/>
  <c r="Z312" i="48"/>
  <c r="S864" i="48"/>
  <c r="Z864" i="48"/>
  <c r="S384" i="48"/>
  <c r="Z384" i="48"/>
  <c r="S96" i="48"/>
  <c r="Z96" i="48"/>
  <c r="S792" i="48"/>
  <c r="Z792" i="48"/>
  <c r="S696" i="48"/>
  <c r="Z696" i="48"/>
  <c r="S600" i="48"/>
  <c r="Z600" i="48"/>
  <c r="S504" i="48"/>
  <c r="Z504" i="48"/>
  <c r="S168" i="48"/>
  <c r="Z168" i="48"/>
  <c r="S1205" i="48"/>
  <c r="Z1205" i="48"/>
  <c r="S941" i="48"/>
  <c r="Z941" i="48"/>
  <c r="S845" i="48"/>
  <c r="Z845" i="48"/>
  <c r="S749" i="48"/>
  <c r="Z749" i="48"/>
  <c r="S653" i="48"/>
  <c r="Z653" i="48"/>
  <c r="S557" i="48"/>
  <c r="Z557" i="48"/>
  <c r="S1109" i="48"/>
  <c r="Z1109" i="48"/>
  <c r="S1013" i="48"/>
  <c r="Z1013" i="48"/>
  <c r="S533" i="48"/>
  <c r="Z533" i="48"/>
  <c r="S437" i="48"/>
  <c r="Z437" i="48"/>
  <c r="S341" i="48"/>
  <c r="Z341" i="48"/>
  <c r="S245" i="48"/>
  <c r="Z245" i="48"/>
  <c r="S149" i="48"/>
  <c r="Z149" i="48"/>
  <c r="S753" i="48"/>
  <c r="Z753" i="48"/>
  <c r="S705" i="48"/>
  <c r="Z705" i="48"/>
  <c r="S1209" i="48"/>
  <c r="Z1209" i="48"/>
  <c r="S729" i="48"/>
  <c r="Z729" i="48"/>
  <c r="S1329" i="48"/>
  <c r="Z1329" i="48"/>
  <c r="S81" i="48"/>
  <c r="Z81" i="48"/>
  <c r="S1113" i="48"/>
  <c r="Z1113" i="48"/>
  <c r="S1017" i="48"/>
  <c r="Z1017" i="48"/>
  <c r="S825" i="48"/>
  <c r="Z825" i="48"/>
  <c r="S153" i="48"/>
  <c r="Z153" i="48"/>
  <c r="S513" i="48"/>
  <c r="Z513" i="48"/>
  <c r="S417" i="48"/>
  <c r="Z417" i="48"/>
  <c r="S321" i="48"/>
  <c r="Z321" i="48"/>
  <c r="S225" i="48"/>
  <c r="Z225" i="48"/>
  <c r="S1324" i="48"/>
  <c r="Z1324" i="48"/>
  <c r="S940" i="48"/>
  <c r="Z940" i="48"/>
  <c r="S1252" i="48"/>
  <c r="Z1252" i="48"/>
  <c r="S1156" i="48"/>
  <c r="Z1156" i="48"/>
  <c r="S1060" i="48"/>
  <c r="Z1060" i="48"/>
  <c r="S964" i="48"/>
  <c r="Z964" i="48"/>
  <c r="S436" i="48"/>
  <c r="Z436" i="48"/>
  <c r="S772" i="48"/>
  <c r="Z772" i="48"/>
  <c r="S676" i="48"/>
  <c r="Z676" i="48"/>
  <c r="S580" i="48"/>
  <c r="Z580" i="48"/>
  <c r="S460" i="48"/>
  <c r="Z460" i="48"/>
  <c r="S364" i="48"/>
  <c r="Z364" i="48"/>
  <c r="S268" i="48"/>
  <c r="Z268" i="48"/>
  <c r="S100" i="48"/>
  <c r="Z100" i="48"/>
  <c r="S1328" i="48"/>
  <c r="Z1328" i="48"/>
  <c r="S1232" i="48"/>
  <c r="Z1232" i="48"/>
  <c r="S1136" i="48"/>
  <c r="Z1136" i="48"/>
  <c r="S1040" i="48"/>
  <c r="Z1040" i="48"/>
  <c r="S944" i="48"/>
  <c r="Z944" i="48"/>
  <c r="S848" i="48"/>
  <c r="Z848" i="48"/>
  <c r="S80" i="48"/>
  <c r="Z80" i="48"/>
  <c r="S824" i="48"/>
  <c r="Z824" i="48"/>
  <c r="S728" i="48"/>
  <c r="Z728" i="48"/>
  <c r="S632" i="48"/>
  <c r="Z632" i="48"/>
  <c r="S464" i="48"/>
  <c r="Z464" i="48"/>
  <c r="S320" i="48"/>
  <c r="Z320" i="48"/>
  <c r="S224" i="48"/>
  <c r="Z224" i="48"/>
  <c r="S104" i="48"/>
  <c r="Z104" i="48"/>
  <c r="S1221" i="48"/>
  <c r="Z1221" i="48"/>
  <c r="S933" i="48"/>
  <c r="Z933" i="48"/>
  <c r="S837" i="48"/>
  <c r="Z837" i="48"/>
  <c r="S741" i="48"/>
  <c r="Z741" i="48"/>
  <c r="S645" i="48"/>
  <c r="Z645" i="48"/>
  <c r="S1197" i="48"/>
  <c r="Z1197" i="48"/>
  <c r="S1101" i="48"/>
  <c r="Z1101" i="48"/>
  <c r="S1005" i="48"/>
  <c r="Z1005" i="48"/>
  <c r="S501" i="48"/>
  <c r="Z501" i="48"/>
  <c r="S405" i="48"/>
  <c r="Z405" i="48"/>
  <c r="S309" i="48"/>
  <c r="Z309" i="48"/>
  <c r="S213" i="48"/>
  <c r="Z213" i="48"/>
  <c r="S117" i="48"/>
  <c r="Z117" i="48"/>
  <c r="S865" i="48"/>
  <c r="Z865" i="48"/>
  <c r="S649" i="48"/>
  <c r="Z649" i="48"/>
  <c r="S1225" i="48"/>
  <c r="Z1225" i="48"/>
  <c r="S937" i="48"/>
  <c r="Z937" i="48"/>
  <c r="S769" i="48"/>
  <c r="Z769" i="48"/>
  <c r="S1177" i="48"/>
  <c r="Z1177" i="48"/>
  <c r="S1081" i="48"/>
  <c r="Z1081" i="48"/>
  <c r="S985" i="48"/>
  <c r="Z985" i="48"/>
  <c r="S169" i="48"/>
  <c r="Z169" i="48"/>
  <c r="S121" i="48"/>
  <c r="Z121" i="48"/>
  <c r="S529" i="48"/>
  <c r="Z529" i="48"/>
  <c r="S433" i="48"/>
  <c r="Z433" i="48"/>
  <c r="S337" i="48"/>
  <c r="Z337" i="48"/>
  <c r="S241" i="48"/>
  <c r="Z241" i="48"/>
  <c r="O46" i="48"/>
  <c r="O54" i="48"/>
  <c r="AB46" i="48"/>
  <c r="U54" i="48"/>
  <c r="U58" i="48"/>
  <c r="AB50" i="48"/>
  <c r="S1320" i="48"/>
  <c r="Z1320" i="48"/>
  <c r="S1176" i="48"/>
  <c r="Z1176" i="48"/>
  <c r="S360" i="48"/>
  <c r="Z360" i="48"/>
  <c r="S648" i="48"/>
  <c r="Z648" i="48"/>
  <c r="S1253" i="48"/>
  <c r="Z1253" i="48"/>
  <c r="S797" i="48"/>
  <c r="Z797" i="48"/>
  <c r="S1157" i="48"/>
  <c r="Z1157" i="48"/>
  <c r="S1061" i="48"/>
  <c r="Z1061" i="48"/>
  <c r="S293" i="48"/>
  <c r="Z293" i="48"/>
  <c r="S1257" i="48"/>
  <c r="Z1257" i="48"/>
  <c r="S633" i="48"/>
  <c r="Z633" i="48"/>
  <c r="S1281" i="48"/>
  <c r="Z1281" i="48"/>
  <c r="S1065" i="48"/>
  <c r="Z1065" i="48"/>
  <c r="S465" i="48"/>
  <c r="Z465" i="48"/>
  <c r="S369" i="48"/>
  <c r="Z369" i="48"/>
  <c r="S273" i="48"/>
  <c r="Z273" i="48"/>
  <c r="S844" i="48"/>
  <c r="Z844" i="48"/>
  <c r="S1108" i="48"/>
  <c r="Z1108" i="48"/>
  <c r="S388" i="48"/>
  <c r="Z388" i="48"/>
  <c r="S724" i="48"/>
  <c r="Z724" i="48"/>
  <c r="S532" i="48"/>
  <c r="Z532" i="48"/>
  <c r="S1184" i="48"/>
  <c r="Z1184" i="48"/>
  <c r="S992" i="48"/>
  <c r="Z992" i="48"/>
  <c r="S896" i="48"/>
  <c r="Z896" i="48"/>
  <c r="S392" i="48"/>
  <c r="Z392" i="48"/>
  <c r="S584" i="48"/>
  <c r="Z584" i="48"/>
  <c r="S200" i="48"/>
  <c r="Z200" i="48"/>
  <c r="S549" i="48"/>
  <c r="Z549" i="48"/>
  <c r="S1293" i="48"/>
  <c r="Z1293" i="48"/>
  <c r="S885" i="48"/>
  <c r="Z885" i="48"/>
  <c r="S693" i="48"/>
  <c r="Z693" i="48"/>
  <c r="S1149" i="48"/>
  <c r="Z1149" i="48"/>
  <c r="S261" i="48"/>
  <c r="Z261" i="48"/>
  <c r="S1321" i="48"/>
  <c r="Z1321" i="48"/>
  <c r="S673" i="48"/>
  <c r="Z673" i="48"/>
  <c r="S577" i="48"/>
  <c r="Z577" i="48"/>
  <c r="S145" i="48"/>
  <c r="Z145" i="48"/>
  <c r="S481" i="48"/>
  <c r="Z481" i="48"/>
  <c r="O50" i="48"/>
  <c r="O58" i="48"/>
  <c r="S1296" i="48"/>
  <c r="Z1296" i="48"/>
  <c r="S1152" i="48"/>
  <c r="Z1152" i="48"/>
  <c r="S432" i="48"/>
  <c r="Z432" i="48"/>
  <c r="S240" i="48"/>
  <c r="Z240" i="48"/>
  <c r="S624" i="48"/>
  <c r="Z624" i="48"/>
  <c r="S1229" i="48"/>
  <c r="Z1229" i="48"/>
  <c r="S869" i="48"/>
  <c r="Z869" i="48"/>
  <c r="S581" i="48"/>
  <c r="Z581" i="48"/>
  <c r="S1037" i="48"/>
  <c r="Z1037" i="48"/>
  <c r="S461" i="48"/>
  <c r="Z461" i="48"/>
  <c r="S173" i="48"/>
  <c r="Z173" i="48"/>
  <c r="S192" i="48"/>
  <c r="Z192" i="48"/>
  <c r="S1200" i="48"/>
  <c r="Z1200" i="48"/>
  <c r="S1104" i="48"/>
  <c r="Z1104" i="48"/>
  <c r="S1008" i="48"/>
  <c r="Z1008" i="48"/>
  <c r="S936" i="48"/>
  <c r="Z936" i="48"/>
  <c r="S840" i="48"/>
  <c r="Z840" i="48"/>
  <c r="S336" i="48"/>
  <c r="Z336" i="48"/>
  <c r="S528" i="48"/>
  <c r="Z528" i="48"/>
  <c r="S768" i="48"/>
  <c r="Z768" i="48"/>
  <c r="S672" i="48"/>
  <c r="Z672" i="48"/>
  <c r="S576" i="48"/>
  <c r="Z576" i="48"/>
  <c r="S456" i="48"/>
  <c r="Z456" i="48"/>
  <c r="S120" i="48"/>
  <c r="Z120" i="48"/>
  <c r="S1325" i="48"/>
  <c r="Z1325" i="48"/>
  <c r="S917" i="48"/>
  <c r="Z917" i="48"/>
  <c r="S821" i="48"/>
  <c r="Z821" i="48"/>
  <c r="S725" i="48"/>
  <c r="Z725" i="48"/>
  <c r="S629" i="48"/>
  <c r="Z629" i="48"/>
  <c r="S1181" i="48"/>
  <c r="Z1181" i="48"/>
  <c r="S1085" i="48"/>
  <c r="Z1085" i="48"/>
  <c r="S989" i="48"/>
  <c r="Z989" i="48"/>
  <c r="S509" i="48"/>
  <c r="Z509" i="48"/>
  <c r="S413" i="48"/>
  <c r="Z413" i="48"/>
  <c r="S317" i="48"/>
  <c r="Z317" i="48"/>
  <c r="S221" i="48"/>
  <c r="Z221" i="48"/>
  <c r="S125" i="48"/>
  <c r="Z125" i="48"/>
  <c r="S657" i="48"/>
  <c r="Z657" i="48"/>
  <c r="S609" i="48"/>
  <c r="Z609" i="48"/>
  <c r="S921" i="48"/>
  <c r="Z921" i="48"/>
  <c r="S681" i="48"/>
  <c r="Z681" i="48"/>
  <c r="S1305" i="48"/>
  <c r="Z1305" i="48"/>
  <c r="S1185" i="48"/>
  <c r="Z1185" i="48"/>
  <c r="S1089" i="48"/>
  <c r="Z1089" i="48"/>
  <c r="S993" i="48"/>
  <c r="Z993" i="48"/>
  <c r="S177" i="48"/>
  <c r="Z177" i="48"/>
  <c r="S105" i="48"/>
  <c r="Z105" i="48"/>
  <c r="S489" i="48"/>
  <c r="Z489" i="48"/>
  <c r="S393" i="48"/>
  <c r="Z393" i="48"/>
  <c r="S297" i="48"/>
  <c r="Z297" i="48"/>
  <c r="S1300" i="48"/>
  <c r="Z1300" i="48"/>
  <c r="S892" i="48"/>
  <c r="Z892" i="48"/>
  <c r="S1228" i="48"/>
  <c r="Z1228" i="48"/>
  <c r="S1132" i="48"/>
  <c r="Z1132" i="48"/>
  <c r="S1036" i="48"/>
  <c r="Z1036" i="48"/>
  <c r="S484" i="48"/>
  <c r="Z484" i="48"/>
  <c r="S220" i="48"/>
  <c r="Z220" i="48"/>
  <c r="S748" i="48"/>
  <c r="Z748" i="48"/>
  <c r="S652" i="48"/>
  <c r="Z652" i="48"/>
  <c r="S556" i="48"/>
  <c r="Z556" i="48"/>
  <c r="S412" i="48"/>
  <c r="Z412" i="48"/>
  <c r="S340" i="48"/>
  <c r="Z340" i="48"/>
  <c r="S244" i="48"/>
  <c r="Z244" i="48"/>
  <c r="S1304" i="48"/>
  <c r="Z1304" i="48"/>
  <c r="S1208" i="48"/>
  <c r="Z1208" i="48"/>
  <c r="S1112" i="48"/>
  <c r="Z1112" i="48"/>
  <c r="S1016" i="48"/>
  <c r="Z1016" i="48"/>
  <c r="S920" i="48"/>
  <c r="Z920" i="48"/>
  <c r="S440" i="48"/>
  <c r="Z440" i="48"/>
  <c r="S488" i="48"/>
  <c r="Z488" i="48"/>
  <c r="S800" i="48"/>
  <c r="Z800" i="48"/>
  <c r="S704" i="48"/>
  <c r="Z704" i="48"/>
  <c r="S608" i="48"/>
  <c r="Z608" i="48"/>
  <c r="S416" i="48"/>
  <c r="Z416" i="48"/>
  <c r="S296" i="48"/>
  <c r="Z296" i="48"/>
  <c r="S128" i="48"/>
  <c r="Z128" i="48"/>
  <c r="AU44" i="48"/>
  <c r="S1317" i="48"/>
  <c r="Z1317" i="48"/>
  <c r="S573" i="48"/>
  <c r="Z573" i="48"/>
  <c r="S909" i="48"/>
  <c r="Z909" i="48"/>
  <c r="S813" i="48"/>
  <c r="Z813" i="48"/>
  <c r="S717" i="48"/>
  <c r="Z717" i="48"/>
  <c r="S621" i="48"/>
  <c r="Z621" i="48"/>
  <c r="S1173" i="48"/>
  <c r="Z1173" i="48"/>
  <c r="S1077" i="48"/>
  <c r="Z1077" i="48"/>
  <c r="S981" i="48"/>
  <c r="Z981" i="48"/>
  <c r="S477" i="48"/>
  <c r="Z477" i="48"/>
  <c r="S381" i="48"/>
  <c r="Z381" i="48"/>
  <c r="S285" i="48"/>
  <c r="Z285" i="48"/>
  <c r="S189" i="48"/>
  <c r="Z189" i="48"/>
  <c r="S93" i="48"/>
  <c r="Z93" i="48"/>
  <c r="S793" i="48"/>
  <c r="Z793" i="48"/>
  <c r="S601" i="48"/>
  <c r="Z601" i="48"/>
  <c r="S1201" i="48"/>
  <c r="Z1201" i="48"/>
  <c r="S889" i="48"/>
  <c r="Z889" i="48"/>
  <c r="S721" i="48"/>
  <c r="Z721" i="48"/>
  <c r="S1153" i="48"/>
  <c r="Z1153" i="48"/>
  <c r="S1057" i="48"/>
  <c r="Z1057" i="48"/>
  <c r="S961" i="48"/>
  <c r="Z961" i="48"/>
  <c r="S73" i="48"/>
  <c r="Z73" i="48"/>
  <c r="S193" i="48"/>
  <c r="Z193" i="48"/>
  <c r="S505" i="48"/>
  <c r="Z505" i="48"/>
  <c r="S409" i="48"/>
  <c r="Z409" i="48"/>
  <c r="S313" i="48"/>
  <c r="Z313" i="48"/>
  <c r="U46" i="48"/>
  <c r="U50" i="48"/>
  <c r="AS1224" i="48"/>
  <c r="M1224" i="48"/>
  <c r="AS384" i="48"/>
  <c r="M384" i="48"/>
  <c r="AS600" i="48"/>
  <c r="M600" i="48"/>
  <c r="AS941" i="48"/>
  <c r="M941" i="48"/>
  <c r="AS557" i="48"/>
  <c r="M557" i="48"/>
  <c r="AS1013" i="48"/>
  <c r="M1013" i="48"/>
  <c r="AS341" i="48"/>
  <c r="M341" i="48"/>
  <c r="AS149" i="48"/>
  <c r="M149" i="48"/>
  <c r="AS753" i="48"/>
  <c r="M753" i="48"/>
  <c r="AS1329" i="48"/>
  <c r="M1329" i="48"/>
  <c r="AS825" i="48"/>
  <c r="M825" i="48"/>
  <c r="AS417" i="48"/>
  <c r="M417" i="48"/>
  <c r="AS940" i="48"/>
  <c r="M940" i="48"/>
  <c r="AS964" i="48"/>
  <c r="M964" i="48"/>
  <c r="AS364" i="48"/>
  <c r="M364" i="48"/>
  <c r="AS1232" i="48"/>
  <c r="M1232" i="48"/>
  <c r="AS224" i="48"/>
  <c r="M224" i="48"/>
  <c r="AS1200" i="48"/>
  <c r="M1200" i="48"/>
  <c r="AS1008" i="48"/>
  <c r="M1008" i="48"/>
  <c r="AS840" i="48"/>
  <c r="M840" i="48"/>
  <c r="AS528" i="48"/>
  <c r="M528" i="48"/>
  <c r="AS672" i="48"/>
  <c r="M672" i="48"/>
  <c r="AS456" i="48"/>
  <c r="M456" i="48"/>
  <c r="AS917" i="48"/>
  <c r="M917" i="48"/>
  <c r="AS725" i="48"/>
  <c r="M725" i="48"/>
  <c r="AS1085" i="48"/>
  <c r="M1085" i="48"/>
  <c r="AS413" i="48"/>
  <c r="M413" i="48"/>
  <c r="AS221" i="48"/>
  <c r="M221" i="48"/>
  <c r="AS125" i="48"/>
  <c r="M125" i="48"/>
  <c r="AS657" i="48"/>
  <c r="M657" i="48"/>
  <c r="AS921" i="48"/>
  <c r="M921" i="48"/>
  <c r="AS1185" i="48"/>
  <c r="M1185" i="48"/>
  <c r="AS993" i="48"/>
  <c r="M993" i="48"/>
  <c r="AS105" i="48"/>
  <c r="M105" i="48"/>
  <c r="AS297" i="48"/>
  <c r="M297" i="48"/>
  <c r="AS1300" i="48"/>
  <c r="M1300" i="48"/>
  <c r="AS1228" i="48"/>
  <c r="M1228" i="48"/>
  <c r="AS1036" i="48"/>
  <c r="M1036" i="48"/>
  <c r="AS484" i="48"/>
  <c r="M484" i="48"/>
  <c r="AS748" i="48"/>
  <c r="M748" i="48"/>
  <c r="AS556" i="48"/>
  <c r="M556" i="48"/>
  <c r="AS340" i="48"/>
  <c r="M340" i="48"/>
  <c r="AS1208" i="48"/>
  <c r="M1208" i="48"/>
  <c r="AS920" i="48"/>
  <c r="M920" i="48"/>
  <c r="AS488" i="48"/>
  <c r="M488" i="48"/>
  <c r="AS704" i="48"/>
  <c r="M704" i="48"/>
  <c r="AS296" i="48"/>
  <c r="M296" i="48"/>
  <c r="AS573" i="48"/>
  <c r="M573" i="48"/>
  <c r="AS813" i="48"/>
  <c r="M813" i="48"/>
  <c r="AS621" i="48"/>
  <c r="M621" i="48"/>
  <c r="AS1077" i="48"/>
  <c r="M1077" i="48"/>
  <c r="AS381" i="48"/>
  <c r="M381" i="48"/>
  <c r="AS189" i="48"/>
  <c r="M189" i="48"/>
  <c r="AS1201" i="48"/>
  <c r="M1201" i="48"/>
  <c r="AS1153" i="48"/>
  <c r="M1153" i="48"/>
  <c r="AS961" i="48"/>
  <c r="M961" i="48"/>
  <c r="AS73" i="48"/>
  <c r="M73" i="48"/>
  <c r="AS505" i="48"/>
  <c r="M505" i="48"/>
  <c r="AS313" i="48"/>
  <c r="M313" i="48"/>
  <c r="AS1320" i="48"/>
  <c r="M1320" i="48"/>
  <c r="AS1272" i="48"/>
  <c r="M1272" i="48"/>
  <c r="AS1176" i="48"/>
  <c r="M1176" i="48"/>
  <c r="AS1080" i="48"/>
  <c r="M1080" i="48"/>
  <c r="AS984" i="48"/>
  <c r="M984" i="48"/>
  <c r="AS912" i="48"/>
  <c r="M912" i="48"/>
  <c r="AS360" i="48"/>
  <c r="M360" i="48"/>
  <c r="AS288" i="48"/>
  <c r="M288" i="48"/>
  <c r="AS480" i="48"/>
  <c r="M480" i="48"/>
  <c r="AS744" i="48"/>
  <c r="M744" i="48"/>
  <c r="AS648" i="48"/>
  <c r="M648" i="48"/>
  <c r="AS552" i="48"/>
  <c r="M552" i="48"/>
  <c r="AS408" i="48"/>
  <c r="M408" i="48"/>
  <c r="AS72" i="48"/>
  <c r="M72" i="48"/>
  <c r="AS1253" i="48"/>
  <c r="M1253" i="48"/>
  <c r="AS1301" i="48"/>
  <c r="M1301" i="48"/>
  <c r="AS893" i="48"/>
  <c r="M893" i="48"/>
  <c r="AS797" i="48"/>
  <c r="M797" i="48"/>
  <c r="AS701" i="48"/>
  <c r="M701" i="48"/>
  <c r="AS605" i="48"/>
  <c r="M605" i="48"/>
  <c r="AS1157" i="48"/>
  <c r="M1157" i="48"/>
  <c r="AS1061" i="48"/>
  <c r="M1061" i="48"/>
  <c r="AS965" i="48"/>
  <c r="M965" i="48"/>
  <c r="AS485" i="48"/>
  <c r="M485" i="48"/>
  <c r="AS389" i="48"/>
  <c r="M389" i="48"/>
  <c r="AS293" i="48"/>
  <c r="M293" i="48"/>
  <c r="AS197" i="48"/>
  <c r="M197" i="48"/>
  <c r="AS101" i="48"/>
  <c r="M101" i="48"/>
  <c r="AS897" i="48"/>
  <c r="M897" i="48"/>
  <c r="AS1257" i="48"/>
  <c r="M1257" i="48"/>
  <c r="AS873" i="48"/>
  <c r="M873" i="48"/>
  <c r="AS633" i="48"/>
  <c r="M633" i="48"/>
  <c r="AS1281" i="48"/>
  <c r="M1281" i="48"/>
  <c r="AS1161" i="48"/>
  <c r="M1161" i="48"/>
  <c r="AS1065" i="48"/>
  <c r="M1065" i="48"/>
  <c r="AS969" i="48"/>
  <c r="M969" i="48"/>
  <c r="AS129" i="48"/>
  <c r="M129" i="48"/>
  <c r="AS465" i="48"/>
  <c r="M465" i="48"/>
  <c r="AS369" i="48"/>
  <c r="M369" i="48"/>
  <c r="AS273" i="48"/>
  <c r="M273" i="48"/>
  <c r="AS1276" i="48"/>
  <c r="M1276" i="48"/>
  <c r="AS844" i="48"/>
  <c r="M844" i="48"/>
  <c r="AS1204" i="48"/>
  <c r="M1204" i="48"/>
  <c r="AS1108" i="48"/>
  <c r="M1108" i="48"/>
  <c r="AS1012" i="48"/>
  <c r="M1012" i="48"/>
  <c r="AS388" i="48"/>
  <c r="M388" i="48"/>
  <c r="AS820" i="48"/>
  <c r="M820" i="48"/>
  <c r="AS724" i="48"/>
  <c r="M724" i="48"/>
  <c r="AS628" i="48"/>
  <c r="M628" i="48"/>
  <c r="AS532" i="48"/>
  <c r="M532" i="48"/>
  <c r="AS172" i="48"/>
  <c r="M172" i="48"/>
  <c r="AS316" i="48"/>
  <c r="M316" i="48"/>
  <c r="AS196" i="48"/>
  <c r="M196" i="48"/>
  <c r="AS1280" i="48"/>
  <c r="M1280" i="48"/>
  <c r="AS1184" i="48"/>
  <c r="M1184" i="48"/>
  <c r="AS1088" i="48"/>
  <c r="M1088" i="48"/>
  <c r="AS992" i="48"/>
  <c r="M992" i="48"/>
  <c r="AS896" i="48"/>
  <c r="M896" i="48"/>
  <c r="AS536" i="48"/>
  <c r="M536" i="48"/>
  <c r="AS392" i="48"/>
  <c r="M392" i="48"/>
  <c r="AS776" i="48"/>
  <c r="M776" i="48"/>
  <c r="AS680" i="48"/>
  <c r="M680" i="48"/>
  <c r="AS584" i="48"/>
  <c r="M584" i="48"/>
  <c r="AS368" i="48"/>
  <c r="M368" i="48"/>
  <c r="AS272" i="48"/>
  <c r="M272" i="48"/>
  <c r="AS200" i="48"/>
  <c r="M200" i="48"/>
  <c r="AS549" i="48"/>
  <c r="M549" i="48"/>
  <c r="AS1269" i="48"/>
  <c r="M1269" i="48"/>
  <c r="AS1293" i="48"/>
  <c r="M1293" i="48"/>
  <c r="AS885" i="48"/>
  <c r="M885" i="48"/>
  <c r="AS789" i="48"/>
  <c r="M789" i="48"/>
  <c r="AS693" i="48"/>
  <c r="M693" i="48"/>
  <c r="AS597" i="48"/>
  <c r="M597" i="48"/>
  <c r="AS1149" i="48"/>
  <c r="M1149" i="48"/>
  <c r="AS1053" i="48"/>
  <c r="M1053" i="48"/>
  <c r="AS957" i="48"/>
  <c r="M957" i="48"/>
  <c r="AS453" i="48"/>
  <c r="M453" i="48"/>
  <c r="AS357" i="48"/>
  <c r="M357" i="48"/>
  <c r="AS261" i="48"/>
  <c r="M261" i="48"/>
  <c r="AS165" i="48"/>
  <c r="M165" i="48"/>
  <c r="AS69" i="48"/>
  <c r="M69" i="48"/>
  <c r="AS745" i="48"/>
  <c r="M745" i="48"/>
  <c r="AS1273" i="48"/>
  <c r="M1273" i="48"/>
  <c r="AS1321" i="48"/>
  <c r="M1321" i="48"/>
  <c r="AS841" i="48"/>
  <c r="M841" i="48"/>
  <c r="AS673" i="48"/>
  <c r="M673" i="48"/>
  <c r="AS1129" i="48"/>
  <c r="M1129" i="48"/>
  <c r="AS1033" i="48"/>
  <c r="M1033" i="48"/>
  <c r="AS577" i="48"/>
  <c r="M577" i="48"/>
  <c r="AS145" i="48"/>
  <c r="M145" i="48"/>
  <c r="AS481" i="48"/>
  <c r="M481" i="48"/>
  <c r="AS385" i="48"/>
  <c r="M385" i="48"/>
  <c r="AS289" i="48"/>
  <c r="M289" i="48"/>
  <c r="AS1128" i="48"/>
  <c r="M1128" i="48"/>
  <c r="AS864" i="48"/>
  <c r="M864" i="48"/>
  <c r="AS696" i="48"/>
  <c r="M696" i="48"/>
  <c r="AS504" i="48"/>
  <c r="M504" i="48"/>
  <c r="AS1205" i="48"/>
  <c r="M1205" i="48"/>
  <c r="AS653" i="48"/>
  <c r="M653" i="48"/>
  <c r="AS1109" i="48"/>
  <c r="M1109" i="48"/>
  <c r="AS437" i="48"/>
  <c r="M437" i="48"/>
  <c r="AS729" i="48"/>
  <c r="M729" i="48"/>
  <c r="AS1017" i="48"/>
  <c r="M1017" i="48"/>
  <c r="AS513" i="48"/>
  <c r="M513" i="48"/>
  <c r="AS225" i="48"/>
  <c r="M225" i="48"/>
  <c r="AS1252" i="48"/>
  <c r="M1252" i="48"/>
  <c r="AS772" i="48"/>
  <c r="M772" i="48"/>
  <c r="AS460" i="48"/>
  <c r="M460" i="48"/>
  <c r="AS1328" i="48"/>
  <c r="M1328" i="48"/>
  <c r="AS104" i="48"/>
  <c r="M104" i="48"/>
  <c r="AS192" i="48"/>
  <c r="M192" i="48"/>
  <c r="AS1104" i="48"/>
  <c r="M1104" i="48"/>
  <c r="AS936" i="48"/>
  <c r="M936" i="48"/>
  <c r="AS336" i="48"/>
  <c r="M336" i="48"/>
  <c r="AS768" i="48"/>
  <c r="M768" i="48"/>
  <c r="AS576" i="48"/>
  <c r="M576" i="48"/>
  <c r="AS120" i="48"/>
  <c r="M120" i="48"/>
  <c r="AS1325" i="48"/>
  <c r="M1325" i="48"/>
  <c r="AS821" i="48"/>
  <c r="M821" i="48"/>
  <c r="AS1181" i="48"/>
  <c r="M1181" i="48"/>
  <c r="AS989" i="48"/>
  <c r="M989" i="48"/>
  <c r="AS509" i="48"/>
  <c r="M509" i="48"/>
  <c r="AS317" i="48"/>
  <c r="M317" i="48"/>
  <c r="AS609" i="48"/>
  <c r="M609" i="48"/>
  <c r="AS681" i="48"/>
  <c r="M681" i="48"/>
  <c r="AS1305" i="48"/>
  <c r="M1305" i="48"/>
  <c r="AS1089" i="48"/>
  <c r="M1089" i="48"/>
  <c r="AS177" i="48"/>
  <c r="M177" i="48"/>
  <c r="AS393" i="48"/>
  <c r="M393" i="48"/>
  <c r="AS892" i="48"/>
  <c r="M892" i="48"/>
  <c r="AS1132" i="48"/>
  <c r="M1132" i="48"/>
  <c r="AS220" i="48"/>
  <c r="M220" i="48"/>
  <c r="AS652" i="48"/>
  <c r="M652" i="48"/>
  <c r="AS412" i="48"/>
  <c r="M412" i="48"/>
  <c r="AS244" i="48"/>
  <c r="M244" i="48"/>
  <c r="AS1304" i="48"/>
  <c r="M1304" i="48"/>
  <c r="AS1112" i="48"/>
  <c r="M1112" i="48"/>
  <c r="AS440" i="48"/>
  <c r="M440" i="48"/>
  <c r="AS800" i="48"/>
  <c r="M800" i="48"/>
  <c r="AS608" i="48"/>
  <c r="M608" i="48"/>
  <c r="AS416" i="48"/>
  <c r="M416" i="48"/>
  <c r="AS128" i="48"/>
  <c r="M128" i="48"/>
  <c r="AS1317" i="48"/>
  <c r="M1317" i="48"/>
  <c r="AS909" i="48"/>
  <c r="M909" i="48"/>
  <c r="AS717" i="48"/>
  <c r="M717" i="48"/>
  <c r="AS1173" i="48"/>
  <c r="M1173" i="48"/>
  <c r="AS981" i="48"/>
  <c r="M981" i="48"/>
  <c r="AS477" i="48"/>
  <c r="M477" i="48"/>
  <c r="AS285" i="48"/>
  <c r="M285" i="48"/>
  <c r="AS93" i="48"/>
  <c r="M93" i="48"/>
  <c r="AS793" i="48"/>
  <c r="M793" i="48"/>
  <c r="AS601" i="48"/>
  <c r="M601" i="48"/>
  <c r="AS889" i="48"/>
  <c r="M889" i="48"/>
  <c r="AS1057" i="48"/>
  <c r="M1057" i="48"/>
  <c r="AS193" i="48"/>
  <c r="M193" i="48"/>
  <c r="AS409" i="48"/>
  <c r="M409" i="48"/>
  <c r="AS1296" i="48"/>
  <c r="M1296" i="48"/>
  <c r="AS1248" i="48"/>
  <c r="M1248" i="48"/>
  <c r="AS1152" i="48"/>
  <c r="M1152" i="48"/>
  <c r="AS1056" i="48"/>
  <c r="M1056" i="48"/>
  <c r="AS960" i="48"/>
  <c r="M960" i="48"/>
  <c r="AS888" i="48"/>
  <c r="M888" i="48"/>
  <c r="AS432" i="48"/>
  <c r="M432" i="48"/>
  <c r="AS240" i="48"/>
  <c r="M240" i="48"/>
  <c r="AS816" i="48"/>
  <c r="M816" i="48"/>
  <c r="AS720" i="48"/>
  <c r="M720" i="48"/>
  <c r="AS624" i="48"/>
  <c r="M624" i="48"/>
  <c r="AS144" i="48"/>
  <c r="M144" i="48"/>
  <c r="AS216" i="48"/>
  <c r="M216" i="48"/>
  <c r="AS1229" i="48"/>
  <c r="M1229" i="48"/>
  <c r="AS1277" i="48"/>
  <c r="M1277" i="48"/>
  <c r="AS869" i="48"/>
  <c r="M869" i="48"/>
  <c r="AS773" i="48"/>
  <c r="M773" i="48"/>
  <c r="AS677" i="48"/>
  <c r="M677" i="48"/>
  <c r="AS581" i="48"/>
  <c r="M581" i="48"/>
  <c r="AS1133" i="48"/>
  <c r="M1133" i="48"/>
  <c r="AS1037" i="48"/>
  <c r="M1037" i="48"/>
  <c r="AS461" i="48"/>
  <c r="M461" i="48"/>
  <c r="AS365" i="48"/>
  <c r="M365" i="48"/>
  <c r="AS269" i="48"/>
  <c r="M269" i="48"/>
  <c r="AS173" i="48"/>
  <c r="M173" i="48"/>
  <c r="AS77" i="48"/>
  <c r="M77" i="48"/>
  <c r="AS849" i="48"/>
  <c r="M849" i="48"/>
  <c r="AS801" i="48"/>
  <c r="M801" i="48"/>
  <c r="AS1233" i="48"/>
  <c r="M1233" i="48"/>
  <c r="AS777" i="48"/>
  <c r="M777" i="48"/>
  <c r="AS585" i="48"/>
  <c r="M585" i="48"/>
  <c r="AS561" i="48"/>
  <c r="M561" i="48"/>
  <c r="AS1137" i="48"/>
  <c r="M1137" i="48"/>
  <c r="AS1041" i="48"/>
  <c r="M1041" i="48"/>
  <c r="AS945" i="48"/>
  <c r="M945" i="48"/>
  <c r="AS201" i="48"/>
  <c r="M201" i="48"/>
  <c r="AS537" i="48"/>
  <c r="M537" i="48"/>
  <c r="AS441" i="48"/>
  <c r="M441" i="48"/>
  <c r="AS345" i="48"/>
  <c r="M345" i="48"/>
  <c r="AS249" i="48"/>
  <c r="M249" i="48"/>
  <c r="AS868" i="48"/>
  <c r="M868" i="48"/>
  <c r="AS916" i="48"/>
  <c r="M916" i="48"/>
  <c r="AS1180" i="48"/>
  <c r="M1180" i="48"/>
  <c r="AS1084" i="48"/>
  <c r="M1084" i="48"/>
  <c r="AS988" i="48"/>
  <c r="M988" i="48"/>
  <c r="AS124" i="48"/>
  <c r="M124" i="48"/>
  <c r="AS796" i="48"/>
  <c r="M796" i="48"/>
  <c r="AS700" i="48"/>
  <c r="M700" i="48"/>
  <c r="AS604" i="48"/>
  <c r="M604" i="48"/>
  <c r="AS508" i="48"/>
  <c r="M508" i="48"/>
  <c r="AS76" i="48"/>
  <c r="M76" i="48"/>
  <c r="AS292" i="48"/>
  <c r="M292" i="48"/>
  <c r="AS148" i="48"/>
  <c r="M148" i="48"/>
  <c r="AS1256" i="48"/>
  <c r="M1256" i="48"/>
  <c r="AS1160" i="48"/>
  <c r="M1160" i="48"/>
  <c r="AS1064" i="48"/>
  <c r="M1064" i="48"/>
  <c r="AS968" i="48"/>
  <c r="M968" i="48"/>
  <c r="AS872" i="48"/>
  <c r="M872" i="48"/>
  <c r="AS512" i="48"/>
  <c r="M512" i="48"/>
  <c r="AS176" i="48"/>
  <c r="M176" i="48"/>
  <c r="AS752" i="48"/>
  <c r="M752" i="48"/>
  <c r="AS656" i="48"/>
  <c r="M656" i="48"/>
  <c r="AS560" i="48"/>
  <c r="M560" i="48"/>
  <c r="AS344" i="48"/>
  <c r="M344" i="48"/>
  <c r="AS248" i="48"/>
  <c r="M248" i="48"/>
  <c r="AS152" i="48"/>
  <c r="M152" i="48"/>
  <c r="AS1245" i="48"/>
  <c r="M1245" i="48"/>
  <c r="AS861" i="48"/>
  <c r="M861" i="48"/>
  <c r="AS765" i="48"/>
  <c r="M765" i="48"/>
  <c r="AS669" i="48"/>
  <c r="M669" i="48"/>
  <c r="AS1125" i="48"/>
  <c r="M1125" i="48"/>
  <c r="AS1029" i="48"/>
  <c r="M1029" i="48"/>
  <c r="AS525" i="48"/>
  <c r="M525" i="48"/>
  <c r="AS429" i="48"/>
  <c r="M429" i="48"/>
  <c r="AS333" i="48"/>
  <c r="M333" i="48"/>
  <c r="AS237" i="48"/>
  <c r="M237" i="48"/>
  <c r="AS141" i="48"/>
  <c r="M141" i="48"/>
  <c r="AS913" i="48"/>
  <c r="M913" i="48"/>
  <c r="AS697" i="48"/>
  <c r="M697" i="48"/>
  <c r="AS1249" i="48"/>
  <c r="M1249" i="48"/>
  <c r="AS1297" i="48"/>
  <c r="M1297" i="48"/>
  <c r="AS817" i="48"/>
  <c r="M817" i="48"/>
  <c r="AS625" i="48"/>
  <c r="M625" i="48"/>
  <c r="AS1105" i="48"/>
  <c r="M1105" i="48"/>
  <c r="AS1009" i="48"/>
  <c r="M1009" i="48"/>
  <c r="AS553" i="48"/>
  <c r="M553" i="48"/>
  <c r="AS217" i="48"/>
  <c r="M217" i="48"/>
  <c r="AS97" i="48"/>
  <c r="M97" i="48"/>
  <c r="AS457" i="48"/>
  <c r="M457" i="48"/>
  <c r="AS361" i="48"/>
  <c r="M361" i="48"/>
  <c r="AS265" i="48"/>
  <c r="M265" i="48"/>
  <c r="AS264" i="48"/>
  <c r="M264" i="48"/>
  <c r="AS312" i="48"/>
  <c r="M312" i="48"/>
  <c r="AS792" i="48"/>
  <c r="M792" i="48"/>
  <c r="AS749" i="48"/>
  <c r="M749" i="48"/>
  <c r="AS533" i="48"/>
  <c r="M533" i="48"/>
  <c r="AS245" i="48"/>
  <c r="M245" i="48"/>
  <c r="AS1209" i="48"/>
  <c r="M1209" i="48"/>
  <c r="AS1113" i="48"/>
  <c r="M1113" i="48"/>
  <c r="AS321" i="48"/>
  <c r="M321" i="48"/>
  <c r="AS1156" i="48"/>
  <c r="M1156" i="48"/>
  <c r="AS676" i="48"/>
  <c r="M676" i="48"/>
  <c r="AS268" i="48"/>
  <c r="M268" i="48"/>
  <c r="AS100" i="48"/>
  <c r="M100" i="48"/>
  <c r="AS1136" i="48"/>
  <c r="M1136" i="48"/>
  <c r="AS1040" i="48"/>
  <c r="M1040" i="48"/>
  <c r="AS848" i="48"/>
  <c r="M848" i="48"/>
  <c r="AS80" i="48"/>
  <c r="M80" i="48"/>
  <c r="AS824" i="48"/>
  <c r="M824" i="48"/>
  <c r="AS728" i="48"/>
  <c r="M728" i="48"/>
  <c r="AS632" i="48"/>
  <c r="M632" i="48"/>
  <c r="AS464" i="48"/>
  <c r="M464" i="48"/>
  <c r="AS320" i="48"/>
  <c r="M320" i="48"/>
  <c r="AS1221" i="48"/>
  <c r="M1221" i="48"/>
  <c r="AS933" i="48"/>
  <c r="M933" i="48"/>
  <c r="AS837" i="48"/>
  <c r="M837" i="48"/>
  <c r="AS741" i="48"/>
  <c r="M741" i="48"/>
  <c r="AS645" i="48"/>
  <c r="M645" i="48"/>
  <c r="AS1197" i="48"/>
  <c r="M1197" i="48"/>
  <c r="AS1101" i="48"/>
  <c r="M1101" i="48"/>
  <c r="AS1005" i="48"/>
  <c r="M1005" i="48"/>
  <c r="AS501" i="48"/>
  <c r="M501" i="48"/>
  <c r="AS405" i="48"/>
  <c r="M405" i="48"/>
  <c r="AS309" i="48"/>
  <c r="M309" i="48"/>
  <c r="AS213" i="48"/>
  <c r="M213" i="48"/>
  <c r="AS117" i="48"/>
  <c r="M117" i="48"/>
  <c r="AS865" i="48"/>
  <c r="M865" i="48"/>
  <c r="AS649" i="48"/>
  <c r="M649" i="48"/>
  <c r="AS1225" i="48"/>
  <c r="M1225" i="48"/>
  <c r="AS937" i="48"/>
  <c r="M937" i="48"/>
  <c r="AS769" i="48"/>
  <c r="M769" i="48"/>
  <c r="AS1177" i="48"/>
  <c r="M1177" i="48"/>
  <c r="AS1081" i="48"/>
  <c r="M1081" i="48"/>
  <c r="AS985" i="48"/>
  <c r="M985" i="48"/>
  <c r="AS169" i="48"/>
  <c r="M169" i="48"/>
  <c r="AS121" i="48"/>
  <c r="M121" i="48"/>
  <c r="AS529" i="48"/>
  <c r="M529" i="48"/>
  <c r="AS433" i="48"/>
  <c r="M433" i="48"/>
  <c r="AS337" i="48"/>
  <c r="M337" i="48"/>
  <c r="AS241" i="48"/>
  <c r="M241" i="48"/>
  <c r="AS1032" i="48"/>
  <c r="M1032" i="48"/>
  <c r="AS96" i="48"/>
  <c r="M96" i="48"/>
  <c r="AS168" i="48"/>
  <c r="M168" i="48"/>
  <c r="AS845" i="48"/>
  <c r="M845" i="48"/>
  <c r="AS705" i="48"/>
  <c r="M705" i="48"/>
  <c r="AS81" i="48"/>
  <c r="M81" i="48"/>
  <c r="AS153" i="48"/>
  <c r="M153" i="48"/>
  <c r="AS1324" i="48"/>
  <c r="M1324" i="48"/>
  <c r="AS1060" i="48"/>
  <c r="M1060" i="48"/>
  <c r="AS436" i="48"/>
  <c r="M436" i="48"/>
  <c r="AS580" i="48"/>
  <c r="M580" i="48"/>
  <c r="AS944" i="48"/>
  <c r="M944" i="48"/>
  <c r="AS629" i="48"/>
  <c r="M629" i="48"/>
  <c r="AS489" i="48"/>
  <c r="M489" i="48"/>
  <c r="AS1016" i="48"/>
  <c r="M1016" i="48"/>
  <c r="AS721" i="48"/>
  <c r="M721" i="48"/>
  <c r="AV44" i="48"/>
  <c r="AW44" i="48" s="1"/>
  <c r="J1460" i="48"/>
  <c r="K1460" i="48" s="1"/>
  <c r="I1461" i="48"/>
  <c r="U57" i="48" l="1"/>
  <c r="U53" i="48"/>
  <c r="U48" i="48"/>
  <c r="O45" i="48"/>
  <c r="U49" i="48"/>
  <c r="AB48" i="48"/>
  <c r="O57" i="48"/>
  <c r="O56" i="48"/>
  <c r="O53" i="48"/>
  <c r="O48" i="48"/>
  <c r="O49" i="48"/>
  <c r="AB56" i="48"/>
  <c r="AB45" i="48"/>
  <c r="AA45" i="48" s="1"/>
  <c r="AA46" i="48" s="1"/>
  <c r="AA47" i="48" s="1"/>
  <c r="AA48" i="48" s="1"/>
  <c r="AB52" i="48"/>
  <c r="O52" i="48"/>
  <c r="AB57" i="48"/>
  <c r="AB53" i="48"/>
  <c r="AB49" i="48"/>
  <c r="U56" i="48"/>
  <c r="U45" i="48"/>
  <c r="U36" i="48" s="1"/>
  <c r="U52" i="48"/>
  <c r="AU45" i="48"/>
  <c r="AV45" i="48" s="1"/>
  <c r="AW45" i="48" s="1"/>
  <c r="I1462" i="48"/>
  <c r="J1461" i="48"/>
  <c r="K1461" i="48" s="1"/>
  <c r="AU46" i="48" s="1"/>
  <c r="T45" i="48" l="1"/>
  <c r="T46" i="48" s="1"/>
  <c r="T47" i="48" s="1"/>
  <c r="T48" i="48" s="1"/>
  <c r="T49" i="48" s="1"/>
  <c r="T50" i="48" s="1"/>
  <c r="T51" i="48" s="1"/>
  <c r="T52" i="48" s="1"/>
  <c r="T53" i="48" s="1"/>
  <c r="T54" i="48" s="1"/>
  <c r="T55" i="48" s="1"/>
  <c r="T56" i="48" s="1"/>
  <c r="T57" i="48" s="1"/>
  <c r="T58" i="48" s="1"/>
  <c r="T59" i="48" s="1"/>
  <c r="AB36" i="48"/>
  <c r="AA49" i="48"/>
  <c r="AA50" i="48" s="1"/>
  <c r="AA51" i="48" s="1"/>
  <c r="AA52" i="48" s="1"/>
  <c r="AA53" i="48" s="1"/>
  <c r="AA54" i="48" s="1"/>
  <c r="AA55" i="48" s="1"/>
  <c r="AA56" i="48" s="1"/>
  <c r="AA57" i="48" s="1"/>
  <c r="AA58" i="48" s="1"/>
  <c r="AA59" i="48" s="1"/>
  <c r="O36" i="48"/>
  <c r="N45" i="48"/>
  <c r="N46" i="48" s="1"/>
  <c r="N47" i="48" s="1"/>
  <c r="N48" i="48" s="1"/>
  <c r="N49" i="48" s="1"/>
  <c r="N50" i="48" s="1"/>
  <c r="N51" i="48" s="1"/>
  <c r="N52" i="48" s="1"/>
  <c r="N53" i="48" s="1"/>
  <c r="N54" i="48" s="1"/>
  <c r="N55" i="48" s="1"/>
  <c r="N56" i="48" s="1"/>
  <c r="N57" i="48" s="1"/>
  <c r="N58" i="48" s="1"/>
  <c r="N59" i="48" s="1"/>
  <c r="AV46" i="48"/>
  <c r="AW46" i="48" s="1"/>
  <c r="BF46" i="48" s="1"/>
  <c r="I1463" i="48"/>
  <c r="J1462" i="48"/>
  <c r="K1462" i="48" s="1"/>
  <c r="AU47" i="48" s="1"/>
  <c r="BF45" i="48"/>
  <c r="AV47" i="48" l="1"/>
  <c r="AW47" i="48" s="1"/>
  <c r="J1463" i="48"/>
  <c r="K1463" i="48" s="1"/>
  <c r="AU48" i="48" s="1"/>
  <c r="I1464" i="48"/>
  <c r="AV48" i="48" l="1"/>
  <c r="AW48" i="48" s="1"/>
  <c r="BF47" i="48"/>
  <c r="I1465" i="48"/>
  <c r="J1464" i="48"/>
  <c r="K1464" i="48" s="1"/>
  <c r="AU49" i="48" s="1"/>
  <c r="AV49" i="48" l="1"/>
  <c r="AW49" i="48" s="1"/>
  <c r="BF49" i="48" s="1"/>
  <c r="BF48" i="48"/>
  <c r="I1466" i="48"/>
  <c r="J1465" i="48"/>
  <c r="K1465" i="48" s="1"/>
  <c r="AU50" i="48" s="1"/>
  <c r="AV50" i="48" l="1"/>
  <c r="AW50" i="48" s="1"/>
  <c r="BF50" i="48" s="1"/>
  <c r="I1467" i="48"/>
  <c r="J1466" i="48"/>
  <c r="K1466" i="48" s="1"/>
  <c r="AU51" i="48" s="1"/>
  <c r="AV51" i="48" l="1"/>
  <c r="AW51" i="48" s="1"/>
  <c r="J1467" i="48"/>
  <c r="K1467" i="48" s="1"/>
  <c r="AU52" i="48" s="1"/>
  <c r="I1468" i="48"/>
  <c r="AV52" i="48" l="1"/>
  <c r="AW52" i="48" s="1"/>
  <c r="BF52" i="48" s="1"/>
  <c r="BF51" i="48"/>
  <c r="I1469" i="48"/>
  <c r="J1468" i="48"/>
  <c r="K1468" i="48" s="1"/>
  <c r="AU53" i="48" s="1"/>
  <c r="AV53" i="48" l="1"/>
  <c r="AW53" i="48" s="1"/>
  <c r="BF53" i="48" s="1"/>
  <c r="I1470" i="48"/>
  <c r="J1469" i="48"/>
  <c r="K1469" i="48" s="1"/>
  <c r="AU54" i="48" s="1"/>
  <c r="AV54" i="48" l="1"/>
  <c r="AW54" i="48" s="1"/>
  <c r="BF54" i="48" s="1"/>
  <c r="I1471" i="48"/>
  <c r="J1470" i="48"/>
  <c r="K1470" i="48" s="1"/>
  <c r="AU55" i="48" s="1"/>
  <c r="AV55" i="48" l="1"/>
  <c r="AW55" i="48" s="1"/>
  <c r="BF55" i="48" s="1"/>
  <c r="J1471" i="48"/>
  <c r="K1471" i="48" s="1"/>
  <c r="AU56" i="48" s="1"/>
  <c r="I1472" i="48"/>
  <c r="AV56" i="48" l="1"/>
  <c r="AW56" i="48" s="1"/>
  <c r="BF56" i="48" s="1"/>
  <c r="I1473" i="48"/>
  <c r="J1472" i="48"/>
  <c r="K1472" i="48" s="1"/>
  <c r="AU57" i="48" s="1"/>
  <c r="AV57" i="48" l="1"/>
  <c r="AW57" i="48" s="1"/>
  <c r="BF57" i="48" s="1"/>
  <c r="I1474" i="48"/>
  <c r="J1474" i="48" s="1"/>
  <c r="K1474" i="48" s="1"/>
  <c r="AU59" i="48" s="1"/>
  <c r="J1473" i="48"/>
  <c r="K1473" i="48" s="1"/>
  <c r="AU58" i="48" s="1"/>
  <c r="AV58" i="48" l="1"/>
  <c r="AV59" i="48" s="1"/>
  <c r="AW59" i="48" s="1"/>
  <c r="BF59" i="48" l="1"/>
  <c r="AW58" i="48"/>
  <c r="BM39" i="48" l="1"/>
  <c r="BF58" i="48"/>
</calcChain>
</file>

<file path=xl/sharedStrings.xml><?xml version="1.0" encoding="utf-8"?>
<sst xmlns="http://schemas.openxmlformats.org/spreadsheetml/2006/main" count="11326" uniqueCount="595">
  <si>
    <t>IDENTIFIER</t>
  </si>
  <si>
    <t>Sample Company Name</t>
  </si>
  <si>
    <t>SNL Company Name</t>
  </si>
  <si>
    <t>SNL Institution Key</t>
  </si>
  <si>
    <t>1998 Y</t>
  </si>
  <si>
    <t>1999 Y</t>
  </si>
  <si>
    <t>2000 Y</t>
  </si>
  <si>
    <t>2001 Y</t>
  </si>
  <si>
    <t>2002 Y</t>
  </si>
  <si>
    <t>2003 Y</t>
  </si>
  <si>
    <t>2004 Y</t>
  </si>
  <si>
    <t>2005 Y</t>
  </si>
  <si>
    <t>2006 Y</t>
  </si>
  <si>
    <t>2007 Y</t>
  </si>
  <si>
    <t>2008 Y</t>
  </si>
  <si>
    <t>2009 Y</t>
  </si>
  <si>
    <t>2010 Y</t>
  </si>
  <si>
    <t>2011 Y</t>
  </si>
  <si>
    <t>2012 Y</t>
  </si>
  <si>
    <t>2013 Y</t>
  </si>
  <si>
    <t>2014 Y</t>
  </si>
  <si>
    <t>2015 Y</t>
  </si>
  <si>
    <t>2016 Y</t>
  </si>
  <si>
    <t>2017 Y</t>
  </si>
  <si>
    <t>2018 Y</t>
  </si>
  <si>
    <t>2019 Y</t>
  </si>
  <si>
    <t>2020 Y</t>
  </si>
  <si>
    <t>ARKANSAS OKLAHOMA GAS CORP.</t>
  </si>
  <si>
    <t>ATLANTA GAS LIGHT COMPANY</t>
  </si>
  <si>
    <t>AVISTA CORPORATION</t>
  </si>
  <si>
    <t>Northeast</t>
  </si>
  <si>
    <t>BALTIMORE GAS AND ELECTRIC COMPANY</t>
  </si>
  <si>
    <t>BAY STATE GAS COMPANY</t>
  </si>
  <si>
    <t>Eversource Gas Company of Massachusetts</t>
  </si>
  <si>
    <t>BERKSHIRE GAS COMPANY</t>
  </si>
  <si>
    <t>The Berkshire Gas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</si>
  <si>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</si>
  <si>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</si>
  <si>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</si>
  <si>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</si>
  <si>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</si>
  <si>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</si>
  <si>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</si>
  <si>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</si>
  <si>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</si>
  <si>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</si>
  <si>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</si>
  <si>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</si>
  <si>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</si>
  <si>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</si>
  <si>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</si>
  <si>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</si>
  <si>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</si>
  <si>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</si>
  <si>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</si>
  <si>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</si>
  <si>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</si>
  <si>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</si>
  <si>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FILLMORE GAS COMPANY, INC.</t>
  </si>
  <si>
    <t>Fillmore Gas Company,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</si>
  <si>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</si>
  <si>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</si>
  <si>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</si>
  <si>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</si>
  <si>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</si>
  <si>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</si>
  <si>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</si>
  <si>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</si>
  <si>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</si>
  <si>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</si>
  <si>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</si>
  <si>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</si>
  <si>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</si>
  <si>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</si>
  <si>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</si>
  <si>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</si>
  <si>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</si>
  <si>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NORTHERN STATES POWER COMPANY - WI</t>
  </si>
  <si>
    <t>Northern States Power Company</t>
  </si>
  <si>
    <t>NORTHWEST NATURAL HOLDING COMPANY</t>
  </si>
  <si>
    <t>NSTAR GAS COMPANY</t>
  </si>
  <si>
    <t>OHIO GAS COMPANY</t>
  </si>
  <si>
    <t>OHIO VALLEY GAS CORPORATION</t>
  </si>
  <si>
    <t>OKLAHOMA NATURAL GAS COMPANY</t>
  </si>
  <si>
    <t>ORANGE AND ROCKLAND UTILITIES, INC.</t>
  </si>
  <si>
    <t>PACIFIC GAS AND ELECTRIC COMPANY</t>
  </si>
  <si>
    <t>PECO ENERGY CO.</t>
  </si>
  <si>
    <t>PECO Energy Company</t>
  </si>
  <si>
    <t>PEOPLES GAS LIGHT AND COKE COMPANY</t>
  </si>
  <si>
    <t>The Peoples Gas Light and Coke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</si>
  <si>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</si>
  <si>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</si>
  <si>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</si>
  <si>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</si>
  <si>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</si>
  <si>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</si>
  <si>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</si>
  <si>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</si>
  <si>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ROCHESTER GAS AND ELECTRIC CORPORATION</t>
  </si>
  <si>
    <t>Rochester Gas and Electric Co</t>
  </si>
  <si>
    <t>SAN DIEGO GAS &amp; ELECTRIC COMPANY</t>
  </si>
  <si>
    <t>SIERRA PACIFIC POWER COMPANY</t>
  </si>
  <si>
    <t>SOUTH JERSEY GAS COMPANY</t>
  </si>
  <si>
    <t>SOUTHERN CALIFORNIA GAS COMPANY</t>
  </si>
  <si>
    <t>SOUTHERN CONNECTICUT GAS COMPANY</t>
  </si>
  <si>
    <t>The Southern Connecticut Gas Company</t>
  </si>
  <si>
    <t>SOUTHERN INDIANA GAS AND ELECTRIC COMPANY</t>
  </si>
  <si>
    <t>SPIRE MISSISSIPPI INC.</t>
  </si>
  <si>
    <t>SPIRE MISSOURI INC.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</si>
  <si>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</si>
  <si>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</si>
  <si>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</si>
  <si>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</si>
  <si>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</si>
  <si>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</si>
  <si>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VIRGINIA NATURAL GAS, INC.</t>
  </si>
  <si>
    <t>WASHINGTON GAS LIGHT COMPANY</t>
  </si>
  <si>
    <t>WISCONSIN GAS LLC</t>
  </si>
  <si>
    <t>WISCONSIN POWER AND LIGHT COMPANY</t>
  </si>
  <si>
    <t>WYOMING GAS COMPANY</t>
  </si>
  <si>
    <t>Wyoming Gas Company</t>
  </si>
  <si>
    <t>YANKEE GAS SERVICES COMPANY</t>
  </si>
  <si>
    <t>Yankee Gas Services Company</t>
  </si>
  <si>
    <t>NA</t>
  </si>
  <si>
    <t>Company Name</t>
  </si>
  <si>
    <t>State</t>
  </si>
  <si>
    <t>NE</t>
  </si>
  <si>
    <t>Year</t>
  </si>
  <si>
    <t>Cost Labor</t>
  </si>
  <si>
    <t>Cost Materials</t>
  </si>
  <si>
    <t>Cost
Capital  Input</t>
  </si>
  <si>
    <t>AR</t>
  </si>
  <si>
    <t>GA</t>
  </si>
  <si>
    <t>WA</t>
  </si>
  <si>
    <t>MD</t>
  </si>
  <si>
    <t>WV</t>
  </si>
  <si>
    <t>NY</t>
  </si>
  <si>
    <t>MI</t>
  </si>
  <si>
    <t>OH</t>
  </si>
  <si>
    <t>VA</t>
  </si>
  <si>
    <t>CT</t>
  </si>
  <si>
    <t>KY</t>
  </si>
  <si>
    <t>IL</t>
  </si>
  <si>
    <t>IN</t>
  </si>
  <si>
    <t>WI</t>
  </si>
  <si>
    <t>NJ</t>
  </si>
  <si>
    <t>CA</t>
  </si>
  <si>
    <t>FL</t>
  </si>
  <si>
    <t>NC</t>
  </si>
  <si>
    <t>UT</t>
  </si>
  <si>
    <t>TX</t>
  </si>
  <si>
    <t>MO</t>
  </si>
  <si>
    <t>DC</t>
  </si>
  <si>
    <t>DIST_PLANT_GAS</t>
  </si>
  <si>
    <t>GENERAL_PLANT_GAS</t>
  </si>
  <si>
    <t>Total Natural Gas Customer_x000D_
(actual)</t>
  </si>
  <si>
    <t>TOTAL_NAT_GAS_CUSTOMER</t>
  </si>
  <si>
    <t>General Plant-Gas-Additions_x000D_
2020 Y_x000D_
($000)</t>
  </si>
  <si>
    <t>General Plant-Gas-Additions_x000D_
2019 Y_x000D_
($000)</t>
  </si>
  <si>
    <t>General Plant-Gas-Additions_x000D_
2018 Y_x000D_
($000)</t>
  </si>
  <si>
    <t>General Plant-Gas-Additions_x000D_
2017 Y_x000D_
($000)</t>
  </si>
  <si>
    <t>General Plant-Gas-Additions_x000D_
2016 Y_x000D_
($000)</t>
  </si>
  <si>
    <t>General Plant-Gas-Additions_x000D_
2015 Y_x000D_
($000)</t>
  </si>
  <si>
    <t>General Plant-Gas-Additions_x000D_
2014 Y_x000D_
($000)</t>
  </si>
  <si>
    <t>General Plant-Gas-Additions_x000D_
2013 Y_x000D_
($000)</t>
  </si>
  <si>
    <t>General Plant-Gas-Additions_x000D_
2012 Y_x000D_
($000)</t>
  </si>
  <si>
    <t>General Plant-Gas-Additions_x000D_
2011 Y_x000D_
($000)</t>
  </si>
  <si>
    <t>General Plant-Gas-Additions_x000D_
2010 Y_x000D_
($000)</t>
  </si>
  <si>
    <t>General Plant-Gas-Additions_x000D_
2009 Y_x000D_
($000)</t>
  </si>
  <si>
    <t>General Plant-Gas-Additions_x000D_
2008 Y_x000D_
($000)</t>
  </si>
  <si>
    <t>General Plant-Gas-Additions_x000D_
2007 Y_x000D_
($000)</t>
  </si>
  <si>
    <t>General Plant-Gas-Additions_x000D_
2006 Y_x000D_
($000)</t>
  </si>
  <si>
    <t>General Plant-Gas-Additions_x000D_
2005 Y_x000D_
($000)</t>
  </si>
  <si>
    <t>General Plant-Gas-Additions_x000D_
2004 Y_x000D_
($000)</t>
  </si>
  <si>
    <t>General Plant-Gas-Additions_x000D_
2003 Y_x000D_
($000)</t>
  </si>
  <si>
    <t>General Plant-Gas-Additions_x000D_
2002 Y_x000D_
($000)</t>
  </si>
  <si>
    <t>General Plant-Gas-Additions_x000D_
2001 Y_x000D_
($000)</t>
  </si>
  <si>
    <t>General Plant-Gas-Additions_x000D_
2000 Y_x000D_
($000)</t>
  </si>
  <si>
    <t>General Plant-Gas-Additions_x000D_
1999 Y_x000D_
($000)</t>
  </si>
  <si>
    <t>GENERAL_PLANT_GAS_ADD</t>
  </si>
  <si>
    <t>PPI-Construction Materials</t>
  </si>
  <si>
    <t>Triangularized PPI</t>
  </si>
  <si>
    <t>Table 1.1.4. Price Indexes for Gross Domestic Product</t>
  </si>
  <si>
    <t>[Index numbers, 2012=100]</t>
  </si>
  <si>
    <t>Bureau of Economic Analysis</t>
  </si>
  <si>
    <t>Line</t>
  </si>
  <si>
    <t>1</t>
  </si>
  <si>
    <t xml:space="preserve">    Gross domestic product</t>
  </si>
  <si>
    <t>A191RG</t>
  </si>
  <si>
    <t>2</t>
  </si>
  <si>
    <t>Personal consumption expenditures</t>
  </si>
  <si>
    <t>DPCERG</t>
  </si>
  <si>
    <t>3</t>
  </si>
  <si>
    <t xml:space="preserve">  Goods</t>
  </si>
  <si>
    <t>DGDSRG</t>
  </si>
  <si>
    <t>4</t>
  </si>
  <si>
    <t xml:space="preserve">    Durable goods</t>
  </si>
  <si>
    <t>DDURRG</t>
  </si>
  <si>
    <t>5</t>
  </si>
  <si>
    <t xml:space="preserve">    Nondurable goods</t>
  </si>
  <si>
    <t>DNDGRG</t>
  </si>
  <si>
    <t>6</t>
  </si>
  <si>
    <t xml:space="preserve">  Services</t>
  </si>
  <si>
    <t>DSERRG</t>
  </si>
  <si>
    <t>7</t>
  </si>
  <si>
    <t>Gross private domestic investment</t>
  </si>
  <si>
    <t>B006RG</t>
  </si>
  <si>
    <t>8</t>
  </si>
  <si>
    <t xml:space="preserve">  Fixed investment</t>
  </si>
  <si>
    <t>B007RG</t>
  </si>
  <si>
    <t>9</t>
  </si>
  <si>
    <t xml:space="preserve">    Nonresidential</t>
  </si>
  <si>
    <t>B008RG</t>
  </si>
  <si>
    <t>10</t>
  </si>
  <si>
    <t xml:space="preserve">      Structures</t>
  </si>
  <si>
    <t>B009RG</t>
  </si>
  <si>
    <t>11</t>
  </si>
  <si>
    <t xml:space="preserve">      Equipment</t>
  </si>
  <si>
    <t>Y033RG</t>
  </si>
  <si>
    <t>12</t>
  </si>
  <si>
    <t xml:space="preserve">      Intellectual property products</t>
  </si>
  <si>
    <t>Y001RG</t>
  </si>
  <si>
    <t>13</t>
  </si>
  <si>
    <t xml:space="preserve">    Residential</t>
  </si>
  <si>
    <t>B011RG</t>
  </si>
  <si>
    <t>14</t>
  </si>
  <si>
    <t xml:space="preserve">  Change in private inventories</t>
  </si>
  <si>
    <t>ZZZZZZ</t>
  </si>
  <si>
    <t>.....</t>
  </si>
  <si>
    <t>15</t>
  </si>
  <si>
    <t>Net exports of goods and services</t>
  </si>
  <si>
    <t>16</t>
  </si>
  <si>
    <t xml:space="preserve">  Exports</t>
  </si>
  <si>
    <t>B020RG</t>
  </si>
  <si>
    <t>17</t>
  </si>
  <si>
    <t xml:space="preserve">    Goods</t>
  </si>
  <si>
    <t>B253RG</t>
  </si>
  <si>
    <t>18</t>
  </si>
  <si>
    <t xml:space="preserve">    Services</t>
  </si>
  <si>
    <t>B646RG</t>
  </si>
  <si>
    <t>19</t>
  </si>
  <si>
    <t xml:space="preserve">  Imports</t>
  </si>
  <si>
    <t>B021RG</t>
  </si>
  <si>
    <t>20</t>
  </si>
  <si>
    <t>B255RG</t>
  </si>
  <si>
    <t>21</t>
  </si>
  <si>
    <t>B656RG</t>
  </si>
  <si>
    <t>22</t>
  </si>
  <si>
    <t>Government consumption expenditures and gross investment</t>
  </si>
  <si>
    <t>B822RG</t>
  </si>
  <si>
    <t>23</t>
  </si>
  <si>
    <t xml:space="preserve">  Federal</t>
  </si>
  <si>
    <t>B823RG</t>
  </si>
  <si>
    <t>24</t>
  </si>
  <si>
    <t xml:space="preserve">    National defense</t>
  </si>
  <si>
    <t>B824RG</t>
  </si>
  <si>
    <t>25</t>
  </si>
  <si>
    <t xml:space="preserve">    Nondefense</t>
  </si>
  <si>
    <t>B825RG</t>
  </si>
  <si>
    <t>26</t>
  </si>
  <si>
    <t xml:space="preserve">  State and local</t>
  </si>
  <si>
    <t>B829RG</t>
  </si>
  <si>
    <t>Employment Cost Index (NAICS)</t>
  </si>
  <si>
    <t>Original Data Value</t>
  </si>
  <si>
    <t>Series Id:</t>
  </si>
  <si>
    <t>CIU2010000000000I</t>
  </si>
  <si>
    <t>Not seasonally adjusted</t>
  </si>
  <si>
    <t>Series Title:</t>
  </si>
  <si>
    <t>Total compensation for Private industry workers in All industries and occupations, Index</t>
  </si>
  <si>
    <t>Ownership:</t>
  </si>
  <si>
    <t>Private industry workers</t>
  </si>
  <si>
    <t>Component:</t>
  </si>
  <si>
    <t>Total compensation</t>
  </si>
  <si>
    <t>Occupation:</t>
  </si>
  <si>
    <t>All workers</t>
  </si>
  <si>
    <t>Industry:</t>
  </si>
  <si>
    <t>Subcategory:</t>
  </si>
  <si>
    <t>Area:</t>
  </si>
  <si>
    <t>United States (National)</t>
  </si>
  <si>
    <t>Periodicity:</t>
  </si>
  <si>
    <t>Index number</t>
  </si>
  <si>
    <t>Years:</t>
  </si>
  <si>
    <t>Period</t>
  </si>
  <si>
    <t>Estimate Value</t>
  </si>
  <si>
    <t>Standard Error</t>
  </si>
  <si>
    <t>Total Compensation</t>
  </si>
  <si>
    <t>Qtr1</t>
  </si>
  <si>
    <t/>
  </si>
  <si>
    <t>Qtr2</t>
  </si>
  <si>
    <t>Qtr3</t>
  </si>
  <si>
    <t>Qtr4</t>
  </si>
  <si>
    <t>Total Customers</t>
  </si>
  <si>
    <t>Gross Dx Plant 1998</t>
  </si>
  <si>
    <t>Gross General Plant 1998</t>
  </si>
  <si>
    <t>Dx Plant Additions (1999 - 2020)</t>
  </si>
  <si>
    <t>General Plant Additions (1999 - 2020)</t>
  </si>
  <si>
    <t>PPI</t>
  </si>
  <si>
    <t>ECI</t>
  </si>
  <si>
    <t>GDPPI</t>
  </si>
  <si>
    <t>Company</t>
  </si>
  <si>
    <t>LABOR EXPENDITURES
($000)</t>
  </si>
  <si>
    <t>Weighted by input's cost share</t>
  </si>
  <si>
    <t>Additions</t>
  </si>
  <si>
    <t>TWA 1998</t>
  </si>
  <si>
    <t>Efficiency Depreciation Hyperbolic</t>
  </si>
  <si>
    <t>Capital Stock Hyperbolic</t>
  </si>
  <si>
    <t>%Change Capital Stock Hyperbolic</t>
  </si>
  <si>
    <t>Product</t>
  </si>
  <si>
    <t>Geo1</t>
  </si>
  <si>
    <t>Geo2</t>
  </si>
  <si>
    <t>Company weights</t>
  </si>
  <si>
    <t>Hyper</t>
  </si>
  <si>
    <t>OHS</t>
  </si>
  <si>
    <t>SL</t>
  </si>
  <si>
    <t>Input growth rates</t>
  </si>
  <si>
    <t>Input weights</t>
  </si>
  <si>
    <t>Output</t>
  </si>
  <si>
    <t>Input</t>
  </si>
  <si>
    <t>TFP</t>
  </si>
  <si>
    <t>General Plant-Gas_x000D_
($000)</t>
  </si>
  <si>
    <t>General Plant-Gas-Additions_x000D_
($000)</t>
  </si>
  <si>
    <t>1997 Y</t>
  </si>
  <si>
    <t>1996 Y</t>
  </si>
  <si>
    <t>1995 Y</t>
  </si>
  <si>
    <t>Distribution Plant-Gas_x000D_
($000)</t>
  </si>
  <si>
    <t>General Plant-Gas-Additions_x000D_
1998 Y_x000D_
($000)</t>
  </si>
  <si>
    <t>General Plant-Gas-Additions_x000D_
1997 Y_x000D_
($000)</t>
  </si>
  <si>
    <t>General Plant-Gas-Additions_x000D_
1996 Y_x000D_
($000)</t>
  </si>
  <si>
    <t>General Plant-Gas-Additions_x000D_
1995 Y_x000D_
($000)</t>
  </si>
  <si>
    <t>Accum Depr: Distribution Plant_x000D_
($000)</t>
  </si>
  <si>
    <t>ACCUM_DEPR_DIST_PLANT</t>
  </si>
  <si>
    <t>Accum Depr: General Plant_x000D_
($000)</t>
  </si>
  <si>
    <t>ACCUM_DEPR_GENERAL_PLANT</t>
  </si>
  <si>
    <t>MA</t>
  </si>
  <si>
    <t>PA</t>
  </si>
  <si>
    <t>Total End User Natural Gas Customers_x000D_
(actual)</t>
  </si>
  <si>
    <t>TOTAL_END_USER_NAT_GAS_CUSTOMER</t>
  </si>
  <si>
    <t>Net Gas Plant 1998</t>
  </si>
  <si>
    <t xml:space="preserve"> Total Gas Plant 1998</t>
  </si>
  <si>
    <t xml:space="preserve">1998 AccumDep Distribution </t>
  </si>
  <si>
    <t>1998 AccumDep General</t>
  </si>
  <si>
    <t>1998 Net Plant/TWA</t>
  </si>
  <si>
    <t xml:space="preserve">AccumDep Distribution </t>
  </si>
  <si>
    <t>AccumDep General</t>
  </si>
  <si>
    <t>Corporate Tax Rate</t>
  </si>
  <si>
    <t>z-value</t>
  </si>
  <si>
    <t>Cost of Capital</t>
  </si>
  <si>
    <t>Inflation Rate</t>
  </si>
  <si>
    <t>ALFRED Graph Observations</t>
  </si>
  <si>
    <t>Archival Federal Reserve Economic Data</t>
  </si>
  <si>
    <t>Link: https://alfred.stlouisfed.org</t>
  </si>
  <si>
    <t>Help: https://alfred.stlouisfed.org/help</t>
  </si>
  <si>
    <t>Economic Research Division</t>
  </si>
  <si>
    <t>Federal Reserve Bank of St. Louis</t>
  </si>
  <si>
    <t>AAA_20160705</t>
  </si>
  <si>
    <t>Moody's Seasoned Aaa Corporate Bond Yield© Vintage: 2016-07-05, Percent, Monthly, Not Seasonally Adjusted</t>
  </si>
  <si>
    <t>AAA_20160801</t>
  </si>
  <si>
    <t>Moody's Seasoned Aaa Corporate Bond Yield© Vintage: 2016-08-01, Percent, Monthly, Not Seasonally Adjusted</t>
  </si>
  <si>
    <t>Frequency: Monthly</t>
  </si>
  <si>
    <t>observation_date</t>
  </si>
  <si>
    <t>AAA</t>
  </si>
  <si>
    <t>Average</t>
  </si>
  <si>
    <t>WY</t>
  </si>
  <si>
    <t>KS</t>
  </si>
  <si>
    <t>NH</t>
  </si>
  <si>
    <t>NV</t>
  </si>
  <si>
    <t>VT</t>
  </si>
  <si>
    <t>MS</t>
  </si>
  <si>
    <t>OK</t>
  </si>
  <si>
    <t>OR</t>
  </si>
  <si>
    <t>TN</t>
  </si>
  <si>
    <t>COMPANY_NAME</t>
  </si>
  <si>
    <t>SNL_INSTN_KEY</t>
  </si>
  <si>
    <t>STATE</t>
  </si>
  <si>
    <t>Arkansas Oklahoma Gas Corp.</t>
  </si>
  <si>
    <t>Atlanta Gas Light Company</t>
  </si>
  <si>
    <t>Avista Corporation</t>
  </si>
  <si>
    <t>Baltimore Gas and Electric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</si>
  <si>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</si>
  <si>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</si>
  <si>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</si>
  <si>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</si>
  <si>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</si>
  <si>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</si>
  <si>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</si>
  <si>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</si>
  <si>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</si>
  <si>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</si>
  <si>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</si>
  <si>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</si>
  <si>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</si>
  <si>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</si>
  <si>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</si>
  <si>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</si>
  <si>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</si>
  <si>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</si>
  <si>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</si>
  <si>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</si>
  <si>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</si>
  <si>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</si>
  <si>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</si>
  <si>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</si>
  <si>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</si>
  <si>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</si>
  <si>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</si>
  <si>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</si>
  <si>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</si>
  <si>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</si>
  <si>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</si>
  <si>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</si>
  <si>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</si>
  <si>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</si>
  <si>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</si>
  <si>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</si>
  <si>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</si>
  <si>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</si>
  <si>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</si>
  <si>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Northwest Natural Holding Company</t>
  </si>
  <si>
    <t>NSTAR Gas Company</t>
  </si>
  <si>
    <t>Ohio Gas Company</t>
  </si>
  <si>
    <t>Ohio Valley Gas Corporation</t>
  </si>
  <si>
    <t>Oklahoma Natural Gas Company</t>
  </si>
  <si>
    <t>Orange and Rockland Utilities, Inc.</t>
  </si>
  <si>
    <t>Pacific Gas and Electric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</si>
  <si>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</si>
  <si>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</si>
  <si>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</si>
  <si>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</si>
  <si>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</si>
  <si>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</si>
  <si>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</si>
  <si>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</si>
  <si>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San Diego Gas &amp; Electric Company</t>
  </si>
  <si>
    <t>Sierra Pacific Power Company</t>
  </si>
  <si>
    <t>South Jersey Gas Company</t>
  </si>
  <si>
    <t>Southern California Gas Company</t>
  </si>
  <si>
    <t>Southern Indiana Gas and Electric Company</t>
  </si>
  <si>
    <t>Spire Mississippi Inc.</t>
  </si>
  <si>
    <t>Spire Missouri Inc.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</si>
  <si>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</si>
  <si>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</si>
  <si>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</si>
  <si>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</si>
  <si>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</si>
  <si>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</si>
  <si>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Virginia Natural Gas, Inc.</t>
  </si>
  <si>
    <t>Washington Gas Light Company</t>
  </si>
  <si>
    <t>Wisconsin Gas LLC</t>
  </si>
  <si>
    <t>Wisconsin Power and Light Company</t>
  </si>
  <si>
    <t>Gross Dx Plant</t>
  </si>
  <si>
    <t>Gross General Plant</t>
  </si>
  <si>
    <t>Net Plant</t>
  </si>
  <si>
    <t>Multiplied (O&amp;M Expenditures - Labor Expenditures) by 1,000 to get real values before dividing by non-labor O&amp;M input price</t>
  </si>
  <si>
    <t>NON-LABOR Expenditures
($000)</t>
  </si>
  <si>
    <t>Total Costs</t>
  </si>
  <si>
    <t>R-D</t>
  </si>
  <si>
    <t>1-uz</t>
  </si>
  <si>
    <t>K Service Price</t>
  </si>
  <si>
    <t>Average z</t>
  </si>
  <si>
    <t>RoR</t>
  </si>
  <si>
    <t>Infl</t>
  </si>
  <si>
    <t>Real ROR</t>
  </si>
  <si>
    <t>2021 Y</t>
  </si>
  <si>
    <t>Annual Deprec.</t>
  </si>
  <si>
    <t>Computation of Average Z</t>
  </si>
  <si>
    <t>Avg real RoR</t>
  </si>
  <si>
    <t>AD 1998</t>
  </si>
  <si>
    <t>Real Labor</t>
  </si>
  <si>
    <t>% Real Labor</t>
  </si>
  <si>
    <t>Real Materials</t>
  </si>
  <si>
    <t>% Real Materials</t>
  </si>
  <si>
    <t xml:space="preserve">L Cost Share </t>
  </si>
  <si>
    <t xml:space="preserve">M Cost Share </t>
  </si>
  <si>
    <t xml:space="preserve">K Cost Share </t>
  </si>
  <si>
    <t>%Output</t>
  </si>
  <si>
    <t>Industry Customers</t>
  </si>
  <si>
    <t>Industry TC</t>
  </si>
  <si>
    <t>Industry  % Ch TC</t>
  </si>
  <si>
    <t>UC</t>
  </si>
  <si>
    <t>%Ch K Service Price</t>
  </si>
  <si>
    <t>% Ch ECI</t>
  </si>
  <si>
    <t>% Ch GDPPI</t>
  </si>
  <si>
    <t>HW Year</t>
  </si>
  <si>
    <t>HW index</t>
  </si>
  <si>
    <t>HW weight</t>
  </si>
  <si>
    <t>Wtd value</t>
  </si>
  <si>
    <t>HW</t>
  </si>
  <si>
    <t>DeltaHW</t>
  </si>
  <si>
    <t>Additions deflated by HW</t>
  </si>
  <si>
    <t>MFTP  Quant</t>
  </si>
  <si>
    <t>Industry Output Index</t>
  </si>
  <si>
    <t>% Ch Industry Output</t>
  </si>
  <si>
    <t>%Ch Industry TFP</t>
  </si>
  <si>
    <t>National UC Wtd</t>
  </si>
  <si>
    <t>NE UC Wtd</t>
  </si>
  <si>
    <t>NE Customers</t>
  </si>
  <si>
    <t>EGI</t>
  </si>
  <si>
    <t>Industry Input Price Index</t>
  </si>
  <si>
    <t>% Ch Industry Input Price Index</t>
  </si>
  <si>
    <t>Moved to start at 2021</t>
  </si>
  <si>
    <t>2001 to 2022</t>
  </si>
  <si>
    <t>Annual data from 1929 to 2021</t>
  </si>
  <si>
    <t>Data published June 29, 2022</t>
  </si>
  <si>
    <t>File created Jun 28 2022  1:25PM</t>
  </si>
  <si>
    <t>Region</t>
  </si>
  <si>
    <t>Triangularized Weighted Average</t>
  </si>
  <si>
    <t>Distribution Plant - Weighted Average</t>
  </si>
  <si>
    <t>N Atlantic</t>
  </si>
  <si>
    <t>S Atlantic</t>
  </si>
  <si>
    <t xml:space="preserve">   Dx Plant - Structures &amp; Improvements</t>
  </si>
  <si>
    <t>N central</t>
  </si>
  <si>
    <t xml:space="preserve">   Mains, Cast Iron</t>
  </si>
  <si>
    <t xml:space="preserve">   Mains, Steel</t>
  </si>
  <si>
    <t>S Central</t>
  </si>
  <si>
    <t xml:space="preserve">   Mains, Plastic</t>
  </si>
  <si>
    <t xml:space="preserve">   Dx Plant - Compressor Station Equipment</t>
  </si>
  <si>
    <t>Plateau</t>
  </si>
  <si>
    <t xml:space="preserve">   Dx Plant - Meas. &amp; Reg. Sta. Equipment</t>
  </si>
  <si>
    <t xml:space="preserve">   Meas. &amp; Reg. Sta. Equipment-City Gt.</t>
  </si>
  <si>
    <t>Pacific</t>
  </si>
  <si>
    <t xml:space="preserve">   Services, Steel</t>
  </si>
  <si>
    <t xml:space="preserve">   Services, Plastic</t>
  </si>
  <si>
    <t>Avg</t>
  </si>
  <si>
    <t xml:space="preserve">   Meters</t>
  </si>
  <si>
    <t>HW Dx Avg</t>
  </si>
  <si>
    <t>Distribution Plt-Gas-Additions_x000D_
($000)</t>
  </si>
  <si>
    <t>DIST_PLANT_GAS_ADD</t>
  </si>
  <si>
    <t>x</t>
  </si>
  <si>
    <t>Smoothed Deprec.</t>
  </si>
  <si>
    <t>% Change Cost Capital Input</t>
  </si>
  <si>
    <t>Consolisted BoGas and Colonial Gas</t>
  </si>
  <si>
    <t>Cappadds</t>
  </si>
  <si>
    <t>Real</t>
  </si>
  <si>
    <t>K Stock</t>
  </si>
  <si>
    <t>Combined</t>
  </si>
  <si>
    <t>% Change</t>
  </si>
  <si>
    <t>K Costs</t>
  </si>
  <si>
    <t>BoGas Labor</t>
  </si>
  <si>
    <t>BoGas NonL OM</t>
  </si>
  <si>
    <t>Colonial  NonL OM</t>
  </si>
  <si>
    <t>Colonial  Labor</t>
  </si>
  <si>
    <t>Colonial</t>
  </si>
  <si>
    <t>$</t>
  </si>
  <si>
    <t>Combined NonL OM</t>
  </si>
  <si>
    <t>Combined Labor</t>
  </si>
  <si>
    <t>TC</t>
  </si>
  <si>
    <t>Share L</t>
  </si>
  <si>
    <t>Share NonLOM</t>
  </si>
  <si>
    <t>Share K</t>
  </si>
  <si>
    <t>% Change K</t>
  </si>
  <si>
    <t>%Ch L</t>
  </si>
  <si>
    <t>% Ch M</t>
  </si>
  <si>
    <t>Input Q Index</t>
  </si>
  <si>
    <t>%Ch Input Q Index</t>
  </si>
  <si>
    <t>Capital Input Quantity</t>
  </si>
  <si>
    <t>% Change Capital Input Quantity</t>
  </si>
  <si>
    <t>%Ch TC</t>
  </si>
  <si>
    <t>%ChK</t>
  </si>
  <si>
    <t>% Ch. Input Q Index</t>
  </si>
  <si>
    <t>Cost share</t>
  </si>
  <si>
    <t>Wtdshare</t>
  </si>
  <si>
    <t>Industry Input Quantity</t>
  </si>
  <si>
    <t>2006-21</t>
  </si>
  <si>
    <t>TC Share</t>
  </si>
  <si>
    <t xml:space="preserve">Wtd % Ch Input Q </t>
  </si>
  <si>
    <t>BoGas</t>
  </si>
  <si>
    <t>% Input Q</t>
  </si>
  <si>
    <t>%Input</t>
  </si>
  <si>
    <t>%TFP</t>
  </si>
  <si>
    <t>US Customer wts</t>
  </si>
  <si>
    <t>NE Customer wts</t>
  </si>
  <si>
    <t>NE wtd</t>
  </si>
  <si>
    <t>US wtd</t>
  </si>
  <si>
    <t>US</t>
  </si>
  <si>
    <t>Peer Avg.</t>
  </si>
  <si>
    <t>2019-21 Avg</t>
  </si>
  <si>
    <t>% Diff US</t>
  </si>
  <si>
    <t>% Diff NE</t>
  </si>
  <si>
    <t xml:space="preserve">Peer Comparisons, 2019-2021 Avg.  </t>
  </si>
  <si>
    <t>% Difference</t>
  </si>
  <si>
    <t>ConEd</t>
  </si>
  <si>
    <t>PGL&amp;Coke</t>
  </si>
  <si>
    <t>SoCalGas</t>
  </si>
  <si>
    <t>PG&amp;E</t>
  </si>
  <si>
    <t>PSE&amp;G</t>
  </si>
  <si>
    <t>Consumers Engergy</t>
  </si>
  <si>
    <t>AGL</t>
  </si>
  <si>
    <t>Industry Labor Input</t>
  </si>
  <si>
    <t>% Ch. Industry Labor Input</t>
  </si>
  <si>
    <t>Industry Non-Labor OM Input</t>
  </si>
  <si>
    <t>% Ch. Industry NonL OM Input</t>
  </si>
  <si>
    <t>Industry Capital Input</t>
  </si>
  <si>
    <t>% Ch. Industry Capital Input</t>
  </si>
  <si>
    <t>2019-2021 Cost Benchmarking</t>
  </si>
  <si>
    <t>2019-2021 Avg. Unit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</si>
</sst>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0.0"/>
    <numFmt numFmtId="167" formatCode="#,##0.000"/>
    <numFmt numFmtId="168" formatCode="#0.0"/>
    <numFmt numFmtId="169" formatCode="#,##0.0000_);\(#,##0.0000\)"/>
    <numFmt numFmtId="170" formatCode="_(* #,##0.0000_);_(* \(#,##0.0000\);_(* &quot;-&quot;??_);_(@_)"/>
    <numFmt numFmtId="171" formatCode="yyyy\-mm\-dd"/>
    <numFmt numFmtId="172" formatCode="_(* #,##0.000_);_(* \(#,##0.000\);_(* &quot;-&quot;??_);_(@_)"/>
    <numFmt numFmtId="173" formatCode="_(* #,##0.000000_);_(* \(#,##0.000000\);_(* &quot;-&quot;??_);_(@_)"/>
    <numFmt numFmtId="174" formatCode="0.0%"/>
    <numFmt numFmtId="175" formatCode="0.000"/>
    <numFmt numFmtId="176" formatCode="#,##0.0_);\(#,##0.0\)"/>
    <numFmt numFmtId="177" formatCode="0.0000"/>
    <numFmt numFmtId="178" formatCode="0_);\(0\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 val="singleAccounting"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thick">
        <color auto="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230">
    <xf numFmtId="0" fontId="0" fillId="0" borderId="0" xfId="0"/>
    <xf numFmtId="0" fontId="4" fillId="0" borderId="0" xfId="2"/>
    <xf numFmtId="0" fontId="4" fillId="0" borderId="0" xfId="2" applyAlignment="1">
      <alignment horizontal="left" wrapText="1"/>
    </xf>
    <xf numFmtId="0" fontId="5" fillId="0" borderId="0" xfId="2" applyFont="1"/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/>
    </xf>
    <xf numFmtId="0" fontId="4" fillId="0" borderId="0" xfId="2" applyAlignment="1">
      <alignment horizontal="left" vertical="top"/>
    </xf>
    <xf numFmtId="49" fontId="4" fillId="0" borderId="0" xfId="2" applyNumberFormat="1" applyAlignment="1">
      <alignment horizontal="left" vertical="top"/>
    </xf>
    <xf numFmtId="164" fontId="4" fillId="0" borderId="0" xfId="1" applyNumberFormat="1" applyFont="1" applyAlignment="1">
      <alignment horizontal="right" vertical="top"/>
    </xf>
    <xf numFmtId="0" fontId="4" fillId="0" borderId="0" xfId="2" applyAlignment="1">
      <alignment horizontal="right" wrapText="1"/>
    </xf>
    <xf numFmtId="0" fontId="5" fillId="0" borderId="0" xfId="2" applyFont="1" applyAlignment="1">
      <alignment horizontal="right" wrapText="1"/>
    </xf>
    <xf numFmtId="164" fontId="0" fillId="0" borderId="0" xfId="1" applyNumberFormat="1" applyFont="1" applyFill="1" applyBorder="1"/>
    <xf numFmtId="0" fontId="2" fillId="3" borderId="2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43" fontId="2" fillId="3" borderId="2" xfId="1" applyFont="1" applyFill="1" applyBorder="1" applyAlignment="1">
      <alignment horizontal="center" vertical="center" wrapText="1"/>
    </xf>
    <xf numFmtId="43" fontId="0" fillId="0" borderId="0" xfId="0" applyNumberFormat="1"/>
    <xf numFmtId="0" fontId="4" fillId="0" borderId="0" xfId="2" applyAlignment="1">
      <alignment horizontal="right" vertical="top"/>
    </xf>
    <xf numFmtId="165" fontId="4" fillId="0" borderId="0" xfId="2" applyNumberFormat="1" applyAlignment="1">
      <alignment horizontal="right" vertical="top"/>
    </xf>
    <xf numFmtId="164" fontId="4" fillId="0" borderId="0" xfId="3" applyNumberFormat="1" applyFont="1" applyAlignment="1">
      <alignment horizontal="right" vertical="top"/>
    </xf>
    <xf numFmtId="0" fontId="4" fillId="0" borderId="0" xfId="0" applyFont="1"/>
    <xf numFmtId="166" fontId="0" fillId="0" borderId="0" xfId="0" applyNumberFormat="1"/>
    <xf numFmtId="167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4"/>
    <xf numFmtId="0" fontId="8" fillId="0" borderId="0" xfId="4" applyFont="1" applyAlignment="1">
      <alignment horizontal="left" vertical="top" wrapText="1"/>
    </xf>
    <xf numFmtId="0" fontId="8" fillId="0" borderId="3" xfId="4" applyFont="1" applyBorder="1" applyAlignment="1">
      <alignment horizontal="left" wrapText="1"/>
    </xf>
    <xf numFmtId="0" fontId="8" fillId="0" borderId="3" xfId="4" applyFont="1" applyBorder="1" applyAlignment="1">
      <alignment horizontal="right" wrapText="1"/>
    </xf>
    <xf numFmtId="0" fontId="10" fillId="0" borderId="0" xfId="4" applyFont="1"/>
    <xf numFmtId="0" fontId="8" fillId="0" borderId="0" xfId="4" applyFont="1" applyAlignment="1">
      <alignment horizontal="left"/>
    </xf>
    <xf numFmtId="168" fontId="9" fillId="0" borderId="0" xfId="4" applyNumberFormat="1" applyFont="1" applyAlignment="1">
      <alignment horizontal="right"/>
    </xf>
    <xf numFmtId="43" fontId="0" fillId="0" borderId="0" xfId="1" applyFont="1"/>
    <xf numFmtId="164" fontId="0" fillId="0" borderId="0" xfId="1" applyNumberFormat="1" applyFont="1"/>
    <xf numFmtId="10" fontId="0" fillId="0" borderId="0" xfId="0" applyNumberFormat="1"/>
    <xf numFmtId="0" fontId="0" fillId="0" borderId="0" xfId="0" applyAlignment="1">
      <alignment wrapText="1"/>
    </xf>
    <xf numFmtId="1" fontId="0" fillId="0" borderId="0" xfId="1" applyNumberFormat="1" applyFont="1"/>
    <xf numFmtId="1" fontId="0" fillId="0" borderId="0" xfId="1" applyNumberFormat="1" applyFont="1" applyAlignment="1">
      <alignment horizontal="right" indent="1"/>
    </xf>
    <xf numFmtId="164" fontId="2" fillId="4" borderId="2" xfId="1" applyNumberFormat="1" applyFont="1" applyFill="1" applyBorder="1" applyAlignment="1">
      <alignment horizontal="center" vertical="center" wrapText="1"/>
    </xf>
    <xf numFmtId="2" fontId="0" fillId="0" borderId="0" xfId="0" applyNumberFormat="1"/>
    <xf numFmtId="169" fontId="0" fillId="0" borderId="0" xfId="1" applyNumberFormat="1" applyFont="1"/>
    <xf numFmtId="10" fontId="0" fillId="0" borderId="0" xfId="1" applyNumberFormat="1" applyFont="1"/>
    <xf numFmtId="0" fontId="0" fillId="0" borderId="0" xfId="0" applyAlignment="1">
      <alignment horizontal="center"/>
    </xf>
    <xf numFmtId="0" fontId="0" fillId="0" borderId="2" xfId="0" applyBorder="1"/>
    <xf numFmtId="171" fontId="0" fillId="0" borderId="0" xfId="0" applyNumberFormat="1"/>
    <xf numFmtId="0" fontId="0" fillId="0" borderId="0" xfId="0" applyAlignment="1">
      <alignment horizontal="right"/>
    </xf>
    <xf numFmtId="170" fontId="0" fillId="0" borderId="0" xfId="0" applyNumberFormat="1"/>
    <xf numFmtId="43" fontId="4" fillId="0" borderId="0" xfId="1" applyFont="1"/>
    <xf numFmtId="10" fontId="0" fillId="0" borderId="0" xfId="5" applyNumberFormat="1" applyFont="1" applyAlignment="1">
      <alignment horizontal="right"/>
    </xf>
    <xf numFmtId="43" fontId="2" fillId="3" borderId="0" xfId="1" applyFont="1" applyFill="1" applyBorder="1" applyAlignment="1">
      <alignment horizontal="center" vertical="center" wrapText="1"/>
    </xf>
    <xf numFmtId="10" fontId="2" fillId="3" borderId="0" xfId="1" applyNumberFormat="1" applyFont="1" applyFill="1" applyBorder="1" applyAlignment="1">
      <alignment horizontal="center" vertical="center" wrapText="1"/>
    </xf>
    <xf numFmtId="2" fontId="0" fillId="0" borderId="0" xfId="1" applyNumberFormat="1" applyFont="1" applyFill="1" applyBorder="1"/>
    <xf numFmtId="175" fontId="0" fillId="2" borderId="0" xfId="0" applyNumberFormat="1" applyFill="1"/>
    <xf numFmtId="164" fontId="2" fillId="5" borderId="4" xfId="1" applyNumberFormat="1" applyFont="1" applyFill="1" applyBorder="1" applyAlignment="1">
      <alignment wrapText="1"/>
    </xf>
    <xf numFmtId="164" fontId="2" fillId="5" borderId="1" xfId="1" applyNumberFormat="1" applyFont="1" applyFill="1" applyBorder="1" applyAlignment="1">
      <alignment wrapText="1"/>
    </xf>
    <xf numFmtId="164" fontId="2" fillId="5" borderId="5" xfId="1" applyNumberFormat="1" applyFont="1" applyFill="1" applyBorder="1" applyAlignment="1">
      <alignment wrapText="1"/>
    </xf>
    <xf numFmtId="164" fontId="2" fillId="5" borderId="2" xfId="1" applyNumberFormat="1" applyFont="1" applyFill="1" applyBorder="1" applyAlignment="1">
      <alignment horizontal="center" wrapText="1"/>
    </xf>
    <xf numFmtId="0" fontId="0" fillId="2" borderId="0" xfId="0" applyFill="1"/>
    <xf numFmtId="10" fontId="0" fillId="2" borderId="0" xfId="0" applyNumberFormat="1" applyFill="1"/>
    <xf numFmtId="164" fontId="2" fillId="3" borderId="0" xfId="1" applyNumberFormat="1" applyFont="1" applyFill="1" applyBorder="1" applyAlignment="1">
      <alignment horizontal="center" vertical="center" wrapText="1"/>
    </xf>
    <xf numFmtId="164" fontId="2" fillId="4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wrapText="1"/>
    </xf>
    <xf numFmtId="164" fontId="2" fillId="5" borderId="0" xfId="1" applyNumberFormat="1" applyFont="1" applyFill="1" applyBorder="1" applyAlignment="1">
      <alignment horizontal="center" wrapText="1"/>
    </xf>
    <xf numFmtId="164" fontId="11" fillId="0" borderId="0" xfId="1" applyNumberFormat="1" applyFont="1" applyFill="1" applyBorder="1"/>
    <xf numFmtId="164" fontId="11" fillId="0" borderId="2" xfId="1" applyNumberFormat="1" applyFont="1" applyFill="1" applyBorder="1"/>
    <xf numFmtId="164" fontId="11" fillId="0" borderId="0" xfId="1" applyNumberFormat="1" applyFont="1"/>
    <xf numFmtId="2" fontId="11" fillId="0" borderId="0" xfId="1" applyNumberFormat="1" applyFont="1" applyFill="1" applyBorder="1"/>
    <xf numFmtId="3" fontId="11" fillId="0" borderId="0" xfId="1" applyNumberFormat="1" applyFont="1" applyFill="1" applyBorder="1"/>
    <xf numFmtId="2" fontId="11" fillId="0" borderId="0" xfId="0" applyNumberFormat="1" applyFont="1"/>
    <xf numFmtId="1" fontId="11" fillId="0" borderId="0" xfId="1" applyNumberFormat="1" applyFont="1"/>
    <xf numFmtId="0" fontId="11" fillId="0" borderId="0" xfId="0" applyFont="1"/>
    <xf numFmtId="169" fontId="11" fillId="0" borderId="0" xfId="1" applyNumberFormat="1" applyFont="1"/>
    <xf numFmtId="10" fontId="11" fillId="0" borderId="0" xfId="1" applyNumberFormat="1" applyFont="1"/>
    <xf numFmtId="10" fontId="11" fillId="0" borderId="0" xfId="0" applyNumberFormat="1" applyFont="1"/>
    <xf numFmtId="43" fontId="11" fillId="0" borderId="0" xfId="0" applyNumberFormat="1" applyFont="1"/>
    <xf numFmtId="175" fontId="11" fillId="0" borderId="0" xfId="0" applyNumberFormat="1" applyFont="1"/>
    <xf numFmtId="43" fontId="11" fillId="0" borderId="0" xfId="1" applyFont="1"/>
    <xf numFmtId="172" fontId="11" fillId="0" borderId="0" xfId="1" applyNumberFormat="1" applyFont="1"/>
    <xf numFmtId="173" fontId="11" fillId="0" borderId="0" xfId="1" applyNumberFormat="1" applyFont="1"/>
    <xf numFmtId="174" fontId="11" fillId="0" borderId="0" xfId="5" applyNumberFormat="1" applyFont="1"/>
    <xf numFmtId="10" fontId="11" fillId="0" borderId="2" xfId="1" applyNumberFormat="1" applyFont="1" applyFill="1" applyBorder="1"/>
    <xf numFmtId="164" fontId="11" fillId="0" borderId="0" xfId="1" applyNumberFormat="1" applyFont="1" applyFill="1"/>
    <xf numFmtId="10" fontId="11" fillId="0" borderId="0" xfId="1" applyNumberFormat="1" applyFont="1" applyFill="1" applyBorder="1"/>
    <xf numFmtId="174" fontId="11" fillId="0" borderId="0" xfId="1" applyNumberFormat="1" applyFont="1" applyFill="1" applyBorder="1"/>
    <xf numFmtId="174" fontId="11" fillId="0" borderId="0" xfId="0" applyNumberFormat="1" applyFont="1"/>
    <xf numFmtId="0" fontId="11" fillId="0" borderId="0" xfId="0" applyFont="1" applyAlignment="1">
      <alignment vertical="center"/>
    </xf>
    <xf numFmtId="2" fontId="11" fillId="0" borderId="0" xfId="1" applyNumberFormat="1" applyFont="1" applyFill="1" applyBorder="1" applyAlignment="1">
      <alignment vertical="center"/>
    </xf>
    <xf numFmtId="0" fontId="11" fillId="0" borderId="0" xfId="0" applyFont="1" applyAlignment="1">
      <alignment horizontal="center" vertical="top"/>
    </xf>
    <xf numFmtId="2" fontId="11" fillId="0" borderId="0" xfId="1" applyNumberFormat="1" applyFont="1" applyFill="1" applyBorder="1" applyAlignment="1">
      <alignment horizontal="center" vertical="top"/>
    </xf>
    <xf numFmtId="2" fontId="11" fillId="0" borderId="0" xfId="1" applyNumberFormat="1" applyFont="1" applyFill="1" applyBorder="1" applyAlignment="1">
      <alignment horizontal="center"/>
    </xf>
    <xf numFmtId="164" fontId="2" fillId="6" borderId="2" xfId="1" applyNumberFormat="1" applyFont="1" applyFill="1" applyBorder="1" applyAlignment="1">
      <alignment horizontal="center" vertical="center" wrapText="1"/>
    </xf>
    <xf numFmtId="164" fontId="2" fillId="6" borderId="0" xfId="1" applyNumberFormat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164" fontId="2" fillId="7" borderId="0" xfId="1" applyNumberFormat="1" applyFont="1" applyFill="1" applyBorder="1" applyAlignment="1">
      <alignment horizontal="center" vertical="center" wrapText="1"/>
    </xf>
    <xf numFmtId="1" fontId="11" fillId="0" borderId="0" xfId="1" applyNumberFormat="1" applyFont="1" applyFill="1" applyBorder="1"/>
    <xf numFmtId="1" fontId="11" fillId="0" borderId="0" xfId="0" applyNumberFormat="1" applyFont="1"/>
    <xf numFmtId="164" fontId="11" fillId="2" borderId="2" xfId="1" applyNumberFormat="1" applyFont="1" applyFill="1" applyBorder="1"/>
    <xf numFmtId="0" fontId="0" fillId="3" borderId="0" xfId="0" applyFill="1"/>
    <xf numFmtId="1" fontId="11" fillId="0" borderId="0" xfId="1" applyNumberFormat="1" applyFont="1" applyFill="1"/>
    <xf numFmtId="169" fontId="11" fillId="0" borderId="0" xfId="1" applyNumberFormat="1" applyFont="1" applyFill="1"/>
    <xf numFmtId="10" fontId="11" fillId="0" borderId="0" xfId="1" applyNumberFormat="1" applyFont="1" applyFill="1"/>
    <xf numFmtId="1" fontId="11" fillId="0" borderId="0" xfId="1" applyNumberFormat="1" applyFont="1" applyFill="1" applyAlignment="1">
      <alignment horizontal="right" indent="1"/>
    </xf>
    <xf numFmtId="1" fontId="0" fillId="0" borderId="0" xfId="1" applyNumberFormat="1" applyFont="1" applyFill="1"/>
    <xf numFmtId="164" fontId="0" fillId="0" borderId="0" xfId="1" applyNumberFormat="1" applyFont="1" applyFill="1"/>
    <xf numFmtId="169" fontId="0" fillId="0" borderId="0" xfId="1" applyNumberFormat="1" applyFont="1" applyFill="1"/>
    <xf numFmtId="10" fontId="0" fillId="0" borderId="0" xfId="1" applyNumberFormat="1" applyFont="1" applyFill="1"/>
    <xf numFmtId="2" fontId="11" fillId="0" borderId="0" xfId="1" applyNumberFormat="1" applyFont="1"/>
    <xf numFmtId="164" fontId="15" fillId="3" borderId="0" xfId="1" applyNumberFormat="1" applyFont="1" applyFill="1" applyBorder="1" applyAlignment="1">
      <alignment horizontal="center" vertical="center" wrapText="1"/>
    </xf>
    <xf numFmtId="174" fontId="11" fillId="0" borderId="0" xfId="1" applyNumberFormat="1" applyFont="1"/>
    <xf numFmtId="39" fontId="11" fillId="0" borderId="0" xfId="1" applyNumberFormat="1" applyFont="1"/>
    <xf numFmtId="174" fontId="11" fillId="0" borderId="2" xfId="1" applyNumberFormat="1" applyFont="1" applyFill="1" applyBorder="1"/>
    <xf numFmtId="176" fontId="11" fillId="0" borderId="2" xfId="1" applyNumberFormat="1" applyFont="1" applyFill="1" applyBorder="1"/>
    <xf numFmtId="166" fontId="11" fillId="0" borderId="0" xfId="1" applyNumberFormat="1" applyFont="1" applyFill="1" applyBorder="1"/>
    <xf numFmtId="43" fontId="2" fillId="6" borderId="0" xfId="1" applyFont="1" applyFill="1" applyBorder="1" applyAlignment="1">
      <alignment horizontal="center" vertical="center"/>
    </xf>
    <xf numFmtId="43" fontId="2" fillId="6" borderId="0" xfId="1" applyFont="1" applyFill="1" applyBorder="1" applyAlignment="1">
      <alignment horizontal="center" wrapText="1"/>
    </xf>
    <xf numFmtId="1" fontId="0" fillId="0" borderId="0" xfId="0" applyNumberFormat="1"/>
    <xf numFmtId="164" fontId="16" fillId="8" borderId="2" xfId="1" applyNumberFormat="1" applyFont="1" applyFill="1" applyBorder="1"/>
    <xf numFmtId="43" fontId="11" fillId="0" borderId="0" xfId="1" applyFont="1" applyFill="1"/>
    <xf numFmtId="43" fontId="0" fillId="0" borderId="0" xfId="1" applyFont="1" applyFill="1"/>
    <xf numFmtId="164" fontId="17" fillId="0" borderId="0" xfId="1" applyNumberFormat="1" applyFont="1" applyFill="1"/>
    <xf numFmtId="10" fontId="17" fillId="0" borderId="0" xfId="1" applyNumberFormat="1" applyFont="1" applyFill="1"/>
    <xf numFmtId="174" fontId="17" fillId="0" borderId="0" xfId="1" applyNumberFormat="1" applyFont="1" applyFill="1" applyBorder="1"/>
    <xf numFmtId="1" fontId="17" fillId="0" borderId="0" xfId="1" applyNumberFormat="1" applyFont="1" applyFill="1"/>
    <xf numFmtId="170" fontId="2" fillId="3" borderId="2" xfId="1" applyNumberFormat="1" applyFont="1" applyFill="1" applyBorder="1" applyAlignment="1">
      <alignment horizontal="center" vertical="center" wrapText="1"/>
    </xf>
    <xf numFmtId="170" fontId="2" fillId="3" borderId="0" xfId="1" applyNumberFormat="1" applyFont="1" applyFill="1" applyBorder="1" applyAlignment="1">
      <alignment horizontal="center" vertical="center" wrapText="1"/>
    </xf>
    <xf numFmtId="170" fontId="11" fillId="0" borderId="0" xfId="0" applyNumberFormat="1" applyFont="1"/>
    <xf numFmtId="177" fontId="11" fillId="0" borderId="0" xfId="0" applyNumberFormat="1" applyFont="1"/>
    <xf numFmtId="178" fontId="11" fillId="0" borderId="0" xfId="1" applyNumberFormat="1" applyFont="1" applyFill="1" applyBorder="1"/>
    <xf numFmtId="41" fontId="11" fillId="0" borderId="0" xfId="0" applyNumberFormat="1" applyFont="1"/>
    <xf numFmtId="0" fontId="11" fillId="0" borderId="0" xfId="0" applyFont="1" applyAlignment="1">
      <alignment horizontal="center" wrapText="1"/>
    </xf>
    <xf numFmtId="0" fontId="18" fillId="0" borderId="0" xfId="0" applyFont="1"/>
    <xf numFmtId="1" fontId="3" fillId="0" borderId="0" xfId="0" applyNumberFormat="1" applyFont="1"/>
    <xf numFmtId="1" fontId="19" fillId="0" borderId="0" xfId="0" applyNumberFormat="1" applyFont="1"/>
    <xf numFmtId="0" fontId="19" fillId="0" borderId="0" xfId="0" applyFont="1"/>
    <xf numFmtId="1" fontId="19" fillId="0" borderId="0" xfId="0" applyNumberFormat="1" applyFont="1" applyAlignment="1">
      <alignment horizontal="center"/>
    </xf>
    <xf numFmtId="37" fontId="11" fillId="0" borderId="0" xfId="0" applyNumberFormat="1" applyFont="1"/>
    <xf numFmtId="43" fontId="2" fillId="7" borderId="0" xfId="1" applyFont="1" applyFill="1" applyBorder="1" applyAlignment="1">
      <alignment horizontal="center" vertical="center" wrapText="1"/>
    </xf>
    <xf numFmtId="1" fontId="11" fillId="0" borderId="0" xfId="1" applyNumberFormat="1" applyFont="1" applyFill="1" applyBorder="1" applyAlignment="1">
      <alignment wrapText="1"/>
    </xf>
    <xf numFmtId="3" fontId="11" fillId="0" borderId="0" xfId="1" applyNumberFormat="1" applyFont="1"/>
    <xf numFmtId="164" fontId="2" fillId="9" borderId="2" xfId="1" applyNumberFormat="1" applyFont="1" applyFill="1" applyBorder="1" applyAlignment="1">
      <alignment horizontal="center" vertical="center" wrapText="1"/>
    </xf>
    <xf numFmtId="43" fontId="2" fillId="9" borderId="2" xfId="1" applyFont="1" applyFill="1" applyBorder="1" applyAlignment="1">
      <alignment horizontal="center" vertical="center" wrapText="1"/>
    </xf>
    <xf numFmtId="43" fontId="2" fillId="9" borderId="0" xfId="1" applyFont="1" applyFill="1" applyBorder="1" applyAlignment="1">
      <alignment horizontal="center" vertical="center" wrapText="1"/>
    </xf>
    <xf numFmtId="10" fontId="2" fillId="9" borderId="0" xfId="1" applyNumberFormat="1" applyFont="1" applyFill="1" applyBorder="1" applyAlignment="1">
      <alignment horizontal="center" vertical="center" wrapText="1"/>
    </xf>
    <xf numFmtId="43" fontId="0" fillId="6" borderId="0" xfId="0" applyNumberFormat="1" applyFill="1"/>
    <xf numFmtId="164" fontId="11" fillId="0" borderId="0" xfId="1" applyNumberFormat="1" applyFont="1" applyFill="1" applyBorder="1" applyAlignment="1">
      <alignment wrapText="1"/>
    </xf>
    <xf numFmtId="174" fontId="11" fillId="0" borderId="0" xfId="0" applyNumberFormat="1" applyFont="1" applyAlignment="1">
      <alignment wrapText="1"/>
    </xf>
    <xf numFmtId="1" fontId="19" fillId="0" borderId="0" xfId="0" applyNumberFormat="1" applyFont="1" applyAlignment="1">
      <alignment wrapText="1"/>
    </xf>
    <xf numFmtId="166" fontId="11" fillId="0" borderId="0" xfId="0" applyNumberFormat="1" applyFont="1"/>
    <xf numFmtId="43" fontId="20" fillId="0" borderId="0" xfId="0" applyNumberFormat="1" applyFont="1"/>
    <xf numFmtId="2" fontId="11" fillId="0" borderId="0" xfId="1" applyNumberFormat="1" applyFont="1" applyFill="1"/>
    <xf numFmtId="178" fontId="11" fillId="0" borderId="0" xfId="0" applyNumberFormat="1" applyFont="1"/>
    <xf numFmtId="10" fontId="11" fillId="0" borderId="0" xfId="1" applyNumberFormat="1" applyFont="1" applyFill="1" applyAlignment="1">
      <alignment horizontal="center"/>
    </xf>
    <xf numFmtId="166" fontId="11" fillId="0" borderId="0" xfId="1" applyNumberFormat="1" applyFont="1" applyFill="1"/>
    <xf numFmtId="166" fontId="11" fillId="0" borderId="0" xfId="1" applyNumberFormat="1" applyFont="1"/>
    <xf numFmtId="164" fontId="21" fillId="0" borderId="0" xfId="1" applyNumberFormat="1" applyFont="1" applyFill="1" applyBorder="1" applyAlignment="1">
      <alignment horizontal="center" wrapText="1"/>
    </xf>
    <xf numFmtId="166" fontId="11" fillId="0" borderId="0" xfId="1" applyNumberFormat="1" applyFont="1" applyFill="1" applyBorder="1" applyAlignment="1"/>
    <xf numFmtId="174" fontId="11" fillId="0" borderId="0" xfId="1" applyNumberFormat="1" applyFont="1" applyFill="1" applyBorder="1" applyAlignment="1">
      <alignment horizontal="center"/>
    </xf>
    <xf numFmtId="1" fontId="11" fillId="6" borderId="0" xfId="1" applyNumberFormat="1" applyFont="1" applyFill="1" applyBorder="1" applyAlignment="1">
      <alignment wrapText="1"/>
    </xf>
    <xf numFmtId="10" fontId="11" fillId="6" borderId="0" xfId="1" applyNumberFormat="1" applyFont="1" applyFill="1" applyBorder="1"/>
    <xf numFmtId="10" fontId="11" fillId="6" borderId="0" xfId="0" applyNumberFormat="1" applyFont="1" applyFill="1"/>
    <xf numFmtId="2" fontId="11" fillId="0" borderId="2" xfId="1" applyNumberFormat="1" applyFont="1" applyFill="1" applyBorder="1"/>
    <xf numFmtId="2" fontId="18" fillId="0" borderId="0" xfId="0" applyNumberFormat="1" applyFont="1"/>
    <xf numFmtId="2" fontId="11" fillId="0" borderId="0" xfId="0" applyNumberFormat="1" applyFont="1" applyAlignment="1">
      <alignment horizontal="center" wrapText="1"/>
    </xf>
    <xf numFmtId="2" fontId="19" fillId="0" borderId="0" xfId="0" applyNumberFormat="1" applyFont="1"/>
    <xf numFmtId="2" fontId="19" fillId="0" borderId="0" xfId="0" applyNumberFormat="1" applyFont="1" applyAlignment="1">
      <alignment horizontal="center"/>
    </xf>
    <xf numFmtId="10" fontId="11" fillId="6" borderId="2" xfId="1" applyNumberFormat="1" applyFont="1" applyFill="1" applyBorder="1"/>
    <xf numFmtId="174" fontId="0" fillId="0" borderId="0" xfId="0" applyNumberFormat="1"/>
    <xf numFmtId="164" fontId="17" fillId="0" borderId="2" xfId="1" applyNumberFormat="1" applyFont="1" applyFill="1" applyBorder="1"/>
    <xf numFmtId="0" fontId="22" fillId="0" borderId="0" xfId="0" applyFont="1"/>
    <xf numFmtId="0" fontId="22" fillId="0" borderId="2" xfId="0" applyFont="1" applyBorder="1"/>
    <xf numFmtId="164" fontId="22" fillId="0" borderId="0" xfId="1" applyNumberFormat="1" applyFont="1" applyFill="1" applyBorder="1"/>
    <xf numFmtId="164" fontId="17" fillId="0" borderId="0" xfId="1" applyNumberFormat="1" applyFont="1" applyFill="1" applyBorder="1"/>
    <xf numFmtId="10" fontId="17" fillId="0" borderId="2" xfId="5" applyNumberFormat="1" applyFont="1" applyFill="1" applyBorder="1"/>
    <xf numFmtId="10" fontId="17" fillId="0" borderId="2" xfId="1" applyNumberFormat="1" applyFont="1" applyFill="1" applyBorder="1"/>
    <xf numFmtId="2" fontId="17" fillId="0" borderId="0" xfId="1" applyNumberFormat="1" applyFont="1" applyFill="1" applyBorder="1"/>
    <xf numFmtId="1" fontId="17" fillId="0" borderId="0" xfId="1" applyNumberFormat="1" applyFont="1" applyFill="1" applyBorder="1"/>
    <xf numFmtId="10" fontId="17" fillId="0" borderId="0" xfId="1" applyNumberFormat="1" applyFont="1" applyFill="1" applyBorder="1"/>
    <xf numFmtId="2" fontId="17" fillId="0" borderId="0" xfId="1" applyNumberFormat="1" applyFont="1" applyFill="1"/>
    <xf numFmtId="10" fontId="17" fillId="0" borderId="0" xfId="0" applyNumberFormat="1" applyFont="1"/>
    <xf numFmtId="2" fontId="17" fillId="0" borderId="0" xfId="0" applyNumberFormat="1" applyFont="1"/>
    <xf numFmtId="178" fontId="17" fillId="0" borderId="0" xfId="0" applyNumberFormat="1" applyFont="1"/>
    <xf numFmtId="166" fontId="17" fillId="0" borderId="0" xfId="1" applyNumberFormat="1" applyFont="1" applyFill="1"/>
    <xf numFmtId="166" fontId="17" fillId="0" borderId="0" xfId="1" applyNumberFormat="1" applyFont="1" applyFill="1" applyBorder="1" applyAlignment="1"/>
    <xf numFmtId="166" fontId="17" fillId="0" borderId="0" xfId="1" applyNumberFormat="1" applyFont="1" applyFill="1" applyBorder="1"/>
    <xf numFmtId="0" fontId="17" fillId="0" borderId="0" xfId="0" applyFont="1"/>
    <xf numFmtId="174" fontId="17" fillId="0" borderId="0" xfId="1" applyNumberFormat="1" applyFont="1" applyFill="1"/>
    <xf numFmtId="39" fontId="17" fillId="0" borderId="0" xfId="1" applyNumberFormat="1" applyFont="1" applyFill="1"/>
    <xf numFmtId="169" fontId="17" fillId="0" borderId="0" xfId="1" applyNumberFormat="1" applyFont="1" applyFill="1"/>
    <xf numFmtId="170" fontId="17" fillId="0" borderId="0" xfId="0" applyNumberFormat="1" applyFont="1"/>
    <xf numFmtId="175" fontId="17" fillId="0" borderId="0" xfId="0" applyNumberFormat="1" applyFont="1"/>
    <xf numFmtId="43" fontId="17" fillId="0" borderId="0" xfId="1" applyFont="1" applyFill="1"/>
    <xf numFmtId="43" fontId="17" fillId="0" borderId="0" xfId="0" applyNumberFormat="1" applyFont="1"/>
    <xf numFmtId="172" fontId="17" fillId="0" borderId="0" xfId="1" applyNumberFormat="1" applyFont="1" applyFill="1"/>
    <xf numFmtId="10" fontId="22" fillId="0" borderId="0" xfId="0" applyNumberFormat="1" applyFont="1"/>
    <xf numFmtId="43" fontId="22" fillId="0" borderId="0" xfId="0" applyNumberFormat="1" applyFont="1"/>
    <xf numFmtId="166" fontId="17" fillId="0" borderId="0" xfId="1" applyNumberFormat="1" applyFont="1" applyFill="1" applyAlignment="1"/>
    <xf numFmtId="176" fontId="17" fillId="0" borderId="2" xfId="1" applyNumberFormat="1" applyFont="1" applyFill="1" applyBorder="1"/>
    <xf numFmtId="2" fontId="17" fillId="0" borderId="2" xfId="1" applyNumberFormat="1" applyFont="1" applyFill="1" applyBorder="1"/>
    <xf numFmtId="2" fontId="17" fillId="0" borderId="0" xfId="1" applyNumberFormat="1" applyFont="1" applyFill="1" applyBorder="1" applyAlignment="1">
      <alignment wrapText="1"/>
    </xf>
    <xf numFmtId="0" fontId="22" fillId="0" borderId="0" xfId="0" applyFont="1" applyAlignment="1">
      <alignment horizontal="center"/>
    </xf>
    <xf numFmtId="10" fontId="22" fillId="0" borderId="0" xfId="0" applyNumberFormat="1" applyFont="1" applyAlignment="1">
      <alignment horizontal="center"/>
    </xf>
    <xf numFmtId="1" fontId="17" fillId="0" borderId="0" xfId="0" applyNumberFormat="1" applyFont="1"/>
    <xf numFmtId="174" fontId="17" fillId="0" borderId="0" xfId="0" applyNumberFormat="1" applyFont="1"/>
    <xf numFmtId="2" fontId="22" fillId="0" borderId="0" xfId="0" applyNumberFormat="1" applyFont="1"/>
    <xf numFmtId="2" fontId="17" fillId="0" borderId="0" xfId="1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10" fontId="17" fillId="0" borderId="0" xfId="0" applyNumberFormat="1" applyFont="1" applyAlignment="1">
      <alignment horizontal="center"/>
    </xf>
    <xf numFmtId="164" fontId="4" fillId="0" borderId="0" xfId="1" applyNumberFormat="1" applyFont="1" applyFill="1" applyAlignment="1">
      <alignment horizontal="right" vertical="top"/>
    </xf>
    <xf numFmtId="0" fontId="22" fillId="0" borderId="0" xfId="0" applyFont="1" applyAlignment="1">
      <alignment horizontal="right" wrapText="1"/>
    </xf>
    <xf numFmtId="164" fontId="22" fillId="0" borderId="0" xfId="3" applyNumberFormat="1" applyFont="1" applyFill="1" applyAlignment="1">
      <alignment horizontal="right" vertical="top"/>
    </xf>
    <xf numFmtId="0" fontId="12" fillId="0" borderId="0" xfId="2" applyFont="1"/>
    <xf numFmtId="0" fontId="13" fillId="0" borderId="0" xfId="2" applyFont="1"/>
    <xf numFmtId="0" fontId="13" fillId="0" borderId="0" xfId="2" applyFont="1" applyAlignment="1">
      <alignment horizontal="left" wrapText="1"/>
    </xf>
    <xf numFmtId="0" fontId="14" fillId="0" borderId="0" xfId="2" applyFont="1" applyAlignment="1">
      <alignment horizontal="left" wrapText="1"/>
    </xf>
    <xf numFmtId="0" fontId="14" fillId="0" borderId="0" xfId="2" applyFont="1" applyAlignment="1">
      <alignment horizontal="left"/>
    </xf>
    <xf numFmtId="0" fontId="13" fillId="0" borderId="0" xfId="2" applyFont="1" applyAlignment="1">
      <alignment horizontal="left" vertical="top"/>
    </xf>
    <xf numFmtId="49" fontId="13" fillId="0" borderId="0" xfId="2" applyNumberFormat="1" applyFont="1" applyAlignment="1">
      <alignment horizontal="left" vertical="top"/>
    </xf>
    <xf numFmtId="0" fontId="23" fillId="0" borderId="0" xfId="0" applyFont="1" applyAlignment="1">
      <alignment horizontal="right" wrapText="1"/>
    </xf>
    <xf numFmtId="0" fontId="17" fillId="0" borderId="0" xfId="0" applyFont="1" applyAlignment="1">
      <alignment horizontal="right" wrapText="1"/>
    </xf>
    <xf numFmtId="164" fontId="23" fillId="0" borderId="0" xfId="3" applyNumberFormat="1" applyFont="1" applyFill="1" applyAlignment="1">
      <alignment horizontal="right" vertical="top"/>
    </xf>
    <xf numFmtId="164" fontId="17" fillId="0" borderId="0" xfId="3" applyNumberFormat="1" applyFont="1" applyFill="1" applyAlignment="1">
      <alignment horizontal="right" vertical="top"/>
    </xf>
    <xf numFmtId="10" fontId="23" fillId="0" borderId="0" xfId="3" applyNumberFormat="1" applyFont="1" applyFill="1" applyAlignment="1">
      <alignment horizontal="right" vertical="top"/>
    </xf>
    <xf numFmtId="10" fontId="17" fillId="0" borderId="0" xfId="3" applyNumberFormat="1" applyFont="1" applyFill="1" applyAlignment="1">
      <alignment horizontal="right" vertical="top"/>
    </xf>
    <xf numFmtId="0" fontId="23" fillId="0" borderId="0" xfId="0" applyFont="1"/>
    <xf numFmtId="10" fontId="22" fillId="0" borderId="0" xfId="3" applyNumberFormat="1" applyFont="1" applyFill="1" applyAlignment="1">
      <alignment horizontal="right" vertical="top"/>
    </xf>
    <xf numFmtId="2" fontId="11" fillId="6" borderId="0" xfId="1" applyNumberFormat="1" applyFont="1" applyFill="1" applyBorder="1" applyAlignment="1">
      <alignment horizontal="center"/>
    </xf>
    <xf numFmtId="0" fontId="9" fillId="0" borderId="0" xfId="4" applyFont="1" applyAlignment="1">
      <alignment horizontal="left" vertical="top" wrapText="1"/>
    </xf>
    <xf numFmtId="0" fontId="6" fillId="0" borderId="0" xfId="4"/>
    <xf numFmtId="0" fontId="7" fillId="0" borderId="0" xfId="4" applyFont="1" applyAlignment="1">
      <alignment horizontal="left"/>
    </xf>
    <xf numFmtId="0" fontId="8" fillId="0" borderId="0" xfId="4" applyFont="1" applyAlignment="1">
      <alignment horizontal="left" vertical="top" wrapText="1"/>
    </xf>
    <xf numFmtId="0" fontId="9" fillId="0" borderId="0" xfId="4" applyFont="1" applyAlignment="1">
      <alignment horizontal="left"/>
    </xf>
  </cellXfs>
  <cellStyles count="6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4" xfId="4" xr:uid="{00000000-0005-0000-0000-000004000000}"/>
    <cellStyle name="Percent" xfId="5" builtinId="5"/>
  </cellStyles>
  <dxfs count="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114300</xdr:colOff>
      <xdr:row>50</xdr:row>
      <xdr:rowOff>171450</xdr:rowOff>
    </xdr:to>
    <xdr:sp macro="" textlink="">
      <xdr:nvSpPr>
        <xdr:cNvPr id="2" name="AutoShape 83">
          <a:extLst>
            <a:ext uri="{FF2B5EF4-FFF2-40B4-BE49-F238E27FC236}">
              <a16:creationId xmlns:a16="http://schemas.microsoft.com/office/drawing/2014/main" id="{6DCC4CE2-FD10-48EE-91E9-B3B34AED93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A201-7D32-48FE-AC54-0BDB528950DD}">
  <sheetPr>
    <tabColor rgb="FF00B050"/>
  </sheetPr>
  <dimension ref="A1:HB1928"/>
  <sheetViews>
    <sheetView tabSelected="1" topLeftCell="CL1" zoomScale="55" zoomScaleNormal="55" workbookViewId="0">
      <pane ySplit="33" topLeftCell="A34" activePane="bottomLeft" state="frozen"/>
      <selection activeCell="D1" sqref="D1"/>
      <selection pane="bottomLeft" activeCell="A33" sqref="A33"/>
    </sheetView>
  </sheetViews>
  <sheetFormatPr defaultRowHeight="15" x14ac:dyDescent="0.25"/>
  <cols>
    <col min="2" max="2" width="46.5703125" customWidth="1"/>
    <col min="3" max="3" width="18" customWidth="1"/>
    <col min="4" max="4" width="9.42578125" customWidth="1"/>
    <col min="5" max="6" width="6.140625" style="41" customWidth="1"/>
    <col min="7" max="7" width="14.7109375" customWidth="1"/>
    <col min="8" max="8" width="1.42578125" style="11" customWidth="1"/>
    <col min="9" max="9" width="16.28515625" style="11" customWidth="1"/>
    <col min="10" max="11" width="16.7109375" customWidth="1"/>
    <col min="12" max="15" width="14.7109375" customWidth="1"/>
    <col min="16" max="18" width="16.7109375" customWidth="1"/>
    <col min="19" max="19" width="10.7109375" customWidth="1"/>
    <col min="20" max="20" width="16.7109375" customWidth="1"/>
    <col min="21" max="21" width="12.7109375" customWidth="1"/>
    <col min="22" max="24" width="16.7109375" style="16" customWidth="1"/>
    <col min="25" max="28" width="15.7109375" style="16" customWidth="1"/>
    <col min="29" max="30" width="16.7109375" style="16" customWidth="1"/>
    <col min="31" max="31" width="20.7109375" style="16" customWidth="1"/>
    <col min="32" max="37" width="14.7109375" style="16" customWidth="1"/>
    <col min="38" max="45" width="12.7109375" style="16" customWidth="1"/>
    <col min="46" max="46" width="1.7109375" style="16" customWidth="1"/>
    <col min="47" max="49" width="12.7109375" style="16" customWidth="1"/>
    <col min="50" max="50" width="16.7109375" style="16" customWidth="1"/>
    <col min="51" max="51" width="12.7109375" style="16" customWidth="1"/>
    <col min="52" max="53" width="16.7109375" style="16" customWidth="1"/>
    <col min="54" max="56" width="20.7109375" style="16" customWidth="1"/>
    <col min="57" max="58" width="16.7109375" style="16" customWidth="1"/>
    <col min="59" max="60" width="18.7109375" style="11" customWidth="1"/>
    <col min="61" max="61" width="12.7109375" style="11" customWidth="1"/>
    <col min="62" max="64" width="18.7109375" style="11" customWidth="1"/>
    <col min="65" max="65" width="20.7109375" style="11" customWidth="1"/>
    <col min="66" max="66" width="16.7109375" style="11" customWidth="1"/>
    <col min="67" max="68" width="12.7109375" style="11" customWidth="1"/>
    <col min="69" max="70" width="16.7109375" customWidth="1"/>
    <col min="71" max="72" width="13.7109375" customWidth="1"/>
    <col min="73" max="73" width="14" customWidth="1"/>
    <col min="74" max="74" width="18.140625" customWidth="1"/>
    <col min="75" max="75" width="15.7109375" customWidth="1"/>
    <col min="76" max="76" width="13.7109375" customWidth="1"/>
    <col min="77" max="81" width="14.7109375" customWidth="1"/>
    <col min="82" max="82" width="13.7109375" customWidth="1"/>
    <col min="83" max="86" width="16.7109375" customWidth="1"/>
    <col min="87" max="87" width="14.140625" customWidth="1"/>
    <col min="88" max="90" width="16.7109375" customWidth="1"/>
    <col min="91" max="91" width="14.140625" customWidth="1"/>
    <col min="92" max="92" width="15.85546875" style="32" customWidth="1"/>
    <col min="93" max="93" width="14.140625" style="32" customWidth="1"/>
    <col min="94" max="96" width="14.140625" customWidth="1"/>
    <col min="97" max="97" width="16.7109375" customWidth="1"/>
    <col min="98" max="104" width="14.140625" customWidth="1"/>
    <col min="105" max="105" width="14.140625" style="45" customWidth="1"/>
    <col min="106" max="107" width="14.140625" customWidth="1"/>
    <col min="108" max="108" width="15.7109375" customWidth="1"/>
    <col min="109" max="116" width="14.140625" customWidth="1"/>
    <col min="117" max="117" width="14.140625" style="31" customWidth="1"/>
    <col min="118" max="121" width="14.140625" customWidth="1"/>
    <col min="122" max="136" width="9.140625" hidden="1" customWidth="1"/>
    <col min="137" max="139" width="0" hidden="1" customWidth="1"/>
  </cols>
  <sheetData>
    <row r="1" spans="80:210" ht="21" hidden="1" x14ac:dyDescent="0.35"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4"/>
      <c r="CO1" s="64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124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75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</row>
    <row r="2" spans="80:210" ht="21" hidden="1" x14ac:dyDescent="0.35"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4"/>
      <c r="CO2" s="64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124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75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</row>
    <row r="3" spans="80:210" ht="21" hidden="1" x14ac:dyDescent="0.35"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4"/>
      <c r="CO3" s="64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124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75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</row>
    <row r="4" spans="80:210" ht="21" hidden="1" x14ac:dyDescent="0.35"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4"/>
      <c r="CO4" s="64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124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75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</row>
    <row r="5" spans="80:210" ht="21" hidden="1" x14ac:dyDescent="0.35"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4"/>
      <c r="CO5" s="64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124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75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</row>
    <row r="6" spans="80:210" ht="21" hidden="1" x14ac:dyDescent="0.35"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4"/>
      <c r="CO6" s="64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124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75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</row>
    <row r="7" spans="80:210" ht="21" hidden="1" x14ac:dyDescent="0.35"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4"/>
      <c r="CO7" s="64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124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75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</row>
    <row r="8" spans="80:210" ht="21" hidden="1" x14ac:dyDescent="0.35"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4"/>
      <c r="CO8" s="64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124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75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</row>
    <row r="9" spans="80:210" ht="21" hidden="1" x14ac:dyDescent="0.35"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4"/>
      <c r="CO9" s="64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124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75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</row>
    <row r="10" spans="80:210" ht="21" hidden="1" x14ac:dyDescent="0.35"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4"/>
      <c r="CO10" s="64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124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75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</row>
    <row r="11" spans="80:210" ht="21" hidden="1" x14ac:dyDescent="0.35"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4"/>
      <c r="CO11" s="64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124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75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</row>
    <row r="12" spans="80:210" ht="21" hidden="1" x14ac:dyDescent="0.35"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4"/>
      <c r="CO12" s="64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124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75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</row>
    <row r="13" spans="80:210" ht="21" hidden="1" x14ac:dyDescent="0.35"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4"/>
      <c r="CO13" s="64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124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75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</row>
    <row r="14" spans="80:210" ht="21" hidden="1" x14ac:dyDescent="0.35"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4"/>
      <c r="CO14" s="64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124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75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</row>
    <row r="15" spans="80:210" ht="21" hidden="1" x14ac:dyDescent="0.35"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4"/>
      <c r="CO15" s="64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124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75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</row>
    <row r="16" spans="80:210" ht="21" hidden="1" x14ac:dyDescent="0.35"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4"/>
      <c r="CO16" s="64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124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75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</row>
    <row r="17" spans="80:210" ht="21" hidden="1" x14ac:dyDescent="0.35"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4"/>
      <c r="CO17" s="64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124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75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</row>
    <row r="18" spans="80:210" ht="21" hidden="1" x14ac:dyDescent="0.35"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4"/>
      <c r="CO18" s="64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124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75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</row>
    <row r="19" spans="80:210" ht="21" hidden="1" x14ac:dyDescent="0.35"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4"/>
      <c r="CO19" s="64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124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75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</row>
    <row r="20" spans="80:210" ht="21" hidden="1" x14ac:dyDescent="0.35"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4"/>
      <c r="CO20" s="64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124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75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</row>
    <row r="21" spans="80:210" ht="21" hidden="1" x14ac:dyDescent="0.35"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4"/>
      <c r="CO21" s="64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124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75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</row>
    <row r="22" spans="80:210" ht="21" hidden="1" x14ac:dyDescent="0.35"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4"/>
      <c r="CO22" s="64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124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75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</row>
    <row r="23" spans="80:210" ht="21" hidden="1" x14ac:dyDescent="0.35"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4"/>
      <c r="CO23" s="64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124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75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</row>
    <row r="24" spans="80:210" ht="21" hidden="1" x14ac:dyDescent="0.35"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4"/>
      <c r="CO24" s="64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124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75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</row>
    <row r="25" spans="80:210" ht="21" hidden="1" x14ac:dyDescent="0.35"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4"/>
      <c r="CO25" s="64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124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75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</row>
    <row r="26" spans="80:210" ht="21" hidden="1" x14ac:dyDescent="0.35"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4"/>
      <c r="CO26" s="64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124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75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</row>
    <row r="27" spans="80:210" ht="21" hidden="1" x14ac:dyDescent="0.35"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4"/>
      <c r="CO27" s="64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124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75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</row>
    <row r="28" spans="80:210" ht="21" hidden="1" x14ac:dyDescent="0.35"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4"/>
      <c r="CO28" s="64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124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75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</row>
    <row r="29" spans="80:210" ht="21" hidden="1" x14ac:dyDescent="0.35"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4"/>
      <c r="CO29" s="64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124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75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</row>
    <row r="30" spans="80:210" ht="21" hidden="1" x14ac:dyDescent="0.35"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4"/>
      <c r="CO30" s="64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124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75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</row>
    <row r="31" spans="80:210" ht="21" hidden="1" x14ac:dyDescent="0.35"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4"/>
      <c r="CO31" s="64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124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75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</row>
    <row r="32" spans="80:210" hidden="1" x14ac:dyDescent="0.25"/>
    <row r="33" spans="1:136" ht="60" x14ac:dyDescent="0.25">
      <c r="B33" s="12" t="s">
        <v>124</v>
      </c>
      <c r="C33" s="12" t="s">
        <v>3</v>
      </c>
      <c r="D33" s="12" t="s">
        <v>125</v>
      </c>
      <c r="E33" s="12" t="s">
        <v>126</v>
      </c>
      <c r="F33" s="12"/>
      <c r="G33" s="12" t="s">
        <v>127</v>
      </c>
      <c r="H33" s="13"/>
      <c r="I33" s="13"/>
      <c r="J33" s="138" t="s">
        <v>128</v>
      </c>
      <c r="K33" s="138" t="s">
        <v>467</v>
      </c>
      <c r="L33" s="138" t="s">
        <v>468</v>
      </c>
      <c r="M33" s="89"/>
      <c r="N33" s="89" t="s">
        <v>587</v>
      </c>
      <c r="O33" s="89" t="s">
        <v>588</v>
      </c>
      <c r="P33" s="138" t="s">
        <v>129</v>
      </c>
      <c r="Q33" s="138" t="s">
        <v>469</v>
      </c>
      <c r="R33" s="138" t="s">
        <v>470</v>
      </c>
      <c r="S33" s="89"/>
      <c r="T33" s="89" t="s">
        <v>589</v>
      </c>
      <c r="U33" s="89" t="s">
        <v>590</v>
      </c>
      <c r="V33" s="139" t="s">
        <v>130</v>
      </c>
      <c r="W33" s="140" t="s">
        <v>529</v>
      </c>
      <c r="X33" s="140" t="s">
        <v>554</v>
      </c>
      <c r="Y33" s="140" t="s">
        <v>555</v>
      </c>
      <c r="Z33" s="89"/>
      <c r="AA33" s="89" t="s">
        <v>591</v>
      </c>
      <c r="AB33" s="89" t="s">
        <v>592</v>
      </c>
      <c r="AC33" s="48" t="s">
        <v>454</v>
      </c>
      <c r="AD33" s="48" t="s">
        <v>556</v>
      </c>
      <c r="AE33" s="89" t="s">
        <v>476</v>
      </c>
      <c r="AF33" s="89" t="s">
        <v>477</v>
      </c>
      <c r="AG33" s="92" t="s">
        <v>478</v>
      </c>
      <c r="AH33" s="92" t="s">
        <v>569</v>
      </c>
      <c r="AI33" s="92" t="s">
        <v>570</v>
      </c>
      <c r="AJ33" s="92" t="s">
        <v>572</v>
      </c>
      <c r="AK33" s="92" t="s">
        <v>571</v>
      </c>
      <c r="AL33" s="48" t="s">
        <v>471</v>
      </c>
      <c r="AM33" s="48" t="s">
        <v>472</v>
      </c>
      <c r="AN33" s="48" t="s">
        <v>473</v>
      </c>
      <c r="AO33" s="135"/>
      <c r="AP33" s="135" t="s">
        <v>552</v>
      </c>
      <c r="AQ33" s="135" t="s">
        <v>553</v>
      </c>
      <c r="AR33" s="91" t="s">
        <v>559</v>
      </c>
      <c r="AS33" s="91" t="s">
        <v>560</v>
      </c>
      <c r="AT33" s="91"/>
      <c r="AU33" s="91" t="s">
        <v>561</v>
      </c>
      <c r="AV33" s="91" t="s">
        <v>561</v>
      </c>
      <c r="AW33" s="142"/>
      <c r="AX33" s="91" t="s">
        <v>497</v>
      </c>
      <c r="AY33" s="91" t="s">
        <v>498</v>
      </c>
      <c r="AZ33" s="14" t="s">
        <v>291</v>
      </c>
      <c r="BA33" s="58" t="s">
        <v>474</v>
      </c>
      <c r="BB33" s="89" t="s">
        <v>475</v>
      </c>
      <c r="BC33" s="90" t="s">
        <v>495</v>
      </c>
      <c r="BD33" s="91" t="s">
        <v>490</v>
      </c>
      <c r="BE33" s="113" t="s">
        <v>491</v>
      </c>
      <c r="BF33" s="113" t="s">
        <v>492</v>
      </c>
      <c r="BG33" s="49" t="s">
        <v>493</v>
      </c>
      <c r="BH33" s="49" t="s">
        <v>494</v>
      </c>
      <c r="BI33" s="49"/>
      <c r="BJ33" s="49"/>
      <c r="BK33" s="49"/>
      <c r="BL33" s="49"/>
      <c r="BM33" s="49"/>
      <c r="BN33" s="49"/>
      <c r="BO33" s="49"/>
      <c r="BP33" s="49"/>
      <c r="BQ33" s="14" t="s">
        <v>292</v>
      </c>
      <c r="BR33" s="14" t="s">
        <v>293</v>
      </c>
      <c r="BS33" s="14" t="s">
        <v>294</v>
      </c>
      <c r="BT33" s="14" t="s">
        <v>295</v>
      </c>
      <c r="BU33" s="14" t="s">
        <v>339</v>
      </c>
      <c r="BV33" s="14" t="s">
        <v>340</v>
      </c>
      <c r="BW33" s="14" t="s">
        <v>342</v>
      </c>
      <c r="BX33" s="14" t="s">
        <v>343</v>
      </c>
      <c r="BY33" s="14"/>
      <c r="BZ33" s="14"/>
      <c r="CA33" s="14"/>
      <c r="CB33" s="14"/>
      <c r="CC33" s="14"/>
      <c r="CD33" s="14" t="s">
        <v>303</v>
      </c>
      <c r="CE33" s="14" t="s">
        <v>449</v>
      </c>
      <c r="CF33" s="14" t="s">
        <v>450</v>
      </c>
      <c r="CG33" s="14" t="s">
        <v>451</v>
      </c>
      <c r="CH33" s="14"/>
      <c r="CI33" s="14"/>
      <c r="CJ33" s="37" t="s">
        <v>338</v>
      </c>
      <c r="CK33" s="37" t="s">
        <v>466</v>
      </c>
      <c r="CL33" s="37" t="s">
        <v>337</v>
      </c>
      <c r="CM33" s="37" t="s">
        <v>341</v>
      </c>
      <c r="CN33" s="37" t="s">
        <v>302</v>
      </c>
      <c r="CO33" s="37" t="s">
        <v>488</v>
      </c>
      <c r="CP33" s="37" t="s">
        <v>304</v>
      </c>
      <c r="CQ33" s="37" t="s">
        <v>305</v>
      </c>
      <c r="CR33" s="37" t="s">
        <v>306</v>
      </c>
      <c r="CS33" s="37" t="s">
        <v>489</v>
      </c>
      <c r="CT33" s="37" t="s">
        <v>463</v>
      </c>
      <c r="CU33" s="37" t="s">
        <v>528</v>
      </c>
      <c r="CV33" s="37" t="s">
        <v>459</v>
      </c>
      <c r="CW33" s="37" t="s">
        <v>460</v>
      </c>
      <c r="CX33" s="37" t="s">
        <v>461</v>
      </c>
      <c r="CY33" s="37" t="s">
        <v>455</v>
      </c>
      <c r="CZ33" s="37" t="s">
        <v>487</v>
      </c>
      <c r="DA33" s="122" t="s">
        <v>456</v>
      </c>
      <c r="DB33" s="52"/>
      <c r="DC33" s="53"/>
      <c r="DD33" s="54" t="s">
        <v>464</v>
      </c>
      <c r="DE33" s="55"/>
      <c r="DF33" s="14" t="s">
        <v>344</v>
      </c>
      <c r="DG33" s="14" t="s">
        <v>345</v>
      </c>
      <c r="DH33" s="14" t="s">
        <v>457</v>
      </c>
      <c r="DI33" s="14"/>
      <c r="DJ33" s="14" t="s">
        <v>479</v>
      </c>
      <c r="DK33" s="14" t="s">
        <v>346</v>
      </c>
      <c r="DL33" s="14" t="s">
        <v>347</v>
      </c>
      <c r="DM33" s="15" t="s">
        <v>486</v>
      </c>
      <c r="DN33" s="14" t="s">
        <v>297</v>
      </c>
      <c r="DO33" s="14" t="s">
        <v>480</v>
      </c>
      <c r="DP33" s="14" t="s">
        <v>298</v>
      </c>
      <c r="DQ33" s="14" t="s">
        <v>481</v>
      </c>
      <c r="DR33" t="s">
        <v>296</v>
      </c>
      <c r="DS33" t="s">
        <v>307</v>
      </c>
      <c r="DV33" s="34" t="s">
        <v>310</v>
      </c>
      <c r="DW33" t="s">
        <v>311</v>
      </c>
      <c r="DY33" t="s">
        <v>312</v>
      </c>
      <c r="EA33" t="s">
        <v>313</v>
      </c>
      <c r="EC33" t="s">
        <v>308</v>
      </c>
      <c r="EE33" t="s">
        <v>309</v>
      </c>
    </row>
    <row r="34" spans="1:136" x14ac:dyDescent="0.25">
      <c r="B34" s="12"/>
      <c r="C34" s="12"/>
      <c r="D34" s="12"/>
      <c r="E34" s="12"/>
      <c r="F34" s="12"/>
      <c r="G34" s="12"/>
      <c r="H34" s="13"/>
      <c r="I34" s="13"/>
      <c r="J34" s="138"/>
      <c r="K34" s="138"/>
      <c r="L34" s="138"/>
      <c r="M34" s="89"/>
      <c r="N34" s="89"/>
      <c r="O34" s="89"/>
      <c r="P34" s="138"/>
      <c r="Q34" s="138"/>
      <c r="R34" s="138"/>
      <c r="S34" s="89"/>
      <c r="T34" s="89"/>
      <c r="U34" s="89"/>
      <c r="V34" s="139"/>
      <c r="W34" s="140"/>
      <c r="X34" s="140"/>
      <c r="Y34" s="140"/>
      <c r="Z34" s="89"/>
      <c r="AA34" s="89"/>
      <c r="AB34" s="89"/>
      <c r="AC34" s="48"/>
      <c r="AD34" s="48"/>
      <c r="AE34" s="90"/>
      <c r="AF34" s="90"/>
      <c r="AG34" s="92"/>
      <c r="AH34" s="92"/>
      <c r="AI34" s="92"/>
      <c r="AJ34" s="92"/>
      <c r="AK34" s="92"/>
      <c r="AL34" s="48"/>
      <c r="AM34" s="48"/>
      <c r="AN34" s="48"/>
      <c r="AO34" s="135"/>
      <c r="AP34" s="135"/>
      <c r="AQ34" s="135"/>
      <c r="AR34" s="112"/>
      <c r="AS34" s="112"/>
      <c r="AT34" s="112"/>
      <c r="AU34" s="112"/>
      <c r="AV34" s="112"/>
      <c r="AW34" s="112"/>
      <c r="AX34" s="91"/>
      <c r="AY34" s="91"/>
      <c r="AZ34" s="58"/>
      <c r="BA34" s="58"/>
      <c r="BB34" s="90"/>
      <c r="BC34" s="90"/>
      <c r="BD34" s="90"/>
      <c r="BE34" s="90"/>
      <c r="BF34" s="90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123"/>
      <c r="DB34" s="60"/>
      <c r="DC34" s="60"/>
      <c r="DD34" s="60"/>
      <c r="DE34" s="61"/>
      <c r="DF34" s="58"/>
      <c r="DG34" s="58"/>
      <c r="DH34" s="58"/>
      <c r="DI34" s="58"/>
      <c r="DJ34" s="58"/>
      <c r="DK34" s="58"/>
      <c r="DL34" s="58"/>
      <c r="DM34" s="48"/>
      <c r="DN34" s="58"/>
      <c r="DO34" s="58"/>
      <c r="DP34" s="58"/>
      <c r="DQ34" s="96"/>
      <c r="DV34" s="34"/>
    </row>
    <row r="35" spans="1:136" ht="21" x14ac:dyDescent="0.25">
      <c r="B35" s="12"/>
      <c r="C35" s="12"/>
      <c r="D35" s="12"/>
      <c r="E35" s="12"/>
      <c r="F35" s="12"/>
      <c r="G35" s="12"/>
      <c r="H35" s="13"/>
      <c r="I35" s="13"/>
      <c r="J35" s="138"/>
      <c r="K35" s="138"/>
      <c r="L35" s="138"/>
      <c r="M35" s="89"/>
      <c r="N35" s="89"/>
      <c r="O35" s="89"/>
      <c r="P35" s="138"/>
      <c r="Q35" s="138"/>
      <c r="R35" s="138"/>
      <c r="S35" s="89"/>
      <c r="T35" s="89"/>
      <c r="U35" s="89"/>
      <c r="V35" s="139"/>
      <c r="W35" s="140"/>
      <c r="X35" s="140"/>
      <c r="Y35" s="141"/>
      <c r="Z35" s="89"/>
      <c r="AA35" s="89"/>
      <c r="AB35" s="89"/>
      <c r="AC35" s="48"/>
      <c r="AD35" s="48"/>
      <c r="AE35" s="90"/>
      <c r="AF35" s="90"/>
      <c r="AG35" s="92"/>
      <c r="AH35" s="92"/>
      <c r="AI35" s="92"/>
      <c r="AJ35" s="92"/>
      <c r="AK35" s="92"/>
      <c r="AL35" s="48"/>
      <c r="AM35" s="48"/>
      <c r="AN35" s="48"/>
      <c r="AO35" s="135"/>
      <c r="AP35" s="135"/>
      <c r="AQ35" s="135"/>
      <c r="AR35" s="91"/>
      <c r="AS35" s="91"/>
      <c r="AT35" s="91"/>
      <c r="AU35" s="91"/>
      <c r="AV35" s="91"/>
      <c r="AW35" s="91"/>
      <c r="AX35" s="91"/>
      <c r="AY35" s="91"/>
      <c r="AZ35" s="58"/>
      <c r="BA35" s="58"/>
      <c r="BB35" s="90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58"/>
      <c r="BR35" s="58"/>
      <c r="BS35" s="58"/>
      <c r="BT35" s="58"/>
      <c r="BU35" s="58"/>
      <c r="BV35" s="58"/>
      <c r="BW35" s="58"/>
      <c r="BX35" s="58"/>
      <c r="BY35" s="58"/>
      <c r="BZ35" s="106"/>
      <c r="CA35" s="58"/>
      <c r="CB35" s="58"/>
      <c r="CC35" s="58"/>
      <c r="CD35" s="58"/>
      <c r="CE35" s="58"/>
      <c r="CF35" s="58"/>
      <c r="CG35" s="58"/>
      <c r="CH35" s="58"/>
      <c r="CI35" s="58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7" t="s">
        <v>465</v>
      </c>
      <c r="CX35" s="51">
        <f>AVERAGE(CX36:CX58)</f>
        <v>3.0901941608533625E-2</v>
      </c>
      <c r="CY35" s="59"/>
      <c r="CZ35" s="59"/>
      <c r="DA35" s="123"/>
      <c r="DB35" s="60"/>
      <c r="DC35" s="60"/>
      <c r="DD35" s="56" t="s">
        <v>458</v>
      </c>
      <c r="DE35" s="51" t="e">
        <f>AVERAGE(DE36:DE58)</f>
        <v>#N/A</v>
      </c>
      <c r="DF35" s="58"/>
      <c r="DG35" s="58"/>
      <c r="DH35" s="58"/>
      <c r="DI35" s="58"/>
      <c r="DJ35" s="58"/>
      <c r="DK35" s="58"/>
      <c r="DL35" s="58"/>
      <c r="DM35" s="48"/>
      <c r="DN35" s="58"/>
      <c r="DO35" s="58"/>
      <c r="DP35" s="58"/>
      <c r="DQ35" s="96"/>
      <c r="DV35" s="34"/>
    </row>
    <row r="36" spans="1:136" ht="21" x14ac:dyDescent="0.35">
      <c r="A36" t="s">
        <v>28</v>
      </c>
      <c r="B36" s="42" t="s">
        <v>28</v>
      </c>
      <c r="C36" s="42">
        <v>4054707</v>
      </c>
      <c r="D36" s="42" t="s">
        <v>132</v>
      </c>
      <c r="E36" s="42"/>
      <c r="F36" s="42"/>
      <c r="G36" s="42" t="s">
        <v>4</v>
      </c>
      <c r="H36" s="11">
        <v>1998</v>
      </c>
      <c r="I36" s="62"/>
      <c r="J36" s="63"/>
      <c r="K36" s="63"/>
      <c r="L36" s="63"/>
      <c r="M36" s="63"/>
      <c r="N36" s="156" t="s">
        <v>562</v>
      </c>
      <c r="O36" s="164">
        <f>AVERAGE(O45:O59)</f>
        <v>8.9360551129493877E-3</v>
      </c>
      <c r="P36" s="109"/>
      <c r="Q36" s="109"/>
      <c r="R36" s="109"/>
      <c r="S36" s="63"/>
      <c r="T36" s="156" t="s">
        <v>562</v>
      </c>
      <c r="U36" s="164">
        <f>AVERAGE(U45:U59)</f>
        <v>1.2519081941327094E-2</v>
      </c>
      <c r="V36" s="109"/>
      <c r="W36" s="82"/>
      <c r="X36" s="93">
        <v>5608.1853457347206</v>
      </c>
      <c r="Y36" s="81"/>
      <c r="Z36" s="63"/>
      <c r="AA36" s="156" t="s">
        <v>562</v>
      </c>
      <c r="AB36" s="164">
        <f>AVERAGE(AB45:AB59)</f>
        <v>3.2556863137156042E-2</v>
      </c>
      <c r="AC36" s="62"/>
      <c r="AD36" s="62"/>
      <c r="AE36" s="156" t="s">
        <v>562</v>
      </c>
      <c r="AF36" s="157">
        <f>AVERAGE(AF45:AF59)</f>
        <v>4.1159588167718378E-2</v>
      </c>
      <c r="AG36" s="93"/>
      <c r="AH36" s="81"/>
      <c r="AI36" s="93"/>
      <c r="AJ36" s="93"/>
      <c r="AK36" s="93"/>
      <c r="AL36" s="82"/>
      <c r="AM36" s="82"/>
      <c r="AN36" s="82"/>
      <c r="AO36" s="82"/>
      <c r="AP36" s="82"/>
      <c r="AQ36" s="81">
        <f>AVERAGE(AQ45:AQ59)</f>
        <v>8.3162353274427534E-3</v>
      </c>
      <c r="AR36" s="82"/>
      <c r="AS36" s="82"/>
      <c r="AT36" s="82"/>
      <c r="AU36" s="93"/>
      <c r="AV36" s="156" t="s">
        <v>562</v>
      </c>
      <c r="AW36" s="157">
        <f>AVERAGE(AW45:AW59)</f>
        <v>2.0350507652450719E-2</v>
      </c>
      <c r="AX36" s="81"/>
      <c r="AY36" s="157">
        <f>AVERAGE(AY45:AY59)</f>
        <v>2.1755229489329043E-2</v>
      </c>
      <c r="AZ36" s="64">
        <f>IFERROR(INDEX('Total Customers'!$F$7:$AB$91,MATCH($C36,'Total Customers'!$D$7:$D$91,0),MATCH($G36,'Total Customers'!$F$5:$AB$5,0)),"NA")</f>
        <v>1467712</v>
      </c>
      <c r="BA36" s="71"/>
      <c r="BB36" s="64"/>
      <c r="BG36" s="65"/>
      <c r="BH36" s="66"/>
      <c r="BI36" s="66"/>
      <c r="BK36" s="90"/>
      <c r="BL36" s="90"/>
      <c r="BM36" s="90"/>
      <c r="BN36" s="90"/>
      <c r="BP36" s="65"/>
      <c r="BQ36" s="64">
        <f>INDEX('Gross Dx Plant'!$E$7:$AD$91,MATCH($C36,'Gross Dx Plant'!$D$7:$D$91,0),MATCH(Calculation!$G36,'Gross Dx Plant'!$E$5:$AD$5,0))</f>
        <v>1551165</v>
      </c>
      <c r="BR36" s="64">
        <f>INDEX('Gross Gen Plant'!$E$7:$AD$91,MATCH($C36,'Gross Gen Plant'!$D$7:$D$91,0),MATCH(Calculation!$G36,'Gross Gen Plant'!$E$5:$AD$5,0))</f>
        <v>161605</v>
      </c>
      <c r="BS36" s="64">
        <f>INDEX('Dist. Plant Gas Additions'!$F$7:$AE$91,MATCH($C36,'Dist. Plant Gas Additions'!$D$7:$D$91,0),MATCH(Calculation!$G36,'Dist. Plant Gas Additions'!$F$5:$AE$5,0))</f>
        <v>84798</v>
      </c>
      <c r="BT36" s="64">
        <f>INDEX('Gen. Plant Additions'!$F$7:$AE$91,MATCH($C36,'Gen. Plant Additions'!$D$7:$D$91,0),MATCH(Calculation!$G36,'Gen. Plant Additions'!$F$5:$AE$5,0))</f>
        <v>5414</v>
      </c>
      <c r="BU36" s="64" t="e">
        <f>INDEX('Dist Plant Depreciation'!$E$7:$AA$94,MATCH($C36,'Dist Plant Depreciation'!$D$7:$D$94,0),MATCH(#REF!,'Dist Plant Depreciation'!$E$5:$AA$5,0))</f>
        <v>#REF!</v>
      </c>
      <c r="BV36" s="64" t="e">
        <f>INDEX('Gen. Plant Depreciation'!$E$7:$AA$94,MATCH($C36,'Gen. Plant Depreciation'!$D$7:$D$94,0),MATCH(#REF!,'Gen. Plant Depreciation'!$E$5:$AA$5,0))</f>
        <v>#REF!</v>
      </c>
      <c r="BW36" s="64">
        <f>INDEX('Dist Plant Depreciation'!$E$7:$AD$94,MATCH($C36,'Dist Plant Depreciation'!$D$7:$D$94,0),MATCH(Calculation!$G36,'Dist Plant Depreciation'!$E$5:$AD$5,0))</f>
        <v>540916.46882823494</v>
      </c>
      <c r="BX36" s="64" t="str">
        <f>INDEX('Gen. Plant Depreciation'!$E$7:$AD$94,MATCH($C36,'Gen. Plant Depreciation'!$D$7:$D$94,0),MATCH(Calculation!$G36,'Gen. Plant Depreciation'!$E$5:$AD$5,0))</f>
        <v>NA</v>
      </c>
      <c r="BY36" s="64" t="s">
        <v>482</v>
      </c>
      <c r="BZ36" s="69"/>
      <c r="CA36" s="64" t="s">
        <v>483</v>
      </c>
      <c r="CB36" s="64" t="s">
        <v>484</v>
      </c>
      <c r="CC36" s="64" t="s">
        <v>485</v>
      </c>
      <c r="CD36" s="67">
        <f>+CC107</f>
        <v>201.71943868802228</v>
      </c>
      <c r="CE36" s="64">
        <f>INDEX('Gross Dx Plant'!$E$7:$AD$91,MATCH($C36,'Gross Dx Plant'!$D$7:$D$91,0),MATCH(Calculation!$G36,'Gross Dx Plant'!$E$5:$AD$5,0))</f>
        <v>1551165</v>
      </c>
      <c r="CF36" s="64">
        <f>INDEX('Gross Gen Plant'!$E$7:$AD$91,MATCH($C36,'Gross Gen Plant'!$D$7:$D$91,0),MATCH(Calculation!$G36,'Gross Gen Plant'!$E$5:$AD$5,0))</f>
        <v>161605</v>
      </c>
      <c r="CG36" s="64" t="str">
        <f>IF(OR(BW36="NA",BX36="NA"),"NA",(SUM(CE36:CF36)-SUM(BW36:BX36)))</f>
        <v>NA</v>
      </c>
      <c r="CH36" s="64"/>
      <c r="CI36" s="68">
        <v>1998</v>
      </c>
      <c r="CJ36" s="64">
        <f>BQ36+BR36</f>
        <v>1712770</v>
      </c>
      <c r="CK36" s="64">
        <f>540916+40574</f>
        <v>581490</v>
      </c>
      <c r="CL36" s="64">
        <f>+CJ36-CK36</f>
        <v>1131280</v>
      </c>
      <c r="CM36" s="64">
        <f>CL36/$CD$36</f>
        <v>5608.1853457347206</v>
      </c>
      <c r="CN36" s="69"/>
      <c r="CO36" s="69"/>
      <c r="CP36" s="70">
        <v>1</v>
      </c>
      <c r="CQ36" s="64">
        <f>+CM36</f>
        <v>5608.1853457347206</v>
      </c>
      <c r="CR36" s="71"/>
      <c r="CS36" s="64">
        <f>SUM(CS42:CS58)</f>
        <v>3619173.443394124</v>
      </c>
      <c r="CT36" s="72"/>
      <c r="CU36" s="72"/>
      <c r="CV36" s="71" t="e">
        <f>VLOOKUP($H36,RoR!$E:$F,2,FALSE)</f>
        <v>#N/A</v>
      </c>
      <c r="CW36" s="72">
        <v>1.1028127770464469E-2</v>
      </c>
      <c r="CX36" s="72"/>
      <c r="CY36" s="72"/>
      <c r="CZ36" s="72"/>
      <c r="DA36" s="124"/>
      <c r="DB36" s="73" t="e">
        <f>2/(DK36*39)</f>
        <v>#N/A</v>
      </c>
      <c r="DC36" s="74" t="e">
        <f>+(DK36*40-(1+DK36))/(DK36*40)</f>
        <v>#N/A</v>
      </c>
      <c r="DD36" s="74" t="e">
        <f>+(1-(1/(1+DK36)^40))</f>
        <v>#N/A</v>
      </c>
      <c r="DE36" s="74" t="e">
        <f>+DD36*DC36*DB36</f>
        <v>#N/A</v>
      </c>
      <c r="DF36" s="75">
        <f>INDEX('State Tax Lookup'!$D$7:$Z$91,MATCH(Calculation!$C36,'State Tax Lookup'!$B$7:$B$91,0),MATCH($H36,'State Tax Lookup'!$D$6:$Z$6,0))</f>
        <v>0.35</v>
      </c>
      <c r="DG36" s="75">
        <v>0.375</v>
      </c>
      <c r="DH36" s="69"/>
      <c r="DI36" s="69"/>
      <c r="DJ36" s="72"/>
      <c r="DK36" s="75" t="e">
        <f>VLOOKUP($H36,RoR!$E:$F,2,FALSE)</f>
        <v>#N/A</v>
      </c>
      <c r="DL36" s="76">
        <f>HLOOKUP($H36,'GDP-PI'!$D$8:$CQ$11,3,FALSE)</f>
        <v>1.1028127770464469E-2</v>
      </c>
      <c r="DM36" s="75">
        <f>VLOOKUP(H36,'HW Dx Data'!$E:$F,2,FALSE)</f>
        <v>329.24564746449528</v>
      </c>
      <c r="DN36" s="69" t="e">
        <f>VLOOKUP(H36,'ECI - Input Price'!$G$17:$H$37,2,FALSE)</f>
        <v>#N/A</v>
      </c>
      <c r="DO36" s="72"/>
      <c r="DP36" s="69">
        <f>HLOOKUP(H36,'GDP-PI'!$8:$9,2,FALSE)</f>
        <v>75.266999999999996</v>
      </c>
      <c r="DR36">
        <v>23.516666666666666</v>
      </c>
      <c r="DV36" s="33">
        <v>2.5640776638641321E-2</v>
      </c>
      <c r="DW36" s="33">
        <v>2.8899999999999999E-2</v>
      </c>
      <c r="DX36" s="33">
        <f t="shared" ref="DX36:DX68" si="0">+DW36*DV36</f>
        <v>7.410184448567341E-4</v>
      </c>
      <c r="DY36" s="33">
        <v>2.1399999999999999E-2</v>
      </c>
      <c r="DZ36" s="33">
        <f t="shared" ref="DZ36:DZ68" si="1">+DV36*DY36</f>
        <v>5.4871262006692427E-4</v>
      </c>
      <c r="EA36" s="33">
        <v>1.8200000000000001E-2</v>
      </c>
      <c r="EB36" s="33">
        <f t="shared" ref="EB36:EB68" si="2">+DV36*EA36</f>
        <v>4.6666213482327208E-4</v>
      </c>
      <c r="EC36" s="33">
        <v>1.2800000000000001E-2</v>
      </c>
      <c r="ED36" s="33">
        <f t="shared" ref="ED36:ED68" si="3">+DV36*EC36</f>
        <v>3.2820194097460891E-4</v>
      </c>
      <c r="EE36" s="33">
        <v>7.0000000000000001E-3</v>
      </c>
      <c r="EF36" s="33">
        <f t="shared" ref="EF36:EF68" si="4">+DV36*EE36</f>
        <v>1.7948543647048926E-4</v>
      </c>
    </row>
    <row r="37" spans="1:136" ht="21" x14ac:dyDescent="0.35">
      <c r="A37" t="s">
        <v>28</v>
      </c>
      <c r="B37" s="42" t="s">
        <v>28</v>
      </c>
      <c r="C37" s="42">
        <v>4054707</v>
      </c>
      <c r="D37" s="42" t="s">
        <v>132</v>
      </c>
      <c r="E37" s="42"/>
      <c r="F37" s="42"/>
      <c r="G37" s="42" t="s">
        <v>5</v>
      </c>
      <c r="H37" s="11">
        <v>1999</v>
      </c>
      <c r="I37" s="62"/>
      <c r="J37" s="63"/>
      <c r="K37" s="63"/>
      <c r="L37" s="63"/>
      <c r="M37" s="63"/>
      <c r="N37" s="159"/>
      <c r="O37" s="63"/>
      <c r="P37" s="110"/>
      <c r="Q37" s="110"/>
      <c r="R37" s="110"/>
      <c r="S37" s="110"/>
      <c r="T37" s="110"/>
      <c r="U37" s="110"/>
      <c r="V37" s="63">
        <f t="shared" ref="V37:V59" si="5">+CQ36*DH37</f>
        <v>0</v>
      </c>
      <c r="W37" s="62"/>
      <c r="X37" s="93">
        <v>5915.2843074017901</v>
      </c>
      <c r="Y37" s="81">
        <v>5.3312362345904502E-2</v>
      </c>
      <c r="Z37" s="81"/>
      <c r="AA37" s="81"/>
      <c r="AB37" s="81"/>
      <c r="AC37" s="62"/>
      <c r="AD37" s="81"/>
      <c r="AE37" s="93"/>
      <c r="AF37" s="81"/>
      <c r="AG37" s="93"/>
      <c r="AH37" s="81"/>
      <c r="AI37" s="93"/>
      <c r="AJ37" s="93"/>
      <c r="AK37" s="93"/>
      <c r="AL37" s="82"/>
      <c r="AM37" s="82"/>
      <c r="AN37" s="82"/>
      <c r="AO37" s="82"/>
      <c r="AP37" s="82"/>
      <c r="AQ37" s="81"/>
      <c r="AR37" s="82"/>
      <c r="AS37" s="82"/>
      <c r="AT37" s="82"/>
      <c r="AU37" s="93"/>
      <c r="AV37" s="93"/>
      <c r="AW37" s="81"/>
      <c r="AY37" s="81"/>
      <c r="AZ37" s="64">
        <f>IFERROR(INDEX('Total Customers'!$F$7:$AB$91,MATCH($C37,'Total Customers'!$D$7:$D$91,0),MATCH($G37,'Total Customers'!$F$5:$AB$5,0)),"NA")</f>
        <v>1638195</v>
      </c>
      <c r="BA37" s="71">
        <f t="shared" ref="BA37:BA59" si="6">LN(AZ37/AZ36)</f>
        <v>0.10989030030495012</v>
      </c>
      <c r="BB37" s="64"/>
      <c r="BG37" s="65"/>
      <c r="BH37" s="65"/>
      <c r="BI37" s="65"/>
      <c r="BK37" s="16"/>
      <c r="BL37" s="16"/>
      <c r="BM37" s="16"/>
      <c r="BN37" s="16"/>
      <c r="BP37" s="65"/>
      <c r="BQ37" s="64"/>
      <c r="BR37" s="64"/>
      <c r="BS37" s="64">
        <f>INDEX('Dist. Plant Gas Additions'!$F$7:$AE$91,MATCH($C37,'Dist. Plant Gas Additions'!$D$7:$D$91,0),MATCH(Calculation!$G37,'Dist. Plant Gas Additions'!$F$5:$AE$5,0))</f>
        <v>109283</v>
      </c>
      <c r="BT37" s="64">
        <f>INDEX('Gen. Plant Additions'!$F$7:$AE$91,MATCH($C37,'Gen. Plant Additions'!$D$7:$D$91,0),MATCH(Calculation!$G37,'Gen. Plant Additions'!$F$5:$AE$5,0))</f>
        <v>3051</v>
      </c>
      <c r="BU37" s="64"/>
      <c r="BV37" s="64"/>
      <c r="BW37" s="64">
        <f>INDEX('Dist Plant Depreciation'!$E$7:$AD$94,MATCH($C37,'Dist Plant Depreciation'!$D$7:$D$94,0),MATCH(Calculation!$G37,'Dist Plant Depreciation'!$E$5:$AD$5,0))</f>
        <v>566664.09274445893</v>
      </c>
      <c r="BX37" s="64" t="str">
        <f>INDEX('Gen. Plant Depreciation'!$E$7:$AD$94,MATCH($C37,'Gen. Plant Depreciation'!$D$7:$D$94,0),MATCH(Calculation!$G37,'Gen. Plant Depreciation'!$E$5:$AD$5,0))</f>
        <v>NA</v>
      </c>
      <c r="BY37" s="69">
        <v>1930</v>
      </c>
      <c r="BZ37" s="69"/>
      <c r="CA37" s="67">
        <v>18.779104489505663</v>
      </c>
      <c r="CB37" s="107"/>
      <c r="CC37" s="64"/>
      <c r="CD37" s="64"/>
      <c r="CE37" s="64">
        <f>INDEX('Gross Dx Plant'!$E$7:$AD$91,MATCH($C37,'Gross Dx Plant'!$D$7:$D$91,0),MATCH(Calculation!$G37,'Gross Dx Plant'!$E$5:$AD$5,0))</f>
        <v>1674869</v>
      </c>
      <c r="CF37" s="64">
        <f>INDEX('Gross Gen Plant'!$E$7:$AD$91,MATCH($C37,'Gross Gen Plant'!$D$7:$D$91,0),MATCH(Calculation!$G37,'Gross Gen Plant'!$E$5:$AD$5,0))</f>
        <v>167294</v>
      </c>
      <c r="CG37" s="64" t="str">
        <f t="shared" ref="CG37:CG102" si="7">IF(OR(BW37="NA",BX37="NA"),"NA",(SUM(CE37:CF37)-SUM(BW37:BX37)))</f>
        <v>NA</v>
      </c>
      <c r="CH37" s="64"/>
      <c r="CI37" s="68">
        <v>1999</v>
      </c>
      <c r="CJ37" s="64"/>
      <c r="CK37" s="64"/>
      <c r="CL37" s="64"/>
      <c r="CM37" s="69"/>
      <c r="CN37" s="64">
        <f t="shared" ref="CN37:CN59" si="8">+BT37+BS37</f>
        <v>112334</v>
      </c>
      <c r="CO37" s="64">
        <f t="shared" ref="CO37:CO59" si="9">+CN37/$DM37</f>
        <v>335.00038129759014</v>
      </c>
      <c r="CP37" s="70">
        <v>0.99502487562189057</v>
      </c>
      <c r="CQ37" s="64">
        <f>+CQ36*CP37+CO37</f>
        <v>5915.2843074017901</v>
      </c>
      <c r="CR37" s="71">
        <f t="shared" ref="CR37:CR59" si="10">LN(CQ37/CQ36)</f>
        <v>5.3312362345904502E-2</v>
      </c>
      <c r="CS37" s="105">
        <f>LN(CS36)</f>
        <v>15.101756227176455</v>
      </c>
      <c r="CT37" s="72">
        <f t="shared" ref="CT37:CT59" si="11">+(CQ36-CQ37+CO37)/CQ36</f>
        <v>4.9751243781093902E-3</v>
      </c>
      <c r="CU37" s="72"/>
      <c r="CV37" s="71">
        <f>VLOOKUP($H37,RoR!$E:$F,2,FALSE)</f>
        <v>7.0416666666666669E-2</v>
      </c>
      <c r="CW37" s="72">
        <v>1.4335631817396832E-2</v>
      </c>
      <c r="CX37" s="72">
        <f>+CV37-CW37</f>
        <v>5.6081034849269837E-2</v>
      </c>
      <c r="CY37" s="72"/>
      <c r="CZ37" s="72"/>
      <c r="DA37" s="124">
        <f t="shared" ref="DA37:DA59" si="12">1-DF37*DG37</f>
        <v>0.86875000000000002</v>
      </c>
      <c r="DB37" s="74">
        <f t="shared" ref="DB37:DB57" si="13">2/(DK37*39)</f>
        <v>0.72826581702321336</v>
      </c>
      <c r="DC37" s="74">
        <f t="shared" ref="DC37:DC59" si="14">+(DK37*40-(1+DK37))/(DK37*40)</f>
        <v>0.61997041420118348</v>
      </c>
      <c r="DD37" s="74">
        <f t="shared" ref="DD37:DD57" si="15">+(1-(1/(1+DK37)^40))</f>
        <v>0.93425155319585029</v>
      </c>
      <c r="DE37" s="74">
        <f t="shared" ref="DE37:DE57" si="16">+DD37*DC37*DB37</f>
        <v>0.42181762214141483</v>
      </c>
      <c r="DF37" s="75">
        <f>INDEX('State Tax Lookup'!$D$7:$Z$91,MATCH(Calculation!$C37,'State Tax Lookup'!$B$7:$B$91,0),MATCH($H37,'State Tax Lookup'!$D$6:$Z$6,0))</f>
        <v>0.35</v>
      </c>
      <c r="DG37" s="75">
        <v>0.375</v>
      </c>
      <c r="DH37" s="73"/>
      <c r="DI37" s="73"/>
      <c r="DJ37" s="72"/>
      <c r="DK37" s="75">
        <f>VLOOKUP($H37,RoR!$E:$F,2,FALSE)</f>
        <v>7.0416666666666669E-2</v>
      </c>
      <c r="DL37" s="76">
        <f>HLOOKUP($H37,'GDP-PI'!$D$8:$CQ$11,3,FALSE)</f>
        <v>1.4335631817396832E-2</v>
      </c>
      <c r="DM37" s="75">
        <f>VLOOKUP(H37,'HW Dx Data'!$E:$F,2,FALSE)</f>
        <v>335.32499146683239</v>
      </c>
      <c r="DN37" s="69" t="e">
        <f>VLOOKUP(H37,'ECI - Input Price'!$G$17:$H$37,2,FALSE)</f>
        <v>#N/A</v>
      </c>
      <c r="DO37" s="72"/>
      <c r="DP37" s="69">
        <f>HLOOKUP(H37,'GDP-PI'!$8:$9,2,FALSE)</f>
        <v>76.346000000000004</v>
      </c>
      <c r="DR37">
        <v>26.033333333333335</v>
      </c>
      <c r="DS37">
        <v>1.9632981397687283E-2</v>
      </c>
      <c r="DV37" s="33">
        <v>9.3649579827502199E-3</v>
      </c>
      <c r="DW37" s="33">
        <v>4.3200000000000002E-2</v>
      </c>
      <c r="DX37" s="33">
        <f t="shared" si="0"/>
        <v>4.0456618485480949E-4</v>
      </c>
      <c r="DY37" s="33">
        <v>3.7400000000000003E-2</v>
      </c>
      <c r="DZ37" s="33">
        <f t="shared" si="1"/>
        <v>3.5024942855485823E-4</v>
      </c>
      <c r="EA37" s="33">
        <v>3.4799999999999998E-2</v>
      </c>
      <c r="EB37" s="33">
        <f t="shared" si="2"/>
        <v>3.2590053779970761E-4</v>
      </c>
      <c r="EC37" s="33">
        <v>3.09E-2</v>
      </c>
      <c r="ED37" s="33">
        <f t="shared" si="3"/>
        <v>2.8937720166698178E-4</v>
      </c>
      <c r="EE37" s="33">
        <v>2.6700000000000002E-2</v>
      </c>
      <c r="EF37" s="33">
        <f t="shared" si="4"/>
        <v>2.5004437813943089E-4</v>
      </c>
    </row>
    <row r="38" spans="1:136" ht="21" x14ac:dyDescent="0.35">
      <c r="A38" t="s">
        <v>28</v>
      </c>
      <c r="B38" s="42" t="s">
        <v>28</v>
      </c>
      <c r="C38" s="42">
        <v>4054707</v>
      </c>
      <c r="D38" s="42" t="s">
        <v>132</v>
      </c>
      <c r="E38" s="42"/>
      <c r="F38" s="42"/>
      <c r="G38" s="42" t="s">
        <v>6</v>
      </c>
      <c r="H38" s="11">
        <v>2000</v>
      </c>
      <c r="I38" s="62"/>
      <c r="J38" s="63"/>
      <c r="K38" s="63"/>
      <c r="L38" s="63"/>
      <c r="M38" s="63"/>
      <c r="N38" s="159"/>
      <c r="O38" s="63"/>
      <c r="P38" s="63"/>
      <c r="Q38" s="63"/>
      <c r="R38" s="63"/>
      <c r="S38" s="63"/>
      <c r="T38" s="63"/>
      <c r="U38" s="63"/>
      <c r="V38" s="63">
        <f t="shared" si="5"/>
        <v>0</v>
      </c>
      <c r="W38" s="62"/>
      <c r="X38" s="93">
        <v>6239.9357374617239</v>
      </c>
      <c r="Y38" s="81">
        <v>5.3430322074559021E-2</v>
      </c>
      <c r="Z38" s="81"/>
      <c r="AA38" s="81"/>
      <c r="AB38" s="81"/>
      <c r="AC38" s="62"/>
      <c r="AD38" s="81"/>
      <c r="AE38" s="62"/>
      <c r="AF38" s="62"/>
      <c r="AG38" s="93"/>
      <c r="AH38" s="81"/>
      <c r="AI38" s="93"/>
      <c r="AJ38" s="93"/>
      <c r="AK38" s="93"/>
      <c r="AL38" s="82"/>
      <c r="AM38" s="82"/>
      <c r="AN38" s="82"/>
      <c r="AO38" s="82"/>
      <c r="AP38" s="82"/>
      <c r="AQ38" s="81"/>
      <c r="AR38" s="82"/>
      <c r="AS38" s="82"/>
      <c r="AT38" s="82"/>
      <c r="AU38" s="93"/>
      <c r="AV38" s="93"/>
      <c r="AW38" s="82"/>
      <c r="AX38" s="82"/>
      <c r="AY38" s="82"/>
      <c r="AZ38" s="64">
        <f>IFERROR(INDEX('Total Customers'!$F$7:$AB$91,MATCH($C38,'Total Customers'!$D$7:$D$91,0),MATCH($G38,'Total Customers'!$F$5:$AB$5,0)),"NA")</f>
        <v>1478549</v>
      </c>
      <c r="BA38" s="71">
        <f t="shared" si="6"/>
        <v>-0.10253382450543234</v>
      </c>
      <c r="BB38" s="64"/>
      <c r="BG38" s="65"/>
      <c r="BH38" s="65"/>
      <c r="BI38" s="65"/>
      <c r="BK38" s="16"/>
      <c r="BL38" s="147" t="s">
        <v>474</v>
      </c>
      <c r="BM38" s="147" t="s">
        <v>567</v>
      </c>
      <c r="BN38" s="147" t="s">
        <v>568</v>
      </c>
      <c r="BP38" s="88"/>
      <c r="BQ38" s="64"/>
      <c r="BR38" s="64"/>
      <c r="BS38" s="64">
        <f>INDEX('Dist. Plant Gas Additions'!$F$7:$AE$91,MATCH($C38,'Dist. Plant Gas Additions'!$D$7:$D$91,0),MATCH(Calculation!$G38,'Dist. Plant Gas Additions'!$F$5:$AE$5,0))</f>
        <v>96835</v>
      </c>
      <c r="BT38" s="64">
        <f>INDEX('Gen. Plant Additions'!$F$7:$AE$91,MATCH($C38,'Gen. Plant Additions'!$D$7:$D$91,0),MATCH(Calculation!$G38,'Gen. Plant Additions'!$F$5:$AE$5,0))</f>
        <v>26207</v>
      </c>
      <c r="BU38" s="64"/>
      <c r="BV38" s="64"/>
      <c r="BW38" s="64">
        <f>INDEX('Dist Plant Depreciation'!$E$7:$AD$94,MATCH($C38,'Dist Plant Depreciation'!$D$7:$D$94,0),MATCH(Calculation!$G38,'Dist Plant Depreciation'!$E$5:$AD$5,0))</f>
        <v>593637.30355909525</v>
      </c>
      <c r="BX38" s="64" t="str">
        <f>INDEX('Gen. Plant Depreciation'!$E$7:$AD$94,MATCH($C38,'Gen. Plant Depreciation'!$D$7:$D$94,0),MATCH(Calculation!$G38,'Gen. Plant Depreciation'!$E$5:$AD$5,0))</f>
        <v>NA</v>
      </c>
      <c r="BY38" s="69">
        <v>1931</v>
      </c>
      <c r="BZ38" s="69"/>
      <c r="CA38" s="67">
        <v>18.346320052377738</v>
      </c>
      <c r="CB38" s="107"/>
      <c r="CC38" s="64"/>
      <c r="CD38" s="64"/>
      <c r="CE38" s="64">
        <f>INDEX('Gross Dx Plant'!$E$7:$AD$91,MATCH($C38,'Gross Dx Plant'!$D$7:$D$91,0),MATCH(Calculation!$G38,'Gross Dx Plant'!$E$5:$AD$5,0))</f>
        <v>1743696</v>
      </c>
      <c r="CF38" s="64">
        <f>INDEX('Gross Gen Plant'!$E$7:$AD$91,MATCH($C38,'Gross Gen Plant'!$D$7:$D$91,0),MATCH(Calculation!$G38,'Gross Gen Plant'!$E$5:$AD$5,0))</f>
        <v>171198</v>
      </c>
      <c r="CG38" s="64" t="str">
        <f t="shared" si="7"/>
        <v>NA</v>
      </c>
      <c r="CH38" s="64"/>
      <c r="CI38" s="68">
        <v>2000</v>
      </c>
      <c r="CJ38" s="64"/>
      <c r="CK38" s="64"/>
      <c r="CL38" s="64"/>
      <c r="CM38" s="69"/>
      <c r="CN38" s="64">
        <f t="shared" si="8"/>
        <v>123042</v>
      </c>
      <c r="CO38" s="64">
        <f t="shared" si="9"/>
        <v>355.06501581868548</v>
      </c>
      <c r="CP38" s="70">
        <v>0.98989898989898994</v>
      </c>
      <c r="CQ38" s="64">
        <f>+CQ36*CP38+CO37*CP37+CO38</f>
        <v>6239.9357374617239</v>
      </c>
      <c r="CR38" s="71">
        <f t="shared" si="10"/>
        <v>5.3430322074559021E-2</v>
      </c>
      <c r="CS38" s="71"/>
      <c r="CT38" s="72">
        <f t="shared" si="11"/>
        <v>5.1415256103067124E-3</v>
      </c>
      <c r="CU38" s="72"/>
      <c r="CV38" s="71">
        <f>VLOOKUP($H38,RoR!$E:$F,2,FALSE)</f>
        <v>7.6225000000000001E-2</v>
      </c>
      <c r="CW38" s="72">
        <v>2.2568307442433211E-2</v>
      </c>
      <c r="CX38" s="72">
        <f t="shared" ref="CX38:CX58" si="17">+CV38-CW38</f>
        <v>5.365669255756679E-2</v>
      </c>
      <c r="CY38" s="72"/>
      <c r="CZ38" s="72"/>
      <c r="DA38" s="124">
        <f t="shared" si="12"/>
        <v>0.86875000000000002</v>
      </c>
      <c r="DB38" s="74">
        <f t="shared" si="13"/>
        <v>0.67277207323124022</v>
      </c>
      <c r="DC38" s="74">
        <f t="shared" si="14"/>
        <v>0.6470236142997704</v>
      </c>
      <c r="DD38" s="74">
        <f t="shared" si="15"/>
        <v>0.94704866037543145</v>
      </c>
      <c r="DE38" s="74">
        <f t="shared" si="16"/>
        <v>0.41224973107878493</v>
      </c>
      <c r="DF38" s="75">
        <f>INDEX('State Tax Lookup'!$D$7:$Z$91,MATCH(Calculation!$C38,'State Tax Lookup'!$B$7:$B$91,0),MATCH($H38,'State Tax Lookup'!$D$6:$Z$6,0))</f>
        <v>0.35</v>
      </c>
      <c r="DG38" s="75">
        <v>0.375</v>
      </c>
      <c r="DH38" s="73"/>
      <c r="DI38" s="73"/>
      <c r="DJ38" s="72"/>
      <c r="DK38" s="75">
        <f>VLOOKUP($H38,RoR!$E:$F,2,FALSE)</f>
        <v>7.6225000000000001E-2</v>
      </c>
      <c r="DL38" s="76">
        <f>HLOOKUP($H38,'GDP-PI'!$D$8:$CQ$11,3,FALSE)</f>
        <v>2.2568307442433211E-2</v>
      </c>
      <c r="DM38" s="75">
        <f>VLOOKUP(H38,'HW Dx Data'!$E:$F,2,FALSE)</f>
        <v>346.53371782150339</v>
      </c>
      <c r="DN38" s="69" t="e">
        <f>VLOOKUP(H38,'ECI - Input Price'!$G$17:$H$37,2,FALSE)</f>
        <v>#N/A</v>
      </c>
      <c r="DO38" s="72"/>
      <c r="DP38" s="69">
        <f>HLOOKUP(H38,'GDP-PI'!$8:$9,2,FALSE)</f>
        <v>78.069000000000003</v>
      </c>
      <c r="DR38">
        <v>25.524999999999999</v>
      </c>
      <c r="DS38">
        <v>3.8499245852187031E-2</v>
      </c>
      <c r="DV38" s="33">
        <v>2.2656063207879284E-2</v>
      </c>
      <c r="DW38" s="33">
        <v>3.9199999999999999E-2</v>
      </c>
      <c r="DX38" s="33">
        <f t="shared" si="0"/>
        <v>8.8811767774886789E-4</v>
      </c>
      <c r="DY38" s="33">
        <v>3.3599999999999998E-2</v>
      </c>
      <c r="DZ38" s="33">
        <f t="shared" si="1"/>
        <v>7.6124372378474393E-4</v>
      </c>
      <c r="EA38" s="33">
        <v>3.1E-2</v>
      </c>
      <c r="EB38" s="33">
        <f t="shared" si="2"/>
        <v>7.023379594442578E-4</v>
      </c>
      <c r="EC38" s="33">
        <v>2.7400000000000001E-2</v>
      </c>
      <c r="ED38" s="33">
        <f t="shared" si="3"/>
        <v>6.207761318958924E-4</v>
      </c>
      <c r="EE38" s="33">
        <v>2.3400000000000001E-2</v>
      </c>
      <c r="EF38" s="33">
        <f t="shared" si="4"/>
        <v>5.301518790643753E-4</v>
      </c>
    </row>
    <row r="39" spans="1:136" ht="21" x14ac:dyDescent="0.35">
      <c r="A39" t="s">
        <v>28</v>
      </c>
      <c r="B39" s="42" t="s">
        <v>28</v>
      </c>
      <c r="C39" s="42">
        <v>4054707</v>
      </c>
      <c r="D39" s="42" t="s">
        <v>132</v>
      </c>
      <c r="E39" s="42"/>
      <c r="F39" s="42"/>
      <c r="G39" s="42" t="s">
        <v>7</v>
      </c>
      <c r="H39" s="11">
        <v>2001</v>
      </c>
      <c r="I39" s="62"/>
      <c r="J39" s="63"/>
      <c r="K39" s="63"/>
      <c r="L39" s="63"/>
      <c r="M39" s="63"/>
      <c r="N39" s="159"/>
      <c r="O39" s="63"/>
      <c r="P39" s="63"/>
      <c r="Q39" s="63"/>
      <c r="R39" s="63"/>
      <c r="S39" s="63"/>
      <c r="T39" s="63"/>
      <c r="U39" s="63"/>
      <c r="V39" s="63">
        <f t="shared" si="5"/>
        <v>76013.904703610635</v>
      </c>
      <c r="W39" s="62"/>
      <c r="X39" s="93">
        <v>6477.0174648424127</v>
      </c>
      <c r="Y39" s="81">
        <v>3.7290252792618349E-2</v>
      </c>
      <c r="Z39" s="81"/>
      <c r="AA39" s="81"/>
      <c r="AB39" s="81"/>
      <c r="AC39" s="62"/>
      <c r="AD39" s="81"/>
      <c r="AE39" s="81"/>
      <c r="AF39" s="81"/>
      <c r="AG39" s="93"/>
      <c r="AH39" s="81"/>
      <c r="AI39" s="93"/>
      <c r="AJ39" s="93"/>
      <c r="AK39" s="93"/>
      <c r="AL39" s="82"/>
      <c r="AM39" s="82"/>
      <c r="AN39" s="82"/>
      <c r="AO39" s="82"/>
      <c r="AP39" s="82"/>
      <c r="AQ39" s="81"/>
      <c r="AR39" s="82"/>
      <c r="AS39" s="82"/>
      <c r="AT39" s="82"/>
      <c r="AU39" s="82"/>
      <c r="AV39" s="82"/>
      <c r="AW39" s="82"/>
      <c r="AX39" s="82"/>
      <c r="AY39" s="82"/>
      <c r="AZ39" s="64">
        <f>IFERROR(INDEX('Total Customers'!$F$7:$AB$91,MATCH($C39,'Total Customers'!$D$7:$D$91,0),MATCH($G39,'Total Customers'!$F$5:$AB$5,0)),"NA")</f>
        <v>1533343</v>
      </c>
      <c r="BA39" s="71">
        <f t="shared" si="6"/>
        <v>3.6389117696005835E-2</v>
      </c>
      <c r="BB39" s="64"/>
      <c r="BC39" s="93"/>
      <c r="BD39" s="81"/>
      <c r="BE39" s="72"/>
      <c r="BF39" s="71"/>
      <c r="BG39" s="65"/>
      <c r="BH39" s="65"/>
      <c r="BI39" s="65"/>
      <c r="BK39" s="156" t="s">
        <v>562</v>
      </c>
      <c r="BL39" s="157">
        <f>AVERAGE(BE45:BE59)</f>
        <v>6.8800300249753617E-3</v>
      </c>
      <c r="BM39" s="158">
        <f>+AW36</f>
        <v>2.0350507652450719E-2</v>
      </c>
      <c r="BN39" s="157">
        <f>+BL39-BM39</f>
        <v>-1.3470477627475358E-2</v>
      </c>
      <c r="BP39" s="65"/>
      <c r="BQ39" s="64"/>
      <c r="BR39" s="64"/>
      <c r="BS39" s="64">
        <f>INDEX('Dist. Plant Gas Additions'!$F$7:$AE$91,MATCH($C39,'Dist. Plant Gas Additions'!$D$7:$D$91,0),MATCH(Calculation!$G39,'Dist. Plant Gas Additions'!$F$5:$AE$5,0))</f>
        <v>92757</v>
      </c>
      <c r="BT39" s="64">
        <f>INDEX('Gen. Plant Additions'!$F$7:$AE$91,MATCH($C39,'Gen. Plant Additions'!$D$7:$D$91,0),MATCH(Calculation!$G39,'Gen. Plant Additions'!$F$5:$AE$5,0))</f>
        <v>2119</v>
      </c>
      <c r="BU39" s="64"/>
      <c r="BV39" s="64"/>
      <c r="BW39" s="64">
        <f>INDEX('Dist Plant Depreciation'!$E$7:$AD$94,MATCH($C39,'Dist Plant Depreciation'!$D$7:$D$94,0),MATCH(Calculation!$G39,'Dist Plant Depreciation'!$E$5:$AD$5,0))</f>
        <v>621894.43920850824</v>
      </c>
      <c r="BX39" s="64" t="str">
        <f>INDEX('Gen. Plant Depreciation'!$E$7:$AD$94,MATCH($C39,'Gen. Plant Depreciation'!$D$7:$D$94,0),MATCH(Calculation!$G39,'Gen. Plant Depreciation'!$E$5:$AD$5,0))</f>
        <v>NA</v>
      </c>
      <c r="BY39" s="69">
        <v>1932</v>
      </c>
      <c r="BZ39" s="69"/>
      <c r="CA39" s="67">
        <v>17.456370860424776</v>
      </c>
      <c r="CB39" s="107"/>
      <c r="CC39" s="64"/>
      <c r="CD39" s="64"/>
      <c r="CE39" s="64">
        <f>INDEX('Gross Dx Plant'!$E$7:$AD$91,MATCH($C39,'Gross Dx Plant'!$D$7:$D$91,0),MATCH(Calculation!$G39,'Gross Dx Plant'!$E$5:$AD$5,0))</f>
        <v>1828881</v>
      </c>
      <c r="CF39" s="64">
        <f>INDEX('Gross Gen Plant'!$E$7:$AD$91,MATCH($C39,'Gross Gen Plant'!$D$7:$D$91,0),MATCH(Calculation!$G39,'Gross Gen Plant'!$E$5:$AD$5,0))</f>
        <v>155471</v>
      </c>
      <c r="CG39" s="64" t="str">
        <f t="shared" si="7"/>
        <v>NA</v>
      </c>
      <c r="CH39" s="64"/>
      <c r="CI39" s="68">
        <v>2001</v>
      </c>
      <c r="CJ39" s="64"/>
      <c r="CK39" s="64"/>
      <c r="CL39" s="64"/>
      <c r="CM39" s="69"/>
      <c r="CN39" s="64">
        <f t="shared" si="8"/>
        <v>94876</v>
      </c>
      <c r="CO39" s="64">
        <f t="shared" si="9"/>
        <v>268.43033877651027</v>
      </c>
      <c r="CP39" s="70">
        <v>0.98461538461538467</v>
      </c>
      <c r="CQ39" s="64">
        <f>+CQ36*CP39+CO37*CP38+CO38*CP36+CO39</f>
        <v>6477.0174648424127</v>
      </c>
      <c r="CR39" s="71">
        <f t="shared" si="10"/>
        <v>3.7290252792618349E-2</v>
      </c>
      <c r="CS39" s="71"/>
      <c r="CT39" s="72">
        <f t="shared" si="11"/>
        <v>5.0238676670368151E-3</v>
      </c>
      <c r="CU39" s="72">
        <f>+(CT39+CT38+CT37)/3</f>
        <v>5.0468392184843062E-3</v>
      </c>
      <c r="CV39" s="71">
        <f>VLOOKUP($H39,RoR!$E:$F,2,FALSE)</f>
        <v>7.0824999999999999E-2</v>
      </c>
      <c r="CW39" s="72">
        <v>2.2454495382290052E-2</v>
      </c>
      <c r="CX39" s="72">
        <f t="shared" si="17"/>
        <v>4.8370504617709947E-2</v>
      </c>
      <c r="CY39" s="72">
        <f>+$CX$35-CU39</f>
        <v>2.5855102390049317E-2</v>
      </c>
      <c r="CZ39" s="72">
        <f>+((DM37/DM36-1)+(DM38/DM37-1)+(DM39/DM38-1))/3</f>
        <v>2.3947275901631187E-2</v>
      </c>
      <c r="DA39" s="124">
        <f t="shared" si="12"/>
        <v>0.86875000000000002</v>
      </c>
      <c r="DB39" s="74">
        <f t="shared" si="13"/>
        <v>0.72406708481540816</v>
      </c>
      <c r="DC39" s="74">
        <f t="shared" si="14"/>
        <v>0.62201729615248857</v>
      </c>
      <c r="DD39" s="74">
        <f t="shared" si="15"/>
        <v>0.9352469954311422</v>
      </c>
      <c r="DE39" s="74">
        <f t="shared" si="16"/>
        <v>0.42121864641655071</v>
      </c>
      <c r="DF39" s="75">
        <f>INDEX('State Tax Lookup'!$D$7:$Z$91,MATCH(Calculation!$C39,'State Tax Lookup'!$B$7:$B$91,0),MATCH($H39,'State Tax Lookup'!$D$6:$Z$6,0))</f>
        <v>0.35</v>
      </c>
      <c r="DG39" s="75">
        <v>0.375</v>
      </c>
      <c r="DH39" s="73">
        <f t="shared" ref="DH39:DH59" si="18">+(DM39*CY39-CZ39)*DA39/(1-DF39)</f>
        <v>12.181840951863956</v>
      </c>
      <c r="DI39" s="73"/>
      <c r="DJ39" s="72"/>
      <c r="DK39" s="75">
        <f>VLOOKUP($H39,RoR!$E:$F,2,FALSE)</f>
        <v>7.0824999999999999E-2</v>
      </c>
      <c r="DL39" s="76">
        <f>HLOOKUP($H39,'GDP-PI'!$D$8:$CQ$11,3,FALSE)</f>
        <v>2.2454495382290052E-2</v>
      </c>
      <c r="DM39" s="75">
        <f>VLOOKUP(H39,'HW Dx Data'!$E:$F,2,FALSE)</f>
        <v>353.44738017483138</v>
      </c>
      <c r="DN39" s="69">
        <f>VLOOKUP(H39,'ECI - Input Price'!$G$17:$H$37,2,FALSE)</f>
        <v>86.2</v>
      </c>
      <c r="DO39" s="72"/>
      <c r="DP39" s="69">
        <f>HLOOKUP(H39,'GDP-PI'!$8:$9,2,FALSE)</f>
        <v>79.822000000000003</v>
      </c>
      <c r="DR39">
        <v>27.391666666666666</v>
      </c>
      <c r="DS39">
        <v>6.1972096530920062E-2</v>
      </c>
      <c r="DV39" s="33">
        <v>3.4390332219296701E-3</v>
      </c>
      <c r="DW39" s="33">
        <v>2.7E-2</v>
      </c>
      <c r="DX39" s="33">
        <f t="shared" si="0"/>
        <v>9.2853896992101093E-5</v>
      </c>
      <c r="DY39" s="33">
        <v>2.01E-2</v>
      </c>
      <c r="DZ39" s="33">
        <f t="shared" si="1"/>
        <v>6.9124567760786367E-5</v>
      </c>
      <c r="EA39" s="33">
        <v>1.6899999999999998E-2</v>
      </c>
      <c r="EB39" s="33">
        <f t="shared" si="2"/>
        <v>5.8119661450611423E-5</v>
      </c>
      <c r="EC39" s="33">
        <v>1.2200000000000001E-2</v>
      </c>
      <c r="ED39" s="33">
        <f t="shared" si="3"/>
        <v>4.195620530754198E-5</v>
      </c>
      <c r="EE39" s="33">
        <v>7.1000000000000004E-3</v>
      </c>
      <c r="EF39" s="33">
        <f t="shared" si="4"/>
        <v>2.4417135875700658E-5</v>
      </c>
    </row>
    <row r="40" spans="1:136" ht="21" x14ac:dyDescent="0.35">
      <c r="A40" t="s">
        <v>28</v>
      </c>
      <c r="B40" s="42" t="s">
        <v>28</v>
      </c>
      <c r="C40" s="42">
        <v>4054707</v>
      </c>
      <c r="D40" s="42" t="s">
        <v>132</v>
      </c>
      <c r="E40" s="42"/>
      <c r="F40" s="42"/>
      <c r="G40" s="42" t="s">
        <v>8</v>
      </c>
      <c r="H40" s="11">
        <v>2002</v>
      </c>
      <c r="I40" s="62"/>
      <c r="J40" s="63"/>
      <c r="K40" s="63"/>
      <c r="L40" s="63"/>
      <c r="M40" s="63"/>
      <c r="N40" s="159"/>
      <c r="O40" s="63"/>
      <c r="P40" s="63"/>
      <c r="Q40" s="63"/>
      <c r="R40" s="63"/>
      <c r="S40" s="63"/>
      <c r="T40" s="63"/>
      <c r="U40" s="63"/>
      <c r="V40" s="63">
        <f t="shared" si="5"/>
        <v>79850.12050911547</v>
      </c>
      <c r="W40" s="62"/>
      <c r="X40" s="93">
        <v>6702.2378984315137</v>
      </c>
      <c r="Y40" s="81">
        <v>3.4181348680475739E-2</v>
      </c>
      <c r="Z40" s="81"/>
      <c r="AA40" s="81"/>
      <c r="AB40" s="81"/>
      <c r="AC40" s="62"/>
      <c r="AD40" s="81"/>
      <c r="AE40" s="62"/>
      <c r="AF40" s="62"/>
      <c r="AG40" s="93"/>
      <c r="AH40" s="81"/>
      <c r="AI40" s="93"/>
      <c r="AJ40" s="93"/>
      <c r="AK40" s="93"/>
      <c r="AL40" s="82">
        <f>AVERAGE(AL45:AL59)</f>
        <v>0.19152968772190274</v>
      </c>
      <c r="AM40" s="82">
        <f t="shared" ref="AM40" si="19">AVERAGE(AM45:AM59)</f>
        <v>0.27687674602837353</v>
      </c>
      <c r="AN40" s="82">
        <f>AVERAGE(AN45:AN59)</f>
        <v>0.53159356624972376</v>
      </c>
      <c r="AO40" s="82"/>
      <c r="AP40" s="82"/>
      <c r="AQ40" s="81"/>
      <c r="AR40" s="82"/>
      <c r="AS40" s="82"/>
      <c r="AT40" s="82"/>
      <c r="AU40" s="82"/>
      <c r="AV40" s="82"/>
      <c r="AW40" s="82"/>
      <c r="AX40" s="82"/>
      <c r="AY40" s="82"/>
      <c r="AZ40" s="64">
        <f>IFERROR(INDEX('Total Customers'!$F$7:$AB$91,MATCH($C40,'Total Customers'!$D$7:$D$91,0),MATCH($G40,'Total Customers'!$F$5:$AB$5,0)),"NA")</f>
        <v>1519499</v>
      </c>
      <c r="BA40" s="71">
        <f t="shared" si="6"/>
        <v>-9.0696438916200196E-3</v>
      </c>
      <c r="BB40" s="64"/>
      <c r="BC40" s="64"/>
      <c r="BD40" s="64"/>
      <c r="BE40" s="64"/>
      <c r="BF40" s="64"/>
      <c r="BG40" s="65"/>
      <c r="BH40" s="65"/>
      <c r="BI40" s="65"/>
      <c r="BP40" s="111"/>
      <c r="BQ40" s="64"/>
      <c r="BR40" s="64"/>
      <c r="BS40" s="64">
        <f>INDEX('Dist. Plant Gas Additions'!$F$7:$AE$91,MATCH($C40,'Dist. Plant Gas Additions'!$D$7:$D$91,0),MATCH(Calculation!$G40,'Dist. Plant Gas Additions'!$F$5:$AE$5,0))</f>
        <v>96943</v>
      </c>
      <c r="BT40" s="64">
        <f>INDEX('Gen. Plant Additions'!$F$7:$AE$91,MATCH($C40,'Gen. Plant Additions'!$D$7:$D$91,0),MATCH(Calculation!$G40,'Gen. Plant Additions'!$F$5:$AE$5,0))</f>
        <v>-2100</v>
      </c>
      <c r="BU40" s="64"/>
      <c r="BV40" s="64"/>
      <c r="BW40" s="64">
        <f>INDEX('Dist Plant Depreciation'!$E$7:$AD$94,MATCH($C40,'Dist Plant Depreciation'!$D$7:$D$94,0),MATCH(Calculation!$G40,'Dist Plant Depreciation'!$E$5:$AD$5,0))</f>
        <v>651496.61451483332</v>
      </c>
      <c r="BX40" s="64" t="str">
        <f>INDEX('Gen. Plant Depreciation'!$E$7:$AD$94,MATCH($C40,'Gen. Plant Depreciation'!$D$7:$D$94,0),MATCH(Calculation!$G40,'Gen. Plant Depreciation'!$E$5:$AD$5,0))</f>
        <v>NA</v>
      </c>
      <c r="BY40" s="69">
        <v>1933</v>
      </c>
      <c r="BZ40" s="69"/>
      <c r="CA40" s="67">
        <v>16.974635455849079</v>
      </c>
      <c r="CB40" s="107"/>
      <c r="CC40" s="64"/>
      <c r="CD40" s="64"/>
      <c r="CE40" s="64">
        <f>INDEX('Gross Dx Plant'!$E$7:$AD$91,MATCH($C40,'Gross Dx Plant'!$D$7:$D$91,0),MATCH(Calculation!$G40,'Gross Dx Plant'!$E$5:$AD$5,0))</f>
        <v>1941213</v>
      </c>
      <c r="CF40" s="64">
        <f>INDEX('Gross Gen Plant'!$E$7:$AD$91,MATCH($C40,'Gross Gen Plant'!$D$7:$D$91,0),MATCH(Calculation!$G40,'Gross Gen Plant'!$E$5:$AD$5,0))</f>
        <v>152452</v>
      </c>
      <c r="CG40" s="64" t="str">
        <f t="shared" si="7"/>
        <v>NA</v>
      </c>
      <c r="CH40" s="64"/>
      <c r="CI40" s="68">
        <v>2002</v>
      </c>
      <c r="CJ40" s="64"/>
      <c r="CK40" s="64"/>
      <c r="CL40" s="77"/>
      <c r="CM40" s="69"/>
      <c r="CN40" s="64">
        <f t="shared" si="8"/>
        <v>94843</v>
      </c>
      <c r="CO40" s="64">
        <f t="shared" si="9"/>
        <v>262.46985316034863</v>
      </c>
      <c r="CP40" s="70">
        <v>0.97916666666666663</v>
      </c>
      <c r="CQ40" s="64">
        <f>+CQ36*CP40+CO37*CP39+CO38*CP38+CO39*CP37+CO40</f>
        <v>6702.2378984315137</v>
      </c>
      <c r="CR40" s="71">
        <f t="shared" si="10"/>
        <v>3.4181348680475739E-2</v>
      </c>
      <c r="CS40" s="71"/>
      <c r="CT40" s="72">
        <f t="shared" si="11"/>
        <v>5.7510142242844595E-3</v>
      </c>
      <c r="CU40" s="72">
        <f t="shared" ref="CU40:CU59" si="20">+(CT40+CT39+CT38)/3</f>
        <v>5.305469167209329E-3</v>
      </c>
      <c r="CV40" s="71">
        <f>VLOOKUP($H40,RoR!$E:$F,2,FALSE)</f>
        <v>6.4916666666666664E-2</v>
      </c>
      <c r="CW40" s="72">
        <v>1.5246423291824351E-2</v>
      </c>
      <c r="CX40" s="72">
        <f t="shared" si="17"/>
        <v>4.9670243374842313E-2</v>
      </c>
      <c r="CY40" s="72">
        <f t="shared" ref="CY40:CY59" si="21">+$CX$35-CU40</f>
        <v>2.5596472441324295E-2</v>
      </c>
      <c r="CZ40" s="72">
        <f t="shared" ref="CZ40:CZ57" si="22">+((DM38/DM37-1)+(DM39/DM38-1)+(DM40/DM39-1))/3</f>
        <v>2.5243621214759093E-2</v>
      </c>
      <c r="DA40" s="124">
        <f t="shared" si="12"/>
        <v>0.86875000000000002</v>
      </c>
      <c r="DB40" s="74">
        <f t="shared" si="13"/>
        <v>0.78996741384417901</v>
      </c>
      <c r="DC40" s="74">
        <f t="shared" si="14"/>
        <v>0.58989088575096271</v>
      </c>
      <c r="DD40" s="74">
        <f t="shared" si="15"/>
        <v>0.91920675783645744</v>
      </c>
      <c r="DE40" s="74">
        <f t="shared" si="16"/>
        <v>0.42834536472275586</v>
      </c>
      <c r="DF40" s="75">
        <f>INDEX('State Tax Lookup'!$D$7:$Z$91,MATCH(Calculation!$C40,'State Tax Lookup'!$B$7:$B$91,0),MATCH($H40,'State Tax Lookup'!$D$6:$Z$6,0))</f>
        <v>0.35</v>
      </c>
      <c r="DG40" s="75">
        <v>0.375</v>
      </c>
      <c r="DH40" s="73">
        <f t="shared" si="18"/>
        <v>12.32822374534978</v>
      </c>
      <c r="DI40" s="73"/>
      <c r="DJ40" s="72">
        <f>LN(DH40/DH39)</f>
        <v>1.1944850882681156E-2</v>
      </c>
      <c r="DK40" s="75">
        <f>VLOOKUP($H40,RoR!$E:$F,2,FALSE)</f>
        <v>6.4916666666666664E-2</v>
      </c>
      <c r="DL40" s="76">
        <f>HLOOKUP($H40,'GDP-PI'!$D$8:$CQ$11,3,FALSE)</f>
        <v>1.5246423291824351E-2</v>
      </c>
      <c r="DM40" s="75">
        <f>VLOOKUP(H40,'HW Dx Data'!$E:$F,2,FALSE)</f>
        <v>361.34816573413599</v>
      </c>
      <c r="DN40" s="69">
        <f>VLOOKUP(H40,'ECI - Input Price'!$G$17:$H$37,2,FALSE)</f>
        <v>89.275000000000006</v>
      </c>
      <c r="DO40" s="72">
        <f>LN(DN40/DN39)</f>
        <v>3.5051315810864674E-2</v>
      </c>
      <c r="DP40" s="69">
        <f>HLOOKUP(H40,'GDP-PI'!$8:$9,2,FALSE)</f>
        <v>81.039000000000001</v>
      </c>
      <c r="DQ40" s="72">
        <f>LN(DP40/DP39)</f>
        <v>1.513136459537477E-2</v>
      </c>
      <c r="DR40">
        <v>29.916666666666668</v>
      </c>
      <c r="DS40">
        <v>9.0246354952237318E-2</v>
      </c>
      <c r="DV40" s="33">
        <v>8.1307452597312275E-5</v>
      </c>
      <c r="DW40" s="33">
        <v>2.5399999999999999E-2</v>
      </c>
      <c r="DX40" s="33">
        <f t="shared" si="0"/>
        <v>2.0652092959717315E-6</v>
      </c>
      <c r="DY40" s="33">
        <v>1.7000000000000001E-2</v>
      </c>
      <c r="DZ40" s="33">
        <f t="shared" si="1"/>
        <v>1.3822266941543088E-6</v>
      </c>
      <c r="EA40" s="33">
        <v>1.3599999999999999E-2</v>
      </c>
      <c r="EB40" s="33">
        <f t="shared" si="2"/>
        <v>1.1057813553234468E-6</v>
      </c>
      <c r="EC40" s="33">
        <v>7.4000000000000003E-3</v>
      </c>
      <c r="ED40" s="33">
        <f t="shared" si="3"/>
        <v>6.0167514922011089E-7</v>
      </c>
      <c r="EE40" s="33">
        <v>6.9999999999999999E-4</v>
      </c>
      <c r="EF40" s="33">
        <f t="shared" si="4"/>
        <v>5.6915216818118591E-8</v>
      </c>
    </row>
    <row r="41" spans="1:136" ht="21" x14ac:dyDescent="0.35">
      <c r="A41" t="s">
        <v>28</v>
      </c>
      <c r="B41" s="42" t="s">
        <v>28</v>
      </c>
      <c r="C41" s="42">
        <v>4054707</v>
      </c>
      <c r="D41" s="42" t="s">
        <v>132</v>
      </c>
      <c r="E41" s="42"/>
      <c r="F41" s="42"/>
      <c r="G41" s="42" t="s">
        <v>9</v>
      </c>
      <c r="H41" s="11">
        <v>2003</v>
      </c>
      <c r="I41" s="62"/>
      <c r="J41" s="63"/>
      <c r="K41" s="63"/>
      <c r="L41" s="79"/>
      <c r="M41" s="79"/>
      <c r="N41" s="159"/>
      <c r="O41" s="79"/>
      <c r="P41" s="63"/>
      <c r="Q41" s="63"/>
      <c r="R41" s="63"/>
      <c r="S41" s="63"/>
      <c r="T41" s="63"/>
      <c r="U41" s="63"/>
      <c r="V41" s="63">
        <f t="shared" si="5"/>
        <v>83901.580632043537</v>
      </c>
      <c r="W41" s="62"/>
      <c r="X41" s="93">
        <v>6890.4771690257439</v>
      </c>
      <c r="Y41" s="81">
        <v>2.7698852611096007E-2</v>
      </c>
      <c r="Z41" s="81"/>
      <c r="AA41" s="81"/>
      <c r="AB41" s="81"/>
      <c r="AC41" s="62"/>
      <c r="AD41" s="81"/>
      <c r="AE41" s="62"/>
      <c r="AF41" s="62"/>
      <c r="AG41" s="93"/>
      <c r="AH41" s="81"/>
      <c r="AI41" s="93"/>
      <c r="AJ41" s="93"/>
      <c r="AK41" s="93"/>
      <c r="AL41" s="82"/>
      <c r="AM41" s="82"/>
      <c r="AN41" s="82"/>
      <c r="AO41" s="82"/>
      <c r="AP41" s="82"/>
      <c r="AQ41" s="81"/>
      <c r="AR41" s="82"/>
      <c r="AS41" s="82"/>
      <c r="AT41" s="82"/>
      <c r="AU41" s="82"/>
      <c r="AV41" s="82"/>
      <c r="AW41" s="82"/>
      <c r="AX41" s="82"/>
      <c r="AY41" s="82"/>
      <c r="AZ41" s="64">
        <f>IFERROR(INDEX('Total Customers'!$F$7:$AB$91,MATCH($C41,'Total Customers'!$D$7:$D$91,0),MATCH($G41,'Total Customers'!$F$5:$AB$5,0)),"NA")</f>
        <v>1527668</v>
      </c>
      <c r="BA41" s="71">
        <f t="shared" si="6"/>
        <v>5.3617143859715994E-3</v>
      </c>
      <c r="BB41" s="64"/>
      <c r="BC41" s="64"/>
      <c r="BD41" s="64"/>
      <c r="BE41" s="64"/>
      <c r="BF41" s="64"/>
      <c r="BG41" s="65"/>
      <c r="BH41" s="65"/>
      <c r="BI41" s="65"/>
      <c r="BP41" s="111"/>
      <c r="BQ41" s="64"/>
      <c r="BR41" s="64"/>
      <c r="BS41" s="64">
        <f>INDEX('Dist. Plant Gas Additions'!$F$7:$AE$91,MATCH($C41,'Dist. Plant Gas Additions'!$D$7:$D$91,0),MATCH(Calculation!$G41,'Dist. Plant Gas Additions'!$F$5:$AE$5,0))</f>
        <v>79948</v>
      </c>
      <c r="BT41" s="64">
        <f>INDEX('Gen. Plant Additions'!$F$7:$AE$91,MATCH($C41,'Gen. Plant Additions'!$D$7:$D$91,0),MATCH(Calculation!$G41,'Gen. Plant Additions'!$F$5:$AE$5,0))</f>
        <v>3554</v>
      </c>
      <c r="BU41" s="64"/>
      <c r="BV41" s="64"/>
      <c r="BW41" s="64">
        <f>INDEX('Dist Plant Depreciation'!$E$7:$AD$94,MATCH($C41,'Dist Plant Depreciation'!$D$7:$D$94,0),MATCH(Calculation!$G41,'Dist Plant Depreciation'!$E$5:$AD$5,0))</f>
        <v>682507.85336573946</v>
      </c>
      <c r="BX41" s="64" t="str">
        <f>INDEX('Gen. Plant Depreciation'!$E$7:$AD$94,MATCH($C41,'Gen. Plant Depreciation'!$D$7:$D$94,0),MATCH(Calculation!$G41,'Gen. Plant Depreciation'!$E$5:$AD$5,0))</f>
        <v>NA</v>
      </c>
      <c r="BY41" s="69">
        <v>1934</v>
      </c>
      <c r="BZ41" s="69"/>
      <c r="CA41" s="67">
        <v>17.42070759427811</v>
      </c>
      <c r="CB41" s="107"/>
      <c r="CC41" s="64"/>
      <c r="CD41" s="64"/>
      <c r="CE41" s="64">
        <f>INDEX('Gross Dx Plant'!$E$7:$AD$91,MATCH($C41,'Gross Dx Plant'!$D$7:$D$91,0),MATCH(Calculation!$G41,'Gross Dx Plant'!$E$5:$AD$5,0))</f>
        <v>2005820</v>
      </c>
      <c r="CF41" s="64">
        <f>INDEX('Gross Gen Plant'!$E$7:$AD$91,MATCH($C41,'Gross Gen Plant'!$D$7:$D$91,0),MATCH(Calculation!$G41,'Gross Gen Plant'!$E$5:$AD$5,0))</f>
        <v>124963</v>
      </c>
      <c r="CG41" s="64" t="str">
        <f t="shared" si="7"/>
        <v>NA</v>
      </c>
      <c r="CH41" s="64"/>
      <c r="CI41" s="68">
        <v>2003</v>
      </c>
      <c r="CJ41" s="64"/>
      <c r="CK41" s="64"/>
      <c r="CL41" s="64"/>
      <c r="CM41" s="69"/>
      <c r="CN41" s="64">
        <f t="shared" si="8"/>
        <v>83502</v>
      </c>
      <c r="CO41" s="64">
        <f t="shared" si="9"/>
        <v>226.14987696763825</v>
      </c>
      <c r="CP41" s="70">
        <v>0.97354497354497349</v>
      </c>
      <c r="CQ41" s="64">
        <f>+CQ36*CP41+CO37*CP40+CO38*CP39+CO39*CP38+CO40*CP37+CO41</f>
        <v>6890.4771690257439</v>
      </c>
      <c r="CR41" s="71">
        <f t="shared" si="10"/>
        <v>2.7698852611096007E-2</v>
      </c>
      <c r="CS41" s="71"/>
      <c r="CT41" s="72">
        <f t="shared" si="11"/>
        <v>5.6564101346327968E-3</v>
      </c>
      <c r="CU41" s="72">
        <f t="shared" si="20"/>
        <v>5.4770973419846908E-3</v>
      </c>
      <c r="CV41" s="71">
        <f>VLOOKUP($H41,RoR!$E:$F,2,FALSE)</f>
        <v>5.6666666666666671E-2</v>
      </c>
      <c r="CW41" s="72">
        <v>1.8855119140166909E-2</v>
      </c>
      <c r="CX41" s="72">
        <f t="shared" si="17"/>
        <v>3.7811547526499761E-2</v>
      </c>
      <c r="CY41" s="72">
        <f t="shared" si="21"/>
        <v>2.5424844266548934E-2</v>
      </c>
      <c r="CZ41" s="72">
        <f t="shared" si="22"/>
        <v>2.1375012817671957E-2</v>
      </c>
      <c r="DA41" s="124">
        <f t="shared" si="12"/>
        <v>0.86875000000000002</v>
      </c>
      <c r="DB41" s="74">
        <f t="shared" si="13"/>
        <v>0.90497737556561086</v>
      </c>
      <c r="DC41" s="74">
        <f t="shared" si="14"/>
        <v>0.5338235294117647</v>
      </c>
      <c r="DD41" s="74">
        <f t="shared" si="15"/>
        <v>0.88972433127405692</v>
      </c>
      <c r="DE41" s="74">
        <f t="shared" si="16"/>
        <v>0.42982423775949252</v>
      </c>
      <c r="DF41" s="75">
        <f>INDEX('State Tax Lookup'!$D$7:$Z$91,MATCH(Calculation!$C41,'State Tax Lookup'!$B$7:$B$91,0),MATCH($H41,'State Tax Lookup'!$D$6:$Z$6,0))</f>
        <v>0.35</v>
      </c>
      <c r="DG41" s="75">
        <v>0.375</v>
      </c>
      <c r="DH41" s="73">
        <f t="shared" si="18"/>
        <v>12.518442631181227</v>
      </c>
      <c r="DI41" s="73"/>
      <c r="DJ41" s="72">
        <f t="shared" ref="DJ41:DJ59" si="23">LN(DH41/DH40)</f>
        <v>1.5311720237745203E-2</v>
      </c>
      <c r="DK41" s="75">
        <f>VLOOKUP($H41,RoR!$E:$F,2,FALSE)</f>
        <v>5.6666666666666671E-2</v>
      </c>
      <c r="DL41" s="76">
        <f>HLOOKUP($H41,'GDP-PI'!$D$8:$CQ$11,3,FALSE)</f>
        <v>1.8855119140166909E-2</v>
      </c>
      <c r="DM41" s="75">
        <f>VLOOKUP(H41,'HW Dx Data'!$E:$F,2,FALSE)</f>
        <v>369.23301095560191</v>
      </c>
      <c r="DN41" s="69">
        <f>VLOOKUP(H41,'ECI - Input Price'!$G$17:$H$37,2,FALSE)</f>
        <v>92.625</v>
      </c>
      <c r="DO41" s="72">
        <f t="shared" ref="DO41:DQ59" si="24">LN(DN41/DN40)</f>
        <v>3.6837590135738785E-2</v>
      </c>
      <c r="DP41" s="69">
        <f>HLOOKUP(H41,'GDP-PI'!$8:$9,2,FALSE)</f>
        <v>82.566999999999993</v>
      </c>
      <c r="DQ41" s="72">
        <f t="shared" si="24"/>
        <v>1.8679564681853753E-2</v>
      </c>
      <c r="DR41">
        <v>29.574999999999999</v>
      </c>
      <c r="DS41">
        <v>0.11151960784313725</v>
      </c>
      <c r="DV41" s="33">
        <v>5.2482057898802836E-2</v>
      </c>
      <c r="DW41" s="33">
        <v>3.73E-2</v>
      </c>
      <c r="DX41" s="33">
        <f t="shared" si="0"/>
        <v>1.9575807596253457E-3</v>
      </c>
      <c r="DY41" s="33">
        <v>3.1099999999999999E-2</v>
      </c>
      <c r="DZ41" s="33">
        <f t="shared" si="1"/>
        <v>1.6321920006527682E-3</v>
      </c>
      <c r="EA41" s="33">
        <v>2.8299999999999999E-2</v>
      </c>
      <c r="EB41" s="33">
        <f t="shared" si="2"/>
        <v>1.4852422385361202E-3</v>
      </c>
      <c r="EC41" s="33">
        <v>2.41E-2</v>
      </c>
      <c r="ED41" s="33">
        <f t="shared" si="3"/>
        <v>1.2648175953611483E-3</v>
      </c>
      <c r="EE41" s="33">
        <v>1.9599999999999999E-2</v>
      </c>
      <c r="EF41" s="33">
        <f t="shared" si="4"/>
        <v>1.0286483348165355E-3</v>
      </c>
    </row>
    <row r="42" spans="1:136" ht="21" x14ac:dyDescent="0.35">
      <c r="A42" t="s">
        <v>28</v>
      </c>
      <c r="B42" s="42" t="s">
        <v>28</v>
      </c>
      <c r="C42" s="42">
        <v>4054707</v>
      </c>
      <c r="D42" s="42" t="s">
        <v>132</v>
      </c>
      <c r="E42" s="42"/>
      <c r="F42" s="42"/>
      <c r="G42" s="42" t="s">
        <v>10</v>
      </c>
      <c r="H42" s="11">
        <v>2004</v>
      </c>
      <c r="I42" s="62"/>
      <c r="J42" s="63">
        <f>IFERROR(INDEX('Labor Expenditures'!$F$7:$X$91,MATCH($C42,'Labor Expenditures'!$D$7:$D$91,0),MATCH($G42,'Labor Expenditures'!$F$5:$X$5,0)),"NA")</f>
        <v>71776.325745732305</v>
      </c>
      <c r="K42" s="63">
        <f t="shared" ref="K42:K59" si="25">+J42/DN42</f>
        <v>746.30959964369436</v>
      </c>
      <c r="L42" s="79"/>
      <c r="M42" s="79"/>
      <c r="N42" s="159"/>
      <c r="O42" s="79"/>
      <c r="P42" s="63">
        <f>IFERROR(INDEX('Non-Labor Expenditures'!$F$7:$AB$91,MATCH($C42,'Non-Labor Expenditures'!$D$7:$D$91,0),MATCH($G42,'Non-Labor Expenditures'!$F$5:$AB$5,0)),"NA")</f>
        <v>103945.52564825716</v>
      </c>
      <c r="Q42" s="63">
        <v>0</v>
      </c>
      <c r="R42" s="63"/>
      <c r="S42" s="63"/>
      <c r="T42" s="63"/>
      <c r="U42" s="63"/>
      <c r="V42" s="63">
        <f t="shared" si="5"/>
        <v>95588.076068451119</v>
      </c>
      <c r="W42" s="62"/>
      <c r="X42" s="93">
        <v>7072.9298540189948</v>
      </c>
      <c r="Y42" s="81">
        <v>2.6134462646072037E-2</v>
      </c>
      <c r="Z42" s="81"/>
      <c r="AA42" s="81"/>
      <c r="AB42" s="81"/>
      <c r="AC42" s="62">
        <f t="shared" ref="AC42:AC59" si="26">+J42+P42+V42</f>
        <v>271309.92746244057</v>
      </c>
      <c r="AD42" s="81"/>
      <c r="AE42" s="62"/>
      <c r="AF42" s="62"/>
      <c r="AG42" s="93"/>
      <c r="AH42" s="81"/>
      <c r="AI42" s="93"/>
      <c r="AJ42" s="93"/>
      <c r="AK42" s="93"/>
      <c r="AL42" s="82">
        <f t="shared" ref="AL42:AL59" si="27">+J42/AC42</f>
        <v>0.2645547342003135</v>
      </c>
      <c r="AM42" s="82">
        <f t="shared" ref="AM42:AM59" si="28">+P42/AC42</f>
        <v>0.38312466713053506</v>
      </c>
      <c r="AN42" s="82">
        <f t="shared" ref="AN42:AN59" si="29">+V42/AC42</f>
        <v>0.35232059866915144</v>
      </c>
      <c r="AO42" s="82"/>
      <c r="AP42" s="82"/>
      <c r="AQ42" s="81"/>
      <c r="AR42" s="82"/>
      <c r="AS42" s="82"/>
      <c r="AT42" s="82"/>
      <c r="AU42" s="82"/>
      <c r="AV42" s="82"/>
      <c r="AW42" s="82"/>
      <c r="AX42" s="65"/>
      <c r="AY42" s="82"/>
      <c r="AZ42" s="64">
        <f>IFERROR(INDEX('Total Customers'!$F$7:$AB$91,MATCH($C42,'Total Customers'!$D$7:$D$91,0),MATCH($G42,'Total Customers'!$F$5:$AB$5,0)),"NA")</f>
        <v>1532615</v>
      </c>
      <c r="BA42" s="71">
        <f t="shared" si="6"/>
        <v>3.2330371466000938E-3</v>
      </c>
      <c r="BB42" s="64"/>
      <c r="BC42" s="64"/>
      <c r="BD42" s="64"/>
      <c r="BE42" s="64"/>
      <c r="BF42" s="64"/>
      <c r="BG42" s="65"/>
      <c r="BH42" s="65"/>
      <c r="BI42" s="65"/>
      <c r="BP42" s="111"/>
      <c r="BQ42" s="64"/>
      <c r="BR42" s="64"/>
      <c r="BS42" s="64">
        <f>INDEX('Dist. Plant Gas Additions'!$F$7:$AE$91,MATCH($C42,'Dist. Plant Gas Additions'!$D$7:$D$91,0),MATCH(Calculation!$G42,'Dist. Plant Gas Additions'!$F$5:$AE$5,0))</f>
        <v>89428</v>
      </c>
      <c r="BT42" s="64">
        <f>INDEX('Gen. Plant Additions'!$F$7:$AE$91,MATCH($C42,'Gen. Plant Additions'!$D$7:$D$91,0),MATCH(Calculation!$G42,'Gen. Plant Additions'!$F$5:$AE$5,0))</f>
        <v>2969</v>
      </c>
      <c r="BU42" s="64"/>
      <c r="BV42" s="64"/>
      <c r="BW42" s="64">
        <f>INDEX('Dist Plant Depreciation'!$E$7:$AD$94,MATCH($C42,'Dist Plant Depreciation'!$D$7:$D$94,0),MATCH(Calculation!$G42,'Dist Plant Depreciation'!$E$5:$AD$5,0))</f>
        <v>714995.22718594875</v>
      </c>
      <c r="BX42" s="64" t="str">
        <f>INDEX('Gen. Plant Depreciation'!$E$7:$AD$94,MATCH($C42,'Gen. Plant Depreciation'!$D$7:$D$94,0),MATCH(Calculation!$G42,'Gen. Plant Depreciation'!$E$5:$AD$5,0))</f>
        <v>NA</v>
      </c>
      <c r="BY42" s="69">
        <v>1935</v>
      </c>
      <c r="BZ42" s="69"/>
      <c r="CA42" s="67">
        <v>17.500869601009402</v>
      </c>
      <c r="CB42" s="107"/>
      <c r="CC42" s="64"/>
      <c r="CD42" s="64"/>
      <c r="CE42" s="64">
        <f>INDEX('Gross Dx Plant'!$E$7:$AD$91,MATCH($C42,'Gross Dx Plant'!$D$7:$D$91,0),MATCH(Calculation!$G42,'Gross Dx Plant'!$E$5:$AD$5,0))</f>
        <v>2127817</v>
      </c>
      <c r="CF42" s="64">
        <f>INDEX('Gross Gen Plant'!$E$7:$AD$91,MATCH($C42,'Gross Gen Plant'!$D$7:$D$91,0),MATCH(Calculation!$G42,'Gross Gen Plant'!$E$5:$AD$5,0))</f>
        <v>117308</v>
      </c>
      <c r="CG42" s="64" t="str">
        <f t="shared" si="7"/>
        <v>NA</v>
      </c>
      <c r="CH42" s="64"/>
      <c r="CI42" s="68">
        <v>2004</v>
      </c>
      <c r="CJ42" s="64"/>
      <c r="CK42" s="64"/>
      <c r="CL42" s="64"/>
      <c r="CM42" s="69"/>
      <c r="CN42" s="64">
        <f t="shared" si="8"/>
        <v>92397</v>
      </c>
      <c r="CO42" s="64">
        <f t="shared" si="9"/>
        <v>222.70391066747843</v>
      </c>
      <c r="CP42" s="70">
        <v>0.967741935483871</v>
      </c>
      <c r="CQ42" s="64">
        <f>+CQ36*CP42+CO37*CP41+CO38*CP40+CO39*CP39+CO40*CP38+CO41*CP37+CO42</f>
        <v>7072.9298540189948</v>
      </c>
      <c r="CR42" s="71">
        <f t="shared" si="10"/>
        <v>2.6134462646072037E-2</v>
      </c>
      <c r="CS42" s="64">
        <f t="shared" ref="CS42:CS59" si="30">+CQ42+CQ66+CQ90+CQ114+CQ138+CQ162+CQ186+CQ210+CQ234+CQ258+CQ282+CQ306+CQ330+CQ354+CQ378+CQ402+CQ426+CQ450+CQ474+CQ498+CQ522+CQ546+CQ570+CQ594+CQ618+CQ642+CQ666+CQ690+CQ714+CQ738+CQ762+CQ786+CQ810+CQ834+CQ858+CQ882+CQ906+CQ930+CQ954+CQ978+CQ1002+CQ1026+CQ1050+CQ1074+CQ1098+CQ1122+CQ1146+CQ1170+CQ1194+CQ1218+CQ1242+CQ1266+CQ1290+CQ1314</f>
        <v>163622.77082599662</v>
      </c>
      <c r="CT42" s="72">
        <f t="shared" si="11"/>
        <v>5.8415730415835292E-3</v>
      </c>
      <c r="CU42" s="72">
        <f t="shared" si="20"/>
        <v>5.7496658001669294E-3</v>
      </c>
      <c r="CV42" s="71">
        <f>VLOOKUP($H42,RoR!$E:$F,2,FALSE)</f>
        <v>5.6283333333333331E-2</v>
      </c>
      <c r="CW42" s="72">
        <v>2.6778252812867276E-2</v>
      </c>
      <c r="CX42" s="72">
        <f t="shared" si="17"/>
        <v>2.9505080520466055E-2</v>
      </c>
      <c r="CY42" s="72">
        <f t="shared" si="21"/>
        <v>2.5152275808366695E-2</v>
      </c>
      <c r="CZ42" s="72">
        <f t="shared" si="22"/>
        <v>5.5940039414565046E-2</v>
      </c>
      <c r="DA42" s="124">
        <f t="shared" si="12"/>
        <v>0.86875000000000002</v>
      </c>
      <c r="DB42" s="74">
        <f t="shared" si="13"/>
        <v>0.91114097628755619</v>
      </c>
      <c r="DC42" s="74">
        <f t="shared" si="14"/>
        <v>0.53081877405981637</v>
      </c>
      <c r="DD42" s="74">
        <f t="shared" si="15"/>
        <v>0.88811215519385678</v>
      </c>
      <c r="DE42" s="74">
        <f t="shared" si="16"/>
        <v>0.42953609753547711</v>
      </c>
      <c r="DF42" s="75">
        <f>INDEX('State Tax Lookup'!$D$7:$Z$91,MATCH(Calculation!$C42,'State Tax Lookup'!$B$7:$B$91,0),MATCH($H42,'State Tax Lookup'!$D$6:$Z$6,0))</f>
        <v>0.35</v>
      </c>
      <c r="DG42" s="75">
        <v>0.375</v>
      </c>
      <c r="DH42" s="73">
        <f t="shared" si="18"/>
        <v>13.872490064714412</v>
      </c>
      <c r="DI42" s="73"/>
      <c r="DJ42" s="72">
        <f t="shared" si="23"/>
        <v>0.10270477957791918</v>
      </c>
      <c r="DK42" s="75">
        <f>VLOOKUP($H42,RoR!$E:$F,2,FALSE)</f>
        <v>5.6283333333333331E-2</v>
      </c>
      <c r="DL42" s="76">
        <f>HLOOKUP($H42,'GDP-PI'!$D$8:$CQ$11,3,FALSE)</f>
        <v>2.6778252812867276E-2</v>
      </c>
      <c r="DM42" s="75">
        <f>VLOOKUP(H42,'HW Dx Data'!$E:$F,2,FALSE)</f>
        <v>414.88719135228365</v>
      </c>
      <c r="DN42" s="69">
        <f>VLOOKUP(H42,'ECI - Input Price'!$G$17:$H$37,2,FALSE)</f>
        <v>96.174999999999997</v>
      </c>
      <c r="DO42" s="72">
        <f t="shared" si="24"/>
        <v>3.7610365022107912E-2</v>
      </c>
      <c r="DP42" s="69">
        <f>HLOOKUP(H42,'GDP-PI'!$8:$9,2,FALSE)</f>
        <v>84.778000000000006</v>
      </c>
      <c r="DQ42" s="72">
        <f t="shared" si="24"/>
        <v>2.6425990216022755E-2</v>
      </c>
      <c r="DR42">
        <v>29.983333333333334</v>
      </c>
      <c r="DS42">
        <v>0.13567119155354451</v>
      </c>
      <c r="DV42" s="33">
        <v>7.3928096917723254E-3</v>
      </c>
      <c r="DW42" s="33">
        <v>2.86E-2</v>
      </c>
      <c r="DX42" s="33">
        <f t="shared" si="0"/>
        <v>2.1143435718468852E-4</v>
      </c>
      <c r="DY42" s="33">
        <v>2.1600000000000001E-2</v>
      </c>
      <c r="DZ42" s="33">
        <f t="shared" si="1"/>
        <v>1.5968468934228223E-4</v>
      </c>
      <c r="EA42" s="33">
        <v>1.84E-2</v>
      </c>
      <c r="EB42" s="33">
        <f t="shared" si="2"/>
        <v>1.3602769832861078E-4</v>
      </c>
      <c r="EC42" s="33">
        <v>1.3599999999999999E-2</v>
      </c>
      <c r="ED42" s="33">
        <f t="shared" si="3"/>
        <v>1.0054221180810362E-4</v>
      </c>
      <c r="EE42" s="33">
        <v>8.3000000000000001E-3</v>
      </c>
      <c r="EF42" s="33">
        <f t="shared" si="4"/>
        <v>6.1360320441710298E-5</v>
      </c>
    </row>
    <row r="43" spans="1:136" ht="21" x14ac:dyDescent="0.35">
      <c r="A43" t="s">
        <v>28</v>
      </c>
      <c r="B43" s="42" t="s">
        <v>28</v>
      </c>
      <c r="C43" s="42">
        <v>4054707</v>
      </c>
      <c r="D43" s="42" t="s">
        <v>132</v>
      </c>
      <c r="E43" s="42"/>
      <c r="F43" s="42"/>
      <c r="G43" s="42" t="s">
        <v>11</v>
      </c>
      <c r="H43" s="11">
        <v>2005</v>
      </c>
      <c r="I43" s="62"/>
      <c r="J43" s="63">
        <f>IFERROR(INDEX('Labor Expenditures'!$F$7:$X$91,MATCH($C43,'Labor Expenditures'!$D$7:$D$91,0),MATCH($G43,'Labor Expenditures'!$F$5:$X$5,0)),"NA")</f>
        <v>69488.661869120464</v>
      </c>
      <c r="K43" s="63">
        <f t="shared" si="25"/>
        <v>700.84379091397341</v>
      </c>
      <c r="L43" s="79">
        <f t="shared" ref="L43:L59" si="31">LN(K43/K42)</f>
        <v>-6.2855502332191768E-2</v>
      </c>
      <c r="M43" s="79"/>
      <c r="N43" s="65">
        <v>100</v>
      </c>
      <c r="O43" s="64"/>
      <c r="P43" s="63">
        <f>IFERROR(INDEX('Non-Labor Expenditures'!$F$7:$AB$91,MATCH($C43,'Non-Labor Expenditures'!$D$7:$D$91,0),MATCH($G43,'Non-Labor Expenditures'!$F$5:$AB$5,0)),"NA")</f>
        <v>100632.56107824939</v>
      </c>
      <c r="Q43" s="63">
        <f t="shared" ref="Q43:Q59" si="32">+P43/DP43</f>
        <v>1151.3100904761563</v>
      </c>
      <c r="R43" s="79"/>
      <c r="S43" s="79"/>
      <c r="T43" s="65">
        <v>100</v>
      </c>
      <c r="U43" s="64">
        <f>+S43+S67+S91+S115+S139+S163+S187+S211+S235+S259+S283+S307+S331+S355+S379+S403+S427+S451+S475+S499+S523+S547+S571+S595+S619+S643+S667+S691+S715+S739+S763+S787+S811+S835+S859+S883+S907+S931+S955+S979+S1003+S1027+S1051+S1075+S1099+S1123+S1147+S1171+S1195+S1219+S1243+S1267+S1291+S1315</f>
        <v>0</v>
      </c>
      <c r="V43" s="63">
        <f t="shared" si="5"/>
        <v>110275.91142708114</v>
      </c>
      <c r="W43" s="62"/>
      <c r="X43" s="93">
        <v>7375.7075519474301</v>
      </c>
      <c r="Y43" s="81">
        <v>4.1917036296246747E-2</v>
      </c>
      <c r="Z43" s="81"/>
      <c r="AA43" s="65">
        <v>100</v>
      </c>
      <c r="AB43" s="64">
        <f>+Z43+Z67+Z91+Z115+Z139+Z163+Z187+Z211+Z235+Z259+Z283+Z307+Z331+Z355+Z379+Z403+Z427+Z451+Z475+Z499+Z523+Z547+Z571+Z595+Z619+Z643+Z667+Z691+Z715+Z739+Z763+Z787+Z811+Z835+Z859+Z883+Z907+Z931+Z955+Z979+Z1003+Z1027+Z1051+Z1075+Z1099+Z1123+Z1147+Z1171+Z1195+Z1219+Z1243+Z1267+Z1291+Z1315</f>
        <v>0</v>
      </c>
      <c r="AC43" s="62">
        <f t="shared" si="26"/>
        <v>280397.13437445101</v>
      </c>
      <c r="AD43" s="81">
        <f>LN(AC43/AC42)</f>
        <v>3.2945124140757814E-2</v>
      </c>
      <c r="AE43" s="64">
        <f>+AC43+AC67+AC91+AC115+AC139+AC163+AC187+AC211+AC235+AC259+AC283+AC307+AC331+AC355+AC379+AC403+AC427+AC451+AC475+AC499+AC523+AC547+AC571+AC595+AC619+AC643+AC667+AC691+AC715+AC739+AC763+AC787+AC811+AC835+AC859+AC883+AC907+AC931+AC955+AC979+AC1003+AC1027+AC1051+AC1075+AC1099+AC1123+AC1147+AC1171+AC1195+AC1219+AC1243+AC1267+AC1291+AC1315</f>
        <v>8030185.9978783792</v>
      </c>
      <c r="AF43" s="64"/>
      <c r="AG43" s="68"/>
      <c r="AH43" s="71"/>
      <c r="AI43" s="68"/>
      <c r="AJ43" s="68"/>
      <c r="AK43" s="68"/>
      <c r="AL43" s="82">
        <f t="shared" si="27"/>
        <v>0.24782229684388699</v>
      </c>
      <c r="AM43" s="82">
        <f t="shared" si="28"/>
        <v>0.35889297265021813</v>
      </c>
      <c r="AN43" s="82">
        <f t="shared" si="29"/>
        <v>0.3932847305058948</v>
      </c>
      <c r="AO43" s="82"/>
      <c r="AP43" s="65">
        <v>100</v>
      </c>
      <c r="AQ43" s="81"/>
      <c r="AR43" s="72">
        <f t="shared" ref="AR43:AR59" si="33">+AC43/$AE$44</f>
        <v>3.5249957041176012E-2</v>
      </c>
      <c r="AS43" s="82"/>
      <c r="AT43" s="82"/>
      <c r="AU43" s="71"/>
      <c r="AV43" s="67">
        <v>100</v>
      </c>
      <c r="AW43" s="82"/>
      <c r="AX43" s="65">
        <v>100</v>
      </c>
      <c r="AY43" s="81"/>
      <c r="AZ43" s="64">
        <f>IFERROR(INDEX('Total Customers'!$F$7:$AB$91,MATCH($C43,'Total Customers'!$D$7:$D$91,0),MATCH($G43,'Total Customers'!$F$5:$AB$5,0)),"NA")</f>
        <v>1546746</v>
      </c>
      <c r="BA43" s="71">
        <f t="shared" si="6"/>
        <v>9.1779425622112217E-3</v>
      </c>
      <c r="BB43" s="137">
        <f>+AZ43+AZ67+AZ91+AZ115+AZ139+AZ163+AZ187+AZ211+AZ235+AZ259+AZ283+AZ307+AZ331+AZ355+AZ379+AZ403+AZ427+AZ451+AZ475+AZ499+AZ523+AZ547+AZ571+AZ595+AZ619+AZ643+AZ667+AZ691+AZ715+AZ739+AZ763+AZ787+AZ811+AZ835+AZ859+AZ883+AZ907+AZ931+AZ955+AZ979+AZ1003+AZ1027+AZ1051+AZ1075+AZ1099+AZ1123+AZ1147+AZ1171+AZ1195+AZ1219+AZ1243+AZ1267+AZ1291+AZ1315</f>
        <v>34743853</v>
      </c>
      <c r="BC43" s="64">
        <f>+AZ115+AZ187+AZ211+AZ259+AZ283+AZ355+AZ379+AZ427+AZ595+AZ619+AZ643+AZ667+AZ811+AZ931+AZ1003+AZ1027+AZ1075+AZ1315</f>
        <v>8117755</v>
      </c>
      <c r="BD43" s="65">
        <v>100</v>
      </c>
      <c r="BE43" s="64"/>
      <c r="BF43" s="64"/>
      <c r="BG43" s="65"/>
      <c r="BH43" s="65"/>
      <c r="BI43" s="65"/>
      <c r="BP43" s="111"/>
      <c r="BQ43" s="64"/>
      <c r="BR43" s="64"/>
      <c r="BS43" s="64">
        <f>INDEX('Dist. Plant Gas Additions'!$F$7:$AE$91,MATCH($C43,'Dist. Plant Gas Additions'!$D$7:$D$91,0),MATCH(Calculation!$G43,'Dist. Plant Gas Additions'!$F$5:$AE$5,0))</f>
        <v>156227</v>
      </c>
      <c r="BT43" s="64">
        <f>INDEX('Gen. Plant Additions'!$F$7:$AE$91,MATCH($C43,'Gen. Plant Additions'!$D$7:$D$91,0),MATCH(Calculation!$G43,'Gen. Plant Additions'!$F$5:$AE$5,0))</f>
        <v>5858</v>
      </c>
      <c r="BU43" s="64"/>
      <c r="BV43" s="64"/>
      <c r="BW43" s="64">
        <f>INDEX('Dist Plant Depreciation'!$E$7:$AD$94,MATCH($C43,'Dist Plant Depreciation'!$D$7:$D$94,0),MATCH(Calculation!$G43,'Dist Plant Depreciation'!$E$5:$AD$5,0))</f>
        <v>749029</v>
      </c>
      <c r="BX43" s="64">
        <f>INDEX('Gen. Plant Depreciation'!$E$7:$AD$94,MATCH($C43,'Gen. Plant Depreciation'!$D$7:$D$94,0),MATCH(Calculation!$G43,'Gen. Plant Depreciation'!$E$5:$AD$5,0))</f>
        <v>40574</v>
      </c>
      <c r="BY43" s="69">
        <v>1936</v>
      </c>
      <c r="BZ43" s="69"/>
      <c r="CA43" s="67">
        <v>17.821529898624249</v>
      </c>
      <c r="CB43" s="107"/>
      <c r="CC43" s="64"/>
      <c r="CD43" s="64"/>
      <c r="CE43" s="64">
        <f>INDEX('Gross Dx Plant'!$E$7:$AD$91,MATCH($C43,'Gross Dx Plant'!$D$7:$D$91,0),MATCH(Calculation!$G43,'Gross Dx Plant'!$E$5:$AD$5,0))</f>
        <v>2235159</v>
      </c>
      <c r="CF43" s="64">
        <f>INDEX('Gross Gen Plant'!$E$7:$AD$91,MATCH($C43,'Gross Gen Plant'!$D$7:$D$91,0),MATCH(Calculation!$G43,'Gross Gen Plant'!$E$5:$AD$5,0))</f>
        <v>118393</v>
      </c>
      <c r="CG43" s="64">
        <f t="shared" si="7"/>
        <v>1563949</v>
      </c>
      <c r="CH43" s="64"/>
      <c r="CI43" s="68">
        <v>2005</v>
      </c>
      <c r="CJ43" s="64"/>
      <c r="CK43" s="64"/>
      <c r="CL43" s="64"/>
      <c r="CM43" s="69"/>
      <c r="CN43" s="64">
        <f t="shared" si="8"/>
        <v>162085</v>
      </c>
      <c r="CO43" s="64">
        <f t="shared" si="9"/>
        <v>345.44591706585766</v>
      </c>
      <c r="CP43" s="70">
        <v>0.96174863387978138</v>
      </c>
      <c r="CQ43" s="64">
        <f>+CQ36*CP43+CO37*CP42+CO38*CP41+CO39*CP40+CO40*CP39+CO41*CP38+CO42*CP37+CO43</f>
        <v>7375.7075519474301</v>
      </c>
      <c r="CR43" s="71">
        <f t="shared" si="10"/>
        <v>4.1917036296246747E-2</v>
      </c>
      <c r="CS43" s="64">
        <f t="shared" si="30"/>
        <v>168651.77333176209</v>
      </c>
      <c r="CT43" s="72">
        <f t="shared" si="11"/>
        <v>6.0326088365173398E-3</v>
      </c>
      <c r="CU43" s="72">
        <f t="shared" si="20"/>
        <v>5.843530670911222E-3</v>
      </c>
      <c r="CV43" s="71">
        <f>VLOOKUP($H43,RoR!$E:$F,2,FALSE)</f>
        <v>5.2350000000000001E-2</v>
      </c>
      <c r="CW43" s="72">
        <v>3.1010403642454332E-2</v>
      </c>
      <c r="CX43" s="72">
        <f t="shared" si="17"/>
        <v>2.1339596357545669E-2</v>
      </c>
      <c r="CY43" s="72">
        <f t="shared" si="21"/>
        <v>2.5058410937622403E-2</v>
      </c>
      <c r="CZ43" s="72">
        <f t="shared" si="22"/>
        <v>9.2129610649277341E-2</v>
      </c>
      <c r="DA43" s="124">
        <f t="shared" si="12"/>
        <v>0.86875000000000002</v>
      </c>
      <c r="DB43" s="74">
        <f t="shared" si="13"/>
        <v>0.97959983346802826</v>
      </c>
      <c r="DC43" s="74">
        <f t="shared" si="14"/>
        <v>0.49744508118433622</v>
      </c>
      <c r="DD43" s="74">
        <f t="shared" si="15"/>
        <v>0.87010519444335932</v>
      </c>
      <c r="DE43" s="74">
        <f t="shared" si="16"/>
        <v>0.42399975420741998</v>
      </c>
      <c r="DF43" s="75">
        <f>INDEX('State Tax Lookup'!$D$7:$Z$91,MATCH(Calculation!$C43,'State Tax Lookup'!$B$7:$B$91,0),MATCH($H43,'State Tax Lookup'!$D$6:$Z$6,0))</f>
        <v>0.35</v>
      </c>
      <c r="DG43" s="75">
        <v>0.375</v>
      </c>
      <c r="DH43" s="73">
        <f t="shared" si="18"/>
        <v>15.591263267572197</v>
      </c>
      <c r="DI43" s="73"/>
      <c r="DJ43" s="72">
        <f t="shared" si="23"/>
        <v>0.11680296338811828</v>
      </c>
      <c r="DK43" s="75">
        <f>VLOOKUP($H43,RoR!$E:$F,2,FALSE)</f>
        <v>5.2350000000000001E-2</v>
      </c>
      <c r="DL43" s="76">
        <f>HLOOKUP($H43,'GDP-PI'!$D$8:$CQ$11,3,FALSE)</f>
        <v>3.1010403642454332E-2</v>
      </c>
      <c r="DM43" s="75">
        <f>VLOOKUP(H43,'HW Dx Data'!$E:$F,2,FALSE)</f>
        <v>469.20514034936258</v>
      </c>
      <c r="DN43" s="69">
        <f>VLOOKUP(H43,'ECI - Input Price'!$G$17:$H$37,2,FALSE)</f>
        <v>99.15</v>
      </c>
      <c r="DO43" s="72">
        <f t="shared" si="24"/>
        <v>3.046440632744625E-2</v>
      </c>
      <c r="DP43" s="69">
        <f>HLOOKUP(H43,'GDP-PI'!$8:$9,2,FALSE)</f>
        <v>87.406999999999996</v>
      </c>
      <c r="DQ43" s="72">
        <f t="shared" si="24"/>
        <v>3.0539295810733648E-2</v>
      </c>
      <c r="DR43">
        <v>30.041666666666668</v>
      </c>
      <c r="DS43">
        <v>0.15859100050276523</v>
      </c>
      <c r="DV43" s="33">
        <v>4.4391290945732563E-3</v>
      </c>
      <c r="DW43" s="33">
        <v>4.9099999999999998E-2</v>
      </c>
      <c r="DX43" s="33">
        <f t="shared" si="0"/>
        <v>2.1796123854354686E-4</v>
      </c>
      <c r="DY43" s="33">
        <v>4.3999999999999997E-2</v>
      </c>
      <c r="DZ43" s="33">
        <f t="shared" si="1"/>
        <v>1.9532168016122328E-4</v>
      </c>
      <c r="EA43" s="33">
        <v>4.1700000000000001E-2</v>
      </c>
      <c r="EB43" s="33">
        <f t="shared" si="2"/>
        <v>1.8511168324370479E-4</v>
      </c>
      <c r="EC43" s="33">
        <v>3.8399999999999997E-2</v>
      </c>
      <c r="ED43" s="33">
        <f t="shared" si="3"/>
        <v>1.7046255723161303E-4</v>
      </c>
      <c r="EE43" s="33">
        <v>3.49E-2</v>
      </c>
      <c r="EF43" s="33">
        <f t="shared" si="4"/>
        <v>1.5492560540060664E-4</v>
      </c>
    </row>
    <row r="44" spans="1:136" ht="21" x14ac:dyDescent="0.35">
      <c r="A44" t="s">
        <v>28</v>
      </c>
      <c r="B44" s="42" t="s">
        <v>28</v>
      </c>
      <c r="C44" s="42">
        <v>4054707</v>
      </c>
      <c r="D44" s="42" t="s">
        <v>132</v>
      </c>
      <c r="E44" s="42"/>
      <c r="F44" s="42"/>
      <c r="G44" s="42" t="s">
        <v>12</v>
      </c>
      <c r="H44" s="11">
        <v>2006</v>
      </c>
      <c r="I44" s="62"/>
      <c r="J44" s="63">
        <f>IFERROR(INDEX('Labor Expenditures'!$F$7:$X$91,MATCH($C44,'Labor Expenditures'!$D$7:$D$91,0),MATCH($G44,'Labor Expenditures'!$F$5:$X$5,0)),"NA")</f>
        <v>65146.641191404371</v>
      </c>
      <c r="K44" s="63">
        <f t="shared" si="25"/>
        <v>638.37962950910708</v>
      </c>
      <c r="L44" s="79">
        <f t="shared" si="31"/>
        <v>-9.3351887741900286E-2</v>
      </c>
      <c r="M44" s="79">
        <f t="shared" ref="M44:M59" si="34">+L44*AR44</f>
        <v>-3.1894476726917506E-3</v>
      </c>
      <c r="N44" s="65">
        <f>+N43*EXP(O44)</f>
        <v>95.885413561583235</v>
      </c>
      <c r="O44" s="71">
        <f>+M44+M68+M92+M116+M140+M164+M188+M212+M236+M260+M284+M308+M332+M356+M380+M404+M428+M452+M476+M500+M524+M548+M572+M596+M620+M644+M668+M692+M716+M740+M764+M788+M812+M836+M860+M884+M908+M932+M956+M980+M1004+M1028+M1052+M1076+M1100+M1124+M1148+M1172+M1196+M1220+M1244+M1268+M1292+M1316</f>
        <v>-4.201631617202093E-2</v>
      </c>
      <c r="P44" s="63">
        <f>IFERROR(INDEX('Non-Labor Expenditures'!$F$7:$AB$91,MATCH($C44,'Non-Labor Expenditures'!$D$7:$D$91,0),MATCH($G44,'Non-Labor Expenditures'!$F$5:$AB$5,0)),"NA")</f>
        <v>94344.504159319738</v>
      </c>
      <c r="Q44" s="63">
        <f t="shared" si="32"/>
        <v>1047.411063784441</v>
      </c>
      <c r="R44" s="79">
        <f t="shared" ref="R44:R59" si="35">LN(Q44/Q43)</f>
        <v>-9.4579037177305952E-2</v>
      </c>
      <c r="S44" s="79">
        <f>+R44*AR44</f>
        <v>-3.2313742904117996E-3</v>
      </c>
      <c r="T44" s="65">
        <f>+T43*EXP(U44)</f>
        <v>95.767821883619817</v>
      </c>
      <c r="U44" s="71">
        <f>+S44+S68+S92+S116+S140+S164+S188+S212+S236+S260+S284+S308+S332+S356+S380+S404+S428+S452+S476+S500+S524+S548+S572+S596+S620+S644+S668+S692+S716+S740+S764+S788+S812+S836+S860+S884+S908+S932+S956+S980+S1004+S1028+S1052+S1076+S1100+S1124+S1148+S1172+S1196+S1220+S1244+S1268+S1292+S1316</f>
        <v>-4.3243445914407118E-2</v>
      </c>
      <c r="V44" s="63">
        <f t="shared" si="5"/>
        <v>112282.50994419347</v>
      </c>
      <c r="W44" s="79">
        <f>LN(V44/V43)</f>
        <v>1.8032594579024713E-2</v>
      </c>
      <c r="X44" s="93">
        <v>7546.2287197094793</v>
      </c>
      <c r="Y44" s="81">
        <v>2.28560942712259E-2</v>
      </c>
      <c r="Z44" s="81">
        <f>+Y44*AR44</f>
        <v>7.8089815260870023E-4</v>
      </c>
      <c r="AA44" s="65">
        <f>+AA43*EXP(AB44)</f>
        <v>103.20985830398027</v>
      </c>
      <c r="AB44" s="71">
        <f>+Z44+Z68+Z92+Z116+Z140+Z164+Z188+Z212+Z236+Z260+Z284+Z308+Z332+Z356+Z380+Z404+Z428+Z452+Z476+Z500+Z524+Z548+Z572+Z596+Z620+Z644+Z668+Z692+Z716+Z740+Z764+Z788+Z812+Z836+Z860+Z884+Z908+Z932+Z956+Z980+Z1004+Z1028+Z1052+Z1076+Z1100+Z1124+Z1148+Z1172+Z1196+Z1220+Z1244+Z1268+Z1292+Z1316</f>
        <v>3.1594188698393012E-2</v>
      </c>
      <c r="AC44" s="62">
        <f t="shared" si="26"/>
        <v>271773.65529491758</v>
      </c>
      <c r="AD44" s="81">
        <f t="shared" ref="AD44:AD59" si="36">LN(AC44/AC43)</f>
        <v>-3.1237365114696047E-2</v>
      </c>
      <c r="AE44" s="64">
        <f t="shared" ref="AE44:AE59" si="37">+AC44+AC68+AC92+AC116+AC140+AC164+AC212+AC236+AC260+AC308+AC332+AC356+AC380+AC404+AC428+AC452+AC476+AC500+AC524+AC548+AC572+AC596+AC620+AC644+AC668+AC692+AC716+AC740+AC764+AC788+AC812+AC836+AC860+AC884+AC908+AC932+AC956+AC980+AC1004+AC1028+AC1052+AC1076+AC1100+AC1124+AC1148+AC1172+AC1196+AC1220+AC1244+AC1268+AC1292+AC1316+Q1374</f>
        <v>7954538.3288528509</v>
      </c>
      <c r="AF44" s="71">
        <f t="shared" ref="AF44:AF59" si="38">LN(AE44/AE43)</f>
        <v>-9.4650658009938528E-3</v>
      </c>
      <c r="AG44" s="68">
        <f t="shared" ref="AG44:AG59" si="39">+(AC44*1000)/AZ44</f>
        <v>181.96135276066252</v>
      </c>
      <c r="AH44" s="71">
        <f>+AZ44/$BB$44</f>
        <v>4.2486247316161831E-2</v>
      </c>
      <c r="AI44" s="68"/>
      <c r="AJ44" s="105">
        <f>+AH44*AG44</f>
        <v>7.7308550353728744</v>
      </c>
      <c r="AK44" s="105">
        <f>+AI44*AG44</f>
        <v>0</v>
      </c>
      <c r="AL44" s="82">
        <f t="shared" si="27"/>
        <v>0.23970918417647921</v>
      </c>
      <c r="AM44" s="82">
        <f t="shared" si="28"/>
        <v>0.34714367018738795</v>
      </c>
      <c r="AN44" s="82">
        <f t="shared" si="29"/>
        <v>0.41314714563613281</v>
      </c>
      <c r="AO44" s="82">
        <f t="shared" ref="AO44:AO59" si="40">+(((AL44+AL43)/2)*L44+((AM43+AM44)/2)*R44+((AN43+AN44)/2)*Y44)</f>
        <v>-4.6928183496955059E-2</v>
      </c>
      <c r="AP44" s="65">
        <f>+AP43*EXP(AO44)</f>
        <v>95.415591927132965</v>
      </c>
      <c r="AQ44" s="81">
        <f>LN(AP44/AP43)</f>
        <v>-4.6928183496954989E-2</v>
      </c>
      <c r="AR44" s="72">
        <f t="shared" si="33"/>
        <v>3.4165861557186178E-2</v>
      </c>
      <c r="AS44" s="72">
        <f t="shared" ref="AS44:AS59" si="41">+AR44*AQ44</f>
        <v>-1.6033418204871933E-3</v>
      </c>
      <c r="AT44" s="72"/>
      <c r="AU44" s="71">
        <f t="shared" ref="AU44:AU59" si="42">+AS44+AS68+AS92+AS116+AS140+AS164+AS212+AS236+AS260+AS308+AS332+AS356+AS380+AS404+AS428+AS452+AS476+AS500+AS524+AS548+AS572+AS596+AS620+AS644+AS668+AS692+AS716+AS740+AS764+AS788+AS812+AS836+AS860+AS884+AS908+AS932+AS956+AS980+AS1004+AS1028+AS1052+AS1076+AS1100+AS1124+AS1148+AS1172+AS1196+AS1220+AS1244+AS1268+AS1292+AS1316+K1459</f>
        <v>-1.8972241732253127E-2</v>
      </c>
      <c r="AV44" s="67">
        <f>+AV43*EXP(AU44)</f>
        <v>98.120659846026427</v>
      </c>
      <c r="AW44" s="72">
        <f>LN(AV44/AV43)</f>
        <v>-1.8972241732253078E-2</v>
      </c>
      <c r="AX44" s="65">
        <f>+AX43*EXP(AY44)</f>
        <v>100.80394712277989</v>
      </c>
      <c r="AY44" s="81">
        <f t="shared" ref="AY44:AY59" si="43">+(((AL43+AL44)/2)*DO44+((AM43+AM44)/2)*DQ44+((AN43+AN44)/2)*DJ44)</f>
        <v>8.0073268466100689E-3</v>
      </c>
      <c r="AZ44" s="64">
        <f>IFERROR(INDEX('Total Customers'!$F$7:$AB$91,MATCH($C44,'Total Customers'!$D$7:$D$91,0),MATCH($G44,'Total Customers'!$F$5:$AB$5,0)),"NA")</f>
        <v>1493579</v>
      </c>
      <c r="BA44" s="71">
        <f t="shared" si="6"/>
        <v>-3.4978116200810601E-2</v>
      </c>
      <c r="BB44" s="137">
        <f>+AZ44+AZ68+AZ92+AZ116+AZ140+AZ164+AZ188+AZ212+AZ236+AZ260+AZ284+AZ308+AZ332+AZ356+AZ380+AZ404+AZ428+AZ452+AZ476+AZ500+AZ524+AZ548+AZ572+AZ596+AZ620+AZ644+AZ668+AZ692+AZ716+AZ740+AZ764+AZ788+AZ812+AZ836+AZ860+AZ884+AZ908+AZ932+AZ956+AZ980+AZ1004+AZ1028+AZ1052+AZ1076+AZ1100+AZ1124+AZ1148+AZ1172+AZ1196+AZ1220+AZ1244+AZ1268+AZ1292+AZ1316</f>
        <v>35154411</v>
      </c>
      <c r="BC44" s="64">
        <f t="shared" ref="BC44:BC59" si="44">+AZ116+AZ188+AZ212+AZ260+AZ284+AZ356+AZ380+AZ428+AZ596+AZ620+AZ644+AZ668+AZ812+AZ932+AZ1004+AZ1028+AZ1076+AZ1316</f>
        <v>8247377</v>
      </c>
      <c r="BD44" s="65">
        <f>+BD43*EXP(BE44)</f>
        <v>101.18167089873423</v>
      </c>
      <c r="BE44" s="71">
        <f t="shared" ref="BE44:BE59" si="45">LN(BB44/BB43)</f>
        <v>1.1747436860059824E-2</v>
      </c>
      <c r="BF44" s="71"/>
      <c r="BG44" s="65">
        <f>+AJ44+AJ68+AJ92+AJ116+AJ140+AJ164+AJ188+AJ212+AJ2236+AJ260+AJ284+AJ308+AJ332+AJ356+AJ380+AJ404+AJ428+AJ452+AJ476+AJ500+AJ524+AJ548+AJ572+AJ596+AJ620+AJ644+AJ668+AJ692+AJ716+AJ740+AJ764+AJ788+AJ812+AJ836+AJ860+AJ884+AJ908+AJ932+AJ956+AJ980+AJ1004+AJ1028+AJ1052+AJ1076+AJ1100+AJ1124+AJ1148+AJ1172+AJ1196+AJ1220+AJ1244+AJ1268+AJ1292+AJ1316+AJ1340+AJ1364+AJ1388+AJ1412+AJ1436+AJ1460</f>
        <v>221.58336145276121</v>
      </c>
      <c r="BH44" s="65">
        <f>+AK44+AK68+AK92+AK116+AK140+AK164+AK188+AK212+AK2236+AK260+AK284+AK308+AK332+AK356+AK380+AK404+AK428+AK452+AK476+AK500+AK524+AK548+AK572+AK596+AK620+AK644+AK668+AK692+AK716+AK740+AK764+AK788+AK812+AK836+AK860+AK884+AK908+AK932+AK956+AK980+AK1004+AK1028+AK1052+AK1076+AK1100+AK1124+AK1148+AK1172+AK1196+AK1220+AK1244+AK1268+AK1292+AK1316+AK1340+AK1364+AK1388+AK1412+AK1436+AK1460</f>
        <v>303.82544658301651</v>
      </c>
      <c r="BI44" s="65"/>
      <c r="BJ44" s="66"/>
      <c r="BK44" s="66"/>
      <c r="BL44" s="66"/>
      <c r="BM44" s="66"/>
      <c r="BN44" s="66"/>
      <c r="BO44" s="65"/>
      <c r="BP44" s="82"/>
      <c r="BQ44" s="64"/>
      <c r="BR44" s="64"/>
      <c r="BS44" s="64">
        <f>INDEX('Dist. Plant Gas Additions'!$F$7:$AE$91,MATCH($C44,'Dist. Plant Gas Additions'!$D$7:$D$91,0),MATCH(Calculation!$G44,'Dist. Plant Gas Additions'!$F$5:$AE$5,0))</f>
        <v>70711</v>
      </c>
      <c r="BT44" s="64">
        <f>INDEX('Gen. Plant Additions'!$F$7:$AE$91,MATCH($C44,'Gen. Plant Additions'!$D$7:$D$91,0),MATCH(Calculation!$G44,'Gen. Plant Additions'!$F$5:$AE$5,0))</f>
        <v>29029</v>
      </c>
      <c r="BU44" s="64"/>
      <c r="BV44" s="64"/>
      <c r="BW44" s="64">
        <f>INDEX('Dist Plant Depreciation'!$E$7:$AD$94,MATCH($C44,'Dist Plant Depreciation'!$D$7:$D$94,0),MATCH(Calculation!$G44,'Dist Plant Depreciation'!$E$5:$AD$5,0))</f>
        <v>793295</v>
      </c>
      <c r="BX44" s="64">
        <f>INDEX('Gen. Plant Depreciation'!$E$7:$AD$94,MATCH($C44,'Gen. Plant Depreciation'!$D$7:$D$94,0),MATCH(Calculation!$G44,'Gen. Plant Depreciation'!$E$5:$AD$5,0))</f>
        <v>27865</v>
      </c>
      <c r="BY44" s="69">
        <v>1937</v>
      </c>
      <c r="BZ44" s="69"/>
      <c r="CA44" s="67">
        <v>19.009623255912896</v>
      </c>
      <c r="CB44" s="107"/>
      <c r="CC44" s="64"/>
      <c r="CD44" s="64"/>
      <c r="CE44" s="64">
        <f>INDEX('Gross Dx Plant'!$E$7:$AD$91,MATCH($C44,'Gross Dx Plant'!$D$7:$D$91,0),MATCH(Calculation!$G44,'Gross Dx Plant'!$E$5:$AD$5,0))</f>
        <v>2299507</v>
      </c>
      <c r="CF44" s="64">
        <f>INDEX('Gross Gen Plant'!$E$7:$AD$91,MATCH($C44,'Gross Gen Plant'!$D$7:$D$91,0),MATCH(Calculation!$G44,'Gross Gen Plant'!$E$5:$AD$5,0))</f>
        <v>121412</v>
      </c>
      <c r="CG44" s="64">
        <f t="shared" si="7"/>
        <v>1599759</v>
      </c>
      <c r="CH44" s="71" t="e">
        <f>SUM(#REF!)/15</f>
        <v>#REF!</v>
      </c>
      <c r="CI44" s="68">
        <v>2006</v>
      </c>
      <c r="CJ44" s="64"/>
      <c r="CK44" s="64"/>
      <c r="CL44" s="64"/>
      <c r="CM44" s="69"/>
      <c r="CN44" s="64">
        <f t="shared" si="8"/>
        <v>99740</v>
      </c>
      <c r="CO44" s="64">
        <f t="shared" si="9"/>
        <v>216.31554806185909</v>
      </c>
      <c r="CP44" s="70">
        <v>0.9555555555555556</v>
      </c>
      <c r="CQ44" s="64">
        <f>+CQ36*CP44+CO37*CP43+CO38*CP42+CO39*CP41+CO40*CP40+CO41*CP39+CO42*CP38+CO43*CP37+CO44</f>
        <v>7546.2287197094793</v>
      </c>
      <c r="CR44" s="71">
        <f t="shared" si="10"/>
        <v>2.28560942712259E-2</v>
      </c>
      <c r="CS44" s="64">
        <f t="shared" si="30"/>
        <v>174041.40103242392</v>
      </c>
      <c r="CT44" s="72">
        <f t="shared" si="11"/>
        <v>6.2088118295469492E-3</v>
      </c>
      <c r="CU44" s="72">
        <f t="shared" si="20"/>
        <v>6.0276645692159403E-3</v>
      </c>
      <c r="CV44" s="71">
        <f>VLOOKUP($H44,RoR!$E:$F,2,FALSE)</f>
        <v>5.5874999999999994E-2</v>
      </c>
      <c r="CW44" s="72">
        <v>3.0512430354548314E-2</v>
      </c>
      <c r="CX44" s="72">
        <f t="shared" si="17"/>
        <v>2.536256964545168E-2</v>
      </c>
      <c r="CY44" s="72">
        <f t="shared" si="21"/>
        <v>2.4874277039317685E-2</v>
      </c>
      <c r="CZ44" s="72">
        <f t="shared" si="22"/>
        <v>7.9087823893859641E-2</v>
      </c>
      <c r="DA44" s="124">
        <f t="shared" si="12"/>
        <v>0.86875000000000002</v>
      </c>
      <c r="DB44" s="74">
        <f t="shared" si="13"/>
        <v>0.91779957551769631</v>
      </c>
      <c r="DC44" s="74">
        <f t="shared" si="14"/>
        <v>0.52757270693512304</v>
      </c>
      <c r="DD44" s="74">
        <f t="shared" si="15"/>
        <v>0.88636824549024895</v>
      </c>
      <c r="DE44" s="74">
        <f t="shared" si="16"/>
        <v>0.42918482841932087</v>
      </c>
      <c r="DF44" s="75">
        <f>INDEX('State Tax Lookup'!$D$7:$Z$91,MATCH(Calculation!$C44,'State Tax Lookup'!$B$7:$B$91,0),MATCH($H44,'State Tax Lookup'!$D$6:$Z$6,0))</f>
        <v>0.35</v>
      </c>
      <c r="DG44" s="75">
        <v>0.375</v>
      </c>
      <c r="DH44" s="73">
        <f t="shared" si="18"/>
        <v>15.22328660042211</v>
      </c>
      <c r="DI44" s="73">
        <v>14.788696346247992</v>
      </c>
      <c r="DJ44" s="72">
        <f t="shared" si="23"/>
        <v>-2.3884441717222139E-2</v>
      </c>
      <c r="DK44" s="75">
        <f>VLOOKUP($H44,RoR!$E:$F,2,FALSE)</f>
        <v>5.5874999999999994E-2</v>
      </c>
      <c r="DL44" s="76">
        <f>HLOOKUP($H44,'GDP-PI'!$D$8:$CQ$11,3,FALSE)</f>
        <v>3.0512430354548314E-2</v>
      </c>
      <c r="DM44" s="75">
        <f>VLOOKUP(H44,'HW Dx Data'!$E:$F,2,FALSE)</f>
        <v>461.08567272971823</v>
      </c>
      <c r="DN44" s="69">
        <f>VLOOKUP(H44,'ECI - Input Price'!$G$17:$H$37,2,FALSE)</f>
        <v>102.05</v>
      </c>
      <c r="DO44" s="72">
        <f t="shared" si="24"/>
        <v>2.8829034290048662E-2</v>
      </c>
      <c r="DP44" s="69">
        <f>HLOOKUP(H44,'GDP-PI'!$8:$9,2,FALSE)</f>
        <v>90.073999999999998</v>
      </c>
      <c r="DQ44" s="72">
        <f t="shared" si="24"/>
        <v>3.005618372545445E-2</v>
      </c>
      <c r="DR44">
        <v>31.383333333333333</v>
      </c>
      <c r="DS44">
        <v>0.18934137757667169</v>
      </c>
      <c r="DV44" s="33">
        <v>4.2856778722666529E-3</v>
      </c>
      <c r="DW44" s="33">
        <v>3.32E-2</v>
      </c>
      <c r="DX44" s="33">
        <f t="shared" si="0"/>
        <v>1.4228450535925288E-4</v>
      </c>
      <c r="DY44" s="33">
        <v>2.6800000000000001E-2</v>
      </c>
      <c r="DZ44" s="33">
        <f t="shared" si="1"/>
        <v>1.148561669767463E-4</v>
      </c>
      <c r="EA44" s="33">
        <v>2.3900000000000001E-2</v>
      </c>
      <c r="EB44" s="33">
        <f t="shared" si="2"/>
        <v>1.0242770114717301E-4</v>
      </c>
      <c r="EC44" s="33">
        <v>1.95E-2</v>
      </c>
      <c r="ED44" s="33">
        <f t="shared" si="3"/>
        <v>8.357071850919973E-5</v>
      </c>
      <c r="EE44" s="33">
        <v>1.4800000000000001E-2</v>
      </c>
      <c r="EF44" s="33">
        <f t="shared" si="4"/>
        <v>6.3428032509546463E-5</v>
      </c>
    </row>
    <row r="45" spans="1:136" ht="21" x14ac:dyDescent="0.35">
      <c r="A45" t="s">
        <v>28</v>
      </c>
      <c r="B45" s="42" t="s">
        <v>28</v>
      </c>
      <c r="C45" s="42">
        <v>4054707</v>
      </c>
      <c r="D45" s="42" t="s">
        <v>132</v>
      </c>
      <c r="E45" s="42"/>
      <c r="F45" s="42"/>
      <c r="G45" s="42" t="s">
        <v>13</v>
      </c>
      <c r="H45" s="11">
        <v>2007</v>
      </c>
      <c r="I45" s="62"/>
      <c r="J45" s="63">
        <f>IFERROR(INDEX('Labor Expenditures'!$F$7:$X$91,MATCH($C45,'Labor Expenditures'!$D$7:$D$91,0),MATCH($G45,'Labor Expenditures'!$F$5:$X$5,0)),"NA")</f>
        <v>56282.414463482943</v>
      </c>
      <c r="K45" s="63">
        <f t="shared" si="25"/>
        <v>534.87683025405499</v>
      </c>
      <c r="L45" s="79">
        <f t="shared" si="31"/>
        <v>-0.17689664039658995</v>
      </c>
      <c r="M45" s="79">
        <f t="shared" si="34"/>
        <v>-5.8069696146890266E-3</v>
      </c>
      <c r="N45" s="65">
        <f t="shared" ref="N45:N59" si="46">+N44*EXP(O45)</f>
        <v>95.725034346042278</v>
      </c>
      <c r="O45" s="71">
        <f t="shared" ref="O45:O59" si="47">+M45+M69+M93+M117+M141+M165+M189+M213+M237+M261+M285+M309+M333+M357+M381+M405+M429+M453+M477+M501+M525+M549+M573+M597+M621+M645+M669+M693+M717+M741+M765+M789+M813+M837+M861+M885+M909+M933+M957+M981+M1005+M1029+M1053+M1077+M1101+M1125+M1149+M1173+M1197+M1221+M1245+M1269+M1293+M1317</f>
        <v>-1.6740136536929945E-3</v>
      </c>
      <c r="P45" s="63">
        <f>IFERROR(INDEX('Non-Labor Expenditures'!$F$7:$AB$91,MATCH($C45,'Non-Labor Expenditures'!$D$7:$D$91,0),MATCH($G45,'Non-Labor Expenditures'!$F$5:$AB$5,0)),"NA")</f>
        <v>81507.448248110624</v>
      </c>
      <c r="Q45" s="63">
        <f t="shared" si="32"/>
        <v>881.18065523698476</v>
      </c>
      <c r="R45" s="79">
        <f t="shared" si="35"/>
        <v>-0.17281408294584727</v>
      </c>
      <c r="S45" s="79">
        <f t="shared" ref="S45:S59" si="48">+R45*AR45</f>
        <v>-5.672951879736373E-3</v>
      </c>
      <c r="T45" s="65">
        <f t="shared" ref="T45:T59" si="49">+T44*EXP(U45)</f>
        <v>95.999437924003004</v>
      </c>
      <c r="U45" s="71">
        <f t="shared" ref="U45:U59" si="50">+S45+S69+S93+S117+S141+S165+S189+S213+S237+S261+S285+S309+S333+S357+S381+S405+S429+S453+S477+S501+S525+S549+S573+S597+S621+S645+S669+S693+S717+S741+S765+S789+S813+S837+S861+S885+S909+S933+S957+S981+S1005+S1029+S1053+S1077+S1101+S1125+S1149+S1173+S1197+S1221+S1245+S1269+S1293+S1317</f>
        <v>2.4155964187095964E-3</v>
      </c>
      <c r="V45" s="63">
        <f t="shared" si="5"/>
        <v>123333.02956589124</v>
      </c>
      <c r="W45" s="79">
        <f t="shared" ref="W45:W59" si="51">LN(V45/V44)</f>
        <v>9.3870148413851953E-2</v>
      </c>
      <c r="X45" s="93">
        <v>7762.2375222269548</v>
      </c>
      <c r="Y45" s="81">
        <v>2.8222701983817405E-2</v>
      </c>
      <c r="Z45" s="81">
        <f t="shared" ref="Z45:Z59" si="52">+Y45*AR45</f>
        <v>9.2646402157228682E-4</v>
      </c>
      <c r="AA45" s="65">
        <f t="shared" ref="AA45:AA59" si="53">+AA44*EXP(AB45)</f>
        <v>106.07208098423199</v>
      </c>
      <c r="AB45" s="71">
        <f t="shared" ref="AB45:AB59" si="54">+Z45+Z69+Z93+Z117+Z141+Z165+Z189+Z213+Z237+Z261+Z285+Z309+Z333+Z357+Z381+Z405+Z429+Z453+Z477+Z501+Z525+Z549+Z573+Z597+Z621+Z645+Z669+Z693+Z717+Z741+Z765+Z789+Z813+Z837+Z861+Z885+Z909+Z933+Z957+Z981+Z1005+Z1029+Z1053+Z1077+Z1101+Z1125+Z1149+Z1173+Z1197+Z1221+Z1245+Z1269+Z1293+Z1317</f>
        <v>2.7354497609237652E-2</v>
      </c>
      <c r="AC45" s="62">
        <f t="shared" si="26"/>
        <v>261122.89227748482</v>
      </c>
      <c r="AD45" s="81">
        <f t="shared" si="36"/>
        <v>-3.9978422071520102E-2</v>
      </c>
      <c r="AE45" s="64">
        <f t="shared" si="37"/>
        <v>8401959.1976792738</v>
      </c>
      <c r="AF45" s="71">
        <f t="shared" si="38"/>
        <v>5.4722291709076554E-2</v>
      </c>
      <c r="AG45" s="68">
        <f t="shared" si="39"/>
        <v>167.52833154067309</v>
      </c>
      <c r="AH45" s="71">
        <f>+AZ45/$BB$45</f>
        <v>4.4005640084450195E-2</v>
      </c>
      <c r="AI45" s="68"/>
      <c r="AJ45" s="105">
        <f t="shared" ref="AJ45:AJ59" si="55">+AH45*AG45</f>
        <v>7.3721914617273061</v>
      </c>
      <c r="AK45" s="105">
        <f t="shared" ref="AK45:AK59" si="56">+AI45*AG45</f>
        <v>0</v>
      </c>
      <c r="AL45" s="82">
        <f t="shared" si="27"/>
        <v>0.21553994738873328</v>
      </c>
      <c r="AM45" s="82">
        <f t="shared" si="28"/>
        <v>0.31214210112798507</v>
      </c>
      <c r="AN45" s="82">
        <f t="shared" si="29"/>
        <v>0.4723179514832816</v>
      </c>
      <c r="AO45" s="82">
        <f t="shared" si="40"/>
        <v>-8.4737845166694928E-2</v>
      </c>
      <c r="AP45" s="65">
        <f>+AP44*EXP(AO45)</f>
        <v>87.663371673019796</v>
      </c>
      <c r="AQ45" s="81">
        <f>LN(AP45/AP44)</f>
        <v>-8.4737845166694942E-2</v>
      </c>
      <c r="AR45" s="72">
        <f t="shared" si="33"/>
        <v>3.2826907292700443E-2</v>
      </c>
      <c r="AS45" s="72">
        <f t="shared" si="41"/>
        <v>-2.7816813874702992E-3</v>
      </c>
      <c r="AT45" s="64"/>
      <c r="AU45" s="71">
        <f t="shared" si="42"/>
        <v>1.1260206282719988E-2</v>
      </c>
      <c r="AV45" s="67">
        <f t="shared" ref="AV45:AV59" si="57">+AV44*EXP(AU45)</f>
        <v>99.231762599683407</v>
      </c>
      <c r="AW45" s="72">
        <f>LN(AV45/AV44)</f>
        <v>1.1260206282720045E-2</v>
      </c>
      <c r="AX45" s="65">
        <f t="shared" ref="AX45:AX59" si="58">+AX44*EXP(AY45)</f>
        <v>105.67258935558429</v>
      </c>
      <c r="AY45" s="81">
        <f t="shared" si="43"/>
        <v>4.7168021487451757E-2</v>
      </c>
      <c r="AZ45" s="64">
        <f>IFERROR(INDEX('Total Customers'!$F$7:$AB$91,MATCH($C45,'Total Customers'!$D$7:$D$91,0),MATCH($G45,'Total Customers'!$F$5:$AB$5,0)),"NA")</f>
        <v>1558679</v>
      </c>
      <c r="BA45" s="71">
        <f t="shared" si="6"/>
        <v>4.2663414499097788E-2</v>
      </c>
      <c r="BB45" s="64">
        <f>+AZ45+AZ69+AZ93+AZ117+AZ141+AZ165+AZ189+AZ213+AZ237+AZ261+AZ285+AZ309+AZ333+AZ357+AZ381+AZ405+AZ429+AZ453+AZ477+AZ501+AZ525+AZ549+AZ573+AZ597+AZ621+AZ645+AZ669+AZ693+AZ717+AZ741+AZ765+AZ789+AZ813+AZ837+AZ861+AZ885+AZ909+AZ933+AZ957+AZ981+AZ1005+AZ1029+AZ1053+AZ1077+AZ1101+AZ1125+AZ1149+AZ1173+AZ1197+AZ1221+AZ1245+AZ1269+AZ1293+AZ1317</f>
        <v>35419982.461538464</v>
      </c>
      <c r="BC45" s="64">
        <f t="shared" si="44"/>
        <v>8187757</v>
      </c>
      <c r="BD45" s="65">
        <f t="shared" ref="BD45:BD59" si="59">+BD44*EXP(BE45)</f>
        <v>101.94604053136668</v>
      </c>
      <c r="BE45" s="71">
        <f t="shared" si="45"/>
        <v>7.5260360602682399E-3</v>
      </c>
      <c r="BF45" s="81">
        <f>+BE45-AW45</f>
        <v>-3.7341702224518054E-3</v>
      </c>
      <c r="BG45" s="65">
        <f t="shared" ref="BG45:BH59" si="60">+AJ45+AJ69+AJ93+AJ117+AJ141+AJ165+AJ189+AJ213+AJ2237+AJ261+AJ285+AJ309+AJ333+AJ357+AJ381+AJ405+AJ429+AJ453+AJ477+AJ501+AJ525+AJ549+AJ573+AJ597+AJ621+AJ645+AJ669+AJ693+AJ717+AJ741+AJ765+AJ789+AJ813+AJ837+AJ861+AJ885+AJ909+AJ933+AJ957+AJ981+AJ1005+AJ1029+AJ1053+AJ1077+AJ1101+AJ1125+AJ1149+AJ1173+AJ1197+AJ1221+AJ1245+AJ1269+AJ1293+AJ1317+AJ1341+AJ1365+AJ1389+AJ1413+AJ1437+AJ1461</f>
        <v>233.45449802035833</v>
      </c>
      <c r="BH45" s="65">
        <f t="shared" si="60"/>
        <v>323.88994694903158</v>
      </c>
      <c r="BI45" s="65"/>
      <c r="BJ45" s="224" t="s">
        <v>593</v>
      </c>
      <c r="BK45" s="224"/>
      <c r="BL45" s="224"/>
      <c r="BM45" s="224"/>
      <c r="BN45" s="224"/>
      <c r="BO45" s="224"/>
      <c r="BP45" s="65"/>
      <c r="BQ45" s="64"/>
      <c r="BR45" s="64"/>
      <c r="BS45" s="64">
        <f>INDEX('Dist. Plant Gas Additions'!$F$7:$AE$91,MATCH($C45,'Dist. Plant Gas Additions'!$D$7:$D$91,0),MATCH(Calculation!$G45,'Dist. Plant Gas Additions'!$F$5:$AE$5,0))</f>
        <v>90558</v>
      </c>
      <c r="BT45" s="64">
        <f>INDEX('Gen. Plant Additions'!$F$7:$AE$91,MATCH($C45,'Gen. Plant Additions'!$D$7:$D$91,0),MATCH(Calculation!$G45,'Gen. Plant Additions'!$F$5:$AE$5,0))</f>
        <v>41124</v>
      </c>
      <c r="BU45" s="64"/>
      <c r="BV45" s="64"/>
      <c r="BW45" s="64">
        <f>INDEX('Dist Plant Depreciation'!$E$7:$AD$94,MATCH($C45,'Dist Plant Depreciation'!$D$7:$D$94,0),MATCH(Calculation!$G45,'Dist Plant Depreciation'!$E$5:$AD$5,0))</f>
        <v>818382</v>
      </c>
      <c r="BX45" s="64">
        <f>INDEX('Gen. Plant Depreciation'!$E$7:$AD$94,MATCH($C45,'Gen. Plant Depreciation'!$D$7:$D$94,0),MATCH(Calculation!$G45,'Gen. Plant Depreciation'!$E$5:$AD$5,0))</f>
        <v>59329</v>
      </c>
      <c r="BY45" s="69">
        <v>1938</v>
      </c>
      <c r="BZ45" s="69"/>
      <c r="CA45" s="67">
        <v>19.287868472244185</v>
      </c>
      <c r="CB45" s="107"/>
      <c r="CC45" s="64"/>
      <c r="CD45" s="64"/>
      <c r="CE45" s="64">
        <f>INDEX('Gross Dx Plant'!$E$7:$AD$91,MATCH($C45,'Gross Dx Plant'!$D$7:$D$91,0),MATCH(Calculation!$G45,'Gross Dx Plant'!$E$5:$AD$5,0))</f>
        <v>2360198</v>
      </c>
      <c r="CF45" s="64">
        <f>INDEX('Gross Gen Plant'!$E$7:$AD$91,MATCH($C45,'Gross Gen Plant'!$D$7:$D$91,0),MATCH(Calculation!$G45,'Gross Gen Plant'!$E$5:$AD$5,0))</f>
        <v>135388</v>
      </c>
      <c r="CG45" s="64">
        <f t="shared" si="7"/>
        <v>1617875</v>
      </c>
      <c r="CH45" s="64"/>
      <c r="CI45" s="68">
        <v>2007</v>
      </c>
      <c r="CJ45" s="64"/>
      <c r="CK45" s="64"/>
      <c r="CL45" s="64"/>
      <c r="CM45" s="69"/>
      <c r="CN45" s="64">
        <f t="shared" si="8"/>
        <v>131682</v>
      </c>
      <c r="CO45" s="64">
        <f t="shared" si="9"/>
        <v>264.40983849048365</v>
      </c>
      <c r="CP45" s="70">
        <v>0.94915254237288138</v>
      </c>
      <c r="CQ45" s="64">
        <f>+CQ36*CP45+CO37*CP44+CO38*CP43+CO39*CP42+CO40*CP41+CO41*CP40+CO42*CP39+CO43*CP38+CO44*CP37+CO45</f>
        <v>7762.2375222269548</v>
      </c>
      <c r="CR45" s="71">
        <f t="shared" si="10"/>
        <v>2.8222701983817405E-2</v>
      </c>
      <c r="CS45" s="64">
        <f t="shared" si="30"/>
        <v>178953.83764859758</v>
      </c>
      <c r="CT45" s="72">
        <f t="shared" si="11"/>
        <v>6.4139370499853524E-3</v>
      </c>
      <c r="CU45" s="72">
        <f t="shared" si="20"/>
        <v>6.2184525720165472E-3</v>
      </c>
      <c r="CV45" s="71">
        <f>VLOOKUP($H45,RoR!$E:$F,2,FALSE)</f>
        <v>5.5558333333333321E-2</v>
      </c>
      <c r="CW45" s="72">
        <v>2.691120634145272E-2</v>
      </c>
      <c r="CX45" s="72">
        <f t="shared" si="17"/>
        <v>2.86471269918806E-2</v>
      </c>
      <c r="CY45" s="72">
        <f t="shared" si="21"/>
        <v>2.4683489036517077E-2</v>
      </c>
      <c r="CZ45" s="72">
        <f t="shared" si="22"/>
        <v>6.4575155250632399E-2</v>
      </c>
      <c r="DA45" s="124">
        <f t="shared" si="12"/>
        <v>0.86875000000000002</v>
      </c>
      <c r="DB45" s="74">
        <f t="shared" si="13"/>
        <v>0.92303077153834634</v>
      </c>
      <c r="DC45" s="74">
        <f t="shared" si="14"/>
        <v>0.52502249887505614</v>
      </c>
      <c r="DD45" s="74">
        <f t="shared" si="15"/>
        <v>0.88499666072084604</v>
      </c>
      <c r="DE45" s="74">
        <f t="shared" si="16"/>
        <v>0.42887993290280618</v>
      </c>
      <c r="DF45" s="75">
        <f>INDEX('State Tax Lookup'!$D$7:$Z$91,MATCH(Calculation!$C45,'State Tax Lookup'!$B$7:$B$91,0),MATCH($H45,'State Tax Lookup'!$D$6:$Z$6,0))</f>
        <v>0.35</v>
      </c>
      <c r="DG45" s="75">
        <v>0.375</v>
      </c>
      <c r="DH45" s="73">
        <f t="shared" si="18"/>
        <v>16.343664384802718</v>
      </c>
      <c r="DI45" s="73">
        <v>16.108943221861779</v>
      </c>
      <c r="DJ45" s="72">
        <f t="shared" si="23"/>
        <v>7.1014054142626001E-2</v>
      </c>
      <c r="DK45" s="75">
        <f>VLOOKUP($H45,RoR!$E:$F,2,FALSE)</f>
        <v>5.5558333333333321E-2</v>
      </c>
      <c r="DL45" s="76">
        <f>HLOOKUP($H45,'GDP-PI'!$D$8:$CQ$11,3,FALSE)</f>
        <v>2.691120634145272E-2</v>
      </c>
      <c r="DM45" s="75">
        <f>VLOOKUP(H45,'HW Dx Data'!$E:$F,2,FALSE)</f>
        <v>498.0223154772637</v>
      </c>
      <c r="DN45" s="69">
        <f>VLOOKUP(H45,'ECI - Input Price'!$G$17:$H$37,2,FALSE)</f>
        <v>105.22500000000001</v>
      </c>
      <c r="DO45" s="72">
        <f t="shared" si="24"/>
        <v>3.0638025400780679E-2</v>
      </c>
      <c r="DP45" s="69">
        <f>HLOOKUP(H45,'GDP-PI'!$8:$9,2,FALSE)</f>
        <v>92.498000000000005</v>
      </c>
      <c r="DQ45" s="72">
        <f t="shared" si="24"/>
        <v>2.6555467950038037E-2</v>
      </c>
      <c r="DR45">
        <v>32.674999999999997</v>
      </c>
      <c r="DS45">
        <v>0.2217760180995475</v>
      </c>
      <c r="DV45" s="33">
        <v>1.0258771601337193E-2</v>
      </c>
      <c r="DW45" s="33">
        <v>4.2500000000000003E-2</v>
      </c>
      <c r="DX45" s="33">
        <f t="shared" si="0"/>
        <v>4.3599779305683074E-4</v>
      </c>
      <c r="DY45" s="33">
        <v>3.6600000000000001E-2</v>
      </c>
      <c r="DZ45" s="33">
        <f t="shared" si="1"/>
        <v>3.7547104060894128E-4</v>
      </c>
      <c r="EA45" s="33">
        <v>3.4099999999999998E-2</v>
      </c>
      <c r="EB45" s="33">
        <f t="shared" si="2"/>
        <v>3.4982411160559829E-4</v>
      </c>
      <c r="EC45" s="33">
        <v>0.03</v>
      </c>
      <c r="ED45" s="33">
        <f t="shared" si="3"/>
        <v>3.0776314804011577E-4</v>
      </c>
      <c r="EE45" s="33">
        <v>2.5700000000000001E-2</v>
      </c>
      <c r="EF45" s="33">
        <f t="shared" si="4"/>
        <v>2.6365043015436589E-4</v>
      </c>
    </row>
    <row r="46" spans="1:136" ht="21" x14ac:dyDescent="0.35">
      <c r="A46" t="s">
        <v>28</v>
      </c>
      <c r="B46" s="42" t="s">
        <v>28</v>
      </c>
      <c r="C46" s="42">
        <v>4054707</v>
      </c>
      <c r="D46" s="42" t="s">
        <v>132</v>
      </c>
      <c r="E46" s="42"/>
      <c r="F46" s="42"/>
      <c r="G46" s="42" t="s">
        <v>14</v>
      </c>
      <c r="H46" s="11">
        <v>2008</v>
      </c>
      <c r="I46" s="62"/>
      <c r="J46" s="63">
        <f>IFERROR(INDEX('Labor Expenditures'!$F$7:$X$91,MATCH($C46,'Labor Expenditures'!$D$7:$D$91,0),MATCH($G46,'Labor Expenditures'!$F$5:$X$5,0)),"NA")</f>
        <v>54610.978620473994</v>
      </c>
      <c r="K46" s="63">
        <f t="shared" si="25"/>
        <v>504.60594705912678</v>
      </c>
      <c r="L46" s="79">
        <f t="shared" si="31"/>
        <v>-5.8258674738824366E-2</v>
      </c>
      <c r="M46" s="79">
        <f t="shared" si="34"/>
        <v>-2.0343472624261305E-3</v>
      </c>
      <c r="N46" s="65">
        <f t="shared" si="46"/>
        <v>94.753265000542228</v>
      </c>
      <c r="O46" s="71">
        <f t="shared" si="47"/>
        <v>-1.0203553684917984E-2</v>
      </c>
      <c r="P46" s="63">
        <f>IFERROR(INDEX('Non-Labor Expenditures'!$F$7:$AB$91,MATCH($C46,'Non-Labor Expenditures'!$D$7:$D$91,0),MATCH($G46,'Non-Labor Expenditures'!$F$5:$AB$5,0)),"NA")</f>
        <v>79086.896966280299</v>
      </c>
      <c r="Q46" s="63">
        <f t="shared" si="32"/>
        <v>838.99364514852232</v>
      </c>
      <c r="R46" s="79">
        <f t="shared" si="35"/>
        <v>-4.9059529815446749E-2</v>
      </c>
      <c r="S46" s="79">
        <f t="shared" si="48"/>
        <v>-1.7131203314080265E-3</v>
      </c>
      <c r="T46" s="65">
        <f t="shared" si="49"/>
        <v>95.906564522406342</v>
      </c>
      <c r="U46" s="71">
        <f t="shared" si="50"/>
        <v>-9.6790520008073607E-4</v>
      </c>
      <c r="V46" s="63">
        <f t="shared" si="5"/>
        <v>144068.36859424188</v>
      </c>
      <c r="W46" s="79">
        <f t="shared" si="51"/>
        <v>0.15539971481932466</v>
      </c>
      <c r="X46" s="93">
        <v>7952.4143960019819</v>
      </c>
      <c r="Y46" s="81">
        <v>2.4204947043607452E-2</v>
      </c>
      <c r="Z46" s="81">
        <f t="shared" si="52"/>
        <v>8.4521778046072219E-4</v>
      </c>
      <c r="AA46" s="65">
        <f t="shared" si="53"/>
        <v>109.07137936058834</v>
      </c>
      <c r="AB46" s="71">
        <f t="shared" si="54"/>
        <v>2.7883652127613148E-2</v>
      </c>
      <c r="AC46" s="62">
        <f t="shared" si="26"/>
        <v>277766.2441809962</v>
      </c>
      <c r="AD46" s="81">
        <f t="shared" si="36"/>
        <v>6.1788763564922973E-2</v>
      </c>
      <c r="AE46" s="64">
        <f t="shared" si="37"/>
        <v>8982045.499396015</v>
      </c>
      <c r="AF46" s="71">
        <f t="shared" si="38"/>
        <v>6.6762723799883947E-2</v>
      </c>
      <c r="AG46" s="68">
        <f t="shared" si="39"/>
        <v>178.37200938910513</v>
      </c>
      <c r="AH46" s="71">
        <f>+AZ46/$BB$46</f>
        <v>4.3730316285069168E-2</v>
      </c>
      <c r="AI46" s="68"/>
      <c r="AJ46" s="105">
        <f t="shared" si="55"/>
        <v>7.8002643869888946</v>
      </c>
      <c r="AK46" s="105">
        <f t="shared" si="56"/>
        <v>0</v>
      </c>
      <c r="AL46" s="82">
        <f t="shared" si="27"/>
        <v>0.19660768637130993</v>
      </c>
      <c r="AM46" s="82">
        <f t="shared" si="28"/>
        <v>0.28472465111616019</v>
      </c>
      <c r="AN46" s="82">
        <f t="shared" si="29"/>
        <v>0.51866766251252983</v>
      </c>
      <c r="AO46" s="82">
        <f t="shared" si="40"/>
        <v>-1.4653211429713774E-2</v>
      </c>
      <c r="AP46" s="65">
        <f t="shared" ref="AP46:AP59" si="61">+AP45*EXP(AO46)</f>
        <v>86.388187342909816</v>
      </c>
      <c r="AQ46" s="81">
        <f t="shared" ref="AQ46:AQ59" si="62">LN(AP46/AP45)</f>
        <v>-1.4653211429713755E-2</v>
      </c>
      <c r="AR46" s="72">
        <f t="shared" si="33"/>
        <v>3.4919216263435082E-2</v>
      </c>
      <c r="AS46" s="72">
        <f t="shared" si="41"/>
        <v>-5.1167865886801343E-4</v>
      </c>
      <c r="AT46" s="64"/>
      <c r="AU46" s="71">
        <f t="shared" si="42"/>
        <v>6.2847947737416712E-3</v>
      </c>
      <c r="AV46" s="67">
        <f t="shared" si="57"/>
        <v>99.857377734780286</v>
      </c>
      <c r="AW46" s="72">
        <f t="shared" ref="AW46:AW59" si="63">LN(AV46/AV45)</f>
        <v>6.2847947737417215E-3</v>
      </c>
      <c r="AX46" s="65">
        <f t="shared" si="58"/>
        <v>113.84045387355808</v>
      </c>
      <c r="AY46" s="81">
        <f t="shared" si="43"/>
        <v>7.4452406394205653E-2</v>
      </c>
      <c r="AZ46" s="64">
        <f>IFERROR(INDEX('Total Customers'!$F$7:$AB$91,MATCH($C46,'Total Customers'!$D$7:$D$91,0),MATCH($G46,'Total Customers'!$F$5:$AB$5,0)),"NA")</f>
        <v>1557230</v>
      </c>
      <c r="BA46" s="71">
        <f t="shared" si="6"/>
        <v>-9.3006573969363262E-4</v>
      </c>
      <c r="BB46" s="64">
        <f t="shared" ref="BB46:BB59" si="64">+AZ46+AZ70+AZ94+AZ118+AZ142+AZ166+AZ190+AZ214+AZ238+AZ262+AZ286+AZ310+AZ334+AZ358+AZ382+AZ406+AZ430+AZ454+AZ478+AZ502+AZ526+AZ550+AZ574+AZ598+AZ622+AZ646+AZ670+AZ694+AZ718+AZ742+AZ766+AZ790+AZ814+AZ838+AZ862+AZ886+AZ910+AZ934+AZ958+AZ982+AZ1006+AZ1030+AZ1054+AZ1078+AZ1102+AZ1126+AZ1150+AZ1174+AZ1198+AZ1222+AZ1246+AZ1270+AZ1294+AZ1318</f>
        <v>35609849.923076928</v>
      </c>
      <c r="BC46" s="64">
        <f t="shared" si="44"/>
        <v>8244107</v>
      </c>
      <c r="BD46" s="65">
        <f t="shared" si="59"/>
        <v>102.49251838325738</v>
      </c>
      <c r="BE46" s="71">
        <f t="shared" si="45"/>
        <v>5.346145623187931E-3</v>
      </c>
      <c r="BF46" s="81">
        <f t="shared" ref="BF46:BF58" si="65">+BE46-AW46</f>
        <v>-9.3864915055379052E-4</v>
      </c>
      <c r="BG46" s="65">
        <f t="shared" si="60"/>
        <v>248.20142291399691</v>
      </c>
      <c r="BH46" s="65">
        <f t="shared" si="60"/>
        <v>353.17060928116535</v>
      </c>
      <c r="BI46" s="65"/>
      <c r="BJ46" s="73"/>
      <c r="BK46" s="150" t="s">
        <v>496</v>
      </c>
      <c r="BL46" s="88" t="s">
        <v>573</v>
      </c>
      <c r="BM46" s="150" t="s">
        <v>126</v>
      </c>
      <c r="BN46" s="88" t="s">
        <v>576</v>
      </c>
      <c r="BO46" s="88" t="s">
        <v>577</v>
      </c>
      <c r="BP46" s="65"/>
      <c r="BQ46" s="64"/>
      <c r="BR46" s="64"/>
      <c r="BS46" s="64">
        <f>INDEX('Dist. Plant Gas Additions'!$F$7:$AE$91,MATCH($C46,'Dist. Plant Gas Additions'!$D$7:$D$91,0),MATCH(Calculation!$G46,'Dist. Plant Gas Additions'!$F$5:$AE$5,0))</f>
        <v>125734</v>
      </c>
      <c r="BT46" s="64">
        <f>INDEX('Gen. Plant Additions'!$F$7:$AE$91,MATCH($C46,'Gen. Plant Additions'!$D$7:$D$91,0),MATCH(Calculation!$G46,'Gen. Plant Additions'!$F$5:$AE$5,0))</f>
        <v>11912</v>
      </c>
      <c r="BU46" s="64"/>
      <c r="BV46" s="64"/>
      <c r="BW46" s="64">
        <f>INDEX('Dist Plant Depreciation'!$E$7:$AD$94,MATCH($C46,'Dist Plant Depreciation'!$D$7:$D$94,0),MATCH(Calculation!$G46,'Dist Plant Depreciation'!$E$5:$AD$5,0))</f>
        <v>839359</v>
      </c>
      <c r="BX46" s="64">
        <f>INDEX('Gen. Plant Depreciation'!$E$7:$AD$94,MATCH($C46,'Gen. Plant Depreciation'!$D$7:$D$94,0),MATCH(Calculation!$G46,'Gen. Plant Depreciation'!$E$5:$AD$5,0))</f>
        <v>28752</v>
      </c>
      <c r="BY46" s="69">
        <v>1939</v>
      </c>
      <c r="BZ46" s="69"/>
      <c r="CA46" s="67">
        <v>19.424989046754188</v>
      </c>
      <c r="CB46" s="107"/>
      <c r="CC46" s="64"/>
      <c r="CD46" s="64"/>
      <c r="CE46" s="64">
        <f>INDEX('Gross Dx Plant'!$E$7:$AD$91,MATCH($C46,'Gross Dx Plant'!$D$7:$D$91,0),MATCH(Calculation!$G46,'Gross Dx Plant'!$E$5:$AD$5,0))</f>
        <v>2449306</v>
      </c>
      <c r="CF46" s="64">
        <f>INDEX('Gross Gen Plant'!$E$7:$AD$91,MATCH($C46,'Gross Gen Plant'!$D$7:$D$91,0),MATCH(Calculation!$G46,'Gross Gen Plant'!$E$5:$AD$5,0))</f>
        <v>149244</v>
      </c>
      <c r="CG46" s="64">
        <f t="shared" si="7"/>
        <v>1730439</v>
      </c>
      <c r="CH46" s="64"/>
      <c r="CI46" s="68">
        <v>2008</v>
      </c>
      <c r="CJ46" s="64"/>
      <c r="CK46" s="64"/>
      <c r="CL46" s="64"/>
      <c r="CM46" s="69"/>
      <c r="CN46" s="64">
        <f t="shared" si="8"/>
        <v>137646</v>
      </c>
      <c r="CO46" s="64">
        <f t="shared" si="9"/>
        <v>241.53454999822043</v>
      </c>
      <c r="CP46" s="70">
        <v>0.94252873563218387</v>
      </c>
      <c r="CQ46" s="64">
        <f>+CQ36*CP46+CO37*CP45+CO38*CP44+CO39*CP43+CO40*CP42+CO41*CP41+CO42*CP40+CO43*CP39+CO44*CP38+CO45*CP37+CO46</f>
        <v>7952.4143960019819</v>
      </c>
      <c r="CR46" s="71">
        <f t="shared" si="10"/>
        <v>2.4204947043607452E-2</v>
      </c>
      <c r="CS46" s="64">
        <f t="shared" si="30"/>
        <v>184035.38619242675</v>
      </c>
      <c r="CT46" s="72">
        <f t="shared" si="11"/>
        <v>6.6163494837837627E-3</v>
      </c>
      <c r="CU46" s="72">
        <f t="shared" si="20"/>
        <v>6.4130327877720212E-3</v>
      </c>
      <c r="CV46" s="71">
        <f>VLOOKUP($H46,RoR!$E:$F,2,FALSE)</f>
        <v>5.6316666666666668E-2</v>
      </c>
      <c r="CW46" s="72">
        <v>1.9092304698479889E-2</v>
      </c>
      <c r="CX46" s="72">
        <f t="shared" si="17"/>
        <v>3.7224361968186778E-2</v>
      </c>
      <c r="CY46" s="72">
        <f t="shared" si="21"/>
        <v>2.4488908820761605E-2</v>
      </c>
      <c r="CZ46" s="72">
        <f t="shared" si="22"/>
        <v>6.9030581091053131E-2</v>
      </c>
      <c r="DA46" s="124">
        <f t="shared" si="12"/>
        <v>0.86875000000000002</v>
      </c>
      <c r="DB46" s="74">
        <f t="shared" si="13"/>
        <v>0.91060168006009956</v>
      </c>
      <c r="DC46" s="74">
        <f t="shared" si="14"/>
        <v>0.53108168097070152</v>
      </c>
      <c r="DD46" s="74">
        <f t="shared" si="15"/>
        <v>0.88825329850328805</v>
      </c>
      <c r="DE46" s="74">
        <f t="shared" si="16"/>
        <v>0.4295627335323573</v>
      </c>
      <c r="DF46" s="75">
        <f>INDEX('State Tax Lookup'!$D$7:$Z$91,MATCH(Calculation!$C46,'State Tax Lookup'!$B$7:$B$91,0),MATCH($H46,'State Tax Lookup'!$D$6:$Z$6,0))</f>
        <v>0.35</v>
      </c>
      <c r="DG46" s="75">
        <v>0.375</v>
      </c>
      <c r="DH46" s="73">
        <f t="shared" si="18"/>
        <v>18.560159771162123</v>
      </c>
      <c r="DI46" s="73">
        <v>18.300102035478151</v>
      </c>
      <c r="DJ46" s="72">
        <f t="shared" si="23"/>
        <v>0.12717701283550745</v>
      </c>
      <c r="DK46" s="75">
        <f>VLOOKUP($H46,RoR!$E:$F,2,FALSE)</f>
        <v>5.6316666666666668E-2</v>
      </c>
      <c r="DL46" s="76">
        <f>HLOOKUP($H46,'GDP-PI'!$D$8:$CQ$11,3,FALSE)</f>
        <v>1.9092304698479889E-2</v>
      </c>
      <c r="DM46" s="75">
        <f>VLOOKUP(H46,'HW Dx Data'!$E:$F,2,FALSE)</f>
        <v>569.88120333515076</v>
      </c>
      <c r="DN46" s="69">
        <f>VLOOKUP(H46,'ECI - Input Price'!$G$17:$H$37,2,FALSE)</f>
        <v>108.22499999999999</v>
      </c>
      <c r="DO46" s="72">
        <f t="shared" si="24"/>
        <v>2.8111478671409691E-2</v>
      </c>
      <c r="DP46" s="69">
        <f>HLOOKUP(H46,'GDP-PI'!$8:$9,2,FALSE)</f>
        <v>94.263999999999996</v>
      </c>
      <c r="DQ46" s="72">
        <f t="shared" si="24"/>
        <v>1.8912333748032254E-2</v>
      </c>
      <c r="DR46">
        <v>32.658333333333331</v>
      </c>
      <c r="DS46">
        <v>0.24629210658622422</v>
      </c>
      <c r="DV46" s="33">
        <v>7.8947970301827992E-3</v>
      </c>
      <c r="DW46" s="33">
        <v>2.4799999999999999E-2</v>
      </c>
      <c r="DX46" s="33">
        <f t="shared" si="0"/>
        <v>1.9579096634853341E-4</v>
      </c>
      <c r="DY46" s="33">
        <v>1.72E-2</v>
      </c>
      <c r="DZ46" s="33">
        <f t="shared" si="1"/>
        <v>1.3579050891914416E-4</v>
      </c>
      <c r="EA46" s="33">
        <v>1.38E-2</v>
      </c>
      <c r="EB46" s="33">
        <f t="shared" si="2"/>
        <v>1.0894819901652262E-4</v>
      </c>
      <c r="EC46" s="33">
        <v>8.3000000000000001E-3</v>
      </c>
      <c r="ED46" s="33">
        <f t="shared" si="3"/>
        <v>6.5526815350517228E-5</v>
      </c>
      <c r="EE46" s="33">
        <v>2.3999999999999998E-3</v>
      </c>
      <c r="EF46" s="33">
        <f t="shared" si="4"/>
        <v>1.8947512872438715E-5</v>
      </c>
    </row>
    <row r="47" spans="1:136" ht="21" x14ac:dyDescent="0.35">
      <c r="A47" t="s">
        <v>28</v>
      </c>
      <c r="B47" s="42" t="s">
        <v>28</v>
      </c>
      <c r="C47" s="42">
        <v>4054707</v>
      </c>
      <c r="D47" s="42" t="s">
        <v>132</v>
      </c>
      <c r="E47" s="42"/>
      <c r="F47" s="42"/>
      <c r="G47" s="42" t="s">
        <v>15</v>
      </c>
      <c r="H47" s="11">
        <v>2009</v>
      </c>
      <c r="I47" s="62"/>
      <c r="J47" s="63">
        <f>IFERROR(INDEX('Labor Expenditures'!$F$7:$X$91,MATCH($C47,'Labor Expenditures'!$D$7:$D$91,0),MATCH($G47,'Labor Expenditures'!$F$5:$X$5,0)),"NA")</f>
        <v>59435.214788812809</v>
      </c>
      <c r="K47" s="63">
        <f t="shared" si="25"/>
        <v>541.4275999891853</v>
      </c>
      <c r="L47" s="79">
        <f t="shared" si="31"/>
        <v>7.0431532976911029E-2</v>
      </c>
      <c r="M47" s="79">
        <f t="shared" si="34"/>
        <v>2.541331459616917E-3</v>
      </c>
      <c r="N47" s="65">
        <f t="shared" si="46"/>
        <v>101.0183485648283</v>
      </c>
      <c r="O47" s="71">
        <f t="shared" si="47"/>
        <v>6.4025866822689056E-2</v>
      </c>
      <c r="P47" s="63">
        <f>IFERROR(INDEX('Non-Labor Expenditures'!$F$7:$AB$91,MATCH($C47,'Non-Labor Expenditures'!$D$7:$D$91,0),MATCH($G47,'Non-Labor Expenditures'!$F$5:$AB$5,0)),"NA")</f>
        <v>86073.291981061731</v>
      </c>
      <c r="Q47" s="63">
        <f t="shared" si="32"/>
        <v>906.04418973948918</v>
      </c>
      <c r="R47" s="79">
        <f t="shared" si="35"/>
        <v>7.6884947278337903E-2</v>
      </c>
      <c r="S47" s="79">
        <f t="shared" si="48"/>
        <v>2.7741854682260185E-3</v>
      </c>
      <c r="T47" s="65">
        <f t="shared" si="49"/>
        <v>102.9134833433765</v>
      </c>
      <c r="U47" s="71">
        <f t="shared" si="50"/>
        <v>7.0514236426884855E-2</v>
      </c>
      <c r="V47" s="63">
        <f t="shared" si="5"/>
        <v>141509.50416095779</v>
      </c>
      <c r="W47" s="79">
        <f t="shared" si="51"/>
        <v>-1.7921086764266462E-2</v>
      </c>
      <c r="X47" s="93">
        <v>8245.8869175046984</v>
      </c>
      <c r="Y47" s="81">
        <v>3.6238940402753154E-2</v>
      </c>
      <c r="Z47" s="81">
        <f t="shared" si="52"/>
        <v>1.3075841944103349E-3</v>
      </c>
      <c r="AA47" s="65">
        <f t="shared" si="53"/>
        <v>112.01083001090085</v>
      </c>
      <c r="AB47" s="71">
        <f t="shared" si="54"/>
        <v>2.659303872285183E-2</v>
      </c>
      <c r="AC47" s="62">
        <f t="shared" si="26"/>
        <v>287018.01093083236</v>
      </c>
      <c r="AD47" s="81">
        <f t="shared" si="36"/>
        <v>3.2765057937472926E-2</v>
      </c>
      <c r="AE47" s="64">
        <f t="shared" si="37"/>
        <v>9368885.4773958828</v>
      </c>
      <c r="AF47" s="71">
        <f t="shared" si="38"/>
        <v>4.2166503054418873E-2</v>
      </c>
      <c r="AG47" s="68">
        <f t="shared" si="39"/>
        <v>189.49723723158107</v>
      </c>
      <c r="AH47" s="71">
        <f>+AZ47/$BB$47</f>
        <v>4.2472619163460124E-2</v>
      </c>
      <c r="AI47" s="68"/>
      <c r="AJ47" s="105">
        <f t="shared" si="55"/>
        <v>8.0484439894647988</v>
      </c>
      <c r="AK47" s="105">
        <f t="shared" si="56"/>
        <v>0</v>
      </c>
      <c r="AL47" s="82">
        <f t="shared" si="27"/>
        <v>0.20707834534863365</v>
      </c>
      <c r="AM47" s="82">
        <f t="shared" si="28"/>
        <v>0.29988812096466061</v>
      </c>
      <c r="AN47" s="82">
        <f t="shared" si="29"/>
        <v>0.49303353368670566</v>
      </c>
      <c r="AO47" s="82">
        <f t="shared" si="40"/>
        <v>5.5021563784768301E-2</v>
      </c>
      <c r="AP47" s="65">
        <f t="shared" si="61"/>
        <v>91.274596760518008</v>
      </c>
      <c r="AQ47" s="81">
        <f t="shared" si="62"/>
        <v>5.5021563784768385E-2</v>
      </c>
      <c r="AR47" s="72">
        <f t="shared" si="33"/>
        <v>3.6082296553874814E-2</v>
      </c>
      <c r="AS47" s="72">
        <f t="shared" si="41"/>
        <v>1.9853043813399516E-3</v>
      </c>
      <c r="AT47" s="64"/>
      <c r="AU47" s="71">
        <f t="shared" si="42"/>
        <v>5.270588320612702E-2</v>
      </c>
      <c r="AV47" s="67">
        <f t="shared" si="57"/>
        <v>105.26161560527612</v>
      </c>
      <c r="AW47" s="72">
        <f t="shared" si="63"/>
        <v>5.2705883206127006E-2</v>
      </c>
      <c r="AX47" s="65">
        <f t="shared" si="58"/>
        <v>112.01458664161007</v>
      </c>
      <c r="AY47" s="81">
        <f t="shared" si="43"/>
        <v>-1.6168840029961121E-2</v>
      </c>
      <c r="AZ47" s="64">
        <f>IFERROR(INDEX('Total Customers'!$F$7:$AB$91,MATCH($C47,'Total Customers'!$D$7:$D$91,0),MATCH($G47,'Total Customers'!$F$5:$AB$5,0)),"NA")</f>
        <v>1514629</v>
      </c>
      <c r="BA47" s="71">
        <f t="shared" si="6"/>
        <v>-2.773807743286856E-2</v>
      </c>
      <c r="BB47" s="64">
        <f t="shared" si="64"/>
        <v>35661304.384615384</v>
      </c>
      <c r="BC47" s="64">
        <f t="shared" si="44"/>
        <v>8336812</v>
      </c>
      <c r="BD47" s="65">
        <f t="shared" si="59"/>
        <v>102.64061497328858</v>
      </c>
      <c r="BE47" s="71">
        <f t="shared" si="45"/>
        <v>1.4439073136366871E-3</v>
      </c>
      <c r="BF47" s="81">
        <f t="shared" si="65"/>
        <v>-5.1261975892490319E-2</v>
      </c>
      <c r="BG47" s="65">
        <f t="shared" si="60"/>
        <v>258.57197805524214</v>
      </c>
      <c r="BH47" s="65">
        <f t="shared" si="60"/>
        <v>364.16681190378745</v>
      </c>
      <c r="BI47" s="65"/>
      <c r="BJ47" s="16"/>
      <c r="BK47" s="99"/>
      <c r="BL47" s="65"/>
      <c r="BM47" s="73"/>
      <c r="BN47" s="62"/>
      <c r="BO47" s="65"/>
      <c r="BP47" s="65"/>
      <c r="BQ47" s="64"/>
      <c r="BR47" s="64"/>
      <c r="BS47" s="64">
        <f>INDEX('Dist. Plant Gas Additions'!$F$7:$AE$91,MATCH($C47,'Dist. Plant Gas Additions'!$D$7:$D$91,0),MATCH(Calculation!$G47,'Dist. Plant Gas Additions'!$F$5:$AE$5,0))</f>
        <v>175450</v>
      </c>
      <c r="BT47" s="64">
        <f>INDEX('Gen. Plant Additions'!$F$7:$AE$91,MATCH($C47,'Gen. Plant Additions'!$D$7:$D$91,0),MATCH(Calculation!$G47,'Gen. Plant Additions'!$F$5:$AE$5,0))</f>
        <v>16166</v>
      </c>
      <c r="BU47" s="64"/>
      <c r="BV47" s="64"/>
      <c r="BW47" s="64">
        <f>INDEX('Dist Plant Depreciation'!$E$7:$AD$94,MATCH($C47,'Dist Plant Depreciation'!$D$7:$D$94,0),MATCH(Calculation!$G47,'Dist Plant Depreciation'!$E$5:$AD$5,0))</f>
        <v>878304</v>
      </c>
      <c r="BX47" s="64">
        <f>INDEX('Gen. Plant Depreciation'!$E$7:$AD$94,MATCH($C47,'Gen. Plant Depreciation'!$D$7:$D$94,0),MATCH(Calculation!$G47,'Gen. Plant Depreciation'!$E$5:$AD$5,0))</f>
        <v>54558</v>
      </c>
      <c r="BY47" s="69">
        <v>1940</v>
      </c>
      <c r="BZ47" s="69"/>
      <c r="CA47" s="67">
        <v>20.173223881565029</v>
      </c>
      <c r="CB47" s="107"/>
      <c r="CC47" s="64"/>
      <c r="CD47" s="64"/>
      <c r="CE47" s="64">
        <f>INDEX('Gross Dx Plant'!$E$7:$AD$91,MATCH($C47,'Gross Dx Plant'!$D$7:$D$91,0),MATCH(Calculation!$G47,'Gross Dx Plant'!$E$5:$AD$5,0))</f>
        <v>2612180</v>
      </c>
      <c r="CF47" s="64">
        <f>INDEX('Gross Gen Plant'!$E$7:$AD$91,MATCH($C47,'Gross Gen Plant'!$D$7:$D$91,0),MATCH(Calculation!$G47,'Gross Gen Plant'!$E$5:$AD$5,0))</f>
        <v>155561</v>
      </c>
      <c r="CG47" s="64">
        <f t="shared" si="7"/>
        <v>1834879</v>
      </c>
      <c r="CH47" s="64"/>
      <c r="CI47" s="68">
        <v>2009</v>
      </c>
      <c r="CJ47" s="64"/>
      <c r="CK47" s="64"/>
      <c r="CL47" s="64"/>
      <c r="CM47" s="69"/>
      <c r="CN47" s="64">
        <f t="shared" si="8"/>
        <v>191616</v>
      </c>
      <c r="CO47" s="64">
        <f t="shared" si="9"/>
        <v>347.79790634799008</v>
      </c>
      <c r="CP47" s="70">
        <v>0.93567251461988299</v>
      </c>
      <c r="CQ47" s="64">
        <f>+CQ36*CP47+CO37*CP46+CO38*CP45+CO39*CP44+CO40*CP43+CO41*CP42+CO42*CP41+CO43*CP40+CO44*CP39+CO45*CP38+CO46*CP37+CO47</f>
        <v>8245.8869175046984</v>
      </c>
      <c r="CR47" s="71">
        <f t="shared" si="10"/>
        <v>3.6238940402753154E-2</v>
      </c>
      <c r="CS47" s="64">
        <f t="shared" si="30"/>
        <v>189004.65360771559</v>
      </c>
      <c r="CT47" s="72">
        <f t="shared" si="11"/>
        <v>6.8313070899053314E-3</v>
      </c>
      <c r="CU47" s="72">
        <f t="shared" si="20"/>
        <v>6.6205312078914834E-3</v>
      </c>
      <c r="CV47" s="71">
        <f>VLOOKUP($H47,RoR!$E:$F,2,FALSE)</f>
        <v>5.3133333333333324E-2</v>
      </c>
      <c r="CW47" s="72">
        <v>7.7972502758210105E-3</v>
      </c>
      <c r="CX47" s="72">
        <f t="shared" si="17"/>
        <v>4.5336083057512314E-2</v>
      </c>
      <c r="CY47" s="72">
        <f t="shared" si="21"/>
        <v>2.4281410400642141E-2</v>
      </c>
      <c r="CZ47" s="72">
        <f t="shared" si="22"/>
        <v>6.3720160300892073E-2</v>
      </c>
      <c r="DA47" s="124">
        <f t="shared" si="12"/>
        <v>0.86875000000000002</v>
      </c>
      <c r="DB47" s="74">
        <f t="shared" si="13"/>
        <v>0.96515780330083989</v>
      </c>
      <c r="DC47" s="74">
        <f t="shared" si="14"/>
        <v>0.50448557089084056</v>
      </c>
      <c r="DD47" s="74">
        <f t="shared" si="15"/>
        <v>0.87391435735465484</v>
      </c>
      <c r="DE47" s="74">
        <f t="shared" si="16"/>
        <v>0.42551605393279146</v>
      </c>
      <c r="DF47" s="75">
        <f>INDEX('State Tax Lookup'!$D$7:$Z$91,MATCH(Calculation!$C47,'State Tax Lookup'!$B$7:$B$91,0),MATCH($H47,'State Tax Lookup'!$D$6:$Z$6,0))</f>
        <v>0.35</v>
      </c>
      <c r="DG47" s="75">
        <v>0.375</v>
      </c>
      <c r="DH47" s="73">
        <f t="shared" si="18"/>
        <v>17.794533473016781</v>
      </c>
      <c r="DI47" s="73">
        <v>17.478615056163342</v>
      </c>
      <c r="DJ47" s="72">
        <f t="shared" si="23"/>
        <v>-4.2126033807873928E-2</v>
      </c>
      <c r="DK47" s="75">
        <f>VLOOKUP($H47,RoR!$E:$F,2,FALSE)</f>
        <v>5.3133333333333324E-2</v>
      </c>
      <c r="DL47" s="76">
        <f>HLOOKUP($H47,'GDP-PI'!$D$8:$CQ$11,3,FALSE)</f>
        <v>7.7972502758210105E-3</v>
      </c>
      <c r="DM47" s="75">
        <f>VLOOKUP(H47,'HW Dx Data'!$E:$F,2,FALSE)</f>
        <v>550.94063679692806</v>
      </c>
      <c r="DN47" s="69">
        <f>VLOOKUP(H47,'ECI - Input Price'!$G$17:$H$37,2,FALSE)</f>
        <v>109.77499999999999</v>
      </c>
      <c r="DO47" s="72">
        <f t="shared" si="24"/>
        <v>1.4220423119736749E-2</v>
      </c>
      <c r="DP47" s="69">
        <f>HLOOKUP(H47,'GDP-PI'!$8:$9,2,FALSE)</f>
        <v>94.998999999999995</v>
      </c>
      <c r="DQ47" s="72">
        <f t="shared" si="24"/>
        <v>7.7670088183096342E-3</v>
      </c>
      <c r="DR47">
        <v>32.633333333333333</v>
      </c>
      <c r="DS47">
        <v>0.27071392659627952</v>
      </c>
      <c r="DV47" s="33">
        <v>5.1851356378726017E-2</v>
      </c>
      <c r="DW47" s="33">
        <v>5.62E-2</v>
      </c>
      <c r="DX47" s="33">
        <f t="shared" si="0"/>
        <v>2.914046228484402E-3</v>
      </c>
      <c r="DY47" s="33">
        <v>5.1499999999999997E-2</v>
      </c>
      <c r="DZ47" s="33">
        <f t="shared" si="1"/>
        <v>2.6703448535043898E-3</v>
      </c>
      <c r="EA47" s="33">
        <v>4.9500000000000002E-2</v>
      </c>
      <c r="EB47" s="33">
        <f t="shared" si="2"/>
        <v>2.566642140746938E-3</v>
      </c>
      <c r="EC47" s="33">
        <v>4.6399999999999997E-2</v>
      </c>
      <c r="ED47" s="33">
        <f t="shared" si="3"/>
        <v>2.405902935972887E-3</v>
      </c>
      <c r="EE47" s="33">
        <v>4.3200000000000002E-2</v>
      </c>
      <c r="EF47" s="33">
        <f t="shared" si="4"/>
        <v>2.2399785955609639E-3</v>
      </c>
    </row>
    <row r="48" spans="1:136" ht="21" x14ac:dyDescent="0.35">
      <c r="A48" t="s">
        <v>28</v>
      </c>
      <c r="B48" s="42" t="s">
        <v>28</v>
      </c>
      <c r="C48" s="42">
        <v>4054707</v>
      </c>
      <c r="D48" s="42" t="s">
        <v>132</v>
      </c>
      <c r="E48" s="42"/>
      <c r="F48" s="42"/>
      <c r="G48" s="42" t="s">
        <v>16</v>
      </c>
      <c r="H48" s="11">
        <v>2010</v>
      </c>
      <c r="I48" s="62"/>
      <c r="J48" s="63">
        <f>IFERROR(INDEX('Labor Expenditures'!$F$7:$X$91,MATCH($C48,'Labor Expenditures'!$D$7:$D$91,0),MATCH($G48,'Labor Expenditures'!$F$5:$X$5,0)),"NA")</f>
        <v>61005.110244989701</v>
      </c>
      <c r="K48" s="63">
        <f t="shared" si="25"/>
        <v>545.29707481555045</v>
      </c>
      <c r="L48" s="79">
        <f t="shared" si="31"/>
        <v>7.1213827552446402E-3</v>
      </c>
      <c r="M48" s="79">
        <f t="shared" si="34"/>
        <v>2.6840283234237232E-4</v>
      </c>
      <c r="N48" s="65">
        <f t="shared" si="46"/>
        <v>102.19341135247495</v>
      </c>
      <c r="O48" s="71">
        <f t="shared" si="47"/>
        <v>1.1565038215901675E-2</v>
      </c>
      <c r="P48" s="63">
        <f>IFERROR(INDEX('Non-Labor Expenditures'!$F$7:$AB$91,MATCH($C48,'Non-Labor Expenditures'!$D$7:$D$91,0),MATCH($G48,'Non-Labor Expenditures'!$F$5:$AB$5,0)),"NA")</f>
        <v>88346.793817631013</v>
      </c>
      <c r="Q48" s="63">
        <f t="shared" si="32"/>
        <v>919.23538708790034</v>
      </c>
      <c r="R48" s="79">
        <f t="shared" si="35"/>
        <v>1.4454144095332433E-2</v>
      </c>
      <c r="S48" s="79">
        <f t="shared" si="48"/>
        <v>5.4477246169851862E-4</v>
      </c>
      <c r="T48" s="65">
        <f t="shared" si="49"/>
        <v>104.88202824098511</v>
      </c>
      <c r="U48" s="71">
        <f t="shared" si="50"/>
        <v>1.894751023141817E-2</v>
      </c>
      <c r="V48" s="63">
        <f t="shared" si="5"/>
        <v>150452.31806933827</v>
      </c>
      <c r="W48" s="79">
        <f t="shared" si="51"/>
        <v>6.1279328487303379E-2</v>
      </c>
      <c r="X48" s="93">
        <v>8398.9977924598425</v>
      </c>
      <c r="Y48" s="81">
        <v>1.8397867737244694E-2</v>
      </c>
      <c r="Z48" s="81">
        <f t="shared" si="52"/>
        <v>6.934102518362941E-4</v>
      </c>
      <c r="AA48" s="65">
        <f t="shared" si="53"/>
        <v>115.12926621348414</v>
      </c>
      <c r="AB48" s="71">
        <f t="shared" si="54"/>
        <v>2.7459987971642445E-2</v>
      </c>
      <c r="AC48" s="62">
        <f t="shared" si="26"/>
        <v>299804.22213195899</v>
      </c>
      <c r="AD48" s="81">
        <f t="shared" si="36"/>
        <v>4.3584699084188328E-2</v>
      </c>
      <c r="AE48" s="64">
        <f t="shared" si="37"/>
        <v>9711158.6538490895</v>
      </c>
      <c r="AF48" s="71">
        <f t="shared" si="38"/>
        <v>3.5881457691749767E-2</v>
      </c>
      <c r="AG48" s="68">
        <f t="shared" si="39"/>
        <v>198.15884218963029</v>
      </c>
      <c r="AH48" s="71">
        <f>+AZ48/$BB$48</f>
        <v>4.2191951810288703E-2</v>
      </c>
      <c r="AI48" s="68"/>
      <c r="AJ48" s="105">
        <f t="shared" si="55"/>
        <v>8.3607083204474844</v>
      </c>
      <c r="AK48" s="105">
        <f t="shared" si="56"/>
        <v>0</v>
      </c>
      <c r="AL48" s="82">
        <f t="shared" si="27"/>
        <v>0.2034831591468991</v>
      </c>
      <c r="AM48" s="82">
        <f t="shared" si="28"/>
        <v>0.29468161985639124</v>
      </c>
      <c r="AN48" s="82">
        <f t="shared" si="29"/>
        <v>0.50183522099670963</v>
      </c>
      <c r="AO48" s="82">
        <f t="shared" si="40"/>
        <v>1.4910613045608269E-2</v>
      </c>
      <c r="AP48" s="65">
        <f t="shared" si="61"/>
        <v>92.645753947218637</v>
      </c>
      <c r="AQ48" s="81">
        <f t="shared" si="62"/>
        <v>1.4910613045608194E-2</v>
      </c>
      <c r="AR48" s="72">
        <f t="shared" si="33"/>
        <v>3.7689707401937264E-2</v>
      </c>
      <c r="AS48" s="72">
        <f t="shared" si="41"/>
        <v>5.6197664287248143E-4</v>
      </c>
      <c r="AT48" s="64"/>
      <c r="AU48" s="71">
        <f t="shared" si="42"/>
        <v>1.8779850820603683E-2</v>
      </c>
      <c r="AV48" s="67">
        <f t="shared" si="57"/>
        <v>107.25709176864622</v>
      </c>
      <c r="AW48" s="72">
        <f t="shared" si="63"/>
        <v>1.8779850820603752E-2</v>
      </c>
      <c r="AX48" s="65">
        <f t="shared" si="58"/>
        <v>114.25450139517041</v>
      </c>
      <c r="AY48" s="81">
        <f t="shared" si="43"/>
        <v>1.9799327831866706E-2</v>
      </c>
      <c r="AZ48" s="64">
        <f>IFERROR(INDEX('Total Customers'!$F$7:$AB$91,MATCH($C48,'Total Customers'!$D$7:$D$91,0),MATCH($G48,'Total Customers'!$F$5:$AB$5,0)),"NA")</f>
        <v>1512949</v>
      </c>
      <c r="BA48" s="71">
        <f t="shared" si="6"/>
        <v>-1.1097981108537996E-3</v>
      </c>
      <c r="BB48" s="64">
        <f t="shared" si="64"/>
        <v>35858710.846153848</v>
      </c>
      <c r="BC48" s="64">
        <f t="shared" si="44"/>
        <v>8403441</v>
      </c>
      <c r="BD48" s="65">
        <f t="shared" si="59"/>
        <v>103.20879162755448</v>
      </c>
      <c r="BE48" s="71">
        <f t="shared" si="45"/>
        <v>5.5203277632215695E-3</v>
      </c>
      <c r="BF48" s="81">
        <f t="shared" si="65"/>
        <v>-1.3259523057382183E-2</v>
      </c>
      <c r="BG48" s="65">
        <f t="shared" si="60"/>
        <v>266.56645347337098</v>
      </c>
      <c r="BH48" s="65">
        <f t="shared" si="60"/>
        <v>377.01149950941709</v>
      </c>
      <c r="BI48" s="65"/>
      <c r="BJ48" s="149">
        <v>2019</v>
      </c>
      <c r="BK48" s="151">
        <v>210.07</v>
      </c>
      <c r="BL48" s="111">
        <v>342.11934221477202</v>
      </c>
      <c r="BM48" s="65">
        <v>473.70098852446506</v>
      </c>
      <c r="BN48" s="111"/>
      <c r="BO48" s="111"/>
      <c r="BP48" s="65"/>
      <c r="BQ48" s="64"/>
      <c r="BR48" s="64"/>
      <c r="BS48" s="64">
        <f>INDEX('Dist. Plant Gas Additions'!$F$7:$AE$91,MATCH($C48,'Dist. Plant Gas Additions'!$D$7:$D$91,0),MATCH(Calculation!$G48,'Dist. Plant Gas Additions'!$F$5:$AE$5,0))</f>
        <v>112536</v>
      </c>
      <c r="BT48" s="64">
        <f>INDEX('Gen. Plant Additions'!$F$7:$AE$91,MATCH($C48,'Gen. Plant Additions'!$D$7:$D$91,0),MATCH(Calculation!$G48,'Gen. Plant Additions'!$F$5:$AE$5,0))</f>
        <v>7556</v>
      </c>
      <c r="BU48" s="64"/>
      <c r="BV48" s="64"/>
      <c r="BW48" s="64">
        <f>INDEX('Dist Plant Depreciation'!$E$7:$AD$94,MATCH($C48,'Dist Plant Depreciation'!$D$7:$D$94,0),MATCH(Calculation!$G48,'Dist Plant Depreciation'!$E$5:$AD$5,0))</f>
        <v>918267</v>
      </c>
      <c r="BX48" s="64">
        <f>INDEX('Gen. Plant Depreciation'!$E$7:$AD$94,MATCH($C48,'Gen. Plant Depreciation'!$D$7:$D$94,0),MATCH(Calculation!$G48,'Gen. Plant Depreciation'!$E$5:$AD$5,0))</f>
        <v>71779</v>
      </c>
      <c r="BY48" s="69">
        <v>1941</v>
      </c>
      <c r="BZ48" s="69"/>
      <c r="CA48" s="67">
        <v>20.877776802788329</v>
      </c>
      <c r="CB48" s="107"/>
      <c r="CC48" s="64"/>
      <c r="CD48" s="64"/>
      <c r="CE48" s="64">
        <f>INDEX('Gross Dx Plant'!$E$7:$AD$91,MATCH($C48,'Gross Dx Plant'!$D$7:$D$91,0),MATCH(Calculation!$G48,'Gross Dx Plant'!$E$5:$AD$5,0))</f>
        <v>2723387</v>
      </c>
      <c r="CF48" s="64">
        <f>INDEX('Gross Gen Plant'!$E$7:$AD$91,MATCH($C48,'Gross Gen Plant'!$D$7:$D$91,0),MATCH(Calculation!$G48,'Gross Gen Plant'!$E$5:$AD$5,0))</f>
        <v>154932</v>
      </c>
      <c r="CG48" s="64">
        <f t="shared" si="7"/>
        <v>1888273</v>
      </c>
      <c r="CH48" s="64"/>
      <c r="CI48" s="68">
        <v>2010</v>
      </c>
      <c r="CJ48" s="64"/>
      <c r="CK48" s="64"/>
      <c r="CL48" s="64"/>
      <c r="CM48" s="69"/>
      <c r="CN48" s="64">
        <f t="shared" si="8"/>
        <v>120092</v>
      </c>
      <c r="CO48" s="64">
        <f t="shared" si="9"/>
        <v>211.06189032480717</v>
      </c>
      <c r="CP48" s="70">
        <v>0.9285714285714286</v>
      </c>
      <c r="CQ48" s="64">
        <f>+CQ36*CP48+CO37*CP47+CO38*CP46+CO39*CP45+CO40*CP44+CO41*CP43+CO42*CP42+CO43*CP41+CO44*CP40+CO45*CP39+CO46*CP38+CO47*CP37+CO48</f>
        <v>8398.9977924598425</v>
      </c>
      <c r="CR48" s="71">
        <f t="shared" si="10"/>
        <v>1.8397867737244694E-2</v>
      </c>
      <c r="CS48" s="64">
        <f t="shared" si="30"/>
        <v>194178.87684337929</v>
      </c>
      <c r="CT48" s="72">
        <f t="shared" si="11"/>
        <v>7.0278692819134361E-3</v>
      </c>
      <c r="CU48" s="72">
        <f t="shared" si="20"/>
        <v>6.825175285200844E-3</v>
      </c>
      <c r="CV48" s="71">
        <f>VLOOKUP($H48,RoR!$E:$F,2,FALSE)</f>
        <v>4.9433333333333322E-2</v>
      </c>
      <c r="CW48" s="72">
        <v>1.1684333519300205E-2</v>
      </c>
      <c r="CX48" s="72">
        <f t="shared" si="17"/>
        <v>3.7748999814033117E-2</v>
      </c>
      <c r="CY48" s="72">
        <f t="shared" si="21"/>
        <v>2.407676632333278E-2</v>
      </c>
      <c r="CZ48" s="72">
        <f t="shared" si="22"/>
        <v>4.7937530248493419E-2</v>
      </c>
      <c r="DA48" s="124">
        <f t="shared" si="12"/>
        <v>0.86875000000000002</v>
      </c>
      <c r="DB48" s="74">
        <f t="shared" si="13"/>
        <v>1.037398205301105</v>
      </c>
      <c r="DC48" s="74">
        <f t="shared" si="14"/>
        <v>0.46926837491571133</v>
      </c>
      <c r="DD48" s="74">
        <f t="shared" si="15"/>
        <v>0.8548537519972772</v>
      </c>
      <c r="DE48" s="74">
        <f t="shared" si="16"/>
        <v>0.41615833911547367</v>
      </c>
      <c r="DF48" s="75">
        <f>INDEX('State Tax Lookup'!$D$7:$Z$91,MATCH(Calculation!$C48,'State Tax Lookup'!$B$7:$B$91,0),MATCH($H48,'State Tax Lookup'!$D$6:$Z$6,0))</f>
        <v>0.35</v>
      </c>
      <c r="DG48" s="75">
        <v>0.375</v>
      </c>
      <c r="DH48" s="73">
        <f t="shared" si="18"/>
        <v>18.245741128216551</v>
      </c>
      <c r="DI48" s="73">
        <v>17.956102603965455</v>
      </c>
      <c r="DJ48" s="72">
        <f t="shared" si="23"/>
        <v>2.5040388084550277E-2</v>
      </c>
      <c r="DK48" s="75">
        <f>VLOOKUP($H48,RoR!$E:$F,2,FALSE)</f>
        <v>4.9433333333333322E-2</v>
      </c>
      <c r="DL48" s="76">
        <f>HLOOKUP($H48,'GDP-PI'!$D$8:$CQ$11,3,FALSE)</f>
        <v>1.1684333519300205E-2</v>
      </c>
      <c r="DM48" s="75">
        <f>VLOOKUP(H48,'HW Dx Data'!$E:$F,2,FALSE)</f>
        <v>568.98950262971744</v>
      </c>
      <c r="DN48" s="69">
        <f>VLOOKUP(H48,'ECI - Input Price'!$G$17:$H$37,2,FALSE)</f>
        <v>111.875</v>
      </c>
      <c r="DO48" s="72">
        <f t="shared" si="24"/>
        <v>1.8949360147238387E-2</v>
      </c>
      <c r="DP48" s="69">
        <f>HLOOKUP(H48,'GDP-PI'!$8:$9,2,FALSE)</f>
        <v>96.108999999999995</v>
      </c>
      <c r="DQ48" s="72">
        <f t="shared" si="24"/>
        <v>1.1616598807150427E-2</v>
      </c>
      <c r="DR48">
        <v>33.658333333333331</v>
      </c>
      <c r="DS48">
        <v>0.30460030165912522</v>
      </c>
      <c r="DV48" s="33">
        <v>4.3705481173557353E-2</v>
      </c>
      <c r="DW48" s="33">
        <v>3.15E-2</v>
      </c>
      <c r="DX48" s="33">
        <f t="shared" si="0"/>
        <v>1.3767226569670566E-3</v>
      </c>
      <c r="DY48" s="33">
        <v>2.5000000000000001E-2</v>
      </c>
      <c r="DZ48" s="33">
        <f t="shared" si="1"/>
        <v>1.0926370293389339E-3</v>
      </c>
      <c r="EA48" s="33">
        <v>2.2100000000000002E-2</v>
      </c>
      <c r="EB48" s="33">
        <f t="shared" si="2"/>
        <v>9.6589113393561756E-4</v>
      </c>
      <c r="EC48" s="33">
        <v>1.78E-2</v>
      </c>
      <c r="ED48" s="33">
        <f t="shared" si="3"/>
        <v>7.7795756488932089E-4</v>
      </c>
      <c r="EE48" s="33">
        <v>1.3100000000000001E-2</v>
      </c>
      <c r="EF48" s="33">
        <f t="shared" si="4"/>
        <v>5.7254180337360135E-4</v>
      </c>
    </row>
    <row r="49" spans="1:136" ht="21" x14ac:dyDescent="0.35">
      <c r="A49" t="s">
        <v>28</v>
      </c>
      <c r="B49" s="42" t="s">
        <v>28</v>
      </c>
      <c r="C49" s="42">
        <v>4054707</v>
      </c>
      <c r="D49" s="42" t="s">
        <v>132</v>
      </c>
      <c r="E49" s="42"/>
      <c r="F49" s="42"/>
      <c r="G49" s="42" t="s">
        <v>17</v>
      </c>
      <c r="H49" s="11">
        <v>2011</v>
      </c>
      <c r="I49" s="62"/>
      <c r="J49" s="63">
        <f>IFERROR(INDEX('Labor Expenditures'!$F$7:$X$91,MATCH($C49,'Labor Expenditures'!$D$7:$D$91,0),MATCH($G49,'Labor Expenditures'!$F$5:$X$5,0)),"NA")</f>
        <v>58525.836594776476</v>
      </c>
      <c r="K49" s="63">
        <f t="shared" si="25"/>
        <v>512.03706557109774</v>
      </c>
      <c r="L49" s="79">
        <f t="shared" si="31"/>
        <v>-6.2933721446807561E-2</v>
      </c>
      <c r="M49" s="79">
        <f t="shared" si="34"/>
        <v>-2.4274152256979812E-3</v>
      </c>
      <c r="N49" s="65">
        <f t="shared" si="46"/>
        <v>102.20469578149206</v>
      </c>
      <c r="O49" s="71">
        <f t="shared" si="47"/>
        <v>1.1041617935511361E-4</v>
      </c>
      <c r="P49" s="63">
        <f>IFERROR(INDEX('Non-Labor Expenditures'!$F$7:$AB$91,MATCH($C49,'Non-Labor Expenditures'!$D$7:$D$91,0),MATCH($G49,'Non-Labor Expenditures'!$F$5:$AB$5,0)),"NA")</f>
        <v>84756.342507679277</v>
      </c>
      <c r="Q49" s="63">
        <f t="shared" si="32"/>
        <v>863.87335400031884</v>
      </c>
      <c r="R49" s="79">
        <f t="shared" si="35"/>
        <v>-6.2116046453911056E-2</v>
      </c>
      <c r="S49" s="79">
        <f t="shared" si="48"/>
        <v>-2.3958767010120213E-3</v>
      </c>
      <c r="T49" s="65">
        <f t="shared" si="49"/>
        <v>104.98013783954468</v>
      </c>
      <c r="U49" s="71">
        <f t="shared" si="50"/>
        <v>9.349908803406551E-4</v>
      </c>
      <c r="V49" s="63">
        <f t="shared" si="5"/>
        <v>163532.14887552318</v>
      </c>
      <c r="W49" s="79">
        <f t="shared" si="51"/>
        <v>8.3363389686183315E-2</v>
      </c>
      <c r="X49" s="93">
        <v>8737.6413762997527</v>
      </c>
      <c r="Y49" s="81">
        <v>3.9527899525527543E-2</v>
      </c>
      <c r="Z49" s="81">
        <f t="shared" si="52"/>
        <v>1.5246297683067151E-3</v>
      </c>
      <c r="AA49" s="65">
        <f t="shared" si="53"/>
        <v>118.71454326671271</v>
      </c>
      <c r="AB49" s="71">
        <f t="shared" si="54"/>
        <v>3.0666264194980527E-2</v>
      </c>
      <c r="AC49" s="62">
        <f t="shared" si="26"/>
        <v>306814.32797797897</v>
      </c>
      <c r="AD49" s="81">
        <f t="shared" si="36"/>
        <v>2.311310103370727E-2</v>
      </c>
      <c r="AE49" s="64">
        <f t="shared" si="37"/>
        <v>10198850.67164032</v>
      </c>
      <c r="AF49" s="71">
        <f t="shared" si="38"/>
        <v>4.8999433671922443E-2</v>
      </c>
      <c r="AG49" s="68">
        <f t="shared" si="39"/>
        <v>203.05960260813441</v>
      </c>
      <c r="AH49" s="71">
        <f>+AZ49/$BB$49</f>
        <v>4.1931559339160401E-2</v>
      </c>
      <c r="AI49" s="68"/>
      <c r="AJ49" s="105">
        <f t="shared" si="55"/>
        <v>8.5146057761493186</v>
      </c>
      <c r="AK49" s="105">
        <f t="shared" si="56"/>
        <v>0</v>
      </c>
      <c r="AL49" s="82">
        <f t="shared" si="27"/>
        <v>0.19075327081523083</v>
      </c>
      <c r="AM49" s="82">
        <f t="shared" si="28"/>
        <v>0.27624636393696222</v>
      </c>
      <c r="AN49" s="82">
        <f t="shared" si="29"/>
        <v>0.53300036524780681</v>
      </c>
      <c r="AO49" s="82">
        <f t="shared" si="40"/>
        <v>-9.6848388760263117E-3</v>
      </c>
      <c r="AP49" s="65">
        <f t="shared" si="61"/>
        <v>91.752825660406614</v>
      </c>
      <c r="AQ49" s="81">
        <f t="shared" si="62"/>
        <v>-9.6848388760263464E-3</v>
      </c>
      <c r="AR49" s="72">
        <f t="shared" si="33"/>
        <v>3.857097864059518E-2</v>
      </c>
      <c r="AS49" s="72">
        <f t="shared" si="41"/>
        <v>-3.7355371342481802E-4</v>
      </c>
      <c r="AT49" s="64"/>
      <c r="AU49" s="71">
        <f t="shared" si="42"/>
        <v>1.2590691047179541E-2</v>
      </c>
      <c r="AV49" s="67">
        <f t="shared" si="57"/>
        <v>108.61606995830975</v>
      </c>
      <c r="AW49" s="72">
        <f t="shared" si="63"/>
        <v>1.2590691047179624E-2</v>
      </c>
      <c r="AX49" s="65">
        <f t="shared" si="58"/>
        <v>119.36165617590238</v>
      </c>
      <c r="AY49" s="81">
        <f t="shared" si="43"/>
        <v>4.3729583309274025E-2</v>
      </c>
      <c r="AZ49" s="64">
        <f>IFERROR(INDEX('Total Customers'!$F$7:$AB$91,MATCH($C49,'Total Customers'!$D$7:$D$91,0),MATCH($G49,'Total Customers'!$F$5:$AB$5,0)),"NA")</f>
        <v>1510957</v>
      </c>
      <c r="BA49" s="71">
        <f t="shared" si="6"/>
        <v>-1.3175014621119023E-3</v>
      </c>
      <c r="BB49" s="64">
        <f t="shared" si="64"/>
        <v>36033885.307692304</v>
      </c>
      <c r="BC49" s="64">
        <f t="shared" si="44"/>
        <v>8437841</v>
      </c>
      <c r="BD49" s="65">
        <f t="shared" si="59"/>
        <v>103.71297998437964</v>
      </c>
      <c r="BE49" s="71">
        <f t="shared" si="45"/>
        <v>4.8732363994765798E-3</v>
      </c>
      <c r="BF49" s="81">
        <f t="shared" si="65"/>
        <v>-7.7174546477030443E-3</v>
      </c>
      <c r="BG49" s="65">
        <f t="shared" si="60"/>
        <v>278.54285214972037</v>
      </c>
      <c r="BH49" s="65">
        <f t="shared" si="60"/>
        <v>398.14123654725955</v>
      </c>
      <c r="BI49" s="65"/>
      <c r="BJ49" s="149">
        <v>2020</v>
      </c>
      <c r="BK49" s="151">
        <v>295.69</v>
      </c>
      <c r="BL49" s="111">
        <v>341.72669379724914</v>
      </c>
      <c r="BM49" s="65">
        <v>471.07836737126968</v>
      </c>
      <c r="BN49" s="111"/>
      <c r="BO49" s="111"/>
      <c r="BP49" s="65"/>
      <c r="BQ49" s="64"/>
      <c r="BR49" s="64"/>
      <c r="BS49" s="64">
        <f>INDEX('Dist. Plant Gas Additions'!$F$7:$AE$91,MATCH($C49,'Dist. Plant Gas Additions'!$D$7:$D$91,0),MATCH(Calculation!$G49,'Dist. Plant Gas Additions'!$F$5:$AE$5,0))</f>
        <v>223485</v>
      </c>
      <c r="BT49" s="64">
        <f>INDEX('Gen. Plant Additions'!$F$7:$AE$91,MATCH($C49,'Gen. Plant Additions'!$D$7:$D$91,0),MATCH(Calculation!$G49,'Gen. Plant Additions'!$F$5:$AE$5,0))</f>
        <v>20972</v>
      </c>
      <c r="BU49" s="64"/>
      <c r="BV49" s="64"/>
      <c r="BW49" s="64">
        <f>INDEX('Dist Plant Depreciation'!$E$7:$AD$94,MATCH($C49,'Dist Plant Depreciation'!$D$7:$D$94,0),MATCH(Calculation!$G49,'Dist Plant Depreciation'!$E$5:$AD$5,0))</f>
        <v>1008761</v>
      </c>
      <c r="BX49" s="64">
        <f>INDEX('Gen. Plant Depreciation'!$E$7:$AD$94,MATCH($C49,'Gen. Plant Depreciation'!$D$7:$D$94,0),MATCH(Calculation!$G49,'Gen. Plant Depreciation'!$E$5:$AD$5,0))</f>
        <v>36147</v>
      </c>
      <c r="BY49" s="69">
        <v>1942</v>
      </c>
      <c r="BZ49" s="69"/>
      <c r="CA49" s="67">
        <v>21.613878120540953</v>
      </c>
      <c r="CB49" s="107"/>
      <c r="CC49" s="64"/>
      <c r="CD49" s="64"/>
      <c r="CE49" s="64">
        <f>INDEX('Gross Dx Plant'!$E$7:$AD$91,MATCH($C49,'Gross Dx Plant'!$D$7:$D$91,0),MATCH(Calculation!$G49,'Gross Dx Plant'!$E$5:$AD$5,0))</f>
        <v>2865754</v>
      </c>
      <c r="CF49" s="64">
        <f>INDEX('Gross Gen Plant'!$E$7:$AD$91,MATCH($C49,'Gross Gen Plant'!$D$7:$D$91,0),MATCH(Calculation!$G49,'Gross Gen Plant'!$E$5:$AD$5,0))</f>
        <v>165392</v>
      </c>
      <c r="CG49" s="64">
        <f t="shared" si="7"/>
        <v>1986238</v>
      </c>
      <c r="CH49" s="64"/>
      <c r="CI49" s="68">
        <v>2011</v>
      </c>
      <c r="CJ49" s="64"/>
      <c r="CK49" s="64"/>
      <c r="CL49" s="64"/>
      <c r="CM49" s="69"/>
      <c r="CN49" s="64">
        <f t="shared" si="8"/>
        <v>244457</v>
      </c>
      <c r="CO49" s="64">
        <f t="shared" si="9"/>
        <v>399.69353327576783</v>
      </c>
      <c r="CP49" s="70">
        <v>0.92121212121212126</v>
      </c>
      <c r="CQ49" s="64">
        <f>+CQ36*CP49+CO37*CP48+CO38*CP47+CO39*CP46+CO40*CP45+CO41*CP44+CO42*CP43+CO43*CP42+CO44*CP41+CO45*CP40+CO46*CP39+CO47*CP38+CO48*CP37+CO49</f>
        <v>8737.6413762997527</v>
      </c>
      <c r="CR49" s="71">
        <f t="shared" si="10"/>
        <v>3.9527899525527543E-2</v>
      </c>
      <c r="CS49" s="64">
        <f t="shared" si="30"/>
        <v>200024.33058974991</v>
      </c>
      <c r="CT49" s="72">
        <f t="shared" si="11"/>
        <v>7.2687183571669596E-3</v>
      </c>
      <c r="CU49" s="72">
        <f t="shared" si="20"/>
        <v>7.0426315763285757E-3</v>
      </c>
      <c r="CV49" s="71">
        <f>VLOOKUP($H49,RoR!$E:$F,2,FALSE)</f>
        <v>4.6391666666666664E-2</v>
      </c>
      <c r="CW49" s="72">
        <v>2.0840920205183799E-2</v>
      </c>
      <c r="CX49" s="72">
        <f t="shared" si="17"/>
        <v>2.5550746461482865E-2</v>
      </c>
      <c r="CY49" s="72">
        <f t="shared" si="21"/>
        <v>2.3859310032205049E-2</v>
      </c>
      <c r="CZ49" s="72">
        <f t="shared" si="22"/>
        <v>2.4810540821321614E-2</v>
      </c>
      <c r="DA49" s="124">
        <f t="shared" si="12"/>
        <v>0.86875000000000002</v>
      </c>
      <c r="DB49" s="74">
        <f t="shared" si="13"/>
        <v>1.1054151524782025</v>
      </c>
      <c r="DC49" s="74">
        <f t="shared" si="14"/>
        <v>0.43611011316687626</v>
      </c>
      <c r="DD49" s="74">
        <f t="shared" si="15"/>
        <v>0.83698442246886229</v>
      </c>
      <c r="DE49" s="74">
        <f t="shared" si="16"/>
        <v>0.40349573304423936</v>
      </c>
      <c r="DF49" s="75">
        <f>INDEX('State Tax Lookup'!$D$7:$Z$91,MATCH(Calculation!$C49,'State Tax Lookup'!$B$7:$B$91,0),MATCH($H49,'State Tax Lookup'!$D$6:$Z$6,0))</f>
        <v>0.35</v>
      </c>
      <c r="DG49" s="75">
        <v>0.375</v>
      </c>
      <c r="DH49" s="73">
        <f t="shared" si="18"/>
        <v>19.470435987295215</v>
      </c>
      <c r="DI49" s="73">
        <v>19.146574949201604</v>
      </c>
      <c r="DJ49" s="72">
        <f t="shared" si="23"/>
        <v>6.4965521948938412E-2</v>
      </c>
      <c r="DK49" s="75">
        <f>VLOOKUP($H49,RoR!$E:$F,2,FALSE)</f>
        <v>4.6391666666666664E-2</v>
      </c>
      <c r="DL49" s="76">
        <f>HLOOKUP($H49,'GDP-PI'!$D$8:$CQ$11,3,FALSE)</f>
        <v>2.0840920205183799E-2</v>
      </c>
      <c r="DM49" s="75">
        <f>VLOOKUP(H49,'HW Dx Data'!$E:$F,2,FALSE)</f>
        <v>611.61109612283201</v>
      </c>
      <c r="DN49" s="69">
        <f>VLOOKUP(H49,'ECI - Input Price'!$G$17:$H$37,2,FALSE)</f>
        <v>114.3</v>
      </c>
      <c r="DO49" s="72">
        <f t="shared" si="24"/>
        <v>2.1444394205745516E-2</v>
      </c>
      <c r="DP49" s="69">
        <f>HLOOKUP(H49,'GDP-PI'!$8:$9,2,FALSE)</f>
        <v>98.111999999999995</v>
      </c>
      <c r="DQ49" s="72">
        <f t="shared" si="24"/>
        <v>2.0626719212849295E-2</v>
      </c>
      <c r="DR49">
        <v>33.158333333333331</v>
      </c>
      <c r="DS49">
        <v>0.32508169934640518</v>
      </c>
      <c r="DV49" s="33">
        <v>7.0491873246850015E-4</v>
      </c>
      <c r="DW49" s="33">
        <v>6.3700000000000007E-2</v>
      </c>
      <c r="DX49" s="33">
        <f t="shared" si="0"/>
        <v>4.4903323258243463E-5</v>
      </c>
      <c r="DY49" s="33">
        <v>5.9200000000000003E-2</v>
      </c>
      <c r="DZ49" s="33">
        <f t="shared" si="1"/>
        <v>4.1731188962135209E-5</v>
      </c>
      <c r="EA49" s="33">
        <v>5.7299999999999997E-2</v>
      </c>
      <c r="EB49" s="33">
        <f t="shared" si="2"/>
        <v>4.0391843370445054E-5</v>
      </c>
      <c r="EC49" s="33">
        <v>5.4300000000000001E-2</v>
      </c>
      <c r="ED49" s="33">
        <f t="shared" si="3"/>
        <v>3.8277087173039559E-5</v>
      </c>
      <c r="EE49" s="33">
        <v>5.1200000000000002E-2</v>
      </c>
      <c r="EF49" s="33">
        <f t="shared" si="4"/>
        <v>3.6091839102387207E-5</v>
      </c>
    </row>
    <row r="50" spans="1:136" ht="21" x14ac:dyDescent="0.35">
      <c r="A50" t="s">
        <v>28</v>
      </c>
      <c r="B50" s="42" t="s">
        <v>28</v>
      </c>
      <c r="C50" s="42">
        <v>4054707</v>
      </c>
      <c r="D50" s="42" t="s">
        <v>132</v>
      </c>
      <c r="E50" s="42"/>
      <c r="F50" s="42"/>
      <c r="G50" s="42" t="s">
        <v>18</v>
      </c>
      <c r="H50" s="11">
        <v>2012</v>
      </c>
      <c r="I50" s="62"/>
      <c r="J50" s="63">
        <f>IFERROR(INDEX('Labor Expenditures'!$F$7:$X$91,MATCH($C50,'Labor Expenditures'!$D$7:$D$91,0),MATCH($G50,'Labor Expenditures'!$F$5:$X$5,0)),"NA")</f>
        <v>57144.011407196085</v>
      </c>
      <c r="K50" s="63">
        <f t="shared" si="25"/>
        <v>490.50653568408654</v>
      </c>
      <c r="L50" s="79">
        <f t="shared" si="31"/>
        <v>-4.2958412661788868E-2</v>
      </c>
      <c r="M50" s="79">
        <f t="shared" si="34"/>
        <v>-1.7489361265665224E-3</v>
      </c>
      <c r="N50" s="65">
        <f t="shared" si="46"/>
        <v>100.91166452781198</v>
      </c>
      <c r="O50" s="71">
        <f t="shared" si="47"/>
        <v>-1.2732098182957469E-2</v>
      </c>
      <c r="P50" s="63">
        <f>IFERROR(INDEX('Non-Labor Expenditures'!$F$7:$AB$91,MATCH($C50,'Non-Labor Expenditures'!$D$7:$D$91,0),MATCH($G50,'Non-Labor Expenditures'!$F$5:$AB$5,0)),"NA")</f>
        <v>82755.201546718541</v>
      </c>
      <c r="Q50" s="63">
        <f t="shared" si="32"/>
        <v>827.55201546718536</v>
      </c>
      <c r="R50" s="79">
        <f t="shared" si="35"/>
        <v>-4.2954213195541192E-2</v>
      </c>
      <c r="S50" s="79">
        <f t="shared" si="48"/>
        <v>-1.7487651566033006E-3</v>
      </c>
      <c r="T50" s="65">
        <f t="shared" si="49"/>
        <v>103.6524331782706</v>
      </c>
      <c r="U50" s="71">
        <f t="shared" si="50"/>
        <v>-1.2727855277564929E-2</v>
      </c>
      <c r="V50" s="63">
        <f t="shared" si="5"/>
        <v>183948.4013193993</v>
      </c>
      <c r="W50" s="79">
        <f t="shared" si="51"/>
        <v>0.1176456904534382</v>
      </c>
      <c r="X50" s="93">
        <v>8785.1872294407331</v>
      </c>
      <c r="Y50" s="81">
        <v>5.4267459774272036E-3</v>
      </c>
      <c r="Z50" s="81">
        <f t="shared" si="52"/>
        <v>2.2093535355565362E-4</v>
      </c>
      <c r="AA50" s="65">
        <f t="shared" si="53"/>
        <v>122.17786926289595</v>
      </c>
      <c r="AB50" s="71">
        <f t="shared" si="54"/>
        <v>2.8756112428670107E-2</v>
      </c>
      <c r="AC50" s="62">
        <f t="shared" si="26"/>
        <v>323847.6142733139</v>
      </c>
      <c r="AD50" s="81">
        <f t="shared" si="36"/>
        <v>5.4030309072273672E-2</v>
      </c>
      <c r="AE50" s="64">
        <f t="shared" si="37"/>
        <v>10686426.804024393</v>
      </c>
      <c r="AF50" s="71">
        <f t="shared" si="38"/>
        <v>4.6699378532644456E-2</v>
      </c>
      <c r="AG50" s="68">
        <f t="shared" si="39"/>
        <v>214.32696421392609</v>
      </c>
      <c r="AH50" s="71">
        <f>+AZ50/$BB$50</f>
        <v>4.1730911262627422E-2</v>
      </c>
      <c r="AI50" s="68"/>
      <c r="AJ50" s="105">
        <f t="shared" si="55"/>
        <v>8.9440595247996733</v>
      </c>
      <c r="AK50" s="105">
        <f t="shared" si="56"/>
        <v>0</v>
      </c>
      <c r="AL50" s="82">
        <f t="shared" si="27"/>
        <v>0.17645339625373593</v>
      </c>
      <c r="AM50" s="82">
        <f t="shared" si="28"/>
        <v>0.25553747472376498</v>
      </c>
      <c r="AN50" s="82">
        <f t="shared" si="29"/>
        <v>0.56800912902249923</v>
      </c>
      <c r="AO50" s="82">
        <f t="shared" si="40"/>
        <v>-1.6321036535872205E-2</v>
      </c>
      <c r="AP50" s="65">
        <f t="shared" si="61"/>
        <v>90.267478613857463</v>
      </c>
      <c r="AQ50" s="81">
        <f t="shared" si="62"/>
        <v>-1.632103653587224E-2</v>
      </c>
      <c r="AR50" s="72">
        <f t="shared" si="33"/>
        <v>4.0712307978785861E-2</v>
      </c>
      <c r="AS50" s="72">
        <f t="shared" si="41"/>
        <v>-6.6446706598144694E-4</v>
      </c>
      <c r="AT50" s="64"/>
      <c r="AU50" s="71">
        <f t="shared" si="42"/>
        <v>3.8465121227471508E-3</v>
      </c>
      <c r="AV50" s="67">
        <f t="shared" si="57"/>
        <v>109.03466754235166</v>
      </c>
      <c r="AW50" s="72">
        <f t="shared" si="63"/>
        <v>3.8465121227471612E-3</v>
      </c>
      <c r="AX50" s="65">
        <f t="shared" si="58"/>
        <v>125.67894544314827</v>
      </c>
      <c r="AY50" s="81">
        <f t="shared" si="43"/>
        <v>5.1572591275810396E-2</v>
      </c>
      <c r="AZ50" s="64">
        <f>IFERROR(INDEX('Total Customers'!$F$7:$AB$91,MATCH($C50,'Total Customers'!$D$7:$D$91,0),MATCH($G50,'Total Customers'!$F$5:$AB$5,0)),"NA")</f>
        <v>1510998</v>
      </c>
      <c r="BA50" s="71">
        <f t="shared" si="6"/>
        <v>2.7134752173766412E-5</v>
      </c>
      <c r="BB50" s="64">
        <f t="shared" si="64"/>
        <v>36208123.769230768</v>
      </c>
      <c r="BC50" s="64">
        <f t="shared" si="44"/>
        <v>8485072</v>
      </c>
      <c r="BD50" s="65">
        <f t="shared" si="59"/>
        <v>104.21447433947741</v>
      </c>
      <c r="BE50" s="71">
        <f t="shared" si="45"/>
        <v>4.8237528723702097E-3</v>
      </c>
      <c r="BF50" s="81">
        <f t="shared" si="65"/>
        <v>9.7724074962304841E-4</v>
      </c>
      <c r="BG50" s="65">
        <f t="shared" si="60"/>
        <v>290.4608247149726</v>
      </c>
      <c r="BH50" s="65">
        <f t="shared" si="60"/>
        <v>411.55517187528136</v>
      </c>
      <c r="BI50" s="65"/>
      <c r="BJ50" s="149">
        <v>2021</v>
      </c>
      <c r="BK50" s="152">
        <v>262.88</v>
      </c>
      <c r="BL50" s="152">
        <v>391.95223792959303</v>
      </c>
      <c r="BM50" s="65">
        <v>565.1982601787937</v>
      </c>
      <c r="BN50" s="111"/>
      <c r="BO50" s="111"/>
      <c r="BP50" s="65"/>
      <c r="BQ50" s="64"/>
      <c r="BR50" s="64"/>
      <c r="BS50" s="64">
        <f>INDEX('Dist. Plant Gas Additions'!$F$7:$AE$91,MATCH($C50,'Dist. Plant Gas Additions'!$D$7:$D$91,0),MATCH(Calculation!$G50,'Dist. Plant Gas Additions'!$F$5:$AE$5,0))</f>
        <v>69639</v>
      </c>
      <c r="BT50" s="64">
        <f>INDEX('Gen. Plant Additions'!$F$7:$AE$91,MATCH($C50,'Gen. Plant Additions'!$D$7:$D$91,0),MATCH(Calculation!$G50,'Gen. Plant Additions'!$F$5:$AE$5,0))</f>
        <v>5799</v>
      </c>
      <c r="BU50" s="64"/>
      <c r="BV50" s="64"/>
      <c r="BW50" s="64">
        <f>INDEX('Dist Plant Depreciation'!$E$7:$AD$94,MATCH($C50,'Dist Plant Depreciation'!$D$7:$D$94,0),MATCH(Calculation!$G50,'Dist Plant Depreciation'!$E$5:$AD$5,0))</f>
        <v>1051228</v>
      </c>
      <c r="BX50" s="64">
        <f>INDEX('Gen. Plant Depreciation'!$E$7:$AD$94,MATCH($C50,'Gen. Plant Depreciation'!$D$7:$D$94,0),MATCH(Calculation!$G50,'Gen. Plant Depreciation'!$E$5:$AD$5,0))</f>
        <v>66744</v>
      </c>
      <c r="BY50" s="69">
        <v>1943</v>
      </c>
      <c r="BZ50" s="69"/>
      <c r="CA50" s="67">
        <v>21.79563110533881</v>
      </c>
      <c r="CB50" s="107"/>
      <c r="CC50" s="64"/>
      <c r="CD50" s="64"/>
      <c r="CE50" s="64">
        <f>INDEX('Gross Dx Plant'!$E$7:$AD$91,MATCH($C50,'Gross Dx Plant'!$D$7:$D$91,0),MATCH(Calculation!$G50,'Gross Dx Plant'!$E$5:$AD$5,0))</f>
        <v>2931312</v>
      </c>
      <c r="CF50" s="64">
        <f>INDEX('Gross Gen Plant'!$E$7:$AD$91,MATCH($C50,'Gross Gen Plant'!$D$7:$D$91,0),MATCH(Calculation!$G50,'Gross Gen Plant'!$E$5:$AD$5,0))</f>
        <v>167876</v>
      </c>
      <c r="CG50" s="64">
        <f t="shared" si="7"/>
        <v>1981216</v>
      </c>
      <c r="CH50" s="64"/>
      <c r="CI50" s="68">
        <v>2012</v>
      </c>
      <c r="CJ50" s="64"/>
      <c r="CK50" s="64"/>
      <c r="CL50" s="64"/>
      <c r="CM50" s="69"/>
      <c r="CN50" s="64">
        <f t="shared" si="8"/>
        <v>75438</v>
      </c>
      <c r="CO50" s="64">
        <f t="shared" si="9"/>
        <v>112.7759320238308</v>
      </c>
      <c r="CP50" s="70">
        <v>0.9135802469135802</v>
      </c>
      <c r="CQ50" s="64">
        <f>+CQ36*CP50+CO37*CP49+CO38*CP48+CO39*CP47+CO40*CP46+CO41*CP45+CO42*CP44+CO43*CP43+CO44*CP42+CO45*CP41+CO46*CP40+CO47*CP39+CO48*CP38+CO49*CP37+CO50</f>
        <v>8785.1872294407331</v>
      </c>
      <c r="CR50" s="71">
        <f t="shared" si="10"/>
        <v>5.4267459774272036E-3</v>
      </c>
      <c r="CS50" s="64">
        <f t="shared" si="30"/>
        <v>205657.43422883598</v>
      </c>
      <c r="CT50" s="72">
        <f t="shared" si="11"/>
        <v>7.465410409241844E-3</v>
      </c>
      <c r="CU50" s="72">
        <f t="shared" si="20"/>
        <v>7.2539993494407469E-3</v>
      </c>
      <c r="CV50" s="71">
        <f>VLOOKUP($H50,RoR!$E:$F,2,FALSE)</f>
        <v>3.6733333333333333E-2</v>
      </c>
      <c r="CW50" s="72">
        <v>1.924331376386168E-2</v>
      </c>
      <c r="CX50" s="72">
        <f t="shared" si="17"/>
        <v>1.7490019569471653E-2</v>
      </c>
      <c r="CY50" s="72">
        <f t="shared" si="21"/>
        <v>2.3647942259092877E-2</v>
      </c>
      <c r="CZ50" s="72">
        <f t="shared" si="22"/>
        <v>6.7122682943869583E-2</v>
      </c>
      <c r="DA50" s="124">
        <f t="shared" si="12"/>
        <v>0.86875000000000002</v>
      </c>
      <c r="DB50" s="74">
        <f t="shared" si="13"/>
        <v>1.3960631020522127</v>
      </c>
      <c r="DC50" s="74">
        <f t="shared" si="14"/>
        <v>0.29441923774954631</v>
      </c>
      <c r="DD50" s="74">
        <f t="shared" si="15"/>
        <v>0.76377954189366437</v>
      </c>
      <c r="DE50" s="74">
        <f t="shared" si="16"/>
        <v>0.31393465103033691</v>
      </c>
      <c r="DF50" s="75">
        <f>INDEX('State Tax Lookup'!$D$7:$Z$91,MATCH(Calculation!$C50,'State Tax Lookup'!$B$7:$B$91,0),MATCH($H50,'State Tax Lookup'!$D$6:$Z$6,0))</f>
        <v>0.35</v>
      </c>
      <c r="DG50" s="75">
        <v>0.375</v>
      </c>
      <c r="DH50" s="73">
        <f t="shared" si="18"/>
        <v>21.052409156817376</v>
      </c>
      <c r="DI50" s="73">
        <v>20.759737328210988</v>
      </c>
      <c r="DJ50" s="72">
        <f t="shared" si="23"/>
        <v>7.8117790927910435E-2</v>
      </c>
      <c r="DK50" s="75">
        <f>VLOOKUP($H50,RoR!$E:$F,2,FALSE)</f>
        <v>3.6733333333333333E-2</v>
      </c>
      <c r="DL50" s="76">
        <f>HLOOKUP($H50,'GDP-PI'!$D$8:$CQ$11,3,FALSE)</f>
        <v>1.924331376386168E-2</v>
      </c>
      <c r="DM50" s="75">
        <f>VLOOKUP(H50,'HW Dx Data'!$E:$F,2,FALSE)</f>
        <v>668.91932211262167</v>
      </c>
      <c r="DN50" s="69">
        <f>VLOOKUP(H50,'ECI - Input Price'!$G$17:$H$37,2,FALSE)</f>
        <v>116.5</v>
      </c>
      <c r="DO50" s="72">
        <f t="shared" si="24"/>
        <v>1.9064702204990347E-2</v>
      </c>
      <c r="DP50" s="69">
        <f>HLOOKUP(H50,'GDP-PI'!$8:$9,2,FALSE)</f>
        <v>100</v>
      </c>
      <c r="DQ50" s="72">
        <f t="shared" si="24"/>
        <v>1.9060502738742411E-2</v>
      </c>
      <c r="DR50">
        <v>32.524999999999999</v>
      </c>
      <c r="DS50">
        <v>0.34340120663650076</v>
      </c>
      <c r="DV50" s="33">
        <v>1.2856192326674205E-3</v>
      </c>
      <c r="DW50" s="33">
        <v>1.29E-2</v>
      </c>
      <c r="DX50" s="33">
        <f t="shared" si="0"/>
        <v>1.6584488101409723E-5</v>
      </c>
      <c r="DY50" s="33">
        <v>3.7000000000000002E-3</v>
      </c>
      <c r="DZ50" s="33">
        <f t="shared" si="1"/>
        <v>4.7567911608694556E-6</v>
      </c>
      <c r="EA50" s="33">
        <v>-4.0000000000000002E-4</v>
      </c>
      <c r="EB50" s="33">
        <f t="shared" si="2"/>
        <v>-5.1424769306696821E-7</v>
      </c>
      <c r="EC50" s="33">
        <v>-7.3000000000000001E-3</v>
      </c>
      <c r="ED50" s="33">
        <f t="shared" si="3"/>
        <v>-9.3850203984721696E-6</v>
      </c>
      <c r="EE50" s="33">
        <v>-1.49E-2</v>
      </c>
      <c r="EF50" s="33">
        <f t="shared" si="4"/>
        <v>-1.9155726566744566E-5</v>
      </c>
    </row>
    <row r="51" spans="1:136" ht="21" x14ac:dyDescent="0.35">
      <c r="A51" t="s">
        <v>28</v>
      </c>
      <c r="B51" s="42" t="s">
        <v>28</v>
      </c>
      <c r="C51" s="42">
        <v>4054707</v>
      </c>
      <c r="D51" s="42" t="s">
        <v>132</v>
      </c>
      <c r="E51" s="42"/>
      <c r="F51" s="42"/>
      <c r="G51" s="42" t="s">
        <v>19</v>
      </c>
      <c r="H51" s="11">
        <v>2013</v>
      </c>
      <c r="I51" s="62"/>
      <c r="J51" s="63">
        <f>IFERROR(INDEX('Labor Expenditures'!$F$7:$X$91,MATCH($C51,'Labor Expenditures'!$D$7:$D$91,0),MATCH($G51,'Labor Expenditures'!$F$5:$X$5,0)),"NA")</f>
        <v>61019.268278164054</v>
      </c>
      <c r="K51" s="63">
        <f t="shared" si="25"/>
        <v>513.95467069415929</v>
      </c>
      <c r="L51" s="79">
        <f t="shared" si="31"/>
        <v>4.6696468804312732E-2</v>
      </c>
      <c r="M51" s="79">
        <f t="shared" si="34"/>
        <v>1.9432550306205266E-3</v>
      </c>
      <c r="N51" s="65">
        <f t="shared" si="46"/>
        <v>104.59689360870139</v>
      </c>
      <c r="O51" s="71">
        <f t="shared" si="47"/>
        <v>3.586832786382383E-2</v>
      </c>
      <c r="P51" s="63">
        <f>IFERROR(INDEX('Non-Labor Expenditures'!$F$7:$AB$91,MATCH($C51,'Non-Labor Expenditures'!$D$7:$D$91,0),MATCH($G51,'Non-Labor Expenditures'!$F$5:$AB$5,0)),"NA")</f>
        <v>88367.297294023301</v>
      </c>
      <c r="Q51" s="63">
        <f t="shared" si="32"/>
        <v>868.27839696209514</v>
      </c>
      <c r="R51" s="79">
        <f t="shared" si="35"/>
        <v>4.8040433217232455E-2</v>
      </c>
      <c r="S51" s="79">
        <f t="shared" si="48"/>
        <v>1.9991835766809516E-3</v>
      </c>
      <c r="T51" s="65">
        <f t="shared" si="49"/>
        <v>107.58393168781201</v>
      </c>
      <c r="U51" s="71">
        <f t="shared" si="50"/>
        <v>3.7227989266502531E-2</v>
      </c>
      <c r="V51" s="63">
        <f t="shared" si="5"/>
        <v>181638.39240877834</v>
      </c>
      <c r="W51" s="79">
        <f t="shared" si="51"/>
        <v>-1.2637434904400689E-2</v>
      </c>
      <c r="X51" s="93">
        <v>8975.5753586078317</v>
      </c>
      <c r="Y51" s="81">
        <v>2.1440005315540047E-2</v>
      </c>
      <c r="Z51" s="81">
        <f t="shared" si="52"/>
        <v>8.9221731862744469E-4</v>
      </c>
      <c r="AA51" s="65">
        <f t="shared" si="53"/>
        <v>126.17530821806797</v>
      </c>
      <c r="AB51" s="71">
        <f t="shared" si="54"/>
        <v>3.2194347264251362E-2</v>
      </c>
      <c r="AC51" s="62">
        <f t="shared" si="26"/>
        <v>331024.95798096573</v>
      </c>
      <c r="AD51" s="81">
        <f t="shared" si="36"/>
        <v>2.1920695452394199E-2</v>
      </c>
      <c r="AE51" s="64">
        <f t="shared" si="37"/>
        <v>11084869.407590242</v>
      </c>
      <c r="AF51" s="71">
        <f t="shared" si="38"/>
        <v>3.6606648773507548E-2</v>
      </c>
      <c r="AG51" s="68">
        <f t="shared" si="39"/>
        <v>218.0038921501899</v>
      </c>
      <c r="AH51" s="71">
        <f>+AZ51/$BB$51</f>
        <v>4.1668222566815724E-2</v>
      </c>
      <c r="AI51" s="68"/>
      <c r="AJ51" s="105">
        <f t="shared" si="55"/>
        <v>9.0838346985462035</v>
      </c>
      <c r="AK51" s="105">
        <f t="shared" si="56"/>
        <v>0</v>
      </c>
      <c r="AL51" s="82">
        <f t="shared" si="27"/>
        <v>0.18433434339918481</v>
      </c>
      <c r="AM51" s="82">
        <f t="shared" si="28"/>
        <v>0.26695055814826057</v>
      </c>
      <c r="AN51" s="82">
        <f t="shared" si="29"/>
        <v>0.54871509845255451</v>
      </c>
      <c r="AO51" s="82">
        <f t="shared" si="40"/>
        <v>3.2945319126365162E-2</v>
      </c>
      <c r="AP51" s="65">
        <f t="shared" si="61"/>
        <v>93.290899829928179</v>
      </c>
      <c r="AQ51" s="81">
        <f t="shared" si="62"/>
        <v>3.2945319126365231E-2</v>
      </c>
      <c r="AR51" s="72">
        <f t="shared" si="33"/>
        <v>4.1614603424596719E-2</v>
      </c>
      <c r="AS51" s="72">
        <f t="shared" si="41"/>
        <v>1.3710063901404704E-3</v>
      </c>
      <c r="AT51" s="64"/>
      <c r="AU51" s="71">
        <f t="shared" si="42"/>
        <v>3.5019501824889651E-2</v>
      </c>
      <c r="AV51" s="67">
        <f t="shared" si="57"/>
        <v>112.92065278659811</v>
      </c>
      <c r="AW51" s="72">
        <f t="shared" si="63"/>
        <v>3.5019501824889672E-2</v>
      </c>
      <c r="AX51" s="65">
        <f t="shared" si="58"/>
        <v>125.41751935317292</v>
      </c>
      <c r="AY51" s="81">
        <f t="shared" si="43"/>
        <v>-2.0822769021992035E-3</v>
      </c>
      <c r="AZ51" s="64">
        <f>IFERROR(INDEX('Total Customers'!$F$7:$AB$91,MATCH($C51,'Total Customers'!$D$7:$D$91,0),MATCH($G51,'Total Customers'!$F$5:$AB$5,0)),"NA")</f>
        <v>1518436</v>
      </c>
      <c r="BA51" s="71">
        <f t="shared" si="6"/>
        <v>4.9104980970240304E-3</v>
      </c>
      <c r="BB51" s="64">
        <f t="shared" si="64"/>
        <v>36441103.230769232</v>
      </c>
      <c r="BC51" s="64">
        <f t="shared" si="44"/>
        <v>8534921</v>
      </c>
      <c r="BD51" s="65">
        <f t="shared" si="59"/>
        <v>104.885037450421</v>
      </c>
      <c r="BE51" s="71">
        <f t="shared" si="45"/>
        <v>6.4138400321205671E-3</v>
      </c>
      <c r="BF51" s="81">
        <f t="shared" si="65"/>
        <v>-2.8605661792769105E-2</v>
      </c>
      <c r="BG51" s="65">
        <f t="shared" si="60"/>
        <v>299.37861818465171</v>
      </c>
      <c r="BH51" s="65">
        <f t="shared" si="60"/>
        <v>419.22345064614518</v>
      </c>
      <c r="BI51" s="65"/>
      <c r="BJ51" s="68"/>
      <c r="BK51" s="152"/>
      <c r="BL51" s="152"/>
      <c r="BM51" s="152"/>
      <c r="BN51" s="111"/>
      <c r="BO51" s="111"/>
      <c r="BP51" s="65"/>
      <c r="BQ51" s="64"/>
      <c r="BR51" s="64"/>
      <c r="BS51" s="64">
        <f>INDEX('Dist. Plant Gas Additions'!$F$7:$AE$91,MATCH($C51,'Dist. Plant Gas Additions'!$D$7:$D$91,0),MATCH(Calculation!$G51,'Dist. Plant Gas Additions'!$F$5:$AE$5,0))</f>
        <v>143553</v>
      </c>
      <c r="BT51" s="64">
        <f>INDEX('Gen. Plant Additions'!$F$7:$AE$91,MATCH($C51,'Gen. Plant Additions'!$D$7:$D$91,0),MATCH(Calculation!$G51,'Gen. Plant Additions'!$F$5:$AE$5,0))</f>
        <v>27931</v>
      </c>
      <c r="BU51" s="64"/>
      <c r="BV51" s="64"/>
      <c r="BW51" s="64">
        <f>INDEX('Dist Plant Depreciation'!$E$7:$AD$94,MATCH($C51,'Dist Plant Depreciation'!$D$7:$D$94,0),MATCH(Calculation!$G51,'Dist Plant Depreciation'!$E$5:$AD$5,0))</f>
        <v>1124693</v>
      </c>
      <c r="BX51" s="64">
        <f>INDEX('Gen. Plant Depreciation'!$E$7:$AD$94,MATCH($C51,'Gen. Plant Depreciation'!$D$7:$D$94,0),MATCH(Calculation!$G51,'Gen. Plant Depreciation'!$E$5:$AD$5,0))</f>
        <v>54299</v>
      </c>
      <c r="BY51" s="69">
        <v>1944</v>
      </c>
      <c r="BZ51" s="69"/>
      <c r="CA51" s="67">
        <v>21.993225304858008</v>
      </c>
      <c r="CB51" s="107"/>
      <c r="CC51" s="64"/>
      <c r="CD51" s="64"/>
      <c r="CE51" s="64">
        <f>INDEX('Gross Dx Plant'!$E$7:$AD$91,MATCH($C51,'Gross Dx Plant'!$D$7:$D$91,0),MATCH(Calculation!$G51,'Gross Dx Plant'!$E$5:$AD$5,0))</f>
        <v>3060459</v>
      </c>
      <c r="CF51" s="64">
        <f>INDEX('Gross Gen Plant'!$E$7:$AD$91,MATCH($C51,'Gross Gen Plant'!$D$7:$D$91,0),MATCH(Calculation!$G51,'Gross Gen Plant'!$E$5:$AD$5,0))</f>
        <v>183527</v>
      </c>
      <c r="CG51" s="64">
        <f t="shared" si="7"/>
        <v>2064994</v>
      </c>
      <c r="CH51" s="64"/>
      <c r="CI51" s="68">
        <v>2013</v>
      </c>
      <c r="CJ51" s="64"/>
      <c r="CK51" s="64"/>
      <c r="CL51" s="64"/>
      <c r="CM51" s="69"/>
      <c r="CN51" s="64">
        <f t="shared" si="8"/>
        <v>171484</v>
      </c>
      <c r="CO51" s="64">
        <f t="shared" si="9"/>
        <v>258.5516958367528</v>
      </c>
      <c r="CP51" s="70">
        <v>0.90566037735849059</v>
      </c>
      <c r="CQ51" s="64">
        <f>+CQ36*CP51+CO37*CP50+CO38*CP49+CO39*CP48+CO40*CP47+CO41*CP46+CO42*CP45+CO43*CP44+CO44*CP43+CO45*CP42+CO46*CP41+CO47*CP40+CO48*CP39+CO49*CP38+CO50*CP37+CO51</f>
        <v>8975.5753586078317</v>
      </c>
      <c r="CR51" s="71">
        <f t="shared" si="10"/>
        <v>2.1440005315540047E-2</v>
      </c>
      <c r="CS51" s="64">
        <f t="shared" si="30"/>
        <v>212024.63256647289</v>
      </c>
      <c r="CT51" s="72">
        <f t="shared" si="11"/>
        <v>7.7589202016350696E-3</v>
      </c>
      <c r="CU51" s="72">
        <f t="shared" si="20"/>
        <v>7.4976829893479572E-3</v>
      </c>
      <c r="CV51" s="71">
        <f>VLOOKUP($H51,RoR!$E:$F,2,FALSE)</f>
        <v>4.2350000000000006E-2</v>
      </c>
      <c r="CW51" s="72">
        <v>1.7730000000000024E-2</v>
      </c>
      <c r="CX51" s="72">
        <f t="shared" si="17"/>
        <v>2.4619999999999982E-2</v>
      </c>
      <c r="CY51" s="72">
        <f t="shared" si="21"/>
        <v>2.3404258619185669E-2</v>
      </c>
      <c r="CZ51" s="72">
        <f t="shared" si="22"/>
        <v>5.3376742735721204E-2</v>
      </c>
      <c r="DA51" s="124">
        <f t="shared" si="12"/>
        <v>0.86875000000000002</v>
      </c>
      <c r="DB51" s="74">
        <f t="shared" si="13"/>
        <v>1.2109103018193925</v>
      </c>
      <c r="DC51" s="74">
        <f t="shared" si="14"/>
        <v>0.38468122786304604</v>
      </c>
      <c r="DD51" s="74">
        <f t="shared" si="15"/>
        <v>0.80969194503422559</v>
      </c>
      <c r="DE51" s="74">
        <f t="shared" si="16"/>
        <v>0.37716621754800816</v>
      </c>
      <c r="DF51" s="75">
        <f>INDEX('State Tax Lookup'!$D$7:$Z$91,MATCH(Calculation!$C51,'State Tax Lookup'!$B$7:$B$91,0),MATCH($H51,'State Tax Lookup'!$D$6:$Z$6,0))</f>
        <v>0.35</v>
      </c>
      <c r="DG51" s="75">
        <v>0.375</v>
      </c>
      <c r="DH51" s="73">
        <f t="shared" si="18"/>
        <v>20.675528894828286</v>
      </c>
      <c r="DI51" s="73">
        <v>20.339519021246105</v>
      </c>
      <c r="DJ51" s="72">
        <f t="shared" si="23"/>
        <v>-1.8064180881827999E-2</v>
      </c>
      <c r="DK51" s="75">
        <f>VLOOKUP($H51,RoR!$E:$F,2,FALSE)</f>
        <v>4.2350000000000006E-2</v>
      </c>
      <c r="DL51" s="76">
        <f>HLOOKUP($H51,'GDP-PI'!$D$8:$CQ$11,3,FALSE)</f>
        <v>1.7730000000000024E-2</v>
      </c>
      <c r="DM51" s="75">
        <f>VLOOKUP(H51,'HW Dx Data'!$E:$F,2,FALSE)</f>
        <v>663.24840548821396</v>
      </c>
      <c r="DN51" s="69">
        <f>VLOOKUP(H51,'ECI - Input Price'!$G$17:$H$37,2,FALSE)</f>
        <v>118.72499999999999</v>
      </c>
      <c r="DO51" s="72">
        <f t="shared" si="24"/>
        <v>1.8918621429430321E-2</v>
      </c>
      <c r="DP51" s="69">
        <f>HLOOKUP(H51,'GDP-PI'!$8:$9,2,FALSE)</f>
        <v>101.773</v>
      </c>
      <c r="DQ51" s="72">
        <f t="shared" si="24"/>
        <v>1.7574657016510519E-2</v>
      </c>
      <c r="DR51">
        <v>32.458333333333336</v>
      </c>
      <c r="DS51">
        <v>0.36717571644042235</v>
      </c>
      <c r="DV51" s="33">
        <v>3.7681794141276863E-2</v>
      </c>
      <c r="DW51" s="33">
        <v>2.0199999999999999E-2</v>
      </c>
      <c r="DX51" s="33">
        <f t="shared" si="0"/>
        <v>7.6117224165379263E-4</v>
      </c>
      <c r="DY51" s="33">
        <v>1.24E-2</v>
      </c>
      <c r="DZ51" s="33">
        <f t="shared" si="1"/>
        <v>4.6725424735183309E-4</v>
      </c>
      <c r="EA51" s="33">
        <v>8.6999999999999994E-3</v>
      </c>
      <c r="EB51" s="33">
        <f t="shared" si="2"/>
        <v>3.2783160902910867E-4</v>
      </c>
      <c r="EC51" s="33">
        <v>3.2000000000000002E-3</v>
      </c>
      <c r="ED51" s="33">
        <f t="shared" si="3"/>
        <v>1.2058174125208597E-4</v>
      </c>
      <c r="EE51" s="33">
        <v>-2.8999999999999998E-3</v>
      </c>
      <c r="EF51" s="33">
        <f t="shared" si="4"/>
        <v>-1.092772030097029E-4</v>
      </c>
    </row>
    <row r="52" spans="1:136" ht="21" x14ac:dyDescent="0.35">
      <c r="A52" t="s">
        <v>28</v>
      </c>
      <c r="B52" s="42" t="s">
        <v>28</v>
      </c>
      <c r="C52" s="42">
        <v>4054707</v>
      </c>
      <c r="D52" s="42" t="s">
        <v>132</v>
      </c>
      <c r="E52" s="42"/>
      <c r="F52" s="42"/>
      <c r="G52" s="42" t="s">
        <v>20</v>
      </c>
      <c r="H52" s="11">
        <v>2014</v>
      </c>
      <c r="I52" s="62"/>
      <c r="J52" s="63">
        <f>IFERROR(INDEX('Labor Expenditures'!$F$7:$X$91,MATCH($C52,'Labor Expenditures'!$D$7:$D$91,0),MATCH($G52,'Labor Expenditures'!$F$5:$X$5,0)),"NA")</f>
        <v>58448.356257342151</v>
      </c>
      <c r="K52" s="63">
        <f t="shared" si="25"/>
        <v>482.24716383945668</v>
      </c>
      <c r="L52" s="79">
        <f t="shared" si="31"/>
        <v>-6.3678301586881939E-2</v>
      </c>
      <c r="M52" s="79">
        <f t="shared" si="34"/>
        <v>-2.6637115988000846E-3</v>
      </c>
      <c r="N52" s="65">
        <f t="shared" si="46"/>
        <v>103.3805607793639</v>
      </c>
      <c r="O52" s="71">
        <f t="shared" si="47"/>
        <v>-1.1696909175770881E-2</v>
      </c>
      <c r="P52" s="63">
        <f>IFERROR(INDEX('Non-Labor Expenditures'!$F$7:$AB$91,MATCH($C52,'Non-Labor Expenditures'!$D$7:$D$91,0),MATCH($G52,'Non-Labor Expenditures'!$F$5:$AB$5,0)),"NA")</f>
        <v>84644.136507743504</v>
      </c>
      <c r="Q52" s="63">
        <f t="shared" si="32"/>
        <v>816.65785317224334</v>
      </c>
      <c r="R52" s="79">
        <f t="shared" si="35"/>
        <v>-6.1292174285109212E-2</v>
      </c>
      <c r="S52" s="79">
        <f t="shared" si="48"/>
        <v>-2.5638980860091761E-3</v>
      </c>
      <c r="T52" s="65">
        <f t="shared" si="49"/>
        <v>106.59007111943343</v>
      </c>
      <c r="U52" s="71">
        <f t="shared" si="50"/>
        <v>-9.2809368948158014E-3</v>
      </c>
      <c r="V52" s="63">
        <f t="shared" si="5"/>
        <v>189651.87198144748</v>
      </c>
      <c r="W52" s="79">
        <f t="shared" si="51"/>
        <v>4.3172283037576795E-2</v>
      </c>
      <c r="X52" s="93">
        <v>9187.5785019206905</v>
      </c>
      <c r="Y52" s="81">
        <v>2.3345369800932571E-2</v>
      </c>
      <c r="Z52" s="81">
        <f t="shared" si="52"/>
        <v>9.7655450549629318E-4</v>
      </c>
      <c r="AA52" s="65">
        <f t="shared" si="53"/>
        <v>130.89741926459445</v>
      </c>
      <c r="AB52" s="71">
        <f t="shared" si="54"/>
        <v>3.6741682395638978E-2</v>
      </c>
      <c r="AC52" s="62">
        <f t="shared" si="26"/>
        <v>332744.3647465331</v>
      </c>
      <c r="AD52" s="81">
        <f t="shared" si="36"/>
        <v>5.1807474447926327E-3</v>
      </c>
      <c r="AE52" s="64">
        <f t="shared" si="37"/>
        <v>11379805.406181103</v>
      </c>
      <c r="AF52" s="71">
        <f t="shared" si="38"/>
        <v>2.6259266922747725E-2</v>
      </c>
      <c r="AG52" s="68">
        <f t="shared" si="39"/>
        <v>217.12080522125368</v>
      </c>
      <c r="AH52" s="71">
        <f>+AZ52/$BB$52</f>
        <v>4.1829256481398527E-2</v>
      </c>
      <c r="AI52" s="68"/>
      <c r="AJ52" s="105">
        <f t="shared" si="55"/>
        <v>9.0820018490475931</v>
      </c>
      <c r="AK52" s="105">
        <f t="shared" si="56"/>
        <v>0</v>
      </c>
      <c r="AL52" s="82">
        <f t="shared" si="27"/>
        <v>0.17565543537263206</v>
      </c>
      <c r="AM52" s="82">
        <f t="shared" si="28"/>
        <v>0.25438187832939224</v>
      </c>
      <c r="AN52" s="82">
        <f t="shared" si="29"/>
        <v>0.56996268629797575</v>
      </c>
      <c r="AO52" s="82">
        <f t="shared" si="40"/>
        <v>-1.4380594842403205E-2</v>
      </c>
      <c r="AP52" s="65">
        <f t="shared" si="61"/>
        <v>91.958921472057753</v>
      </c>
      <c r="AQ52" s="81">
        <f t="shared" si="62"/>
        <v>-1.4380594842403201E-2</v>
      </c>
      <c r="AR52" s="72">
        <f t="shared" si="33"/>
        <v>4.1830757611613548E-2</v>
      </c>
      <c r="AS52" s="72">
        <f t="shared" si="41"/>
        <v>-6.0155117716338821E-4</v>
      </c>
      <c r="AT52" s="64"/>
      <c r="AU52" s="71">
        <f t="shared" si="42"/>
        <v>9.2518284443584582E-3</v>
      </c>
      <c r="AV52" s="67">
        <f t="shared" si="57"/>
        <v>113.97022302931495</v>
      </c>
      <c r="AW52" s="72">
        <f t="shared" si="63"/>
        <v>9.2518284443583922E-3</v>
      </c>
      <c r="AX52" s="65">
        <f t="shared" si="58"/>
        <v>128.03118288127973</v>
      </c>
      <c r="AY52" s="81">
        <f t="shared" si="43"/>
        <v>2.0625524308842999E-2</v>
      </c>
      <c r="AZ52" s="64">
        <f>IFERROR(INDEX('Total Customers'!$F$7:$AB$91,MATCH($C52,'Total Customers'!$D$7:$D$91,0),MATCH($G52,'Total Customers'!$F$5:$AB$5,0)),"NA")</f>
        <v>1532531</v>
      </c>
      <c r="BA52" s="71">
        <f t="shared" si="6"/>
        <v>9.2397592486168478E-3</v>
      </c>
      <c r="BB52" s="64">
        <f t="shared" si="64"/>
        <v>36637777.692307696</v>
      </c>
      <c r="BC52" s="64">
        <f t="shared" si="44"/>
        <v>8599754</v>
      </c>
      <c r="BD52" s="65">
        <f t="shared" si="59"/>
        <v>105.4511072571821</v>
      </c>
      <c r="BE52" s="71">
        <f t="shared" si="45"/>
        <v>5.3825382624110981E-3</v>
      </c>
      <c r="BF52" s="81">
        <f t="shared" si="65"/>
        <v>-3.8692901819472941E-3</v>
      </c>
      <c r="BG52" s="65">
        <f t="shared" si="60"/>
        <v>305.53884162906473</v>
      </c>
      <c r="BH52" s="65">
        <f t="shared" si="60"/>
        <v>435.50926114763183</v>
      </c>
      <c r="BI52" s="65"/>
      <c r="BJ52" s="68" t="s">
        <v>575</v>
      </c>
      <c r="BK52" s="152">
        <f>AVERAGE(BK48:BK50)</f>
        <v>256.21333333333331</v>
      </c>
      <c r="BL52" s="152">
        <f>AVERAGE(BL48:BL50)</f>
        <v>358.59942464720478</v>
      </c>
      <c r="BM52" s="152">
        <f>AVERAGE(BM48:BM50)</f>
        <v>503.32587202484279</v>
      </c>
      <c r="BN52" s="82">
        <f>+BK52/BL52-1</f>
        <v>-0.28551660788245925</v>
      </c>
      <c r="BO52" s="82">
        <f>+BK52/BM52-1</f>
        <v>-0.49095934150452869</v>
      </c>
      <c r="BP52" s="65"/>
      <c r="BQ52" s="64"/>
      <c r="BR52" s="64"/>
      <c r="BS52" s="64">
        <f>INDEX('Dist. Plant Gas Additions'!$F$7:$AE$91,MATCH($C52,'Dist. Plant Gas Additions'!$D$7:$D$91,0),MATCH(Calculation!$G52,'Dist. Plant Gas Additions'!$F$5:$AE$5,0))</f>
        <v>176212</v>
      </c>
      <c r="BT52" s="64">
        <f>INDEX('Gen. Plant Additions'!$F$7:$AE$91,MATCH($C52,'Gen. Plant Additions'!$D$7:$D$91,0),MATCH(Calculation!$G52,'Gen. Plant Additions'!$F$5:$AE$5,0))</f>
        <v>18160</v>
      </c>
      <c r="BU52" s="64"/>
      <c r="BV52" s="64"/>
      <c r="BW52" s="64">
        <f>INDEX('Dist Plant Depreciation'!$E$7:$AD$94,MATCH($C52,'Dist Plant Depreciation'!$D$7:$D$94,0),MATCH(Calculation!$G52,'Dist Plant Depreciation'!$E$5:$AD$5,0))</f>
        <v>1146445</v>
      </c>
      <c r="BX52" s="64">
        <f>INDEX('Gen. Plant Depreciation'!$E$7:$AD$94,MATCH($C52,'Gen. Plant Depreciation'!$D$7:$D$94,0),MATCH(Calculation!$G52,'Gen. Plant Depreciation'!$E$5:$AD$5,0))</f>
        <v>84242</v>
      </c>
      <c r="BY52" s="69">
        <v>1945</v>
      </c>
      <c r="BZ52" s="69"/>
      <c r="CA52" s="67">
        <v>22.288165665558065</v>
      </c>
      <c r="CB52" s="107"/>
      <c r="CC52" s="64"/>
      <c r="CD52" s="64"/>
      <c r="CE52" s="64">
        <f>INDEX('Gross Dx Plant'!$E$7:$AD$91,MATCH($C52,'Gross Dx Plant'!$D$7:$D$91,0),MATCH(Calculation!$G52,'Gross Dx Plant'!$E$5:$AD$5,0))</f>
        <v>3210431</v>
      </c>
      <c r="CF52" s="64">
        <f>INDEX('Gross Gen Plant'!$E$7:$AD$91,MATCH($C52,'Gross Gen Plant'!$D$7:$D$91,0),MATCH(Calculation!$G52,'Gross Gen Plant'!$E$5:$AD$5,0))</f>
        <v>199499</v>
      </c>
      <c r="CG52" s="64">
        <f t="shared" si="7"/>
        <v>2179243</v>
      </c>
      <c r="CH52" s="64"/>
      <c r="CI52" s="68">
        <v>2014</v>
      </c>
      <c r="CJ52" s="64"/>
      <c r="CK52" s="64"/>
      <c r="CL52" s="64"/>
      <c r="CM52" s="69"/>
      <c r="CN52" s="64">
        <f t="shared" si="8"/>
        <v>194372</v>
      </c>
      <c r="CO52" s="64">
        <f t="shared" si="9"/>
        <v>283.97481760908897</v>
      </c>
      <c r="CP52" s="70">
        <v>0.89743589743589747</v>
      </c>
      <c r="CQ52" s="64">
        <f>+CQ36*CP52+CO37*CP51+CO38*CP50+CO39*CP49+CO40*CP48+CO41*CP47+CO42*CP46+CO43*CP45+CO44*CP44+CO45*CP43+CO46*CP42+CO47*CP41+CO48*CP40+CO49*CP39+CO50*CP38+CO51*CP37+CO52</f>
        <v>9187.5785019206905</v>
      </c>
      <c r="CR52" s="71">
        <f t="shared" si="10"/>
        <v>2.3345369800932571E-2</v>
      </c>
      <c r="CS52" s="64">
        <f t="shared" si="30"/>
        <v>219809.80060459775</v>
      </c>
      <c r="CT52" s="72">
        <f t="shared" si="11"/>
        <v>8.0186140075362723E-3</v>
      </c>
      <c r="CU52" s="72">
        <f t="shared" si="20"/>
        <v>7.7476482061377286E-3</v>
      </c>
      <c r="CV52" s="71">
        <f>VLOOKUP($H52,RoR!$E:$F,2,FALSE)</f>
        <v>4.1625000000000002E-2</v>
      </c>
      <c r="CW52" s="72">
        <v>1.841352814597208E-2</v>
      </c>
      <c r="CX52" s="72">
        <f t="shared" si="17"/>
        <v>2.3211471854027922E-2</v>
      </c>
      <c r="CY52" s="72">
        <f t="shared" si="21"/>
        <v>2.3154293402395897E-2</v>
      </c>
      <c r="CZ52" s="72">
        <f t="shared" si="22"/>
        <v>3.9072621432650924E-2</v>
      </c>
      <c r="DA52" s="124">
        <f t="shared" si="12"/>
        <v>0.86875000000000002</v>
      </c>
      <c r="DB52" s="74">
        <f t="shared" si="13"/>
        <v>1.2320012320012319</v>
      </c>
      <c r="DC52" s="74">
        <f t="shared" si="14"/>
        <v>0.37439939939939942</v>
      </c>
      <c r="DD52" s="74">
        <f t="shared" si="15"/>
        <v>0.80432100613819935</v>
      </c>
      <c r="DE52" s="74">
        <f t="shared" si="16"/>
        <v>0.37100152660040037</v>
      </c>
      <c r="DF52" s="75">
        <f>INDEX('State Tax Lookup'!$D$7:$Z$91,MATCH(Calculation!$C52,'State Tax Lookup'!$B$7:$B$91,0),MATCH($H52,'State Tax Lookup'!$D$6:$Z$6,0))</f>
        <v>0.35</v>
      </c>
      <c r="DG52" s="75">
        <v>0.375</v>
      </c>
      <c r="DH52" s="73">
        <f t="shared" si="18"/>
        <v>21.1297732350457</v>
      </c>
      <c r="DI52" s="73">
        <v>20.763592984765573</v>
      </c>
      <c r="DJ52" s="72">
        <f t="shared" si="23"/>
        <v>2.1732277722036994E-2</v>
      </c>
      <c r="DK52" s="75">
        <f>VLOOKUP($H52,RoR!$E:$F,2,FALSE)</f>
        <v>4.1625000000000002E-2</v>
      </c>
      <c r="DL52" s="76">
        <f>HLOOKUP($H52,'GDP-PI'!$D$8:$CQ$11,3,FALSE)</f>
        <v>1.841352814597208E-2</v>
      </c>
      <c r="DM52" s="75">
        <f>VLOOKUP(H52,'HW Dx Data'!$E:$F,2,FALSE)</f>
        <v>684.46914285042885</v>
      </c>
      <c r="DN52" s="69">
        <f>VLOOKUP(H52,'ECI - Input Price'!$G$17:$H$37,2,FALSE)</f>
        <v>121.2</v>
      </c>
      <c r="DO52" s="72">
        <f t="shared" si="24"/>
        <v>2.0632179200028689E-2</v>
      </c>
      <c r="DP52" s="69">
        <f>HLOOKUP(H52,'GDP-PI'!$8:$9,2,FALSE)</f>
        <v>103.64700000000001</v>
      </c>
      <c r="DQ52" s="72">
        <f t="shared" si="24"/>
        <v>1.8246051898256087E-2</v>
      </c>
      <c r="DR52">
        <v>32.508333333333333</v>
      </c>
      <c r="DS52">
        <v>0.39225741578682755</v>
      </c>
      <c r="DV52" s="33">
        <v>3.3310601358195048E-3</v>
      </c>
      <c r="DW52" s="33">
        <v>4.0099999999999997E-2</v>
      </c>
      <c r="DX52" s="33">
        <f t="shared" si="0"/>
        <v>1.3357551144636213E-4</v>
      </c>
      <c r="DY52" s="33">
        <v>3.32E-2</v>
      </c>
      <c r="DZ52" s="33">
        <f t="shared" si="1"/>
        <v>1.1059119650920756E-4</v>
      </c>
      <c r="EA52" s="33">
        <v>3.0499999999999999E-2</v>
      </c>
      <c r="EB52" s="33">
        <f t="shared" si="2"/>
        <v>1.0159733414249489E-4</v>
      </c>
      <c r="EC52" s="33">
        <v>2.53E-2</v>
      </c>
      <c r="ED52" s="33">
        <f t="shared" si="3"/>
        <v>8.4275821436233475E-5</v>
      </c>
      <c r="EE52" s="33">
        <v>2.01E-2</v>
      </c>
      <c r="EF52" s="33">
        <f t="shared" si="4"/>
        <v>6.6954308729972044E-5</v>
      </c>
    </row>
    <row r="53" spans="1:136" ht="21" x14ac:dyDescent="0.35">
      <c r="A53" t="s">
        <v>28</v>
      </c>
      <c r="B53" s="42" t="s">
        <v>28</v>
      </c>
      <c r="C53" s="42">
        <v>4054707</v>
      </c>
      <c r="D53" s="42" t="s">
        <v>132</v>
      </c>
      <c r="E53" s="42"/>
      <c r="F53" s="42"/>
      <c r="G53" s="42" t="s">
        <v>21</v>
      </c>
      <c r="H53" s="11">
        <v>2015</v>
      </c>
      <c r="I53" s="62"/>
      <c r="J53" s="63">
        <f>IFERROR(INDEX('Labor Expenditures'!$F$7:$X$91,MATCH($C53,'Labor Expenditures'!$D$7:$D$91,0),MATCH($G53,'Labor Expenditures'!$F$5:$X$5,0)),"NA")</f>
        <v>59681.009160966263</v>
      </c>
      <c r="K53" s="63">
        <f t="shared" si="25"/>
        <v>482.27078109871729</v>
      </c>
      <c r="L53" s="79">
        <f t="shared" si="31"/>
        <v>4.8972151092194594E-5</v>
      </c>
      <c r="M53" s="79">
        <f t="shared" si="34"/>
        <v>2.067990491490047E-6</v>
      </c>
      <c r="N53" s="65">
        <f t="shared" si="46"/>
        <v>102.21015427778168</v>
      </c>
      <c r="O53" s="71">
        <f t="shared" si="47"/>
        <v>-1.1385914441012203E-2</v>
      </c>
      <c r="P53" s="63">
        <f>IFERROR(INDEX('Non-Labor Expenditures'!$F$7:$AB$91,MATCH($C53,'Non-Labor Expenditures'!$D$7:$D$91,0),MATCH($G53,'Non-Labor Expenditures'!$F$5:$AB$5,0)),"NA")</f>
        <v>86429.248139996111</v>
      </c>
      <c r="Q53" s="63">
        <f t="shared" si="32"/>
        <v>825.97547893229216</v>
      </c>
      <c r="R53" s="79">
        <f t="shared" si="35"/>
        <v>1.1344863779235013E-2</v>
      </c>
      <c r="S53" s="79">
        <f t="shared" si="48"/>
        <v>4.7906963242313409E-4</v>
      </c>
      <c r="T53" s="65">
        <f t="shared" si="49"/>
        <v>106.59602361026832</v>
      </c>
      <c r="U53" s="71">
        <f t="shared" si="50"/>
        <v>5.5843143465700773E-5</v>
      </c>
      <c r="V53" s="63">
        <f t="shared" si="5"/>
        <v>189793.09310103147</v>
      </c>
      <c r="W53" s="79">
        <f t="shared" si="51"/>
        <v>7.4435630513004455E-4</v>
      </c>
      <c r="X53" s="93">
        <v>9472.7151900669942</v>
      </c>
      <c r="Y53" s="81">
        <v>3.0563172070130352E-2</v>
      </c>
      <c r="Z53" s="81">
        <f t="shared" si="52"/>
        <v>1.2906181946513995E-3</v>
      </c>
      <c r="AA53" s="65">
        <f t="shared" si="53"/>
        <v>136.6232668171798</v>
      </c>
      <c r="AB53" s="71">
        <f t="shared" si="54"/>
        <v>4.2813303321764834E-2</v>
      </c>
      <c r="AC53" s="62">
        <f t="shared" si="26"/>
        <v>335903.35040199384</v>
      </c>
      <c r="AD53" s="81">
        <f t="shared" si="36"/>
        <v>9.4489492371112767E-3</v>
      </c>
      <c r="AE53" s="64">
        <f t="shared" si="37"/>
        <v>11494738.126169661</v>
      </c>
      <c r="AF53" s="71">
        <f t="shared" si="38"/>
        <v>1.0049047493809976E-2</v>
      </c>
      <c r="AG53" s="68">
        <f t="shared" si="39"/>
        <v>216.66724745164956</v>
      </c>
      <c r="AH53" s="71">
        <f>+AZ53/$BB$53</f>
        <v>4.1971671202856865E-2</v>
      </c>
      <c r="AI53" s="68"/>
      <c r="AJ53" s="105">
        <f t="shared" si="55"/>
        <v>9.0938864704686626</v>
      </c>
      <c r="AK53" s="105">
        <f t="shared" si="56"/>
        <v>0</v>
      </c>
      <c r="AL53" s="82">
        <f t="shared" si="27"/>
        <v>0.17767315833421354</v>
      </c>
      <c r="AM53" s="82">
        <f t="shared" si="28"/>
        <v>0.25730391803642783</v>
      </c>
      <c r="AN53" s="82">
        <f t="shared" si="29"/>
        <v>0.56502292362935869</v>
      </c>
      <c r="AO53" s="82">
        <f t="shared" si="40"/>
        <v>2.0255534706073393E-2</v>
      </c>
      <c r="AP53" s="65">
        <f t="shared" si="61"/>
        <v>93.840591377604099</v>
      </c>
      <c r="AQ53" s="81">
        <f t="shared" si="62"/>
        <v>2.0255534706073372E-2</v>
      </c>
      <c r="AR53" s="72">
        <f t="shared" si="33"/>
        <v>4.2227887592621041E-2</v>
      </c>
      <c r="AS53" s="72">
        <f t="shared" si="41"/>
        <v>8.5534844269650068E-4</v>
      </c>
      <c r="AT53" s="64"/>
      <c r="AU53" s="71">
        <f t="shared" si="42"/>
        <v>1.396802224219979E-2</v>
      </c>
      <c r="AV53" s="67">
        <f t="shared" si="57"/>
        <v>115.57333170380322</v>
      </c>
      <c r="AW53" s="72">
        <f t="shared" si="63"/>
        <v>1.3968022242199734E-2</v>
      </c>
      <c r="AX53" s="65">
        <f t="shared" si="58"/>
        <v>127.17490432568462</v>
      </c>
      <c r="AY53" s="81">
        <f t="shared" si="43"/>
        <v>-6.7105121058728869E-3</v>
      </c>
      <c r="AZ53" s="64">
        <f>IFERROR(INDEX('Total Customers'!$F$7:$AB$91,MATCH($C53,'Total Customers'!$D$7:$D$91,0),MATCH($G53,'Total Customers'!$F$5:$AB$5,0)),"NA")</f>
        <v>1550319</v>
      </c>
      <c r="BA53" s="71">
        <f t="shared" si="6"/>
        <v>1.1540099198895459E-2</v>
      </c>
      <c r="BB53" s="64">
        <f t="shared" si="64"/>
        <v>36937271.153846152</v>
      </c>
      <c r="BC53" s="64">
        <f t="shared" si="44"/>
        <v>8659109</v>
      </c>
      <c r="BD53" s="65">
        <f t="shared" si="59"/>
        <v>106.31311142677853</v>
      </c>
      <c r="BE53" s="71">
        <f t="shared" si="45"/>
        <v>8.1412141866009299E-3</v>
      </c>
      <c r="BF53" s="81">
        <f t="shared" si="65"/>
        <v>-5.8268080555988044E-3</v>
      </c>
      <c r="BG53" s="65">
        <f t="shared" si="60"/>
        <v>306.03924437549676</v>
      </c>
      <c r="BH53" s="65">
        <f t="shared" si="60"/>
        <v>434.60966320089449</v>
      </c>
      <c r="BI53" s="65"/>
      <c r="BJ53" s="65"/>
      <c r="BK53" s="65"/>
      <c r="BL53" s="65"/>
      <c r="BM53" s="65"/>
      <c r="BN53" s="65"/>
      <c r="BO53" s="65"/>
      <c r="BP53" s="65"/>
      <c r="BQ53" s="64"/>
      <c r="BR53" s="64"/>
      <c r="BS53" s="64">
        <f>INDEX('Dist. Plant Gas Additions'!$F$7:$AE$91,MATCH($C53,'Dist. Plant Gas Additions'!$D$7:$D$91,0),MATCH(Calculation!$G53,'Dist. Plant Gas Additions'!$F$5:$AE$5,0))</f>
        <v>225205</v>
      </c>
      <c r="BT53" s="64">
        <f>INDEX('Gen. Plant Additions'!$F$7:$AE$91,MATCH($C53,'Gen. Plant Additions'!$D$7:$D$91,0),MATCH(Calculation!$G53,'Gen. Plant Additions'!$F$5:$AE$5,0))</f>
        <v>18844</v>
      </c>
      <c r="BU53" s="64"/>
      <c r="BV53" s="64"/>
      <c r="BW53" s="64">
        <f>INDEX('Dist Plant Depreciation'!$E$7:$AD$94,MATCH($C53,'Dist Plant Depreciation'!$D$7:$D$94,0),MATCH(Calculation!$G53,'Dist Plant Depreciation'!$E$5:$AD$5,0))</f>
        <v>1170404</v>
      </c>
      <c r="BX53" s="64">
        <f>INDEX('Gen. Plant Depreciation'!$E$7:$AD$94,MATCH($C53,'Gen. Plant Depreciation'!$D$7:$D$94,0),MATCH(Calculation!$G53,'Gen. Plant Depreciation'!$E$5:$AD$5,0))</f>
        <v>115692</v>
      </c>
      <c r="BY53" s="69">
        <v>1946</v>
      </c>
      <c r="BZ53" s="69"/>
      <c r="CA53" s="67">
        <v>25.053649663958073</v>
      </c>
      <c r="CB53" s="107"/>
      <c r="CC53" s="64"/>
      <c r="CD53" s="64"/>
      <c r="CE53" s="64">
        <f>INDEX('Gross Dx Plant'!$E$7:$AD$91,MATCH($C53,'Gross Dx Plant'!$D$7:$D$91,0),MATCH(Calculation!$G53,'Gross Dx Plant'!$E$5:$AD$5,0))</f>
        <v>3411677</v>
      </c>
      <c r="CF53" s="64">
        <f>INDEX('Gross Gen Plant'!$E$7:$AD$91,MATCH($C53,'Gross Gen Plant'!$D$7:$D$91,0),MATCH(Calculation!$G53,'Gross Gen Plant'!$E$5:$AD$5,0))</f>
        <v>208993</v>
      </c>
      <c r="CG53" s="64">
        <f t="shared" si="7"/>
        <v>2334574</v>
      </c>
      <c r="CH53" s="64"/>
      <c r="CI53" s="68">
        <v>2015</v>
      </c>
      <c r="CJ53" s="64"/>
      <c r="CK53" s="64"/>
      <c r="CL53" s="64"/>
      <c r="CM53" s="69"/>
      <c r="CN53" s="64">
        <f t="shared" si="8"/>
        <v>244049</v>
      </c>
      <c r="CO53" s="64">
        <f t="shared" si="9"/>
        <v>361.22515417557128</v>
      </c>
      <c r="CP53" s="70">
        <v>0.88888888888888884</v>
      </c>
      <c r="CQ53" s="64">
        <f>+CQ36*CP53+CO37*CP52+CO38*CP51+CO39*CP50+CO40*CP49+CO41*CP48+CO42*CP47+CO43*CP46+CO44*CP45+CO45*CP44+CO46*CP43+CO47*CP42+CO48*CP41+CO49*CP40+CO50*CP39+CO51*CP38+CO52*CP37+CO53</f>
        <v>9472.7151900669942</v>
      </c>
      <c r="CR53" s="71">
        <f t="shared" si="10"/>
        <v>3.0563172070130352E-2</v>
      </c>
      <c r="CS53" s="64">
        <f t="shared" si="30"/>
        <v>229206.96019845916</v>
      </c>
      <c r="CT53" s="72">
        <f t="shared" si="11"/>
        <v>8.2816670370066629E-3</v>
      </c>
      <c r="CU53" s="72">
        <f t="shared" si="20"/>
        <v>8.0197337487260007E-3</v>
      </c>
      <c r="CV53" s="71">
        <f>VLOOKUP($H53,RoR!$E:$F,2,FALSE)</f>
        <v>3.8866666666666674E-2</v>
      </c>
      <c r="CW53" s="72">
        <v>9.5709475431029478E-3</v>
      </c>
      <c r="CX53" s="72">
        <f t="shared" si="17"/>
        <v>2.9295719123563727E-2</v>
      </c>
      <c r="CY53" s="72">
        <f t="shared" si="21"/>
        <v>2.2882207859807623E-2</v>
      </c>
      <c r="CZ53" s="72">
        <f t="shared" si="22"/>
        <v>3.5270373279175926E-3</v>
      </c>
      <c r="DA53" s="124">
        <f t="shared" si="12"/>
        <v>0.86875000000000002</v>
      </c>
      <c r="DB53" s="74">
        <f t="shared" si="13"/>
        <v>1.3194352816994324</v>
      </c>
      <c r="DC53" s="74">
        <f t="shared" si="14"/>
        <v>0.33177530017152673</v>
      </c>
      <c r="DD53" s="74">
        <f t="shared" si="15"/>
        <v>0.78242572977668579</v>
      </c>
      <c r="DE53" s="74">
        <f t="shared" si="16"/>
        <v>0.34251158643433932</v>
      </c>
      <c r="DF53" s="75">
        <f>INDEX('State Tax Lookup'!$D$7:$Z$91,MATCH(Calculation!$C53,'State Tax Lookup'!$B$7:$B$91,0),MATCH($H53,'State Tax Lookup'!$D$6:$Z$6,0))</f>
        <v>0.35</v>
      </c>
      <c r="DG53" s="75">
        <v>0.375</v>
      </c>
      <c r="DH53" s="73">
        <f t="shared" si="18"/>
        <v>20.657575122906941</v>
      </c>
      <c r="DI53" s="73">
        <v>20.279488671080099</v>
      </c>
      <c r="DJ53" s="72">
        <f t="shared" si="23"/>
        <v>-2.2601013495802461E-2</v>
      </c>
      <c r="DK53" s="75">
        <f>VLOOKUP($H53,RoR!$E:$F,2,FALSE)</f>
        <v>3.8866666666666674E-2</v>
      </c>
      <c r="DL53" s="76">
        <f>HLOOKUP($H53,'GDP-PI'!$D$8:$CQ$11,3,FALSE)</f>
        <v>9.5709475431029478E-3</v>
      </c>
      <c r="DM53" s="75">
        <f>VLOOKUP(H53,'HW Dx Data'!$E:$F,2,FALSE)</f>
        <v>675.61463308665782</v>
      </c>
      <c r="DN53" s="69">
        <f>VLOOKUP(H53,'ECI - Input Price'!$G$17:$H$37,2,FALSE)</f>
        <v>123.75</v>
      </c>
      <c r="DO53" s="72">
        <f t="shared" si="24"/>
        <v>2.0821327813585516E-2</v>
      </c>
      <c r="DP53" s="69">
        <f>HLOOKUP(H53,'GDP-PI'!$8:$9,2,FALSE)</f>
        <v>104.639</v>
      </c>
      <c r="DQ53" s="72">
        <f t="shared" si="24"/>
        <v>9.5254361854427965E-3</v>
      </c>
      <c r="DR53">
        <v>32.85</v>
      </c>
      <c r="DS53">
        <v>0.42115384615384616</v>
      </c>
      <c r="DV53" s="33">
        <v>1.2225736679067095E-2</v>
      </c>
      <c r="DW53" s="33">
        <v>4.6100000000000002E-2</v>
      </c>
      <c r="DX53" s="33">
        <f t="shared" si="0"/>
        <v>5.6360646090499312E-4</v>
      </c>
      <c r="DY53" s="33">
        <v>3.9300000000000002E-2</v>
      </c>
      <c r="DZ53" s="33">
        <f t="shared" si="1"/>
        <v>4.8047145148733688E-4</v>
      </c>
      <c r="EA53" s="33">
        <v>3.6700000000000003E-2</v>
      </c>
      <c r="EB53" s="33">
        <f t="shared" si="2"/>
        <v>4.4868453612176241E-4</v>
      </c>
      <c r="EC53" s="33">
        <v>3.15E-2</v>
      </c>
      <c r="ED53" s="33">
        <f t="shared" si="3"/>
        <v>3.8511070539061352E-4</v>
      </c>
      <c r="EE53" s="33">
        <v>2.6200000000000001E-2</v>
      </c>
      <c r="EF53" s="33">
        <f t="shared" si="4"/>
        <v>3.2031430099155789E-4</v>
      </c>
    </row>
    <row r="54" spans="1:136" ht="21" x14ac:dyDescent="0.35">
      <c r="A54" t="s">
        <v>28</v>
      </c>
      <c r="B54" s="42" t="s">
        <v>28</v>
      </c>
      <c r="C54" s="42">
        <v>4054707</v>
      </c>
      <c r="D54" s="42" t="s">
        <v>132</v>
      </c>
      <c r="E54" s="42"/>
      <c r="F54" s="42"/>
      <c r="G54" s="42" t="s">
        <v>22</v>
      </c>
      <c r="H54" s="11">
        <v>2016</v>
      </c>
      <c r="I54" s="62"/>
      <c r="J54" s="63">
        <f>IFERROR(INDEX('Labor Expenditures'!$F$7:$X$91,MATCH($C54,'Labor Expenditures'!$D$7:$D$91,0),MATCH($G54,'Labor Expenditures'!$F$5:$X$5,0)),"NA")</f>
        <v>65194.362989429668</v>
      </c>
      <c r="K54" s="63">
        <f t="shared" si="25"/>
        <v>515.77818820751315</v>
      </c>
      <c r="L54" s="79">
        <f t="shared" si="31"/>
        <v>6.7171062427514902E-2</v>
      </c>
      <c r="M54" s="79">
        <f t="shared" si="34"/>
        <v>2.9715395032639236E-3</v>
      </c>
      <c r="N54" s="65">
        <f t="shared" si="46"/>
        <v>104.27724783161399</v>
      </c>
      <c r="O54" s="71">
        <f t="shared" si="47"/>
        <v>2.0022166855636115E-2</v>
      </c>
      <c r="P54" s="63">
        <f>IFERROR(INDEX('Non-Labor Expenditures'!$F$7:$AB$91,MATCH($C54,'Non-Labor Expenditures'!$D$7:$D$91,0),MATCH($G54,'Non-Labor Expenditures'!$F$5:$AB$5,0)),"NA")</f>
        <v>94413.614236062742</v>
      </c>
      <c r="Q54" s="63">
        <f t="shared" si="32"/>
        <v>892.91834603221923</v>
      </c>
      <c r="R54" s="79">
        <f t="shared" si="35"/>
        <v>7.7930052324267265E-2</v>
      </c>
      <c r="S54" s="79">
        <f t="shared" si="48"/>
        <v>3.4474998697970145E-3</v>
      </c>
      <c r="T54" s="65">
        <f t="shared" si="49"/>
        <v>109.94541740520722</v>
      </c>
      <c r="U54" s="71">
        <f t="shared" si="50"/>
        <v>3.0937828166021471E-2</v>
      </c>
      <c r="V54" s="63">
        <f t="shared" si="5"/>
        <v>192287.97350359501</v>
      </c>
      <c r="W54" s="79">
        <f t="shared" si="51"/>
        <v>1.3059615247935563E-2</v>
      </c>
      <c r="X54" s="93">
        <v>9728.9656815648304</v>
      </c>
      <c r="Y54" s="81">
        <v>2.6692007550684141E-2</v>
      </c>
      <c r="Z54" s="81">
        <f t="shared" si="52"/>
        <v>1.1808113790647288E-3</v>
      </c>
      <c r="AA54" s="65">
        <f t="shared" si="53"/>
        <v>142.8170588435693</v>
      </c>
      <c r="AB54" s="71">
        <f t="shared" si="54"/>
        <v>4.4337241736468733E-2</v>
      </c>
      <c r="AC54" s="62">
        <f t="shared" si="26"/>
        <v>351895.95072908746</v>
      </c>
      <c r="AD54" s="81">
        <f t="shared" si="36"/>
        <v>4.6512066410207074E-2</v>
      </c>
      <c r="AE54" s="64">
        <f t="shared" si="37"/>
        <v>11897885.979127515</v>
      </c>
      <c r="AF54" s="71">
        <f t="shared" si="38"/>
        <v>3.4471359110048123E-2</v>
      </c>
      <c r="AG54" s="68">
        <f t="shared" si="39"/>
        <v>224.74923835961664</v>
      </c>
      <c r="AH54" s="71">
        <f>+AZ54/$BB$54</f>
        <v>4.2022562432502214E-2</v>
      </c>
      <c r="AI54" s="68"/>
      <c r="AJ54" s="105">
        <f t="shared" si="55"/>
        <v>9.4445389006243126</v>
      </c>
      <c r="AK54" s="105">
        <f t="shared" si="56"/>
        <v>0</v>
      </c>
      <c r="AL54" s="82">
        <f t="shared" si="27"/>
        <v>0.18526602211350979</v>
      </c>
      <c r="AM54" s="82">
        <f t="shared" si="28"/>
        <v>0.26829980294018363</v>
      </c>
      <c r="AN54" s="82">
        <f t="shared" si="29"/>
        <v>0.54643417494630642</v>
      </c>
      <c r="AO54" s="82">
        <f t="shared" si="40"/>
        <v>4.7503178546112579E-2</v>
      </c>
      <c r="AP54" s="65">
        <f t="shared" si="61"/>
        <v>98.405892446269164</v>
      </c>
      <c r="AQ54" s="81">
        <f t="shared" si="62"/>
        <v>4.7503178546112676E-2</v>
      </c>
      <c r="AR54" s="72">
        <f t="shared" si="33"/>
        <v>4.4238387720464414E-2</v>
      </c>
      <c r="AS54" s="72">
        <f t="shared" si="41"/>
        <v>2.1014640304773797E-3</v>
      </c>
      <c r="AT54" s="64"/>
      <c r="AU54" s="71">
        <f t="shared" si="42"/>
        <v>3.4089745274194838E-2</v>
      </c>
      <c r="AV54" s="67">
        <f t="shared" si="57"/>
        <v>119.58112128800452</v>
      </c>
      <c r="AW54" s="72">
        <f t="shared" si="63"/>
        <v>3.4089745274194894E-2</v>
      </c>
      <c r="AX54" s="65">
        <f t="shared" si="58"/>
        <v>126.77601763685902</v>
      </c>
      <c r="AY54" s="81">
        <f t="shared" si="43"/>
        <v>-3.1414496453426224E-3</v>
      </c>
      <c r="AZ54" s="64">
        <f>IFERROR(INDEX('Total Customers'!$F$7:$AB$91,MATCH($C54,'Total Customers'!$D$7:$D$91,0),MATCH($G54,'Total Customers'!$F$5:$AB$5,0)),"NA")</f>
        <v>1565727</v>
      </c>
      <c r="BA54" s="71">
        <f t="shared" si="6"/>
        <v>9.8895366620161285E-3</v>
      </c>
      <c r="BB54" s="64">
        <f t="shared" si="64"/>
        <v>37259198.615384616</v>
      </c>
      <c r="BC54" s="64">
        <f t="shared" si="44"/>
        <v>8759079</v>
      </c>
      <c r="BD54" s="65">
        <f t="shared" si="59"/>
        <v>107.23968529162438</v>
      </c>
      <c r="BE54" s="71">
        <f t="shared" si="45"/>
        <v>8.6777573845548978E-3</v>
      </c>
      <c r="BF54" s="81">
        <f t="shared" si="65"/>
        <v>-2.5411987889639998E-2</v>
      </c>
      <c r="BG54" s="65">
        <f t="shared" si="60"/>
        <v>314.14814689862419</v>
      </c>
      <c r="BH54" s="65">
        <f t="shared" si="60"/>
        <v>441.47225210470259</v>
      </c>
      <c r="BI54" s="65"/>
      <c r="BJ54" s="65"/>
      <c r="BK54" s="99" t="s">
        <v>578</v>
      </c>
      <c r="BL54" s="65"/>
      <c r="BM54" s="73"/>
      <c r="BN54" s="65"/>
      <c r="BO54" s="65"/>
      <c r="BP54" s="65"/>
      <c r="BQ54" s="64"/>
      <c r="BR54" s="64"/>
      <c r="BS54" s="64">
        <f>INDEX('Dist. Plant Gas Additions'!$F$7:$AE$91,MATCH($C54,'Dist. Plant Gas Additions'!$D$7:$D$91,0),MATCH(Calculation!$G54,'Dist. Plant Gas Additions'!$F$5:$AE$5,0))</f>
        <v>197690</v>
      </c>
      <c r="BT54" s="64">
        <f>INDEX('Gen. Plant Additions'!$F$7:$AE$91,MATCH($C54,'Gen. Plant Additions'!$D$7:$D$91,0),MATCH(Calculation!$G54,'Gen. Plant Additions'!$F$5:$AE$5,0))</f>
        <v>28617</v>
      </c>
      <c r="BU54" s="64"/>
      <c r="BV54" s="64"/>
      <c r="BW54" s="64">
        <f>INDEX('Dist Plant Depreciation'!$E$7:$AD$94,MATCH($C54,'Dist Plant Depreciation'!$D$7:$D$94,0),MATCH(Calculation!$G54,'Dist Plant Depreciation'!$E$5:$AD$5,0))</f>
        <v>1229893</v>
      </c>
      <c r="BX54" s="64">
        <f>INDEX('Gen. Plant Depreciation'!$E$7:$AD$94,MATCH($C54,'Gen. Plant Depreciation'!$D$7:$D$94,0),MATCH(Calculation!$G54,'Gen. Plant Depreciation'!$E$5:$AD$5,0))</f>
        <v>124397</v>
      </c>
      <c r="BY54" s="69">
        <v>1947</v>
      </c>
      <c r="BZ54" s="69"/>
      <c r="CA54" s="67">
        <v>29.240928528382653</v>
      </c>
      <c r="CB54" s="107"/>
      <c r="CC54" s="64"/>
      <c r="CD54" s="64"/>
      <c r="CE54" s="64">
        <f>INDEX('Gross Dx Plant'!$E$7:$AD$91,MATCH($C54,'Gross Dx Plant'!$D$7:$D$91,0),MATCH(Calculation!$G54,'Gross Dx Plant'!$E$5:$AD$5,0))</f>
        <v>3589050</v>
      </c>
      <c r="CF54" s="64">
        <f>INDEX('Gross Gen Plant'!$E$7:$AD$91,MATCH($C54,'Gross Gen Plant'!$D$7:$D$91,0),MATCH(Calculation!$G54,'Gross Gen Plant'!$E$5:$AD$5,0))</f>
        <v>231163</v>
      </c>
      <c r="CG54" s="64">
        <f t="shared" si="7"/>
        <v>2465923</v>
      </c>
      <c r="CH54" s="64"/>
      <c r="CI54" s="68">
        <v>2016</v>
      </c>
      <c r="CJ54" s="64"/>
      <c r="CK54" s="64"/>
      <c r="CL54" s="64"/>
      <c r="CM54" s="69"/>
      <c r="CN54" s="64">
        <f t="shared" si="8"/>
        <v>226307</v>
      </c>
      <c r="CO54" s="64">
        <f t="shared" si="9"/>
        <v>337.03901261424647</v>
      </c>
      <c r="CP54" s="70">
        <v>0.88</v>
      </c>
      <c r="CQ54" s="64">
        <f>+CQ36*CP54+CO37*CP53+CO38*CP52+CO39*CP51+CO40*CP50+CO41*CP49+CO42*CP48+CO43*CP47+CO44*CP46+CO45*CP45+CO46*CP44+CO47*CP43+CO48*CP42+CO49*CP41+CO50*CP40+CO51*CP39+CO52*CP38+CO53*CP37+CO54</f>
        <v>9728.9656815648304</v>
      </c>
      <c r="CR54" s="71">
        <f t="shared" si="10"/>
        <v>2.6692007550684141E-2</v>
      </c>
      <c r="CS54" s="64">
        <f t="shared" si="30"/>
        <v>239273.34355903603</v>
      </c>
      <c r="CT54" s="72">
        <f t="shared" si="11"/>
        <v>8.5285495758517411E-3</v>
      </c>
      <c r="CU54" s="72">
        <f t="shared" si="20"/>
        <v>8.2762768734648915E-3</v>
      </c>
      <c r="CV54" s="71">
        <f>VLOOKUP($H54,RoR!$E:$F,2,FALSE)</f>
        <v>3.6658333333333334E-2</v>
      </c>
      <c r="CW54" s="72">
        <v>1.0483662879041455E-2</v>
      </c>
      <c r="CX54" s="72">
        <f t="shared" si="17"/>
        <v>2.6174670454291879E-2</v>
      </c>
      <c r="CY54" s="72">
        <f t="shared" si="21"/>
        <v>2.2625664735068732E-2</v>
      </c>
      <c r="CZ54" s="72">
        <f t="shared" si="22"/>
        <v>4.301363574220729E-3</v>
      </c>
      <c r="DA54" s="124">
        <f t="shared" si="12"/>
        <v>0.86875000000000002</v>
      </c>
      <c r="DB54" s="74">
        <f t="shared" si="13"/>
        <v>1.3989193348138562</v>
      </c>
      <c r="DC54" s="74">
        <f t="shared" si="14"/>
        <v>0.29302682427824522</v>
      </c>
      <c r="DD54" s="74">
        <f t="shared" si="15"/>
        <v>0.76309497491941802</v>
      </c>
      <c r="DE54" s="74">
        <f t="shared" si="16"/>
        <v>0.31280857135128509</v>
      </c>
      <c r="DF54" s="75">
        <f>INDEX('State Tax Lookup'!$D$7:$Z$91,MATCH(Calculation!$C54,'State Tax Lookup'!$B$7:$B$91,0),MATCH($H54,'State Tax Lookup'!$D$6:$Z$6,0))</f>
        <v>0.35</v>
      </c>
      <c r="DG54" s="75">
        <v>0.375</v>
      </c>
      <c r="DH54" s="73">
        <f t="shared" si="18"/>
        <v>20.299140177382984</v>
      </c>
      <c r="DI54" s="73">
        <v>19.909765876209278</v>
      </c>
      <c r="DJ54" s="72">
        <f t="shared" si="23"/>
        <v>-1.7503556822194778E-2</v>
      </c>
      <c r="DK54" s="75">
        <f>VLOOKUP($H54,RoR!$E:$F,2,FALSE)</f>
        <v>3.6658333333333334E-2</v>
      </c>
      <c r="DL54" s="76">
        <f>HLOOKUP($H54,'GDP-PI'!$D$8:$CQ$11,3,FALSE)</f>
        <v>1.0483662879041455E-2</v>
      </c>
      <c r="DM54" s="75">
        <f>VLOOKUP(H54,'HW Dx Data'!$E:$F,2,FALSE)</f>
        <v>671.45639385971219</v>
      </c>
      <c r="DN54" s="69">
        <f>VLOOKUP(H54,'ECI - Input Price'!$G$17:$H$37,2,FALSE)</f>
        <v>126.4</v>
      </c>
      <c r="DO54" s="72">
        <f t="shared" si="24"/>
        <v>2.11880802639575E-2</v>
      </c>
      <c r="DP54" s="69">
        <f>HLOOKUP(H54,'GDP-PI'!$8:$9,2,FALSE)</f>
        <v>105.736</v>
      </c>
      <c r="DQ54" s="72">
        <f t="shared" si="24"/>
        <v>1.0429090367205095E-2</v>
      </c>
      <c r="DR54">
        <v>33.25</v>
      </c>
      <c r="DS54">
        <v>0.45135746606334842</v>
      </c>
      <c r="DV54" s="33">
        <v>8.1954649143381481E-3</v>
      </c>
      <c r="DW54" s="33">
        <v>3.9E-2</v>
      </c>
      <c r="DX54" s="33">
        <f t="shared" si="0"/>
        <v>3.1962313165918778E-4</v>
      </c>
      <c r="DY54" s="33">
        <v>3.2500000000000001E-2</v>
      </c>
      <c r="DZ54" s="33">
        <f t="shared" si="1"/>
        <v>2.663526097159898E-4</v>
      </c>
      <c r="EA54" s="33">
        <v>2.98E-2</v>
      </c>
      <c r="EB54" s="33">
        <f t="shared" si="2"/>
        <v>2.4422485444727679E-4</v>
      </c>
      <c r="EC54" s="33">
        <v>2.5100000000000001E-2</v>
      </c>
      <c r="ED54" s="33">
        <f t="shared" si="3"/>
        <v>2.0570616934988752E-4</v>
      </c>
      <c r="EE54" s="33">
        <v>2.0199999999999999E-2</v>
      </c>
      <c r="EF54" s="33">
        <f t="shared" si="4"/>
        <v>1.6554839126963058E-4</v>
      </c>
    </row>
    <row r="55" spans="1:136" ht="21" x14ac:dyDescent="0.35">
      <c r="A55" t="s">
        <v>28</v>
      </c>
      <c r="B55" s="42" t="s">
        <v>28</v>
      </c>
      <c r="C55" s="42">
        <v>4054707</v>
      </c>
      <c r="D55" s="42" t="s">
        <v>132</v>
      </c>
      <c r="E55" s="42"/>
      <c r="F55" s="42"/>
      <c r="G55" s="42" t="s">
        <v>23</v>
      </c>
      <c r="H55" s="11">
        <v>2017</v>
      </c>
      <c r="I55" s="62"/>
      <c r="J55" s="63">
        <f>IFERROR(INDEX('Labor Expenditures'!$F$7:$X$91,MATCH($C55,'Labor Expenditures'!$D$7:$D$91,0),MATCH($G55,'Labor Expenditures'!$F$5:$X$5,0)),"NA")</f>
        <v>66250.575188707677</v>
      </c>
      <c r="K55" s="63">
        <f t="shared" si="25"/>
        <v>511.58745319465385</v>
      </c>
      <c r="L55" s="79">
        <f t="shared" si="31"/>
        <v>-8.1582604821223668E-3</v>
      </c>
      <c r="M55" s="79">
        <f t="shared" si="34"/>
        <v>-3.5159301250528379E-4</v>
      </c>
      <c r="N55" s="65">
        <f t="shared" si="46"/>
        <v>104.86675907461382</v>
      </c>
      <c r="O55" s="71">
        <f t="shared" si="47"/>
        <v>5.6373865352195235E-3</v>
      </c>
      <c r="P55" s="63">
        <f>IFERROR(INDEX('Non-Labor Expenditures'!$F$7:$AB$91,MATCH($C55,'Non-Labor Expenditures'!$D$7:$D$91,0),MATCH($G55,'Non-Labor Expenditures'!$F$5:$AB$5,0)),"NA")</f>
        <v>95943.206773844373</v>
      </c>
      <c r="Q55" s="63">
        <f t="shared" si="32"/>
        <v>890.41592907578001</v>
      </c>
      <c r="R55" s="79">
        <f t="shared" si="35"/>
        <v>-2.8064492830319077E-3</v>
      </c>
      <c r="S55" s="79">
        <f t="shared" si="48"/>
        <v>-1.2094832716199148E-4</v>
      </c>
      <c r="T55" s="65">
        <f t="shared" si="49"/>
        <v>111.16865475910515</v>
      </c>
      <c r="U55" s="71">
        <f t="shared" si="50"/>
        <v>1.1064423183089546E-2</v>
      </c>
      <c r="V55" s="63">
        <f t="shared" si="5"/>
        <v>180619.50528891661</v>
      </c>
      <c r="W55" s="79">
        <f t="shared" si="51"/>
        <v>-6.2601472497899782E-2</v>
      </c>
      <c r="X55" s="93">
        <v>9943.7170554596378</v>
      </c>
      <c r="Y55" s="81">
        <v>2.1833311458295358E-2</v>
      </c>
      <c r="Z55" s="81">
        <f t="shared" si="52"/>
        <v>9.4094075145185541E-4</v>
      </c>
      <c r="AA55" s="65">
        <f t="shared" si="53"/>
        <v>149.05139808138676</v>
      </c>
      <c r="AB55" s="71">
        <f t="shared" si="54"/>
        <v>4.2726697569406308E-2</v>
      </c>
      <c r="AC55" s="62">
        <f t="shared" si="26"/>
        <v>342813.28725146863</v>
      </c>
      <c r="AD55" s="81">
        <f t="shared" si="36"/>
        <v>-2.6149590465741775E-2</v>
      </c>
      <c r="AE55" s="64">
        <f t="shared" si="37"/>
        <v>11847371.504450832</v>
      </c>
      <c r="AF55" s="71">
        <f t="shared" si="38"/>
        <v>-4.2547065168614144E-3</v>
      </c>
      <c r="AG55" s="68">
        <f t="shared" si="39"/>
        <v>217.26773423600437</v>
      </c>
      <c r="AH55" s="71">
        <f>+AZ55/$BB$55</f>
        <v>4.2029441923744054E-2</v>
      </c>
      <c r="AI55" s="71"/>
      <c r="AJ55" s="105">
        <f t="shared" si="55"/>
        <v>9.1316416179756033</v>
      </c>
      <c r="AK55" s="105">
        <f t="shared" si="56"/>
        <v>0</v>
      </c>
      <c r="AL55" s="82">
        <f t="shared" si="27"/>
        <v>0.19325556404151267</v>
      </c>
      <c r="AM55" s="82">
        <f t="shared" si="28"/>
        <v>0.27987015189252512</v>
      </c>
      <c r="AN55" s="82">
        <f t="shared" si="29"/>
        <v>0.52687428406596226</v>
      </c>
      <c r="AO55" s="82">
        <f t="shared" si="40"/>
        <v>9.4036945008796058E-3</v>
      </c>
      <c r="AP55" s="65">
        <f t="shared" si="61"/>
        <v>99.335636056975417</v>
      </c>
      <c r="AQ55" s="81">
        <f t="shared" si="62"/>
        <v>9.4036945008795138E-3</v>
      </c>
      <c r="AR55" s="72">
        <f t="shared" si="33"/>
        <v>4.3096566146147014E-2</v>
      </c>
      <c r="AS55" s="72">
        <f t="shared" si="41"/>
        <v>4.0526694207531288E-4</v>
      </c>
      <c r="AT55" s="64"/>
      <c r="AU55" s="71">
        <f t="shared" si="42"/>
        <v>2.2982693167141417E-2</v>
      </c>
      <c r="AV55" s="67">
        <f t="shared" si="57"/>
        <v>122.36124247165533</v>
      </c>
      <c r="AW55" s="72">
        <f t="shared" si="63"/>
        <v>2.2982693167141313E-2</v>
      </c>
      <c r="AX55" s="65">
        <f t="shared" si="58"/>
        <v>122.0293883351914</v>
      </c>
      <c r="AY55" s="81">
        <f t="shared" si="43"/>
        <v>-3.8159985041002702E-2</v>
      </c>
      <c r="AZ55" s="64">
        <f>IFERROR(INDEX('Total Customers'!$F$7:$AB$91,MATCH($C55,'Total Customers'!$D$7:$D$91,0),MATCH($G55,'Total Customers'!$F$5:$AB$5,0)),"NA")</f>
        <v>1577838</v>
      </c>
      <c r="BA55" s="71">
        <f t="shared" si="6"/>
        <v>7.7053026871201817E-3</v>
      </c>
      <c r="BB55" s="64">
        <f t="shared" si="64"/>
        <v>37541255.076923072</v>
      </c>
      <c r="BC55" s="64">
        <f t="shared" si="44"/>
        <v>8824403</v>
      </c>
      <c r="BD55" s="65">
        <f t="shared" si="59"/>
        <v>108.05150216621931</v>
      </c>
      <c r="BE55" s="71">
        <f t="shared" si="45"/>
        <v>7.5416066203838634E-3</v>
      </c>
      <c r="BF55" s="81">
        <f t="shared" si="65"/>
        <v>-1.544108654675745E-2</v>
      </c>
      <c r="BG55" s="65">
        <f t="shared" si="60"/>
        <v>310.37140063328724</v>
      </c>
      <c r="BH55" s="65">
        <f t="shared" si="60"/>
        <v>443.4785307236844</v>
      </c>
      <c r="BI55" s="65"/>
      <c r="BJ55" s="73"/>
      <c r="BO55" s="88"/>
      <c r="BP55" s="65"/>
      <c r="BQ55" s="78"/>
      <c r="BR55" s="64"/>
      <c r="BS55" s="64">
        <f>INDEX('Dist. Plant Gas Additions'!$F$7:$AE$91,MATCH($C55,'Dist. Plant Gas Additions'!$D$7:$D$91,0),MATCH(Calculation!$G55,'Dist. Plant Gas Additions'!$F$5:$AE$5,0))</f>
        <v>197431</v>
      </c>
      <c r="BT55" s="64">
        <f>INDEX('Gen. Plant Additions'!$F$7:$AE$91,MATCH($C55,'Gen. Plant Additions'!$D$7:$D$91,0),MATCH(Calculation!$G55,'Gen. Plant Additions'!$F$5:$AE$5,0))</f>
        <v>16543</v>
      </c>
      <c r="BU55" s="64"/>
      <c r="BV55" s="64"/>
      <c r="BW55" s="64">
        <f>INDEX('Dist Plant Depreciation'!$E$7:$AD$94,MATCH($C55,'Dist Plant Depreciation'!$D$7:$D$94,0),MATCH(Calculation!$G55,'Dist Plant Depreciation'!$E$5:$AD$5,0))</f>
        <v>1293537</v>
      </c>
      <c r="BX55" s="64">
        <f>INDEX('Gen. Plant Depreciation'!$E$7:$AD$94,MATCH($C55,'Gen. Plant Depreciation'!$D$7:$D$94,0),MATCH(Calculation!$G55,'Gen. Plant Depreciation'!$E$5:$AD$5,0))</f>
        <v>109772</v>
      </c>
      <c r="BY55" s="69">
        <v>1948</v>
      </c>
      <c r="BZ55" s="69">
        <f t="shared" ref="BZ55:BZ103" si="66">+BZ56-1</f>
        <v>1</v>
      </c>
      <c r="CA55" s="67">
        <v>32.0914639609503</v>
      </c>
      <c r="CB55" s="107">
        <f t="shared" ref="CB55:CB104" si="67">+BZ55/$BZ$107</f>
        <v>7.5414781297134241E-4</v>
      </c>
      <c r="CC55" s="108">
        <f>+CB55*CA55</f>
        <v>2.4201707361199323E-2</v>
      </c>
      <c r="CD55" s="108"/>
      <c r="CE55" s="64">
        <f>INDEX('Gross Dx Plant'!$E$7:$AD$91,MATCH($C55,'Gross Dx Plant'!$D$7:$D$91,0),MATCH(Calculation!$G55,'Gross Dx Plant'!$E$5:$AD$5,0))</f>
        <v>3765040</v>
      </c>
      <c r="CF55" s="64">
        <f>INDEX('Gross Gen Plant'!$E$7:$AD$91,MATCH($C55,'Gross Gen Plant'!$D$7:$D$91,0),MATCH(Calculation!$G55,'Gross Gen Plant'!$E$5:$AD$5,0))</f>
        <v>223182</v>
      </c>
      <c r="CG55" s="64">
        <f t="shared" si="7"/>
        <v>2584913</v>
      </c>
      <c r="CH55" s="64"/>
      <c r="CI55" s="68">
        <v>2017</v>
      </c>
      <c r="CJ55" s="64"/>
      <c r="CK55" s="64"/>
      <c r="CL55" s="64"/>
      <c r="CM55" s="69"/>
      <c r="CN55" s="64">
        <f t="shared" si="8"/>
        <v>213974</v>
      </c>
      <c r="CO55" s="64">
        <f t="shared" si="9"/>
        <v>300.3444905144533</v>
      </c>
      <c r="CP55" s="70">
        <v>0.87074829931972786</v>
      </c>
      <c r="CQ55" s="64">
        <f>+CQ36*CP55+CO37*CP54+CO38*CP53+CO39*CP52+CO40*CP51+CO41*CP50+CO42*CP49+CO43*CP48+CO44*CP47+CO45*CP46+CO46*CP45+CO47*CP44+CO48*CP43+CO49*CP42+CO50*CP41+CO51*CP40+CO52*CP39+CO53*CP38+CO54*CP37+CO55</f>
        <v>9943.7170554596378</v>
      </c>
      <c r="CR55" s="71">
        <f t="shared" si="10"/>
        <v>2.1833311458295358E-2</v>
      </c>
      <c r="CS55" s="64">
        <f t="shared" si="30"/>
        <v>249480.46401714918</v>
      </c>
      <c r="CT55" s="72">
        <f t="shared" si="11"/>
        <v>8.7977611825514179E-3</v>
      </c>
      <c r="CU55" s="72">
        <f t="shared" si="20"/>
        <v>8.5359925984699395E-3</v>
      </c>
      <c r="CV55" s="71">
        <f>VLOOKUP($H55,RoR!$E:$F,2,FALSE)</f>
        <v>3.7433333333333339E-2</v>
      </c>
      <c r="CW55" s="72">
        <v>1.9056896421275615E-2</v>
      </c>
      <c r="CX55" s="72">
        <f t="shared" si="17"/>
        <v>1.8376436912057724E-2</v>
      </c>
      <c r="CY55" s="72">
        <f t="shared" si="21"/>
        <v>2.2365949010063686E-2</v>
      </c>
      <c r="CZ55" s="72">
        <f t="shared" si="22"/>
        <v>1.3976271617800498E-2</v>
      </c>
      <c r="DA55" s="124">
        <f t="shared" si="12"/>
        <v>0.92125000000000001</v>
      </c>
      <c r="DB55" s="74">
        <f t="shared" si="13"/>
        <v>1.3699568463593395</v>
      </c>
      <c r="DC55" s="74">
        <f t="shared" si="14"/>
        <v>0.30714603739982199</v>
      </c>
      <c r="DD55" s="74">
        <f t="shared" si="15"/>
        <v>0.77007188472689425</v>
      </c>
      <c r="DE55" s="74">
        <f t="shared" si="16"/>
        <v>0.32402839633793828</v>
      </c>
      <c r="DF55" s="75">
        <f>INDEX('State Tax Lookup'!$D$7:$Z$91,MATCH(Calculation!$C55,'State Tax Lookup'!$B$7:$B$91,0),MATCH($H55,'State Tax Lookup'!$D$6:$Z$6,0))</f>
        <v>0.20999999999999996</v>
      </c>
      <c r="DG55" s="75">
        <v>0.375</v>
      </c>
      <c r="DH55" s="73">
        <f t="shared" si="18"/>
        <v>18.565129244023126</v>
      </c>
      <c r="DI55" s="73">
        <v>18.231812616449311</v>
      </c>
      <c r="DJ55" s="72">
        <f t="shared" si="23"/>
        <v>-8.929348004858384E-2</v>
      </c>
      <c r="DK55" s="75">
        <f>VLOOKUP($H55,RoR!$E:$F,2,FALSE)</f>
        <v>3.7433333333333339E-2</v>
      </c>
      <c r="DL55" s="76">
        <f>HLOOKUP($H55,'GDP-PI'!$D$8:$CQ$11,3,FALSE)</f>
        <v>1.9056896421275615E-2</v>
      </c>
      <c r="DM55" s="75">
        <f>VLOOKUP(H55,'HW Dx Data'!$E:$F,2,FALSE)</f>
        <v>712.42858370229726</v>
      </c>
      <c r="DN55" s="69">
        <f>VLOOKUP(H55,'ECI - Input Price'!$G$17:$H$37,2,FALSE)</f>
        <v>129.5</v>
      </c>
      <c r="DO55" s="72">
        <f t="shared" si="24"/>
        <v>2.4229399426835413E-2</v>
      </c>
      <c r="DP55" s="69">
        <f>HLOOKUP(H55,'GDP-PI'!$8:$9,2,FALSE)</f>
        <v>107.751</v>
      </c>
      <c r="DQ55" s="72">
        <f t="shared" si="24"/>
        <v>1.8877588227745139E-2</v>
      </c>
      <c r="DR55">
        <v>34.299999999999997</v>
      </c>
      <c r="DS55">
        <v>0.49147812971342375</v>
      </c>
      <c r="DV55" s="33">
        <v>6.6641116146713324E-3</v>
      </c>
      <c r="DW55" s="33">
        <v>2.5899999999999999E-2</v>
      </c>
      <c r="DX55" s="33">
        <f t="shared" si="0"/>
        <v>1.7260049081998751E-4</v>
      </c>
      <c r="DY55" s="33">
        <v>1.8599999999999998E-2</v>
      </c>
      <c r="DZ55" s="33">
        <f t="shared" si="1"/>
        <v>1.2395247603288678E-4</v>
      </c>
      <c r="EA55" s="33">
        <v>1.52E-2</v>
      </c>
      <c r="EB55" s="33">
        <f t="shared" si="2"/>
        <v>1.0129449654300425E-4</v>
      </c>
      <c r="EC55" s="33">
        <v>1.0200000000000001E-2</v>
      </c>
      <c r="ED55" s="33">
        <f t="shared" si="3"/>
        <v>6.7973938469647596E-5</v>
      </c>
      <c r="EE55" s="33">
        <v>4.5999999999999999E-3</v>
      </c>
      <c r="EF55" s="33">
        <f t="shared" si="4"/>
        <v>3.0654913427488129E-5</v>
      </c>
    </row>
    <row r="56" spans="1:136" ht="46.5" x14ac:dyDescent="0.5">
      <c r="A56" t="s">
        <v>28</v>
      </c>
      <c r="B56" s="42" t="s">
        <v>28</v>
      </c>
      <c r="C56" s="42">
        <v>4054707</v>
      </c>
      <c r="D56" s="42" t="s">
        <v>132</v>
      </c>
      <c r="E56" s="42"/>
      <c r="F56" s="42"/>
      <c r="G56" s="42" t="s">
        <v>24</v>
      </c>
      <c r="H56" s="11">
        <v>2018</v>
      </c>
      <c r="I56" s="62"/>
      <c r="J56" s="63">
        <f>IFERROR(INDEX('Labor Expenditures'!$F$7:$X$91,MATCH($C56,'Labor Expenditures'!$D$7:$D$91,0),MATCH($G56,'Labor Expenditures'!$F$5:$X$5,0)),"NA")</f>
        <v>68571.037389188976</v>
      </c>
      <c r="K56" s="63">
        <f t="shared" si="25"/>
        <v>514.60440817402605</v>
      </c>
      <c r="L56" s="79">
        <f t="shared" si="31"/>
        <v>5.8799212606523961E-3</v>
      </c>
      <c r="M56" s="79">
        <f t="shared" si="34"/>
        <v>2.6677213442790113E-4</v>
      </c>
      <c r="N56" s="65">
        <f t="shared" si="46"/>
        <v>110.96137001062813</v>
      </c>
      <c r="O56" s="71">
        <f t="shared" si="47"/>
        <v>5.6491539667429841E-2</v>
      </c>
      <c r="P56" s="63">
        <f>IFERROR(INDEX('Non-Labor Expenditures'!$F$7:$AB$91,MATCH($C56,'Non-Labor Expenditures'!$D$7:$D$91,0),MATCH($G56,'Non-Labor Expenditures'!$F$5:$AB$5,0)),"NA")</f>
        <v>99303.669442696992</v>
      </c>
      <c r="Q56" s="63">
        <f t="shared" si="32"/>
        <v>900.12571783231806</v>
      </c>
      <c r="R56" s="79">
        <f t="shared" si="35"/>
        <v>1.084575045050494E-2</v>
      </c>
      <c r="S56" s="79">
        <f t="shared" si="48"/>
        <v>4.9207189499550323E-4</v>
      </c>
      <c r="T56" s="65">
        <f t="shared" si="49"/>
        <v>118.22521790213696</v>
      </c>
      <c r="U56" s="71">
        <f t="shared" si="50"/>
        <v>6.1542971224452993E-2</v>
      </c>
      <c r="V56" s="63">
        <f t="shared" si="5"/>
        <v>193022.84167392115</v>
      </c>
      <c r="W56" s="79">
        <f t="shared" si="51"/>
        <v>6.6415894685887364E-2</v>
      </c>
      <c r="X56" s="93">
        <v>10165.957532128436</v>
      </c>
      <c r="Y56" s="81">
        <v>2.2103741566056496E-2</v>
      </c>
      <c r="Z56" s="81">
        <f t="shared" si="52"/>
        <v>1.0028471564541589E-3</v>
      </c>
      <c r="AA56" s="65">
        <f t="shared" si="53"/>
        <v>155.30242259066256</v>
      </c>
      <c r="AB56" s="71">
        <f t="shared" si="54"/>
        <v>4.1083129428703881E-2</v>
      </c>
      <c r="AC56" s="62">
        <f t="shared" si="26"/>
        <v>360897.54850580712</v>
      </c>
      <c r="AD56" s="81">
        <f t="shared" si="36"/>
        <v>5.1408171985345356E-2</v>
      </c>
      <c r="AE56" s="64">
        <f t="shared" si="37"/>
        <v>12882082.51160174</v>
      </c>
      <c r="AF56" s="71">
        <f t="shared" si="38"/>
        <v>8.3731364283462104E-2</v>
      </c>
      <c r="AG56" s="68">
        <f t="shared" si="39"/>
        <v>226.25826751432515</v>
      </c>
      <c r="AH56" s="71">
        <f>+AZ56/$BB$56</f>
        <v>4.2119364230551057E-2</v>
      </c>
      <c r="AI56" s="71"/>
      <c r="AJ56" s="105">
        <f t="shared" si="55"/>
        <v>9.5298543796093185</v>
      </c>
      <c r="AK56" s="105">
        <f t="shared" si="56"/>
        <v>0</v>
      </c>
      <c r="AL56" s="82">
        <f t="shared" si="27"/>
        <v>0.19000139422694254</v>
      </c>
      <c r="AM56" s="82">
        <f t="shared" si="28"/>
        <v>0.27515750620594509</v>
      </c>
      <c r="AN56" s="82">
        <f t="shared" si="29"/>
        <v>0.53484109956711234</v>
      </c>
      <c r="AO56" s="82">
        <f t="shared" si="40"/>
        <v>1.5870547333305927E-2</v>
      </c>
      <c r="AP56" s="65">
        <f t="shared" si="61"/>
        <v>100.92472346028102</v>
      </c>
      <c r="AQ56" s="81">
        <f t="shared" si="62"/>
        <v>1.5870547333305927E-2</v>
      </c>
      <c r="AR56" s="72">
        <f t="shared" si="33"/>
        <v>4.5370018168968115E-2</v>
      </c>
      <c r="AS56" s="72">
        <f t="shared" si="41"/>
        <v>7.2004702086355841E-4</v>
      </c>
      <c r="AT56" s="64"/>
      <c r="AU56" s="71">
        <f t="shared" si="42"/>
        <v>5.7346172469302036E-2</v>
      </c>
      <c r="AV56" s="67">
        <f t="shared" si="57"/>
        <v>129.58329071412186</v>
      </c>
      <c r="AW56" s="72">
        <f t="shared" si="63"/>
        <v>5.7346172469302098E-2</v>
      </c>
      <c r="AX56" s="65">
        <f t="shared" si="58"/>
        <v>126.462149042981</v>
      </c>
      <c r="AY56" s="81">
        <f t="shared" si="43"/>
        <v>3.5681142623913031E-2</v>
      </c>
      <c r="AZ56" s="64">
        <f>IFERROR(INDEX('Total Customers'!$F$7:$AB$91,MATCH($C56,'Total Customers'!$D$7:$D$91,0),MATCH($G56,'Total Customers'!$F$5:$AB$5,0)),"NA")</f>
        <v>1595069</v>
      </c>
      <c r="BA56" s="71">
        <f t="shared" si="6"/>
        <v>1.0861439932538904E-2</v>
      </c>
      <c r="BB56" s="64">
        <f t="shared" si="64"/>
        <v>37870206</v>
      </c>
      <c r="BC56" s="64">
        <f t="shared" si="44"/>
        <v>8911356</v>
      </c>
      <c r="BD56" s="65">
        <f t="shared" si="59"/>
        <v>108.99829100704513</v>
      </c>
      <c r="BE56" s="71">
        <f t="shared" si="45"/>
        <v>8.7242179053973763E-3</v>
      </c>
      <c r="BF56" s="81">
        <f t="shared" si="65"/>
        <v>-4.8621954563904723E-2</v>
      </c>
      <c r="BG56" s="65">
        <f t="shared" si="60"/>
        <v>334.63431424239781</v>
      </c>
      <c r="BH56" s="65">
        <f t="shared" si="60"/>
        <v>503.60157767162036</v>
      </c>
      <c r="BI56" s="65"/>
      <c r="BJ56" s="16"/>
      <c r="BK56" s="153" t="s">
        <v>299</v>
      </c>
      <c r="BL56" s="153" t="s">
        <v>594</v>
      </c>
      <c r="BM56" s="153" t="s">
        <v>579</v>
      </c>
      <c r="BO56" s="65"/>
      <c r="BP56" s="65"/>
      <c r="BQ56" s="64"/>
      <c r="BR56" s="64"/>
      <c r="BS56" s="64">
        <f>INDEX('Dist. Plant Gas Additions'!$F$7:$AE$91,MATCH($C56,'Dist. Plant Gas Additions'!$D$7:$D$91,0),MATCH(Calculation!$G56,'Dist. Plant Gas Additions'!$F$5:$AE$5,0))</f>
        <v>199177</v>
      </c>
      <c r="BT56" s="64">
        <f>INDEX('Gen. Plant Additions'!$F$7:$AE$91,MATCH($C56,'Gen. Plant Additions'!$D$7:$D$91,0),MATCH(Calculation!$G56,'Gen. Plant Additions'!$F$5:$AE$5,0))</f>
        <v>36949</v>
      </c>
      <c r="BU56" s="64"/>
      <c r="BV56" s="64"/>
      <c r="BW56" s="64">
        <f>INDEX('Dist Plant Depreciation'!$E$7:$AD$94,MATCH($C56,'Dist Plant Depreciation'!$D$7:$D$94,0),MATCH(Calculation!$G56,'Dist Plant Depreciation'!$E$5:$AD$5,0))</f>
        <v>1350329</v>
      </c>
      <c r="BX56" s="64">
        <f>INDEX('Gen. Plant Depreciation'!$E$7:$AD$94,MATCH($C56,'Gen. Plant Depreciation'!$D$7:$D$94,0),MATCH(Calculation!$G56,'Gen. Plant Depreciation'!$E$5:$AD$5,0))</f>
        <v>129940</v>
      </c>
      <c r="BY56" s="69">
        <v>1949</v>
      </c>
      <c r="BZ56" s="69">
        <f t="shared" si="66"/>
        <v>2</v>
      </c>
      <c r="CA56" s="67">
        <v>34.080917522592109</v>
      </c>
      <c r="CB56" s="107">
        <f t="shared" si="67"/>
        <v>1.5082956259426848E-3</v>
      </c>
      <c r="CC56" s="108">
        <f t="shared" ref="CC56:CC105" si="68">+CB56*CA56</f>
        <v>5.1404098827439085E-2</v>
      </c>
      <c r="CD56" s="108"/>
      <c r="CE56" s="64">
        <f>INDEX('Gross Dx Plant'!$E$7:$AD$91,MATCH($C56,'Gross Dx Plant'!$D$7:$D$91,0),MATCH(Calculation!$G56,'Gross Dx Plant'!$E$5:$AD$5,0))</f>
        <v>3940130</v>
      </c>
      <c r="CF56" s="64">
        <f>INDEX('Gross Gen Plant'!$E$7:$AD$91,MATCH($C56,'Gross Gen Plant'!$D$7:$D$91,0),MATCH(Calculation!$G56,'Gross Gen Plant'!$E$5:$AD$5,0))</f>
        <v>257478</v>
      </c>
      <c r="CG56" s="64">
        <f t="shared" si="7"/>
        <v>2717339</v>
      </c>
      <c r="CH56" s="64"/>
      <c r="CI56" s="68">
        <v>2018</v>
      </c>
      <c r="CJ56" s="64"/>
      <c r="CK56" s="64"/>
      <c r="CL56" s="64"/>
      <c r="CM56" s="69"/>
      <c r="CN56" s="64">
        <f t="shared" si="8"/>
        <v>236126</v>
      </c>
      <c r="CO56" s="64">
        <f t="shared" si="9"/>
        <v>312.69304685553624</v>
      </c>
      <c r="CP56" s="70">
        <v>0.86111111111111116</v>
      </c>
      <c r="CQ56" s="64">
        <f>+CQ36*CP56++CO37*CP55+CO38*CP54+CO39*CP53+CO40*CP52+CO41*CP51+CO42*CP50+CO43*CP49+CO44*CP48+CO45*CP47+CO46*CP46+CO47*CP45+CO48*CP44+CO49*CP43+CO50*CP42+CO51*CP41+CO52*CP40+CO53*CP39+CO54*CP38+CO55*CP37+CO56</f>
        <v>10165.957532128436</v>
      </c>
      <c r="CR56" s="71">
        <f t="shared" si="10"/>
        <v>2.2103741566056496E-2</v>
      </c>
      <c r="CS56" s="64">
        <f t="shared" si="30"/>
        <v>259802.43721721519</v>
      </c>
      <c r="CT56" s="72">
        <f t="shared" si="11"/>
        <v>9.0964545433314704E-3</v>
      </c>
      <c r="CU56" s="72">
        <f t="shared" si="20"/>
        <v>8.807588433911542E-3</v>
      </c>
      <c r="CV56" s="71">
        <f>VLOOKUP($H56,RoR!$E:$F,2,FALSE)</f>
        <v>3.9299999999999995E-2</v>
      </c>
      <c r="CW56" s="72">
        <v>2.386056741932796E-2</v>
      </c>
      <c r="CX56" s="72">
        <f t="shared" si="17"/>
        <v>1.5439432580672034E-2</v>
      </c>
      <c r="CY56" s="72">
        <f t="shared" si="21"/>
        <v>2.2094353174622085E-2</v>
      </c>
      <c r="CZ56" s="72">
        <f t="shared" si="22"/>
        <v>3.8270792163076606E-2</v>
      </c>
      <c r="DA56" s="124">
        <f t="shared" si="12"/>
        <v>0.92125000000000001</v>
      </c>
      <c r="DB56" s="74">
        <f t="shared" si="13"/>
        <v>1.3048868010700074</v>
      </c>
      <c r="DC56" s="74">
        <f t="shared" si="14"/>
        <v>0.33886768447837151</v>
      </c>
      <c r="DD56" s="74">
        <f t="shared" si="15"/>
        <v>0.78602506232557801</v>
      </c>
      <c r="DE56" s="74">
        <f t="shared" si="16"/>
        <v>0.34756768162358759</v>
      </c>
      <c r="DF56" s="75">
        <f>INDEX('State Tax Lookup'!$D$7:$Z$91,MATCH(Calculation!$C56,'State Tax Lookup'!$B$7:$B$91,0),MATCH($H56,'State Tax Lookup'!$D$6:$Z$6,0))</f>
        <v>0.20999999999999996</v>
      </c>
      <c r="DG56" s="75">
        <v>0.375</v>
      </c>
      <c r="DH56" s="73">
        <f t="shared" si="18"/>
        <v>19.411538019169722</v>
      </c>
      <c r="DI56" s="73">
        <v>19.050901628905343</v>
      </c>
      <c r="DJ56" s="72">
        <f t="shared" si="23"/>
        <v>4.4582583227591885E-2</v>
      </c>
      <c r="DK56" s="75">
        <f>VLOOKUP($H56,RoR!$E:$F,2,FALSE)</f>
        <v>3.9299999999999995E-2</v>
      </c>
      <c r="DL56" s="76">
        <f>HLOOKUP($H56,'GDP-PI'!$D$8:$CQ$11,3,FALSE)</f>
        <v>2.386056741932796E-2</v>
      </c>
      <c r="DM56" s="75">
        <f>VLOOKUP(H56,'HW Dx Data'!$E:$F,2,FALSE)</f>
        <v>755.13671434174842</v>
      </c>
      <c r="DN56" s="69">
        <f>VLOOKUP(H56,'ECI - Input Price'!$G$17:$H$37,2,FALSE)</f>
        <v>133.25</v>
      </c>
      <c r="DO56" s="72">
        <f t="shared" si="24"/>
        <v>2.8546181906361531E-2</v>
      </c>
      <c r="DP56" s="69">
        <f>HLOOKUP(H56,'GDP-PI'!$8:$9,2,FALSE)</f>
        <v>110.322</v>
      </c>
      <c r="DQ56" s="72">
        <f t="shared" si="24"/>
        <v>2.3580352716508712E-2</v>
      </c>
      <c r="DR56">
        <v>34.708333333333336</v>
      </c>
      <c r="DS56">
        <v>0.52350427350427353</v>
      </c>
      <c r="DV56" s="33">
        <v>1.7081629389229851E-2</v>
      </c>
      <c r="DW56" s="33">
        <v>3.1399999999999997E-2</v>
      </c>
      <c r="DX56" s="33">
        <f t="shared" si="0"/>
        <v>5.3636316282181721E-4</v>
      </c>
      <c r="DY56" s="33">
        <v>2.47E-2</v>
      </c>
      <c r="DZ56" s="33">
        <f t="shared" si="1"/>
        <v>4.2191624591397732E-4</v>
      </c>
      <c r="EA56" s="33">
        <v>2.1600000000000001E-2</v>
      </c>
      <c r="EB56" s="33">
        <f t="shared" si="2"/>
        <v>3.6896319480736478E-4</v>
      </c>
      <c r="EC56" s="33">
        <v>1.7100000000000001E-2</v>
      </c>
      <c r="ED56" s="33">
        <f t="shared" si="3"/>
        <v>2.9209586255583045E-4</v>
      </c>
      <c r="EE56" s="33">
        <v>1.21E-2</v>
      </c>
      <c r="EF56" s="33">
        <f t="shared" si="4"/>
        <v>2.0668771560968118E-4</v>
      </c>
    </row>
    <row r="57" spans="1:136" ht="21" x14ac:dyDescent="0.35">
      <c r="A57" t="s">
        <v>28</v>
      </c>
      <c r="B57" s="42" t="s">
        <v>28</v>
      </c>
      <c r="C57" s="42">
        <v>4054707</v>
      </c>
      <c r="D57" s="42" t="s">
        <v>132</v>
      </c>
      <c r="E57" s="42"/>
      <c r="F57" s="42"/>
      <c r="G57" s="42" t="s">
        <v>25</v>
      </c>
      <c r="H57" s="11">
        <v>2019</v>
      </c>
      <c r="I57" s="62"/>
      <c r="J57" s="63">
        <f>IFERROR(INDEX('Labor Expenditures'!$F$7:$X$91,MATCH($C57,'Labor Expenditures'!$D$7:$D$91,0),MATCH($G57,'Labor Expenditures'!$F$5:$X$5,0)),"NA")</f>
        <v>71549.79422868455</v>
      </c>
      <c r="K57" s="63">
        <f t="shared" si="25"/>
        <v>522.83371741822839</v>
      </c>
      <c r="L57" s="79">
        <f t="shared" si="31"/>
        <v>1.586500755886297E-2</v>
      </c>
      <c r="M57" s="79">
        <f t="shared" si="34"/>
        <v>7.4696692861755151E-4</v>
      </c>
      <c r="N57" s="65">
        <f t="shared" si="46"/>
        <v>110.80683610839455</v>
      </c>
      <c r="O57" s="71">
        <f t="shared" si="47"/>
        <v>-1.3936526786245251E-3</v>
      </c>
      <c r="P57" s="63">
        <f>IFERROR(INDEX('Non-Labor Expenditures'!$F$7:$AB$91,MATCH($C57,'Non-Labor Expenditures'!$D$7:$D$91,0),MATCH($G57,'Non-Labor Expenditures'!$F$5:$AB$5,0)),"NA")</f>
        <v>103617.46570132086</v>
      </c>
      <c r="Q57" s="63">
        <f t="shared" si="32"/>
        <v>922.53659877598307</v>
      </c>
      <c r="R57" s="79">
        <f t="shared" si="35"/>
        <v>2.4592608548195137E-2</v>
      </c>
      <c r="S57" s="79">
        <f t="shared" si="48"/>
        <v>1.1578856931383408E-3</v>
      </c>
      <c r="T57" s="65">
        <f t="shared" si="49"/>
        <v>119.11497150764572</v>
      </c>
      <c r="U57" s="71">
        <f t="shared" si="50"/>
        <v>7.4977421727585765E-3</v>
      </c>
      <c r="V57" s="63">
        <f t="shared" si="5"/>
        <v>199353.64981607522</v>
      </c>
      <c r="W57" s="79">
        <f t="shared" si="51"/>
        <v>3.2271849698956342E-2</v>
      </c>
      <c r="X57" s="93">
        <v>10381.002715977118</v>
      </c>
      <c r="Y57" s="81">
        <v>2.0932832266337489E-2</v>
      </c>
      <c r="Z57" s="81">
        <f t="shared" si="52"/>
        <v>9.8557365114631699E-4</v>
      </c>
      <c r="AA57" s="65">
        <f t="shared" si="53"/>
        <v>162.10878003046417</v>
      </c>
      <c r="AB57" s="71">
        <f t="shared" si="54"/>
        <v>4.2893262101255436E-2</v>
      </c>
      <c r="AC57" s="62">
        <f t="shared" si="26"/>
        <v>374520.90974608064</v>
      </c>
      <c r="AD57" s="81">
        <f t="shared" si="36"/>
        <v>3.7053516265141327E-2</v>
      </c>
      <c r="AE57" s="64">
        <f t="shared" si="37"/>
        <v>13285237.115488436</v>
      </c>
      <c r="AF57" s="71">
        <f t="shared" si="38"/>
        <v>3.0816034124590226E-2</v>
      </c>
      <c r="AG57" s="68">
        <f t="shared" si="39"/>
        <v>232.53459092407044</v>
      </c>
      <c r="AH57" s="71">
        <f>+AZ57/$BB$57</f>
        <v>4.2181609062224908E-2</v>
      </c>
      <c r="AI57" s="99"/>
      <c r="AJ57" s="105">
        <f t="shared" si="55"/>
        <v>9.8086832078035311</v>
      </c>
      <c r="AK57" s="105">
        <f t="shared" si="56"/>
        <v>0</v>
      </c>
      <c r="AL57" s="82">
        <f t="shared" si="27"/>
        <v>0.19104352351700257</v>
      </c>
      <c r="AM57" s="82">
        <f t="shared" si="28"/>
        <v>0.27666670406085442</v>
      </c>
      <c r="AN57" s="82">
        <f t="shared" si="29"/>
        <v>0.53228977242214304</v>
      </c>
      <c r="AO57" s="82">
        <f t="shared" si="40"/>
        <v>2.0977074420181936E-2</v>
      </c>
      <c r="AP57" s="65">
        <f t="shared" si="61"/>
        <v>103.0641903196523</v>
      </c>
      <c r="AQ57" s="81">
        <f t="shared" si="62"/>
        <v>2.0977074420182037E-2</v>
      </c>
      <c r="AR57" s="72">
        <f t="shared" si="33"/>
        <v>4.708267083051336E-2</v>
      </c>
      <c r="AS57" s="72">
        <f t="shared" si="41"/>
        <v>9.8765668991261267E-4</v>
      </c>
      <c r="AT57" s="64"/>
      <c r="AU57" s="71">
        <f t="shared" si="42"/>
        <v>1.8643792302442702E-2</v>
      </c>
      <c r="AV57" s="67">
        <f t="shared" si="57"/>
        <v>132.02187627798997</v>
      </c>
      <c r="AW57" s="72">
        <f t="shared" si="63"/>
        <v>1.8643792302442709E-2</v>
      </c>
      <c r="AX57" s="65">
        <f t="shared" si="58"/>
        <v>128.43137730748458</v>
      </c>
      <c r="AY57" s="81">
        <f t="shared" si="43"/>
        <v>1.5451686613926851E-2</v>
      </c>
      <c r="AZ57" s="64">
        <f>IFERROR(INDEX('Total Customers'!$F$7:$AB$91,MATCH($C57,'Total Customers'!$D$7:$D$91,0),MATCH($G57,'Total Customers'!$F$5:$AB$5,0)),"NA")</f>
        <v>1610603</v>
      </c>
      <c r="BA57" s="71">
        <f t="shared" si="6"/>
        <v>9.6916475482504011E-3</v>
      </c>
      <c r="BB57" s="64">
        <f t="shared" si="64"/>
        <v>38182588</v>
      </c>
      <c r="BC57" s="64">
        <f t="shared" si="44"/>
        <v>8963640</v>
      </c>
      <c r="BD57" s="65">
        <f t="shared" si="59"/>
        <v>109.89739105792319</v>
      </c>
      <c r="BE57" s="71">
        <f t="shared" si="45"/>
        <v>8.2149186196467227E-3</v>
      </c>
      <c r="BF57" s="81">
        <f t="shared" si="65"/>
        <v>-1.0428873682795986E-2</v>
      </c>
      <c r="BG57" s="65">
        <f t="shared" si="60"/>
        <v>342.11934221477202</v>
      </c>
      <c r="BH57" s="65">
        <f t="shared" si="60"/>
        <v>473.70098852446506</v>
      </c>
      <c r="BI57" s="65"/>
      <c r="BJ57" s="149"/>
      <c r="BK57" s="150" t="s">
        <v>496</v>
      </c>
      <c r="BL57" s="154">
        <v>256.2</v>
      </c>
      <c r="BM57" s="155"/>
      <c r="BN57" s="62"/>
      <c r="BO57" s="111"/>
      <c r="BP57" s="65"/>
      <c r="BQ57" s="64"/>
      <c r="BR57" s="64"/>
      <c r="BS57" s="64">
        <f>INDEX('Dist. Plant Gas Additions'!$F$7:$AE$91,MATCH($C57,'Dist. Plant Gas Additions'!$D$7:$D$91,0),MATCH(Calculation!$G57,'Dist. Plant Gas Additions'!$F$5:$AE$5,0))</f>
        <v>210651</v>
      </c>
      <c r="BT57" s="64">
        <f>INDEX('Gen. Plant Additions'!$F$7:$AE$91,MATCH($C57,'Gen. Plant Additions'!$D$7:$D$91,0),MATCH(Calculation!$G57,'Gen. Plant Additions'!$F$5:$AE$5,0))</f>
        <v>29663</v>
      </c>
      <c r="BU57" s="64"/>
      <c r="BV57" s="64"/>
      <c r="BW57" s="64">
        <f>INDEX('Dist Plant Depreciation'!$E$7:$AD$94,MATCH($C57,'Dist Plant Depreciation'!$D$7:$D$94,0),MATCH(Calculation!$G57,'Dist Plant Depreciation'!$E$5:$AD$5,0))</f>
        <v>1423907</v>
      </c>
      <c r="BX57" s="64">
        <f>INDEX('Gen. Plant Depreciation'!$E$7:$AD$94,MATCH($C57,'Gen. Plant Depreciation'!$D$7:$D$94,0),MATCH(Calculation!$G57,'Gen. Plant Depreciation'!$E$5:$AD$5,0))</f>
        <v>152868</v>
      </c>
      <c r="BY57" s="69">
        <v>1950</v>
      </c>
      <c r="BZ57" s="69">
        <f t="shared" si="66"/>
        <v>3</v>
      </c>
      <c r="CA57" s="67">
        <v>35.201593561861024</v>
      </c>
      <c r="CB57" s="107">
        <f t="shared" si="67"/>
        <v>2.2624434389140274E-3</v>
      </c>
      <c r="CC57" s="108">
        <f t="shared" si="68"/>
        <v>7.964161439335074E-2</v>
      </c>
      <c r="CD57" s="108"/>
      <c r="CE57" s="64">
        <f>INDEX('Gross Dx Plant'!$E$7:$AD$91,MATCH($C57,'Gross Dx Plant'!$D$7:$D$91,0),MATCH(Calculation!$G57,'Gross Dx Plant'!$E$5:$AD$5,0))</f>
        <v>4142785</v>
      </c>
      <c r="CF57" s="64">
        <f>INDEX('Gross Gen Plant'!$E$7:$AD$91,MATCH($C57,'Gross Gen Plant'!$D$7:$D$91,0),MATCH(Calculation!$G57,'Gross Gen Plant'!$E$5:$AD$5,0))</f>
        <v>281881</v>
      </c>
      <c r="CG57" s="64">
        <f t="shared" si="7"/>
        <v>2847891</v>
      </c>
      <c r="CH57" s="64"/>
      <c r="CI57" s="68">
        <v>2019</v>
      </c>
      <c r="CJ57" s="64"/>
      <c r="CK57" s="64"/>
      <c r="CL57" s="64"/>
      <c r="CM57" s="69"/>
      <c r="CN57" s="64">
        <f t="shared" si="8"/>
        <v>240314</v>
      </c>
      <c r="CO57" s="64">
        <f t="shared" si="9"/>
        <v>310.66812072788895</v>
      </c>
      <c r="CP57" s="70">
        <v>0.85106382978723405</v>
      </c>
      <c r="CQ57" s="64">
        <f>CQ36*CP57+CO37*CP56+CO38*CP55+CO39*CP54+CO40*CP53+CO41*CP52+CO42*CP51+CO43*CP50+CO44*CP49+CO45*CP48+CO46*CP47+CO47*CP46+CO48*CP45+CO49*CP44+CO50*CP43+CO51*CP42+CO52*CP41+CO53*CP40+CO54*CP39+CO55*CP38+CO56*CP37+CO57</f>
        <v>10381.002715977118</v>
      </c>
      <c r="CR57" s="71">
        <f t="shared" si="10"/>
        <v>2.0932832266337489E-2</v>
      </c>
      <c r="CS57" s="64">
        <f t="shared" si="30"/>
        <v>270917.39179780125</v>
      </c>
      <c r="CT57" s="72">
        <f t="shared" si="11"/>
        <v>9.4061908656415619E-3</v>
      </c>
      <c r="CU57" s="72">
        <f t="shared" si="20"/>
        <v>9.1001355305081518E-3</v>
      </c>
      <c r="CV57" s="71">
        <f>VLOOKUP($H57,RoR!$E:$F,2,FALSE)</f>
        <v>3.3875000000000009E-2</v>
      </c>
      <c r="CW57" s="72">
        <v>1.8092492884465461E-2</v>
      </c>
      <c r="CX57" s="72">
        <f t="shared" si="17"/>
        <v>1.5782507115534548E-2</v>
      </c>
      <c r="CY57" s="72">
        <f t="shared" si="21"/>
        <v>2.1801806078025475E-2</v>
      </c>
      <c r="CZ57" s="72">
        <f t="shared" si="22"/>
        <v>4.8445665544254078E-2</v>
      </c>
      <c r="DA57" s="124">
        <f t="shared" si="12"/>
        <v>0.92125000000000001</v>
      </c>
      <c r="DB57" s="74">
        <f t="shared" si="13"/>
        <v>1.513861292459078</v>
      </c>
      <c r="DC57" s="74">
        <f t="shared" si="14"/>
        <v>0.23699261992619944</v>
      </c>
      <c r="DD57" s="74">
        <f t="shared" si="15"/>
        <v>0.73619765810468829</v>
      </c>
      <c r="DE57" s="74">
        <f t="shared" si="16"/>
        <v>0.26412854465362851</v>
      </c>
      <c r="DF57" s="75">
        <f>INDEX('State Tax Lookup'!$D$7:$Z$91,MATCH(Calculation!$C57,'State Tax Lookup'!$B$7:$B$91,0),MATCH($H57,'State Tax Lookup'!$D$6:$Z$6,0))</f>
        <v>0.20999999999999996</v>
      </c>
      <c r="DG57" s="75">
        <v>0.375</v>
      </c>
      <c r="DH57" s="73">
        <f t="shared" si="18"/>
        <v>19.609923530177955</v>
      </c>
      <c r="DI57" s="73">
        <v>19.236104090735289</v>
      </c>
      <c r="DJ57" s="72">
        <f t="shared" si="23"/>
        <v>1.0168108132899794E-2</v>
      </c>
      <c r="DK57" s="75">
        <f>VLOOKUP($H57,RoR!$E:$F,2,FALSE)</f>
        <v>3.3875000000000009E-2</v>
      </c>
      <c r="DL57" s="76">
        <f>HLOOKUP($H57,'GDP-PI'!$D$8:$CQ$11,3,FALSE)</f>
        <v>1.8092492884465461E-2</v>
      </c>
      <c r="DM57" s="75">
        <f>VLOOKUP(H57,'HW Dx Data'!$E:$F,2,FALSE)</f>
        <v>773.53929793938721</v>
      </c>
      <c r="DN57" s="69">
        <f>VLOOKUP(H57,'ECI - Input Price'!$G$17:$H$37,2,FALSE)</f>
        <v>136.85</v>
      </c>
      <c r="DO57" s="72">
        <f t="shared" si="24"/>
        <v>2.6658372440734168E-2</v>
      </c>
      <c r="DP57" s="69">
        <f>HLOOKUP(H57,'GDP-PI'!$8:$9,2,FALSE)</f>
        <v>112.318</v>
      </c>
      <c r="DQ57" s="72">
        <f t="shared" si="24"/>
        <v>1.7930771451401852E-2</v>
      </c>
      <c r="DR57">
        <v>36.674999999999997</v>
      </c>
      <c r="DS57">
        <v>0.58082579185520355</v>
      </c>
      <c r="DV57" s="33">
        <v>1.0563420558705747E-2</v>
      </c>
      <c r="DW57" s="33">
        <v>1.8599999999999998E-2</v>
      </c>
      <c r="DX57" s="33">
        <f t="shared" si="0"/>
        <v>1.9647962239192687E-4</v>
      </c>
      <c r="DY57" s="33">
        <v>1.04E-2</v>
      </c>
      <c r="DZ57" s="33">
        <f t="shared" si="1"/>
        <v>1.0985957381053977E-4</v>
      </c>
      <c r="EA57" s="33">
        <v>6.7000000000000002E-3</v>
      </c>
      <c r="EB57" s="33">
        <f t="shared" si="2"/>
        <v>7.0774917743328514E-5</v>
      </c>
      <c r="EC57" s="33">
        <v>8.0000000000000004E-4</v>
      </c>
      <c r="ED57" s="33">
        <f t="shared" si="3"/>
        <v>8.4507364469645974E-6</v>
      </c>
      <c r="EE57" s="33">
        <v>-5.7000000000000002E-3</v>
      </c>
      <c r="EF57" s="33">
        <f t="shared" si="4"/>
        <v>-6.021149718462276E-5</v>
      </c>
    </row>
    <row r="58" spans="1:136" ht="21" x14ac:dyDescent="0.35">
      <c r="A58" t="s">
        <v>28</v>
      </c>
      <c r="B58" t="s">
        <v>28</v>
      </c>
      <c r="C58">
        <v>4054707</v>
      </c>
      <c r="D58" t="s">
        <v>132</v>
      </c>
      <c r="E58"/>
      <c r="F58"/>
      <c r="G58" s="42" t="s">
        <v>26</v>
      </c>
      <c r="H58" s="11">
        <v>2020</v>
      </c>
      <c r="I58" s="62"/>
      <c r="J58" s="63">
        <f>IFERROR(INDEX('Labor Expenditures'!$F$7:$X$91,MATCH($C58,'Labor Expenditures'!$D$7:$D$91,0),MATCH($G58,'Labor Expenditures'!$F$5:$X$5,0)),"NA")</f>
        <v>77621.683353847358</v>
      </c>
      <c r="K58" s="63">
        <f t="shared" si="25"/>
        <v>552.66417482269389</v>
      </c>
      <c r="L58" s="79">
        <f t="shared" si="31"/>
        <v>5.5487064667835352E-2</v>
      </c>
      <c r="M58" s="79">
        <f t="shared" si="34"/>
        <v>2.7972232942242098E-3</v>
      </c>
      <c r="N58" s="65">
        <f t="shared" si="46"/>
        <v>107.49374253931194</v>
      </c>
      <c r="O58" s="71">
        <f t="shared" si="47"/>
        <v>-3.0355833202271053E-2</v>
      </c>
      <c r="P58" s="63">
        <f>IFERROR(INDEX('Non-Labor Expenditures'!$F$7:$AB$91,MATCH($C58,'Non-Labor Expenditures'!$D$7:$D$91,0),MATCH($G58,'Non-Labor Expenditures'!$F$5:$AB$5,0)),"NA")</f>
        <v>112410.69522701181</v>
      </c>
      <c r="Q58" s="63">
        <f t="shared" si="32"/>
        <v>989.33046326018325</v>
      </c>
      <c r="R58" s="79">
        <f t="shared" si="35"/>
        <v>6.9901366000007167E-2</v>
      </c>
      <c r="S58" s="79">
        <f t="shared" si="48"/>
        <v>3.523879492343313E-3</v>
      </c>
      <c r="T58" s="65">
        <f t="shared" si="49"/>
        <v>117.26730199074092</v>
      </c>
      <c r="U58" s="71">
        <f t="shared" si="50"/>
        <v>-1.5633212422100459E-2</v>
      </c>
      <c r="V58" s="63">
        <f t="shared" si="5"/>
        <v>210973.15381604043</v>
      </c>
      <c r="W58" s="79">
        <f t="shared" si="51"/>
        <v>5.6650510038878908E-2</v>
      </c>
      <c r="X58" s="93">
        <v>10516.251718974165</v>
      </c>
      <c r="Y58" s="81">
        <v>1.294436950102886E-2</v>
      </c>
      <c r="Z58" s="81">
        <f t="shared" si="52"/>
        <v>6.5255374588795822E-4</v>
      </c>
      <c r="AA58" s="65">
        <f t="shared" si="53"/>
        <v>167.90167545813824</v>
      </c>
      <c r="AB58" s="71">
        <f t="shared" si="54"/>
        <v>3.5110951379669186E-2</v>
      </c>
      <c r="AC58" s="62">
        <f t="shared" si="26"/>
        <v>401005.53239689959</v>
      </c>
      <c r="AD58" s="81">
        <f t="shared" si="36"/>
        <v>6.8327588545861795E-2</v>
      </c>
      <c r="AE58" s="64">
        <f t="shared" si="37"/>
        <v>13696669.217977125</v>
      </c>
      <c r="AF58" s="71">
        <f t="shared" si="38"/>
        <v>3.0499253085112303E-2</v>
      </c>
      <c r="AG58" s="68">
        <f t="shared" si="39"/>
        <v>237.40373434882687</v>
      </c>
      <c r="AH58" s="71">
        <f>+AZ58/$BB$58</f>
        <v>4.3927178928547875E-2</v>
      </c>
      <c r="AI58" s="99"/>
      <c r="AJ58" s="105">
        <f t="shared" si="55"/>
        <v>10.428476317046366</v>
      </c>
      <c r="AK58" s="105">
        <f t="shared" si="56"/>
        <v>0</v>
      </c>
      <c r="AL58" s="82">
        <f t="shared" si="27"/>
        <v>0.19356761212217005</v>
      </c>
      <c r="AM58" s="82">
        <f t="shared" si="28"/>
        <v>0.28032205579585895</v>
      </c>
      <c r="AN58" s="82">
        <f t="shared" si="29"/>
        <v>0.526110332081971</v>
      </c>
      <c r="AO58" s="82">
        <f t="shared" si="40"/>
        <v>3.6987770074221701E-2</v>
      </c>
      <c r="AP58" s="65">
        <f t="shared" si="61"/>
        <v>106.94768302281504</v>
      </c>
      <c r="AQ58" s="81">
        <f t="shared" si="62"/>
        <v>3.6987770074221792E-2</v>
      </c>
      <c r="AR58" s="72">
        <f t="shared" si="33"/>
        <v>5.0412169232042642E-2</v>
      </c>
      <c r="AS58" s="72">
        <f t="shared" si="41"/>
        <v>1.8646337244975515E-3</v>
      </c>
      <c r="AT58" s="64"/>
      <c r="AU58" s="71">
        <f t="shared" si="42"/>
        <v>4.212649417696019E-3</v>
      </c>
      <c r="AV58" s="67">
        <f t="shared" si="57"/>
        <v>132.57921126243983</v>
      </c>
      <c r="AW58" s="72">
        <f t="shared" si="63"/>
        <v>4.2126494176959167E-3</v>
      </c>
      <c r="AX58" s="65">
        <f t="shared" si="58"/>
        <v>131.96108585774496</v>
      </c>
      <c r="AY58" s="81">
        <f t="shared" si="43"/>
        <v>2.7112342059490535E-2</v>
      </c>
      <c r="AZ58" s="80">
        <v>1689129</v>
      </c>
      <c r="BA58" s="99">
        <f t="shared" si="6"/>
        <v>4.7604368425845561E-2</v>
      </c>
      <c r="BB58" s="80">
        <f t="shared" si="64"/>
        <v>38452936</v>
      </c>
      <c r="BC58" s="80">
        <f t="shared" si="44"/>
        <v>9060252</v>
      </c>
      <c r="BD58" s="65">
        <f t="shared" si="59"/>
        <v>110.67550855686608</v>
      </c>
      <c r="BE58" s="99">
        <f t="shared" si="45"/>
        <v>7.0554517635753114E-3</v>
      </c>
      <c r="BF58" s="81">
        <f t="shared" si="65"/>
        <v>2.8428023458793947E-3</v>
      </c>
      <c r="BG58" s="65">
        <f t="shared" si="60"/>
        <v>350.22672094732161</v>
      </c>
      <c r="BH58" s="65">
        <f t="shared" si="60"/>
        <v>471.07836737126968</v>
      </c>
      <c r="BI58" s="65"/>
      <c r="BJ58" s="149"/>
      <c r="BK58" s="62"/>
      <c r="BL58" s="154"/>
      <c r="BM58" s="82"/>
      <c r="BN58" s="111"/>
      <c r="BO58" s="111"/>
      <c r="BP58" s="65"/>
      <c r="BQ58" s="64"/>
      <c r="BR58" s="64"/>
      <c r="BS58" s="64">
        <f>INDEX('Dist. Plant Gas Additions'!$F$7:$AE$91,MATCH($C58,'Dist. Plant Gas Additions'!$D$7:$D$91,0),MATCH(Calculation!$G58,'Dist. Plant Gas Additions'!$F$5:$AE$5,0))</f>
        <v>163650</v>
      </c>
      <c r="BT58" s="64">
        <f>INDEX('Gen. Plant Additions'!$F$7:$AE$91,MATCH($C58,'Gen. Plant Additions'!$D$7:$D$91,0),MATCH(Calculation!$G58,'Gen. Plant Additions'!$F$5:$AE$5,0))</f>
        <v>28483</v>
      </c>
      <c r="BU58" s="64"/>
      <c r="BV58" s="64"/>
      <c r="BW58" s="64">
        <f>INDEX('Dist Plant Depreciation'!$E$7:$AD$94,MATCH($C58,'Dist Plant Depreciation'!$D$7:$D$94,0),MATCH(Calculation!$G58,'Dist Plant Depreciation'!$E$5:$AD$5,0))</f>
        <v>1500077</v>
      </c>
      <c r="BX58" s="64">
        <f>INDEX('Gen. Plant Depreciation'!$E$7:$AD$94,MATCH($C58,'Gen. Plant Depreciation'!$D$7:$D$94,0),MATCH(Calculation!$G58,'Gen. Plant Depreciation'!$E$5:$AD$5,0))</f>
        <v>100168</v>
      </c>
      <c r="BY58" s="69">
        <v>1951</v>
      </c>
      <c r="BZ58" s="69">
        <f t="shared" si="66"/>
        <v>4</v>
      </c>
      <c r="CA58" s="67">
        <v>37.797283225965671</v>
      </c>
      <c r="CB58" s="107">
        <f t="shared" si="67"/>
        <v>3.0165912518853697E-3</v>
      </c>
      <c r="CC58" s="108">
        <f t="shared" si="68"/>
        <v>0.11401895392448166</v>
      </c>
      <c r="CD58" s="108"/>
      <c r="CE58" s="64">
        <f>INDEX('Gross Dx Plant'!$E$7:$AD$91,MATCH($C58,'Gross Dx Plant'!$D$7:$D$91,0),MATCH(Calculation!$G58,'Gross Dx Plant'!$E$5:$AD$5,0))</f>
        <v>4298411</v>
      </c>
      <c r="CF58" s="64">
        <f>INDEX('Gross Gen Plant'!$E$7:$AD$91,MATCH($C58,'Gross Gen Plant'!$D$7:$D$91,0),MATCH(Calculation!$G58,'Gross Gen Plant'!$E$5:$AD$5,0))</f>
        <v>239943</v>
      </c>
      <c r="CG58" s="64">
        <f t="shared" si="7"/>
        <v>2938109</v>
      </c>
      <c r="CH58" s="64"/>
      <c r="CI58" s="68">
        <v>2020</v>
      </c>
      <c r="CJ58" s="64"/>
      <c r="CK58" s="64"/>
      <c r="CL58" s="80"/>
      <c r="CM58" s="69"/>
      <c r="CN58" s="64">
        <f t="shared" si="8"/>
        <v>192133</v>
      </c>
      <c r="CO58" s="64">
        <f t="shared" si="9"/>
        <v>236.30265362639182</v>
      </c>
      <c r="CP58" s="70">
        <v>0.84057971014492749</v>
      </c>
      <c r="CQ58" s="64">
        <f>CQ36*CP58+CO37*CP57+CO38*CP56+CO39*CP55+CO40*CP54+CO41*CP53+CO42*CP52+CO43*CP51+CO44*CP50+CO45*CP49+CO46*CP48+CO47*CP47+CO48*CP46+CO49*CP45+CO50*CP44+CO51*CP43+CO52*CP42+CO53*CP41+CO54*CP40+CO55*CP39+CO56*CP38+CO57*CP37+CO58</f>
        <v>10516.251718974165</v>
      </c>
      <c r="CR58" s="71">
        <f t="shared" si="10"/>
        <v>1.294436950102886E-2</v>
      </c>
      <c r="CS58" s="64">
        <f t="shared" si="30"/>
        <v>280487.94913250534</v>
      </c>
      <c r="CT58" s="72">
        <f t="shared" si="11"/>
        <v>9.7344787776441032E-3</v>
      </c>
      <c r="CU58" s="72">
        <f t="shared" si="20"/>
        <v>9.4123747288723785E-3</v>
      </c>
      <c r="CV58" s="71">
        <f>VLOOKUP($H58,RoR!$E:$F,2,FALSE)</f>
        <v>2.4766666666666666E-2</v>
      </c>
      <c r="CW58" s="72">
        <v>1.1618796630994188E-2</v>
      </c>
      <c r="CX58" s="72">
        <f t="shared" si="17"/>
        <v>1.3147870035672478E-2</v>
      </c>
      <c r="CY58" s="72">
        <f t="shared" si="21"/>
        <v>2.1489566879661248E-2</v>
      </c>
      <c r="CZ58" s="72">
        <f t="shared" ref="CZ58:CZ59" si="69">+((DM56/DM55-1)+(DM57/DM56-1)+(DM58/DM57-1))/3</f>
        <v>4.5144642961987357E-2</v>
      </c>
      <c r="DA58" s="124">
        <f t="shared" si="12"/>
        <v>0.92125000000000001</v>
      </c>
      <c r="DB58" s="74">
        <f t="shared" ref="DB58:DB59" si="70">2/(DK58*39)</f>
        <v>2.0706077233668081</v>
      </c>
      <c r="DC58" s="74">
        <f t="shared" si="14"/>
        <v>-3.4421265141318998E-2</v>
      </c>
      <c r="DD58" s="74">
        <f t="shared" ref="DD58:DD59" si="71">+(1-(1/(1+DK58)^40))</f>
        <v>0.62416226176410472</v>
      </c>
      <c r="DE58" s="74">
        <f t="shared" ref="DE58:DE59" si="72">+DD58*DC58*DB58</f>
        <v>-4.4485877841158712E-2</v>
      </c>
      <c r="DF58" s="75">
        <f>INDEX('State Tax Lookup'!$D$7:$Z$91,MATCH(Calculation!$C58,'State Tax Lookup'!$B$7:$B$91,0),MATCH($H58,'State Tax Lookup'!$D$6:$Z$6,0))</f>
        <v>0.20999999999999996</v>
      </c>
      <c r="DG58" s="75">
        <v>0.375</v>
      </c>
      <c r="DH58" s="73">
        <f t="shared" si="18"/>
        <v>20.323003431194312</v>
      </c>
      <c r="DI58" s="73">
        <v>19.952659173050833</v>
      </c>
      <c r="DJ58" s="72">
        <f t="shared" si="23"/>
        <v>3.5717677772541437E-2</v>
      </c>
      <c r="DK58" s="75">
        <f>VLOOKUP($H58,RoR!$E:$F,2,FALSE)</f>
        <v>2.4766666666666666E-2</v>
      </c>
      <c r="DL58" s="76">
        <f>HLOOKUP($H58,'GDP-PI'!$D$8:$CQ$11,3,FALSE)</f>
        <v>1.1618796630994188E-2</v>
      </c>
      <c r="DM58" s="75">
        <f>VLOOKUP(H58,'HW Dx Data'!$E:$F,2,FALSE)</f>
        <v>813.080162458833</v>
      </c>
      <c r="DN58" s="69">
        <f>VLOOKUP(H58,'ECI - Input Price'!$G$17:$H$37,2,FALSE)</f>
        <v>140.44999999999999</v>
      </c>
      <c r="DO58" s="72">
        <f t="shared" si="24"/>
        <v>2.5966118063564539E-2</v>
      </c>
      <c r="DP58" s="69">
        <f>HLOOKUP(H58,'GDP-PI'!$8:$9,2,FALSE)</f>
        <v>113.623</v>
      </c>
      <c r="DQ58" s="72">
        <f t="shared" si="24"/>
        <v>1.1551816731392881E-2</v>
      </c>
      <c r="DR58">
        <v>38.741666666666667</v>
      </c>
      <c r="DS58">
        <v>0.64277275012569135</v>
      </c>
      <c r="DV58" s="33">
        <v>1.9340147467329368E-2</v>
      </c>
      <c r="DW58" s="33">
        <v>2.0500000000000001E-2</v>
      </c>
      <c r="DX58" s="33">
        <f t="shared" si="0"/>
        <v>3.9647302308025206E-4</v>
      </c>
      <c r="DY58" s="33">
        <v>1.23E-2</v>
      </c>
      <c r="DZ58" s="33">
        <f t="shared" si="1"/>
        <v>2.3788381384815124E-4</v>
      </c>
      <c r="EA58" s="33">
        <v>8.6E-3</v>
      </c>
      <c r="EB58" s="33">
        <f t="shared" si="2"/>
        <v>1.6632526821903256E-4</v>
      </c>
      <c r="EC58" s="33">
        <v>2.5000000000000001E-3</v>
      </c>
      <c r="ED58" s="33">
        <f t="shared" si="3"/>
        <v>4.8350368668323418E-5</v>
      </c>
      <c r="EE58" s="33">
        <v>-4.1000000000000003E-3</v>
      </c>
      <c r="EF58" s="33">
        <f t="shared" si="4"/>
        <v>-7.9294604616050412E-5</v>
      </c>
    </row>
    <row r="59" spans="1:136" s="167" customFormat="1" ht="21" x14ac:dyDescent="0.35">
      <c r="A59" s="167" t="s">
        <v>28</v>
      </c>
      <c r="B59" s="167" t="s">
        <v>28</v>
      </c>
      <c r="C59" s="167">
        <v>4054707</v>
      </c>
      <c r="D59" s="167" t="s">
        <v>132</v>
      </c>
      <c r="G59" s="168" t="s">
        <v>462</v>
      </c>
      <c r="H59" s="169">
        <v>2021</v>
      </c>
      <c r="I59" s="170"/>
      <c r="J59" s="166">
        <f>IFERROR(INDEX('Labor Expenditures'!$E$7:$X$91,MATCH($C59,'Labor Expenditures'!$D$7:$D$91,0),MATCH($G59,'Labor Expenditures'!$E$5:$X$5,0)),"NA")</f>
        <v>82311.656882204843</v>
      </c>
      <c r="K59" s="166">
        <f t="shared" si="25"/>
        <v>565.81307360168296</v>
      </c>
      <c r="L59" s="171">
        <f t="shared" si="31"/>
        <v>2.3513226749274575E-2</v>
      </c>
      <c r="M59" s="172">
        <f t="shared" si="34"/>
        <v>1.2657032034715326E-3</v>
      </c>
      <c r="N59" s="173">
        <f t="shared" si="46"/>
        <v>109.63916948844815</v>
      </c>
      <c r="O59" s="119">
        <f t="shared" si="47"/>
        <v>1.9762059573432755E-2</v>
      </c>
      <c r="P59" s="166">
        <f>IFERROR(INDEX('Non-Labor Expenditures'!$E$7:$AB$91,MATCH($C59,'Non-Labor Expenditures'!$D$7:$D$91,0),MATCH($G59,'Non-Labor Expenditures'!$E$5:$AB$5,0)),"NA")</f>
        <v>116029.68500262612</v>
      </c>
      <c r="Q59" s="166">
        <f t="shared" si="32"/>
        <v>979.23609589523278</v>
      </c>
      <c r="R59" s="172">
        <f t="shared" si="35"/>
        <v>-1.0255640880861821E-2</v>
      </c>
      <c r="S59" s="172">
        <f t="shared" si="48"/>
        <v>-5.520551328396853E-4</v>
      </c>
      <c r="T59" s="173">
        <f t="shared" si="49"/>
        <v>115.55111303763898</v>
      </c>
      <c r="U59" s="119">
        <f t="shared" si="50"/>
        <v>-1.4742992199175776E-2</v>
      </c>
      <c r="V59" s="166">
        <f t="shared" si="5"/>
        <v>229846.7903661695</v>
      </c>
      <c r="W59" s="172">
        <f t="shared" si="51"/>
        <v>8.5682065836146112E-2</v>
      </c>
      <c r="X59" s="174">
        <v>10694.591646855077</v>
      </c>
      <c r="Y59" s="175">
        <v>1.6816316776473918E-2</v>
      </c>
      <c r="Z59" s="175">
        <f t="shared" si="52"/>
        <v>9.0521246792432599E-4</v>
      </c>
      <c r="AA59" s="173">
        <f t="shared" si="53"/>
        <v>168.19387329286297</v>
      </c>
      <c r="AB59" s="119">
        <f t="shared" si="54"/>
        <v>1.7387788051860585E-3</v>
      </c>
      <c r="AC59" s="170">
        <f t="shared" si="26"/>
        <v>428188.1322510005</v>
      </c>
      <c r="AD59" s="175">
        <f t="shared" si="36"/>
        <v>6.5587436624732431E-2</v>
      </c>
      <c r="AE59" s="118">
        <f t="shared" si="37"/>
        <v>14748427.210136589</v>
      </c>
      <c r="AF59" s="119">
        <f t="shared" si="38"/>
        <v>7.3983766779663146E-2</v>
      </c>
      <c r="AG59" s="121">
        <f t="shared" si="39"/>
        <v>252.58468915118132</v>
      </c>
      <c r="AH59" s="119">
        <f>+AZ59/$BB$59</f>
        <v>4.3493904104581434E-2</v>
      </c>
      <c r="AI59" s="119"/>
      <c r="AJ59" s="176">
        <f t="shared" si="55"/>
        <v>10.985894248226991</v>
      </c>
      <c r="AK59" s="176">
        <f t="shared" si="56"/>
        <v>0</v>
      </c>
      <c r="AL59" s="120">
        <f t="shared" si="27"/>
        <v>0.19223245737682987</v>
      </c>
      <c r="AM59" s="120">
        <f t="shared" si="28"/>
        <v>0.2709782832902301</v>
      </c>
      <c r="AN59" s="120">
        <f t="shared" si="29"/>
        <v>0.53678925933293997</v>
      </c>
      <c r="AO59" s="120">
        <f t="shared" si="40"/>
        <v>1.064576122483472E-2</v>
      </c>
      <c r="AP59" s="173">
        <f t="shared" si="61"/>
        <v>108.0923043925352</v>
      </c>
      <c r="AQ59" s="175">
        <f t="shared" si="62"/>
        <v>1.0645761224834646E-2</v>
      </c>
      <c r="AR59" s="177">
        <f t="shared" si="33"/>
        <v>5.3829413417730163E-2</v>
      </c>
      <c r="AS59" s="177">
        <f t="shared" si="41"/>
        <v>5.7305508211806554E-4</v>
      </c>
      <c r="AT59" s="118"/>
      <c r="AU59" s="119">
        <f t="shared" si="42"/>
        <v>4.2752713914168076E-3</v>
      </c>
      <c r="AV59" s="178">
        <f t="shared" si="57"/>
        <v>133.14723673778428</v>
      </c>
      <c r="AW59" s="177">
        <f t="shared" si="63"/>
        <v>4.2752713914167156E-3</v>
      </c>
      <c r="AX59" s="173">
        <f t="shared" si="58"/>
        <v>139.7012138462409</v>
      </c>
      <c r="AY59" s="175">
        <f t="shared" si="43"/>
        <v>5.6998880159532236E-2</v>
      </c>
      <c r="AZ59" s="118">
        <f>INDEX('Total Customers'!$E$7:$E$91,MATCH(Calculation!$C59,'Total Customers'!$D$7:$D$91,0))</f>
        <v>1695226</v>
      </c>
      <c r="BA59" s="119">
        <f t="shared" si="6"/>
        <v>3.6030538143515213E-3</v>
      </c>
      <c r="BB59" s="118">
        <f t="shared" si="64"/>
        <v>38976174.590439521</v>
      </c>
      <c r="BC59" s="118">
        <f t="shared" si="44"/>
        <v>9114081</v>
      </c>
      <c r="BD59" s="173">
        <f t="shared" si="59"/>
        <v>112.18149751681108</v>
      </c>
      <c r="BE59" s="119">
        <f t="shared" si="45"/>
        <v>1.3515499567778441E-2</v>
      </c>
      <c r="BF59" s="175">
        <f>+BE59-AW59</f>
        <v>9.2402281763617252E-3</v>
      </c>
      <c r="BG59" s="173">
        <f t="shared" si="60"/>
        <v>374.05059424475553</v>
      </c>
      <c r="BH59" s="173">
        <f t="shared" si="60"/>
        <v>565.1982601787937</v>
      </c>
      <c r="BI59" s="173"/>
      <c r="BJ59" s="179"/>
      <c r="BK59" s="180" t="s">
        <v>574</v>
      </c>
      <c r="BL59" s="181">
        <f>AVERAGE(BL61:BL67)</f>
        <v>364.97553914937447</v>
      </c>
      <c r="BM59" s="120">
        <f>+BL57/BL59-1</f>
        <v>-0.29803514888392457</v>
      </c>
      <c r="BN59" s="182"/>
      <c r="BO59" s="182"/>
      <c r="BP59" s="173"/>
      <c r="BQ59" s="118"/>
      <c r="BR59" s="118"/>
      <c r="BS59" s="118">
        <f>INDEX('Dist. Plant Gas Additions'!$E$7:$AE$91,MATCH($C59,'Dist. Plant Gas Additions'!$D$7:$D$91,0),MATCH(Calculation!$G59,'Dist. Plant Gas Additions'!$E$5:$AE$5,0))</f>
        <v>262371</v>
      </c>
      <c r="BT59" s="118">
        <f>INDEX('Gen. Plant Additions'!$E$7:$AE$91,MATCH($C59,'Gen. Plant Additions'!$D$7:$D$91,0),MATCH(Calculation!$G59,'Gen. Plant Additions'!$E$5:$AE$5,0))</f>
        <v>32191</v>
      </c>
      <c r="BU59" s="118"/>
      <c r="BV59" s="118"/>
      <c r="BW59" s="118"/>
      <c r="BX59" s="118"/>
      <c r="BY59" s="183">
        <v>1952</v>
      </c>
      <c r="BZ59" s="183">
        <f t="shared" si="66"/>
        <v>5</v>
      </c>
      <c r="CA59" s="178">
        <v>38.739556897224304</v>
      </c>
      <c r="CB59" s="184">
        <f t="shared" si="67"/>
        <v>3.770739064856712E-3</v>
      </c>
      <c r="CC59" s="185">
        <f t="shared" si="68"/>
        <v>0.14607676054760296</v>
      </c>
      <c r="CD59" s="185"/>
      <c r="CE59" s="118"/>
      <c r="CF59" s="118"/>
      <c r="CG59" s="118"/>
      <c r="CH59" s="118"/>
      <c r="CI59" s="121">
        <v>2021</v>
      </c>
      <c r="CJ59" s="118"/>
      <c r="CK59" s="118"/>
      <c r="CL59" s="118"/>
      <c r="CM59" s="183"/>
      <c r="CN59" s="118">
        <f t="shared" si="8"/>
        <v>294562</v>
      </c>
      <c r="CO59" s="118">
        <f t="shared" si="9"/>
        <v>315.70728492326492</v>
      </c>
      <c r="CP59" s="186">
        <f>+(51-23)/(51-23*0.75)</f>
        <v>0.82962962962962961</v>
      </c>
      <c r="CQ59" s="118">
        <f>CQ36*CP59+CO37*CP58+CO38*CP57+CO39*CP56+CO40*CP55+CO41*CP54+CO42*CP53+CO43*CP52+CO44*CP51+CO45*CP50+CO46*CP49+CO47*CP48+CO48*CP47+CO49*CP46+CO50*CP45+CO41*CP44+CO52*CP43+CO53*CP42+CO54*CP41+CO55*CP40+CO56*CP39+CO57*CP38+CO59+CO58*CP37</f>
        <v>10694.591646855077</v>
      </c>
      <c r="CR59" s="119">
        <f t="shared" si="10"/>
        <v>1.6816316776473918E-2</v>
      </c>
      <c r="CS59" s="118">
        <f t="shared" si="30"/>
        <v>289582.21423334006</v>
      </c>
      <c r="CT59" s="177">
        <f t="shared" si="11"/>
        <v>1.3062387694134881E-2</v>
      </c>
      <c r="CU59" s="177">
        <f t="shared" si="20"/>
        <v>1.0734352445806847E-2</v>
      </c>
      <c r="CV59" s="119">
        <f>VLOOKUP($H59,RoR!$E:$F,2,FALSE)</f>
        <v>2.7033333333333336E-2</v>
      </c>
      <c r="CW59" s="177"/>
      <c r="CX59" s="177"/>
      <c r="CY59" s="177">
        <f t="shared" si="21"/>
        <v>2.0167589162726776E-2</v>
      </c>
      <c r="CZ59" s="177">
        <f t="shared" si="69"/>
        <v>7.433422950153494E-2</v>
      </c>
      <c r="DA59" s="187">
        <f t="shared" si="12"/>
        <v>0.92125000000000001</v>
      </c>
      <c r="DB59" s="188">
        <f t="shared" si="70"/>
        <v>1.8969932656739068</v>
      </c>
      <c r="DC59" s="188">
        <f t="shared" si="14"/>
        <v>5.0215782983970621E-2</v>
      </c>
      <c r="DD59" s="188">
        <f t="shared" si="71"/>
        <v>0.655952481704143</v>
      </c>
      <c r="DE59" s="188">
        <f t="shared" si="72"/>
        <v>6.2485378865697057E-2</v>
      </c>
      <c r="DF59" s="189">
        <f>DF58</f>
        <v>0.20999999999999996</v>
      </c>
      <c r="DG59" s="189">
        <v>0.375</v>
      </c>
      <c r="DH59" s="190">
        <f t="shared" si="18"/>
        <v>21.856341642285308</v>
      </c>
      <c r="DI59" s="190"/>
      <c r="DJ59" s="177">
        <f t="shared" si="23"/>
        <v>7.2737696335117008E-2</v>
      </c>
      <c r="DK59" s="189">
        <f>VLOOKUP($H59,RoR!$E:$F,2,FALSE)</f>
        <v>2.7033333333333336E-2</v>
      </c>
      <c r="DL59" s="191">
        <f>HLOOKUP($H59,'GDP-PI'!$D$8:$CR$11,3,FALSE)</f>
        <v>4.2834637353352578E-2</v>
      </c>
      <c r="DM59" s="189">
        <f>VLOOKUP(H59,'HW Dx Data'!$E:$F,2,FALSE)</f>
        <v>933.02249921662576</v>
      </c>
      <c r="DN59" s="183">
        <f>VLOOKUP(H59,'ECI - Input Price'!$G$17:$H$37,2,FALSE)</f>
        <v>145.47500000000002</v>
      </c>
      <c r="DO59" s="177">
        <f t="shared" si="24"/>
        <v>3.5152696992481205E-2</v>
      </c>
      <c r="DP59" s="183">
        <f>HLOOKUP(H59,'GDP-PI'!$8:$9,2,FALSE)</f>
        <v>118.49</v>
      </c>
      <c r="DQ59" s="177">
        <f t="shared" si="24"/>
        <v>4.194261824609434E-2</v>
      </c>
      <c r="DV59" s="192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</row>
    <row r="60" spans="1:136" s="167" customFormat="1" ht="21" x14ac:dyDescent="0.35">
      <c r="A60" s="167" t="s">
        <v>29</v>
      </c>
      <c r="B60" s="168" t="s">
        <v>29</v>
      </c>
      <c r="C60" s="168">
        <v>4057075</v>
      </c>
      <c r="D60" s="168" t="s">
        <v>133</v>
      </c>
      <c r="E60" s="168"/>
      <c r="F60" s="168"/>
      <c r="G60" s="168" t="s">
        <v>4</v>
      </c>
      <c r="H60" s="169">
        <v>1998</v>
      </c>
      <c r="I60" s="170"/>
      <c r="J60" s="166"/>
      <c r="K60" s="166"/>
      <c r="L60" s="119"/>
      <c r="M60" s="166"/>
      <c r="N60" s="173"/>
      <c r="O60" s="170"/>
      <c r="P60" s="119"/>
      <c r="Q60" s="172"/>
      <c r="R60" s="119"/>
      <c r="S60" s="166"/>
      <c r="T60" s="119"/>
      <c r="U60" s="119"/>
      <c r="V60" s="166"/>
      <c r="W60" s="170"/>
      <c r="X60" s="174">
        <v>1230.9671374013406</v>
      </c>
      <c r="Y60" s="175"/>
      <c r="Z60" s="166"/>
      <c r="AA60" s="175"/>
      <c r="AB60" s="175"/>
      <c r="AC60" s="170"/>
      <c r="AD60" s="170"/>
      <c r="AE60" s="118"/>
      <c r="AF60" s="175"/>
      <c r="AG60" s="174"/>
      <c r="AH60" s="175"/>
      <c r="AI60" s="119"/>
      <c r="AJ60" s="174"/>
      <c r="AK60" s="174"/>
      <c r="AL60" s="193"/>
      <c r="AM60" s="193"/>
      <c r="AN60" s="193"/>
      <c r="AO60" s="120"/>
      <c r="AP60" s="120"/>
      <c r="AQ60" s="175"/>
      <c r="AR60" s="120"/>
      <c r="AS60" s="120"/>
      <c r="AT60" s="120"/>
      <c r="AU60" s="120"/>
      <c r="AV60" s="120"/>
      <c r="AW60" s="175"/>
      <c r="AX60" s="120"/>
      <c r="AY60" s="120"/>
      <c r="AZ60" s="118">
        <f>IFERROR(INDEX('Total Customers'!$F$7:$AB$91,MATCH($C60,'Total Customers'!$D$7:$D$91,0),MATCH($G60,'Total Customers'!$F$5:$AB$5,0)),"NA")</f>
        <v>236733</v>
      </c>
      <c r="BA60" s="119">
        <f>AVERAGE(BA45)</f>
        <v>4.2663414499097788E-2</v>
      </c>
      <c r="BB60" s="118"/>
      <c r="BC60" s="121"/>
      <c r="BD60" s="118"/>
      <c r="BE60" s="119"/>
      <c r="BF60" s="119"/>
      <c r="BG60" s="173"/>
      <c r="BH60" s="173"/>
      <c r="BI60" s="173"/>
      <c r="BJ60" s="121"/>
      <c r="BK60" s="180"/>
      <c r="BL60" s="194"/>
      <c r="BM60" s="120"/>
      <c r="BN60" s="182"/>
      <c r="BO60" s="182"/>
      <c r="BP60" s="173"/>
      <c r="BQ60" s="118">
        <f>INDEX('Gross Dx Plant'!$E$7:$AD$91,MATCH($C60,'Gross Dx Plant'!$D$7:$D$91,0),MATCH(Calculation!$G60,'Gross Dx Plant'!$E$5:$AD$5,0))</f>
        <v>352332</v>
      </c>
      <c r="BR60" s="118">
        <f>INDEX('Gross Gen Plant'!$E$7:$AD$91,MATCH($C60,'Gross Gen Plant'!$D$7:$D$91,0),MATCH(Calculation!$G60,'Gross Gen Plant'!$E$5:$AD$5,0))</f>
        <v>11042</v>
      </c>
      <c r="BS60" s="118">
        <f>INDEX('Dist. Plant Gas Additions'!$F$7:$AE$91,MATCH($C60,'Dist. Plant Gas Additions'!$D$7:$D$91,0),MATCH(Calculation!$G60,'Dist. Plant Gas Additions'!$F$5:$AE$5,0))</f>
        <v>24460</v>
      </c>
      <c r="BT60" s="118">
        <f>INDEX('Gen. Plant Additions'!$F$7:$AE$91,MATCH($C60,'Gen. Plant Additions'!$D$7:$D$91,0),MATCH(Calculation!$G60,'Gen. Plant Additions'!$F$5:$AE$5,0))</f>
        <v>415</v>
      </c>
      <c r="BU60" s="118" t="e">
        <f>INDEX('Dist Plant Depreciation'!$E$7:$AA$94,MATCH($C60,'Dist Plant Depreciation'!$D$7:$D$94,0),MATCH(#REF!,'Dist Plant Depreciation'!$E$5:$AA$5,0))</f>
        <v>#REF!</v>
      </c>
      <c r="BV60" s="118" t="e">
        <f>INDEX('Gen. Plant Depreciation'!$E$7:$AA$94,MATCH($C60,'Gen. Plant Depreciation'!$D$7:$D$94,0),MATCH(#REF!,'Gen. Plant Depreciation'!$E$5:$AA$5,0))</f>
        <v>#REF!</v>
      </c>
      <c r="BW60" s="118">
        <f>INDEX('Dist Plant Depreciation'!$E$7:$AD$94,MATCH($C60,'Dist Plant Depreciation'!$D$7:$D$94,0),MATCH(Calculation!$G60,'Dist Plant Depreciation'!$E$5:$AD$5,0))</f>
        <v>110633</v>
      </c>
      <c r="BX60" s="118">
        <f>INDEX('Gen. Plant Depreciation'!$E$7:$AD$94,MATCH($C60,'Gen. Plant Depreciation'!$D$7:$D$94,0),MATCH(Calculation!$G60,'Gen. Plant Depreciation'!$E$5:$AD$5,0))</f>
        <v>4431</v>
      </c>
      <c r="BY60" s="183">
        <v>1953</v>
      </c>
      <c r="BZ60" s="183">
        <f t="shared" si="66"/>
        <v>6</v>
      </c>
      <c r="CA60" s="178">
        <v>42.670990982456722</v>
      </c>
      <c r="CB60" s="184">
        <f t="shared" si="67"/>
        <v>4.5248868778280547E-3</v>
      </c>
      <c r="CC60" s="185">
        <f t="shared" si="68"/>
        <v>0.19308140716043767</v>
      </c>
      <c r="CD60" s="185"/>
      <c r="CE60" s="118">
        <f>INDEX('Gross Dx Plant'!$E$7:$AD$91,MATCH($C60,'Gross Dx Plant'!$D$7:$D$91,0),MATCH(Calculation!$G60,'Gross Dx Plant'!$E$5:$AD$5,0))</f>
        <v>352332</v>
      </c>
      <c r="CF60" s="118">
        <f>INDEX('Gross Gen Plant'!$E$7:$AD$91,MATCH($C60,'Gross Gen Plant'!$D$7:$D$91,0),MATCH(Calculation!$G60,'Gross Gen Plant'!$E$5:$AD$5,0))</f>
        <v>11042</v>
      </c>
      <c r="CG60" s="118">
        <f t="shared" si="7"/>
        <v>248310</v>
      </c>
      <c r="CH60" s="118"/>
      <c r="CI60" s="121">
        <v>1998</v>
      </c>
      <c r="CJ60" s="118">
        <f>BQ60+BR60</f>
        <v>363374</v>
      </c>
      <c r="CK60" s="118">
        <f>110633+4431</f>
        <v>115064</v>
      </c>
      <c r="CL60" s="118">
        <f>+CJ60-CK60</f>
        <v>248310</v>
      </c>
      <c r="CM60" s="118">
        <f>CL60/$CD$36</f>
        <v>1230.9671374013406</v>
      </c>
      <c r="CN60" s="183"/>
      <c r="CO60" s="183"/>
      <c r="CP60" s="186">
        <v>1</v>
      </c>
      <c r="CQ60" s="118">
        <f>+CM60</f>
        <v>1230.9671374013406</v>
      </c>
      <c r="CR60" s="119"/>
      <c r="CS60" s="119"/>
      <c r="CT60" s="177"/>
      <c r="CU60" s="177"/>
      <c r="CV60" s="119" t="e">
        <f>VLOOKUP($H60,RoR!$E:$F,2,FALSE)</f>
        <v>#N/A</v>
      </c>
      <c r="CW60" s="177">
        <v>1.1028127770464469E-2</v>
      </c>
      <c r="CX60" s="177"/>
      <c r="CY60" s="177"/>
      <c r="CZ60" s="177"/>
      <c r="DA60" s="187"/>
      <c r="DB60" s="190" t="e">
        <f>2/(DK60*39)</f>
        <v>#N/A</v>
      </c>
      <c r="DC60" s="188" t="e">
        <f>+(DK60*40-(1+DK60))/(DK60*40)</f>
        <v>#N/A</v>
      </c>
      <c r="DD60" s="188" t="e">
        <f>+(1-(1/(1+DK60)^40))</f>
        <v>#N/A</v>
      </c>
      <c r="DE60" s="188" t="e">
        <f>+DD60*DC60*DB60</f>
        <v>#N/A</v>
      </c>
      <c r="DF60" s="189">
        <f>INDEX('State Tax Lookup'!$D$7:$Z$91,MATCH(Calculation!$C60,'State Tax Lookup'!$B$7:$B$91,0),MATCH($H60,'State Tax Lookup'!$D$6:$Z$6,0))</f>
        <v>0.35</v>
      </c>
      <c r="DG60" s="189">
        <v>0.375</v>
      </c>
      <c r="DH60" s="183"/>
      <c r="DI60" s="183"/>
      <c r="DJ60" s="177">
        <f>AVERAGE(DJ45:DJ59)</f>
        <v>2.4110989738229113E-2</v>
      </c>
      <c r="DK60" s="189" t="e">
        <f>VLOOKUP($H60,RoR!$E:$F,2,FALSE)</f>
        <v>#N/A</v>
      </c>
      <c r="DL60" s="191">
        <f>HLOOKUP($H60,'GDP-PI'!$D$8:$CQ$11,3,FALSE)</f>
        <v>1.1028127770464469E-2</v>
      </c>
      <c r="DM60" s="189">
        <f>VLOOKUP(H60,'HW Dx Data'!$E:$F,2,FALSE)</f>
        <v>329.24564746449528</v>
      </c>
      <c r="DN60" s="183" t="e">
        <f>VLOOKUP(H60,'ECI - Input Price'!$G$17:$H$37,2,FALSE)</f>
        <v>#N/A</v>
      </c>
      <c r="DO60" s="177">
        <f>AVERAGE(DO45:DO58)</f>
        <v>2.2813476021028501E-2</v>
      </c>
      <c r="DP60" s="183">
        <f>HLOOKUP(H60,'GDP-PI'!$8:$9,2,FALSE)</f>
        <v>75.266999999999996</v>
      </c>
      <c r="DQ60" s="177">
        <f>AVERAGE(DQ45:DQ58)</f>
        <v>1.6589599704970367E-2</v>
      </c>
      <c r="DR60" s="167">
        <v>39.033333333333331</v>
      </c>
      <c r="DS60" s="167">
        <v>0.67704876822523885</v>
      </c>
      <c r="DV60" s="192">
        <v>4.9522900380789929E-3</v>
      </c>
      <c r="DW60" s="192">
        <v>2.2200000000000001E-2</v>
      </c>
      <c r="DX60" s="192">
        <f t="shared" si="0"/>
        <v>1.0994083884535365E-4</v>
      </c>
      <c r="DY60" s="192">
        <v>1.47E-2</v>
      </c>
      <c r="DZ60" s="192">
        <f t="shared" si="1"/>
        <v>7.2798663559761192E-5</v>
      </c>
      <c r="EA60" s="192">
        <v>1.12E-2</v>
      </c>
      <c r="EB60" s="192">
        <f t="shared" si="2"/>
        <v>5.5465648426484719E-5</v>
      </c>
      <c r="EC60" s="192">
        <v>6.0000000000000001E-3</v>
      </c>
      <c r="ED60" s="192">
        <f t="shared" si="3"/>
        <v>2.9713740228473957E-5</v>
      </c>
      <c r="EE60" s="192">
        <v>2.9999999999999997E-4</v>
      </c>
      <c r="EF60" s="192">
        <f t="shared" si="4"/>
        <v>1.4856870114236978E-6</v>
      </c>
    </row>
    <row r="61" spans="1:136" s="167" customFormat="1" ht="21" x14ac:dyDescent="0.35">
      <c r="A61" s="167" t="s">
        <v>29</v>
      </c>
      <c r="B61" s="168" t="s">
        <v>29</v>
      </c>
      <c r="C61" s="168">
        <v>4057075</v>
      </c>
      <c r="D61" s="168" t="s">
        <v>133</v>
      </c>
      <c r="E61" s="168"/>
      <c r="F61" s="168"/>
      <c r="G61" s="168" t="s">
        <v>5</v>
      </c>
      <c r="H61" s="169">
        <v>1999</v>
      </c>
      <c r="I61" s="170"/>
      <c r="J61" s="166"/>
      <c r="K61" s="166"/>
      <c r="L61" s="119"/>
      <c r="M61" s="166"/>
      <c r="N61" s="173"/>
      <c r="O61" s="170"/>
      <c r="P61" s="119"/>
      <c r="Q61" s="177"/>
      <c r="R61" s="119"/>
      <c r="S61" s="195"/>
      <c r="T61" s="119"/>
      <c r="U61" s="119"/>
      <c r="V61" s="166"/>
      <c r="W61" s="170"/>
      <c r="X61" s="174">
        <v>1288.1128863746494</v>
      </c>
      <c r="Y61" s="175">
        <v>4.5378117552366357E-2</v>
      </c>
      <c r="Z61" s="175"/>
      <c r="AA61" s="175"/>
      <c r="AB61" s="175"/>
      <c r="AC61" s="170"/>
      <c r="AD61" s="175"/>
      <c r="AE61" s="118"/>
      <c r="AF61" s="193"/>
      <c r="AG61" s="174"/>
      <c r="AH61" s="175"/>
      <c r="AI61" s="175"/>
      <c r="AJ61" s="174"/>
      <c r="AK61" s="174"/>
      <c r="AL61" s="120"/>
      <c r="AM61" s="120"/>
      <c r="AN61" s="120"/>
      <c r="AO61" s="120"/>
      <c r="AP61" s="120"/>
      <c r="AQ61" s="175"/>
      <c r="AR61" s="120"/>
      <c r="AS61" s="120"/>
      <c r="AT61" s="120"/>
      <c r="AU61" s="120"/>
      <c r="AV61" s="120"/>
      <c r="AW61" s="175"/>
      <c r="AX61" s="120"/>
      <c r="AY61" s="120"/>
      <c r="AZ61" s="118">
        <f>IFERROR(INDEX('Total Customers'!$F$7:$AB$91,MATCH($C61,'Total Customers'!$D$7:$D$91,0),MATCH($G61,'Total Customers'!$F$5:$AB$5,0)),"NA")</f>
        <v>246307</v>
      </c>
      <c r="BA61" s="119">
        <f t="shared" ref="BA61:BA83" si="73">LN(AZ61/AZ60)</f>
        <v>3.9645801562070454E-2</v>
      </c>
      <c r="BB61" s="118"/>
      <c r="BC61" s="193"/>
      <c r="BD61" s="193"/>
      <c r="BE61" s="193"/>
      <c r="BF61" s="193"/>
      <c r="BG61" s="169"/>
      <c r="BH61" s="169"/>
      <c r="BI61" s="169"/>
      <c r="BJ61" s="121"/>
      <c r="BK61" s="180" t="s">
        <v>580</v>
      </c>
      <c r="BL61" s="194">
        <f>+(AG393+AG394+395)/3</f>
        <v>530.54125541400879</v>
      </c>
      <c r="BM61" s="184">
        <f t="shared" ref="BM61:BM67" si="74">+$BL$57/BL61-1</f>
        <v>-0.5170969318869012</v>
      </c>
      <c r="BN61" s="120"/>
      <c r="BO61" s="120"/>
      <c r="BP61" s="173"/>
      <c r="BQ61" s="118"/>
      <c r="BR61" s="118"/>
      <c r="BS61" s="118">
        <f>INDEX('Dist. Plant Gas Additions'!$F$7:$AE$91,MATCH($C61,'Dist. Plant Gas Additions'!$D$7:$D$91,0),MATCH(Calculation!$G61,'Dist. Plant Gas Additions'!$F$5:$AE$5,0))</f>
        <v>20879</v>
      </c>
      <c r="BT61" s="118">
        <f>INDEX('Gen. Plant Additions'!$F$7:$AE$91,MATCH($C61,'Gen. Plant Additions'!$D$7:$D$91,0),MATCH(Calculation!$G61,'Gen. Plant Additions'!$F$5:$AE$5,0))</f>
        <v>337</v>
      </c>
      <c r="BU61" s="118"/>
      <c r="BV61" s="118"/>
      <c r="BW61" s="118">
        <f>INDEX('Dist Plant Depreciation'!$E$7:$AD$94,MATCH($C61,'Dist Plant Depreciation'!$D$7:$D$94,0),MATCH(Calculation!$G61,'Dist Plant Depreciation'!$E$5:$AD$5,0))</f>
        <v>120148</v>
      </c>
      <c r="BX61" s="118">
        <f>INDEX('Gen. Plant Depreciation'!$E$7:$AD$94,MATCH($C61,'Gen. Plant Depreciation'!$D$7:$D$94,0),MATCH(Calculation!$G61,'Gen. Plant Depreciation'!$E$5:$AD$5,0))</f>
        <v>4943</v>
      </c>
      <c r="BY61" s="183">
        <v>1954</v>
      </c>
      <c r="BZ61" s="183">
        <f t="shared" si="66"/>
        <v>7</v>
      </c>
      <c r="CA61" s="178">
        <v>44.407666030181829</v>
      </c>
      <c r="CB61" s="184">
        <f t="shared" si="67"/>
        <v>5.279034690799397E-3</v>
      </c>
      <c r="CC61" s="185">
        <f t="shared" si="68"/>
        <v>0.23442960951076383</v>
      </c>
      <c r="CD61" s="185"/>
      <c r="CE61" s="118">
        <f>INDEX('Gross Dx Plant'!$E$7:$AD$91,MATCH($C61,'Gross Dx Plant'!$D$7:$D$91,0),MATCH(Calculation!$G61,'Gross Dx Plant'!$E$5:$AD$5,0))</f>
        <v>372208</v>
      </c>
      <c r="CF61" s="118">
        <f>INDEX('Gross Gen Plant'!$E$7:$AD$91,MATCH($C61,'Gross Gen Plant'!$D$7:$D$91,0),MATCH(Calculation!$G61,'Gross Gen Plant'!$E$5:$AD$5,0))</f>
        <v>11635</v>
      </c>
      <c r="CG61" s="118">
        <f t="shared" si="7"/>
        <v>258752</v>
      </c>
      <c r="CH61" s="118"/>
      <c r="CI61" s="121">
        <v>1999</v>
      </c>
      <c r="CJ61" s="118"/>
      <c r="CK61" s="118"/>
      <c r="CL61" s="118"/>
      <c r="CM61" s="183"/>
      <c r="CN61" s="118">
        <f t="shared" ref="CN61:CN83" si="75">+BT61+BS61</f>
        <v>21216</v>
      </c>
      <c r="CO61" s="118">
        <f t="shared" ref="CO61:CO83" si="76">+CN61/$DM61</f>
        <v>63.269963587245819</v>
      </c>
      <c r="CP61" s="186">
        <v>0.99502487562189057</v>
      </c>
      <c r="CQ61" s="118">
        <f>+CQ60*CP61+CO61</f>
        <v>1288.1128863746494</v>
      </c>
      <c r="CR61" s="119">
        <f t="shared" ref="CR61:CR83" si="77">LN(CQ61/CQ60)</f>
        <v>4.5378117552366357E-2</v>
      </c>
      <c r="CS61" s="119"/>
      <c r="CT61" s="177">
        <f t="shared" ref="CT61:CT82" si="78">+(CQ60-CQ61+CO61)/CQ60</f>
        <v>4.9751243781094093E-3</v>
      </c>
      <c r="CU61" s="177"/>
      <c r="CV61" s="119">
        <f>VLOOKUP($H61,RoR!$E:$F,2,FALSE)</f>
        <v>7.0416666666666669E-2</v>
      </c>
      <c r="CW61" s="177">
        <v>1.4335631817396832E-2</v>
      </c>
      <c r="CX61" s="177">
        <f>+CV61-CW61</f>
        <v>5.6081034849269837E-2</v>
      </c>
      <c r="CY61" s="177"/>
      <c r="CZ61" s="177"/>
      <c r="DA61" s="187">
        <f t="shared" ref="DA61:DA83" si="79">1-DF61*DG61</f>
        <v>0.86875000000000002</v>
      </c>
      <c r="DB61" s="188">
        <f t="shared" ref="DB61:DB83" si="80">2/(DK61*39)</f>
        <v>0.72826581702321336</v>
      </c>
      <c r="DC61" s="188">
        <f t="shared" ref="DC61:DC83" si="81">+(DK61*40-(1+DK61))/(DK61*40)</f>
        <v>0.61997041420118348</v>
      </c>
      <c r="DD61" s="188">
        <f t="shared" ref="DD61:DD83" si="82">+(1-(1/(1+DK61)^40))</f>
        <v>0.93425155319585029</v>
      </c>
      <c r="DE61" s="188">
        <f t="shared" ref="DE61:DE83" si="83">+DD61*DC61*DB61</f>
        <v>0.42181762214141483</v>
      </c>
      <c r="DF61" s="189">
        <f>INDEX('State Tax Lookup'!$D$7:$Z$91,MATCH(Calculation!$C61,'State Tax Lookup'!$B$7:$B$91,0),MATCH($H61,'State Tax Lookup'!$D$6:$Z$6,0))</f>
        <v>0.35</v>
      </c>
      <c r="DG61" s="189">
        <v>0.375</v>
      </c>
      <c r="DH61" s="190"/>
      <c r="DI61" s="190"/>
      <c r="DJ61" s="177"/>
      <c r="DK61" s="189">
        <f>VLOOKUP($H61,RoR!$E:$F,2,FALSE)</f>
        <v>7.0416666666666669E-2</v>
      </c>
      <c r="DL61" s="191">
        <f>HLOOKUP($H61,'GDP-PI'!$D$8:$CQ$11,3,FALSE)</f>
        <v>1.4335631817396832E-2</v>
      </c>
      <c r="DM61" s="189">
        <f>VLOOKUP(H61,'HW Dx Data'!$E:$F,2,FALSE)</f>
        <v>335.32499146683239</v>
      </c>
      <c r="DN61" s="183" t="e">
        <f>VLOOKUP(H61,'ECI - Input Price'!$G$17:$H$37,2,FALSE)</f>
        <v>#N/A</v>
      </c>
      <c r="DO61" s="177"/>
      <c r="DP61" s="183">
        <f>HLOOKUP(H61,'GDP-PI'!$8:$9,2,FALSE)</f>
        <v>76.346000000000004</v>
      </c>
      <c r="DR61" s="167">
        <v>41.508333333333333</v>
      </c>
      <c r="DS61" s="167">
        <v>0.75128205128205139</v>
      </c>
      <c r="DV61" s="192">
        <v>3.5669720481991657E-2</v>
      </c>
      <c r="DW61" s="192">
        <v>2.1100000000000001E-2</v>
      </c>
      <c r="DX61" s="192">
        <f t="shared" si="0"/>
        <v>7.5263110217002399E-4</v>
      </c>
      <c r="DY61" s="192">
        <v>1.32E-2</v>
      </c>
      <c r="DZ61" s="192">
        <f t="shared" si="1"/>
        <v>4.7084031036228989E-4</v>
      </c>
      <c r="EA61" s="192">
        <v>9.4999999999999998E-3</v>
      </c>
      <c r="EB61" s="192">
        <f t="shared" si="2"/>
        <v>3.3886234457892073E-4</v>
      </c>
      <c r="EC61" s="192">
        <v>3.8999999999999998E-3</v>
      </c>
      <c r="ED61" s="192">
        <f t="shared" si="3"/>
        <v>1.3911190987976745E-4</v>
      </c>
      <c r="EE61" s="192">
        <v>-2.3E-3</v>
      </c>
      <c r="EF61" s="192">
        <f t="shared" si="4"/>
        <v>-8.2040357108580805E-5</v>
      </c>
    </row>
    <row r="62" spans="1:136" s="167" customFormat="1" ht="21" x14ac:dyDescent="0.35">
      <c r="A62" s="167" t="s">
        <v>29</v>
      </c>
      <c r="B62" s="168" t="s">
        <v>29</v>
      </c>
      <c r="C62" s="168">
        <v>4057075</v>
      </c>
      <c r="D62" s="168" t="s">
        <v>133</v>
      </c>
      <c r="E62" s="168"/>
      <c r="F62" s="168"/>
      <c r="G62" s="168" t="s">
        <v>6</v>
      </c>
      <c r="H62" s="169">
        <v>2000</v>
      </c>
      <c r="I62" s="170"/>
      <c r="J62" s="166"/>
      <c r="K62" s="166"/>
      <c r="L62" s="166"/>
      <c r="M62" s="166"/>
      <c r="N62" s="196"/>
      <c r="O62" s="166"/>
      <c r="P62" s="166"/>
      <c r="Q62" s="166"/>
      <c r="R62" s="166"/>
      <c r="S62" s="166"/>
      <c r="T62" s="166"/>
      <c r="U62" s="166"/>
      <c r="V62" s="166">
        <f t="shared" ref="V62:V83" si="84">+CQ61*DH62</f>
        <v>0</v>
      </c>
      <c r="W62" s="170"/>
      <c r="X62" s="174">
        <v>1356.5863448976127</v>
      </c>
      <c r="Y62" s="175">
        <v>5.1793235256115705E-2</v>
      </c>
      <c r="Z62" s="175"/>
      <c r="AA62" s="175"/>
      <c r="AB62" s="175"/>
      <c r="AC62" s="170">
        <f t="shared" ref="AC62:AC125" si="85">+J62+P62+V62</f>
        <v>0</v>
      </c>
      <c r="AD62" s="175"/>
      <c r="AE62" s="170"/>
      <c r="AF62" s="170"/>
      <c r="AG62" s="174"/>
      <c r="AH62" s="175"/>
      <c r="AI62" s="175"/>
      <c r="AJ62" s="174"/>
      <c r="AK62" s="174"/>
      <c r="AL62" s="120"/>
      <c r="AM62" s="120"/>
      <c r="AN62" s="120"/>
      <c r="AO62" s="120"/>
      <c r="AP62" s="120"/>
      <c r="AQ62" s="175"/>
      <c r="AR62" s="120"/>
      <c r="AS62" s="120"/>
      <c r="AT62" s="120"/>
      <c r="AU62" s="120"/>
      <c r="AV62" s="120"/>
      <c r="AW62" s="120"/>
      <c r="AX62" s="120"/>
      <c r="AY62" s="120"/>
      <c r="AZ62" s="118">
        <f>IFERROR(INDEX('Total Customers'!$F$7:$AB$91,MATCH($C62,'Total Customers'!$D$7:$D$91,0),MATCH($G62,'Total Customers'!$F$5:$AB$5,0)),"NA")</f>
        <v>255245</v>
      </c>
      <c r="BA62" s="119">
        <f t="shared" si="73"/>
        <v>3.5645142866437773E-2</v>
      </c>
      <c r="BB62" s="119"/>
      <c r="BC62" s="193"/>
      <c r="BD62" s="193"/>
      <c r="BE62" s="193"/>
      <c r="BF62" s="193"/>
      <c r="BG62" s="169"/>
      <c r="BH62" s="169"/>
      <c r="BI62" s="169"/>
      <c r="BJ62" s="173"/>
      <c r="BK62" s="173" t="s">
        <v>581</v>
      </c>
      <c r="BL62" s="181">
        <f>+(AG873+AG874+AG875)/3</f>
        <v>552.65871849222651</v>
      </c>
      <c r="BM62" s="184">
        <f t="shared" si="74"/>
        <v>-0.53642276611690942</v>
      </c>
      <c r="BN62" s="173"/>
      <c r="BO62" s="173"/>
      <c r="BP62" s="173"/>
      <c r="BQ62" s="118"/>
      <c r="BR62" s="118"/>
      <c r="BS62" s="118">
        <f>INDEX('Dist. Plant Gas Additions'!$F$7:$AE$91,MATCH($C62,'Dist. Plant Gas Additions'!$D$7:$D$91,0),MATCH(Calculation!$G62,'Dist. Plant Gas Additions'!$F$5:$AE$5,0))</f>
        <v>24644</v>
      </c>
      <c r="BT62" s="118">
        <f>INDEX('Gen. Plant Additions'!$F$7:$AE$91,MATCH($C62,'Gen. Plant Additions'!$D$7:$D$91,0),MATCH(Calculation!$G62,'Gen. Plant Additions'!$F$5:$AE$5,0))</f>
        <v>1380</v>
      </c>
      <c r="BU62" s="118"/>
      <c r="BV62" s="118"/>
      <c r="BW62" s="118">
        <f>INDEX('Dist Plant Depreciation'!$E$7:$AD$94,MATCH($C62,'Dist Plant Depreciation'!$D$7:$D$94,0),MATCH(Calculation!$G62,'Dist Plant Depreciation'!$E$5:$AD$5,0))</f>
        <v>129924</v>
      </c>
      <c r="BX62" s="118">
        <f>INDEX('Gen. Plant Depreciation'!$E$7:$AD$94,MATCH($C62,'Gen. Plant Depreciation'!$D$7:$D$94,0),MATCH(Calculation!$G62,'Gen. Plant Depreciation'!$E$5:$AD$5,0))</f>
        <v>5240</v>
      </c>
      <c r="BY62" s="183">
        <v>1955</v>
      </c>
      <c r="BZ62" s="183">
        <f t="shared" si="66"/>
        <v>8</v>
      </c>
      <c r="CA62" s="178">
        <v>45.915778290770781</v>
      </c>
      <c r="CB62" s="184">
        <f t="shared" si="67"/>
        <v>6.0331825037707393E-3</v>
      </c>
      <c r="CC62" s="185">
        <f t="shared" si="68"/>
        <v>0.27701827023089459</v>
      </c>
      <c r="CD62" s="185"/>
      <c r="CE62" s="118">
        <f>INDEX('Gross Dx Plant'!$E$7:$AD$91,MATCH($C62,'Gross Dx Plant'!$D$7:$D$91,0),MATCH(Calculation!$G62,'Gross Dx Plant'!$E$5:$AD$5,0))</f>
        <v>396100</v>
      </c>
      <c r="CF62" s="118">
        <f>INDEX('Gross Gen Plant'!$E$7:$AD$91,MATCH($C62,'Gross Gen Plant'!$D$7:$D$91,0),MATCH(Calculation!$G62,'Gross Gen Plant'!$E$5:$AD$5,0))</f>
        <v>12732</v>
      </c>
      <c r="CG62" s="118">
        <f t="shared" si="7"/>
        <v>273668</v>
      </c>
      <c r="CH62" s="118"/>
      <c r="CI62" s="121">
        <v>2000</v>
      </c>
      <c r="CJ62" s="118"/>
      <c r="CK62" s="118"/>
      <c r="CL62" s="118"/>
      <c r="CM62" s="183"/>
      <c r="CN62" s="118">
        <f t="shared" si="75"/>
        <v>26024</v>
      </c>
      <c r="CO62" s="118">
        <f t="shared" si="76"/>
        <v>75.098031336173591</v>
      </c>
      <c r="CP62" s="186">
        <v>0.98989898989898994</v>
      </c>
      <c r="CQ62" s="118">
        <f>+CQ60*CP62+CO61*CP61+CO62</f>
        <v>1356.5863448976127</v>
      </c>
      <c r="CR62" s="119">
        <f t="shared" si="77"/>
        <v>5.1793235256115705E-2</v>
      </c>
      <c r="CS62" s="119"/>
      <c r="CT62" s="177">
        <f t="shared" si="78"/>
        <v>5.142851129961888E-3</v>
      </c>
      <c r="CU62" s="177"/>
      <c r="CV62" s="119">
        <f>VLOOKUP($H62,RoR!$E:$F,2,FALSE)</f>
        <v>7.6225000000000001E-2</v>
      </c>
      <c r="CW62" s="177">
        <v>2.2568307442433211E-2</v>
      </c>
      <c r="CX62" s="177">
        <f t="shared" ref="CX62:CX82" si="86">+CV62-CW62</f>
        <v>5.365669255756679E-2</v>
      </c>
      <c r="CY62" s="177"/>
      <c r="CZ62" s="177"/>
      <c r="DA62" s="187">
        <f t="shared" si="79"/>
        <v>0.86875000000000002</v>
      </c>
      <c r="DB62" s="188">
        <f t="shared" si="80"/>
        <v>0.67277207323124022</v>
      </c>
      <c r="DC62" s="188">
        <f t="shared" si="81"/>
        <v>0.6470236142997704</v>
      </c>
      <c r="DD62" s="188">
        <f t="shared" si="82"/>
        <v>0.94704866037543145</v>
      </c>
      <c r="DE62" s="188">
        <f t="shared" si="83"/>
        <v>0.41224973107878493</v>
      </c>
      <c r="DF62" s="189">
        <f>INDEX('State Tax Lookup'!$D$7:$Z$91,MATCH(Calculation!$C62,'State Tax Lookup'!$B$7:$B$91,0),MATCH($H62,'State Tax Lookup'!$D$6:$Z$6,0))</f>
        <v>0.35</v>
      </c>
      <c r="DG62" s="189">
        <v>0.375</v>
      </c>
      <c r="DH62" s="190"/>
      <c r="DI62" s="190"/>
      <c r="DJ62" s="177"/>
      <c r="DK62" s="189">
        <f>VLOOKUP($H62,RoR!$E:$F,2,FALSE)</f>
        <v>7.6225000000000001E-2</v>
      </c>
      <c r="DL62" s="191">
        <f>HLOOKUP($H62,'GDP-PI'!$D$8:$CQ$11,3,FALSE)</f>
        <v>2.2568307442433211E-2</v>
      </c>
      <c r="DM62" s="189">
        <f>VLOOKUP(H62,'HW Dx Data'!$E:$F,2,FALSE)</f>
        <v>346.53371782150339</v>
      </c>
      <c r="DN62" s="183" t="e">
        <f>VLOOKUP(H62,'ECI - Input Price'!$G$17:$H$37,2,FALSE)</f>
        <v>#N/A</v>
      </c>
      <c r="DO62" s="177"/>
      <c r="DP62" s="183">
        <f>HLOOKUP(H62,'GDP-PI'!$8:$9,2,FALSE)</f>
        <v>78.069000000000003</v>
      </c>
      <c r="DR62" s="167">
        <v>43.95</v>
      </c>
      <c r="DS62" s="167">
        <v>0.8286199095022625</v>
      </c>
      <c r="DV62" s="192">
        <v>1.9446497596593303E-2</v>
      </c>
      <c r="DW62" s="192">
        <v>1.9E-2</v>
      </c>
      <c r="DX62" s="192">
        <f t="shared" si="0"/>
        <v>3.6948345433527273E-4</v>
      </c>
      <c r="DY62" s="192">
        <v>1.0999999999999999E-2</v>
      </c>
      <c r="DZ62" s="192">
        <f t="shared" si="1"/>
        <v>2.1391147356252633E-4</v>
      </c>
      <c r="EA62" s="192">
        <v>7.3000000000000001E-3</v>
      </c>
      <c r="EB62" s="192">
        <f t="shared" si="2"/>
        <v>1.419594324551311E-4</v>
      </c>
      <c r="EC62" s="192">
        <v>1.6000000000000001E-3</v>
      </c>
      <c r="ED62" s="192">
        <f t="shared" si="3"/>
        <v>3.1114396154549283E-5</v>
      </c>
      <c r="EE62" s="192">
        <v>-4.5999999999999999E-3</v>
      </c>
      <c r="EF62" s="192">
        <f t="shared" si="4"/>
        <v>-8.9453888944329184E-5</v>
      </c>
    </row>
    <row r="63" spans="1:136" s="167" customFormat="1" ht="21" x14ac:dyDescent="0.35">
      <c r="A63" s="167" t="s">
        <v>29</v>
      </c>
      <c r="B63" s="168" t="s">
        <v>29</v>
      </c>
      <c r="C63" s="168">
        <v>4057075</v>
      </c>
      <c r="D63" s="168" t="s">
        <v>133</v>
      </c>
      <c r="E63" s="168"/>
      <c r="F63" s="168"/>
      <c r="G63" s="168" t="s">
        <v>7</v>
      </c>
      <c r="H63" s="169">
        <v>2001</v>
      </c>
      <c r="I63" s="170"/>
      <c r="J63" s="166"/>
      <c r="K63" s="166"/>
      <c r="L63" s="166"/>
      <c r="M63" s="166"/>
      <c r="N63" s="196"/>
      <c r="O63" s="166"/>
      <c r="P63" s="166"/>
      <c r="Q63" s="166"/>
      <c r="R63" s="166"/>
      <c r="S63" s="166"/>
      <c r="T63" s="166"/>
      <c r="U63" s="166"/>
      <c r="V63" s="166">
        <f t="shared" si="84"/>
        <v>16523.396952749845</v>
      </c>
      <c r="W63" s="170"/>
      <c r="X63" s="174">
        <v>1397.2389866344852</v>
      </c>
      <c r="Y63" s="175">
        <v>2.9526633165593747E-2</v>
      </c>
      <c r="Z63" s="175"/>
      <c r="AA63" s="175"/>
      <c r="AB63" s="175"/>
      <c r="AC63" s="170">
        <f t="shared" si="85"/>
        <v>16523.396952749845</v>
      </c>
      <c r="AD63" s="175"/>
      <c r="AE63" s="170"/>
      <c r="AF63" s="170"/>
      <c r="AG63" s="174"/>
      <c r="AH63" s="175"/>
      <c r="AI63" s="175"/>
      <c r="AJ63" s="174"/>
      <c r="AK63" s="174"/>
      <c r="AL63" s="120"/>
      <c r="AM63" s="120"/>
      <c r="AN63" s="120"/>
      <c r="AO63" s="120"/>
      <c r="AP63" s="120"/>
      <c r="AQ63" s="175"/>
      <c r="AR63" s="120"/>
      <c r="AS63" s="120"/>
      <c r="AT63" s="120"/>
      <c r="AU63" s="120"/>
      <c r="AV63" s="120"/>
      <c r="AW63" s="120"/>
      <c r="AX63" s="120"/>
      <c r="AY63" s="120"/>
      <c r="AZ63" s="118">
        <f>IFERROR(INDEX('Total Customers'!$F$7:$AB$91,MATCH($C63,'Total Customers'!$D$7:$D$91,0),MATCH($G63,'Total Customers'!$F$5:$AB$5,0)),"NA")</f>
        <v>262290</v>
      </c>
      <c r="BA63" s="119">
        <f t="shared" si="73"/>
        <v>2.7226893646583806E-2</v>
      </c>
      <c r="BB63" s="119"/>
      <c r="BC63" s="193"/>
      <c r="BD63" s="193"/>
      <c r="BE63" s="193"/>
      <c r="BF63" s="193"/>
      <c r="BG63" s="169"/>
      <c r="BH63" s="169"/>
      <c r="BI63" s="169"/>
      <c r="BJ63" s="173"/>
      <c r="BK63" s="173" t="s">
        <v>582</v>
      </c>
      <c r="BL63" s="181">
        <f>+(AG1065+AG1066+AG1067)/3</f>
        <v>294.24000235432067</v>
      </c>
      <c r="BM63" s="184">
        <f t="shared" si="74"/>
        <v>-0.12928222556399149</v>
      </c>
      <c r="BN63" s="173"/>
      <c r="BO63" s="173"/>
      <c r="BP63" s="173"/>
      <c r="BQ63" s="118"/>
      <c r="BR63" s="118"/>
      <c r="BS63" s="118">
        <f>INDEX('Dist. Plant Gas Additions'!$F$7:$AE$91,MATCH($C63,'Dist. Plant Gas Additions'!$D$7:$D$91,0),MATCH(Calculation!$G63,'Dist. Plant Gas Additions'!$F$5:$AE$5,0))</f>
        <v>16438</v>
      </c>
      <c r="BT63" s="118">
        <f>INDEX('Gen. Plant Additions'!$F$7:$AE$91,MATCH($C63,'Gen. Plant Additions'!$D$7:$D$91,0),MATCH(Calculation!$G63,'Gen. Plant Additions'!$F$5:$AE$5,0))</f>
        <v>344</v>
      </c>
      <c r="BU63" s="118"/>
      <c r="BV63" s="118"/>
      <c r="BW63" s="118">
        <f>INDEX('Dist Plant Depreciation'!$E$7:$AD$94,MATCH($C63,'Dist Plant Depreciation'!$D$7:$D$94,0),MATCH(Calculation!$G63,'Dist Plant Depreciation'!$E$5:$AD$5,0))</f>
        <v>140639</v>
      </c>
      <c r="BX63" s="118">
        <f>INDEX('Gen. Plant Depreciation'!$E$7:$AD$94,MATCH($C63,'Gen. Plant Depreciation'!$D$7:$D$94,0),MATCH(Calculation!$G63,'Gen. Plant Depreciation'!$E$5:$AD$5,0))</f>
        <v>5808</v>
      </c>
      <c r="BY63" s="183">
        <v>1956</v>
      </c>
      <c r="BZ63" s="183">
        <f t="shared" si="66"/>
        <v>9</v>
      </c>
      <c r="CA63" s="178">
        <v>49.597454529334797</v>
      </c>
      <c r="CB63" s="184">
        <f t="shared" si="67"/>
        <v>6.7873303167420816E-3</v>
      </c>
      <c r="CC63" s="185">
        <f t="shared" si="68"/>
        <v>0.33663430676019096</v>
      </c>
      <c r="CD63" s="185"/>
      <c r="CE63" s="118">
        <f>INDEX('Gross Dx Plant'!$E$7:$AD$91,MATCH($C63,'Gross Dx Plant'!$D$7:$D$91,0),MATCH(Calculation!$G63,'Gross Dx Plant'!$E$5:$AD$5,0))</f>
        <v>414422</v>
      </c>
      <c r="CF63" s="118">
        <f>INDEX('Gross Gen Plant'!$E$7:$AD$91,MATCH($C63,'Gross Gen Plant'!$D$7:$D$91,0),MATCH(Calculation!$G63,'Gross Gen Plant'!$E$5:$AD$5,0))</f>
        <v>13042</v>
      </c>
      <c r="CG63" s="118">
        <f t="shared" si="7"/>
        <v>281017</v>
      </c>
      <c r="CH63" s="118"/>
      <c r="CI63" s="121">
        <v>2001</v>
      </c>
      <c r="CJ63" s="118"/>
      <c r="CK63" s="118"/>
      <c r="CL63" s="118"/>
      <c r="CM63" s="183"/>
      <c r="CN63" s="118">
        <f t="shared" si="75"/>
        <v>16782</v>
      </c>
      <c r="CO63" s="118">
        <f t="shared" si="76"/>
        <v>47.480900811031191</v>
      </c>
      <c r="CP63" s="186">
        <v>0.98461538461538467</v>
      </c>
      <c r="CQ63" s="118">
        <f>+CQ60*CP63+CO61*CP62+CO62*CP60+CO63</f>
        <v>1397.2389866344852</v>
      </c>
      <c r="CR63" s="119">
        <f t="shared" si="77"/>
        <v>2.9526633165593747E-2</v>
      </c>
      <c r="CS63" s="119"/>
      <c r="CT63" s="177">
        <f t="shared" si="78"/>
        <v>5.0334128010657798E-3</v>
      </c>
      <c r="CU63" s="177">
        <f>+(CT63+CT62+CT61)/3</f>
        <v>5.0504627697123593E-3</v>
      </c>
      <c r="CV63" s="119">
        <f>VLOOKUP($H63,RoR!$E:$F,2,FALSE)</f>
        <v>7.0824999999999999E-2</v>
      </c>
      <c r="CW63" s="177">
        <v>2.2454495382290052E-2</v>
      </c>
      <c r="CX63" s="177">
        <f t="shared" si="86"/>
        <v>4.8370504617709947E-2</v>
      </c>
      <c r="CY63" s="177">
        <f>+$CX$35-CU63</f>
        <v>2.5851478838821267E-2</v>
      </c>
      <c r="CZ63" s="177">
        <f>+((DM61/DM60-1)+(DM62/DM61-1)+(DM63/DM62-1))/3</f>
        <v>2.3947275901631187E-2</v>
      </c>
      <c r="DA63" s="187">
        <f t="shared" si="79"/>
        <v>0.86875000000000002</v>
      </c>
      <c r="DB63" s="188">
        <f t="shared" si="80"/>
        <v>0.72406708481540816</v>
      </c>
      <c r="DC63" s="188">
        <f t="shared" si="81"/>
        <v>0.62201729615248857</v>
      </c>
      <c r="DD63" s="188">
        <f t="shared" si="82"/>
        <v>0.9352469954311422</v>
      </c>
      <c r="DE63" s="188">
        <f t="shared" si="83"/>
        <v>0.42121864641655071</v>
      </c>
      <c r="DF63" s="189">
        <f>INDEX('State Tax Lookup'!$D$7:$Z$91,MATCH(Calculation!$C63,'State Tax Lookup'!$B$7:$B$91,0),MATCH($H63,'State Tax Lookup'!$D$6:$Z$6,0))</f>
        <v>0.35</v>
      </c>
      <c r="DG63" s="189">
        <v>0.375</v>
      </c>
      <c r="DH63" s="190">
        <f t="shared" ref="DH63:DH83" si="87">+(DM63*CY63-CZ63)*DA63/(1-DF63)</f>
        <v>12.180129200693772</v>
      </c>
      <c r="DI63" s="190"/>
      <c r="DJ63" s="177"/>
      <c r="DK63" s="189">
        <f>VLOOKUP($H63,RoR!$E:$F,2,FALSE)</f>
        <v>7.0824999999999999E-2</v>
      </c>
      <c r="DL63" s="191">
        <f>HLOOKUP($H63,'GDP-PI'!$D$8:$CQ$11,3,FALSE)</f>
        <v>2.2454495382290052E-2</v>
      </c>
      <c r="DM63" s="189">
        <f>VLOOKUP(H63,'HW Dx Data'!$E:$F,2,FALSE)</f>
        <v>353.44738017483138</v>
      </c>
      <c r="DN63" s="183">
        <f>VLOOKUP(H63,'ECI - Input Price'!$G$17:$H$37,2,FALSE)</f>
        <v>86.2</v>
      </c>
      <c r="DO63" s="177"/>
      <c r="DP63" s="183">
        <f>HLOOKUP(H63,'GDP-PI'!$8:$9,2,FALSE)</f>
        <v>79.822000000000003</v>
      </c>
      <c r="DR63" s="167">
        <v>48.05833333333333</v>
      </c>
      <c r="DS63" s="167">
        <v>0.94232026143790837</v>
      </c>
      <c r="DV63" s="192">
        <v>1.9153869584023625E-2</v>
      </c>
      <c r="DW63" s="192">
        <v>2.35E-2</v>
      </c>
      <c r="DX63" s="192">
        <f t="shared" si="0"/>
        <v>4.501159352245552E-4</v>
      </c>
      <c r="DY63" s="192">
        <v>1.52E-2</v>
      </c>
      <c r="DZ63" s="192">
        <f t="shared" si="1"/>
        <v>2.9113881767715909E-4</v>
      </c>
      <c r="EA63" s="192">
        <v>1.17E-2</v>
      </c>
      <c r="EB63" s="192">
        <f t="shared" si="2"/>
        <v>2.2410027413307643E-4</v>
      </c>
      <c r="EC63" s="192">
        <v>5.5999999999999999E-3</v>
      </c>
      <c r="ED63" s="192">
        <f t="shared" si="3"/>
        <v>1.072616696705323E-4</v>
      </c>
      <c r="EE63" s="192">
        <v>-1E-3</v>
      </c>
      <c r="EF63" s="192">
        <f t="shared" si="4"/>
        <v>-1.9153869584023625E-5</v>
      </c>
    </row>
    <row r="64" spans="1:136" s="167" customFormat="1" ht="21" x14ac:dyDescent="0.35">
      <c r="A64" s="167" t="s">
        <v>29</v>
      </c>
      <c r="B64" s="168" t="s">
        <v>29</v>
      </c>
      <c r="C64" s="168">
        <v>4057075</v>
      </c>
      <c r="D64" s="168" t="s">
        <v>133</v>
      </c>
      <c r="E64" s="168"/>
      <c r="F64" s="168"/>
      <c r="G64" s="168" t="s">
        <v>8</v>
      </c>
      <c r="H64" s="169">
        <v>2002</v>
      </c>
      <c r="I64" s="170"/>
      <c r="J64" s="166"/>
      <c r="K64" s="166"/>
      <c r="L64" s="166"/>
      <c r="M64" s="166"/>
      <c r="N64" s="196"/>
      <c r="O64" s="166"/>
      <c r="P64" s="166"/>
      <c r="Q64" s="166"/>
      <c r="R64" s="166"/>
      <c r="S64" s="166"/>
      <c r="T64" s="166"/>
      <c r="U64" s="166"/>
      <c r="V64" s="166">
        <f t="shared" si="84"/>
        <v>17222.911448872819</v>
      </c>
      <c r="W64" s="170"/>
      <c r="X64" s="174">
        <v>1436.6057467233536</v>
      </c>
      <c r="Y64" s="175">
        <v>2.7785073911532197E-2</v>
      </c>
      <c r="Z64" s="175"/>
      <c r="AA64" s="175"/>
      <c r="AB64" s="175"/>
      <c r="AC64" s="170">
        <f t="shared" si="85"/>
        <v>17222.911448872819</v>
      </c>
      <c r="AD64" s="175"/>
      <c r="AE64" s="170"/>
      <c r="AF64" s="170"/>
      <c r="AG64" s="174"/>
      <c r="AH64" s="175"/>
      <c r="AI64" s="175"/>
      <c r="AJ64" s="174"/>
      <c r="AK64" s="174"/>
      <c r="AL64" s="120"/>
      <c r="AM64" s="120"/>
      <c r="AN64" s="120"/>
      <c r="AO64" s="120"/>
      <c r="AP64" s="120"/>
      <c r="AQ64" s="175"/>
      <c r="AR64" s="120"/>
      <c r="AS64" s="120"/>
      <c r="AT64" s="120"/>
      <c r="AU64" s="120"/>
      <c r="AV64" s="120"/>
      <c r="AW64" s="120"/>
      <c r="AX64" s="120"/>
      <c r="AY64" s="120"/>
      <c r="AZ64" s="118">
        <f>IFERROR(INDEX('Total Customers'!$F$7:$AB$91,MATCH($C64,'Total Customers'!$D$7:$D$91,0),MATCH($G64,'Total Customers'!$F$5:$AB$5,0)),"NA")</f>
        <v>267704</v>
      </c>
      <c r="BA64" s="119">
        <f t="shared" si="73"/>
        <v>2.0431130653130344E-2</v>
      </c>
      <c r="BB64" s="119"/>
      <c r="BC64" s="193"/>
      <c r="BD64" s="193"/>
      <c r="BE64" s="193"/>
      <c r="BF64" s="193"/>
      <c r="BG64" s="169"/>
      <c r="BH64" s="169"/>
      <c r="BI64" s="169"/>
      <c r="BJ64" s="173"/>
      <c r="BK64" s="173" t="s">
        <v>583</v>
      </c>
      <c r="BL64" s="181">
        <f>+(AG849+AG850+AG851)/3</f>
        <v>332.82437899934473</v>
      </c>
      <c r="BM64" s="184">
        <f t="shared" si="74"/>
        <v>-0.23022465851125529</v>
      </c>
      <c r="BN64" s="173"/>
      <c r="BO64" s="173"/>
      <c r="BP64" s="173"/>
      <c r="BQ64" s="118"/>
      <c r="BR64" s="118"/>
      <c r="BS64" s="118">
        <f>INDEX('Dist. Plant Gas Additions'!$F$7:$AE$91,MATCH($C64,'Dist. Plant Gas Additions'!$D$7:$D$91,0),MATCH(Calculation!$G64,'Dist. Plant Gas Additions'!$F$5:$AE$5,0))</f>
        <v>16713</v>
      </c>
      <c r="BT64" s="118">
        <f>INDEX('Gen. Plant Additions'!$F$7:$AE$91,MATCH($C64,'Gen. Plant Additions'!$D$7:$D$91,0),MATCH(Calculation!$G64,'Gen. Plant Additions'!$F$5:$AE$5,0))</f>
        <v>416</v>
      </c>
      <c r="BU64" s="118"/>
      <c r="BV64" s="118"/>
      <c r="BW64" s="118">
        <f>INDEX('Dist Plant Depreciation'!$E$7:$AD$94,MATCH($C64,'Dist Plant Depreciation'!$D$7:$D$94,0),MATCH(Calculation!$G64,'Dist Plant Depreciation'!$E$5:$AD$5,0))</f>
        <v>154105</v>
      </c>
      <c r="BX64" s="118">
        <f>INDEX('Gen. Plant Depreciation'!$E$7:$AD$94,MATCH($C64,'Gen. Plant Depreciation'!$D$7:$D$94,0),MATCH(Calculation!$G64,'Gen. Plant Depreciation'!$E$5:$AD$5,0))</f>
        <v>6036</v>
      </c>
      <c r="BY64" s="183">
        <v>1957</v>
      </c>
      <c r="BZ64" s="183">
        <f t="shared" si="66"/>
        <v>10</v>
      </c>
      <c r="CA64" s="178">
        <v>52.787352730475412</v>
      </c>
      <c r="CB64" s="184">
        <f t="shared" si="67"/>
        <v>7.5414781297134239E-3</v>
      </c>
      <c r="CC64" s="185">
        <f t="shared" si="68"/>
        <v>0.39809466614234851</v>
      </c>
      <c r="CD64" s="185"/>
      <c r="CE64" s="118">
        <f>INDEX('Gross Dx Plant'!$E$7:$AD$91,MATCH($C64,'Gross Dx Plant'!$D$7:$D$91,0),MATCH(Calculation!$G64,'Gross Dx Plant'!$E$5:$AD$5,0))</f>
        <v>430273</v>
      </c>
      <c r="CF64" s="118">
        <f>INDEX('Gross Gen Plant'!$E$7:$AD$91,MATCH($C64,'Gross Gen Plant'!$D$7:$D$91,0),MATCH(Calculation!$G64,'Gross Gen Plant'!$E$5:$AD$5,0))</f>
        <v>13006</v>
      </c>
      <c r="CG64" s="118">
        <f t="shared" si="7"/>
        <v>283138</v>
      </c>
      <c r="CH64" s="118"/>
      <c r="CI64" s="121">
        <v>2002</v>
      </c>
      <c r="CJ64" s="118"/>
      <c r="CK64" s="118"/>
      <c r="CL64" s="118"/>
      <c r="CM64" s="183"/>
      <c r="CN64" s="118">
        <f t="shared" si="75"/>
        <v>17129</v>
      </c>
      <c r="CO64" s="118">
        <f t="shared" si="76"/>
        <v>47.403035698824496</v>
      </c>
      <c r="CP64" s="186">
        <v>0.97916666666666663</v>
      </c>
      <c r="CQ64" s="118">
        <f>+CQ60*CP64+CO61*CP63+CO62*CP62+CO63*CP61+CO64</f>
        <v>1436.6057467233536</v>
      </c>
      <c r="CR64" s="119">
        <f t="shared" si="77"/>
        <v>2.7785073911532197E-2</v>
      </c>
      <c r="CS64" s="119"/>
      <c r="CT64" s="177">
        <f t="shared" si="78"/>
        <v>5.7515397772523917E-3</v>
      </c>
      <c r="CU64" s="177">
        <f t="shared" ref="CU64:CU83" si="88">+(CT64+CT63+CT62)/3</f>
        <v>5.3092679027600198E-3</v>
      </c>
      <c r="CV64" s="119">
        <f>VLOOKUP($H64,RoR!$E:$F,2,FALSE)</f>
        <v>6.4916666666666664E-2</v>
      </c>
      <c r="CW64" s="177">
        <v>1.5246423291824351E-2</v>
      </c>
      <c r="CX64" s="177">
        <f t="shared" si="86"/>
        <v>4.9670243374842313E-2</v>
      </c>
      <c r="CY64" s="177">
        <f t="shared" ref="CY64:CY83" si="89">+$CX$35-CU64</f>
        <v>2.5592673705773606E-2</v>
      </c>
      <c r="CZ64" s="177">
        <f t="shared" ref="CZ64:CZ83" si="90">+((DM62/DM61-1)+(DM63/DM62-1)+(DM64/DM63-1))/3</f>
        <v>2.5243621214759093E-2</v>
      </c>
      <c r="DA64" s="187">
        <f t="shared" si="79"/>
        <v>0.86875000000000002</v>
      </c>
      <c r="DB64" s="188">
        <f t="shared" si="80"/>
        <v>0.78996741384417901</v>
      </c>
      <c r="DC64" s="188">
        <f t="shared" si="81"/>
        <v>0.58989088575096271</v>
      </c>
      <c r="DD64" s="188">
        <f t="shared" si="82"/>
        <v>0.91920675783645744</v>
      </c>
      <c r="DE64" s="188">
        <f t="shared" si="83"/>
        <v>0.42834536472275586</v>
      </c>
      <c r="DF64" s="189">
        <f>INDEX('State Tax Lookup'!$D$7:$Z$91,MATCH(Calculation!$C64,'State Tax Lookup'!$B$7:$B$91,0),MATCH($H64,'State Tax Lookup'!$D$6:$Z$6,0))</f>
        <v>0.35</v>
      </c>
      <c r="DG64" s="189">
        <v>0.375</v>
      </c>
      <c r="DH64" s="190">
        <f t="shared" si="87"/>
        <v>12.32638912428107</v>
      </c>
      <c r="DI64" s="190"/>
      <c r="DJ64" s="177"/>
      <c r="DK64" s="189">
        <f>VLOOKUP($H64,RoR!$E:$F,2,FALSE)</f>
        <v>6.4916666666666664E-2</v>
      </c>
      <c r="DL64" s="191">
        <f>HLOOKUP($H64,'GDP-PI'!$D$8:$CQ$11,3,FALSE)</f>
        <v>1.5246423291824351E-2</v>
      </c>
      <c r="DM64" s="189">
        <f>VLOOKUP(H64,'HW Dx Data'!$E:$F,2,FALSE)</f>
        <v>361.34816573413599</v>
      </c>
      <c r="DN64" s="183">
        <f>VLOOKUP(H64,'ECI - Input Price'!$G$17:$H$37,2,FALSE)</f>
        <v>89.275000000000006</v>
      </c>
      <c r="DO64" s="177">
        <f>LN(DN64/DN63)</f>
        <v>3.5051315810864674E-2</v>
      </c>
      <c r="DP64" s="183">
        <f>HLOOKUP(H64,'GDP-PI'!$8:$9,2,FALSE)</f>
        <v>81.039000000000001</v>
      </c>
      <c r="DQ64" s="177">
        <f>LN(DP64/DP63)</f>
        <v>1.513136459537477E-2</v>
      </c>
      <c r="DR64" s="167">
        <v>55.841666666666669</v>
      </c>
      <c r="DS64" s="167">
        <v>1.1370475113122172</v>
      </c>
      <c r="DV64" s="192">
        <v>8.6027422684860073E-4</v>
      </c>
      <c r="DW64" s="192">
        <v>1.4999999999999999E-2</v>
      </c>
      <c r="DX64" s="192">
        <f t="shared" si="0"/>
        <v>1.2904113402729011E-5</v>
      </c>
      <c r="DY64" s="192">
        <v>6.0000000000000001E-3</v>
      </c>
      <c r="DZ64" s="192">
        <f t="shared" si="1"/>
        <v>5.1616453610916045E-6</v>
      </c>
      <c r="EA64" s="192">
        <v>2E-3</v>
      </c>
      <c r="EB64" s="192">
        <f t="shared" si="2"/>
        <v>1.7205484536972015E-6</v>
      </c>
      <c r="EC64" s="192">
        <v>-4.7000000000000002E-3</v>
      </c>
      <c r="ED64" s="192">
        <f t="shared" si="3"/>
        <v>-4.0432888661884233E-6</v>
      </c>
      <c r="EE64" s="192">
        <v>-1.21E-2</v>
      </c>
      <c r="EF64" s="192">
        <f t="shared" si="4"/>
        <v>-1.0409318144868068E-5</v>
      </c>
    </row>
    <row r="65" spans="1:136" s="167" customFormat="1" ht="21" x14ac:dyDescent="0.35">
      <c r="A65" s="167" t="s">
        <v>29</v>
      </c>
      <c r="B65" s="168" t="s">
        <v>29</v>
      </c>
      <c r="C65" s="168">
        <v>4057075</v>
      </c>
      <c r="D65" s="168" t="s">
        <v>133</v>
      </c>
      <c r="E65" s="168"/>
      <c r="F65" s="168"/>
      <c r="G65" s="168" t="s">
        <v>9</v>
      </c>
      <c r="H65" s="169">
        <v>2003</v>
      </c>
      <c r="I65" s="170"/>
      <c r="J65" s="166"/>
      <c r="K65" s="166"/>
      <c r="L65" s="172"/>
      <c r="M65" s="172"/>
      <c r="N65" s="196"/>
      <c r="O65" s="172"/>
      <c r="P65" s="166"/>
      <c r="Q65" s="166"/>
      <c r="R65" s="166"/>
      <c r="S65" s="166"/>
      <c r="T65" s="166"/>
      <c r="U65" s="166"/>
      <c r="V65" s="166">
        <f t="shared" si="84"/>
        <v>17979.246502017493</v>
      </c>
      <c r="W65" s="170"/>
      <c r="X65" s="174">
        <v>1483.9826689552858</v>
      </c>
      <c r="Y65" s="175">
        <v>3.2446255199788054E-2</v>
      </c>
      <c r="Z65" s="175"/>
      <c r="AA65" s="175"/>
      <c r="AB65" s="175"/>
      <c r="AC65" s="170">
        <f t="shared" si="85"/>
        <v>17979.246502017493</v>
      </c>
      <c r="AD65" s="175"/>
      <c r="AE65" s="170"/>
      <c r="AF65" s="170"/>
      <c r="AG65" s="174"/>
      <c r="AH65" s="175"/>
      <c r="AI65" s="175"/>
      <c r="AJ65" s="174"/>
      <c r="AK65" s="174"/>
      <c r="AL65" s="120"/>
      <c r="AM65" s="120"/>
      <c r="AN65" s="120"/>
      <c r="AO65" s="120"/>
      <c r="AP65" s="120"/>
      <c r="AQ65" s="175"/>
      <c r="AR65" s="120"/>
      <c r="AS65" s="120"/>
      <c r="AT65" s="120"/>
      <c r="AU65" s="120"/>
      <c r="AV65" s="120"/>
      <c r="AW65" s="120"/>
      <c r="AX65" s="120"/>
      <c r="AY65" s="120"/>
      <c r="AZ65" s="118">
        <f>IFERROR(INDEX('Total Customers'!$F$7:$AB$91,MATCH($C65,'Total Customers'!$D$7:$D$91,0),MATCH($G65,'Total Customers'!$F$5:$AB$5,0)),"NA")</f>
        <v>274404</v>
      </c>
      <c r="BA65" s="119">
        <f t="shared" si="73"/>
        <v>2.4719580490918502E-2</v>
      </c>
      <c r="BB65" s="119"/>
      <c r="BC65" s="193"/>
      <c r="BD65" s="193"/>
      <c r="BE65" s="193"/>
      <c r="BF65" s="193"/>
      <c r="BG65" s="169"/>
      <c r="BH65" s="169"/>
      <c r="BI65" s="169"/>
      <c r="BJ65" s="173"/>
      <c r="BK65" s="173" t="s">
        <v>584</v>
      </c>
      <c r="BL65" s="181">
        <f>+(AG945+AG946+AG947)/3</f>
        <v>343.60265940265595</v>
      </c>
      <c r="BM65" s="184">
        <f t="shared" si="74"/>
        <v>-0.2543713123600474</v>
      </c>
      <c r="BN65" s="173"/>
      <c r="BO65" s="173"/>
      <c r="BP65" s="173"/>
      <c r="BQ65" s="118"/>
      <c r="BR65" s="118"/>
      <c r="BS65" s="118">
        <f>INDEX('Dist. Plant Gas Additions'!$F$7:$AE$91,MATCH($C65,'Dist. Plant Gas Additions'!$D$7:$D$91,0),MATCH(Calculation!$G65,'Dist. Plant Gas Additions'!$F$5:$AE$5,0))</f>
        <v>20064</v>
      </c>
      <c r="BT65" s="118">
        <f>INDEX('Gen. Plant Additions'!$F$7:$AE$91,MATCH($C65,'Gen. Plant Additions'!$D$7:$D$91,0),MATCH(Calculation!$G65,'Gen. Plant Additions'!$F$5:$AE$5,0))</f>
        <v>435</v>
      </c>
      <c r="BU65" s="118"/>
      <c r="BV65" s="118"/>
      <c r="BW65" s="118">
        <f>INDEX('Dist Plant Depreciation'!$E$7:$AD$94,MATCH($C65,'Dist Plant Depreciation'!$D$7:$D$94,0),MATCH(Calculation!$G65,'Dist Plant Depreciation'!$E$5:$AD$5,0))</f>
        <v>165837</v>
      </c>
      <c r="BX65" s="118">
        <f>INDEX('Gen. Plant Depreciation'!$E$7:$AD$94,MATCH($C65,'Gen. Plant Depreciation'!$D$7:$D$94,0),MATCH(Calculation!$G65,'Gen. Plant Depreciation'!$E$5:$AD$5,0))</f>
        <v>6405</v>
      </c>
      <c r="BY65" s="183">
        <v>1958</v>
      </c>
      <c r="BZ65" s="183">
        <f t="shared" si="66"/>
        <v>11</v>
      </c>
      <c r="CA65" s="178">
        <v>55.25442919470045</v>
      </c>
      <c r="CB65" s="184">
        <f t="shared" si="67"/>
        <v>8.2956259426847662E-3</v>
      </c>
      <c r="CC65" s="185">
        <f t="shared" si="68"/>
        <v>0.45837007627579557</v>
      </c>
      <c r="CD65" s="185"/>
      <c r="CE65" s="118">
        <f>INDEX('Gross Dx Plant'!$E$7:$AD$91,MATCH($C65,'Gross Dx Plant'!$D$7:$D$91,0),MATCH(Calculation!$G65,'Gross Dx Plant'!$E$5:$AD$5,0))</f>
        <v>449501</v>
      </c>
      <c r="CF65" s="118">
        <f>INDEX('Gross Gen Plant'!$E$7:$AD$91,MATCH($C65,'Gross Gen Plant'!$D$7:$D$91,0),MATCH(Calculation!$G65,'Gross Gen Plant'!$E$5:$AD$5,0))</f>
        <v>13164</v>
      </c>
      <c r="CG65" s="118">
        <f t="shared" si="7"/>
        <v>290423</v>
      </c>
      <c r="CH65" s="118"/>
      <c r="CI65" s="121">
        <v>2003</v>
      </c>
      <c r="CJ65" s="118"/>
      <c r="CK65" s="118"/>
      <c r="CL65" s="118"/>
      <c r="CM65" s="183"/>
      <c r="CN65" s="118">
        <f t="shared" si="75"/>
        <v>20499</v>
      </c>
      <c r="CO65" s="118">
        <f t="shared" si="76"/>
        <v>55.517787932739537</v>
      </c>
      <c r="CP65" s="186">
        <v>0.97354497354497349</v>
      </c>
      <c r="CQ65" s="118">
        <f>+CQ60*CP65+CO61*CP64+CO62*CP63+CO63*CP62+CO64*CP61+CO65</f>
        <v>1483.9826689552858</v>
      </c>
      <c r="CR65" s="119">
        <f t="shared" si="77"/>
        <v>3.2446255199788054E-2</v>
      </c>
      <c r="CS65" s="119"/>
      <c r="CT65" s="177">
        <f t="shared" si="78"/>
        <v>5.6667361378549509E-3</v>
      </c>
      <c r="CU65" s="177">
        <f t="shared" si="88"/>
        <v>5.4838962387243747E-3</v>
      </c>
      <c r="CV65" s="119">
        <f>VLOOKUP($H65,RoR!$E:$F,2,FALSE)</f>
        <v>5.6666666666666671E-2</v>
      </c>
      <c r="CW65" s="177">
        <v>1.8855119140166909E-2</v>
      </c>
      <c r="CX65" s="177">
        <f t="shared" si="86"/>
        <v>3.7811547526499761E-2</v>
      </c>
      <c r="CY65" s="177">
        <f t="shared" si="89"/>
        <v>2.5418045369809249E-2</v>
      </c>
      <c r="CZ65" s="177">
        <f t="shared" si="90"/>
        <v>2.1375012817671957E-2</v>
      </c>
      <c r="DA65" s="187">
        <f t="shared" si="79"/>
        <v>0.86875000000000002</v>
      </c>
      <c r="DB65" s="188">
        <f t="shared" si="80"/>
        <v>0.90497737556561086</v>
      </c>
      <c r="DC65" s="188">
        <f t="shared" si="81"/>
        <v>0.5338235294117647</v>
      </c>
      <c r="DD65" s="188">
        <f t="shared" si="82"/>
        <v>0.88972433127405692</v>
      </c>
      <c r="DE65" s="188">
        <f t="shared" si="83"/>
        <v>0.42982423775949252</v>
      </c>
      <c r="DF65" s="189">
        <f>INDEX('State Tax Lookup'!$D$7:$Z$91,MATCH(Calculation!$C65,'State Tax Lookup'!$B$7:$B$91,0),MATCH($H65,'State Tax Lookup'!$D$6:$Z$6,0))</f>
        <v>0.35</v>
      </c>
      <c r="DG65" s="189">
        <v>0.375</v>
      </c>
      <c r="DH65" s="190">
        <f t="shared" si="87"/>
        <v>12.515087415614904</v>
      </c>
      <c r="DI65" s="190"/>
      <c r="DJ65" s="177"/>
      <c r="DK65" s="189">
        <f>VLOOKUP($H65,RoR!$E:$F,2,FALSE)</f>
        <v>5.6666666666666671E-2</v>
      </c>
      <c r="DL65" s="191">
        <f>HLOOKUP($H65,'GDP-PI'!$D$8:$CQ$11,3,FALSE)</f>
        <v>1.8855119140166909E-2</v>
      </c>
      <c r="DM65" s="189">
        <f>VLOOKUP(H65,'HW Dx Data'!$E:$F,2,FALSE)</f>
        <v>369.23301095560191</v>
      </c>
      <c r="DN65" s="183">
        <f>VLOOKUP(H65,'ECI - Input Price'!$G$17:$H$37,2,FALSE)</f>
        <v>92.625</v>
      </c>
      <c r="DO65" s="177">
        <f t="shared" ref="DO65" si="91">LN(DN65/DN64)</f>
        <v>3.6837590135738785E-2</v>
      </c>
      <c r="DP65" s="183">
        <f>HLOOKUP(H65,'GDP-PI'!$8:$9,2,FALSE)</f>
        <v>82.566999999999993</v>
      </c>
      <c r="DQ65" s="177">
        <f t="shared" ref="DQ65" si="92">LN(DP65/DP64)</f>
        <v>1.8679564681853753E-2</v>
      </c>
      <c r="DR65" s="167">
        <v>60.416666666666664</v>
      </c>
      <c r="DS65" s="167">
        <v>1.2757667169431877</v>
      </c>
      <c r="DV65" s="192">
        <v>1.758657341238868E-2</v>
      </c>
      <c r="DW65" s="192">
        <v>3.5700000000000003E-2</v>
      </c>
      <c r="DX65" s="192">
        <f t="shared" si="0"/>
        <v>6.2784067082227593E-4</v>
      </c>
      <c r="DY65" s="192">
        <v>2.87E-2</v>
      </c>
      <c r="DZ65" s="192">
        <f t="shared" si="1"/>
        <v>5.0473465693555506E-4</v>
      </c>
      <c r="EA65" s="192">
        <v>2.58E-2</v>
      </c>
      <c r="EB65" s="192">
        <f t="shared" si="2"/>
        <v>4.5373359403962793E-4</v>
      </c>
      <c r="EC65" s="192">
        <v>2.06E-2</v>
      </c>
      <c r="ED65" s="192">
        <f t="shared" si="3"/>
        <v>3.6228341229520679E-4</v>
      </c>
      <c r="EE65" s="192">
        <v>1.52E-2</v>
      </c>
      <c r="EF65" s="192">
        <f t="shared" si="4"/>
        <v>2.6731591586830791E-4</v>
      </c>
    </row>
    <row r="66" spans="1:136" s="167" customFormat="1" ht="42" x14ac:dyDescent="0.35">
      <c r="A66" s="167" t="s">
        <v>29</v>
      </c>
      <c r="B66" s="168" t="s">
        <v>29</v>
      </c>
      <c r="C66" s="168">
        <v>4057075</v>
      </c>
      <c r="D66" s="168" t="s">
        <v>133</v>
      </c>
      <c r="E66" s="168"/>
      <c r="F66" s="168"/>
      <c r="G66" s="168" t="s">
        <v>10</v>
      </c>
      <c r="H66" s="169">
        <v>2004</v>
      </c>
      <c r="I66" s="170"/>
      <c r="J66" s="166">
        <f>IFERROR(INDEX('Labor Expenditures'!$F$7:$X$91,MATCH($C66,'Labor Expenditures'!$D$7:$D$91,0),MATCH($G66,'Labor Expenditures'!$F$5:$X$5,0)),"NA")</f>
        <v>16894.96793159896</v>
      </c>
      <c r="K66" s="166">
        <f t="shared" ref="K66:K83" si="93">+J66/DN66</f>
        <v>175.66901930438223</v>
      </c>
      <c r="L66" s="172"/>
      <c r="M66" s="172"/>
      <c r="N66" s="196"/>
      <c r="O66" s="172"/>
      <c r="P66" s="166">
        <f>IFERROR(INDEX('Non-Labor Expenditures'!$F$7:$AB$91,MATCH($C66,'Non-Labor Expenditures'!$D$7:$D$91,0),MATCH($G66,'Non-Labor Expenditures'!$F$5:$AB$5,0)),"NA")</f>
        <v>24467.06910969067</v>
      </c>
      <c r="Q66" s="166">
        <f t="shared" ref="Q66:Q83" si="94">+P66/DP66</f>
        <v>288.60163143375252</v>
      </c>
      <c r="R66" s="166"/>
      <c r="S66" s="166"/>
      <c r="T66" s="166"/>
      <c r="U66" s="166"/>
      <c r="V66" s="166">
        <f t="shared" si="84"/>
        <v>20581.804355390097</v>
      </c>
      <c r="W66" s="170"/>
      <c r="X66" s="174">
        <v>1531.1533029548407</v>
      </c>
      <c r="Y66" s="175">
        <v>3.1291778150762138E-2</v>
      </c>
      <c r="Z66" s="175"/>
      <c r="AA66" s="175"/>
      <c r="AB66" s="175"/>
      <c r="AC66" s="170">
        <f t="shared" si="85"/>
        <v>61943.841396679723</v>
      </c>
      <c r="AD66" s="175"/>
      <c r="AE66" s="170"/>
      <c r="AF66" s="170"/>
      <c r="AG66" s="174"/>
      <c r="AH66" s="175"/>
      <c r="AI66" s="175"/>
      <c r="AJ66" s="174"/>
      <c r="AK66" s="174"/>
      <c r="AL66" s="120">
        <f t="shared" ref="AL66:AL83" si="95">+J66/AC66</f>
        <v>0.27274653219205347</v>
      </c>
      <c r="AM66" s="120">
        <f t="shared" ref="AM66:AM83" si="96">+P66/AC66</f>
        <v>0.39498792063938964</v>
      </c>
      <c r="AN66" s="120">
        <f t="shared" ref="AN66:AN83" si="97">+V66/AC66</f>
        <v>0.33226554716855694</v>
      </c>
      <c r="AO66" s="120"/>
      <c r="AP66" s="173"/>
      <c r="AQ66" s="175"/>
      <c r="AR66" s="120"/>
      <c r="AS66" s="120"/>
      <c r="AT66" s="120"/>
      <c r="AU66" s="120"/>
      <c r="AV66" s="120"/>
      <c r="AW66" s="120"/>
      <c r="AX66" s="120"/>
      <c r="AY66" s="120"/>
      <c r="AZ66" s="118">
        <f>IFERROR(INDEX('Total Customers'!$F$7:$AB$91,MATCH($C66,'Total Customers'!$D$7:$D$91,0),MATCH($G66,'Total Customers'!$F$5:$AB$5,0)),"NA")</f>
        <v>282317</v>
      </c>
      <c r="BA66" s="119">
        <f t="shared" si="73"/>
        <v>2.8429080065869552E-2</v>
      </c>
      <c r="BB66" s="119"/>
      <c r="BC66" s="193"/>
      <c r="BD66" s="193"/>
      <c r="BE66" s="193"/>
      <c r="BF66" s="193"/>
      <c r="BG66" s="169"/>
      <c r="BH66" s="169"/>
      <c r="BI66" s="169"/>
      <c r="BJ66" s="173"/>
      <c r="BK66" s="197" t="s">
        <v>585</v>
      </c>
      <c r="BL66" s="181">
        <f>+(AG417+AG418+AG419)/3</f>
        <v>260.12075457503875</v>
      </c>
      <c r="BM66" s="184">
        <f t="shared" si="74"/>
        <v>-1.5072824855687172E-2</v>
      </c>
      <c r="BN66" s="173"/>
      <c r="BO66" s="173"/>
      <c r="BP66" s="173"/>
      <c r="BQ66" s="118"/>
      <c r="BR66" s="118"/>
      <c r="BS66" s="118">
        <f>INDEX('Dist. Plant Gas Additions'!$F$7:$AE$91,MATCH($C66,'Dist. Plant Gas Additions'!$D$7:$D$91,0),MATCH(Calculation!$G66,'Dist. Plant Gas Additions'!$F$5:$AE$5,0))</f>
        <v>20977</v>
      </c>
      <c r="BT66" s="118">
        <f>INDEX('Gen. Plant Additions'!$F$7:$AE$91,MATCH($C66,'Gen. Plant Additions'!$D$7:$D$91,0),MATCH(Calculation!$G66,'Gen. Plant Additions'!$F$5:$AE$5,0))</f>
        <v>2194</v>
      </c>
      <c r="BU66" s="118"/>
      <c r="BV66" s="118"/>
      <c r="BW66" s="118">
        <f>INDEX('Dist Plant Depreciation'!$E$7:$AD$94,MATCH($C66,'Dist Plant Depreciation'!$D$7:$D$94,0),MATCH(Calculation!$G66,'Dist Plant Depreciation'!$E$5:$AD$5,0))</f>
        <v>177996</v>
      </c>
      <c r="BX66" s="118">
        <f>INDEX('Gen. Plant Depreciation'!$E$7:$AD$94,MATCH($C66,'Gen. Plant Depreciation'!$D$7:$D$94,0),MATCH(Calculation!$G66,'Gen. Plant Depreciation'!$E$5:$AD$5,0))</f>
        <v>6696</v>
      </c>
      <c r="BY66" s="183">
        <v>1959</v>
      </c>
      <c r="BZ66" s="183">
        <f t="shared" si="66"/>
        <v>12</v>
      </c>
      <c r="CA66" s="178">
        <v>57.07399624103509</v>
      </c>
      <c r="CB66" s="184">
        <f t="shared" si="67"/>
        <v>9.0497737556561094E-3</v>
      </c>
      <c r="CC66" s="185">
        <f t="shared" si="68"/>
        <v>0.51650675331253482</v>
      </c>
      <c r="CD66" s="185"/>
      <c r="CE66" s="118">
        <f>INDEX('Gross Dx Plant'!$E$7:$AD$91,MATCH($C66,'Gross Dx Plant'!$D$7:$D$91,0),MATCH(Calculation!$G66,'Gross Dx Plant'!$E$5:$AD$5,0))</f>
        <v>469415</v>
      </c>
      <c r="CF66" s="118">
        <f>INDEX('Gross Gen Plant'!$E$7:$AD$91,MATCH($C66,'Gross Gen Plant'!$D$7:$D$91,0),MATCH(Calculation!$G66,'Gross Gen Plant'!$E$5:$AD$5,0))</f>
        <v>14965</v>
      </c>
      <c r="CG66" s="118">
        <f t="shared" si="7"/>
        <v>299688</v>
      </c>
      <c r="CH66" s="118"/>
      <c r="CI66" s="121">
        <v>2004</v>
      </c>
      <c r="CJ66" s="118"/>
      <c r="CK66" s="118"/>
      <c r="CL66" s="118"/>
      <c r="CM66" s="183"/>
      <c r="CN66" s="118">
        <f t="shared" si="75"/>
        <v>23171</v>
      </c>
      <c r="CO66" s="118">
        <f t="shared" si="76"/>
        <v>55.848916242693399</v>
      </c>
      <c r="CP66" s="186">
        <v>0.967741935483871</v>
      </c>
      <c r="CQ66" s="118">
        <f>+CQ60*CP66+CO61*CP65+CO62*CP64+CO63*CP63+CO64*CP62+CO65*CP61+CO66</f>
        <v>1531.1533029548407</v>
      </c>
      <c r="CR66" s="119">
        <f t="shared" si="77"/>
        <v>3.1291778150762138E-2</v>
      </c>
      <c r="CS66" s="119"/>
      <c r="CT66" s="177">
        <f t="shared" si="78"/>
        <v>5.8479673817538498E-3</v>
      </c>
      <c r="CU66" s="177">
        <f t="shared" si="88"/>
        <v>5.7554144322870641E-3</v>
      </c>
      <c r="CV66" s="119">
        <f>VLOOKUP($H66,RoR!$E:$F,2,FALSE)</f>
        <v>5.6283333333333331E-2</v>
      </c>
      <c r="CW66" s="177">
        <v>2.6778252812867276E-2</v>
      </c>
      <c r="CX66" s="177">
        <f t="shared" si="86"/>
        <v>2.9505080520466055E-2</v>
      </c>
      <c r="CY66" s="177">
        <f t="shared" si="89"/>
        <v>2.5146527176246561E-2</v>
      </c>
      <c r="CZ66" s="177">
        <f t="shared" si="90"/>
        <v>5.5940039414565046E-2</v>
      </c>
      <c r="DA66" s="187">
        <f t="shared" si="79"/>
        <v>0.86875000000000002</v>
      </c>
      <c r="DB66" s="188">
        <f t="shared" si="80"/>
        <v>0.91114097628755619</v>
      </c>
      <c r="DC66" s="188">
        <f t="shared" si="81"/>
        <v>0.53081877405981637</v>
      </c>
      <c r="DD66" s="188">
        <f t="shared" si="82"/>
        <v>0.88811215519385678</v>
      </c>
      <c r="DE66" s="188">
        <f t="shared" si="83"/>
        <v>0.42953609753547711</v>
      </c>
      <c r="DF66" s="189">
        <f>INDEX('State Tax Lookup'!$D$7:$Z$91,MATCH(Calculation!$C66,'State Tax Lookup'!$B$7:$B$91,0),MATCH($H66,'State Tax Lookup'!$D$6:$Z$6,0))</f>
        <v>0.35</v>
      </c>
      <c r="DG66" s="189">
        <v>0.375</v>
      </c>
      <c r="DH66" s="190">
        <f t="shared" si="87"/>
        <v>13.869302375262613</v>
      </c>
      <c r="DI66" s="190"/>
      <c r="DJ66" s="177"/>
      <c r="DK66" s="189">
        <f>VLOOKUP($H66,RoR!$E:$F,2,FALSE)</f>
        <v>5.6283333333333331E-2</v>
      </c>
      <c r="DL66" s="191">
        <f>HLOOKUP($H66,'GDP-PI'!$D$8:$CQ$11,3,FALSE)</f>
        <v>2.6778252812867276E-2</v>
      </c>
      <c r="DM66" s="189">
        <f>VLOOKUP(H66,'HW Dx Data'!$E:$F,2,FALSE)</f>
        <v>414.88719135228365</v>
      </c>
      <c r="DN66" s="183">
        <f>VLOOKUP(H66,'ECI - Input Price'!$G$17:$H$37,2,FALSE)</f>
        <v>96.174999999999997</v>
      </c>
      <c r="DO66" s="177">
        <f t="shared" ref="DO66" si="98">LN(DN66/DN65)</f>
        <v>3.7610365022107912E-2</v>
      </c>
      <c r="DP66" s="183">
        <f>HLOOKUP(H66,'GDP-PI'!$8:$9,2,FALSE)</f>
        <v>84.778000000000006</v>
      </c>
      <c r="DQ66" s="177">
        <f t="shared" ref="DQ66" si="99">LN(DP66/DP65)</f>
        <v>2.6425990216022755E-2</v>
      </c>
      <c r="DR66" s="167">
        <v>65.208333333333329</v>
      </c>
      <c r="DS66" s="167">
        <v>1.4261249371543487</v>
      </c>
      <c r="DV66" s="192">
        <v>7.6836044830447241E-3</v>
      </c>
      <c r="DW66" s="192">
        <v>3.8699999999999998E-2</v>
      </c>
      <c r="DX66" s="192">
        <f t="shared" si="0"/>
        <v>2.9735549349383083E-4</v>
      </c>
      <c r="DY66" s="192">
        <v>3.2199999999999999E-2</v>
      </c>
      <c r="DZ66" s="192">
        <f t="shared" si="1"/>
        <v>2.4741206435404013E-4</v>
      </c>
      <c r="EA66" s="192">
        <v>2.9399999999999999E-2</v>
      </c>
      <c r="EB66" s="192">
        <f t="shared" si="2"/>
        <v>2.2589797180151488E-4</v>
      </c>
      <c r="EC66" s="192">
        <v>2.4899999999999999E-2</v>
      </c>
      <c r="ED66" s="192">
        <f t="shared" si="3"/>
        <v>1.9132175162781361E-4</v>
      </c>
      <c r="EE66" s="192">
        <v>0.02</v>
      </c>
      <c r="EF66" s="192">
        <f t="shared" si="4"/>
        <v>1.5367208966089447E-4</v>
      </c>
    </row>
    <row r="67" spans="1:136" s="167" customFormat="1" ht="21" x14ac:dyDescent="0.35">
      <c r="A67" s="167" t="s">
        <v>29</v>
      </c>
      <c r="B67" s="168" t="s">
        <v>29</v>
      </c>
      <c r="C67" s="168">
        <v>4057075</v>
      </c>
      <c r="D67" s="168" t="s">
        <v>133</v>
      </c>
      <c r="E67" s="168"/>
      <c r="F67" s="168"/>
      <c r="G67" s="168" t="s">
        <v>11</v>
      </c>
      <c r="H67" s="169">
        <v>2005</v>
      </c>
      <c r="I67" s="170"/>
      <c r="J67" s="166">
        <f>IFERROR(INDEX('Labor Expenditures'!$F$7:$X$91,MATCH($C67,'Labor Expenditures'!$D$7:$D$91,0),MATCH($G67,'Labor Expenditures'!$F$5:$X$5,0)),"NA")</f>
        <v>16200.970301581736</v>
      </c>
      <c r="K67" s="166">
        <f t="shared" si="93"/>
        <v>163.39859103965441</v>
      </c>
      <c r="L67" s="172">
        <f t="shared" ref="L67:L83" si="100">LN(K67/K66)</f>
        <v>-7.2409092787745724E-2</v>
      </c>
      <c r="M67" s="172"/>
      <c r="N67" s="196"/>
      <c r="O67" s="172"/>
      <c r="P67" s="166">
        <f>IFERROR(INDEX('Non-Labor Expenditures'!$F$7:$AB$91,MATCH($C67,'Non-Labor Expenditures'!$D$7:$D$91,0),MATCH($G67,'Non-Labor Expenditures'!$F$5:$AB$5,0)),"NA")</f>
        <v>23462.030920548277</v>
      </c>
      <c r="Q67" s="166">
        <f t="shared" si="94"/>
        <v>268.42279131589322</v>
      </c>
      <c r="R67" s="172">
        <f>LN(Q67/Q66)</f>
        <v>-7.2483982271033143E-2</v>
      </c>
      <c r="S67" s="172"/>
      <c r="T67" s="172"/>
      <c r="U67" s="172"/>
      <c r="V67" s="166">
        <f t="shared" si="84"/>
        <v>23866.918415268272</v>
      </c>
      <c r="W67" s="170"/>
      <c r="X67" s="174">
        <v>1577.0932310574558</v>
      </c>
      <c r="Y67" s="175">
        <v>2.9562181257361778E-2</v>
      </c>
      <c r="Z67" s="175"/>
      <c r="AA67" s="175"/>
      <c r="AB67" s="175"/>
      <c r="AC67" s="170">
        <f t="shared" si="85"/>
        <v>63529.919637398285</v>
      </c>
      <c r="AD67" s="175">
        <f>LN(AC67/AC66)</f>
        <v>2.5282779672047086E-2</v>
      </c>
      <c r="AE67" s="170"/>
      <c r="AF67" s="170"/>
      <c r="AG67" s="121"/>
      <c r="AH67" s="119"/>
      <c r="AI67" s="119"/>
      <c r="AJ67" s="121"/>
      <c r="AK67" s="121"/>
      <c r="AL67" s="120">
        <f t="shared" si="95"/>
        <v>0.25501323461528003</v>
      </c>
      <c r="AM67" s="120">
        <f t="shared" si="96"/>
        <v>0.36930679362510693</v>
      </c>
      <c r="AN67" s="120">
        <f t="shared" si="97"/>
        <v>0.37567997175961304</v>
      </c>
      <c r="AO67" s="120">
        <f t="shared" ref="AO67:AO83" si="101">+(((AL67+AL66)/2)*L67+((AM66+AM67)/2)*R67+((AN66+AN67)/2)*Y67)</f>
        <v>-3.6342658346045886E-2</v>
      </c>
      <c r="AP67" s="173">
        <v>100</v>
      </c>
      <c r="AQ67" s="175"/>
      <c r="AR67" s="120"/>
      <c r="AS67" s="120"/>
      <c r="AT67" s="120"/>
      <c r="AU67" s="120"/>
      <c r="AV67" s="120"/>
      <c r="AW67" s="120"/>
      <c r="AX67" s="120"/>
      <c r="AY67" s="120"/>
      <c r="AZ67" s="118">
        <f>IFERROR(INDEX('Total Customers'!$F$7:$AB$91,MATCH($C67,'Total Customers'!$D$7:$D$91,0),MATCH($G67,'Total Customers'!$F$5:$AB$5,0)),"NA")</f>
        <v>291118</v>
      </c>
      <c r="BA67" s="119">
        <f t="shared" si="73"/>
        <v>3.0698130190241792E-2</v>
      </c>
      <c r="BB67" s="119"/>
      <c r="BC67" s="193"/>
      <c r="BD67" s="193"/>
      <c r="BE67" s="193"/>
      <c r="BF67" s="193"/>
      <c r="BG67" s="169"/>
      <c r="BH67" s="169"/>
      <c r="BI67" s="169"/>
      <c r="BJ67" s="173"/>
      <c r="BK67" s="173" t="s">
        <v>586</v>
      </c>
      <c r="BL67" s="181">
        <f>+(AG59+AG58+AG57)/3</f>
        <v>240.84100480802621</v>
      </c>
      <c r="BM67" s="184">
        <f t="shared" si="74"/>
        <v>6.3772343103353224E-2</v>
      </c>
      <c r="BN67" s="173"/>
      <c r="BO67" s="173"/>
      <c r="BP67" s="173"/>
      <c r="BQ67" s="118"/>
      <c r="BR67" s="118"/>
      <c r="BS67" s="118">
        <f>INDEX('Dist. Plant Gas Additions'!$F$7:$AE$91,MATCH($C67,'Dist. Plant Gas Additions'!$D$7:$D$91,0),MATCH(Calculation!$G67,'Dist. Plant Gas Additions'!$F$5:$AE$5,0))</f>
        <v>24415</v>
      </c>
      <c r="BT67" s="118">
        <f>INDEX('Gen. Plant Additions'!$F$7:$AE$91,MATCH($C67,'Gen. Plant Additions'!$D$7:$D$91,0),MATCH(Calculation!$G67,'Gen. Plant Additions'!$F$5:$AE$5,0))</f>
        <v>1475</v>
      </c>
      <c r="BU67" s="118"/>
      <c r="BV67" s="118"/>
      <c r="BW67" s="118">
        <f>INDEX('Dist Plant Depreciation'!$E$7:$AD$94,MATCH($C67,'Dist Plant Depreciation'!$D$7:$D$94,0),MATCH(Calculation!$G67,'Dist Plant Depreciation'!$E$5:$AD$5,0))</f>
        <v>176412</v>
      </c>
      <c r="BX67" s="118">
        <f>INDEX('Gen. Plant Depreciation'!$E$7:$AD$94,MATCH($C67,'Gen. Plant Depreciation'!$D$7:$D$94,0),MATCH(Calculation!$G67,'Gen. Plant Depreciation'!$E$5:$AD$5,0))</f>
        <v>6112</v>
      </c>
      <c r="BY67" s="183">
        <v>1960</v>
      </c>
      <c r="BZ67" s="183">
        <f t="shared" si="66"/>
        <v>13</v>
      </c>
      <c r="CA67" s="178">
        <v>58.511065950747266</v>
      </c>
      <c r="CB67" s="184">
        <f t="shared" si="67"/>
        <v>9.8039215686274508E-3</v>
      </c>
      <c r="CC67" s="185">
        <f t="shared" si="68"/>
        <v>0.57363790147791438</v>
      </c>
      <c r="CD67" s="185"/>
      <c r="CE67" s="118">
        <f>INDEX('Gross Dx Plant'!$E$7:$AD$91,MATCH($C67,'Gross Dx Plant'!$D$7:$D$91,0),MATCH(Calculation!$G67,'Gross Dx Plant'!$E$5:$AD$5,0))</f>
        <v>471575</v>
      </c>
      <c r="CF67" s="118">
        <f>INDEX('Gross Gen Plant'!$E$7:$AD$91,MATCH($C67,'Gross Gen Plant'!$D$7:$D$91,0),MATCH(Calculation!$G67,'Gross Gen Plant'!$E$5:$AD$5,0))</f>
        <v>15639</v>
      </c>
      <c r="CG67" s="118">
        <f t="shared" si="7"/>
        <v>304690</v>
      </c>
      <c r="CH67" s="118"/>
      <c r="CI67" s="121">
        <v>2005</v>
      </c>
      <c r="CJ67" s="118"/>
      <c r="CK67" s="118"/>
      <c r="CL67" s="118"/>
      <c r="CM67" s="183"/>
      <c r="CN67" s="118">
        <f t="shared" si="75"/>
        <v>25890</v>
      </c>
      <c r="CO67" s="118">
        <f t="shared" si="76"/>
        <v>55.178423622389822</v>
      </c>
      <c r="CP67" s="186">
        <v>0.96174863387978138</v>
      </c>
      <c r="CQ67" s="118">
        <f>+CQ60*CP67+CO61*CP66+CO62*CP65+CO63*CP64+CO64*CP63+CO65*CP62+CO66*CP61+CO67</f>
        <v>1577.0932310574558</v>
      </c>
      <c r="CR67" s="119">
        <f t="shared" si="77"/>
        <v>2.9562181257361778E-2</v>
      </c>
      <c r="CS67" s="119"/>
      <c r="CT67" s="177">
        <f t="shared" si="78"/>
        <v>6.0336842182596171E-3</v>
      </c>
      <c r="CU67" s="177">
        <f t="shared" si="88"/>
        <v>5.8494625792894729E-3</v>
      </c>
      <c r="CV67" s="119">
        <f>VLOOKUP($H67,RoR!$E:$F,2,FALSE)</f>
        <v>5.2350000000000001E-2</v>
      </c>
      <c r="CW67" s="177">
        <v>3.1010403642454332E-2</v>
      </c>
      <c r="CX67" s="177">
        <f t="shared" si="86"/>
        <v>2.1339596357545669E-2</v>
      </c>
      <c r="CY67" s="177">
        <f t="shared" si="89"/>
        <v>2.5052479029244151E-2</v>
      </c>
      <c r="CZ67" s="177">
        <f t="shared" si="90"/>
        <v>9.2129610649277341E-2</v>
      </c>
      <c r="DA67" s="187">
        <f t="shared" si="79"/>
        <v>0.86875000000000002</v>
      </c>
      <c r="DB67" s="188">
        <f t="shared" si="80"/>
        <v>0.97959983346802826</v>
      </c>
      <c r="DC67" s="188">
        <f t="shared" si="81"/>
        <v>0.49744508118433622</v>
      </c>
      <c r="DD67" s="188">
        <f t="shared" si="82"/>
        <v>0.87010519444335932</v>
      </c>
      <c r="DE67" s="188">
        <f t="shared" si="83"/>
        <v>0.42399975420741998</v>
      </c>
      <c r="DF67" s="189">
        <f>INDEX('State Tax Lookup'!$D$7:$Z$91,MATCH(Calculation!$C67,'State Tax Lookup'!$B$7:$B$91,0),MATCH($H67,'State Tax Lookup'!$D$6:$Z$6,0))</f>
        <v>0.35</v>
      </c>
      <c r="DG67" s="189">
        <v>0.375</v>
      </c>
      <c r="DH67" s="190">
        <f t="shared" si="87"/>
        <v>15.587543304259322</v>
      </c>
      <c r="DI67" s="190"/>
      <c r="DJ67" s="177"/>
      <c r="DK67" s="189">
        <f>VLOOKUP($H67,RoR!$E:$F,2,FALSE)</f>
        <v>5.2350000000000001E-2</v>
      </c>
      <c r="DL67" s="191">
        <f>HLOOKUP($H67,'GDP-PI'!$D$8:$CQ$11,3,FALSE)</f>
        <v>3.1010403642454332E-2</v>
      </c>
      <c r="DM67" s="189">
        <f>VLOOKUP(H67,'HW Dx Data'!$E:$F,2,FALSE)</f>
        <v>469.20514034936258</v>
      </c>
      <c r="DN67" s="183">
        <f>VLOOKUP(H67,'ECI - Input Price'!$G$17:$H$37,2,FALSE)</f>
        <v>99.15</v>
      </c>
      <c r="DO67" s="177">
        <f t="shared" ref="DO67" si="102">LN(DN67/DN66)</f>
        <v>3.046440632744625E-2</v>
      </c>
      <c r="DP67" s="183">
        <f>HLOOKUP(H67,'GDP-PI'!$8:$9,2,FALSE)</f>
        <v>87.406999999999996</v>
      </c>
      <c r="DQ67" s="177">
        <f t="shared" ref="DQ67" si="103">LN(DP67/DP66)</f>
        <v>3.0539295810733648E-2</v>
      </c>
      <c r="DR67" s="167">
        <v>71.05</v>
      </c>
      <c r="DS67" s="167">
        <v>1.6074660633484161</v>
      </c>
      <c r="DV67" s="192">
        <v>0.11665754067445543</v>
      </c>
      <c r="DW67" s="192">
        <v>2.8000000000000001E-2</v>
      </c>
      <c r="DX67" s="192">
        <f t="shared" si="0"/>
        <v>3.2664111388847521E-3</v>
      </c>
      <c r="DY67" s="192">
        <v>2.1299999999999999E-2</v>
      </c>
      <c r="DZ67" s="192">
        <f t="shared" si="1"/>
        <v>2.4848056163659007E-3</v>
      </c>
      <c r="EA67" s="192">
        <v>1.8100000000000002E-2</v>
      </c>
      <c r="EB67" s="192">
        <f t="shared" si="2"/>
        <v>2.1115014862076436E-3</v>
      </c>
      <c r="EC67" s="192">
        <v>1.3599999999999999E-2</v>
      </c>
      <c r="ED67" s="192">
        <f t="shared" si="3"/>
        <v>1.5865425531725937E-3</v>
      </c>
      <c r="EE67" s="192">
        <v>8.6E-3</v>
      </c>
      <c r="EF67" s="192">
        <f t="shared" si="4"/>
        <v>1.0032548498003166E-3</v>
      </c>
    </row>
    <row r="68" spans="1:136" s="167" customFormat="1" ht="21" x14ac:dyDescent="0.35">
      <c r="A68" s="167" t="s">
        <v>29</v>
      </c>
      <c r="B68" s="168" t="s">
        <v>29</v>
      </c>
      <c r="C68" s="168">
        <v>4057075</v>
      </c>
      <c r="D68" s="168" t="s">
        <v>133</v>
      </c>
      <c r="E68" s="168"/>
      <c r="F68" s="168"/>
      <c r="G68" s="168" t="s">
        <v>12</v>
      </c>
      <c r="H68" s="169">
        <v>2006</v>
      </c>
      <c r="I68" s="170"/>
      <c r="J68" s="166">
        <f>IFERROR(INDEX('Labor Expenditures'!$F$7:$X$91,MATCH($C68,'Labor Expenditures'!$D$7:$D$91,0),MATCH($G68,'Labor Expenditures'!$F$5:$X$5,0)),"NA")</f>
        <v>15636.189322591681</v>
      </c>
      <c r="K68" s="166">
        <f t="shared" si="93"/>
        <v>153.22086548350495</v>
      </c>
      <c r="L68" s="172">
        <f t="shared" si="100"/>
        <v>-6.4312113914954575E-2</v>
      </c>
      <c r="M68" s="172">
        <f t="shared" ref="M68:M83" si="104">+L68*AR68</f>
        <v>-5.0354018202225103E-4</v>
      </c>
      <c r="N68" s="196"/>
      <c r="O68" s="172"/>
      <c r="P68" s="166">
        <f>IFERROR(INDEX('Non-Labor Expenditures'!$F$7:$AB$91,MATCH($C68,'Non-Labor Expenditures'!$D$7:$D$91,0),MATCH($G68,'Non-Labor Expenditures'!$F$5:$AB$5,0)),"NA")</f>
        <v>22644.122576434565</v>
      </c>
      <c r="Q68" s="166">
        <f t="shared" si="94"/>
        <v>251.39465968464336</v>
      </c>
      <c r="R68" s="172">
        <f t="shared" ref="R68:R83" si="105">LN(Q68/Q67)</f>
        <v>-6.553926335036013E-2</v>
      </c>
      <c r="S68" s="172">
        <f>+R68*AR68</f>
        <v>-5.1314831045183031E-4</v>
      </c>
      <c r="T68" s="172"/>
      <c r="U68" s="172"/>
      <c r="V68" s="166">
        <f t="shared" si="84"/>
        <v>24000.795565583921</v>
      </c>
      <c r="W68" s="170"/>
      <c r="X68" s="174">
        <v>1646.53835182732</v>
      </c>
      <c r="Y68" s="175">
        <v>4.309169002042549E-2</v>
      </c>
      <c r="Z68" s="175">
        <f>+Y68*AR68</f>
        <v>3.3739207305835288E-4</v>
      </c>
      <c r="AA68" s="175"/>
      <c r="AB68" s="175"/>
      <c r="AC68" s="170">
        <f t="shared" si="85"/>
        <v>62281.107464610162</v>
      </c>
      <c r="AD68" s="175">
        <f t="shared" ref="AD68:AD83" si="106">LN(AC68/AC67)</f>
        <v>-1.9852841488280485E-2</v>
      </c>
      <c r="AE68" s="170"/>
      <c r="AF68" s="170"/>
      <c r="AG68" s="121">
        <f t="shared" ref="AG68:AG83" si="107">+(AC68*1000)/AZ68</f>
        <v>208.14208574382457</v>
      </c>
      <c r="AH68" s="119">
        <f>+AZ68/$BB$44</f>
        <v>8.5117056860944135E-3</v>
      </c>
      <c r="AI68" s="119"/>
      <c r="AJ68" s="176">
        <f>+AH68*AG68</f>
        <v>1.7716441747412626</v>
      </c>
      <c r="AK68" s="176">
        <f>+AI68*AG68</f>
        <v>0</v>
      </c>
      <c r="AL68" s="120">
        <f t="shared" si="95"/>
        <v>0.25105830578681654</v>
      </c>
      <c r="AM68" s="120">
        <f t="shared" si="96"/>
        <v>0.36357931800267967</v>
      </c>
      <c r="AN68" s="120">
        <f t="shared" si="97"/>
        <v>0.38536237621050384</v>
      </c>
      <c r="AO68" s="120">
        <f t="shared" si="101"/>
        <v>-2.3892372740053021E-2</v>
      </c>
      <c r="AP68" s="173">
        <f>+AP67*EXP(AO68)</f>
        <v>97.63907903684435</v>
      </c>
      <c r="AQ68" s="175">
        <f>LN(AP68/AP67)</f>
        <v>-2.389237274005318E-2</v>
      </c>
      <c r="AR68" s="177">
        <f>+AC68/$AE$44</f>
        <v>7.8296319522030543E-3</v>
      </c>
      <c r="AS68" s="177">
        <f>+AR68*AQ68</f>
        <v>-1.8706848501946562E-4</v>
      </c>
      <c r="AT68" s="177"/>
      <c r="AU68" s="177"/>
      <c r="AV68" s="177"/>
      <c r="AW68" s="190"/>
      <c r="AX68" s="120"/>
      <c r="AY68" s="120"/>
      <c r="AZ68" s="118">
        <f>IFERROR(INDEX('Total Customers'!$F$7:$AB$91,MATCH($C68,'Total Customers'!$D$7:$D$91,0),MATCH($G68,'Total Customers'!$F$5:$AB$5,0)),"NA")</f>
        <v>299224</v>
      </c>
      <c r="BA68" s="119">
        <f t="shared" si="73"/>
        <v>2.7463773526032798E-2</v>
      </c>
      <c r="BB68" s="119"/>
      <c r="BC68" s="121"/>
      <c r="BD68" s="119"/>
      <c r="BE68" s="119"/>
      <c r="BF68" s="119"/>
      <c r="BG68" s="173"/>
      <c r="BH68" s="173"/>
      <c r="BI68" s="173"/>
      <c r="BJ68" s="173"/>
      <c r="BK68" s="173"/>
      <c r="BL68" s="182"/>
      <c r="BM68" s="173"/>
      <c r="BN68" s="173"/>
      <c r="BO68" s="173"/>
      <c r="BP68" s="173"/>
      <c r="BQ68" s="118"/>
      <c r="BR68" s="118"/>
      <c r="BS68" s="118">
        <f>INDEX('Dist. Plant Gas Additions'!$F$7:$AE$91,MATCH($C68,'Dist. Plant Gas Additions'!$D$7:$D$91,0),MATCH(Calculation!$G68,'Dist. Plant Gas Additions'!$F$5:$AE$5,0))</f>
        <v>33443</v>
      </c>
      <c r="BT68" s="118">
        <f>INDEX('Gen. Plant Additions'!$F$7:$AE$91,MATCH($C68,'Gen. Plant Additions'!$D$7:$D$91,0),MATCH(Calculation!$G68,'Gen. Plant Additions'!$F$5:$AE$5,0))</f>
        <v>3104</v>
      </c>
      <c r="BU68" s="118"/>
      <c r="BV68" s="118"/>
      <c r="BW68" s="118">
        <f>INDEX('Dist Plant Depreciation'!$E$7:$AD$94,MATCH($C68,'Dist Plant Depreciation'!$D$7:$D$94,0),MATCH(Calculation!$G68,'Dist Plant Depreciation'!$E$5:$AD$5,0))</f>
        <v>187384</v>
      </c>
      <c r="BX68" s="118">
        <f>INDEX('Gen. Plant Depreciation'!$E$7:$AD$94,MATCH($C68,'Gen. Plant Depreciation'!$D$7:$D$94,0),MATCH(Calculation!$G68,'Gen. Plant Depreciation'!$E$5:$AD$5,0))</f>
        <v>7898</v>
      </c>
      <c r="BY68" s="183">
        <v>1961</v>
      </c>
      <c r="BZ68" s="183">
        <f t="shared" si="66"/>
        <v>14</v>
      </c>
      <c r="CA68" s="178">
        <v>59.629647802968329</v>
      </c>
      <c r="CB68" s="184">
        <f t="shared" si="67"/>
        <v>1.0558069381598794E-2</v>
      </c>
      <c r="CC68" s="185">
        <f t="shared" si="68"/>
        <v>0.62957395870403976</v>
      </c>
      <c r="CD68" s="185"/>
      <c r="CE68" s="118">
        <f>INDEX('Gross Dx Plant'!$E$7:$AD$91,MATCH($C68,'Gross Dx Plant'!$D$7:$D$91,0),MATCH(Calculation!$G68,'Gross Dx Plant'!$E$5:$AD$5,0))</f>
        <v>502237</v>
      </c>
      <c r="CF68" s="118">
        <f>INDEX('Gross Gen Plant'!$E$7:$AD$91,MATCH($C68,'Gross Gen Plant'!$D$7:$D$91,0),MATCH(Calculation!$G68,'Gross Gen Plant'!$E$5:$AD$5,0))</f>
        <v>18537</v>
      </c>
      <c r="CG68" s="118">
        <f t="shared" si="7"/>
        <v>325492</v>
      </c>
      <c r="CH68" s="119" t="e">
        <f>SUM(#REF!)/15</f>
        <v>#REF!</v>
      </c>
      <c r="CI68" s="121">
        <v>2006</v>
      </c>
      <c r="CJ68" s="118"/>
      <c r="CK68" s="118"/>
      <c r="CL68" s="118"/>
      <c r="CM68" s="183"/>
      <c r="CN68" s="118">
        <f t="shared" si="75"/>
        <v>36547</v>
      </c>
      <c r="CO68" s="118">
        <f t="shared" si="76"/>
        <v>79.262926960264338</v>
      </c>
      <c r="CP68" s="186">
        <v>0.9555555555555556</v>
      </c>
      <c r="CQ68" s="118">
        <f>+CQ60*CP68+CO61*CP67+CO62*CP66+CO63*CP65+CO64*CP64+CO65*CP63+CO66*CP62+CO67*CP61+CO68</f>
        <v>1646.53835182732</v>
      </c>
      <c r="CR68" s="119">
        <f t="shared" si="77"/>
        <v>4.309169002042549E-2</v>
      </c>
      <c r="CS68" s="119"/>
      <c r="CT68" s="177">
        <f t="shared" si="78"/>
        <v>6.2252541555943685E-3</v>
      </c>
      <c r="CU68" s="177">
        <f t="shared" si="88"/>
        <v>6.035635251869279E-3</v>
      </c>
      <c r="CV68" s="119">
        <f>VLOOKUP($H68,RoR!$E:$F,2,FALSE)</f>
        <v>5.5874999999999994E-2</v>
      </c>
      <c r="CW68" s="177">
        <v>3.0512430354548314E-2</v>
      </c>
      <c r="CX68" s="177">
        <f t="shared" si="86"/>
        <v>2.536256964545168E-2</v>
      </c>
      <c r="CY68" s="177">
        <f t="shared" si="89"/>
        <v>2.4866306356664345E-2</v>
      </c>
      <c r="CZ68" s="177">
        <f t="shared" si="90"/>
        <v>7.9087823893859641E-2</v>
      </c>
      <c r="DA68" s="187">
        <f t="shared" si="79"/>
        <v>0.86875000000000002</v>
      </c>
      <c r="DB68" s="188">
        <f t="shared" si="80"/>
        <v>0.91779957551769631</v>
      </c>
      <c r="DC68" s="188">
        <f t="shared" si="81"/>
        <v>0.52757270693512304</v>
      </c>
      <c r="DD68" s="188">
        <f t="shared" si="82"/>
        <v>0.88636824549024895</v>
      </c>
      <c r="DE68" s="188">
        <f t="shared" si="83"/>
        <v>0.42918482841932087</v>
      </c>
      <c r="DF68" s="189">
        <f>INDEX('State Tax Lookup'!$D$7:$Z$91,MATCH(Calculation!$C68,'State Tax Lookup'!$B$7:$B$91,0),MATCH($H68,'State Tax Lookup'!$D$6:$Z$6,0))</f>
        <v>0.35</v>
      </c>
      <c r="DG68" s="189">
        <v>0.375</v>
      </c>
      <c r="DH68" s="190">
        <f t="shared" si="87"/>
        <v>15.218374597607754</v>
      </c>
      <c r="DI68" s="190">
        <v>14.778788959040911</v>
      </c>
      <c r="DJ68" s="177"/>
      <c r="DK68" s="189">
        <f>VLOOKUP($H68,RoR!$E:$F,2,FALSE)</f>
        <v>5.5874999999999994E-2</v>
      </c>
      <c r="DL68" s="191">
        <f>HLOOKUP($H68,'GDP-PI'!$D$8:$CQ$11,3,FALSE)</f>
        <v>3.0512430354548314E-2</v>
      </c>
      <c r="DM68" s="189">
        <f>VLOOKUP(H68,'HW Dx Data'!$E:$F,2,FALSE)</f>
        <v>461.08567272971823</v>
      </c>
      <c r="DN68" s="183">
        <f>VLOOKUP(H68,'ECI - Input Price'!$G$17:$H$37,2,FALSE)</f>
        <v>102.05</v>
      </c>
      <c r="DO68" s="177">
        <f t="shared" ref="DO68" si="108">LN(DN68/DN67)</f>
        <v>2.8829034290048662E-2</v>
      </c>
      <c r="DP68" s="183">
        <f>HLOOKUP(H68,'GDP-PI'!$8:$9,2,FALSE)</f>
        <v>90.073999999999998</v>
      </c>
      <c r="DQ68" s="177">
        <f t="shared" ref="DQ68" si="109">LN(DP68/DP67)</f>
        <v>3.005618372545445E-2</v>
      </c>
      <c r="DR68" s="167">
        <v>79.25</v>
      </c>
      <c r="DS68" s="167">
        <v>1.8527526395173455</v>
      </c>
      <c r="DV68" s="192">
        <v>3.7564126000317624E-2</v>
      </c>
      <c r="DW68" s="192">
        <v>3.6600000000000001E-2</v>
      </c>
      <c r="DX68" s="192">
        <f t="shared" si="0"/>
        <v>1.3748470116116251E-3</v>
      </c>
      <c r="DY68" s="192">
        <v>3.0599999999999999E-2</v>
      </c>
      <c r="DZ68" s="192">
        <f t="shared" si="1"/>
        <v>1.1494622556097193E-3</v>
      </c>
      <c r="EA68" s="192">
        <v>2.7799999999999998E-2</v>
      </c>
      <c r="EB68" s="192">
        <f t="shared" si="2"/>
        <v>1.0442827028088299E-3</v>
      </c>
      <c r="EC68" s="192">
        <v>2.3800000000000002E-2</v>
      </c>
      <c r="ED68" s="192">
        <f t="shared" si="3"/>
        <v>8.9402619880755952E-4</v>
      </c>
      <c r="EE68" s="192">
        <v>1.95E-2</v>
      </c>
      <c r="EF68" s="192">
        <f t="shared" si="4"/>
        <v>7.3250045700619371E-4</v>
      </c>
    </row>
    <row r="69" spans="1:136" s="167" customFormat="1" ht="21" x14ac:dyDescent="0.35">
      <c r="A69" s="167" t="s">
        <v>29</v>
      </c>
      <c r="B69" s="168" t="s">
        <v>29</v>
      </c>
      <c r="C69" s="168">
        <v>4057075</v>
      </c>
      <c r="D69" s="168" t="s">
        <v>133</v>
      </c>
      <c r="E69" s="168"/>
      <c r="F69" s="168"/>
      <c r="G69" s="168" t="s">
        <v>13</v>
      </c>
      <c r="H69" s="169">
        <v>2007</v>
      </c>
      <c r="I69" s="170"/>
      <c r="J69" s="166">
        <f>IFERROR(INDEX('Labor Expenditures'!$F$7:$X$91,MATCH($C69,'Labor Expenditures'!$D$7:$D$91,0),MATCH($G69,'Labor Expenditures'!$F$5:$X$5,0)),"NA")</f>
        <v>16673.67666870388</v>
      </c>
      <c r="K69" s="166">
        <f t="shared" si="93"/>
        <v>158.45736914900337</v>
      </c>
      <c r="L69" s="172">
        <f t="shared" si="100"/>
        <v>3.3605147074895973E-2</v>
      </c>
      <c r="M69" s="172">
        <f t="shared" si="104"/>
        <v>2.7089361683735368E-4</v>
      </c>
      <c r="N69" s="196"/>
      <c r="O69" s="172"/>
      <c r="P69" s="166">
        <f>IFERROR(INDEX('Non-Labor Expenditures'!$F$7:$AB$91,MATCH($C69,'Non-Labor Expenditures'!$D$7:$D$91,0),MATCH($G69,'Non-Labor Expenditures'!$F$5:$AB$5,0)),"NA")</f>
        <v>24146.598029511933</v>
      </c>
      <c r="Q69" s="166">
        <f t="shared" si="94"/>
        <v>261.04994734493647</v>
      </c>
      <c r="R69" s="172">
        <f t="shared" si="105"/>
        <v>3.7687704525638528E-2</v>
      </c>
      <c r="S69" s="172">
        <f t="shared" ref="S69:S83" si="110">+R69*AR69</f>
        <v>3.0380341935400763E-4</v>
      </c>
      <c r="T69" s="172"/>
      <c r="U69" s="172"/>
      <c r="V69" s="166">
        <f t="shared" si="84"/>
        <v>26908.550011480966</v>
      </c>
      <c r="W69" s="170"/>
      <c r="X69" s="174">
        <v>1731.6641435234997</v>
      </c>
      <c r="Y69" s="175">
        <v>5.0407763317496933E-2</v>
      </c>
      <c r="Z69" s="175">
        <f t="shared" ref="Z69:Z83" si="111">+Y69*AR69</f>
        <v>4.0634076950547902E-4</v>
      </c>
      <c r="AA69" s="175"/>
      <c r="AB69" s="175"/>
      <c r="AC69" s="170">
        <f t="shared" si="85"/>
        <v>67728.824709696783</v>
      </c>
      <c r="AD69" s="175">
        <f t="shared" si="106"/>
        <v>8.3853731661176309E-2</v>
      </c>
      <c r="AE69" s="170"/>
      <c r="AF69" s="170"/>
      <c r="AG69" s="121">
        <f t="shared" si="107"/>
        <v>221.20590734109604</v>
      </c>
      <c r="AH69" s="119">
        <f>+AZ69/$BB$45</f>
        <v>8.644273054976016E-3</v>
      </c>
      <c r="AI69" s="119"/>
      <c r="AJ69" s="176">
        <f t="shared" ref="AJ69:AJ83" si="112">+AH69*AG69</f>
        <v>1.9121642644301577</v>
      </c>
      <c r="AK69" s="176">
        <f t="shared" ref="AK69:AK83" si="113">+AI69*AG69</f>
        <v>0</v>
      </c>
      <c r="AL69" s="120">
        <f t="shared" si="95"/>
        <v>0.24618287324741805</v>
      </c>
      <c r="AM69" s="120">
        <f t="shared" si="96"/>
        <v>0.35651878108044077</v>
      </c>
      <c r="AN69" s="120">
        <f t="shared" si="97"/>
        <v>0.39729834567214112</v>
      </c>
      <c r="AO69" s="120">
        <f t="shared" si="101"/>
        <v>4.1650441883710212E-2</v>
      </c>
      <c r="AP69" s="173">
        <f>+AP68*EXP(AO69)</f>
        <v>101.79166811434304</v>
      </c>
      <c r="AQ69" s="175">
        <f>LN(AP69/AP68)</f>
        <v>4.1650441883710164E-2</v>
      </c>
      <c r="AR69" s="177">
        <f>+AC69/$AE$45</f>
        <v>8.0610751749906531E-3</v>
      </c>
      <c r="AS69" s="177">
        <f>+AR69*AQ69</f>
        <v>3.3574734309616694E-4</v>
      </c>
      <c r="AT69" s="177"/>
      <c r="AU69" s="177"/>
      <c r="AV69" s="177"/>
      <c r="AW69" s="190"/>
      <c r="AX69" s="120"/>
      <c r="AY69" s="120"/>
      <c r="AZ69" s="118">
        <f>IFERROR(INDEX('Total Customers'!$F$7:$AB$91,MATCH($C69,'Total Customers'!$D$7:$D$91,0),MATCH($G69,'Total Customers'!$F$5:$AB$5,0)),"NA")</f>
        <v>306180</v>
      </c>
      <c r="BA69" s="119">
        <f t="shared" si="73"/>
        <v>2.2980707516832777E-2</v>
      </c>
      <c r="BB69" s="119"/>
      <c r="BC69" s="121"/>
      <c r="BD69" s="119"/>
      <c r="BE69" s="119"/>
      <c r="BF69" s="119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18"/>
      <c r="BR69" s="118"/>
      <c r="BS69" s="118">
        <f>INDEX('Dist. Plant Gas Additions'!$F$7:$AE$91,MATCH($C69,'Dist. Plant Gas Additions'!$D$7:$D$91,0),MATCH(Calculation!$G69,'Dist. Plant Gas Additions'!$F$5:$AE$5,0))</f>
        <v>46636</v>
      </c>
      <c r="BT69" s="118">
        <f>INDEX('Gen. Plant Additions'!$F$7:$AE$91,MATCH($C69,'Gen. Plant Additions'!$D$7:$D$91,0),MATCH(Calculation!$G69,'Gen. Plant Additions'!$F$5:$AE$5,0))</f>
        <v>1008</v>
      </c>
      <c r="BU69" s="118"/>
      <c r="BV69" s="118"/>
      <c r="BW69" s="118">
        <f>INDEX('Dist Plant Depreciation'!$E$7:$AD$94,MATCH($C69,'Dist Plant Depreciation'!$D$7:$D$94,0),MATCH(Calculation!$G69,'Dist Plant Depreciation'!$E$5:$AD$5,0))</f>
        <v>200085</v>
      </c>
      <c r="BX69" s="118">
        <f>INDEX('Gen. Plant Depreciation'!$E$7:$AD$94,MATCH($C69,'Gen. Plant Depreciation'!$D$7:$D$94,0),MATCH(Calculation!$G69,'Gen. Plant Depreciation'!$E$5:$AD$5,0))</f>
        <v>7904</v>
      </c>
      <c r="BY69" s="183">
        <v>1962</v>
      </c>
      <c r="BZ69" s="183">
        <f t="shared" si="66"/>
        <v>15</v>
      </c>
      <c r="CA69" s="178">
        <v>64.986775237393061</v>
      </c>
      <c r="CB69" s="184">
        <f t="shared" si="67"/>
        <v>1.1312217194570135E-2</v>
      </c>
      <c r="CC69" s="185">
        <f t="shared" si="68"/>
        <v>0.73514451626010247</v>
      </c>
      <c r="CD69" s="185"/>
      <c r="CE69" s="118">
        <f>INDEX('Gross Dx Plant'!$E$7:$AD$91,MATCH($C69,'Gross Dx Plant'!$D$7:$D$91,0),MATCH(Calculation!$G69,'Gross Dx Plant'!$E$5:$AD$5,0))</f>
        <v>547114</v>
      </c>
      <c r="CF69" s="118">
        <f>INDEX('Gross Gen Plant'!$E$7:$AD$91,MATCH($C69,'Gross Gen Plant'!$D$7:$D$91,0),MATCH(Calculation!$G69,'Gross Gen Plant'!$E$5:$AD$5,0))</f>
        <v>18646</v>
      </c>
      <c r="CG69" s="118">
        <f t="shared" si="7"/>
        <v>357771</v>
      </c>
      <c r="CH69" s="118"/>
      <c r="CI69" s="121">
        <v>2007</v>
      </c>
      <c r="CJ69" s="118"/>
      <c r="CK69" s="118"/>
      <c r="CL69" s="118"/>
      <c r="CM69" s="183"/>
      <c r="CN69" s="118">
        <f t="shared" si="75"/>
        <v>47644</v>
      </c>
      <c r="CO69" s="118">
        <f t="shared" si="76"/>
        <v>95.666395901038896</v>
      </c>
      <c r="CP69" s="186">
        <v>0.94915254237288138</v>
      </c>
      <c r="CQ69" s="118">
        <f>+CQ60*CP69+CO61*CP68+CO62*CP67+CO63*CP66+CO64*CP65+CO65*CP64+CO66*CP63+CO67*CP62+CO68*CP61+CO69</f>
        <v>1731.6641435234997</v>
      </c>
      <c r="CR69" s="119">
        <f t="shared" si="77"/>
        <v>5.0407763317496933E-2</v>
      </c>
      <c r="CS69" s="119"/>
      <c r="CT69" s="177">
        <f t="shared" si="78"/>
        <v>6.4016754867332933E-3</v>
      </c>
      <c r="CU69" s="177">
        <f t="shared" si="88"/>
        <v>6.2202046201957593E-3</v>
      </c>
      <c r="CV69" s="119">
        <f>VLOOKUP($H69,RoR!$E:$F,2,FALSE)</f>
        <v>5.5558333333333321E-2</v>
      </c>
      <c r="CW69" s="177">
        <v>2.691120634145272E-2</v>
      </c>
      <c r="CX69" s="177">
        <f t="shared" si="86"/>
        <v>2.86471269918806E-2</v>
      </c>
      <c r="CY69" s="177">
        <f t="shared" si="89"/>
        <v>2.4681736988337866E-2</v>
      </c>
      <c r="CZ69" s="177">
        <f t="shared" si="90"/>
        <v>6.4575155250632399E-2</v>
      </c>
      <c r="DA69" s="187">
        <f t="shared" si="79"/>
        <v>0.86875000000000002</v>
      </c>
      <c r="DB69" s="188">
        <f t="shared" si="80"/>
        <v>0.92303077153834634</v>
      </c>
      <c r="DC69" s="188">
        <f t="shared" si="81"/>
        <v>0.52502249887505614</v>
      </c>
      <c r="DD69" s="188">
        <f t="shared" si="82"/>
        <v>0.88499666072084604</v>
      </c>
      <c r="DE69" s="188">
        <f t="shared" si="83"/>
        <v>0.42887993290280618</v>
      </c>
      <c r="DF69" s="189">
        <f>INDEX('State Tax Lookup'!$D$7:$Z$91,MATCH(Calculation!$C69,'State Tax Lookup'!$B$7:$B$91,0),MATCH($H69,'State Tax Lookup'!$D$6:$Z$6,0))</f>
        <v>0.35</v>
      </c>
      <c r="DG69" s="189">
        <v>0.375</v>
      </c>
      <c r="DH69" s="190">
        <f t="shared" si="87"/>
        <v>16.342498176017578</v>
      </c>
      <c r="DI69" s="190">
        <v>16.117379624434424</v>
      </c>
      <c r="DJ69" s="177"/>
      <c r="DK69" s="189">
        <f>VLOOKUP($H69,RoR!$E:$F,2,FALSE)</f>
        <v>5.5558333333333321E-2</v>
      </c>
      <c r="DL69" s="191">
        <f>HLOOKUP($H69,'GDP-PI'!$D$8:$CQ$11,3,FALSE)</f>
        <v>2.691120634145272E-2</v>
      </c>
      <c r="DM69" s="189">
        <f>VLOOKUP(H69,'HW Dx Data'!$E:$F,2,FALSE)</f>
        <v>498.0223154772637</v>
      </c>
      <c r="DN69" s="183">
        <f>VLOOKUP(H69,'ECI - Input Price'!$G$17:$H$37,2,FALSE)</f>
        <v>105.22500000000001</v>
      </c>
      <c r="DO69" s="177">
        <f t="shared" ref="DO69" si="114">LN(DN69/DN68)</f>
        <v>3.0638025400780679E-2</v>
      </c>
      <c r="DP69" s="183">
        <f>HLOOKUP(H69,'GDP-PI'!$8:$9,2,FALSE)</f>
        <v>92.498000000000005</v>
      </c>
      <c r="DQ69" s="177">
        <f t="shared" ref="DQ69" si="115">LN(DP69/DP68)</f>
        <v>2.6555467950038037E-2</v>
      </c>
      <c r="DR69" s="167">
        <v>87.283333333333331</v>
      </c>
      <c r="DS69" s="167">
        <v>2.1063851181498241</v>
      </c>
      <c r="DV69" s="192">
        <v>1.1105433028856712E-2</v>
      </c>
      <c r="DW69" s="192">
        <v>3.9399999999999998E-2</v>
      </c>
      <c r="DX69" s="192">
        <f t="shared" ref="DX69:DX88" si="116">+DW69*DV69</f>
        <v>4.3755406133695444E-4</v>
      </c>
      <c r="DY69" s="192">
        <v>3.2899999999999999E-2</v>
      </c>
      <c r="DZ69" s="192">
        <f t="shared" ref="DZ69:DZ88" si="117">+DV69*DY69</f>
        <v>3.6536874664938579E-4</v>
      </c>
      <c r="EA69" s="192">
        <v>3.0300000000000001E-2</v>
      </c>
      <c r="EB69" s="192">
        <f t="shared" ref="EB69:EB88" si="118">+DV69*EA69</f>
        <v>3.3649462077435836E-4</v>
      </c>
      <c r="EC69" s="192">
        <v>2.5700000000000001E-2</v>
      </c>
      <c r="ED69" s="192">
        <f t="shared" ref="ED69:ED88" si="119">+DV69*EC69</f>
        <v>2.8540962884161748E-4</v>
      </c>
      <c r="EE69" s="192">
        <v>2.1000000000000001E-2</v>
      </c>
      <c r="EF69" s="192">
        <f t="shared" ref="EF69:EF88" si="120">+DV69*EE69</f>
        <v>2.3321409360599097E-4</v>
      </c>
    </row>
    <row r="70" spans="1:136" s="167" customFormat="1" ht="21" x14ac:dyDescent="0.35">
      <c r="A70" s="167" t="s">
        <v>29</v>
      </c>
      <c r="B70" s="168" t="s">
        <v>29</v>
      </c>
      <c r="C70" s="168">
        <v>4057075</v>
      </c>
      <c r="D70" s="168" t="s">
        <v>133</v>
      </c>
      <c r="E70" s="168"/>
      <c r="F70" s="168"/>
      <c r="G70" s="168" t="s">
        <v>14</v>
      </c>
      <c r="H70" s="169">
        <v>2008</v>
      </c>
      <c r="I70" s="170"/>
      <c r="J70" s="166">
        <f>IFERROR(INDEX('Labor Expenditures'!$F$7:$X$91,MATCH($C70,'Labor Expenditures'!$D$7:$D$91,0),MATCH($G70,'Labor Expenditures'!$F$5:$X$5,0)),"NA")</f>
        <v>17331.203797770282</v>
      </c>
      <c r="K70" s="166">
        <f t="shared" si="93"/>
        <v>160.14048323188064</v>
      </c>
      <c r="L70" s="172">
        <f t="shared" si="100"/>
        <v>1.0565857418490332E-2</v>
      </c>
      <c r="M70" s="172">
        <f t="shared" si="104"/>
        <v>8.7741770587446038E-5</v>
      </c>
      <c r="N70" s="196"/>
      <c r="O70" s="172"/>
      <c r="P70" s="166">
        <f>IFERROR(INDEX('Non-Labor Expenditures'!$F$7:$AB$91,MATCH($C70,'Non-Labor Expenditures'!$D$7:$D$91,0),MATCH($G70,'Non-Labor Expenditures'!$F$5:$AB$5,0)),"NA")</f>
        <v>25098.820121527559</v>
      </c>
      <c r="Q70" s="166">
        <f t="shared" si="94"/>
        <v>266.26092804811549</v>
      </c>
      <c r="R70" s="172">
        <f t="shared" si="105"/>
        <v>1.9765002341867587E-2</v>
      </c>
      <c r="S70" s="172">
        <f t="shared" si="110"/>
        <v>1.641339867132399E-4</v>
      </c>
      <c r="T70" s="172"/>
      <c r="U70" s="172"/>
      <c r="V70" s="166">
        <f t="shared" si="84"/>
        <v>32159.339196167384</v>
      </c>
      <c r="W70" s="170"/>
      <c r="X70" s="174">
        <v>1819.9655646107155</v>
      </c>
      <c r="Y70" s="175">
        <v>4.9734701544665014E-2</v>
      </c>
      <c r="Z70" s="175">
        <f t="shared" si="111"/>
        <v>4.1301056793842335E-4</v>
      </c>
      <c r="AA70" s="175"/>
      <c r="AB70" s="175"/>
      <c r="AC70" s="170">
        <f t="shared" si="85"/>
        <v>74589.363115465225</v>
      </c>
      <c r="AD70" s="175">
        <f t="shared" si="106"/>
        <v>9.6486050964477016E-2</v>
      </c>
      <c r="AE70" s="170"/>
      <c r="AF70" s="170"/>
      <c r="AG70" s="121">
        <f t="shared" si="107"/>
        <v>239.65839989289412</v>
      </c>
      <c r="AH70" s="119">
        <f>+AZ70/$BB$46</f>
        <v>8.7400536838069184E-3</v>
      </c>
      <c r="AI70" s="119"/>
      <c r="AJ70" s="176">
        <f t="shared" si="112"/>
        <v>2.0946272808391608</v>
      </c>
      <c r="AK70" s="176">
        <f t="shared" si="113"/>
        <v>0</v>
      </c>
      <c r="AL70" s="120">
        <f t="shared" si="95"/>
        <v>0.23235489718475505</v>
      </c>
      <c r="AM70" s="120">
        <f t="shared" si="96"/>
        <v>0.33649328903203379</v>
      </c>
      <c r="AN70" s="120">
        <f t="shared" si="97"/>
        <v>0.43115181378321121</v>
      </c>
      <c r="AO70" s="120">
        <f t="shared" si="101"/>
        <v>2.9978134232803128E-2</v>
      </c>
      <c r="AP70" s="173">
        <f>+AP69*EXP(AO70)</f>
        <v>104.88939241500583</v>
      </c>
      <c r="AQ70" s="175">
        <f>LN(AP70/AP69)</f>
        <v>2.9978134232803069E-2</v>
      </c>
      <c r="AR70" s="177">
        <f>+AC70/$AE$46</f>
        <v>8.3042735778259946E-3</v>
      </c>
      <c r="AS70" s="177">
        <f t="shared" ref="AS70:AS83" si="121">+AR70*AQ70</f>
        <v>2.4894662802198744E-4</v>
      </c>
      <c r="AT70" s="177"/>
      <c r="AU70" s="177"/>
      <c r="AV70" s="177"/>
      <c r="AW70" s="190"/>
      <c r="AX70" s="120"/>
      <c r="AY70" s="120"/>
      <c r="AZ70" s="118">
        <f>IFERROR(INDEX('Total Customers'!$F$7:$AB$91,MATCH($C70,'Total Customers'!$D$7:$D$91,0),MATCH($G70,'Total Customers'!$F$5:$AB$5,0)),"NA")</f>
        <v>311232</v>
      </c>
      <c r="BA70" s="119">
        <f t="shared" si="73"/>
        <v>1.6365450477385524E-2</v>
      </c>
      <c r="BB70" s="119"/>
      <c r="BC70" s="121"/>
      <c r="BD70" s="119"/>
      <c r="BE70" s="119"/>
      <c r="BF70" s="119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18"/>
      <c r="BR70" s="118"/>
      <c r="BS70" s="118">
        <f>INDEX('Dist. Plant Gas Additions'!$F$7:$AE$91,MATCH($C70,'Dist. Plant Gas Additions'!$D$7:$D$91,0),MATCH(Calculation!$G70,'Dist. Plant Gas Additions'!$F$5:$AE$5,0))</f>
        <v>54381</v>
      </c>
      <c r="BT70" s="118">
        <f>INDEX('Gen. Plant Additions'!$F$7:$AE$91,MATCH($C70,'Gen. Plant Additions'!$D$7:$D$91,0),MATCH(Calculation!$G70,'Gen. Plant Additions'!$F$5:$AE$5,0))</f>
        <v>2422</v>
      </c>
      <c r="BU70" s="118"/>
      <c r="BV70" s="118"/>
      <c r="BW70" s="118">
        <f>INDEX('Dist Plant Depreciation'!$E$7:$AD$94,MATCH($C70,'Dist Plant Depreciation'!$D$7:$D$94,0),MATCH(Calculation!$G70,'Dist Plant Depreciation'!$E$5:$AD$5,0))</f>
        <v>168874</v>
      </c>
      <c r="BX70" s="118">
        <f>INDEX('Gen. Plant Depreciation'!$E$7:$AD$94,MATCH($C70,'Gen. Plant Depreciation'!$D$7:$D$94,0),MATCH(Calculation!$G70,'Gen. Plant Depreciation'!$E$5:$AD$5,0))</f>
        <v>48618</v>
      </c>
      <c r="BY70" s="183">
        <v>1963</v>
      </c>
      <c r="BZ70" s="183">
        <f t="shared" si="66"/>
        <v>16</v>
      </c>
      <c r="CA70" s="178">
        <v>66.067760209098495</v>
      </c>
      <c r="CB70" s="184">
        <f t="shared" si="67"/>
        <v>1.2066365007541479E-2</v>
      </c>
      <c r="CC70" s="185">
        <f t="shared" si="68"/>
        <v>0.79719770991370731</v>
      </c>
      <c r="CD70" s="185"/>
      <c r="CE70" s="118">
        <f>INDEX('Gross Dx Plant'!$E$7:$AD$91,MATCH($C70,'Gross Dx Plant'!$D$7:$D$91,0),MATCH(Calculation!$G70,'Gross Dx Plant'!$E$5:$AD$5,0))</f>
        <v>599422</v>
      </c>
      <c r="CF70" s="118">
        <f>INDEX('Gross Gen Plant'!$E$7:$AD$91,MATCH($C70,'Gross Gen Plant'!$D$7:$D$91,0),MATCH(Calculation!$G70,'Gross Gen Plant'!$E$5:$AD$5,0))</f>
        <v>20364</v>
      </c>
      <c r="CG70" s="118">
        <f t="shared" si="7"/>
        <v>402294</v>
      </c>
      <c r="CH70" s="118"/>
      <c r="CI70" s="121">
        <v>2008</v>
      </c>
      <c r="CJ70" s="118"/>
      <c r="CK70" s="118"/>
      <c r="CL70" s="118"/>
      <c r="CM70" s="183"/>
      <c r="CN70" s="118">
        <f t="shared" si="75"/>
        <v>56803</v>
      </c>
      <c r="CO70" s="118">
        <f t="shared" si="76"/>
        <v>99.675159783422075</v>
      </c>
      <c r="CP70" s="186">
        <v>0.94252873563218387</v>
      </c>
      <c r="CQ70" s="118">
        <f>+CQ60*CP70+CO61*CP69+CO62*CP68+CO63*CP67+CO64*CP66+CO65*CP65+CO66*CP64+CO67*CP63+CO68*CP62+CO69*CP61+CO70</f>
        <v>1819.9655646107155</v>
      </c>
      <c r="CR70" s="119">
        <f t="shared" si="77"/>
        <v>4.9734701544665014E-2</v>
      </c>
      <c r="CS70" s="119"/>
      <c r="CT70" s="177">
        <f t="shared" si="78"/>
        <v>6.5680973638822943E-3</v>
      </c>
      <c r="CU70" s="177">
        <f t="shared" si="88"/>
        <v>6.3983423354033184E-3</v>
      </c>
      <c r="CV70" s="119">
        <f>VLOOKUP($H70,RoR!$E:$F,2,FALSE)</f>
        <v>5.6316666666666668E-2</v>
      </c>
      <c r="CW70" s="177">
        <v>1.9092304698479889E-2</v>
      </c>
      <c r="CX70" s="177">
        <f t="shared" si="86"/>
        <v>3.7224361968186778E-2</v>
      </c>
      <c r="CY70" s="177">
        <f t="shared" si="89"/>
        <v>2.4503599273130307E-2</v>
      </c>
      <c r="CZ70" s="177">
        <f t="shared" si="90"/>
        <v>6.9030581091053131E-2</v>
      </c>
      <c r="DA70" s="187">
        <f t="shared" si="79"/>
        <v>0.86875000000000002</v>
      </c>
      <c r="DB70" s="188">
        <f t="shared" si="80"/>
        <v>0.91060168006009956</v>
      </c>
      <c r="DC70" s="188">
        <f t="shared" si="81"/>
        <v>0.53108168097070152</v>
      </c>
      <c r="DD70" s="188">
        <f t="shared" si="82"/>
        <v>0.88825329850328805</v>
      </c>
      <c r="DE70" s="188">
        <f t="shared" si="83"/>
        <v>0.4295627335323573</v>
      </c>
      <c r="DF70" s="189">
        <f>INDEX('State Tax Lookup'!$D$7:$Z$91,MATCH(Calculation!$C70,'State Tax Lookup'!$B$7:$B$91,0),MATCH($H70,'State Tax Lookup'!$D$6:$Z$6,0))</f>
        <v>0.35</v>
      </c>
      <c r="DG70" s="189">
        <v>0.375</v>
      </c>
      <c r="DH70" s="190">
        <f t="shared" si="87"/>
        <v>18.571349020792937</v>
      </c>
      <c r="DI70" s="190">
        <v>18.337000645583647</v>
      </c>
      <c r="DJ70" s="177"/>
      <c r="DK70" s="189">
        <f>VLOOKUP($H70,RoR!$E:$F,2,FALSE)</f>
        <v>5.6316666666666668E-2</v>
      </c>
      <c r="DL70" s="191">
        <f>HLOOKUP($H70,'GDP-PI'!$D$8:$CQ$11,3,FALSE)</f>
        <v>1.9092304698479889E-2</v>
      </c>
      <c r="DM70" s="189">
        <f>VLOOKUP(H70,'HW Dx Data'!$E:$F,2,FALSE)</f>
        <v>569.88120333515076</v>
      </c>
      <c r="DN70" s="183">
        <f>VLOOKUP(H70,'ECI - Input Price'!$G$17:$H$37,2,FALSE)</f>
        <v>108.22499999999999</v>
      </c>
      <c r="DO70" s="177">
        <f t="shared" ref="DO70" si="122">LN(DN70/DN69)</f>
        <v>2.8111478671409691E-2</v>
      </c>
      <c r="DP70" s="183">
        <f>HLOOKUP(H70,'GDP-PI'!$8:$9,2,FALSE)</f>
        <v>94.263999999999996</v>
      </c>
      <c r="DQ70" s="177">
        <f t="shared" ref="DQ70" si="123">LN(DP70/DP69)</f>
        <v>1.8912333748032254E-2</v>
      </c>
      <c r="DR70" s="167">
        <v>92.5</v>
      </c>
      <c r="DS70" s="167">
        <v>2.3020361990950224</v>
      </c>
      <c r="DV70" s="192">
        <v>1.1207959651333104E-2</v>
      </c>
      <c r="DW70" s="192">
        <v>3.04E-2</v>
      </c>
      <c r="DX70" s="192">
        <f t="shared" si="116"/>
        <v>3.4072197340052635E-4</v>
      </c>
      <c r="DY70" s="192">
        <v>2.2800000000000001E-2</v>
      </c>
      <c r="DZ70" s="192">
        <f t="shared" si="117"/>
        <v>2.5554148005039475E-4</v>
      </c>
      <c r="EA70" s="192">
        <v>1.9699999999999999E-2</v>
      </c>
      <c r="EB70" s="192">
        <f t="shared" si="118"/>
        <v>2.2079680513126213E-4</v>
      </c>
      <c r="EC70" s="192">
        <v>1.41E-2</v>
      </c>
      <c r="ED70" s="192">
        <f t="shared" si="119"/>
        <v>1.5803223108379677E-4</v>
      </c>
      <c r="EE70" s="192">
        <v>8.2000000000000007E-3</v>
      </c>
      <c r="EF70" s="192">
        <f t="shared" si="120"/>
        <v>9.190526914093146E-5</v>
      </c>
    </row>
    <row r="71" spans="1:136" s="167" customFormat="1" ht="21" x14ac:dyDescent="0.35">
      <c r="A71" s="167" t="s">
        <v>29</v>
      </c>
      <c r="B71" s="168" t="s">
        <v>29</v>
      </c>
      <c r="C71" s="168">
        <v>4057075</v>
      </c>
      <c r="D71" s="168" t="s">
        <v>133</v>
      </c>
      <c r="E71" s="168"/>
      <c r="F71" s="168"/>
      <c r="G71" s="168" t="s">
        <v>15</v>
      </c>
      <c r="H71" s="169">
        <v>2009</v>
      </c>
      <c r="I71" s="170"/>
      <c r="J71" s="166">
        <f>IFERROR(INDEX('Labor Expenditures'!$F$7:$X$91,MATCH($C71,'Labor Expenditures'!$D$7:$D$91,0),MATCH($G71,'Labor Expenditures'!$F$5:$X$5,0)),"NA")</f>
        <v>18782.995856106085</v>
      </c>
      <c r="K71" s="166">
        <f t="shared" si="93"/>
        <v>171.10449424829048</v>
      </c>
      <c r="L71" s="172">
        <f t="shared" si="100"/>
        <v>6.6222997147404525E-2</v>
      </c>
      <c r="M71" s="172">
        <f t="shared" si="104"/>
        <v>5.544394941552059E-4</v>
      </c>
      <c r="N71" s="196"/>
      <c r="O71" s="172"/>
      <c r="P71" s="166">
        <f>IFERROR(INDEX('Non-Labor Expenditures'!$F$7:$AB$91,MATCH($C71,'Non-Labor Expenditures'!$D$7:$D$91,0),MATCH($G71,'Non-Labor Expenditures'!$F$5:$AB$5,0)),"NA")</f>
        <v>27201.286179350995</v>
      </c>
      <c r="Q71" s="166">
        <f t="shared" si="94"/>
        <v>286.33234222834972</v>
      </c>
      <c r="R71" s="172">
        <f t="shared" si="105"/>
        <v>7.2676411448831732E-2</v>
      </c>
      <c r="S71" s="172">
        <f t="shared" si="110"/>
        <v>6.0846948245206619E-4</v>
      </c>
      <c r="T71" s="172"/>
      <c r="U71" s="172"/>
      <c r="V71" s="166">
        <f t="shared" si="84"/>
        <v>32454.936191454824</v>
      </c>
      <c r="W71" s="170"/>
      <c r="X71" s="174">
        <v>1877.2813861648665</v>
      </c>
      <c r="Y71" s="175">
        <v>3.1007078716805098E-2</v>
      </c>
      <c r="Z71" s="175">
        <f t="shared" si="111"/>
        <v>2.5960089061976047E-4</v>
      </c>
      <c r="AA71" s="175"/>
      <c r="AB71" s="175"/>
      <c r="AC71" s="170">
        <f t="shared" si="85"/>
        <v>78439.218226911908</v>
      </c>
      <c r="AD71" s="175">
        <f t="shared" si="106"/>
        <v>5.0326123308074226E-2</v>
      </c>
      <c r="AE71" s="170"/>
      <c r="AF71" s="170"/>
      <c r="AG71" s="121">
        <f t="shared" si="107"/>
        <v>249.54813720484182</v>
      </c>
      <c r="AH71" s="119">
        <f>+AZ71/$BB$47</f>
        <v>8.8141756288534056E-3</v>
      </c>
      <c r="AI71" s="119"/>
      <c r="AJ71" s="176">
        <f t="shared" si="112"/>
        <v>2.1995611091766825</v>
      </c>
      <c r="AK71" s="176">
        <f t="shared" si="113"/>
        <v>0</v>
      </c>
      <c r="AL71" s="120">
        <f t="shared" si="95"/>
        <v>0.23945924348417053</v>
      </c>
      <c r="AM71" s="120">
        <f t="shared" si="96"/>
        <v>0.34678170938244307</v>
      </c>
      <c r="AN71" s="120">
        <f t="shared" si="97"/>
        <v>0.4137590471333864</v>
      </c>
      <c r="AO71" s="120">
        <f t="shared" si="101"/>
        <v>5.3550569491109125E-2</v>
      </c>
      <c r="AP71" s="173">
        <f t="shared" ref="AP71:AP83" si="124">+AP70*EXP(AO71)</f>
        <v>110.65939373820197</v>
      </c>
      <c r="AQ71" s="175">
        <f t="shared" ref="AQ71:AQ83" si="125">LN(AP71/AP70)</f>
        <v>5.3550569491109194E-2</v>
      </c>
      <c r="AR71" s="177">
        <f>+AC71/$AE$47</f>
        <v>8.3723104969273664E-3</v>
      </c>
      <c r="AS71" s="177">
        <f t="shared" si="121"/>
        <v>4.4834199506685188E-4</v>
      </c>
      <c r="AT71" s="177"/>
      <c r="AU71" s="177"/>
      <c r="AV71" s="177"/>
      <c r="AW71" s="190"/>
      <c r="AX71" s="120"/>
      <c r="AY71" s="120"/>
      <c r="AZ71" s="118">
        <f>IFERROR(INDEX('Total Customers'!$F$7:$AB$91,MATCH($C71,'Total Customers'!$D$7:$D$91,0),MATCH($G71,'Total Customers'!$F$5:$AB$5,0)),"NA")</f>
        <v>314325</v>
      </c>
      <c r="BA71" s="119">
        <f t="shared" si="73"/>
        <v>9.8888676979242713E-3</v>
      </c>
      <c r="BB71" s="119"/>
      <c r="BC71" s="121"/>
      <c r="BD71" s="119"/>
      <c r="BE71" s="119"/>
      <c r="BF71" s="119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18"/>
      <c r="BR71" s="118"/>
      <c r="BS71" s="118">
        <f>INDEX('Dist. Plant Gas Additions'!$F$7:$AE$91,MATCH($C71,'Dist. Plant Gas Additions'!$D$7:$D$91,0),MATCH(Calculation!$G71,'Dist. Plant Gas Additions'!$F$5:$AE$5,0))</f>
        <v>35762</v>
      </c>
      <c r="BT71" s="118">
        <f>INDEX('Gen. Plant Additions'!$F$7:$AE$91,MATCH($C71,'Gen. Plant Additions'!$D$7:$D$91,0),MATCH(Calculation!$G71,'Gen. Plant Additions'!$F$5:$AE$5,0))</f>
        <v>2570</v>
      </c>
      <c r="BU71" s="118"/>
      <c r="BV71" s="118"/>
      <c r="BW71" s="118">
        <f>INDEX('Dist Plant Depreciation'!$E$7:$AD$94,MATCH($C71,'Dist Plant Depreciation'!$D$7:$D$94,0),MATCH(Calculation!$G71,'Dist Plant Depreciation'!$E$5:$AD$5,0))</f>
        <v>217067</v>
      </c>
      <c r="BX71" s="118">
        <f>INDEX('Gen. Plant Depreciation'!$E$7:$AD$94,MATCH($C71,'Gen. Plant Depreciation'!$D$7:$D$94,0),MATCH(Calculation!$G71,'Gen. Plant Depreciation'!$E$5:$AD$5,0))</f>
        <v>8906</v>
      </c>
      <c r="BY71" s="183">
        <v>1964</v>
      </c>
      <c r="BZ71" s="183">
        <f t="shared" si="66"/>
        <v>17</v>
      </c>
      <c r="CA71" s="178">
        <v>67.328840099292009</v>
      </c>
      <c r="CB71" s="184">
        <f t="shared" si="67"/>
        <v>1.282051282051282E-2</v>
      </c>
      <c r="CC71" s="185">
        <f t="shared" si="68"/>
        <v>0.86319025768323088</v>
      </c>
      <c r="CD71" s="185"/>
      <c r="CE71" s="118">
        <f>INDEX('Gross Dx Plant'!$E$7:$AD$91,MATCH($C71,'Gross Dx Plant'!$D$7:$D$91,0),MATCH(Calculation!$G71,'Gross Dx Plant'!$E$5:$AD$5,0))</f>
        <v>630546</v>
      </c>
      <c r="CF71" s="118">
        <f>INDEX('Gross Gen Plant'!$E$7:$AD$91,MATCH($C71,'Gross Gen Plant'!$D$7:$D$91,0),MATCH(Calculation!$G71,'Gross Gen Plant'!$E$5:$AD$5,0))</f>
        <v>22672</v>
      </c>
      <c r="CG71" s="118">
        <f t="shared" si="7"/>
        <v>427245</v>
      </c>
      <c r="CH71" s="118"/>
      <c r="CI71" s="121">
        <v>2009</v>
      </c>
      <c r="CJ71" s="118"/>
      <c r="CK71" s="118"/>
      <c r="CL71" s="118"/>
      <c r="CM71" s="183"/>
      <c r="CN71" s="118">
        <f t="shared" si="75"/>
        <v>38332</v>
      </c>
      <c r="CO71" s="118">
        <f t="shared" si="76"/>
        <v>69.575553952337771</v>
      </c>
      <c r="CP71" s="186">
        <v>0.93567251461988299</v>
      </c>
      <c r="CQ71" s="118">
        <f>+CQ60*CP71+CO61*CP70+CO62*CP69+CO63*CP68+CO64*CP67+CO65*CP66+CO66*CP65+CO67*CP64+CO68*CP63+CO69*CP62+CO70*CP61+CO71</f>
        <v>1877.2813861648665</v>
      </c>
      <c r="CR71" s="119">
        <f t="shared" si="77"/>
        <v>3.1007078716805098E-2</v>
      </c>
      <c r="CS71" s="119"/>
      <c r="CT71" s="177">
        <f t="shared" si="78"/>
        <v>6.7362441557014523E-3</v>
      </c>
      <c r="CU71" s="177">
        <f t="shared" si="88"/>
        <v>6.5686723354390136E-3</v>
      </c>
      <c r="CV71" s="119">
        <f>VLOOKUP($H71,RoR!$E:$F,2,FALSE)</f>
        <v>5.3133333333333324E-2</v>
      </c>
      <c r="CW71" s="177">
        <v>7.7972502758210105E-3</v>
      </c>
      <c r="CX71" s="177">
        <f t="shared" si="86"/>
        <v>4.5336083057512314E-2</v>
      </c>
      <c r="CY71" s="177">
        <f t="shared" si="89"/>
        <v>2.4333269273094611E-2</v>
      </c>
      <c r="CZ71" s="177">
        <f t="shared" si="90"/>
        <v>6.3720160300892073E-2</v>
      </c>
      <c r="DA71" s="187">
        <f t="shared" si="79"/>
        <v>0.86875000000000002</v>
      </c>
      <c r="DB71" s="188">
        <f t="shared" si="80"/>
        <v>0.96515780330083989</v>
      </c>
      <c r="DC71" s="188">
        <f t="shared" si="81"/>
        <v>0.50448557089084056</v>
      </c>
      <c r="DD71" s="188">
        <f t="shared" si="82"/>
        <v>0.87391435735465484</v>
      </c>
      <c r="DE71" s="188">
        <f t="shared" si="83"/>
        <v>0.42551605393279146</v>
      </c>
      <c r="DF71" s="189">
        <f>INDEX('State Tax Lookup'!$D$7:$Z$91,MATCH(Calculation!$C71,'State Tax Lookup'!$B$7:$B$91,0),MATCH($H71,'State Tax Lookup'!$D$6:$Z$6,0))</f>
        <v>0.35</v>
      </c>
      <c r="DG71" s="189">
        <v>0.375</v>
      </c>
      <c r="DH71" s="190">
        <f t="shared" si="87"/>
        <v>17.83271992753161</v>
      </c>
      <c r="DI71" s="190">
        <v>17.548282251838078</v>
      </c>
      <c r="DJ71" s="177"/>
      <c r="DK71" s="189">
        <f>VLOOKUP($H71,RoR!$E:$F,2,FALSE)</f>
        <v>5.3133333333333324E-2</v>
      </c>
      <c r="DL71" s="191">
        <f>HLOOKUP($H71,'GDP-PI'!$D$8:$CQ$11,3,FALSE)</f>
        <v>7.7972502758210105E-3</v>
      </c>
      <c r="DM71" s="189">
        <f>VLOOKUP(H71,'HW Dx Data'!$E:$F,2,FALSE)</f>
        <v>550.94063679692806</v>
      </c>
      <c r="DN71" s="183">
        <f>VLOOKUP(H71,'ECI - Input Price'!$G$17:$H$37,2,FALSE)</f>
        <v>109.77499999999999</v>
      </c>
      <c r="DO71" s="177">
        <f t="shared" ref="DO71" si="126">LN(DN71/DN70)</f>
        <v>1.4220423119736749E-2</v>
      </c>
      <c r="DP71" s="183">
        <f>HLOOKUP(H71,'GDP-PI'!$8:$9,2,FALSE)</f>
        <v>94.998999999999995</v>
      </c>
      <c r="DQ71" s="177">
        <f t="shared" ref="DQ71" si="127">LN(DP71/DP70)</f>
        <v>7.7670088183096342E-3</v>
      </c>
      <c r="DR71" s="167">
        <v>98.24166666666666</v>
      </c>
      <c r="DS71" s="167">
        <v>2.5190170940170939</v>
      </c>
      <c r="DV71" s="192">
        <v>5.8022112046579803E-2</v>
      </c>
      <c r="DW71" s="192">
        <v>3.6799999999999999E-2</v>
      </c>
      <c r="DX71" s="192">
        <f t="shared" si="116"/>
        <v>2.1352137233141368E-3</v>
      </c>
      <c r="DY71" s="192">
        <v>3.0499999999999999E-2</v>
      </c>
      <c r="DZ71" s="192">
        <f t="shared" si="117"/>
        <v>1.7696744174206839E-3</v>
      </c>
      <c r="EA71" s="192">
        <v>2.7799999999999998E-2</v>
      </c>
      <c r="EB71" s="192">
        <f t="shared" si="118"/>
        <v>1.6130147148949185E-3</v>
      </c>
      <c r="EC71" s="192">
        <v>2.35E-2</v>
      </c>
      <c r="ED71" s="192">
        <f t="shared" si="119"/>
        <v>1.3635196330946254E-3</v>
      </c>
      <c r="EE71" s="192">
        <v>1.9E-2</v>
      </c>
      <c r="EF71" s="192">
        <f t="shared" si="120"/>
        <v>1.1024201288850162E-3</v>
      </c>
    </row>
    <row r="72" spans="1:136" s="167" customFormat="1" ht="21" x14ac:dyDescent="0.35">
      <c r="A72" s="167" t="s">
        <v>29</v>
      </c>
      <c r="B72" s="168" t="s">
        <v>29</v>
      </c>
      <c r="C72" s="168">
        <v>4057075</v>
      </c>
      <c r="D72" s="168" t="s">
        <v>133</v>
      </c>
      <c r="E72" s="168"/>
      <c r="F72" s="168"/>
      <c r="G72" s="168" t="s">
        <v>16</v>
      </c>
      <c r="H72" s="169">
        <v>2010</v>
      </c>
      <c r="I72" s="170"/>
      <c r="J72" s="166">
        <f>IFERROR(INDEX('Labor Expenditures'!$F$7:$X$91,MATCH($C72,'Labor Expenditures'!$D$7:$D$91,0),MATCH($G72,'Labor Expenditures'!$F$5:$X$5,0)),"NA")</f>
        <v>20202.713299159044</v>
      </c>
      <c r="K72" s="166">
        <f t="shared" si="93"/>
        <v>180.58291217125404</v>
      </c>
      <c r="L72" s="172">
        <f t="shared" si="100"/>
        <v>5.3915572168236794E-2</v>
      </c>
      <c r="M72" s="172">
        <f t="shared" si="104"/>
        <v>4.6537093707472521E-4</v>
      </c>
      <c r="N72" s="196"/>
      <c r="O72" s="172"/>
      <c r="P72" s="166">
        <f>IFERROR(INDEX('Non-Labor Expenditures'!$F$7:$AB$91,MATCH($C72,'Non-Labor Expenditures'!$D$7:$D$91,0),MATCH($G72,'Non-Labor Expenditures'!$F$5:$AB$5,0)),"NA")</f>
        <v>29257.302203533083</v>
      </c>
      <c r="Q72" s="166">
        <f t="shared" si="94"/>
        <v>304.41792343623473</v>
      </c>
      <c r="R72" s="172">
        <f t="shared" si="105"/>
        <v>6.1248333508324586E-2</v>
      </c>
      <c r="S72" s="172">
        <f t="shared" si="110"/>
        <v>5.2866348649873644E-4</v>
      </c>
      <c r="T72" s="172"/>
      <c r="U72" s="172"/>
      <c r="V72" s="166">
        <f t="shared" si="84"/>
        <v>34361.611924745652</v>
      </c>
      <c r="W72" s="170"/>
      <c r="X72" s="174">
        <v>1917.1735713646735</v>
      </c>
      <c r="Y72" s="175">
        <v>2.1027344107991612E-2</v>
      </c>
      <c r="Z72" s="175">
        <f t="shared" si="111"/>
        <v>1.8149700426426497E-4</v>
      </c>
      <c r="AA72" s="175"/>
      <c r="AB72" s="175"/>
      <c r="AC72" s="170">
        <f t="shared" si="85"/>
        <v>83821.627427437779</v>
      </c>
      <c r="AD72" s="175">
        <f t="shared" si="106"/>
        <v>6.6367023281843934E-2</v>
      </c>
      <c r="AE72" s="170"/>
      <c r="AF72" s="170"/>
      <c r="AG72" s="121">
        <f t="shared" si="107"/>
        <v>264.7790310812004</v>
      </c>
      <c r="AH72" s="119">
        <f>+AZ72/$BB$48</f>
        <v>8.8283151437931577E-3</v>
      </c>
      <c r="AI72" s="119"/>
      <c r="AJ72" s="176">
        <f t="shared" si="112"/>
        <v>2.3375527298530407</v>
      </c>
      <c r="AK72" s="176">
        <f t="shared" si="113"/>
        <v>0</v>
      </c>
      <c r="AL72" s="120">
        <f t="shared" si="95"/>
        <v>0.24102029415556281</v>
      </c>
      <c r="AM72" s="120">
        <f t="shared" si="96"/>
        <v>0.34904240231866623</v>
      </c>
      <c r="AN72" s="120">
        <f t="shared" si="97"/>
        <v>0.40993730352577101</v>
      </c>
      <c r="AO72" s="120">
        <f t="shared" si="101"/>
        <v>4.2921771524693175E-2</v>
      </c>
      <c r="AP72" s="173">
        <f t="shared" si="124"/>
        <v>115.51249782446013</v>
      </c>
      <c r="AQ72" s="175">
        <f t="shared" si="125"/>
        <v>4.2921771524693127E-2</v>
      </c>
      <c r="AR72" s="177">
        <f>+AC72/$AE$48</f>
        <v>8.6314754413176487E-3</v>
      </c>
      <c r="AS72" s="177">
        <f t="shared" si="121"/>
        <v>3.7047821681323592E-4</v>
      </c>
      <c r="AT72" s="177"/>
      <c r="AU72" s="177"/>
      <c r="AV72" s="177"/>
      <c r="AW72" s="190"/>
      <c r="AX72" s="120"/>
      <c r="AY72" s="120"/>
      <c r="AZ72" s="118">
        <f>IFERROR(INDEX('Total Customers'!$F$7:$AB$91,MATCH($C72,'Total Customers'!$D$7:$D$91,0),MATCH($G72,'Total Customers'!$F$5:$AB$5,0)),"NA")</f>
        <v>316572</v>
      </c>
      <c r="BA72" s="119">
        <f t="shared" si="73"/>
        <v>7.1232213851386613E-3</v>
      </c>
      <c r="BB72" s="119"/>
      <c r="BC72" s="121"/>
      <c r="BD72" s="119"/>
      <c r="BE72" s="119"/>
      <c r="BF72" s="119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  <c r="BQ72" s="118"/>
      <c r="BR72" s="118"/>
      <c r="BS72" s="118">
        <f>INDEX('Dist. Plant Gas Additions'!$F$7:$AE$91,MATCH($C72,'Dist. Plant Gas Additions'!$D$7:$D$91,0),MATCH(Calculation!$G72,'Dist. Plant Gas Additions'!$F$5:$AE$5,0))</f>
        <v>26396</v>
      </c>
      <c r="BT72" s="118">
        <f>INDEX('Gen. Plant Additions'!$F$7:$AE$91,MATCH($C72,'Gen. Plant Additions'!$D$7:$D$91,0),MATCH(Calculation!$G72,'Gen. Plant Additions'!$F$5:$AE$5,0))</f>
        <v>3717</v>
      </c>
      <c r="BU72" s="118"/>
      <c r="BV72" s="118"/>
      <c r="BW72" s="118">
        <f>INDEX('Dist Plant Depreciation'!$E$7:$AD$94,MATCH($C72,'Dist Plant Depreciation'!$D$7:$D$94,0),MATCH(Calculation!$G72,'Dist Plant Depreciation'!$E$5:$AD$5,0))</f>
        <v>225949</v>
      </c>
      <c r="BX72" s="118">
        <f>INDEX('Gen. Plant Depreciation'!$E$7:$AD$94,MATCH($C72,'Gen. Plant Depreciation'!$D$7:$D$94,0),MATCH(Calculation!$G72,'Gen. Plant Depreciation'!$E$5:$AD$5,0))</f>
        <v>8955</v>
      </c>
      <c r="BY72" s="183">
        <v>1965</v>
      </c>
      <c r="BZ72" s="183">
        <f t="shared" si="66"/>
        <v>18</v>
      </c>
      <c r="CA72" s="178">
        <v>68.510515991155202</v>
      </c>
      <c r="CB72" s="184">
        <f t="shared" si="67"/>
        <v>1.3574660633484163E-2</v>
      </c>
      <c r="CC72" s="185">
        <f t="shared" si="68"/>
        <v>0.93000700440482176</v>
      </c>
      <c r="CD72" s="185"/>
      <c r="CE72" s="118">
        <f>INDEX('Gross Dx Plant'!$E$7:$AD$91,MATCH($C72,'Gross Dx Plant'!$D$7:$D$91,0),MATCH(Calculation!$G72,'Gross Dx Plant'!$E$5:$AD$5,0))</f>
        <v>652890</v>
      </c>
      <c r="CF72" s="118">
        <f>INDEX('Gross Gen Plant'!$E$7:$AD$91,MATCH($C72,'Gross Gen Plant'!$D$7:$D$91,0),MATCH(Calculation!$G72,'Gross Gen Plant'!$E$5:$AD$5,0))</f>
        <v>25068</v>
      </c>
      <c r="CG72" s="118">
        <f t="shared" si="7"/>
        <v>443054</v>
      </c>
      <c r="CH72" s="118"/>
      <c r="CI72" s="121">
        <v>2010</v>
      </c>
      <c r="CJ72" s="118"/>
      <c r="CK72" s="118"/>
      <c r="CL72" s="118"/>
      <c r="CM72" s="183"/>
      <c r="CN72" s="118">
        <f t="shared" si="75"/>
        <v>30113</v>
      </c>
      <c r="CO72" s="118">
        <f t="shared" si="76"/>
        <v>52.923647731330298</v>
      </c>
      <c r="CP72" s="186">
        <v>0.9285714285714286</v>
      </c>
      <c r="CQ72" s="118">
        <f>+CQ60*CP72+CO61*CP71+CO62*CP70+CO63*CP69+CO64*CP68+CO65*CP67+CO66*CP66+CO67*CP65+CO68*CP64+CO69*CP63+CO70*CP62+CO71*CP61+CO72</f>
        <v>1917.1735713646735</v>
      </c>
      <c r="CR72" s="119">
        <f t="shared" si="77"/>
        <v>2.1027344107991612E-2</v>
      </c>
      <c r="CS72" s="119"/>
      <c r="CT72" s="177">
        <f t="shared" si="78"/>
        <v>6.9416671509993895E-3</v>
      </c>
      <c r="CU72" s="177">
        <f t="shared" si="88"/>
        <v>6.7486695568610457E-3</v>
      </c>
      <c r="CV72" s="119">
        <f>VLOOKUP($H72,RoR!$E:$F,2,FALSE)</f>
        <v>4.9433333333333322E-2</v>
      </c>
      <c r="CW72" s="177">
        <v>1.1684333519300205E-2</v>
      </c>
      <c r="CX72" s="177">
        <f t="shared" si="86"/>
        <v>3.7748999814033117E-2</v>
      </c>
      <c r="CY72" s="177">
        <f t="shared" si="89"/>
        <v>2.4153272051672579E-2</v>
      </c>
      <c r="CZ72" s="177">
        <f t="shared" si="90"/>
        <v>4.7937530248493419E-2</v>
      </c>
      <c r="DA72" s="187">
        <f t="shared" si="79"/>
        <v>0.86875000000000002</v>
      </c>
      <c r="DB72" s="188">
        <f t="shared" si="80"/>
        <v>1.037398205301105</v>
      </c>
      <c r="DC72" s="188">
        <f t="shared" si="81"/>
        <v>0.46926837491571133</v>
      </c>
      <c r="DD72" s="188">
        <f t="shared" si="82"/>
        <v>0.8548537519972772</v>
      </c>
      <c r="DE72" s="188">
        <f t="shared" si="83"/>
        <v>0.41615833911547367</v>
      </c>
      <c r="DF72" s="189">
        <f>INDEX('State Tax Lookup'!$D$7:$Z$91,MATCH(Calculation!$C72,'State Tax Lookup'!$B$7:$B$91,0),MATCH($H72,'State Tax Lookup'!$D$6:$Z$6,0))</f>
        <v>0.35</v>
      </c>
      <c r="DG72" s="189">
        <v>0.375</v>
      </c>
      <c r="DH72" s="190">
        <f t="shared" si="87"/>
        <v>18.303921925600953</v>
      </c>
      <c r="DI72" s="190">
        <v>18.02138677104325</v>
      </c>
      <c r="DJ72" s="177"/>
      <c r="DK72" s="189">
        <f>VLOOKUP($H72,RoR!$E:$F,2,FALSE)</f>
        <v>4.9433333333333322E-2</v>
      </c>
      <c r="DL72" s="191">
        <f>HLOOKUP($H72,'GDP-PI'!$D$8:$CQ$11,3,FALSE)</f>
        <v>1.1684333519300205E-2</v>
      </c>
      <c r="DM72" s="189">
        <f>VLOOKUP(H72,'HW Dx Data'!$E:$F,2,FALSE)</f>
        <v>568.98950262971744</v>
      </c>
      <c r="DN72" s="183">
        <f>VLOOKUP(H72,'ECI - Input Price'!$G$17:$H$37,2,FALSE)</f>
        <v>111.875</v>
      </c>
      <c r="DO72" s="177">
        <f t="shared" ref="DO72" si="128">LN(DN72/DN71)</f>
        <v>1.8949360147238387E-2</v>
      </c>
      <c r="DP72" s="183">
        <f>HLOOKUP(H72,'GDP-PI'!$8:$9,2,FALSE)</f>
        <v>96.108999999999995</v>
      </c>
      <c r="DQ72" s="177">
        <f t="shared" ref="DQ72" si="129">LN(DP72/DP71)</f>
        <v>1.1616598807150427E-2</v>
      </c>
      <c r="DR72" s="167">
        <v>100.00833333333334</v>
      </c>
      <c r="DS72" s="167">
        <v>2.6397373051784818</v>
      </c>
      <c r="DV72" s="192">
        <v>2.3553106210898688E-2</v>
      </c>
      <c r="DW72" s="192">
        <v>3.9100000000000003E-2</v>
      </c>
      <c r="DX72" s="192">
        <f t="shared" si="116"/>
        <v>9.2092645284613881E-4</v>
      </c>
      <c r="DY72" s="192">
        <v>3.7199999999999997E-2</v>
      </c>
      <c r="DZ72" s="192">
        <f t="shared" si="117"/>
        <v>8.7617555104543116E-4</v>
      </c>
      <c r="EA72" s="192">
        <v>2.9399999999999999E-2</v>
      </c>
      <c r="EB72" s="192">
        <f t="shared" si="118"/>
        <v>6.9246132260042143E-4</v>
      </c>
      <c r="EC72" s="192">
        <v>2.4299999999999999E-2</v>
      </c>
      <c r="ED72" s="192">
        <f t="shared" si="119"/>
        <v>5.7234048092483811E-4</v>
      </c>
      <c r="EE72" s="192">
        <v>1.9E-2</v>
      </c>
      <c r="EF72" s="192">
        <f t="shared" si="120"/>
        <v>4.4750901800707507E-4</v>
      </c>
    </row>
    <row r="73" spans="1:136" s="167" customFormat="1" ht="21" x14ac:dyDescent="0.35">
      <c r="A73" s="167" t="s">
        <v>29</v>
      </c>
      <c r="B73" s="168" t="s">
        <v>29</v>
      </c>
      <c r="C73" s="168">
        <v>4057075</v>
      </c>
      <c r="D73" s="168" t="s">
        <v>133</v>
      </c>
      <c r="E73" s="168"/>
      <c r="F73" s="168"/>
      <c r="G73" s="168" t="s">
        <v>17</v>
      </c>
      <c r="H73" s="169">
        <v>2011</v>
      </c>
      <c r="I73" s="170"/>
      <c r="J73" s="166">
        <f>IFERROR(INDEX('Labor Expenditures'!$F$7:$X$91,MATCH($C73,'Labor Expenditures'!$D$7:$D$91,0),MATCH($G73,'Labor Expenditures'!$F$5:$X$5,0)),"NA")</f>
        <v>20699.183593636113</v>
      </c>
      <c r="K73" s="166">
        <f t="shared" si="93"/>
        <v>181.09521954187326</v>
      </c>
      <c r="L73" s="172">
        <f t="shared" si="100"/>
        <v>2.8329482394944525E-3</v>
      </c>
      <c r="M73" s="172">
        <f t="shared" si="104"/>
        <v>2.4484970270279297E-5</v>
      </c>
      <c r="N73" s="196"/>
      <c r="O73" s="172"/>
      <c r="P73" s="166">
        <f>IFERROR(INDEX('Non-Labor Expenditures'!$F$7:$AB$91,MATCH($C73,'Non-Labor Expenditures'!$D$7:$D$91,0),MATCH($G73,'Non-Labor Expenditures'!$F$5:$AB$5,0)),"NA")</f>
        <v>29976.28391779606</v>
      </c>
      <c r="Q73" s="166">
        <f t="shared" si="94"/>
        <v>305.53126954700815</v>
      </c>
      <c r="R73" s="172">
        <f t="shared" si="105"/>
        <v>3.6506232323910161E-3</v>
      </c>
      <c r="S73" s="172">
        <f t="shared" si="110"/>
        <v>3.1552077114206654E-5</v>
      </c>
      <c r="T73" s="172"/>
      <c r="U73" s="172"/>
      <c r="V73" s="166">
        <f t="shared" si="84"/>
        <v>37472.473917492156</v>
      </c>
      <c r="W73" s="170"/>
      <c r="X73" s="174">
        <v>1965.3500009658164</v>
      </c>
      <c r="Y73" s="175">
        <v>2.4818343809092522E-2</v>
      </c>
      <c r="Z73" s="175">
        <f t="shared" si="111"/>
        <v>2.1450318147416708E-4</v>
      </c>
      <c r="AA73" s="175"/>
      <c r="AB73" s="175"/>
      <c r="AC73" s="170">
        <f t="shared" si="85"/>
        <v>88147.941428924329</v>
      </c>
      <c r="AD73" s="175">
        <f t="shared" si="106"/>
        <v>5.0325497474623428E-2</v>
      </c>
      <c r="AE73" s="170"/>
      <c r="AF73" s="170"/>
      <c r="AG73" s="121">
        <f t="shared" si="107"/>
        <v>276.7709244927558</v>
      </c>
      <c r="AH73" s="119">
        <f>+AZ73/$BB$49</f>
        <v>8.8385417581381721E-3</v>
      </c>
      <c r="AI73" s="119"/>
      <c r="AJ73" s="176">
        <f t="shared" si="112"/>
        <v>2.4462513735677289</v>
      </c>
      <c r="AK73" s="176">
        <f t="shared" si="113"/>
        <v>0</v>
      </c>
      <c r="AL73" s="120">
        <f t="shared" si="95"/>
        <v>0.23482322171217498</v>
      </c>
      <c r="AM73" s="120">
        <f t="shared" si="96"/>
        <v>0.34006788396716686</v>
      </c>
      <c r="AN73" s="120">
        <f t="shared" si="97"/>
        <v>0.42510889432065813</v>
      </c>
      <c r="AO73" s="120">
        <f t="shared" si="101"/>
        <v>1.2294092852987611E-2</v>
      </c>
      <c r="AP73" s="173">
        <f t="shared" si="124"/>
        <v>116.94138463460881</v>
      </c>
      <c r="AQ73" s="175">
        <f t="shared" si="125"/>
        <v>1.2294092852987644E-2</v>
      </c>
      <c r="AR73" s="177">
        <f>+AC73/$AE$49</f>
        <v>8.6429289208082068E-3</v>
      </c>
      <c r="AS73" s="177">
        <f t="shared" si="121"/>
        <v>1.0625697067418839E-4</v>
      </c>
      <c r="AT73" s="177"/>
      <c r="AU73" s="177"/>
      <c r="AV73" s="177"/>
      <c r="AW73" s="190"/>
      <c r="AX73" s="120"/>
      <c r="AY73" s="120"/>
      <c r="AZ73" s="118">
        <f>IFERROR(INDEX('Total Customers'!$F$7:$AB$91,MATCH($C73,'Total Customers'!$D$7:$D$91,0),MATCH($G73,'Total Customers'!$F$5:$AB$5,0)),"NA")</f>
        <v>318487</v>
      </c>
      <c r="BA73" s="119">
        <f t="shared" si="73"/>
        <v>6.0309539882948491E-3</v>
      </c>
      <c r="BB73" s="119"/>
      <c r="BC73" s="121"/>
      <c r="BD73" s="119"/>
      <c r="BE73" s="119"/>
      <c r="BF73" s="119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  <c r="BQ73" s="118"/>
      <c r="BR73" s="118"/>
      <c r="BS73" s="118">
        <f>INDEX('Dist. Plant Gas Additions'!$F$7:$AE$91,MATCH($C73,'Dist. Plant Gas Additions'!$D$7:$D$91,0),MATCH(Calculation!$G73,'Dist. Plant Gas Additions'!$F$5:$AE$5,0))</f>
        <v>34464</v>
      </c>
      <c r="BT73" s="118">
        <f>INDEX('Gen. Plant Additions'!$F$7:$AE$91,MATCH($C73,'Gen. Plant Additions'!$D$7:$D$91,0),MATCH(Calculation!$G73,'Gen. Plant Additions'!$F$5:$AE$5,0))</f>
        <v>3413</v>
      </c>
      <c r="BU73" s="118"/>
      <c r="BV73" s="118"/>
      <c r="BW73" s="118">
        <f>INDEX('Dist Plant Depreciation'!$E$7:$AD$94,MATCH($C73,'Dist Plant Depreciation'!$D$7:$D$94,0),MATCH(Calculation!$G73,'Dist Plant Depreciation'!$E$5:$AD$5,0))</f>
        <v>235771</v>
      </c>
      <c r="BX73" s="118">
        <f>INDEX('Gen. Plant Depreciation'!$E$7:$AD$94,MATCH($C73,'Gen. Plant Depreciation'!$D$7:$D$94,0),MATCH(Calculation!$G73,'Gen. Plant Depreciation'!$E$5:$AD$5,0))</f>
        <v>8831</v>
      </c>
      <c r="BY73" s="183">
        <v>1966</v>
      </c>
      <c r="BZ73" s="183">
        <f t="shared" si="66"/>
        <v>19</v>
      </c>
      <c r="CA73" s="178">
        <v>70.459352645112588</v>
      </c>
      <c r="CB73" s="184">
        <f t="shared" si="67"/>
        <v>1.4328808446455505E-2</v>
      </c>
      <c r="CC73" s="185">
        <f t="shared" si="68"/>
        <v>1.0095985673130763</v>
      </c>
      <c r="CD73" s="185"/>
      <c r="CE73" s="118">
        <f>INDEX('Gross Dx Plant'!$E$7:$AD$91,MATCH($C73,'Gross Dx Plant'!$D$7:$D$91,0),MATCH(Calculation!$G73,'Gross Dx Plant'!$E$5:$AD$5,0))</f>
        <v>683732</v>
      </c>
      <c r="CF73" s="118">
        <f>INDEX('Gross Gen Plant'!$E$7:$AD$91,MATCH($C73,'Gross Gen Plant'!$D$7:$D$91,0),MATCH(Calculation!$G73,'Gross Gen Plant'!$E$5:$AD$5,0))</f>
        <v>27108</v>
      </c>
      <c r="CG73" s="118">
        <f t="shared" si="7"/>
        <v>466238</v>
      </c>
      <c r="CH73" s="118"/>
      <c r="CI73" s="121">
        <v>2011</v>
      </c>
      <c r="CJ73" s="118"/>
      <c r="CK73" s="118"/>
      <c r="CL73" s="118"/>
      <c r="CM73" s="183"/>
      <c r="CN73" s="118">
        <f t="shared" si="75"/>
        <v>37877</v>
      </c>
      <c r="CO73" s="118">
        <f t="shared" si="76"/>
        <v>61.929877074030436</v>
      </c>
      <c r="CP73" s="186">
        <v>0.92121212121212126</v>
      </c>
      <c r="CQ73" s="118">
        <f>+CQ60*CP73+CO61*CP72+CO62*CP71+CO63*CP70+CO64*CP69+CO65*CP68+CO66*CP67+CO67*CP66+CO68*CP65+CO69*CP64+CO70*CP63+CO71*CP62+CO72*CP61+CO73</f>
        <v>1965.3500009658164</v>
      </c>
      <c r="CR73" s="119">
        <f t="shared" si="77"/>
        <v>2.4818343809092522E-2</v>
      </c>
      <c r="CS73" s="119"/>
      <c r="CT73" s="177">
        <f t="shared" si="78"/>
        <v>7.1738144518118004E-3</v>
      </c>
      <c r="CU73" s="177">
        <f t="shared" si="88"/>
        <v>6.9505752528375474E-3</v>
      </c>
      <c r="CV73" s="119">
        <f>VLOOKUP($H73,RoR!$E:$F,2,FALSE)</f>
        <v>4.6391666666666664E-2</v>
      </c>
      <c r="CW73" s="177">
        <v>2.0840920205183799E-2</v>
      </c>
      <c r="CX73" s="177">
        <f t="shared" si="86"/>
        <v>2.5550746461482865E-2</v>
      </c>
      <c r="CY73" s="177">
        <f t="shared" si="89"/>
        <v>2.3951366355696078E-2</v>
      </c>
      <c r="CZ73" s="177">
        <f t="shared" si="90"/>
        <v>2.4810540821321614E-2</v>
      </c>
      <c r="DA73" s="187">
        <f t="shared" si="79"/>
        <v>0.86875000000000002</v>
      </c>
      <c r="DB73" s="188">
        <f t="shared" si="80"/>
        <v>1.1054151524782025</v>
      </c>
      <c r="DC73" s="188">
        <f t="shared" si="81"/>
        <v>0.43611011316687626</v>
      </c>
      <c r="DD73" s="188">
        <f t="shared" si="82"/>
        <v>0.83698442246886229</v>
      </c>
      <c r="DE73" s="188">
        <f t="shared" si="83"/>
        <v>0.40349573304423936</v>
      </c>
      <c r="DF73" s="189">
        <f>INDEX('State Tax Lookup'!$D$7:$Z$91,MATCH(Calculation!$C73,'State Tax Lookup'!$B$7:$B$91,0),MATCH($H73,'State Tax Lookup'!$D$6:$Z$6,0))</f>
        <v>0.35</v>
      </c>
      <c r="DG73" s="189">
        <v>0.375</v>
      </c>
      <c r="DH73" s="190">
        <f t="shared" si="87"/>
        <v>19.545686669787898</v>
      </c>
      <c r="DI73" s="190">
        <v>19.223798152783498</v>
      </c>
      <c r="DJ73" s="177"/>
      <c r="DK73" s="189">
        <f>VLOOKUP($H73,RoR!$E:$F,2,FALSE)</f>
        <v>4.6391666666666664E-2</v>
      </c>
      <c r="DL73" s="191">
        <f>HLOOKUP($H73,'GDP-PI'!$D$8:$CQ$11,3,FALSE)</f>
        <v>2.0840920205183799E-2</v>
      </c>
      <c r="DM73" s="189">
        <f>VLOOKUP(H73,'HW Dx Data'!$E:$F,2,FALSE)</f>
        <v>611.61109612283201</v>
      </c>
      <c r="DN73" s="183">
        <f>VLOOKUP(H73,'ECI - Input Price'!$G$17:$H$37,2,FALSE)</f>
        <v>114.3</v>
      </c>
      <c r="DO73" s="177">
        <f t="shared" ref="DO73" si="130">LN(DN73/DN72)</f>
        <v>2.1444394205745516E-2</v>
      </c>
      <c r="DP73" s="183">
        <f>HLOOKUP(H73,'GDP-PI'!$8:$9,2,FALSE)</f>
        <v>98.111999999999995</v>
      </c>
      <c r="DQ73" s="177">
        <f t="shared" ref="DQ73" si="131">LN(DP73/DP72)</f>
        <v>2.0626719212849295E-2</v>
      </c>
      <c r="DR73" s="167">
        <v>103.35833333333333</v>
      </c>
      <c r="DS73" s="167">
        <v>2.8061085972850681</v>
      </c>
      <c r="DV73" s="192">
        <v>1.5287085228645044E-2</v>
      </c>
      <c r="DW73" s="192">
        <v>4.41E-2</v>
      </c>
      <c r="DX73" s="192">
        <f t="shared" si="116"/>
        <v>6.741604585832465E-4</v>
      </c>
      <c r="DY73" s="192">
        <v>3.7900000000000003E-2</v>
      </c>
      <c r="DZ73" s="192">
        <f t="shared" si="117"/>
        <v>5.7938053016564728E-4</v>
      </c>
      <c r="EA73" s="192">
        <v>3.5400000000000001E-2</v>
      </c>
      <c r="EB73" s="192">
        <f t="shared" si="118"/>
        <v>5.4116281709403456E-4</v>
      </c>
      <c r="EC73" s="192">
        <v>3.09E-2</v>
      </c>
      <c r="ED73" s="192">
        <f t="shared" si="119"/>
        <v>4.7237093356513189E-4</v>
      </c>
      <c r="EE73" s="192">
        <v>2.63E-2</v>
      </c>
      <c r="EF73" s="192">
        <f t="shared" si="120"/>
        <v>4.0205034151336467E-4</v>
      </c>
    </row>
    <row r="74" spans="1:136" s="167" customFormat="1" ht="21" x14ac:dyDescent="0.35">
      <c r="A74" s="167" t="s">
        <v>29</v>
      </c>
      <c r="B74" s="168" t="s">
        <v>29</v>
      </c>
      <c r="C74" s="168">
        <v>4057075</v>
      </c>
      <c r="D74" s="168" t="s">
        <v>133</v>
      </c>
      <c r="E74" s="168"/>
      <c r="F74" s="168"/>
      <c r="G74" s="168" t="s">
        <v>18</v>
      </c>
      <c r="H74" s="169">
        <v>2012</v>
      </c>
      <c r="I74" s="170"/>
      <c r="J74" s="166">
        <f>IFERROR(INDEX('Labor Expenditures'!$F$7:$X$91,MATCH($C74,'Labor Expenditures'!$D$7:$D$91,0),MATCH($G74,'Labor Expenditures'!$F$5:$X$5,0)),"NA")</f>
        <v>22717.156668028249</v>
      </c>
      <c r="K74" s="166">
        <f t="shared" si="93"/>
        <v>194.99705294444848</v>
      </c>
      <c r="L74" s="172">
        <f t="shared" si="100"/>
        <v>7.3961477590189562E-2</v>
      </c>
      <c r="M74" s="172">
        <f t="shared" si="104"/>
        <v>6.7226256498337906E-4</v>
      </c>
      <c r="N74" s="196"/>
      <c r="O74" s="172"/>
      <c r="P74" s="166">
        <f>IFERROR(INDEX('Non-Labor Expenditures'!$F$7:$AB$91,MATCH($C74,'Non-Labor Expenditures'!$D$7:$D$91,0),MATCH($G74,'Non-Labor Expenditures'!$F$5:$AB$5,0)),"NA")</f>
        <v>32898.68583489603</v>
      </c>
      <c r="Q74" s="166">
        <f t="shared" si="94"/>
        <v>328.98685834896031</v>
      </c>
      <c r="R74" s="172">
        <f t="shared" si="105"/>
        <v>7.3965677056437376E-2</v>
      </c>
      <c r="S74" s="172">
        <f t="shared" si="110"/>
        <v>6.7230073544783297E-4</v>
      </c>
      <c r="T74" s="172"/>
      <c r="U74" s="172"/>
      <c r="V74" s="166">
        <f t="shared" si="84"/>
        <v>41516.947807007098</v>
      </c>
      <c r="W74" s="170"/>
      <c r="X74" s="174">
        <v>1990.6583623405161</v>
      </c>
      <c r="Y74" s="175">
        <v>1.2795072369413156E-2</v>
      </c>
      <c r="Z74" s="175">
        <f t="shared" si="111"/>
        <v>1.1629903093432241E-4</v>
      </c>
      <c r="AA74" s="175"/>
      <c r="AB74" s="175"/>
      <c r="AC74" s="170">
        <f t="shared" si="85"/>
        <v>97132.790309931384</v>
      </c>
      <c r="AD74" s="175">
        <f t="shared" si="106"/>
        <v>9.7062459058105552E-2</v>
      </c>
      <c r="AE74" s="170"/>
      <c r="AF74" s="170"/>
      <c r="AG74" s="121">
        <f t="shared" si="107"/>
        <v>302.83870883339324</v>
      </c>
      <c r="AH74" s="119">
        <f>+AZ74/$BB$50</f>
        <v>8.8582607053658453E-3</v>
      </c>
      <c r="AI74" s="119"/>
      <c r="AJ74" s="176">
        <f t="shared" si="112"/>
        <v>2.6826242345225757</v>
      </c>
      <c r="AK74" s="176">
        <f t="shared" si="113"/>
        <v>0</v>
      </c>
      <c r="AL74" s="120">
        <f t="shared" si="95"/>
        <v>0.23387731985812749</v>
      </c>
      <c r="AM74" s="120">
        <f t="shared" si="96"/>
        <v>0.3386980414124095</v>
      </c>
      <c r="AN74" s="120">
        <f t="shared" si="97"/>
        <v>0.4274246387294629</v>
      </c>
      <c r="AO74" s="120">
        <f t="shared" si="101"/>
        <v>4.7889697044064518E-2</v>
      </c>
      <c r="AP74" s="173">
        <f t="shared" si="124"/>
        <v>122.67793666627828</v>
      </c>
      <c r="AQ74" s="175">
        <f t="shared" si="125"/>
        <v>4.7889697044064518E-2</v>
      </c>
      <c r="AR74" s="177">
        <f>+AC74/$AE$50</f>
        <v>9.0893609333806726E-3</v>
      </c>
      <c r="AS74" s="177">
        <f t="shared" si="121"/>
        <v>4.3528674142375589E-4</v>
      </c>
      <c r="AT74" s="177"/>
      <c r="AU74" s="177"/>
      <c r="AV74" s="177"/>
      <c r="AW74" s="190"/>
      <c r="AX74" s="120"/>
      <c r="AY74" s="120"/>
      <c r="AZ74" s="118">
        <f>IFERROR(INDEX('Total Customers'!$F$7:$AB$91,MATCH($C74,'Total Customers'!$D$7:$D$91,0),MATCH($G74,'Total Customers'!$F$5:$AB$5,0)),"NA")</f>
        <v>320741</v>
      </c>
      <c r="BA74" s="119">
        <f t="shared" si="73"/>
        <v>7.0522860132343906E-3</v>
      </c>
      <c r="BB74" s="119"/>
      <c r="BC74" s="121"/>
      <c r="BD74" s="119"/>
      <c r="BE74" s="119"/>
      <c r="BF74" s="119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  <c r="BQ74" s="118"/>
      <c r="BR74" s="118"/>
      <c r="BS74" s="118">
        <f>INDEX('Dist. Plant Gas Additions'!$F$7:$AE$91,MATCH($C74,'Dist. Plant Gas Additions'!$D$7:$D$91,0),MATCH(Calculation!$G74,'Dist. Plant Gas Additions'!$F$5:$AE$5,0))</f>
        <v>24260</v>
      </c>
      <c r="BT74" s="118">
        <f>INDEX('Gen. Plant Additions'!$F$7:$AE$91,MATCH($C74,'Gen. Plant Additions'!$D$7:$D$91,0),MATCH(Calculation!$G74,'Gen. Plant Additions'!$F$5:$AE$5,0))</f>
        <v>2404</v>
      </c>
      <c r="BU74" s="118"/>
      <c r="BV74" s="118"/>
      <c r="BW74" s="118">
        <f>INDEX('Dist Plant Depreciation'!$E$7:$AD$94,MATCH($C74,'Dist Plant Depreciation'!$D$7:$D$94,0),MATCH(Calculation!$G74,'Dist Plant Depreciation'!$E$5:$AD$5,0))</f>
        <v>246430</v>
      </c>
      <c r="BX74" s="118">
        <f>INDEX('Gen. Plant Depreciation'!$E$7:$AD$94,MATCH($C74,'Gen. Plant Depreciation'!$D$7:$D$94,0),MATCH(Calculation!$G74,'Gen. Plant Depreciation'!$E$5:$AD$5,0))</f>
        <v>9199</v>
      </c>
      <c r="BY74" s="183">
        <v>1967</v>
      </c>
      <c r="BZ74" s="183">
        <f t="shared" si="66"/>
        <v>20</v>
      </c>
      <c r="CA74" s="178">
        <v>72.562460243025129</v>
      </c>
      <c r="CB74" s="184">
        <f t="shared" si="67"/>
        <v>1.5082956259426848E-2</v>
      </c>
      <c r="CC74" s="185">
        <f t="shared" si="68"/>
        <v>1.0944564139219477</v>
      </c>
      <c r="CD74" s="185"/>
      <c r="CE74" s="118">
        <f>INDEX('Gross Dx Plant'!$E$7:$AD$91,MATCH($C74,'Gross Dx Plant'!$D$7:$D$91,0),MATCH(Calculation!$G74,'Gross Dx Plant'!$E$5:$AD$5,0))</f>
        <v>704623</v>
      </c>
      <c r="CF74" s="118">
        <f>INDEX('Gross Gen Plant'!$E$7:$AD$91,MATCH($C74,'Gross Gen Plant'!$D$7:$D$91,0),MATCH(Calculation!$G74,'Gross Gen Plant'!$E$5:$AD$5,0))</f>
        <v>28704</v>
      </c>
      <c r="CG74" s="118">
        <f t="shared" si="7"/>
        <v>477698</v>
      </c>
      <c r="CH74" s="118"/>
      <c r="CI74" s="121">
        <v>2012</v>
      </c>
      <c r="CJ74" s="118"/>
      <c r="CK74" s="118"/>
      <c r="CL74" s="118"/>
      <c r="CM74" s="183"/>
      <c r="CN74" s="118">
        <f t="shared" si="75"/>
        <v>26664</v>
      </c>
      <c r="CO74" s="118">
        <f t="shared" si="76"/>
        <v>39.861309306760845</v>
      </c>
      <c r="CP74" s="186">
        <v>0.9135802469135802</v>
      </c>
      <c r="CQ74" s="118">
        <f>+CQ60*CP74+CO61*CP73+CO62*CP72+CO63*CP71+CO64*CP70+CO65*CP69+CO66*CP68+CO67*CP67+CO68*CP66+CO69*CP65+CO70*CP64+CO71*CP63+CO72*CP62+CO73*CP61+CO74</f>
        <v>1990.6583623405161</v>
      </c>
      <c r="CR74" s="119">
        <f t="shared" si="77"/>
        <v>1.2795072369413156E-2</v>
      </c>
      <c r="CS74" s="119"/>
      <c r="CT74" s="177">
        <f t="shared" si="78"/>
        <v>7.4047614546567083E-3</v>
      </c>
      <c r="CU74" s="177">
        <f t="shared" si="88"/>
        <v>7.1734143524892985E-3</v>
      </c>
      <c r="CV74" s="119">
        <f>VLOOKUP($H74,RoR!$E:$F,2,FALSE)</f>
        <v>3.6733333333333333E-2</v>
      </c>
      <c r="CW74" s="177">
        <v>1.924331376386168E-2</v>
      </c>
      <c r="CX74" s="177">
        <f t="shared" si="86"/>
        <v>1.7490019569471653E-2</v>
      </c>
      <c r="CY74" s="177">
        <f t="shared" si="89"/>
        <v>2.3728527256044327E-2</v>
      </c>
      <c r="CZ74" s="177">
        <f t="shared" si="90"/>
        <v>6.7122682943869583E-2</v>
      </c>
      <c r="DA74" s="187">
        <f t="shared" si="79"/>
        <v>0.86875000000000002</v>
      </c>
      <c r="DB74" s="188">
        <f t="shared" si="80"/>
        <v>1.3960631020522127</v>
      </c>
      <c r="DC74" s="188">
        <f t="shared" si="81"/>
        <v>0.29441923774954631</v>
      </c>
      <c r="DD74" s="188">
        <f t="shared" si="82"/>
        <v>0.76377954189366437</v>
      </c>
      <c r="DE74" s="188">
        <f t="shared" si="83"/>
        <v>0.31393465103033691</v>
      </c>
      <c r="DF74" s="189">
        <f>INDEX('State Tax Lookup'!$D$7:$Z$91,MATCH(Calculation!$C74,'State Tax Lookup'!$B$7:$B$91,0),MATCH($H74,'State Tax Lookup'!$D$6:$Z$6,0))</f>
        <v>0.35</v>
      </c>
      <c r="DG74" s="189">
        <v>0.375</v>
      </c>
      <c r="DH74" s="190">
        <f t="shared" si="87"/>
        <v>21.124455077520416</v>
      </c>
      <c r="DI74" s="190">
        <v>20.813880896606612</v>
      </c>
      <c r="DJ74" s="177"/>
      <c r="DK74" s="189">
        <f>VLOOKUP($H74,RoR!$E:$F,2,FALSE)</f>
        <v>3.6733333333333333E-2</v>
      </c>
      <c r="DL74" s="191">
        <f>HLOOKUP($H74,'GDP-PI'!$D$8:$CQ$11,3,FALSE)</f>
        <v>1.924331376386168E-2</v>
      </c>
      <c r="DM74" s="189">
        <f>VLOOKUP(H74,'HW Dx Data'!$E:$F,2,FALSE)</f>
        <v>668.91932211262167</v>
      </c>
      <c r="DN74" s="183">
        <f>VLOOKUP(H74,'ECI - Input Price'!$G$17:$H$37,2,FALSE)</f>
        <v>116.5</v>
      </c>
      <c r="DO74" s="177">
        <f t="shared" ref="DO74" si="132">LN(DN74/DN73)</f>
        <v>1.9064702204990347E-2</v>
      </c>
      <c r="DP74" s="183">
        <f>HLOOKUP(H74,'GDP-PI'!$8:$9,2,FALSE)</f>
        <v>100</v>
      </c>
      <c r="DQ74" s="177">
        <f t="shared" ref="DQ74" si="133">LN(DP74/DP73)</f>
        <v>1.9060502738742411E-2</v>
      </c>
      <c r="DR74" s="167">
        <v>106.38333333333334</v>
      </c>
      <c r="DS74" s="167">
        <v>2.9684640522875823</v>
      </c>
      <c r="DV74" s="192">
        <v>9.1881865913332732E-3</v>
      </c>
      <c r="DW74" s="192">
        <v>2.24E-2</v>
      </c>
      <c r="DX74" s="192">
        <f t="shared" si="116"/>
        <v>2.0581537964586532E-4</v>
      </c>
      <c r="DY74" s="192">
        <v>1.44E-2</v>
      </c>
      <c r="DZ74" s="192">
        <f t="shared" si="117"/>
        <v>1.3230988691519913E-4</v>
      </c>
      <c r="EA74" s="192">
        <v>1.0800000000000001E-2</v>
      </c>
      <c r="EB74" s="192">
        <f t="shared" si="118"/>
        <v>9.9232415186399354E-5</v>
      </c>
      <c r="EC74" s="192">
        <v>5.1000000000000004E-3</v>
      </c>
      <c r="ED74" s="192">
        <f t="shared" si="119"/>
        <v>4.6859751615799696E-5</v>
      </c>
      <c r="EE74" s="192">
        <v>-1.1999999999999999E-3</v>
      </c>
      <c r="EF74" s="192">
        <f t="shared" si="120"/>
        <v>-1.1025823909599927E-5</v>
      </c>
    </row>
    <row r="75" spans="1:136" s="167" customFormat="1" ht="21" x14ac:dyDescent="0.35">
      <c r="A75" s="167" t="s">
        <v>29</v>
      </c>
      <c r="B75" s="168" t="s">
        <v>29</v>
      </c>
      <c r="C75" s="168">
        <v>4057075</v>
      </c>
      <c r="D75" s="168" t="s">
        <v>133</v>
      </c>
      <c r="E75" s="168"/>
      <c r="F75" s="168"/>
      <c r="G75" s="168" t="s">
        <v>19</v>
      </c>
      <c r="H75" s="169">
        <v>2013</v>
      </c>
      <c r="I75" s="170"/>
      <c r="J75" s="166">
        <f>IFERROR(INDEX('Labor Expenditures'!$F$7:$X$91,MATCH($C75,'Labor Expenditures'!$D$7:$D$91,0),MATCH($G75,'Labor Expenditures'!$F$5:$X$5,0)),"NA")</f>
        <v>22783.294618705757</v>
      </c>
      <c r="K75" s="166">
        <f t="shared" si="93"/>
        <v>191.8997230465846</v>
      </c>
      <c r="L75" s="172">
        <f t="shared" si="100"/>
        <v>-1.6011485548918489E-2</v>
      </c>
      <c r="M75" s="172">
        <f t="shared" si="104"/>
        <v>-1.4022147173369629E-4</v>
      </c>
      <c r="N75" s="196"/>
      <c r="O75" s="172"/>
      <c r="P75" s="166">
        <f>IFERROR(INDEX('Non-Labor Expenditures'!$F$7:$AB$91,MATCH($C75,'Non-Labor Expenditures'!$D$7:$D$91,0),MATCH($G75,'Non-Labor Expenditures'!$F$5:$AB$5,0)),"NA")</f>
        <v>32994.465940342299</v>
      </c>
      <c r="Q75" s="166">
        <f t="shared" si="94"/>
        <v>324.19665275016263</v>
      </c>
      <c r="R75" s="172">
        <f t="shared" si="105"/>
        <v>-1.4667521135998703E-2</v>
      </c>
      <c r="S75" s="172">
        <f t="shared" si="110"/>
        <v>-1.2845162893169255E-4</v>
      </c>
      <c r="T75" s="172"/>
      <c r="U75" s="172"/>
      <c r="V75" s="166">
        <f t="shared" si="84"/>
        <v>41298.597381587817</v>
      </c>
      <c r="W75" s="170"/>
      <c r="X75" s="174">
        <v>2074.7524821106999</v>
      </c>
      <c r="Y75" s="175">
        <v>4.1376441468322075E-2</v>
      </c>
      <c r="Z75" s="175">
        <f t="shared" si="111"/>
        <v>3.6235647842077688E-4</v>
      </c>
      <c r="AA75" s="175"/>
      <c r="AB75" s="175"/>
      <c r="AC75" s="170">
        <f t="shared" si="85"/>
        <v>97076.357940635877</v>
      </c>
      <c r="AD75" s="175">
        <f t="shared" si="106"/>
        <v>-5.8115049051103837E-4</v>
      </c>
      <c r="AE75" s="170"/>
      <c r="AF75" s="170"/>
      <c r="AG75" s="121">
        <f t="shared" si="107"/>
        <v>300.45577006482841</v>
      </c>
      <c r="AH75" s="119">
        <f>+AZ75/$BB$51</f>
        <v>8.8662793207421719E-3</v>
      </c>
      <c r="AI75" s="119"/>
      <c r="AJ75" s="176">
        <f t="shared" si="112"/>
        <v>2.6639247809234532</v>
      </c>
      <c r="AK75" s="176">
        <f t="shared" si="113"/>
        <v>0</v>
      </c>
      <c r="AL75" s="120">
        <f t="shared" si="95"/>
        <v>0.23469457550764516</v>
      </c>
      <c r="AM75" s="120">
        <f t="shared" si="96"/>
        <v>0.33988158023521103</v>
      </c>
      <c r="AN75" s="120">
        <f t="shared" si="97"/>
        <v>0.42542384425714375</v>
      </c>
      <c r="AO75" s="120">
        <f t="shared" si="101"/>
        <v>8.9161111316948555E-3</v>
      </c>
      <c r="AP75" s="173">
        <f t="shared" si="124"/>
        <v>123.77663757408645</v>
      </c>
      <c r="AQ75" s="175">
        <f t="shared" si="125"/>
        <v>8.9161111316948434E-3</v>
      </c>
      <c r="AR75" s="177">
        <f>+AC75/$AE$51</f>
        <v>8.7575554001713286E-3</v>
      </c>
      <c r="AS75" s="177">
        <f t="shared" si="121"/>
        <v>7.8083337189901872E-5</v>
      </c>
      <c r="AT75" s="177"/>
      <c r="AU75" s="177"/>
      <c r="AV75" s="177"/>
      <c r="AW75" s="190"/>
      <c r="AX75" s="120"/>
      <c r="AY75" s="120"/>
      <c r="AZ75" s="118">
        <f>IFERROR(INDEX('Total Customers'!$F$7:$AB$91,MATCH($C75,'Total Customers'!$D$7:$D$91,0),MATCH($G75,'Total Customers'!$F$5:$AB$5,0)),"NA")</f>
        <v>323097</v>
      </c>
      <c r="BA75" s="119">
        <f t="shared" si="73"/>
        <v>7.3186438703655892E-3</v>
      </c>
      <c r="BB75" s="119"/>
      <c r="BC75" s="121"/>
      <c r="BD75" s="119"/>
      <c r="BE75" s="119"/>
      <c r="BF75" s="119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  <c r="BQ75" s="118"/>
      <c r="BR75" s="118"/>
      <c r="BS75" s="118">
        <f>INDEX('Dist. Plant Gas Additions'!$F$7:$AE$91,MATCH($C75,'Dist. Plant Gas Additions'!$D$7:$D$91,0),MATCH(Calculation!$G75,'Dist. Plant Gas Additions'!$F$5:$AE$5,0))</f>
        <v>62293</v>
      </c>
      <c r="BT75" s="118">
        <f>INDEX('Gen. Plant Additions'!$F$7:$AE$91,MATCH($C75,'Gen. Plant Additions'!$D$7:$D$91,0),MATCH(Calculation!$G75,'Gen. Plant Additions'!$F$5:$AE$5,0))</f>
        <v>3616</v>
      </c>
      <c r="BU75" s="118"/>
      <c r="BV75" s="118"/>
      <c r="BW75" s="118">
        <f>INDEX('Dist Plant Depreciation'!$E$7:$AD$94,MATCH($C75,'Dist Plant Depreciation'!$D$7:$D$94,0),MATCH(Calculation!$G75,'Dist Plant Depreciation'!$E$5:$AD$5,0))</f>
        <v>256829</v>
      </c>
      <c r="BX75" s="118">
        <f>INDEX('Gen. Plant Depreciation'!$E$7:$AD$94,MATCH($C75,'Gen. Plant Depreciation'!$D$7:$D$94,0),MATCH(Calculation!$G75,'Gen. Plant Depreciation'!$E$5:$AD$5,0))</f>
        <v>11186</v>
      </c>
      <c r="BY75" s="183">
        <v>1968</v>
      </c>
      <c r="BZ75" s="183">
        <f t="shared" si="66"/>
        <v>21</v>
      </c>
      <c r="CA75" s="178">
        <v>74.841934472906132</v>
      </c>
      <c r="CB75" s="184">
        <f t="shared" si="67"/>
        <v>1.5837104072398189E-2</v>
      </c>
      <c r="CC75" s="185">
        <f t="shared" si="68"/>
        <v>1.1852795052270202</v>
      </c>
      <c r="CD75" s="185"/>
      <c r="CE75" s="118">
        <f>INDEX('Gross Dx Plant'!$E$7:$AD$91,MATCH($C75,'Gross Dx Plant'!$D$7:$D$91,0),MATCH(Calculation!$G75,'Gross Dx Plant'!$E$5:$AD$5,0))</f>
        <v>761853</v>
      </c>
      <c r="CF75" s="118">
        <f>INDEX('Gross Gen Plant'!$E$7:$AD$91,MATCH($C75,'Gross Gen Plant'!$D$7:$D$91,0),MATCH(Calculation!$G75,'Gross Gen Plant'!$E$5:$AD$5,0))</f>
        <v>31929</v>
      </c>
      <c r="CG75" s="118">
        <f t="shared" si="7"/>
        <v>525767</v>
      </c>
      <c r="CH75" s="118"/>
      <c r="CI75" s="121">
        <v>2013</v>
      </c>
      <c r="CJ75" s="118"/>
      <c r="CK75" s="118"/>
      <c r="CL75" s="118"/>
      <c r="CM75" s="183"/>
      <c r="CN75" s="118">
        <f t="shared" si="75"/>
        <v>65909</v>
      </c>
      <c r="CO75" s="118">
        <f t="shared" si="76"/>
        <v>99.373024427378311</v>
      </c>
      <c r="CP75" s="186">
        <v>0.90566037735849059</v>
      </c>
      <c r="CQ75" s="118">
        <f>+CQ60*CP75+CO61*CP74+CO62*CP73+CO63*CP72+CO64*CP71+CO65*CP70+CO66*CP69+CO67*CP68+CO68*CP67+CO69*CP66+CO70*CP65+CO71*CP64+CO72*CP63+CO73*CP62+CO74*CP61+CO75</f>
        <v>2074.7524821106999</v>
      </c>
      <c r="CR75" s="119">
        <f t="shared" si="77"/>
        <v>4.1376441468322075E-2</v>
      </c>
      <c r="CS75" s="119"/>
      <c r="CT75" s="177">
        <f t="shared" si="78"/>
        <v>7.6753022749872016E-3</v>
      </c>
      <c r="CU75" s="177">
        <f t="shared" si="88"/>
        <v>7.4179593938185698E-3</v>
      </c>
      <c r="CV75" s="119">
        <f>VLOOKUP($H75,RoR!$E:$F,2,FALSE)</f>
        <v>4.2350000000000006E-2</v>
      </c>
      <c r="CW75" s="177">
        <v>1.7730000000000024E-2</v>
      </c>
      <c r="CX75" s="177">
        <f t="shared" si="86"/>
        <v>2.4619999999999982E-2</v>
      </c>
      <c r="CY75" s="177">
        <f t="shared" si="89"/>
        <v>2.3483982214715055E-2</v>
      </c>
      <c r="CZ75" s="177">
        <f t="shared" si="90"/>
        <v>5.3376742735721204E-2</v>
      </c>
      <c r="DA75" s="187">
        <f t="shared" si="79"/>
        <v>0.86875000000000002</v>
      </c>
      <c r="DB75" s="188">
        <f t="shared" si="80"/>
        <v>1.2109103018193925</v>
      </c>
      <c r="DC75" s="188">
        <f t="shared" si="81"/>
        <v>0.38468122786304604</v>
      </c>
      <c r="DD75" s="188">
        <f t="shared" si="82"/>
        <v>0.80969194503422559</v>
      </c>
      <c r="DE75" s="188">
        <f t="shared" si="83"/>
        <v>0.37716621754800816</v>
      </c>
      <c r="DF75" s="189">
        <f>INDEX('State Tax Lookup'!$D$7:$Z$91,MATCH(Calculation!$C75,'State Tax Lookup'!$B$7:$B$91,0),MATCH($H75,'State Tax Lookup'!$D$6:$Z$6,0))</f>
        <v>0.35</v>
      </c>
      <c r="DG75" s="189">
        <v>0.375</v>
      </c>
      <c r="DH75" s="190">
        <f t="shared" si="87"/>
        <v>20.746200434428637</v>
      </c>
      <c r="DI75" s="190">
        <v>20.413387704079366</v>
      </c>
      <c r="DJ75" s="177"/>
      <c r="DK75" s="189">
        <f>VLOOKUP($H75,RoR!$E:$F,2,FALSE)</f>
        <v>4.2350000000000006E-2</v>
      </c>
      <c r="DL75" s="191">
        <f>HLOOKUP($H75,'GDP-PI'!$D$8:$CQ$11,3,FALSE)</f>
        <v>1.7730000000000024E-2</v>
      </c>
      <c r="DM75" s="189">
        <f>VLOOKUP(H75,'HW Dx Data'!$E:$F,2,FALSE)</f>
        <v>663.24840548821396</v>
      </c>
      <c r="DN75" s="183">
        <f>VLOOKUP(H75,'ECI - Input Price'!$G$17:$H$37,2,FALSE)</f>
        <v>118.72499999999999</v>
      </c>
      <c r="DO75" s="177">
        <f t="shared" ref="DO75" si="134">LN(DN75/DN74)</f>
        <v>1.8918621429430321E-2</v>
      </c>
      <c r="DP75" s="183">
        <f>HLOOKUP(H75,'GDP-PI'!$8:$9,2,FALSE)</f>
        <v>101.773</v>
      </c>
      <c r="DQ75" s="177">
        <f t="shared" ref="DQ75" si="135">LN(DP75/DP74)</f>
        <v>1.7574657016510519E-2</v>
      </c>
      <c r="DR75" s="167">
        <v>107.55833333333334</v>
      </c>
      <c r="DS75" s="167">
        <v>3.0823655103066869</v>
      </c>
      <c r="DV75" s="192">
        <v>1.9939254211924117E-2</v>
      </c>
      <c r="DW75" s="192">
        <v>3.1099999999999999E-2</v>
      </c>
      <c r="DX75" s="192">
        <f t="shared" si="116"/>
        <v>6.2011080599084004E-4</v>
      </c>
      <c r="DY75" s="192">
        <v>2.5000000000000001E-2</v>
      </c>
      <c r="DZ75" s="192">
        <f t="shared" si="117"/>
        <v>4.9848135529810295E-4</v>
      </c>
      <c r="EA75" s="192">
        <v>2.1999999999999999E-2</v>
      </c>
      <c r="EB75" s="192">
        <f t="shared" si="118"/>
        <v>4.3866359266233056E-4</v>
      </c>
      <c r="EC75" s="192">
        <v>1.8100000000000002E-2</v>
      </c>
      <c r="ED75" s="192">
        <f t="shared" si="119"/>
        <v>3.6090050123582654E-4</v>
      </c>
      <c r="EE75" s="192">
        <v>1.38E-2</v>
      </c>
      <c r="EF75" s="192">
        <f t="shared" si="120"/>
        <v>2.7516170812455281E-4</v>
      </c>
    </row>
    <row r="76" spans="1:136" s="167" customFormat="1" ht="21" x14ac:dyDescent="0.35">
      <c r="A76" s="167" t="s">
        <v>29</v>
      </c>
      <c r="B76" s="168" t="s">
        <v>29</v>
      </c>
      <c r="C76" s="168">
        <v>4057075</v>
      </c>
      <c r="D76" s="168" t="s">
        <v>133</v>
      </c>
      <c r="E76" s="168"/>
      <c r="F76" s="168"/>
      <c r="G76" s="168" t="s">
        <v>20</v>
      </c>
      <c r="H76" s="169">
        <v>2014</v>
      </c>
      <c r="I76" s="170"/>
      <c r="J76" s="166">
        <f>IFERROR(INDEX('Labor Expenditures'!$F$7:$X$91,MATCH($C76,'Labor Expenditures'!$D$7:$D$91,0),MATCH($G76,'Labor Expenditures'!$F$5:$X$5,0)),"NA")</f>
        <v>23318.097564163283</v>
      </c>
      <c r="K76" s="166">
        <f t="shared" si="93"/>
        <v>192.39354425877295</v>
      </c>
      <c r="L76" s="172">
        <f t="shared" si="100"/>
        <v>2.570024124853236E-3</v>
      </c>
      <c r="M76" s="172">
        <f t="shared" si="104"/>
        <v>2.2834527744043584E-5</v>
      </c>
      <c r="N76" s="196"/>
      <c r="O76" s="172"/>
      <c r="P76" s="166">
        <f>IFERROR(INDEX('Non-Labor Expenditures'!$F$7:$AB$91,MATCH($C76,'Non-Labor Expenditures'!$D$7:$D$91,0),MATCH($G76,'Non-Labor Expenditures'!$F$5:$AB$5,0)),"NA")</f>
        <v>33768.96049277659</v>
      </c>
      <c r="Q76" s="166">
        <f t="shared" si="94"/>
        <v>325.80740873133414</v>
      </c>
      <c r="R76" s="172">
        <f t="shared" si="105"/>
        <v>4.9561514266258993E-3</v>
      </c>
      <c r="S76" s="172">
        <f t="shared" si="110"/>
        <v>4.4035141989740293E-5</v>
      </c>
      <c r="T76" s="172"/>
      <c r="U76" s="172"/>
      <c r="V76" s="166">
        <f t="shared" si="84"/>
        <v>44021.908102706075</v>
      </c>
      <c r="W76" s="170"/>
      <c r="X76" s="174">
        <v>2140.1861185553371</v>
      </c>
      <c r="Y76" s="175">
        <v>3.1050935701747676E-2</v>
      </c>
      <c r="Z76" s="175">
        <f t="shared" si="111"/>
        <v>2.7588591325015705E-4</v>
      </c>
      <c r="AA76" s="175"/>
      <c r="AB76" s="175"/>
      <c r="AC76" s="170">
        <f t="shared" si="85"/>
        <v>101108.96615964595</v>
      </c>
      <c r="AD76" s="175">
        <f t="shared" si="106"/>
        <v>4.0700944051976544E-2</v>
      </c>
      <c r="AE76" s="170"/>
      <c r="AF76" s="170"/>
      <c r="AG76" s="121">
        <f t="shared" si="107"/>
        <v>309.73595485683546</v>
      </c>
      <c r="AH76" s="119">
        <f>+AZ76/$BB$52</f>
        <v>8.9098198788551807E-3</v>
      </c>
      <c r="AI76" s="119"/>
      <c r="AJ76" s="176">
        <f t="shared" si="112"/>
        <v>2.7596915677796234</v>
      </c>
      <c r="AK76" s="176">
        <f t="shared" si="113"/>
        <v>0</v>
      </c>
      <c r="AL76" s="120">
        <f t="shared" si="95"/>
        <v>0.23062343973871896</v>
      </c>
      <c r="AM76" s="120">
        <f t="shared" si="96"/>
        <v>0.33398581525853116</v>
      </c>
      <c r="AN76" s="120">
        <f t="shared" si="97"/>
        <v>0.43539074500274988</v>
      </c>
      <c r="AO76" s="120">
        <f t="shared" si="101"/>
        <v>1.5632382920340131E-2</v>
      </c>
      <c r="AP76" s="173">
        <f t="shared" si="124"/>
        <v>125.72676421970134</v>
      </c>
      <c r="AQ76" s="175">
        <f t="shared" si="125"/>
        <v>1.5632382920340238E-2</v>
      </c>
      <c r="AR76" s="177">
        <f>+AC76/$AE$52</f>
        <v>8.8849468466945126E-3</v>
      </c>
      <c r="AS76" s="177">
        <f t="shared" si="121"/>
        <v>1.3889289133439816E-4</v>
      </c>
      <c r="AT76" s="177"/>
      <c r="AU76" s="177"/>
      <c r="AV76" s="177"/>
      <c r="AW76" s="190"/>
      <c r="AX76" s="120"/>
      <c r="AY76" s="120"/>
      <c r="AZ76" s="118">
        <f>IFERROR(INDEX('Total Customers'!$F$7:$AB$91,MATCH($C76,'Total Customers'!$D$7:$D$91,0),MATCH($G76,'Total Customers'!$F$5:$AB$5,0)),"NA")</f>
        <v>326436</v>
      </c>
      <c r="BA76" s="119">
        <f t="shared" si="73"/>
        <v>1.0281323389371613E-2</v>
      </c>
      <c r="BB76" s="119"/>
      <c r="BC76" s="121"/>
      <c r="BD76" s="119"/>
      <c r="BE76" s="119"/>
      <c r="BF76" s="119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18"/>
      <c r="BR76" s="118"/>
      <c r="BS76" s="118">
        <f>INDEX('Dist. Plant Gas Additions'!$F$7:$AE$91,MATCH($C76,'Dist. Plant Gas Additions'!$D$7:$D$91,0),MATCH(Calculation!$G76,'Dist. Plant Gas Additions'!$F$5:$AE$5,0))</f>
        <v>52761</v>
      </c>
      <c r="BT76" s="118">
        <f>INDEX('Gen. Plant Additions'!$F$7:$AE$91,MATCH($C76,'Gen. Plant Additions'!$D$7:$D$91,0),MATCH(Calculation!$G76,'Gen. Plant Additions'!$F$5:$AE$5,0))</f>
        <v>3208</v>
      </c>
      <c r="BU76" s="118"/>
      <c r="BV76" s="118"/>
      <c r="BW76" s="118">
        <f>INDEX('Dist Plant Depreciation'!$E$7:$AD$94,MATCH($C76,'Dist Plant Depreciation'!$D$7:$D$94,0),MATCH(Calculation!$G76,'Dist Plant Depreciation'!$E$5:$AD$5,0))</f>
        <v>269811</v>
      </c>
      <c r="BX76" s="118">
        <f>INDEX('Gen. Plant Depreciation'!$E$7:$AD$94,MATCH($C76,'Gen. Plant Depreciation'!$D$7:$D$94,0),MATCH(Calculation!$G76,'Gen. Plant Depreciation'!$E$5:$AD$5,0))</f>
        <v>12936</v>
      </c>
      <c r="BY76" s="183">
        <v>1969</v>
      </c>
      <c r="BZ76" s="183">
        <f t="shared" si="66"/>
        <v>22</v>
      </c>
      <c r="CA76" s="178">
        <v>78.646629139392843</v>
      </c>
      <c r="CB76" s="184">
        <f t="shared" si="67"/>
        <v>1.6591251885369532E-2</v>
      </c>
      <c r="CC76" s="185">
        <f t="shared" si="68"/>
        <v>1.3048460339869099</v>
      </c>
      <c r="CD76" s="185"/>
      <c r="CE76" s="118">
        <f>INDEX('Gross Dx Plant'!$E$7:$AD$91,MATCH($C76,'Gross Dx Plant'!$D$7:$D$91,0),MATCH(Calculation!$G76,'Gross Dx Plant'!$E$5:$AD$5,0))</f>
        <v>810296</v>
      </c>
      <c r="CF76" s="118">
        <f>INDEX('Gross Gen Plant'!$E$7:$AD$91,MATCH($C76,'Gross Gen Plant'!$D$7:$D$91,0),MATCH(Calculation!$G76,'Gross Gen Plant'!$E$5:$AD$5,0))</f>
        <v>34391</v>
      </c>
      <c r="CG76" s="118">
        <f t="shared" si="7"/>
        <v>561940</v>
      </c>
      <c r="CH76" s="118"/>
      <c r="CI76" s="121">
        <v>2014</v>
      </c>
      <c r="CJ76" s="118"/>
      <c r="CK76" s="118"/>
      <c r="CL76" s="118"/>
      <c r="CM76" s="183"/>
      <c r="CN76" s="118">
        <f t="shared" si="75"/>
        <v>55969</v>
      </c>
      <c r="CO76" s="118">
        <f t="shared" si="76"/>
        <v>81.769938914880228</v>
      </c>
      <c r="CP76" s="186">
        <v>0.89743589743589747</v>
      </c>
      <c r="CQ76" s="118">
        <f>+CQ60*CP76+CO61*CP75+CO62*CP74+CO63*CP73+CO64*CP72+CO65*CP71+CO66*CP70+CO67*CP69+CO68*CP68+CO69*CP67+CO70*CP66+CO71*CP65+CO72*CP64+CO73*CP63+CO74*CP62+CO75*CP61+CO76</f>
        <v>2140.1861185553371</v>
      </c>
      <c r="CR76" s="119">
        <f t="shared" si="77"/>
        <v>3.1050935701747676E-2</v>
      </c>
      <c r="CS76" s="119"/>
      <c r="CT76" s="177">
        <f t="shared" si="78"/>
        <v>7.873856091799308E-3</v>
      </c>
      <c r="CU76" s="177">
        <f t="shared" si="88"/>
        <v>7.6513066071477393E-3</v>
      </c>
      <c r="CV76" s="119">
        <f>VLOOKUP($H76,RoR!$E:$F,2,FALSE)</f>
        <v>4.1625000000000002E-2</v>
      </c>
      <c r="CW76" s="177">
        <v>1.841352814597208E-2</v>
      </c>
      <c r="CX76" s="177">
        <f t="shared" si="86"/>
        <v>2.3211471854027922E-2</v>
      </c>
      <c r="CY76" s="177">
        <f t="shared" si="89"/>
        <v>2.3250635001385887E-2</v>
      </c>
      <c r="CZ76" s="177">
        <f t="shared" si="90"/>
        <v>3.9072621432650924E-2</v>
      </c>
      <c r="DA76" s="187">
        <f t="shared" si="79"/>
        <v>0.86875000000000002</v>
      </c>
      <c r="DB76" s="188">
        <f t="shared" si="80"/>
        <v>1.2320012320012319</v>
      </c>
      <c r="DC76" s="188">
        <f t="shared" si="81"/>
        <v>0.37439939939939942</v>
      </c>
      <c r="DD76" s="188">
        <f t="shared" si="82"/>
        <v>0.80432100613819935</v>
      </c>
      <c r="DE76" s="188">
        <f t="shared" si="83"/>
        <v>0.37100152660040037</v>
      </c>
      <c r="DF76" s="189">
        <f>INDEX('State Tax Lookup'!$D$7:$Z$91,MATCH(Calculation!$C76,'State Tax Lookup'!$B$7:$B$91,0),MATCH($H76,'State Tax Lookup'!$D$6:$Z$6,0))</f>
        <v>0.35</v>
      </c>
      <c r="DG76" s="189">
        <v>0.375</v>
      </c>
      <c r="DH76" s="190">
        <f t="shared" si="87"/>
        <v>21.217908392581574</v>
      </c>
      <c r="DI76" s="190">
        <v>20.895186090572818</v>
      </c>
      <c r="DJ76" s="177"/>
      <c r="DK76" s="189">
        <f>VLOOKUP($H76,RoR!$E:$F,2,FALSE)</f>
        <v>4.1625000000000002E-2</v>
      </c>
      <c r="DL76" s="191">
        <f>HLOOKUP($H76,'GDP-PI'!$D$8:$CQ$11,3,FALSE)</f>
        <v>1.841352814597208E-2</v>
      </c>
      <c r="DM76" s="189">
        <f>VLOOKUP(H76,'HW Dx Data'!$E:$F,2,FALSE)</f>
        <v>684.46914285042885</v>
      </c>
      <c r="DN76" s="183">
        <f>VLOOKUP(H76,'ECI - Input Price'!$G$17:$H$37,2,FALSE)</f>
        <v>121.2</v>
      </c>
      <c r="DO76" s="177">
        <f t="shared" ref="DO76" si="136">LN(DN76/DN75)</f>
        <v>2.0632179200028689E-2</v>
      </c>
      <c r="DP76" s="183">
        <f>HLOOKUP(H76,'GDP-PI'!$8:$9,2,FALSE)</f>
        <v>103.64700000000001</v>
      </c>
      <c r="DQ76" s="177">
        <f t="shared" ref="DQ76" si="137">LN(DP76/DP75)</f>
        <v>1.8246051898256087E-2</v>
      </c>
      <c r="DR76" s="167">
        <v>107.34166666666667</v>
      </c>
      <c r="DS76" s="167">
        <v>3.157107843137255</v>
      </c>
      <c r="DV76" s="192">
        <v>2.8874531128939519E-3</v>
      </c>
      <c r="DW76" s="192">
        <v>2.6599999999999999E-2</v>
      </c>
      <c r="DX76" s="192">
        <f t="shared" si="116"/>
        <v>7.6806252802979122E-5</v>
      </c>
      <c r="DY76" s="192">
        <v>2.8199999999999999E-2</v>
      </c>
      <c r="DZ76" s="192">
        <f t="shared" si="117"/>
        <v>8.1426177783609438E-5</v>
      </c>
      <c r="EA76" s="192">
        <v>1.49E-2</v>
      </c>
      <c r="EB76" s="192">
        <f t="shared" si="118"/>
        <v>4.3023051382119884E-5</v>
      </c>
      <c r="EC76" s="192">
        <v>8.5000000000000006E-3</v>
      </c>
      <c r="ED76" s="192">
        <f t="shared" si="119"/>
        <v>2.4543351459598592E-5</v>
      </c>
      <c r="EE76" s="192">
        <v>1.6999999999999999E-3</v>
      </c>
      <c r="EF76" s="192">
        <f t="shared" si="120"/>
        <v>4.9086702919197177E-6</v>
      </c>
    </row>
    <row r="77" spans="1:136" s="167" customFormat="1" ht="21" x14ac:dyDescent="0.35">
      <c r="A77" s="167" t="s">
        <v>29</v>
      </c>
      <c r="B77" s="168" t="s">
        <v>29</v>
      </c>
      <c r="C77" s="168">
        <v>4057075</v>
      </c>
      <c r="D77" s="168" t="s">
        <v>133</v>
      </c>
      <c r="E77" s="168"/>
      <c r="F77" s="168"/>
      <c r="G77" s="168" t="s">
        <v>21</v>
      </c>
      <c r="H77" s="169">
        <v>2015</v>
      </c>
      <c r="I77" s="170"/>
      <c r="J77" s="166">
        <f>IFERROR(INDEX('Labor Expenditures'!$F$7:$X$91,MATCH($C77,'Labor Expenditures'!$D$7:$D$91,0),MATCH($G77,'Labor Expenditures'!$F$5:$X$5,0)),"NA")</f>
        <v>24501.992278303231</v>
      </c>
      <c r="K77" s="166">
        <f t="shared" si="93"/>
        <v>197.99589719840995</v>
      </c>
      <c r="L77" s="172">
        <f t="shared" si="100"/>
        <v>2.8703325339610956E-2</v>
      </c>
      <c r="M77" s="172">
        <f t="shared" si="104"/>
        <v>2.6083389275436157E-4</v>
      </c>
      <c r="N77" s="196"/>
      <c r="O77" s="172"/>
      <c r="P77" s="166">
        <f>IFERROR(INDEX('Non-Labor Expenditures'!$F$7:$AB$91,MATCH($C77,'Non-Labor Expenditures'!$D$7:$D$91,0),MATCH($G77,'Non-Labor Expenditures'!$F$5:$AB$5,0)),"NA")</f>
        <v>35483.461159882507</v>
      </c>
      <c r="Q77" s="166">
        <f t="shared" si="94"/>
        <v>339.10359579012135</v>
      </c>
      <c r="R77" s="172">
        <f t="shared" si="105"/>
        <v>3.9999216967753416E-2</v>
      </c>
      <c r="S77" s="172">
        <f t="shared" si="110"/>
        <v>3.6348232636403111E-4</v>
      </c>
      <c r="T77" s="172"/>
      <c r="U77" s="172"/>
      <c r="V77" s="166">
        <f t="shared" si="84"/>
        <v>44469.945236588355</v>
      </c>
      <c r="W77" s="170"/>
      <c r="X77" s="174">
        <v>2232.5362268898111</v>
      </c>
      <c r="Y77" s="175">
        <v>4.2245464147649667E-2</v>
      </c>
      <c r="Z77" s="175">
        <f t="shared" si="111"/>
        <v>3.8389450471231119E-4</v>
      </c>
      <c r="AA77" s="175"/>
      <c r="AB77" s="175"/>
      <c r="AC77" s="170">
        <f t="shared" si="85"/>
        <v>104455.3986747741</v>
      </c>
      <c r="AD77" s="175">
        <f t="shared" si="106"/>
        <v>3.2561365212937378E-2</v>
      </c>
      <c r="AE77" s="170"/>
      <c r="AF77" s="170"/>
      <c r="AG77" s="121">
        <f t="shared" si="107"/>
        <v>313.7175596911764</v>
      </c>
      <c r="AH77" s="119">
        <f>+AZ77/$BB$53</f>
        <v>9.0142013635279069E-3</v>
      </c>
      <c r="AI77" s="119"/>
      <c r="AJ77" s="176">
        <f t="shared" si="112"/>
        <v>2.8279132543308498</v>
      </c>
      <c r="AK77" s="176">
        <f t="shared" si="113"/>
        <v>0</v>
      </c>
      <c r="AL77" s="120">
        <f t="shared" si="95"/>
        <v>0.23456894128173428</v>
      </c>
      <c r="AM77" s="120">
        <f t="shared" si="96"/>
        <v>0.33969963841085543</v>
      </c>
      <c r="AN77" s="120">
        <f t="shared" si="97"/>
        <v>0.42573142030741024</v>
      </c>
      <c r="AO77" s="120">
        <f t="shared" si="101"/>
        <v>3.8338982224318169E-2</v>
      </c>
      <c r="AP77" s="173">
        <f t="shared" si="124"/>
        <v>130.64059413790307</v>
      </c>
      <c r="AQ77" s="175">
        <f t="shared" si="125"/>
        <v>3.8338982224318079E-2</v>
      </c>
      <c r="AR77" s="177">
        <f>+AC77/$AE$53</f>
        <v>9.0872360490722465E-3</v>
      </c>
      <c r="AS77" s="177">
        <f t="shared" si="121"/>
        <v>3.483953813535633E-4</v>
      </c>
      <c r="AT77" s="177"/>
      <c r="AU77" s="177"/>
      <c r="AV77" s="177"/>
      <c r="AW77" s="190"/>
      <c r="AX77" s="120"/>
      <c r="AY77" s="120"/>
      <c r="AZ77" s="118">
        <f>IFERROR(INDEX('Total Customers'!$F$7:$AB$91,MATCH($C77,'Total Customers'!$D$7:$D$91,0),MATCH($G77,'Total Customers'!$F$5:$AB$5,0)),"NA")</f>
        <v>332960</v>
      </c>
      <c r="BA77" s="119">
        <f t="shared" si="73"/>
        <v>1.9788451519674358E-2</v>
      </c>
      <c r="BB77" s="119"/>
      <c r="BC77" s="121"/>
      <c r="BD77" s="119"/>
      <c r="BE77" s="119"/>
      <c r="BF77" s="119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18"/>
      <c r="BR77" s="118"/>
      <c r="BS77" s="118">
        <f>INDEX('Dist. Plant Gas Additions'!$F$7:$AE$91,MATCH($C77,'Dist. Plant Gas Additions'!$D$7:$D$91,0),MATCH(Calculation!$G77,'Dist. Plant Gas Additions'!$F$5:$AE$5,0))</f>
        <v>70596</v>
      </c>
      <c r="BT77" s="118">
        <f>INDEX('Gen. Plant Additions'!$F$7:$AE$91,MATCH($C77,'Gen. Plant Additions'!$D$7:$D$91,0),MATCH(Calculation!$G77,'Gen. Plant Additions'!$F$5:$AE$5,0))</f>
        <v>3521</v>
      </c>
      <c r="BU77" s="118"/>
      <c r="BV77" s="118"/>
      <c r="BW77" s="118">
        <f>INDEX('Dist Plant Depreciation'!$E$7:$AD$94,MATCH($C77,'Dist Plant Depreciation'!$D$7:$D$94,0),MATCH(Calculation!$G77,'Dist Plant Depreciation'!$E$5:$AD$5,0))</f>
        <v>286927</v>
      </c>
      <c r="BX77" s="118">
        <f>INDEX('Gen. Plant Depreciation'!$E$7:$AD$94,MATCH($C77,'Gen. Plant Depreciation'!$D$7:$D$94,0),MATCH(Calculation!$G77,'Gen. Plant Depreciation'!$E$5:$AD$5,0))</f>
        <v>14289</v>
      </c>
      <c r="BY77" s="183">
        <v>1970</v>
      </c>
      <c r="BZ77" s="183">
        <f t="shared" si="66"/>
        <v>23</v>
      </c>
      <c r="CA77" s="178">
        <v>84.678235168060581</v>
      </c>
      <c r="CB77" s="184">
        <f t="shared" si="67"/>
        <v>1.7345399698340876E-2</v>
      </c>
      <c r="CC77" s="185">
        <f t="shared" si="68"/>
        <v>1.4687778347401157</v>
      </c>
      <c r="CD77" s="185"/>
      <c r="CE77" s="118">
        <f>INDEX('Gross Dx Plant'!$E$7:$AD$91,MATCH($C77,'Gross Dx Plant'!$D$7:$D$91,0),MATCH(Calculation!$G77,'Gross Dx Plant'!$E$5:$AD$5,0))</f>
        <v>878792</v>
      </c>
      <c r="CF77" s="118">
        <f>INDEX('Gross Gen Plant'!$E$7:$AD$91,MATCH($C77,'Gross Gen Plant'!$D$7:$D$91,0),MATCH(Calculation!$G77,'Gross Gen Plant'!$E$5:$AD$5,0))</f>
        <v>37036</v>
      </c>
      <c r="CG77" s="118">
        <f t="shared" si="7"/>
        <v>614612</v>
      </c>
      <c r="CH77" s="118"/>
      <c r="CI77" s="121">
        <v>2015</v>
      </c>
      <c r="CJ77" s="118"/>
      <c r="CK77" s="118"/>
      <c r="CL77" s="118"/>
      <c r="CM77" s="183"/>
      <c r="CN77" s="118">
        <f t="shared" si="75"/>
        <v>74117</v>
      </c>
      <c r="CO77" s="118">
        <f t="shared" si="76"/>
        <v>109.70307090801772</v>
      </c>
      <c r="CP77" s="186">
        <v>0.88888888888888884</v>
      </c>
      <c r="CQ77" s="118">
        <f>+CQ60*CP77+CO61*CP76+CO62*CP75+CO63*CP74+CO64*CP73+CO65*CP72+CO66*CP71+CO67*CP70+CO68*CP69+CO69*CP68+CO70*CP67+CO71*CP66+CO72*CP65+CO73*CP64+CO74*CP63+CO75*CP62+CO76*CP61+CO77</f>
        <v>2232.5362268898111</v>
      </c>
      <c r="CR77" s="119">
        <f t="shared" si="77"/>
        <v>4.2245464147649667E-2</v>
      </c>
      <c r="CS77" s="119"/>
      <c r="CT77" s="177">
        <f t="shared" si="78"/>
        <v>8.1081558389217243E-3</v>
      </c>
      <c r="CU77" s="177">
        <f t="shared" si="88"/>
        <v>7.8857714019027452E-3</v>
      </c>
      <c r="CV77" s="119">
        <f>VLOOKUP($H77,RoR!$E:$F,2,FALSE)</f>
        <v>3.8866666666666674E-2</v>
      </c>
      <c r="CW77" s="177">
        <v>9.5709475431029478E-3</v>
      </c>
      <c r="CX77" s="177">
        <f t="shared" si="86"/>
        <v>2.9295719123563727E-2</v>
      </c>
      <c r="CY77" s="177">
        <f t="shared" si="89"/>
        <v>2.3016170206630882E-2</v>
      </c>
      <c r="CZ77" s="177">
        <f t="shared" si="90"/>
        <v>3.5270373279175926E-3</v>
      </c>
      <c r="DA77" s="187">
        <f t="shared" si="79"/>
        <v>0.86875000000000002</v>
      </c>
      <c r="DB77" s="188">
        <f t="shared" si="80"/>
        <v>1.3194352816994324</v>
      </c>
      <c r="DC77" s="188">
        <f t="shared" si="81"/>
        <v>0.33177530017152673</v>
      </c>
      <c r="DD77" s="188">
        <f t="shared" si="82"/>
        <v>0.78242572977668579</v>
      </c>
      <c r="DE77" s="188">
        <f t="shared" si="83"/>
        <v>0.34251158643433932</v>
      </c>
      <c r="DF77" s="189">
        <f>INDEX('State Tax Lookup'!$D$7:$Z$91,MATCH(Calculation!$C77,'State Tax Lookup'!$B$7:$B$91,0),MATCH($H77,'State Tax Lookup'!$D$6:$Z$6,0))</f>
        <v>0.35</v>
      </c>
      <c r="DG77" s="189">
        <v>0.375</v>
      </c>
      <c r="DH77" s="190">
        <f t="shared" si="87"/>
        <v>20.778541104923317</v>
      </c>
      <c r="DI77" s="190">
        <v>20.434848294402851</v>
      </c>
      <c r="DJ77" s="177"/>
      <c r="DK77" s="189">
        <f>VLOOKUP($H77,RoR!$E:$F,2,FALSE)</f>
        <v>3.8866666666666674E-2</v>
      </c>
      <c r="DL77" s="191">
        <f>HLOOKUP($H77,'GDP-PI'!$D$8:$CQ$11,3,FALSE)</f>
        <v>9.5709475431029478E-3</v>
      </c>
      <c r="DM77" s="189">
        <f>VLOOKUP(H77,'HW Dx Data'!$E:$F,2,FALSE)</f>
        <v>675.61463308665782</v>
      </c>
      <c r="DN77" s="183">
        <f>VLOOKUP(H77,'ECI - Input Price'!$G$17:$H$37,2,FALSE)</f>
        <v>123.75</v>
      </c>
      <c r="DO77" s="177">
        <f t="shared" ref="DO77" si="138">LN(DN77/DN76)</f>
        <v>2.0821327813585516E-2</v>
      </c>
      <c r="DP77" s="183">
        <f>HLOOKUP(H77,'GDP-PI'!$8:$9,2,FALSE)</f>
        <v>104.639</v>
      </c>
      <c r="DQ77" s="177">
        <f t="shared" ref="DQ77" si="139">LN(DP77/DP76)</f>
        <v>9.5254361854427965E-3</v>
      </c>
      <c r="DR77" s="167">
        <v>109.54166666666667</v>
      </c>
      <c r="DS77" s="167">
        <v>3.3044243338360988</v>
      </c>
      <c r="DV77" s="192">
        <v>1.2659506868757461E-2</v>
      </c>
      <c r="DW77" s="192">
        <v>5.5E-2</v>
      </c>
      <c r="DX77" s="192">
        <f t="shared" si="116"/>
        <v>6.9627287778166035E-4</v>
      </c>
      <c r="DY77" s="192">
        <v>5.04E-2</v>
      </c>
      <c r="DZ77" s="192">
        <f t="shared" si="117"/>
        <v>6.3803914618537605E-4</v>
      </c>
      <c r="EA77" s="192">
        <v>4.8300000000000003E-2</v>
      </c>
      <c r="EB77" s="192">
        <f t="shared" si="118"/>
        <v>6.1145418176098538E-4</v>
      </c>
      <c r="EC77" s="192">
        <v>4.53E-2</v>
      </c>
      <c r="ED77" s="192">
        <f t="shared" si="119"/>
        <v>5.7347566115471295E-4</v>
      </c>
      <c r="EE77" s="192">
        <v>4.2099999999999999E-2</v>
      </c>
      <c r="EF77" s="192">
        <f t="shared" si="120"/>
        <v>5.329652391746891E-4</v>
      </c>
    </row>
    <row r="78" spans="1:136" s="167" customFormat="1" ht="21" x14ac:dyDescent="0.35">
      <c r="A78" s="167" t="s">
        <v>29</v>
      </c>
      <c r="B78" s="168" t="s">
        <v>29</v>
      </c>
      <c r="C78" s="168">
        <v>4057075</v>
      </c>
      <c r="D78" s="168" t="s">
        <v>133</v>
      </c>
      <c r="E78" s="168"/>
      <c r="F78" s="168"/>
      <c r="G78" s="168" t="s">
        <v>22</v>
      </c>
      <c r="H78" s="169">
        <v>2016</v>
      </c>
      <c r="I78" s="170"/>
      <c r="J78" s="166">
        <f>IFERROR(INDEX('Labor Expenditures'!$F$7:$X$91,MATCH($C78,'Labor Expenditures'!$D$7:$D$91,0),MATCH($G78,'Labor Expenditures'!$F$5:$X$5,0)),"NA")</f>
        <v>25904.354962581656</v>
      </c>
      <c r="K78" s="166">
        <f t="shared" si="93"/>
        <v>204.93951710903207</v>
      </c>
      <c r="L78" s="172">
        <f t="shared" si="100"/>
        <v>3.4468587853766837E-2</v>
      </c>
      <c r="M78" s="172">
        <f t="shared" si="104"/>
        <v>3.1605116490353996E-4</v>
      </c>
      <c r="N78" s="196"/>
      <c r="O78" s="172"/>
      <c r="P78" s="166">
        <f>IFERROR(INDEX('Non-Labor Expenditures'!$F$7:$AB$91,MATCH($C78,'Non-Labor Expenditures'!$D$7:$D$91,0),MATCH($G78,'Non-Labor Expenditures'!$F$5:$AB$5,0)),"NA")</f>
        <v>37514.344251937262</v>
      </c>
      <c r="Q78" s="166">
        <f t="shared" si="94"/>
        <v>354.79254229342195</v>
      </c>
      <c r="R78" s="172">
        <f t="shared" si="105"/>
        <v>4.5227577750519575E-2</v>
      </c>
      <c r="S78" s="172">
        <f t="shared" si="110"/>
        <v>4.1470305352979582E-4</v>
      </c>
      <c r="T78" s="172"/>
      <c r="U78" s="172"/>
      <c r="V78" s="166">
        <f t="shared" si="84"/>
        <v>45676.014486721506</v>
      </c>
      <c r="W78" s="170"/>
      <c r="X78" s="174">
        <v>2336.6911675467604</v>
      </c>
      <c r="Y78" s="175">
        <v>4.5597637034293287E-2</v>
      </c>
      <c r="Z78" s="175">
        <f t="shared" si="111"/>
        <v>4.1809622032317433E-4</v>
      </c>
      <c r="AA78" s="175"/>
      <c r="AB78" s="175"/>
      <c r="AC78" s="170">
        <f t="shared" si="85"/>
        <v>109094.71370124043</v>
      </c>
      <c r="AD78" s="175">
        <f t="shared" si="106"/>
        <v>4.3456264607387371E-2</v>
      </c>
      <c r="AE78" s="170"/>
      <c r="AF78" s="170"/>
      <c r="AG78" s="121">
        <f t="shared" si="107"/>
        <v>324.48674091033325</v>
      </c>
      <c r="AH78" s="119">
        <f>+AZ78/$BB$54</f>
        <v>9.0234629968981E-3</v>
      </c>
      <c r="AI78" s="119"/>
      <c r="AJ78" s="176">
        <f t="shared" si="112"/>
        <v>2.927994099588453</v>
      </c>
      <c r="AK78" s="176">
        <f t="shared" si="113"/>
        <v>0</v>
      </c>
      <c r="AL78" s="120">
        <f t="shared" si="95"/>
        <v>0.23744830600611511</v>
      </c>
      <c r="AM78" s="120">
        <f t="shared" si="96"/>
        <v>0.34386949632290675</v>
      </c>
      <c r="AN78" s="120">
        <f t="shared" si="97"/>
        <v>0.41868219767097808</v>
      </c>
      <c r="AO78" s="120">
        <f t="shared" si="101"/>
        <v>4.2844604902526992E-2</v>
      </c>
      <c r="AP78" s="173">
        <f t="shared" si="124"/>
        <v>136.35947558589098</v>
      </c>
      <c r="AQ78" s="175">
        <f t="shared" si="125"/>
        <v>4.2844604902526943E-2</v>
      </c>
      <c r="AR78" s="177">
        <f>+AC78/$AE$54</f>
        <v>9.1692519068198759E-3</v>
      </c>
      <c r="AS78" s="177">
        <f t="shared" si="121"/>
        <v>3.9285297519943939E-4</v>
      </c>
      <c r="AT78" s="177"/>
      <c r="AU78" s="177"/>
      <c r="AV78" s="177"/>
      <c r="AW78" s="190"/>
      <c r="AX78" s="120"/>
      <c r="AY78" s="120"/>
      <c r="AZ78" s="118">
        <f>IFERROR(INDEX('Total Customers'!$F$7:$AB$91,MATCH($C78,'Total Customers'!$D$7:$D$91,0),MATCH($G78,'Total Customers'!$F$5:$AB$5,0)),"NA")</f>
        <v>336207</v>
      </c>
      <c r="BA78" s="119">
        <f t="shared" si="73"/>
        <v>9.7046790523548122E-3</v>
      </c>
      <c r="BB78" s="119"/>
      <c r="BC78" s="121"/>
      <c r="BD78" s="119"/>
      <c r="BE78" s="119"/>
      <c r="BF78" s="119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  <c r="BQ78" s="118"/>
      <c r="BR78" s="118"/>
      <c r="BS78" s="118">
        <f>INDEX('Dist. Plant Gas Additions'!$F$7:$AE$91,MATCH($C78,'Dist. Plant Gas Additions'!$D$7:$D$91,0),MATCH(Calculation!$G78,'Dist. Plant Gas Additions'!$F$5:$AE$5,0))</f>
        <v>78774</v>
      </c>
      <c r="BT78" s="118">
        <f>INDEX('Gen. Plant Additions'!$F$7:$AE$91,MATCH($C78,'Gen. Plant Additions'!$D$7:$D$91,0),MATCH(Calculation!$G78,'Gen. Plant Additions'!$F$5:$AE$5,0))</f>
        <v>3621</v>
      </c>
      <c r="BU78" s="118"/>
      <c r="BV78" s="118"/>
      <c r="BW78" s="118">
        <f>INDEX('Dist Plant Depreciation'!$E$7:$AD$94,MATCH($C78,'Dist Plant Depreciation'!$D$7:$D$94,0),MATCH(Calculation!$G78,'Dist Plant Depreciation'!$E$5:$AD$5,0))</f>
        <v>304046</v>
      </c>
      <c r="BX78" s="118">
        <f>INDEX('Gen. Plant Depreciation'!$E$7:$AD$94,MATCH($C78,'Gen. Plant Depreciation'!$D$7:$D$94,0),MATCH(Calculation!$G78,'Gen. Plant Depreciation'!$E$5:$AD$5,0))</f>
        <v>16127</v>
      </c>
      <c r="BY78" s="183">
        <v>1971</v>
      </c>
      <c r="BZ78" s="183">
        <f t="shared" si="66"/>
        <v>24</v>
      </c>
      <c r="CA78" s="178">
        <v>91.039941415400349</v>
      </c>
      <c r="CB78" s="184">
        <f t="shared" si="67"/>
        <v>1.8099547511312219E-2</v>
      </c>
      <c r="CC78" s="185">
        <f t="shared" si="68"/>
        <v>1.6477817450751195</v>
      </c>
      <c r="CD78" s="185"/>
      <c r="CE78" s="118">
        <f>INDEX('Gross Dx Plant'!$E$7:$AD$91,MATCH($C78,'Gross Dx Plant'!$D$7:$D$91,0),MATCH(Calculation!$G78,'Gross Dx Plant'!$E$5:$AD$5,0))</f>
        <v>954102</v>
      </c>
      <c r="CF78" s="118">
        <f>INDEX('Gross Gen Plant'!$E$7:$AD$91,MATCH($C78,'Gross Gen Plant'!$D$7:$D$91,0),MATCH(Calculation!$G78,'Gross Gen Plant'!$E$5:$AD$5,0))</f>
        <v>39141</v>
      </c>
      <c r="CG78" s="118">
        <f t="shared" si="7"/>
        <v>673070</v>
      </c>
      <c r="CH78" s="118"/>
      <c r="CI78" s="121">
        <v>2016</v>
      </c>
      <c r="CJ78" s="118"/>
      <c r="CK78" s="118"/>
      <c r="CL78" s="118"/>
      <c r="CM78" s="183"/>
      <c r="CN78" s="118">
        <f t="shared" si="75"/>
        <v>82395</v>
      </c>
      <c r="CO78" s="118">
        <f t="shared" si="76"/>
        <v>122.71087259497426</v>
      </c>
      <c r="CP78" s="186">
        <v>0.88</v>
      </c>
      <c r="CQ78" s="118">
        <f>+CQ60*CP78+CO61*CP77+CO62*CP76+CO63*CP75+CO64*CP74+CO65*CP73+CO66*CP72+CO67*CP71+CO68*CP70+CO69*CP69+CO70*CP68+CO71*CP67+CO72*CP66+CO73*CP65+CO74*CP64+CO75*CP63+CO76*CP62+CO77*CP61+CO78</f>
        <v>2336.6911675467604</v>
      </c>
      <c r="CR78" s="119">
        <f t="shared" si="77"/>
        <v>4.5597637034293287E-2</v>
      </c>
      <c r="CS78" s="119"/>
      <c r="CT78" s="177">
        <f t="shared" si="78"/>
        <v>8.3115927591802582E-3</v>
      </c>
      <c r="CU78" s="177">
        <f t="shared" si="88"/>
        <v>8.0978682299670968E-3</v>
      </c>
      <c r="CV78" s="119">
        <f>VLOOKUP($H78,RoR!$E:$F,2,FALSE)</f>
        <v>3.6658333333333334E-2</v>
      </c>
      <c r="CW78" s="177">
        <v>1.0483662879041455E-2</v>
      </c>
      <c r="CX78" s="177">
        <f t="shared" si="86"/>
        <v>2.6174670454291879E-2</v>
      </c>
      <c r="CY78" s="177">
        <f t="shared" si="89"/>
        <v>2.2804073378566526E-2</v>
      </c>
      <c r="CZ78" s="177">
        <f t="shared" si="90"/>
        <v>4.301363574220729E-3</v>
      </c>
      <c r="DA78" s="187">
        <f t="shared" si="79"/>
        <v>0.86875000000000002</v>
      </c>
      <c r="DB78" s="188">
        <f t="shared" si="80"/>
        <v>1.3989193348138562</v>
      </c>
      <c r="DC78" s="188">
        <f t="shared" si="81"/>
        <v>0.29302682427824522</v>
      </c>
      <c r="DD78" s="188">
        <f t="shared" si="82"/>
        <v>0.76309497491941802</v>
      </c>
      <c r="DE78" s="188">
        <f t="shared" si="83"/>
        <v>0.31280857135128509</v>
      </c>
      <c r="DF78" s="189">
        <f>INDEX('State Tax Lookup'!$D$7:$Z$91,MATCH(Calculation!$C78,'State Tax Lookup'!$B$7:$B$91,0),MATCH($H78,'State Tax Lookup'!$D$6:$Z$6,0))</f>
        <v>0.35</v>
      </c>
      <c r="DG78" s="189">
        <v>0.375</v>
      </c>
      <c r="DH78" s="190">
        <f t="shared" si="87"/>
        <v>20.459248963835911</v>
      </c>
      <c r="DI78" s="190">
        <v>20.102471201432877</v>
      </c>
      <c r="DJ78" s="177"/>
      <c r="DK78" s="189">
        <f>VLOOKUP($H78,RoR!$E:$F,2,FALSE)</f>
        <v>3.6658333333333334E-2</v>
      </c>
      <c r="DL78" s="191">
        <f>HLOOKUP($H78,'GDP-PI'!$D$8:$CQ$11,3,FALSE)</f>
        <v>1.0483662879041455E-2</v>
      </c>
      <c r="DM78" s="189">
        <f>VLOOKUP(H78,'HW Dx Data'!$E:$F,2,FALSE)</f>
        <v>671.45639385971219</v>
      </c>
      <c r="DN78" s="183">
        <f>VLOOKUP(H78,'ECI - Input Price'!$G$17:$H$37,2,FALSE)</f>
        <v>126.4</v>
      </c>
      <c r="DO78" s="177">
        <f t="shared" ref="DO78" si="140">LN(DN78/DN77)</f>
        <v>2.11880802639575E-2</v>
      </c>
      <c r="DP78" s="183">
        <f>HLOOKUP(H78,'GDP-PI'!$8:$9,2,FALSE)</f>
        <v>105.736</v>
      </c>
      <c r="DQ78" s="177">
        <f t="shared" ref="DQ78" si="141">LN(DP78/DP77)</f>
        <v>1.0429090367205095E-2</v>
      </c>
      <c r="DR78" s="167">
        <v>115.65833333333333</v>
      </c>
      <c r="DS78" s="167">
        <v>3.5761626445449974</v>
      </c>
      <c r="DV78" s="192">
        <v>0.10771265695923289</v>
      </c>
      <c r="DW78" s="192">
        <v>3.3500000000000002E-2</v>
      </c>
      <c r="DX78" s="192">
        <f t="shared" si="116"/>
        <v>3.608374008134302E-3</v>
      </c>
      <c r="DY78" s="192">
        <v>2.6800000000000001E-2</v>
      </c>
      <c r="DZ78" s="192">
        <f t="shared" si="117"/>
        <v>2.8866992065074417E-3</v>
      </c>
      <c r="EA78" s="192">
        <v>2.3800000000000002E-2</v>
      </c>
      <c r="EB78" s="192">
        <f t="shared" si="118"/>
        <v>2.5635612356297429E-3</v>
      </c>
      <c r="EC78" s="192">
        <v>1.9199999999999998E-2</v>
      </c>
      <c r="ED78" s="192">
        <f t="shared" si="119"/>
        <v>2.0680830136172714E-3</v>
      </c>
      <c r="EE78" s="192">
        <v>1.4200000000000001E-2</v>
      </c>
      <c r="EF78" s="192">
        <f t="shared" si="120"/>
        <v>1.5295197288211072E-3</v>
      </c>
    </row>
    <row r="79" spans="1:136" s="167" customFormat="1" ht="21" x14ac:dyDescent="0.35">
      <c r="A79" s="167" t="s">
        <v>29</v>
      </c>
      <c r="B79" s="168" t="s">
        <v>29</v>
      </c>
      <c r="C79" s="168">
        <v>4057075</v>
      </c>
      <c r="D79" s="168" t="s">
        <v>133</v>
      </c>
      <c r="E79" s="168"/>
      <c r="F79" s="168"/>
      <c r="G79" s="168" t="s">
        <v>23</v>
      </c>
      <c r="H79" s="169">
        <v>2017</v>
      </c>
      <c r="I79" s="170"/>
      <c r="J79" s="166">
        <f>IFERROR(INDEX('Labor Expenditures'!$F$7:$X$91,MATCH($C79,'Labor Expenditures'!$D$7:$D$91,0),MATCH($G79,'Labor Expenditures'!$F$5:$X$5,0)),"NA")</f>
        <v>25770.019486053014</v>
      </c>
      <c r="K79" s="166">
        <f t="shared" si="93"/>
        <v>198.99628946759083</v>
      </c>
      <c r="L79" s="172">
        <f t="shared" si="100"/>
        <v>-2.9428718454310769E-2</v>
      </c>
      <c r="M79" s="172">
        <f t="shared" si="104"/>
        <v>-2.6556691194225133E-4</v>
      </c>
      <c r="N79" s="196"/>
      <c r="O79" s="172"/>
      <c r="P79" s="166">
        <f>IFERROR(INDEX('Non-Labor Expenditures'!$F$7:$AB$91,MATCH($C79,'Non-Labor Expenditures'!$D$7:$D$91,0),MATCH($G79,'Non-Labor Expenditures'!$F$5:$AB$5,0)),"NA")</f>
        <v>37319.801391517729</v>
      </c>
      <c r="Q79" s="166">
        <f t="shared" si="94"/>
        <v>346.35225094447128</v>
      </c>
      <c r="R79" s="172">
        <f t="shared" si="105"/>
        <v>-2.4076907255220711E-2</v>
      </c>
      <c r="S79" s="172">
        <f t="shared" si="110"/>
        <v>-2.1727177548746919E-4</v>
      </c>
      <c r="T79" s="172"/>
      <c r="U79" s="172"/>
      <c r="V79" s="166">
        <f t="shared" si="84"/>
        <v>43821.727783793438</v>
      </c>
      <c r="W79" s="170"/>
      <c r="X79" s="174">
        <v>2440.5317520065187</v>
      </c>
      <c r="Y79" s="175">
        <v>4.348004899031882E-2</v>
      </c>
      <c r="Z79" s="175">
        <f t="shared" si="111"/>
        <v>3.9236714841605236E-4</v>
      </c>
      <c r="AA79" s="175"/>
      <c r="AB79" s="175"/>
      <c r="AC79" s="170">
        <f t="shared" si="85"/>
        <v>106911.54866136418</v>
      </c>
      <c r="AD79" s="175">
        <f t="shared" si="106"/>
        <v>-2.0214593388904193E-2</v>
      </c>
      <c r="AE79" s="170"/>
      <c r="AF79" s="170"/>
      <c r="AG79" s="121">
        <f t="shared" si="107"/>
        <v>311.67912080813306</v>
      </c>
      <c r="AH79" s="119">
        <f>+AZ79/$BB$55</f>
        <v>9.1370946255565147E-3</v>
      </c>
      <c r="AI79" s="119"/>
      <c r="AJ79" s="176">
        <f t="shared" si="112"/>
        <v>2.8478416196341723</v>
      </c>
      <c r="AK79" s="176">
        <f t="shared" si="113"/>
        <v>0</v>
      </c>
      <c r="AL79" s="120">
        <f t="shared" si="95"/>
        <v>0.24104055931018248</v>
      </c>
      <c r="AM79" s="120">
        <f t="shared" si="96"/>
        <v>0.3490717500475643</v>
      </c>
      <c r="AN79" s="120">
        <f t="shared" si="97"/>
        <v>0.40988769064225317</v>
      </c>
      <c r="AO79" s="120">
        <f t="shared" si="101"/>
        <v>2.6305315563337345E-3</v>
      </c>
      <c r="AP79" s="173">
        <f t="shared" si="124"/>
        <v>136.71864568645429</v>
      </c>
      <c r="AQ79" s="175">
        <f t="shared" si="125"/>
        <v>2.6305315563338099E-3</v>
      </c>
      <c r="AR79" s="177">
        <f>+AC79/$AE$55</f>
        <v>9.024073282516679E-3</v>
      </c>
      <c r="AS79" s="177">
        <f t="shared" si="121"/>
        <v>2.3738109536328953E-5</v>
      </c>
      <c r="AT79" s="177"/>
      <c r="AU79" s="177"/>
      <c r="AV79" s="177"/>
      <c r="AW79" s="190"/>
      <c r="AX79" s="120"/>
      <c r="AY79" s="120"/>
      <c r="AZ79" s="118">
        <f>IFERROR(INDEX('Total Customers'!$F$7:$AB$91,MATCH($C79,'Total Customers'!$D$7:$D$91,0),MATCH($G79,'Total Customers'!$F$5:$AB$5,0)),"NA")</f>
        <v>343018</v>
      </c>
      <c r="BA79" s="119">
        <f t="shared" si="73"/>
        <v>2.0055882225442353E-2</v>
      </c>
      <c r="BB79" s="119"/>
      <c r="BC79" s="121"/>
      <c r="BD79" s="119"/>
      <c r="BE79" s="119"/>
      <c r="BF79" s="119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18"/>
      <c r="BR79" s="118"/>
      <c r="BS79" s="118">
        <f>INDEX('Dist. Plant Gas Additions'!$F$7:$AE$91,MATCH($C79,'Dist. Plant Gas Additions'!$D$7:$D$91,0),MATCH(Calculation!$G79,'Dist. Plant Gas Additions'!$F$5:$AE$5,0))</f>
        <v>82850</v>
      </c>
      <c r="BT79" s="118">
        <f>INDEX('Gen. Plant Additions'!$F$7:$AE$91,MATCH($C79,'Gen. Plant Additions'!$D$7:$D$91,0),MATCH(Calculation!$G79,'Gen. Plant Additions'!$F$5:$AE$5,0))</f>
        <v>5291</v>
      </c>
      <c r="BU79" s="118"/>
      <c r="BV79" s="118"/>
      <c r="BW79" s="118">
        <f>INDEX('Dist Plant Depreciation'!$E$7:$AD$94,MATCH($C79,'Dist Plant Depreciation'!$D$7:$D$94,0),MATCH(Calculation!$G79,'Dist Plant Depreciation'!$E$5:$AD$5,0))</f>
        <v>321664</v>
      </c>
      <c r="BX79" s="118">
        <f>INDEX('Gen. Plant Depreciation'!$E$7:$AD$94,MATCH($C79,'Gen. Plant Depreciation'!$D$7:$D$94,0),MATCH(Calculation!$G79,'Gen. Plant Depreciation'!$E$5:$AD$5,0))</f>
        <v>18547</v>
      </c>
      <c r="BY79" s="183">
        <v>1972</v>
      </c>
      <c r="BZ79" s="183">
        <f t="shared" si="66"/>
        <v>25</v>
      </c>
      <c r="CA79" s="178">
        <v>96.33912828828781</v>
      </c>
      <c r="CB79" s="184">
        <f t="shared" si="67"/>
        <v>1.8853695324283559E-2</v>
      </c>
      <c r="CC79" s="185">
        <f t="shared" si="68"/>
        <v>1.8163485725544457</v>
      </c>
      <c r="CD79" s="185"/>
      <c r="CE79" s="118">
        <f>INDEX('Gross Dx Plant'!$E$7:$AD$91,MATCH($C79,'Gross Dx Plant'!$D$7:$D$91,0),MATCH(Calculation!$G79,'Gross Dx Plant'!$E$5:$AD$5,0))</f>
        <v>1032674</v>
      </c>
      <c r="CF79" s="118">
        <f>INDEX('Gross Gen Plant'!$E$7:$AD$91,MATCH($C79,'Gross Gen Plant'!$D$7:$D$91,0),MATCH(Calculation!$G79,'Gross Gen Plant'!$E$5:$AD$5,0))</f>
        <v>43949</v>
      </c>
      <c r="CG79" s="118">
        <f t="shared" si="7"/>
        <v>736412</v>
      </c>
      <c r="CH79" s="118"/>
      <c r="CI79" s="121">
        <v>2017</v>
      </c>
      <c r="CJ79" s="118"/>
      <c r="CK79" s="118"/>
      <c r="CL79" s="118"/>
      <c r="CM79" s="183"/>
      <c r="CN79" s="118">
        <f t="shared" si="75"/>
        <v>88141</v>
      </c>
      <c r="CO79" s="118">
        <f t="shared" si="76"/>
        <v>123.71906744947717</v>
      </c>
      <c r="CP79" s="186">
        <v>0.87074829931972786</v>
      </c>
      <c r="CQ79" s="118">
        <f>+CQ60*CP79+CO61*CP78+CO62*CP77+CO63*CP76+CO64*CP75+CO65*CP74+CO66*CP73+CO67*CP72+CO68*CP71+CO69*CP70+CO70*CP69+CO71*CP68+CO72*CP67+CO73*CP66+CO74*CP65+CO75*CP64+CO76*CP63+CO77*CP62+CO78*CP61+CO79</f>
        <v>2440.5317520065187</v>
      </c>
      <c r="CR79" s="119">
        <f t="shared" si="77"/>
        <v>4.348004899031882E-2</v>
      </c>
      <c r="CS79" s="119"/>
      <c r="CT79" s="177">
        <f t="shared" si="78"/>
        <v>8.5071075141645233E-3</v>
      </c>
      <c r="CU79" s="177">
        <f t="shared" si="88"/>
        <v>8.3089520374221692E-3</v>
      </c>
      <c r="CV79" s="119">
        <f>VLOOKUP($H79,RoR!$E:$F,2,FALSE)</f>
        <v>3.7433333333333339E-2</v>
      </c>
      <c r="CW79" s="177">
        <v>1.9056896421275615E-2</v>
      </c>
      <c r="CX79" s="177">
        <f t="shared" si="86"/>
        <v>1.8376436912057724E-2</v>
      </c>
      <c r="CY79" s="177">
        <f t="shared" si="89"/>
        <v>2.2592989571111458E-2</v>
      </c>
      <c r="CZ79" s="177">
        <f t="shared" si="90"/>
        <v>1.3976271617800498E-2</v>
      </c>
      <c r="DA79" s="187">
        <f t="shared" si="79"/>
        <v>0.92125000000000001</v>
      </c>
      <c r="DB79" s="188">
        <f t="shared" si="80"/>
        <v>1.3699568463593395</v>
      </c>
      <c r="DC79" s="188">
        <f t="shared" si="81"/>
        <v>0.30714603739982199</v>
      </c>
      <c r="DD79" s="188">
        <f t="shared" si="82"/>
        <v>0.77007188472689425</v>
      </c>
      <c r="DE79" s="188">
        <f t="shared" si="83"/>
        <v>0.32402839633793828</v>
      </c>
      <c r="DF79" s="189">
        <f>INDEX('State Tax Lookup'!$D$7:$Z$91,MATCH(Calculation!$C79,'State Tax Lookup'!$B$7:$B$91,0),MATCH($H79,'State Tax Lookup'!$D$6:$Z$6,0))</f>
        <v>0.20999999999999996</v>
      </c>
      <c r="DG79" s="189">
        <v>0.375</v>
      </c>
      <c r="DH79" s="190">
        <f t="shared" si="87"/>
        <v>18.753752482319214</v>
      </c>
      <c r="DI79" s="190">
        <v>18.471178407348972</v>
      </c>
      <c r="DJ79" s="177"/>
      <c r="DK79" s="189">
        <f>VLOOKUP($H79,RoR!$E:$F,2,FALSE)</f>
        <v>3.7433333333333339E-2</v>
      </c>
      <c r="DL79" s="191">
        <f>HLOOKUP($H79,'GDP-PI'!$D$8:$CQ$11,3,FALSE)</f>
        <v>1.9056896421275615E-2</v>
      </c>
      <c r="DM79" s="189">
        <f>VLOOKUP(H79,'HW Dx Data'!$E:$F,2,FALSE)</f>
        <v>712.42858370229726</v>
      </c>
      <c r="DN79" s="183">
        <f>VLOOKUP(H79,'ECI - Input Price'!$G$17:$H$37,2,FALSE)</f>
        <v>129.5</v>
      </c>
      <c r="DO79" s="177">
        <f t="shared" ref="DO79" si="142">LN(DN79/DN78)</f>
        <v>2.4229399426835413E-2</v>
      </c>
      <c r="DP79" s="183">
        <f>HLOOKUP(H79,'GDP-PI'!$8:$9,2,FALSE)</f>
        <v>107.751</v>
      </c>
      <c r="DQ79" s="177">
        <f t="shared" ref="DQ79" si="143">LN(DP79/DP78)</f>
        <v>1.8877588227745139E-2</v>
      </c>
      <c r="DR79" s="167">
        <v>119.47499999999999</v>
      </c>
      <c r="DS79" s="167">
        <v>3.7842760180995469</v>
      </c>
      <c r="DV79" s="192">
        <v>7.0758479803815387E-3</v>
      </c>
      <c r="DW79" s="192">
        <v>3.1E-2</v>
      </c>
      <c r="DX79" s="192">
        <f t="shared" si="116"/>
        <v>2.1935128739182771E-4</v>
      </c>
      <c r="DY79" s="192">
        <v>2.4E-2</v>
      </c>
      <c r="DZ79" s="192">
        <f t="shared" si="117"/>
        <v>1.6982035152915694E-4</v>
      </c>
      <c r="EA79" s="192">
        <v>2.0899999999999998E-2</v>
      </c>
      <c r="EB79" s="192">
        <f t="shared" si="118"/>
        <v>1.4788522278997416E-4</v>
      </c>
      <c r="EC79" s="192">
        <v>1.6E-2</v>
      </c>
      <c r="ED79" s="192">
        <f t="shared" si="119"/>
        <v>1.1321356768610461E-4</v>
      </c>
      <c r="EE79" s="192">
        <v>1.06E-2</v>
      </c>
      <c r="EF79" s="192">
        <f t="shared" si="120"/>
        <v>7.5003988592044313E-5</v>
      </c>
    </row>
    <row r="80" spans="1:136" s="167" customFormat="1" ht="21" x14ac:dyDescent="0.35">
      <c r="A80" s="167" t="s">
        <v>29</v>
      </c>
      <c r="B80" s="168" t="s">
        <v>29</v>
      </c>
      <c r="C80" s="168">
        <v>4057075</v>
      </c>
      <c r="D80" s="168" t="s">
        <v>133</v>
      </c>
      <c r="E80" s="168"/>
      <c r="F80" s="168"/>
      <c r="G80" s="168" t="s">
        <v>24</v>
      </c>
      <c r="H80" s="169">
        <v>2018</v>
      </c>
      <c r="I80" s="170"/>
      <c r="J80" s="166">
        <f>IFERROR(INDEX('Labor Expenditures'!$F$7:$X$91,MATCH($C80,'Labor Expenditures'!$D$7:$D$91,0),MATCH($G80,'Labor Expenditures'!$F$5:$X$5,0)),"NA")</f>
        <v>26872.00507433536</v>
      </c>
      <c r="K80" s="166">
        <f t="shared" si="93"/>
        <v>201.6660793571134</v>
      </c>
      <c r="L80" s="172">
        <f t="shared" si="100"/>
        <v>1.3327078420562384E-2</v>
      </c>
      <c r="M80" s="172">
        <f t="shared" si="104"/>
        <v>1.1773088461946538E-4</v>
      </c>
      <c r="N80" s="196"/>
      <c r="O80" s="172"/>
      <c r="P80" s="166">
        <f>IFERROR(INDEX('Non-Labor Expenditures'!$F$7:$AB$91,MATCH($C80,'Non-Labor Expenditures'!$D$7:$D$91,0),MATCH($G80,'Non-Labor Expenditures'!$F$5:$AB$5,0)),"NA")</f>
        <v>38915.682345867404</v>
      </c>
      <c r="Q80" s="166">
        <f t="shared" si="94"/>
        <v>352.74634565968171</v>
      </c>
      <c r="R80" s="172">
        <f t="shared" si="105"/>
        <v>1.8292907610415153E-2</v>
      </c>
      <c r="S80" s="172">
        <f t="shared" si="110"/>
        <v>1.6159882363365324E-4</v>
      </c>
      <c r="T80" s="172"/>
      <c r="U80" s="172"/>
      <c r="V80" s="166">
        <f t="shared" si="84"/>
        <v>48012.120907766679</v>
      </c>
      <c r="W80" s="170"/>
      <c r="X80" s="174">
        <v>2574.0105407440492</v>
      </c>
      <c r="Y80" s="175">
        <v>5.324925753692876E-2</v>
      </c>
      <c r="Z80" s="175">
        <f t="shared" si="111"/>
        <v>4.7040183882161103E-4</v>
      </c>
      <c r="AA80" s="175"/>
      <c r="AB80" s="175"/>
      <c r="AC80" s="170">
        <f t="shared" si="85"/>
        <v>113799.80832796945</v>
      </c>
      <c r="AD80" s="175">
        <f t="shared" si="106"/>
        <v>6.2438992826937399E-2</v>
      </c>
      <c r="AE80" s="170"/>
      <c r="AF80" s="170"/>
      <c r="AG80" s="121">
        <f t="shared" si="107"/>
        <v>324.46186662248158</v>
      </c>
      <c r="AH80" s="119">
        <f>+AZ80/$BB$56</f>
        <v>9.261475894797087E-3</v>
      </c>
      <c r="AI80" s="119"/>
      <c r="AJ80" s="176">
        <f t="shared" si="112"/>
        <v>3.0049957565049805</v>
      </c>
      <c r="AK80" s="176">
        <f t="shared" si="113"/>
        <v>0</v>
      </c>
      <c r="AL80" s="120">
        <f t="shared" si="95"/>
        <v>0.23613400997030345</v>
      </c>
      <c r="AM80" s="120">
        <f t="shared" si="96"/>
        <v>0.34196615018641291</v>
      </c>
      <c r="AN80" s="120">
        <f t="shared" si="97"/>
        <v>0.42189983984328355</v>
      </c>
      <c r="AO80" s="120">
        <f t="shared" si="101"/>
        <v>3.1646251898102433E-2</v>
      </c>
      <c r="AP80" s="173">
        <f t="shared" si="124"/>
        <v>141.11446716754884</v>
      </c>
      <c r="AQ80" s="175">
        <f t="shared" si="125"/>
        <v>3.1646251898102419E-2</v>
      </c>
      <c r="AR80" s="177">
        <f>+AC80/$AE$56</f>
        <v>8.833960520395685E-3</v>
      </c>
      <c r="AS80" s="177">
        <f t="shared" si="121"/>
        <v>2.7956173988633379E-4</v>
      </c>
      <c r="AT80" s="177"/>
      <c r="AU80" s="177"/>
      <c r="AV80" s="177"/>
      <c r="AW80" s="190"/>
      <c r="AX80" s="120"/>
      <c r="AY80" s="120"/>
      <c r="AZ80" s="118">
        <f>IFERROR(INDEX('Total Customers'!$F$7:$AB$91,MATCH($C80,'Total Customers'!$D$7:$D$91,0),MATCH($G80,'Total Customers'!$F$5:$AB$5,0)),"NA")</f>
        <v>350734</v>
      </c>
      <c r="BA80" s="119">
        <f t="shared" si="73"/>
        <v>2.2245177482988501E-2</v>
      </c>
      <c r="BB80" s="119"/>
      <c r="BC80" s="121"/>
      <c r="BD80" s="119"/>
      <c r="BE80" s="119"/>
      <c r="BF80" s="119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18"/>
      <c r="BR80" s="118"/>
      <c r="BS80" s="118">
        <f>INDEX('Dist. Plant Gas Additions'!$F$7:$AE$91,MATCH($C80,'Dist. Plant Gas Additions'!$D$7:$D$91,0),MATCH(Calculation!$G80,'Dist. Plant Gas Additions'!$F$5:$AE$5,0))</f>
        <v>96973</v>
      </c>
      <c r="BT80" s="118">
        <f>INDEX('Gen. Plant Additions'!$F$7:$AE$91,MATCH($C80,'Gen. Plant Additions'!$D$7:$D$91,0),MATCH(Calculation!$G80,'Gen. Plant Additions'!$F$5:$AE$5,0))</f>
        <v>19881</v>
      </c>
      <c r="BU80" s="118"/>
      <c r="BV80" s="118"/>
      <c r="BW80" s="118">
        <f>INDEX('Dist Plant Depreciation'!$E$7:$AD$94,MATCH($C80,'Dist Plant Depreciation'!$D$7:$D$94,0),MATCH(Calculation!$G80,'Dist Plant Depreciation'!$E$5:$AD$5,0))</f>
        <v>340260</v>
      </c>
      <c r="BX80" s="118">
        <f>INDEX('Gen. Plant Depreciation'!$E$7:$AD$94,MATCH($C80,'Gen. Plant Depreciation'!$D$7:$D$94,0),MATCH(Calculation!$G80,'Gen. Plant Depreciation'!$E$5:$AD$5,0))</f>
        <v>19909</v>
      </c>
      <c r="BY80" s="183">
        <v>1973</v>
      </c>
      <c r="BZ80" s="183">
        <f t="shared" si="66"/>
        <v>26</v>
      </c>
      <c r="CA80" s="178">
        <v>100</v>
      </c>
      <c r="CB80" s="184">
        <f t="shared" si="67"/>
        <v>1.9607843137254902E-2</v>
      </c>
      <c r="CC80" s="185">
        <f t="shared" si="68"/>
        <v>1.9607843137254901</v>
      </c>
      <c r="CD80" s="185"/>
      <c r="CE80" s="118">
        <f>INDEX('Gross Dx Plant'!$E$7:$AD$91,MATCH($C80,'Gross Dx Plant'!$D$7:$D$91,0),MATCH(Calculation!$G80,'Gross Dx Plant'!$E$5:$AD$5,0))</f>
        <v>1124838</v>
      </c>
      <c r="CF80" s="118">
        <f>INDEX('Gross Gen Plant'!$E$7:$AD$91,MATCH($C80,'Gross Gen Plant'!$D$7:$D$91,0),MATCH(Calculation!$G80,'Gross Gen Plant'!$E$5:$AD$5,0))</f>
        <v>61968</v>
      </c>
      <c r="CG80" s="118">
        <f t="shared" si="7"/>
        <v>826637</v>
      </c>
      <c r="CH80" s="118"/>
      <c r="CI80" s="121">
        <v>2018</v>
      </c>
      <c r="CJ80" s="118"/>
      <c r="CK80" s="118"/>
      <c r="CL80" s="118"/>
      <c r="CM80" s="183"/>
      <c r="CN80" s="118">
        <f t="shared" si="75"/>
        <v>116854</v>
      </c>
      <c r="CO80" s="118">
        <f t="shared" si="76"/>
        <v>154.74548883755634</v>
      </c>
      <c r="CP80" s="186">
        <v>0.86111111111111116</v>
      </c>
      <c r="CQ80" s="118">
        <f>+CQ60*CP80++CO61*CP79+CO62*CP78+CO63*CP77+CO64*CP76+CO65*CP75+CO66*CP74+CO67*CP73+CO68*CP72+CO69*CP71+CO70*CP70+CO71*CP69+CO72*CP68+CO73*CP67+CO74*CP66+CO75*CP65+CO76*CP64+CO77*CP63+CO78*CP62+CO79*CP61+CO80</f>
        <v>2574.0105407440492</v>
      </c>
      <c r="CR80" s="119">
        <f t="shared" si="77"/>
        <v>5.324925753692876E-2</v>
      </c>
      <c r="CS80" s="119"/>
      <c r="CT80" s="177">
        <f t="shared" si="78"/>
        <v>8.7139616530459343E-3</v>
      </c>
      <c r="CU80" s="177">
        <f t="shared" si="88"/>
        <v>8.5108873087969064E-3</v>
      </c>
      <c r="CV80" s="119">
        <f>VLOOKUP($H80,RoR!$E:$F,2,FALSE)</f>
        <v>3.9299999999999995E-2</v>
      </c>
      <c r="CW80" s="177">
        <v>2.386056741932796E-2</v>
      </c>
      <c r="CX80" s="177">
        <f t="shared" si="86"/>
        <v>1.5439432580672034E-2</v>
      </c>
      <c r="CY80" s="177">
        <f t="shared" si="89"/>
        <v>2.2391054299736719E-2</v>
      </c>
      <c r="CZ80" s="177">
        <f t="shared" si="90"/>
        <v>3.8270792163076606E-2</v>
      </c>
      <c r="DA80" s="187">
        <f t="shared" si="79"/>
        <v>0.92125000000000001</v>
      </c>
      <c r="DB80" s="188">
        <f t="shared" si="80"/>
        <v>1.3048868010700074</v>
      </c>
      <c r="DC80" s="188">
        <f t="shared" si="81"/>
        <v>0.33886768447837151</v>
      </c>
      <c r="DD80" s="188">
        <f t="shared" si="82"/>
        <v>0.78602506232557801</v>
      </c>
      <c r="DE80" s="188">
        <f t="shared" si="83"/>
        <v>0.34756768162358759</v>
      </c>
      <c r="DF80" s="189">
        <f>INDEX('State Tax Lookup'!$D$7:$Z$91,MATCH(Calculation!$C80,'State Tax Lookup'!$B$7:$B$91,0),MATCH($H80,'State Tax Lookup'!$D$6:$Z$6,0))</f>
        <v>0.20999999999999996</v>
      </c>
      <c r="DG80" s="189">
        <v>0.375</v>
      </c>
      <c r="DH80" s="190">
        <f t="shared" si="87"/>
        <v>19.672811414271834</v>
      </c>
      <c r="DI80" s="190">
        <v>19.384840227475475</v>
      </c>
      <c r="DJ80" s="177"/>
      <c r="DK80" s="189">
        <f>VLOOKUP($H80,RoR!$E:$F,2,FALSE)</f>
        <v>3.9299999999999995E-2</v>
      </c>
      <c r="DL80" s="191">
        <f>HLOOKUP($H80,'GDP-PI'!$D$8:$CQ$11,3,FALSE)</f>
        <v>2.386056741932796E-2</v>
      </c>
      <c r="DM80" s="189">
        <f>VLOOKUP(H80,'HW Dx Data'!$E:$F,2,FALSE)</f>
        <v>755.13671434174842</v>
      </c>
      <c r="DN80" s="183">
        <f>VLOOKUP(H80,'ECI - Input Price'!$G$17:$H$37,2,FALSE)</f>
        <v>133.25</v>
      </c>
      <c r="DO80" s="177">
        <f t="shared" ref="DO80" si="144">LN(DN80/DN79)</f>
        <v>2.8546181906361531E-2</v>
      </c>
      <c r="DP80" s="183">
        <f>HLOOKUP(H80,'GDP-PI'!$8:$9,2,FALSE)</f>
        <v>110.322</v>
      </c>
      <c r="DQ80" s="177">
        <f t="shared" ref="DQ80" si="145">LN(DP80/DP79)</f>
        <v>2.3580352716508712E-2</v>
      </c>
      <c r="DR80" s="167">
        <v>119.61666666666666</v>
      </c>
      <c r="DS80" s="167">
        <v>3.8789718451483157</v>
      </c>
      <c r="DV80" s="192">
        <v>3.0316600823757176E-3</v>
      </c>
      <c r="DW80" s="192">
        <v>3.7199999999999997E-2</v>
      </c>
      <c r="DX80" s="192">
        <f t="shared" si="116"/>
        <v>1.1277775506437669E-4</v>
      </c>
      <c r="DY80" s="192">
        <v>3.1399999999999997E-2</v>
      </c>
      <c r="DZ80" s="192">
        <f t="shared" si="117"/>
        <v>9.5194126586597524E-5</v>
      </c>
      <c r="EA80" s="192">
        <v>2.87E-2</v>
      </c>
      <c r="EB80" s="192">
        <f t="shared" si="118"/>
        <v>8.7008644364183096E-5</v>
      </c>
      <c r="EC80" s="192">
        <v>2.4799999999999999E-2</v>
      </c>
      <c r="ED80" s="192">
        <f t="shared" si="119"/>
        <v>7.5185170042917795E-5</v>
      </c>
      <c r="EE80" s="192">
        <v>2.06E-2</v>
      </c>
      <c r="EF80" s="192">
        <f t="shared" si="120"/>
        <v>6.2452197696939783E-5</v>
      </c>
    </row>
    <row r="81" spans="1:136" s="167" customFormat="1" ht="21" x14ac:dyDescent="0.35">
      <c r="A81" s="167" t="s">
        <v>29</v>
      </c>
      <c r="B81" s="168" t="s">
        <v>29</v>
      </c>
      <c r="C81" s="168">
        <v>4057075</v>
      </c>
      <c r="D81" s="168" t="s">
        <v>133</v>
      </c>
      <c r="E81" s="168"/>
      <c r="F81" s="168"/>
      <c r="G81" s="168" t="s">
        <v>25</v>
      </c>
      <c r="H81" s="169">
        <v>2019</v>
      </c>
      <c r="I81" s="170"/>
      <c r="J81" s="166">
        <f>IFERROR(INDEX('Labor Expenditures'!$F$7:$X$91,MATCH($C81,'Labor Expenditures'!$D$7:$D$91,0),MATCH($G81,'Labor Expenditures'!$F$5:$X$5,0)),"NA")</f>
        <v>28425.392228873563</v>
      </c>
      <c r="K81" s="166">
        <f t="shared" si="93"/>
        <v>207.71203674734062</v>
      </c>
      <c r="L81" s="172">
        <f t="shared" si="100"/>
        <v>2.9539424686193673E-2</v>
      </c>
      <c r="M81" s="172">
        <f t="shared" si="104"/>
        <v>2.6901833600858157E-4</v>
      </c>
      <c r="N81" s="196"/>
      <c r="O81" s="172"/>
      <c r="P81" s="166">
        <f>IFERROR(INDEX('Non-Labor Expenditures'!$F$7:$AB$91,MATCH($C81,'Non-Labor Expenditures'!$D$7:$D$91,0),MATCH($G81,'Non-Labor Expenditures'!$F$5:$AB$5,0)),"NA")</f>
        <v>41165.277078338433</v>
      </c>
      <c r="Q81" s="166">
        <f t="shared" si="94"/>
        <v>366.50650010094938</v>
      </c>
      <c r="R81" s="172">
        <f t="shared" si="105"/>
        <v>3.8267025675526124E-2</v>
      </c>
      <c r="S81" s="172">
        <f t="shared" si="110"/>
        <v>3.4850142413366734E-4</v>
      </c>
      <c r="T81" s="172"/>
      <c r="U81" s="172"/>
      <c r="V81" s="166">
        <f t="shared" si="84"/>
        <v>51399.242319556179</v>
      </c>
      <c r="W81" s="170"/>
      <c r="X81" s="174">
        <v>2687.9204460692845</v>
      </c>
      <c r="Y81" s="175">
        <v>4.3302622017858568E-2</v>
      </c>
      <c r="Z81" s="175">
        <f t="shared" si="111"/>
        <v>3.9436107655466818E-4</v>
      </c>
      <c r="AA81" s="175"/>
      <c r="AB81" s="175"/>
      <c r="AC81" s="170">
        <f t="shared" si="85"/>
        <v>120989.91162676818</v>
      </c>
      <c r="AD81" s="175">
        <f t="shared" si="106"/>
        <v>6.1266329733148071E-2</v>
      </c>
      <c r="AE81" s="170"/>
      <c r="AF81" s="170"/>
      <c r="AG81" s="121">
        <f t="shared" si="107"/>
        <v>338.34624831307241</v>
      </c>
      <c r="AH81" s="119">
        <f>+AZ81/$BB$57</f>
        <v>9.365315939296728E-3</v>
      </c>
      <c r="AI81" s="119"/>
      <c r="AJ81" s="176">
        <f t="shared" si="112"/>
        <v>3.1687195123276659</v>
      </c>
      <c r="AK81" s="176">
        <f t="shared" si="113"/>
        <v>0</v>
      </c>
      <c r="AL81" s="120">
        <f t="shared" si="95"/>
        <v>0.23494018506733616</v>
      </c>
      <c r="AM81" s="120">
        <f t="shared" si="96"/>
        <v>0.34023726875118154</v>
      </c>
      <c r="AN81" s="120">
        <f t="shared" si="97"/>
        <v>0.42482254618148224</v>
      </c>
      <c r="AO81" s="120">
        <f t="shared" si="101"/>
        <v>3.8343227945215032E-2</v>
      </c>
      <c r="AP81" s="173">
        <f t="shared" si="124"/>
        <v>146.63032344662756</v>
      </c>
      <c r="AQ81" s="175">
        <f t="shared" si="125"/>
        <v>3.8343227945215018E-2</v>
      </c>
      <c r="AR81" s="177">
        <f>+AC81/$AE$57</f>
        <v>9.107094632561246E-3</v>
      </c>
      <c r="AS81" s="177">
        <f t="shared" si="121"/>
        <v>3.4919540541494007E-4</v>
      </c>
      <c r="AT81" s="177"/>
      <c r="AU81" s="177"/>
      <c r="AV81" s="177"/>
      <c r="AW81" s="190"/>
      <c r="AX81" s="120"/>
      <c r="AY81" s="120"/>
      <c r="AZ81" s="118">
        <f>IFERROR(INDEX('Total Customers'!$F$7:$AB$91,MATCH($C81,'Total Customers'!$D$7:$D$91,0),MATCH($G81,'Total Customers'!$F$5:$AB$5,0)),"NA")</f>
        <v>357592</v>
      </c>
      <c r="BA81" s="119">
        <f t="shared" si="73"/>
        <v>1.9364570278353026E-2</v>
      </c>
      <c r="BB81" s="119"/>
      <c r="BC81" s="121"/>
      <c r="BD81" s="119"/>
      <c r="BE81" s="119"/>
      <c r="BF81" s="119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18"/>
      <c r="BR81" s="118"/>
      <c r="BS81" s="118">
        <f>INDEX('Dist. Plant Gas Additions'!$F$7:$AE$91,MATCH($C81,'Dist. Plant Gas Additions'!$D$7:$D$91,0),MATCH(Calculation!$G81,'Dist. Plant Gas Additions'!$F$5:$AE$5,0))</f>
        <v>96658</v>
      </c>
      <c r="BT81" s="118">
        <f>INDEX('Gen. Plant Additions'!$F$7:$AE$91,MATCH($C81,'Gen. Plant Additions'!$D$7:$D$91,0),MATCH(Calculation!$G81,'Gen. Plant Additions'!$F$5:$AE$5,0))</f>
        <v>9150</v>
      </c>
      <c r="BU81" s="118"/>
      <c r="BV81" s="118"/>
      <c r="BW81" s="118">
        <f>INDEX('Dist Plant Depreciation'!$E$7:$AD$94,MATCH($C81,'Dist Plant Depreciation'!$D$7:$D$94,0),MATCH(Calculation!$G81,'Dist Plant Depreciation'!$E$5:$AD$5,0))</f>
        <v>354876</v>
      </c>
      <c r="BX81" s="118">
        <f>INDEX('Gen. Plant Depreciation'!$E$7:$AD$94,MATCH($C81,'Gen. Plant Depreciation'!$D$7:$D$94,0),MATCH(Calculation!$G81,'Gen. Plant Depreciation'!$E$5:$AD$5,0))</f>
        <v>21435</v>
      </c>
      <c r="BY81" s="183">
        <v>1974</v>
      </c>
      <c r="BZ81" s="183">
        <f t="shared" si="66"/>
        <v>27</v>
      </c>
      <c r="CA81" s="178">
        <v>117.05484384788345</v>
      </c>
      <c r="CB81" s="184">
        <f t="shared" si="67"/>
        <v>2.0361990950226245E-2</v>
      </c>
      <c r="CC81" s="185">
        <f t="shared" si="68"/>
        <v>2.383469671110749</v>
      </c>
      <c r="CD81" s="185"/>
      <c r="CE81" s="118">
        <f>INDEX('Gross Dx Plant'!$E$7:$AD$91,MATCH($C81,'Gross Dx Plant'!$D$7:$D$91,0),MATCH(Calculation!$G81,'Gross Dx Plant'!$E$5:$AD$5,0))</f>
        <v>1207392</v>
      </c>
      <c r="CF81" s="118">
        <f>INDEX('Gross Gen Plant'!$E$7:$AD$91,MATCH($C81,'Gross Gen Plant'!$D$7:$D$91,0),MATCH(Calculation!$G81,'Gross Gen Plant'!$E$5:$AD$5,0))</f>
        <v>69191</v>
      </c>
      <c r="CG81" s="118">
        <f t="shared" si="7"/>
        <v>900272</v>
      </c>
      <c r="CH81" s="118"/>
      <c r="CI81" s="121">
        <v>2019</v>
      </c>
      <c r="CJ81" s="118"/>
      <c r="CK81" s="118"/>
      <c r="CL81" s="118"/>
      <c r="CM81" s="183"/>
      <c r="CN81" s="118">
        <f t="shared" si="75"/>
        <v>105808</v>
      </c>
      <c r="CO81" s="118">
        <f t="shared" si="76"/>
        <v>136.78425941882901</v>
      </c>
      <c r="CP81" s="186">
        <v>0.85106382978723405</v>
      </c>
      <c r="CQ81" s="118">
        <f>CQ60*CP81+CO61*CP80+CO62*CP79+CO63*CP78+CO64*CP77+CO65*CP76+CO66*CP75+CO67*CP74+CO68*CP73+CO69*CP72+CO70*CP71+CO71*CP70+CO72*CP69+CO73*CP68+CO74*CP67+CO75*CP66+CO76*CP65+CO77*CP64+CO78*CP63+CO79*CP62+CO80*CP61+CO81</f>
        <v>2687.9204460692845</v>
      </c>
      <c r="CR81" s="119">
        <f t="shared" si="77"/>
        <v>4.3302622017858568E-2</v>
      </c>
      <c r="CS81" s="119"/>
      <c r="CT81" s="177">
        <f t="shared" si="78"/>
        <v>8.8866590604487622E-3</v>
      </c>
      <c r="CU81" s="177">
        <f t="shared" si="88"/>
        <v>8.7025760758864066E-3</v>
      </c>
      <c r="CV81" s="119">
        <f>VLOOKUP($H81,RoR!$E:$F,2,FALSE)</f>
        <v>3.3875000000000009E-2</v>
      </c>
      <c r="CW81" s="177">
        <v>1.8092492884465461E-2</v>
      </c>
      <c r="CX81" s="177">
        <f t="shared" si="86"/>
        <v>1.5782507115534548E-2</v>
      </c>
      <c r="CY81" s="177">
        <f t="shared" si="89"/>
        <v>2.2199365532647217E-2</v>
      </c>
      <c r="CZ81" s="177">
        <f t="shared" si="90"/>
        <v>4.8445665544254078E-2</v>
      </c>
      <c r="DA81" s="187">
        <f t="shared" si="79"/>
        <v>0.92125000000000001</v>
      </c>
      <c r="DB81" s="188">
        <f t="shared" si="80"/>
        <v>1.513861292459078</v>
      </c>
      <c r="DC81" s="188">
        <f t="shared" si="81"/>
        <v>0.23699261992619944</v>
      </c>
      <c r="DD81" s="188">
        <f t="shared" si="82"/>
        <v>0.73619765810468829</v>
      </c>
      <c r="DE81" s="188">
        <f t="shared" si="83"/>
        <v>0.26412854465362851</v>
      </c>
      <c r="DF81" s="189">
        <f>INDEX('State Tax Lookup'!$D$7:$Z$91,MATCH(Calculation!$C81,'State Tax Lookup'!$B$7:$B$91,0),MATCH($H81,'State Tax Lookup'!$D$6:$Z$6,0))</f>
        <v>0.20999999999999996</v>
      </c>
      <c r="DG81" s="189">
        <v>0.375</v>
      </c>
      <c r="DH81" s="190">
        <f t="shared" si="87"/>
        <v>19.968543836925626</v>
      </c>
      <c r="DI81" s="190">
        <v>19.700631367000526</v>
      </c>
      <c r="DJ81" s="177"/>
      <c r="DK81" s="189">
        <f>VLOOKUP($H81,RoR!$E:$F,2,FALSE)</f>
        <v>3.3875000000000009E-2</v>
      </c>
      <c r="DL81" s="191">
        <f>HLOOKUP($H81,'GDP-PI'!$D$8:$CQ$11,3,FALSE)</f>
        <v>1.8092492884465461E-2</v>
      </c>
      <c r="DM81" s="189">
        <f>VLOOKUP(H81,'HW Dx Data'!$E:$F,2,FALSE)</f>
        <v>773.53929793938721</v>
      </c>
      <c r="DN81" s="183">
        <f>VLOOKUP(H81,'ECI - Input Price'!$G$17:$H$37,2,FALSE)</f>
        <v>136.85</v>
      </c>
      <c r="DO81" s="177">
        <f t="shared" ref="DO81" si="146">LN(DN81/DN80)</f>
        <v>2.6658372440734168E-2</v>
      </c>
      <c r="DP81" s="183">
        <f>HLOOKUP(H81,'GDP-PI'!$8:$9,2,FALSE)</f>
        <v>112.318</v>
      </c>
      <c r="DQ81" s="177">
        <f t="shared" ref="DQ81" si="147">LN(DP81/DP80)</f>
        <v>1.7930771451401852E-2</v>
      </c>
      <c r="DR81" s="167">
        <v>120.38333333333334</v>
      </c>
      <c r="DS81" s="167">
        <v>3.9946204122674711</v>
      </c>
      <c r="DV81" s="192">
        <v>1.8092988214810892E-2</v>
      </c>
      <c r="DW81" s="192">
        <v>3.5400000000000001E-2</v>
      </c>
      <c r="DX81" s="192">
        <f t="shared" si="116"/>
        <v>6.4049178280430562E-4</v>
      </c>
      <c r="DY81" s="192">
        <v>2.8899999999999999E-2</v>
      </c>
      <c r="DZ81" s="192">
        <f t="shared" si="117"/>
        <v>5.2288735940803478E-4</v>
      </c>
      <c r="EA81" s="192">
        <v>2.6100000000000002E-2</v>
      </c>
      <c r="EB81" s="192">
        <f t="shared" si="118"/>
        <v>4.7222699240656433E-4</v>
      </c>
      <c r="EC81" s="192">
        <v>2.1600000000000001E-2</v>
      </c>
      <c r="ED81" s="192">
        <f t="shared" si="119"/>
        <v>3.9080854543991527E-4</v>
      </c>
      <c r="EE81" s="192">
        <v>1.6799999999999999E-2</v>
      </c>
      <c r="EF81" s="192">
        <f t="shared" si="120"/>
        <v>3.0396220200882299E-4</v>
      </c>
    </row>
    <row r="82" spans="1:136" s="167" customFormat="1" ht="21" x14ac:dyDescent="0.35">
      <c r="A82" s="167" t="s">
        <v>29</v>
      </c>
      <c r="B82" s="167" t="s">
        <v>29</v>
      </c>
      <c r="C82" s="167">
        <v>4057075</v>
      </c>
      <c r="D82" s="167" t="s">
        <v>133</v>
      </c>
      <c r="G82" s="168" t="s">
        <v>26</v>
      </c>
      <c r="H82" s="169">
        <v>2020</v>
      </c>
      <c r="I82" s="170"/>
      <c r="J82" s="166">
        <v>28665.853369891134</v>
      </c>
      <c r="K82" s="166">
        <f t="shared" si="93"/>
        <v>204.10005959338653</v>
      </c>
      <c r="L82" s="172">
        <f t="shared" si="100"/>
        <v>-1.754231996883613E-2</v>
      </c>
      <c r="M82" s="172">
        <f t="shared" si="104"/>
        <v>-1.6151705082736734E-4</v>
      </c>
      <c r="N82" s="196"/>
      <c r="O82" s="172"/>
      <c r="P82" s="166">
        <v>41513.509722477887</v>
      </c>
      <c r="Q82" s="166">
        <f t="shared" si="94"/>
        <v>365.3618521116137</v>
      </c>
      <c r="R82" s="172">
        <f t="shared" si="105"/>
        <v>-3.128018636664529E-3</v>
      </c>
      <c r="S82" s="172">
        <f t="shared" si="110"/>
        <v>-2.8800543259080522E-5</v>
      </c>
      <c r="T82" s="172"/>
      <c r="U82" s="172"/>
      <c r="V82" s="166">
        <f t="shared" si="84"/>
        <v>55929.704703435375</v>
      </c>
      <c r="W82" s="170"/>
      <c r="X82" s="174">
        <v>2768.9411054935708</v>
      </c>
      <c r="Y82" s="175">
        <v>2.9697148462973656E-2</v>
      </c>
      <c r="Z82" s="175">
        <f t="shared" si="111"/>
        <v>2.7342995944909938E-4</v>
      </c>
      <c r="AA82" s="175"/>
      <c r="AB82" s="175"/>
      <c r="AC82" s="170">
        <f t="shared" si="85"/>
        <v>126109.0677958044</v>
      </c>
      <c r="AD82" s="175">
        <f t="shared" si="106"/>
        <v>4.1439982812325402E-2</v>
      </c>
      <c r="AE82" s="170"/>
      <c r="AF82" s="170"/>
      <c r="AG82" s="121">
        <f t="shared" si="107"/>
        <v>352.36626634796085</v>
      </c>
      <c r="AH82" s="119">
        <f>+AZ82/$BB$58</f>
        <v>9.3072737020652996E-3</v>
      </c>
      <c r="AI82" s="119"/>
      <c r="AJ82" s="176">
        <f t="shared" si="112"/>
        <v>3.279569284275313</v>
      </c>
      <c r="AK82" s="176">
        <f t="shared" si="113"/>
        <v>0</v>
      </c>
      <c r="AL82" s="120">
        <f t="shared" si="95"/>
        <v>0.22731000927155245</v>
      </c>
      <c r="AM82" s="120">
        <f t="shared" si="96"/>
        <v>0.32918734907862851</v>
      </c>
      <c r="AN82" s="120">
        <f t="shared" si="97"/>
        <v>0.44350264164981906</v>
      </c>
      <c r="AO82" s="120">
        <f t="shared" si="101"/>
        <v>7.7919342610012488E-3</v>
      </c>
      <c r="AP82" s="173">
        <f t="shared" si="124"/>
        <v>147.7773201457849</v>
      </c>
      <c r="AQ82" s="175">
        <f t="shared" si="125"/>
        <v>7.7919342610011742E-3</v>
      </c>
      <c r="AR82" s="177">
        <f>+AC82/$AE$58</f>
        <v>9.2072799444031239E-3</v>
      </c>
      <c r="AS82" s="177">
        <f t="shared" si="121"/>
        <v>7.1742520049423682E-5</v>
      </c>
      <c r="AT82" s="177"/>
      <c r="AU82" s="177"/>
      <c r="AV82" s="177"/>
      <c r="AW82" s="190"/>
      <c r="AX82" s="120"/>
      <c r="AY82" s="120"/>
      <c r="AZ82" s="118">
        <v>357892</v>
      </c>
      <c r="BA82" s="119">
        <f t="shared" si="73"/>
        <v>8.3859322523203723E-4</v>
      </c>
      <c r="BB82" s="119"/>
      <c r="BC82" s="121"/>
      <c r="BD82" s="119"/>
      <c r="BE82" s="119"/>
      <c r="BF82" s="119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  <c r="BQ82" s="118"/>
      <c r="BR82" s="118"/>
      <c r="BS82" s="118">
        <f>INDEX('Dist. Plant Gas Additions'!$F$7:$AE$91,MATCH($C82,'Dist. Plant Gas Additions'!$D$7:$D$91,0),MATCH(Calculation!$G82,'Dist. Plant Gas Additions'!$F$5:$AE$5,0))</f>
        <v>83187</v>
      </c>
      <c r="BT82" s="118">
        <f>INDEX('Gen. Plant Additions'!$F$7:$AE$91,MATCH($C82,'Gen. Plant Additions'!$D$7:$D$91,0),MATCH(Calculation!$G82,'Gen. Plant Additions'!$F$5:$AE$5,0))</f>
        <v>2583</v>
      </c>
      <c r="BU82" s="118"/>
      <c r="BV82" s="118"/>
      <c r="BW82" s="118">
        <f>INDEX('Dist Plant Depreciation'!$E$7:$AD$94,MATCH($C82,'Dist Plant Depreciation'!$D$7:$D$94,0),MATCH(Calculation!$G82,'Dist Plant Depreciation'!$E$5:$AD$5,0))</f>
        <v>377906</v>
      </c>
      <c r="BX82" s="118">
        <f>INDEX('Gen. Plant Depreciation'!$E$7:$AD$94,MATCH($C82,'Gen. Plant Depreciation'!$D$7:$D$94,0),MATCH(Calculation!$G82,'Gen. Plant Depreciation'!$E$5:$AD$5,0))</f>
        <v>24000</v>
      </c>
      <c r="BY82" s="183">
        <v>1975</v>
      </c>
      <c r="BZ82" s="183">
        <f t="shared" si="66"/>
        <v>28</v>
      </c>
      <c r="CA82" s="178">
        <v>133.29362804071727</v>
      </c>
      <c r="CB82" s="184">
        <f t="shared" si="67"/>
        <v>2.1116138763197588E-2</v>
      </c>
      <c r="CC82" s="185">
        <f t="shared" si="68"/>
        <v>2.8146467459578308</v>
      </c>
      <c r="CD82" s="185"/>
      <c r="CE82" s="118">
        <f>INDEX('Gross Dx Plant'!$E$7:$AD$91,MATCH($C82,'Gross Dx Plant'!$D$7:$D$91,0),MATCH(Calculation!$G82,'Gross Dx Plant'!$E$5:$AD$5,0))</f>
        <v>1284443</v>
      </c>
      <c r="CF82" s="118">
        <f>INDEX('Gross Gen Plant'!$E$7:$AD$91,MATCH($C82,'Gross Gen Plant'!$D$7:$D$91,0),MATCH(Calculation!$G82,'Gross Gen Plant'!$E$5:$AD$5,0))</f>
        <v>70276</v>
      </c>
      <c r="CG82" s="118">
        <f t="shared" si="7"/>
        <v>952813</v>
      </c>
      <c r="CH82" s="118"/>
      <c r="CI82" s="121">
        <v>2020</v>
      </c>
      <c r="CJ82" s="118"/>
      <c r="CK82" s="118"/>
      <c r="CL82" s="118"/>
      <c r="CM82" s="183"/>
      <c r="CN82" s="118">
        <f t="shared" si="75"/>
        <v>85770</v>
      </c>
      <c r="CO82" s="118">
        <f t="shared" si="76"/>
        <v>105.48775380354039</v>
      </c>
      <c r="CP82" s="186">
        <v>0.84057971014492749</v>
      </c>
      <c r="CQ82" s="118">
        <f>CQ60*CP82+CO61*CP81+CO62*CP80+CO63*CP79+CO64*CP78+CO65*CP77+CO66*CP76+CO67*CP75+CO68*CP74+CO69*CP73+CO70*CP72+CO71*CP71+CO72*CP70+CO73*CP69+CO74*CP68+CO75*CP67+CO76*CP66+CO77*CP65+CO78*CP64+CO79*CP63+CO80*CP62+CO81*CP61+CO82</f>
        <v>2768.9411054935708</v>
      </c>
      <c r="CR82" s="119">
        <f t="shared" si="77"/>
        <v>2.9697148462973656E-2</v>
      </c>
      <c r="CS82" s="119"/>
      <c r="CT82" s="177">
        <f t="shared" si="78"/>
        <v>9.1026110594284188E-3</v>
      </c>
      <c r="CU82" s="177">
        <f t="shared" si="88"/>
        <v>8.901077257641039E-3</v>
      </c>
      <c r="CV82" s="119">
        <f>VLOOKUP($H82,RoR!$E:$F,2,FALSE)</f>
        <v>2.4766666666666666E-2</v>
      </c>
      <c r="CW82" s="177">
        <v>1.1618796630994188E-2</v>
      </c>
      <c r="CX82" s="177">
        <f t="shared" si="86"/>
        <v>1.3147870035672478E-2</v>
      </c>
      <c r="CY82" s="177">
        <f t="shared" si="89"/>
        <v>2.2000864350892588E-2</v>
      </c>
      <c r="CZ82" s="177">
        <f t="shared" si="90"/>
        <v>4.5144642961987357E-2</v>
      </c>
      <c r="DA82" s="187">
        <f t="shared" si="79"/>
        <v>0.92125000000000001</v>
      </c>
      <c r="DB82" s="188">
        <f t="shared" si="80"/>
        <v>2.0706077233668081</v>
      </c>
      <c r="DC82" s="188">
        <f t="shared" si="81"/>
        <v>-3.4421265141318998E-2</v>
      </c>
      <c r="DD82" s="188">
        <f t="shared" si="82"/>
        <v>0.62416226176410472</v>
      </c>
      <c r="DE82" s="188">
        <f t="shared" si="83"/>
        <v>-4.4485877841158712E-2</v>
      </c>
      <c r="DF82" s="189">
        <f>INDEX('State Tax Lookup'!$D$7:$Z$91,MATCH(Calculation!$C82,'State Tax Lookup'!$B$7:$B$91,0),MATCH($H82,'State Tax Lookup'!$D$6:$Z$6,0))</f>
        <v>0.20999999999999996</v>
      </c>
      <c r="DG82" s="189">
        <v>0.375</v>
      </c>
      <c r="DH82" s="190">
        <f t="shared" si="87"/>
        <v>20.807797635984691</v>
      </c>
      <c r="DI82" s="190">
        <v>20.547213173999609</v>
      </c>
      <c r="DJ82" s="177"/>
      <c r="DK82" s="189">
        <f>VLOOKUP($H82,RoR!$E:$F,2,FALSE)</f>
        <v>2.4766666666666666E-2</v>
      </c>
      <c r="DL82" s="191">
        <f>HLOOKUP($H82,'GDP-PI'!$D$8:$CQ$11,3,FALSE)</f>
        <v>1.1618796630994188E-2</v>
      </c>
      <c r="DM82" s="189">
        <f>VLOOKUP(H82,'HW Dx Data'!$E:$F,2,FALSE)</f>
        <v>813.080162458833</v>
      </c>
      <c r="DN82" s="183">
        <f>VLOOKUP(H82,'ECI - Input Price'!$G$17:$H$37,2,FALSE)</f>
        <v>140.44999999999999</v>
      </c>
      <c r="DO82" s="177">
        <f t="shared" ref="DO82" si="148">LN(DN82/DN81)</f>
        <v>2.5966118063564539E-2</v>
      </c>
      <c r="DP82" s="183">
        <f>HLOOKUP(H82,'GDP-PI'!$8:$9,2,FALSE)</f>
        <v>113.623</v>
      </c>
      <c r="DQ82" s="177">
        <f t="shared" ref="DQ82" si="149">LN(DP82/DP81)</f>
        <v>1.1551816731392881E-2</v>
      </c>
      <c r="DR82" s="167">
        <v>122.50833333333334</v>
      </c>
      <c r="DS82" s="167">
        <v>4.1575226244343888</v>
      </c>
      <c r="DV82" s="192">
        <v>1.1123327319345001E-4</v>
      </c>
      <c r="DW82" s="192">
        <v>8.3000000000000001E-3</v>
      </c>
      <c r="DX82" s="192">
        <f t="shared" si="116"/>
        <v>9.2323616750563507E-7</v>
      </c>
      <c r="DY82" s="192">
        <v>-1.1000000000000001E-3</v>
      </c>
      <c r="DZ82" s="192">
        <f t="shared" si="117"/>
        <v>-1.2235660051279501E-7</v>
      </c>
      <c r="EA82" s="192">
        <v>-5.5999999999999999E-3</v>
      </c>
      <c r="EB82" s="192">
        <f t="shared" si="118"/>
        <v>-6.2290632988332003E-7</v>
      </c>
      <c r="EC82" s="192">
        <v>-1.26E-2</v>
      </c>
      <c r="ED82" s="192">
        <f t="shared" si="119"/>
        <v>-1.4015392422374702E-6</v>
      </c>
      <c r="EE82" s="192">
        <v>-2.0500000000000001E-2</v>
      </c>
      <c r="EF82" s="192">
        <f t="shared" si="120"/>
        <v>-2.2802821004657253E-6</v>
      </c>
    </row>
    <row r="83" spans="1:136" s="167" customFormat="1" ht="21" x14ac:dyDescent="0.35">
      <c r="A83" s="167" t="s">
        <v>29</v>
      </c>
      <c r="B83" s="167" t="s">
        <v>29</v>
      </c>
      <c r="C83" s="167">
        <v>4057075</v>
      </c>
      <c r="D83" s="167" t="s">
        <v>133</v>
      </c>
      <c r="G83" s="168" t="s">
        <v>462</v>
      </c>
      <c r="H83" s="169">
        <v>2021</v>
      </c>
      <c r="I83" s="170"/>
      <c r="J83" s="166">
        <f>IFERROR(INDEX('Labor Expenditures'!$E$7:$X$91,MATCH($C83,'Labor Expenditures'!$D$7:$D$91,0),MATCH($G83,'Labor Expenditures'!$E$5:$X$5,0)),"NA")</f>
        <v>27974.960463701049</v>
      </c>
      <c r="K83" s="166">
        <f t="shared" si="93"/>
        <v>192.30081088641379</v>
      </c>
      <c r="L83" s="171">
        <f t="shared" si="100"/>
        <v>-5.9549492433205904E-2</v>
      </c>
      <c r="M83" s="172">
        <f t="shared" si="104"/>
        <v>-4.7475569849157441E-4</v>
      </c>
      <c r="N83" s="196"/>
      <c r="O83" s="172"/>
      <c r="P83" s="166">
        <f>IFERROR(INDEX('Non-Labor Expenditures'!$E$7:$AB$91,MATCH($C83,'Non-Labor Expenditures'!$D$7:$D$91,0),MATCH($G83,'Non-Labor Expenditures'!$E$5:$AB$5,0)),"NA")</f>
        <v>39434.582822325581</v>
      </c>
      <c r="Q83" s="166">
        <f t="shared" si="94"/>
        <v>332.80937481918795</v>
      </c>
      <c r="R83" s="172">
        <f t="shared" si="105"/>
        <v>-9.3318360063342362E-2</v>
      </c>
      <c r="S83" s="172">
        <f t="shared" si="110"/>
        <v>-7.4397650431115906E-4</v>
      </c>
      <c r="T83" s="172"/>
      <c r="U83" s="172"/>
      <c r="V83" s="166">
        <f t="shared" si="84"/>
        <v>50171.641300126939</v>
      </c>
      <c r="W83" s="170"/>
      <c r="X83" s="174">
        <v>2717.591404720928</v>
      </c>
      <c r="Y83" s="175">
        <v>-1.871899969009895E-2</v>
      </c>
      <c r="Z83" s="175">
        <f t="shared" si="111"/>
        <v>-1.4923639832706555E-4</v>
      </c>
      <c r="AA83" s="175"/>
      <c r="AB83" s="175"/>
      <c r="AC83" s="170">
        <f t="shared" si="85"/>
        <v>117581.18458615357</v>
      </c>
      <c r="AD83" s="175">
        <f t="shared" si="106"/>
        <v>-7.0018122299534566E-2</v>
      </c>
      <c r="AE83" s="118"/>
      <c r="AF83" s="119"/>
      <c r="AG83" s="121">
        <f t="shared" si="107"/>
        <v>319.08834838884417</v>
      </c>
      <c r="AH83" s="119">
        <f>+AZ83/$BB$59</f>
        <v>9.4542628637133436E-3</v>
      </c>
      <c r="AI83" s="119"/>
      <c r="AJ83" s="176">
        <f t="shared" si="112"/>
        <v>3.0167451224162751</v>
      </c>
      <c r="AK83" s="176">
        <f t="shared" si="113"/>
        <v>0</v>
      </c>
      <c r="AL83" s="120">
        <f t="shared" si="95"/>
        <v>0.23792038294361084</v>
      </c>
      <c r="AM83" s="120">
        <f t="shared" si="96"/>
        <v>0.33538174463135506</v>
      </c>
      <c r="AN83" s="120">
        <f t="shared" si="97"/>
        <v>0.4266978724250341</v>
      </c>
      <c r="AO83" s="120">
        <f t="shared" si="101"/>
        <v>-5.3005007424001382E-2</v>
      </c>
      <c r="AP83" s="173">
        <f t="shared" si="124"/>
        <v>140.1483549404667</v>
      </c>
      <c r="AQ83" s="175">
        <f t="shared" si="125"/>
        <v>-5.3005007424001487E-2</v>
      </c>
      <c r="AR83" s="177">
        <f>+AC83/$AE$59</f>
        <v>7.9724558361952014E-3</v>
      </c>
      <c r="AS83" s="177">
        <f t="shared" si="121"/>
        <v>-4.2258008078505062E-4</v>
      </c>
      <c r="AT83" s="177"/>
      <c r="AU83" s="177"/>
      <c r="AV83" s="177"/>
      <c r="AW83" s="190"/>
      <c r="AX83" s="120"/>
      <c r="AY83" s="120"/>
      <c r="AZ83" s="118">
        <f>INDEX('Total Customers'!$E$7:$E$91,MATCH(Calculation!$C83,'Total Customers'!$D$7:$D$91,0))</f>
        <v>368491</v>
      </c>
      <c r="BA83" s="119">
        <f t="shared" si="73"/>
        <v>2.9185023083585351E-2</v>
      </c>
      <c r="BB83" s="118"/>
      <c r="BC83" s="121"/>
      <c r="BD83" s="118"/>
      <c r="BE83" s="119"/>
      <c r="BF83" s="119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18"/>
      <c r="BR83" s="118"/>
      <c r="BS83" s="118">
        <f>INDEX('Dist. Plant Gas Additions'!$E$7:$AE$91,MATCH($C83,'Dist. Plant Gas Additions'!$D$7:$D$91,0),MATCH(Calculation!$G83,'Dist. Plant Gas Additions'!$E$5:$AE$5,0))</f>
        <v>15077</v>
      </c>
      <c r="BT83" s="118">
        <f>INDEX('Gen. Plant Additions'!$E$7:$AE$91,MATCH($C83,'Gen. Plant Additions'!$D$7:$D$91,0),MATCH(Calculation!$G83,'Gen. Plant Additions'!$E$5:$AE$5,0))</f>
        <v>353</v>
      </c>
      <c r="BU83" s="118"/>
      <c r="BV83" s="118"/>
      <c r="BW83" s="118"/>
      <c r="BX83" s="118"/>
      <c r="BY83" s="183">
        <v>1976</v>
      </c>
      <c r="BZ83" s="183">
        <f t="shared" si="66"/>
        <v>29</v>
      </c>
      <c r="CA83" s="178">
        <v>142.20704143362721</v>
      </c>
      <c r="CB83" s="184">
        <f t="shared" si="67"/>
        <v>2.1870286576168928E-2</v>
      </c>
      <c r="CC83" s="185">
        <f t="shared" si="68"/>
        <v>3.1101087493025559</v>
      </c>
      <c r="CD83" s="185"/>
      <c r="CE83" s="118"/>
      <c r="CF83" s="118"/>
      <c r="CG83" s="118"/>
      <c r="CH83" s="118"/>
      <c r="CI83" s="121">
        <v>2021</v>
      </c>
      <c r="CJ83" s="118"/>
      <c r="CK83" s="118"/>
      <c r="CL83" s="118"/>
      <c r="CM83" s="183"/>
      <c r="CN83" s="118">
        <f t="shared" si="75"/>
        <v>15430</v>
      </c>
      <c r="CO83" s="118">
        <f t="shared" si="76"/>
        <v>16.537650499270029</v>
      </c>
      <c r="CP83" s="186">
        <f>+(51-23)/(51-23*0.75)</f>
        <v>0.82962962962962961</v>
      </c>
      <c r="CQ83" s="118">
        <f>CQ60*CP83+CO61*CP82+CO62*CP81+CO63*CP80+CO64*CP79+CO65*CP78+CO66*CP77+CO67*CP76+CO68*CP75+CO69*CP74+CO70*CP73+CO71*CP72+CO72*CP71+CO73*CP70+CO74*CP69+CO65*CP68+CO76*CP67+CO77*CP66+CO78*CP65+CO79*CP64+CO80*CP63+CO81*CP62+CO83+CO82*CP61</f>
        <v>2717.591404720928</v>
      </c>
      <c r="CR83" s="119">
        <f t="shared" si="77"/>
        <v>-1.871899969009895E-2</v>
      </c>
      <c r="CS83" s="118"/>
      <c r="CT83" s="177">
        <f>+(CQ82-CQ83+CO83)/CQ82</f>
        <v>2.4517441392026908E-2</v>
      </c>
      <c r="CU83" s="177">
        <f t="shared" si="88"/>
        <v>1.4168903837301364E-2</v>
      </c>
      <c r="CV83" s="119">
        <f>VLOOKUP($H83,RoR!$E:$F,2,FALSE)</f>
        <v>2.7033333333333336E-2</v>
      </c>
      <c r="CW83" s="177"/>
      <c r="CX83" s="177"/>
      <c r="CY83" s="177">
        <f t="shared" si="89"/>
        <v>1.6733037771232261E-2</v>
      </c>
      <c r="CZ83" s="177">
        <f t="shared" si="90"/>
        <v>7.433422950153494E-2</v>
      </c>
      <c r="DA83" s="187">
        <f t="shared" si="79"/>
        <v>0.92125000000000001</v>
      </c>
      <c r="DB83" s="188">
        <f t="shared" si="80"/>
        <v>1.8969932656739068</v>
      </c>
      <c r="DC83" s="188">
        <f t="shared" si="81"/>
        <v>5.0215782983970621E-2</v>
      </c>
      <c r="DD83" s="188">
        <f t="shared" si="82"/>
        <v>0.655952481704143</v>
      </c>
      <c r="DE83" s="188">
        <f t="shared" si="83"/>
        <v>6.2485378865697057E-2</v>
      </c>
      <c r="DF83" s="189">
        <f>DF82</f>
        <v>0.20999999999999996</v>
      </c>
      <c r="DG83" s="189">
        <v>0.375</v>
      </c>
      <c r="DH83" s="190">
        <f t="shared" si="87"/>
        <v>18.119432443177125</v>
      </c>
      <c r="DI83" s="190"/>
      <c r="DJ83" s="177">
        <f t="shared" ref="DJ83" si="150">LN(DH83/DH82)</f>
        <v>-0.13834282479654372</v>
      </c>
      <c r="DK83" s="189">
        <f>VLOOKUP($H83,RoR!$E:$F,2,FALSE)</f>
        <v>2.7033333333333336E-2</v>
      </c>
      <c r="DL83" s="191">
        <f>HLOOKUP($H83,'GDP-PI'!$D$8:$CR$11,3,FALSE)</f>
        <v>4.2834637353352578E-2</v>
      </c>
      <c r="DM83" s="189">
        <f>VLOOKUP(H83,'HW Dx Data'!$E:$F,2,FALSE)</f>
        <v>933.02249921662576</v>
      </c>
      <c r="DN83" s="183">
        <f>VLOOKUP(H83,'ECI - Input Price'!$G$17:$H$37,2,FALSE)</f>
        <v>145.47500000000002</v>
      </c>
      <c r="DO83" s="177">
        <f t="shared" ref="DO83" si="151">LN(DN83/DN82)</f>
        <v>3.5152696992481205E-2</v>
      </c>
      <c r="DP83" s="183">
        <f>HLOOKUP(H83,'GDP-PI'!$8:$9,2,FALSE)</f>
        <v>118.49</v>
      </c>
      <c r="DQ83" s="177">
        <f t="shared" ref="DQ83" si="152">LN(DP83/DP82)</f>
        <v>4.194261824609434E-2</v>
      </c>
      <c r="DV83" s="192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</row>
    <row r="84" spans="1:136" s="167" customFormat="1" ht="21" x14ac:dyDescent="0.35">
      <c r="A84" s="167" t="s">
        <v>31</v>
      </c>
      <c r="B84" s="168" t="s">
        <v>31</v>
      </c>
      <c r="C84" s="168">
        <v>4007784</v>
      </c>
      <c r="D84" s="168" t="s">
        <v>134</v>
      </c>
      <c r="E84" s="168"/>
      <c r="F84" s="168"/>
      <c r="G84" s="168" t="s">
        <v>4</v>
      </c>
      <c r="H84" s="169">
        <v>1998</v>
      </c>
      <c r="I84" s="170"/>
      <c r="J84" s="166"/>
      <c r="K84" s="166"/>
      <c r="L84" s="166"/>
      <c r="M84" s="166"/>
      <c r="N84" s="196"/>
      <c r="O84" s="166"/>
      <c r="P84" s="172"/>
      <c r="Q84" s="172"/>
      <c r="R84" s="172"/>
      <c r="S84" s="166"/>
      <c r="T84" s="172"/>
      <c r="U84" s="172"/>
      <c r="V84" s="166"/>
      <c r="W84" s="170"/>
      <c r="X84" s="174">
        <v>3100.1474328271206</v>
      </c>
      <c r="Y84" s="175"/>
      <c r="Z84" s="166"/>
      <c r="AA84" s="175"/>
      <c r="AB84" s="175"/>
      <c r="AC84" s="170">
        <f t="shared" si="85"/>
        <v>0</v>
      </c>
      <c r="AD84" s="170"/>
      <c r="AE84" s="170"/>
      <c r="AF84" s="119"/>
      <c r="AG84" s="174"/>
      <c r="AH84" s="175"/>
      <c r="AI84" s="175"/>
      <c r="AJ84" s="174"/>
      <c r="AK84" s="174"/>
      <c r="AL84" s="120"/>
      <c r="AM84" s="120"/>
      <c r="AN84" s="120"/>
      <c r="AO84" s="120"/>
      <c r="AP84" s="120"/>
      <c r="AQ84" s="175">
        <f>AVERAGE(AQ93:AQ107)</f>
        <v>2.8793848852005643E-2</v>
      </c>
      <c r="AR84" s="120"/>
      <c r="AS84" s="120"/>
      <c r="AT84" s="120"/>
      <c r="AU84" s="120"/>
      <c r="AV84" s="120"/>
      <c r="AW84" s="120"/>
      <c r="AX84" s="120"/>
      <c r="AY84" s="120"/>
      <c r="AZ84" s="118">
        <f>IFERROR(INDEX('Total Customers'!$F$7:$AB$91,MATCH($C84,'Total Customers'!$D$7:$D$91,0),MATCH($G84,'Total Customers'!$F$5:$AB$5,0)),"NA")</f>
        <v>573428</v>
      </c>
      <c r="BA84" s="119"/>
      <c r="BB84" s="119"/>
      <c r="BC84" s="121"/>
      <c r="BD84" s="119"/>
      <c r="BE84" s="119"/>
      <c r="BF84" s="119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  <c r="BQ84" s="118">
        <f>INDEX('Gross Dx Plant'!$E$7:$AD$91,MATCH($C84,'Gross Dx Plant'!$D$7:$D$91,0),MATCH(Calculation!$G84,'Gross Dx Plant'!$E$5:$AD$5,0))</f>
        <v>868360</v>
      </c>
      <c r="BR84" s="118">
        <f>INDEX('Gross Gen Plant'!$E$7:$AD$91,MATCH($C84,'Gross Gen Plant'!$D$7:$D$91,0),MATCH(Calculation!$G84,'Gross Gen Plant'!$E$5:$AD$5,0))</f>
        <v>6009</v>
      </c>
      <c r="BS84" s="118">
        <f>INDEX('Dist. Plant Gas Additions'!$F$7:$AE$91,MATCH($C84,'Dist. Plant Gas Additions'!$D$7:$D$91,0),MATCH(Calculation!$G84,'Dist. Plant Gas Additions'!$F$5:$AE$5,0))</f>
        <v>73204</v>
      </c>
      <c r="BT84" s="118">
        <f>INDEX('Gen. Plant Additions'!$F$7:$AE$91,MATCH($C84,'Gen. Plant Additions'!$D$7:$D$91,0),MATCH(Calculation!$G84,'Gen. Plant Additions'!$F$5:$AE$5,0))</f>
        <v>597</v>
      </c>
      <c r="BU84" s="118" t="e">
        <f>INDEX('Dist Plant Depreciation'!$E$7:$AA$94,MATCH($C84,'Dist Plant Depreciation'!$D$7:$D$94,0),MATCH(#REF!,'Dist Plant Depreciation'!$E$5:$AA$5,0))</f>
        <v>#REF!</v>
      </c>
      <c r="BV84" s="118" t="e">
        <f>INDEX('Gen. Plant Depreciation'!$E$7:$AA$94,MATCH($C84,'Gen. Plant Depreciation'!$D$7:$D$94,0),MATCH(#REF!,'Gen. Plant Depreciation'!$E$5:$AA$5,0))</f>
        <v>#REF!</v>
      </c>
      <c r="BW84" s="118">
        <f>INDEX('Dist Plant Depreciation'!$E$7:$AD$94,MATCH($C84,'Dist Plant Depreciation'!$D$7:$D$94,0),MATCH(Calculation!$G84,'Dist Plant Depreciation'!$E$5:$AD$5,0))</f>
        <v>248262</v>
      </c>
      <c r="BX84" s="118">
        <f>INDEX('Gen. Plant Depreciation'!$E$7:$AD$94,MATCH($C84,'Gen. Plant Depreciation'!$D$7:$D$94,0),MATCH(Calculation!$G84,'Gen. Plant Depreciation'!$E$5:$AD$5,0))</f>
        <v>747</v>
      </c>
      <c r="BY84" s="183">
        <v>1977</v>
      </c>
      <c r="BZ84" s="183">
        <f t="shared" si="66"/>
        <v>30</v>
      </c>
      <c r="CA84" s="178">
        <v>151.26806819931093</v>
      </c>
      <c r="CB84" s="184">
        <f t="shared" si="67"/>
        <v>2.2624434389140271E-2</v>
      </c>
      <c r="CC84" s="185">
        <f t="shared" si="68"/>
        <v>3.4223544841473061</v>
      </c>
      <c r="CD84" s="185"/>
      <c r="CE84" s="118">
        <f>INDEX('Gross Dx Plant'!$E$7:$AD$91,MATCH($C84,'Gross Dx Plant'!$D$7:$D$91,0),MATCH(Calculation!$G84,'Gross Dx Plant'!$E$5:$AD$5,0))</f>
        <v>868360</v>
      </c>
      <c r="CF84" s="118">
        <f>INDEX('Gross Gen Plant'!$E$7:$AD$91,MATCH($C84,'Gross Gen Plant'!$D$7:$D$91,0),MATCH(Calculation!$G84,'Gross Gen Plant'!$E$5:$AD$5,0))</f>
        <v>6009</v>
      </c>
      <c r="CG84" s="118">
        <f t="shared" si="7"/>
        <v>625360</v>
      </c>
      <c r="CH84" s="118"/>
      <c r="CI84" s="121">
        <v>1998</v>
      </c>
      <c r="CJ84" s="118">
        <f>BQ84+BR84</f>
        <v>874369</v>
      </c>
      <c r="CK84" s="118">
        <f>248262+747</f>
        <v>249009</v>
      </c>
      <c r="CL84" s="118">
        <f>+CJ84-CK84</f>
        <v>625360</v>
      </c>
      <c r="CM84" s="118">
        <f>CL84/$CD$36</f>
        <v>3100.1474328271206</v>
      </c>
      <c r="CN84" s="183"/>
      <c r="CO84" s="183"/>
      <c r="CP84" s="186">
        <v>1</v>
      </c>
      <c r="CQ84" s="118">
        <f>+CM84</f>
        <v>3100.1474328271206</v>
      </c>
      <c r="CR84" s="119"/>
      <c r="CS84" s="119"/>
      <c r="CT84" s="177"/>
      <c r="CU84" s="177"/>
      <c r="CV84" s="119" t="e">
        <f>VLOOKUP($H84,RoR!$E:$F,2,FALSE)</f>
        <v>#N/A</v>
      </c>
      <c r="CW84" s="177">
        <v>1.1028127770464469E-2</v>
      </c>
      <c r="CX84" s="177"/>
      <c r="CY84" s="177"/>
      <c r="CZ84" s="177"/>
      <c r="DA84" s="187"/>
      <c r="DB84" s="190" t="e">
        <f>2/(DK84*39)</f>
        <v>#N/A</v>
      </c>
      <c r="DC84" s="188" t="e">
        <f>+(DK84*40-(1+DK84))/(DK84*40)</f>
        <v>#N/A</v>
      </c>
      <c r="DD84" s="188" t="e">
        <f>+(1-(1/(1+DK84)^40))</f>
        <v>#N/A</v>
      </c>
      <c r="DE84" s="188" t="e">
        <f>+DD84*DC84*DB84</f>
        <v>#N/A</v>
      </c>
      <c r="DF84" s="189">
        <f>INDEX('State Tax Lookup'!$D$7:$Z$91,MATCH(Calculation!$C84,'State Tax Lookup'!$B$7:$B$91,0),MATCH($H84,'State Tax Lookup'!$D$6:$Z$6,0))</f>
        <v>0.40091666999999998</v>
      </c>
      <c r="DG84" s="189">
        <v>0.375</v>
      </c>
      <c r="DH84" s="183"/>
      <c r="DI84" s="183"/>
      <c r="DJ84" s="177"/>
      <c r="DK84" s="189" t="e">
        <f>VLOOKUP($H84,RoR!$E:$F,2,FALSE)</f>
        <v>#N/A</v>
      </c>
      <c r="DL84" s="191">
        <f>HLOOKUP($H84,'GDP-PI'!$D$8:$CQ$11,3,FALSE)</f>
        <v>1.1028127770464469E-2</v>
      </c>
      <c r="DM84" s="189">
        <f>VLOOKUP(H84,'HW Dx Data'!$E:$F,2,FALSE)</f>
        <v>329.24564746449528</v>
      </c>
      <c r="DN84" s="183" t="e">
        <f>VLOOKUP(H84,'ECI - Input Price'!$G$17:$H$37,2,FALSE)</f>
        <v>#N/A</v>
      </c>
      <c r="DO84" s="177"/>
      <c r="DP84" s="183">
        <f>HLOOKUP(H84,'GDP-PI'!$8:$9,2,FALSE)</f>
        <v>75.266999999999996</v>
      </c>
      <c r="DR84" s="167">
        <v>128.6</v>
      </c>
      <c r="DS84" s="167">
        <v>4.4612368024132731</v>
      </c>
      <c r="DV84" s="192">
        <v>9.3262927145344623E-4</v>
      </c>
      <c r="DW84" s="192">
        <v>3.8600000000000002E-2</v>
      </c>
      <c r="DX84" s="192">
        <f t="shared" si="116"/>
        <v>3.5999489878103027E-5</v>
      </c>
      <c r="DY84" s="192">
        <v>3.2800000000000003E-2</v>
      </c>
      <c r="DZ84" s="192">
        <f t="shared" si="117"/>
        <v>3.0590240103673038E-5</v>
      </c>
      <c r="EA84" s="192">
        <v>3.0200000000000001E-2</v>
      </c>
      <c r="EB84" s="192">
        <f t="shared" si="118"/>
        <v>2.8165403997894077E-5</v>
      </c>
      <c r="EC84" s="192">
        <v>2.63E-2</v>
      </c>
      <c r="ED84" s="192">
        <f t="shared" si="119"/>
        <v>2.4528149839225635E-5</v>
      </c>
      <c r="EE84" s="192">
        <v>2.1999999999999999E-2</v>
      </c>
      <c r="EF84" s="192">
        <f t="shared" si="120"/>
        <v>2.0517843971975816E-5</v>
      </c>
    </row>
    <row r="85" spans="1:136" s="167" customFormat="1" ht="21" x14ac:dyDescent="0.35">
      <c r="A85" s="167" t="s">
        <v>31</v>
      </c>
      <c r="B85" s="168" t="s">
        <v>31</v>
      </c>
      <c r="C85" s="168">
        <v>4007784</v>
      </c>
      <c r="D85" s="168" t="s">
        <v>134</v>
      </c>
      <c r="E85" s="168"/>
      <c r="F85" s="168"/>
      <c r="G85" s="168" t="s">
        <v>5</v>
      </c>
      <c r="H85" s="169">
        <v>1999</v>
      </c>
      <c r="I85" s="170"/>
      <c r="J85" s="166"/>
      <c r="K85" s="166"/>
      <c r="L85" s="166"/>
      <c r="M85" s="166"/>
      <c r="N85" s="173"/>
      <c r="O85" s="170"/>
      <c r="P85" s="177"/>
      <c r="Q85" s="177"/>
      <c r="R85" s="177"/>
      <c r="S85" s="195"/>
      <c r="T85" s="177"/>
      <c r="U85" s="177"/>
      <c r="V85" s="166">
        <f t="shared" ref="V85:V107" si="153">+CQ84*DH85</f>
        <v>0</v>
      </c>
      <c r="W85" s="170"/>
      <c r="X85" s="174">
        <v>3246.5250554810668</v>
      </c>
      <c r="Y85" s="175">
        <v>4.6135541290072725E-2</v>
      </c>
      <c r="Z85" s="175"/>
      <c r="AA85" s="175"/>
      <c r="AB85" s="175"/>
      <c r="AC85" s="170">
        <f t="shared" si="85"/>
        <v>0</v>
      </c>
      <c r="AD85" s="175"/>
      <c r="AE85" s="170"/>
      <c r="AF85" s="119"/>
      <c r="AG85" s="174"/>
      <c r="AH85" s="175"/>
      <c r="AI85" s="175"/>
      <c r="AJ85" s="174"/>
      <c r="AK85" s="174"/>
      <c r="AL85" s="120"/>
      <c r="AM85" s="120"/>
      <c r="AN85" s="120"/>
      <c r="AO85" s="120"/>
      <c r="AP85" s="120"/>
      <c r="AQ85" s="175"/>
      <c r="AR85" s="120"/>
      <c r="AS85" s="120"/>
      <c r="AT85" s="120"/>
      <c r="AU85" s="120"/>
      <c r="AV85" s="120"/>
      <c r="AW85" s="120"/>
      <c r="AX85" s="120"/>
      <c r="AY85" s="120"/>
      <c r="AZ85" s="118">
        <f>IFERROR(INDEX('Total Customers'!$F$7:$AB$91,MATCH($C85,'Total Customers'!$D$7:$D$91,0),MATCH($G85,'Total Customers'!$F$5:$AB$5,0)),"NA")</f>
        <v>583866</v>
      </c>
      <c r="BA85" s="119">
        <f t="shared" ref="BA85:BA107" si="154">LN(AZ85/AZ84)</f>
        <v>1.8039120657015975E-2</v>
      </c>
      <c r="BB85" s="119"/>
      <c r="BC85" s="121"/>
      <c r="BD85" s="119"/>
      <c r="BE85" s="119"/>
      <c r="BF85" s="119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  <c r="BQ85" s="118"/>
      <c r="BR85" s="118"/>
      <c r="BS85" s="118">
        <f>INDEX('Dist. Plant Gas Additions'!$F$7:$AE$91,MATCH($C85,'Dist. Plant Gas Additions'!$D$7:$D$91,0),MATCH(Calculation!$G85,'Dist. Plant Gas Additions'!$F$5:$AE$5,0))</f>
        <v>54256</v>
      </c>
      <c r="BT85" s="118">
        <f>INDEX('Gen. Plant Additions'!$F$7:$AE$91,MATCH($C85,'Gen. Plant Additions'!$D$7:$D$91,0),MATCH(Calculation!$G85,'Gen. Plant Additions'!$F$5:$AE$5,0))</f>
        <v>0</v>
      </c>
      <c r="BU85" s="118"/>
      <c r="BV85" s="118"/>
      <c r="BW85" s="118">
        <f>INDEX('Dist Plant Depreciation'!$E$7:$AD$94,MATCH($C85,'Dist Plant Depreciation'!$D$7:$D$94,0),MATCH(Calculation!$G85,'Dist Plant Depreciation'!$E$5:$AD$5,0))</f>
        <v>265147</v>
      </c>
      <c r="BX85" s="118">
        <f>INDEX('Gen. Plant Depreciation'!$E$7:$AD$94,MATCH($C85,'Gen. Plant Depreciation'!$D$7:$D$94,0),MATCH(Calculation!$G85,'Gen. Plant Depreciation'!$E$5:$AD$5,0))</f>
        <v>-661</v>
      </c>
      <c r="BY85" s="183">
        <v>1978</v>
      </c>
      <c r="BZ85" s="183">
        <f t="shared" si="66"/>
        <v>31</v>
      </c>
      <c r="CA85" s="178">
        <v>164.6318376126998</v>
      </c>
      <c r="CB85" s="184">
        <f t="shared" si="67"/>
        <v>2.3378582202111614E-2</v>
      </c>
      <c r="CC85" s="185">
        <f t="shared" si="68"/>
        <v>3.8488589487131928</v>
      </c>
      <c r="CD85" s="185"/>
      <c r="CE85" s="118">
        <f>INDEX('Gross Dx Plant'!$E$7:$AD$91,MATCH($C85,'Gross Dx Plant'!$D$7:$D$91,0),MATCH(Calculation!$G85,'Gross Dx Plant'!$E$5:$AD$5,0))</f>
        <v>914248</v>
      </c>
      <c r="CF85" s="118">
        <f>INDEX('Gross Gen Plant'!$E$7:$AD$91,MATCH($C85,'Gross Gen Plant'!$D$7:$D$91,0),MATCH(Calculation!$G85,'Gross Gen Plant'!$E$5:$AD$5,0))</f>
        <v>6007</v>
      </c>
      <c r="CG85" s="118">
        <f t="shared" si="7"/>
        <v>655769</v>
      </c>
      <c r="CH85" s="118"/>
      <c r="CI85" s="121">
        <v>1999</v>
      </c>
      <c r="CJ85" s="118"/>
      <c r="CK85" s="118"/>
      <c r="CL85" s="118"/>
      <c r="CM85" s="183"/>
      <c r="CN85" s="118">
        <f t="shared" ref="CN85:CN107" si="155">+BT85+BS85</f>
        <v>54256</v>
      </c>
      <c r="CO85" s="118">
        <f t="shared" ref="CO85:CO107" si="156">+CN85/$DM85</f>
        <v>161.80124172273798</v>
      </c>
      <c r="CP85" s="186">
        <v>0.99502487562189057</v>
      </c>
      <c r="CQ85" s="118">
        <f>+CQ84*CP85+CO85</f>
        <v>3246.5250554810668</v>
      </c>
      <c r="CR85" s="119">
        <f t="shared" ref="CR85:CR106" si="157">LN(CQ85/CQ84)</f>
        <v>4.6135541290072725E-2</v>
      </c>
      <c r="CS85" s="119"/>
      <c r="CT85" s="177">
        <f t="shared" ref="CT85:CT107" si="158">+(CQ84-CQ85+CO85)/CQ84</f>
        <v>4.9751243781094917E-3</v>
      </c>
      <c r="CU85" s="177"/>
      <c r="CV85" s="119">
        <f>VLOOKUP($H85,RoR!$E:$F,2,FALSE)</f>
        <v>7.0416666666666669E-2</v>
      </c>
      <c r="CW85" s="177">
        <v>1.4335631817396832E-2</v>
      </c>
      <c r="CX85" s="177">
        <f>+CV85-CW85</f>
        <v>5.6081034849269837E-2</v>
      </c>
      <c r="CY85" s="177"/>
      <c r="CZ85" s="177"/>
      <c r="DA85" s="187">
        <f t="shared" ref="DA85:DA107" si="159">1-DF85*DG85</f>
        <v>0.84965624875000001</v>
      </c>
      <c r="DB85" s="188">
        <f t="shared" ref="DB85:DB107" si="160">2/(DK85*39)</f>
        <v>0.72826581702321336</v>
      </c>
      <c r="DC85" s="188">
        <f t="shared" ref="DC85:DC107" si="161">+(DK85*40-(1+DK85))/(DK85*40)</f>
        <v>0.61997041420118348</v>
      </c>
      <c r="DD85" s="188">
        <f t="shared" ref="DD85:DD107" si="162">+(1-(1/(1+DK85)^40))</f>
        <v>0.93425155319585029</v>
      </c>
      <c r="DE85" s="188">
        <f t="shared" ref="DE85:DE107" si="163">+DD85*DC85*DB85</f>
        <v>0.42181762214141483</v>
      </c>
      <c r="DF85" s="189">
        <f>INDEX('State Tax Lookup'!$D$7:$Z$91,MATCH(Calculation!$C85,'State Tax Lookup'!$B$7:$B$91,0),MATCH($H85,'State Tax Lookup'!$D$6:$Z$6,0))</f>
        <v>0.40091666999999998</v>
      </c>
      <c r="DG85" s="189">
        <v>0.375</v>
      </c>
      <c r="DH85" s="190"/>
      <c r="DI85" s="190"/>
      <c r="DJ85" s="177"/>
      <c r="DK85" s="189">
        <f>VLOOKUP($H85,RoR!$E:$F,2,FALSE)</f>
        <v>7.0416666666666669E-2</v>
      </c>
      <c r="DL85" s="191">
        <f>HLOOKUP($H85,'GDP-PI'!$D$8:$CQ$11,3,FALSE)</f>
        <v>1.4335631817396832E-2</v>
      </c>
      <c r="DM85" s="189">
        <f>VLOOKUP(H85,'HW Dx Data'!$E:$F,2,FALSE)</f>
        <v>335.32499146683239</v>
      </c>
      <c r="DN85" s="183" t="e">
        <f>VLOOKUP(H85,'ECI - Input Price'!$G$17:$H$37,2,FALSE)</f>
        <v>#N/A</v>
      </c>
      <c r="DO85" s="177"/>
      <c r="DP85" s="183">
        <f>HLOOKUP(H85,'GDP-PI'!$8:$9,2,FALSE)</f>
        <v>76.346000000000004</v>
      </c>
      <c r="DR85" s="167">
        <v>133.85</v>
      </c>
      <c r="DS85" s="167">
        <v>4.7443061840120659</v>
      </c>
      <c r="DV85" s="192">
        <v>2.2420051132432027E-2</v>
      </c>
      <c r="DW85" s="192">
        <v>4.02E-2</v>
      </c>
      <c r="DX85" s="192">
        <f t="shared" si="116"/>
        <v>9.012860555237675E-4</v>
      </c>
      <c r="DY85" s="192">
        <v>3.4299999999999997E-2</v>
      </c>
      <c r="DZ85" s="192">
        <f t="shared" si="117"/>
        <v>7.6900775384241844E-4</v>
      </c>
      <c r="EA85" s="192">
        <v>3.1699999999999999E-2</v>
      </c>
      <c r="EB85" s="192">
        <f t="shared" si="118"/>
        <v>7.107156208980952E-4</v>
      </c>
      <c r="EC85" s="192">
        <v>2.7699999999999999E-2</v>
      </c>
      <c r="ED85" s="192">
        <f t="shared" si="119"/>
        <v>6.2103541636836712E-4</v>
      </c>
      <c r="EE85" s="192">
        <v>2.3400000000000001E-2</v>
      </c>
      <c r="EF85" s="192">
        <f t="shared" si="120"/>
        <v>5.2462919649890946E-4</v>
      </c>
    </row>
    <row r="86" spans="1:136" s="167" customFormat="1" ht="21" x14ac:dyDescent="0.35">
      <c r="A86" s="167" t="s">
        <v>31</v>
      </c>
      <c r="B86" s="168" t="s">
        <v>31</v>
      </c>
      <c r="C86" s="168">
        <v>4007784</v>
      </c>
      <c r="D86" s="168" t="s">
        <v>134</v>
      </c>
      <c r="E86" s="168"/>
      <c r="F86" s="168"/>
      <c r="G86" s="168" t="s">
        <v>6</v>
      </c>
      <c r="H86" s="169">
        <v>2000</v>
      </c>
      <c r="I86" s="170"/>
      <c r="J86" s="166"/>
      <c r="K86" s="166"/>
      <c r="L86" s="166"/>
      <c r="M86" s="166"/>
      <c r="N86" s="196"/>
      <c r="O86" s="166"/>
      <c r="P86" s="166"/>
      <c r="Q86" s="166"/>
      <c r="R86" s="166"/>
      <c r="S86" s="166"/>
      <c r="T86" s="166"/>
      <c r="U86" s="166"/>
      <c r="V86" s="166">
        <f t="shared" si="153"/>
        <v>0</v>
      </c>
      <c r="W86" s="170"/>
      <c r="X86" s="174">
        <v>3369.3652780334437</v>
      </c>
      <c r="Y86" s="175">
        <v>3.7139171201192346E-2</v>
      </c>
      <c r="Z86" s="175"/>
      <c r="AA86" s="175"/>
      <c r="AB86" s="175"/>
      <c r="AC86" s="170">
        <f t="shared" si="85"/>
        <v>0</v>
      </c>
      <c r="AD86" s="175"/>
      <c r="AE86" s="170"/>
      <c r="AF86" s="170"/>
      <c r="AG86" s="174"/>
      <c r="AH86" s="175"/>
      <c r="AI86" s="175"/>
      <c r="AJ86" s="174"/>
      <c r="AK86" s="174"/>
      <c r="AL86" s="120"/>
      <c r="AM86" s="120"/>
      <c r="AN86" s="120"/>
      <c r="AO86" s="120"/>
      <c r="AP86" s="120"/>
      <c r="AQ86" s="175"/>
      <c r="AR86" s="120"/>
      <c r="AS86" s="120"/>
      <c r="AT86" s="120"/>
      <c r="AU86" s="120"/>
      <c r="AV86" s="120"/>
      <c r="AW86" s="120"/>
      <c r="AX86" s="120"/>
      <c r="AY86" s="120"/>
      <c r="AZ86" s="118">
        <f>IFERROR(INDEX('Total Customers'!$F$7:$AB$91,MATCH($C86,'Total Customers'!$D$7:$D$91,0),MATCH($G86,'Total Customers'!$F$5:$AB$5,0)),"NA")</f>
        <v>595260</v>
      </c>
      <c r="BA86" s="119">
        <f t="shared" si="154"/>
        <v>1.9326780444583688E-2</v>
      </c>
      <c r="BB86" s="119"/>
      <c r="BC86" s="121"/>
      <c r="BD86" s="119"/>
      <c r="BE86" s="119"/>
      <c r="BF86" s="119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  <c r="BQ86" s="118"/>
      <c r="BR86" s="118"/>
      <c r="BS86" s="118">
        <f>INDEX('Dist. Plant Gas Additions'!$F$7:$AE$91,MATCH($C86,'Dist. Plant Gas Additions'!$D$7:$D$91,0),MATCH(Calculation!$G86,'Dist. Plant Gas Additions'!$F$5:$AE$5,0))</f>
        <v>48342</v>
      </c>
      <c r="BT86" s="118">
        <f>INDEX('Gen. Plant Additions'!$F$7:$AE$91,MATCH($C86,'Gen. Plant Additions'!$D$7:$D$91,0),MATCH(Calculation!$G86,'Gen. Plant Additions'!$F$5:$AE$5,0))</f>
        <v>12</v>
      </c>
      <c r="BU86" s="118"/>
      <c r="BV86" s="118"/>
      <c r="BW86" s="118">
        <f>INDEX('Dist Plant Depreciation'!$E$7:$AD$94,MATCH($C86,'Dist Plant Depreciation'!$D$7:$D$94,0),MATCH(Calculation!$G86,'Dist Plant Depreciation'!$E$5:$AD$5,0))</f>
        <v>269509</v>
      </c>
      <c r="BX86" s="118">
        <f>INDEX('Gen. Plant Depreciation'!$E$7:$AD$94,MATCH($C86,'Gen. Plant Depreciation'!$D$7:$D$94,0),MATCH(Calculation!$G86,'Gen. Plant Depreciation'!$E$5:$AD$5,0))</f>
        <v>-807</v>
      </c>
      <c r="BY86" s="183">
        <v>1979</v>
      </c>
      <c r="BZ86" s="183">
        <f t="shared" si="66"/>
        <v>32</v>
      </c>
      <c r="CA86" s="178">
        <v>178.3682330743728</v>
      </c>
      <c r="CB86" s="184">
        <f t="shared" si="67"/>
        <v>2.4132730015082957E-2</v>
      </c>
      <c r="CC86" s="185">
        <f t="shared" si="68"/>
        <v>4.3045124120512295</v>
      </c>
      <c r="CD86" s="185"/>
      <c r="CE86" s="118">
        <f>INDEX('Gross Dx Plant'!$E$7:$AD$91,MATCH($C86,'Gross Dx Plant'!$D$7:$D$91,0),MATCH(Calculation!$G86,'Gross Dx Plant'!$E$5:$AD$5,0))</f>
        <v>939292</v>
      </c>
      <c r="CF86" s="118">
        <f>INDEX('Gross Gen Plant'!$E$7:$AD$91,MATCH($C86,'Gross Gen Plant'!$D$7:$D$91,0),MATCH(Calculation!$G86,'Gross Gen Plant'!$E$5:$AD$5,0))</f>
        <v>5663</v>
      </c>
      <c r="CG86" s="118">
        <f t="shared" si="7"/>
        <v>676253</v>
      </c>
      <c r="CH86" s="118"/>
      <c r="CI86" s="121">
        <v>2000</v>
      </c>
      <c r="CJ86" s="118"/>
      <c r="CK86" s="118"/>
      <c r="CL86" s="118"/>
      <c r="CM86" s="183"/>
      <c r="CN86" s="118">
        <f t="shared" si="155"/>
        <v>48354</v>
      </c>
      <c r="CO86" s="118">
        <f t="shared" si="156"/>
        <v>139.53620531929519</v>
      </c>
      <c r="CP86" s="186">
        <v>0.98989898989898994</v>
      </c>
      <c r="CQ86" s="118">
        <f>+CQ84*CP86+CO85*CP85+CO86</f>
        <v>3369.3652780334437</v>
      </c>
      <c r="CR86" s="119">
        <f t="shared" si="157"/>
        <v>3.7139171201192346E-2</v>
      </c>
      <c r="CS86" s="119"/>
      <c r="CT86" s="177">
        <f t="shared" si="158"/>
        <v>5.1427241378379958E-3</v>
      </c>
      <c r="CU86" s="177"/>
      <c r="CV86" s="119">
        <f>VLOOKUP($H86,RoR!$E:$F,2,FALSE)</f>
        <v>7.6225000000000001E-2</v>
      </c>
      <c r="CW86" s="177">
        <v>2.2568307442433211E-2</v>
      </c>
      <c r="CX86" s="177">
        <f t="shared" ref="CX86:CX106" si="164">+CV86-CW86</f>
        <v>5.365669255756679E-2</v>
      </c>
      <c r="CY86" s="177"/>
      <c r="CZ86" s="177"/>
      <c r="DA86" s="187">
        <f t="shared" si="159"/>
        <v>0.84965624875000001</v>
      </c>
      <c r="DB86" s="188">
        <f t="shared" si="160"/>
        <v>0.67277207323124022</v>
      </c>
      <c r="DC86" s="188">
        <f t="shared" si="161"/>
        <v>0.6470236142997704</v>
      </c>
      <c r="DD86" s="188">
        <f t="shared" si="162"/>
        <v>0.94704866037543145</v>
      </c>
      <c r="DE86" s="188">
        <f t="shared" si="163"/>
        <v>0.41224973107878493</v>
      </c>
      <c r="DF86" s="189">
        <f>INDEX('State Tax Lookup'!$D$7:$Z$91,MATCH(Calculation!$C86,'State Tax Lookup'!$B$7:$B$91,0),MATCH($H86,'State Tax Lookup'!$D$6:$Z$6,0))</f>
        <v>0.40091666999999998</v>
      </c>
      <c r="DG86" s="189">
        <v>0.375</v>
      </c>
      <c r="DH86" s="190"/>
      <c r="DI86" s="190"/>
      <c r="DJ86" s="177"/>
      <c r="DK86" s="189">
        <f>VLOOKUP($H86,RoR!$E:$F,2,FALSE)</f>
        <v>7.6225000000000001E-2</v>
      </c>
      <c r="DL86" s="191">
        <f>HLOOKUP($H86,'GDP-PI'!$D$8:$CQ$11,3,FALSE)</f>
        <v>2.2568307442433211E-2</v>
      </c>
      <c r="DM86" s="189">
        <f>VLOOKUP(H86,'HW Dx Data'!$E:$F,2,FALSE)</f>
        <v>346.53371782150339</v>
      </c>
      <c r="DN86" s="183" t="e">
        <f>VLOOKUP(H86,'ECI - Input Price'!$G$17:$H$37,2,FALSE)</f>
        <v>#N/A</v>
      </c>
      <c r="DO86" s="177"/>
      <c r="DP86" s="183">
        <f>HLOOKUP(H86,'GDP-PI'!$8:$9,2,FALSE)</f>
        <v>78.069000000000003</v>
      </c>
      <c r="DR86" s="167">
        <v>138.84166666666667</v>
      </c>
      <c r="DS86" s="167">
        <v>5.025942684766215</v>
      </c>
      <c r="DV86" s="192">
        <v>7.3593382416691673E-3</v>
      </c>
      <c r="DW86" s="192">
        <v>3.04E-2</v>
      </c>
      <c r="DX86" s="192">
        <f t="shared" si="116"/>
        <v>2.2372388254674269E-4</v>
      </c>
      <c r="DY86" s="192">
        <v>2.3599999999999999E-2</v>
      </c>
      <c r="DZ86" s="192">
        <f t="shared" si="117"/>
        <v>1.7368038250339235E-4</v>
      </c>
      <c r="EA86" s="192">
        <v>2.0500000000000001E-2</v>
      </c>
      <c r="EB86" s="192">
        <f t="shared" si="118"/>
        <v>1.5086643395421793E-4</v>
      </c>
      <c r="EC86" s="192">
        <v>1.5699999999999999E-2</v>
      </c>
      <c r="ED86" s="192">
        <f t="shared" si="119"/>
        <v>1.1554161039420592E-4</v>
      </c>
      <c r="EE86" s="192">
        <v>1.0500000000000001E-2</v>
      </c>
      <c r="EF86" s="192">
        <f t="shared" si="120"/>
        <v>7.7273051537526258E-5</v>
      </c>
    </row>
    <row r="87" spans="1:136" s="167" customFormat="1" ht="21" x14ac:dyDescent="0.35">
      <c r="A87" s="167" t="s">
        <v>31</v>
      </c>
      <c r="B87" s="168" t="s">
        <v>31</v>
      </c>
      <c r="C87" s="168">
        <v>4007784</v>
      </c>
      <c r="D87" s="168" t="s">
        <v>134</v>
      </c>
      <c r="E87" s="168"/>
      <c r="F87" s="168"/>
      <c r="G87" s="168" t="s">
        <v>7</v>
      </c>
      <c r="H87" s="169">
        <v>2001</v>
      </c>
      <c r="I87" s="170"/>
      <c r="J87" s="166"/>
      <c r="K87" s="166"/>
      <c r="L87" s="166"/>
      <c r="M87" s="166"/>
      <c r="N87" s="196"/>
      <c r="O87" s="166"/>
      <c r="P87" s="166"/>
      <c r="Q87" s="166"/>
      <c r="R87" s="166"/>
      <c r="S87" s="166"/>
      <c r="T87" s="166"/>
      <c r="U87" s="166"/>
      <c r="V87" s="166">
        <f t="shared" si="153"/>
        <v>43506.94626206789</v>
      </c>
      <c r="W87" s="170"/>
      <c r="X87" s="174">
        <v>3477.7022173737814</v>
      </c>
      <c r="Y87" s="175">
        <v>3.1647411512160571E-2</v>
      </c>
      <c r="Z87" s="175"/>
      <c r="AA87" s="175"/>
      <c r="AB87" s="175"/>
      <c r="AC87" s="170">
        <f t="shared" si="85"/>
        <v>43506.94626206789</v>
      </c>
      <c r="AD87" s="175"/>
      <c r="AE87" s="170"/>
      <c r="AF87" s="170"/>
      <c r="AG87" s="174"/>
      <c r="AH87" s="175"/>
      <c r="AI87" s="175"/>
      <c r="AJ87" s="174"/>
      <c r="AK87" s="174"/>
      <c r="AL87" s="120"/>
      <c r="AM87" s="120"/>
      <c r="AN87" s="120"/>
      <c r="AO87" s="120"/>
      <c r="AP87" s="120"/>
      <c r="AQ87" s="175"/>
      <c r="AR87" s="120"/>
      <c r="AS87" s="120"/>
      <c r="AT87" s="120"/>
      <c r="AU87" s="120"/>
      <c r="AV87" s="120"/>
      <c r="AW87" s="120"/>
      <c r="AX87" s="120"/>
      <c r="AY87" s="120"/>
      <c r="AZ87" s="118">
        <f>IFERROR(INDEX('Total Customers'!$F$7:$AB$91,MATCH($C87,'Total Customers'!$D$7:$D$91,0),MATCH($G87,'Total Customers'!$F$5:$AB$5,0)),"NA")</f>
        <v>598535</v>
      </c>
      <c r="BA87" s="119">
        <f t="shared" si="154"/>
        <v>5.4867179304642563E-3</v>
      </c>
      <c r="BB87" s="119"/>
      <c r="BC87" s="121"/>
      <c r="BD87" s="119"/>
      <c r="BE87" s="119"/>
      <c r="BF87" s="119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  <c r="BQ87" s="118"/>
      <c r="BR87" s="118"/>
      <c r="BS87" s="118">
        <f>INDEX('Dist. Plant Gas Additions'!$F$7:$AE$91,MATCH($C87,'Dist. Plant Gas Additions'!$D$7:$D$91,0),MATCH(Calculation!$G87,'Dist. Plant Gas Additions'!$F$5:$AE$5,0))</f>
        <v>44374</v>
      </c>
      <c r="BT87" s="118">
        <f>INDEX('Gen. Plant Additions'!$F$7:$AE$91,MATCH($C87,'Gen. Plant Additions'!$D$7:$D$91,0),MATCH(Calculation!$G87,'Gen. Plant Additions'!$F$5:$AE$5,0))</f>
        <v>0</v>
      </c>
      <c r="BU87" s="118"/>
      <c r="BV87" s="118"/>
      <c r="BW87" s="118">
        <f>INDEX('Dist Plant Depreciation'!$E$7:$AD$94,MATCH($C87,'Dist Plant Depreciation'!$D$7:$D$94,0),MATCH(Calculation!$G87,'Dist Plant Depreciation'!$E$5:$AD$5,0))</f>
        <v>276593</v>
      </c>
      <c r="BX87" s="118">
        <f>INDEX('Gen. Plant Depreciation'!$E$7:$AD$94,MATCH($C87,'Gen. Plant Depreciation'!$D$7:$D$94,0),MATCH(Calculation!$G87,'Gen. Plant Depreciation'!$E$5:$AD$5,0))</f>
        <v>-1496</v>
      </c>
      <c r="BY87" s="183">
        <v>1980</v>
      </c>
      <c r="BZ87" s="183">
        <f t="shared" si="66"/>
        <v>33</v>
      </c>
      <c r="CA87" s="178">
        <v>194.39507432314332</v>
      </c>
      <c r="CB87" s="184">
        <f t="shared" si="67"/>
        <v>2.4886877828054297E-2</v>
      </c>
      <c r="CC87" s="185">
        <f t="shared" si="68"/>
        <v>4.837886465055603</v>
      </c>
      <c r="CD87" s="185"/>
      <c r="CE87" s="118">
        <f>INDEX('Gross Dx Plant'!$E$7:$AD$91,MATCH($C87,'Gross Dx Plant'!$D$7:$D$91,0),MATCH(Calculation!$G87,'Gross Dx Plant'!$E$5:$AD$5,0))</f>
        <v>962452</v>
      </c>
      <c r="CF87" s="118">
        <f>INDEX('Gross Gen Plant'!$E$7:$AD$91,MATCH($C87,'Gross Gen Plant'!$D$7:$D$91,0),MATCH(Calculation!$G87,'Gross Gen Plant'!$E$5:$AD$5,0))</f>
        <v>4353</v>
      </c>
      <c r="CG87" s="118">
        <f t="shared" si="7"/>
        <v>691708</v>
      </c>
      <c r="CH87" s="118"/>
      <c r="CI87" s="121">
        <v>2001</v>
      </c>
      <c r="CJ87" s="118"/>
      <c r="CK87" s="118"/>
      <c r="CL87" s="118"/>
      <c r="CM87" s="183"/>
      <c r="CN87" s="118">
        <f t="shared" si="155"/>
        <v>44374</v>
      </c>
      <c r="CO87" s="118">
        <f t="shared" si="156"/>
        <v>125.54626937127267</v>
      </c>
      <c r="CP87" s="186">
        <v>0.98461538461538467</v>
      </c>
      <c r="CQ87" s="118">
        <f>+CQ84*CP87+CO85*CP86+CO86*CP84+CO87</f>
        <v>3477.7022173737814</v>
      </c>
      <c r="CR87" s="119">
        <f t="shared" si="157"/>
        <v>3.1647411512160571E-2</v>
      </c>
      <c r="CS87" s="119"/>
      <c r="CT87" s="177">
        <f t="shared" si="158"/>
        <v>5.1075881095858236E-3</v>
      </c>
      <c r="CU87" s="177">
        <f>+(CT87+CT86+CT85)/3</f>
        <v>5.075145541844437E-3</v>
      </c>
      <c r="CV87" s="119">
        <f>VLOOKUP($H87,RoR!$E:$F,2,FALSE)</f>
        <v>7.0824999999999999E-2</v>
      </c>
      <c r="CW87" s="177">
        <v>2.2454495382290052E-2</v>
      </c>
      <c r="CX87" s="177">
        <f t="shared" si="164"/>
        <v>4.8370504617709947E-2</v>
      </c>
      <c r="CY87" s="177">
        <f>+$CX$35-CU87</f>
        <v>2.5826796066689188E-2</v>
      </c>
      <c r="CZ87" s="177">
        <f>+((DM85/DM84-1)+(DM86/DM85-1)+(DM87/DM86-1))/3</f>
        <v>2.3947275901631187E-2</v>
      </c>
      <c r="DA87" s="187">
        <f t="shared" si="159"/>
        <v>0.84965624875000001</v>
      </c>
      <c r="DB87" s="188">
        <f t="shared" si="160"/>
        <v>0.72406708481540816</v>
      </c>
      <c r="DC87" s="188">
        <f t="shared" si="161"/>
        <v>0.62201729615248857</v>
      </c>
      <c r="DD87" s="188">
        <f t="shared" si="162"/>
        <v>0.9352469954311422</v>
      </c>
      <c r="DE87" s="188">
        <f t="shared" si="163"/>
        <v>0.42121864641655071</v>
      </c>
      <c r="DF87" s="189">
        <f>INDEX('State Tax Lookup'!$D$7:$Z$91,MATCH(Calculation!$C87,'State Tax Lookup'!$B$7:$B$91,0),MATCH($H87,'State Tax Lookup'!$D$6:$Z$6,0))</f>
        <v>0.40091666999999998</v>
      </c>
      <c r="DG87" s="189">
        <v>0.375</v>
      </c>
      <c r="DH87" s="190">
        <f t="shared" ref="DH87:DH107" si="165">+(DM87*CY87-CZ87)*DA87/(1-DF87)</f>
        <v>12.912505077947815</v>
      </c>
      <c r="DI87" s="190"/>
      <c r="DJ87" s="177"/>
      <c r="DK87" s="189">
        <f>VLOOKUP($H87,RoR!$E:$F,2,FALSE)</f>
        <v>7.0824999999999999E-2</v>
      </c>
      <c r="DL87" s="191">
        <f>HLOOKUP($H87,'GDP-PI'!$D$8:$CQ$11,3,FALSE)</f>
        <v>2.2454495382290052E-2</v>
      </c>
      <c r="DM87" s="189">
        <f>VLOOKUP(H87,'HW Dx Data'!$E:$F,2,FALSE)</f>
        <v>353.44738017483138</v>
      </c>
      <c r="DN87" s="183">
        <f>VLOOKUP(H87,'ECI - Input Price'!$G$17:$H$37,2,FALSE)</f>
        <v>86.2</v>
      </c>
      <c r="DO87" s="177"/>
      <c r="DP87" s="183">
        <f>HLOOKUP(H87,'GDP-PI'!$8:$9,2,FALSE)</f>
        <v>79.822000000000003</v>
      </c>
      <c r="DR87" s="167">
        <v>139.63333333333333</v>
      </c>
      <c r="DS87" s="167">
        <v>5.1599044746103564</v>
      </c>
      <c r="DV87" s="192">
        <v>3.740588547769981E-2</v>
      </c>
      <c r="DW87" s="192">
        <v>3.15E-2</v>
      </c>
      <c r="DX87" s="192">
        <f t="shared" si="116"/>
        <v>1.178285392547544E-3</v>
      </c>
      <c r="DY87" s="192">
        <v>2.4500000000000001E-2</v>
      </c>
      <c r="DZ87" s="192">
        <f t="shared" si="117"/>
        <v>9.1644419420364534E-4</v>
      </c>
      <c r="EA87" s="192">
        <v>2.1399999999999999E-2</v>
      </c>
      <c r="EB87" s="192">
        <f t="shared" si="118"/>
        <v>8.0048594922277588E-4</v>
      </c>
      <c r="EC87" s="192">
        <v>1.6500000000000001E-2</v>
      </c>
      <c r="ED87" s="192">
        <f t="shared" si="119"/>
        <v>6.1719711038204692E-4</v>
      </c>
      <c r="EE87" s="192">
        <v>1.11E-2</v>
      </c>
      <c r="EF87" s="192">
        <f t="shared" si="120"/>
        <v>4.1520532880246793E-4</v>
      </c>
    </row>
    <row r="88" spans="1:136" s="167" customFormat="1" ht="21" x14ac:dyDescent="0.35">
      <c r="A88" s="167" t="s">
        <v>31</v>
      </c>
      <c r="B88" s="168" t="s">
        <v>31</v>
      </c>
      <c r="C88" s="168">
        <v>4007784</v>
      </c>
      <c r="D88" s="168" t="s">
        <v>134</v>
      </c>
      <c r="E88" s="168"/>
      <c r="F88" s="168"/>
      <c r="G88" s="168" t="s">
        <v>8</v>
      </c>
      <c r="H88" s="169">
        <v>2002</v>
      </c>
      <c r="I88" s="170"/>
      <c r="J88" s="166"/>
      <c r="K88" s="166"/>
      <c r="L88" s="166"/>
      <c r="M88" s="166"/>
      <c r="N88" s="196"/>
      <c r="O88" s="166"/>
      <c r="P88" s="166"/>
      <c r="Q88" s="166"/>
      <c r="R88" s="166"/>
      <c r="S88" s="166"/>
      <c r="T88" s="166"/>
      <c r="U88" s="166"/>
      <c r="V88" s="166">
        <f t="shared" si="153"/>
        <v>45482.448979587673</v>
      </c>
      <c r="W88" s="170"/>
      <c r="X88" s="174">
        <v>3565.2196081268339</v>
      </c>
      <c r="Y88" s="175">
        <v>2.4853859786458567E-2</v>
      </c>
      <c r="Z88" s="175"/>
      <c r="AA88" s="175"/>
      <c r="AB88" s="175"/>
      <c r="AC88" s="170">
        <f t="shared" si="85"/>
        <v>45482.448979587673</v>
      </c>
      <c r="AD88" s="175"/>
      <c r="AE88" s="170"/>
      <c r="AF88" s="170"/>
      <c r="AG88" s="174"/>
      <c r="AH88" s="175"/>
      <c r="AI88" s="175"/>
      <c r="AJ88" s="174"/>
      <c r="AK88" s="174"/>
      <c r="AL88" s="120"/>
      <c r="AM88" s="120"/>
      <c r="AN88" s="120"/>
      <c r="AO88" s="120"/>
      <c r="AP88" s="120"/>
      <c r="AQ88" s="175"/>
      <c r="AR88" s="120"/>
      <c r="AS88" s="120"/>
      <c r="AT88" s="120"/>
      <c r="AU88" s="120"/>
      <c r="AV88" s="120"/>
      <c r="AW88" s="120"/>
      <c r="AX88" s="120"/>
      <c r="AY88" s="120"/>
      <c r="AZ88" s="118">
        <f>IFERROR(INDEX('Total Customers'!$F$7:$AB$91,MATCH($C88,'Total Customers'!$D$7:$D$91,0),MATCH($G88,'Total Customers'!$F$5:$AB$5,0)),"NA")</f>
        <v>609349</v>
      </c>
      <c r="BA88" s="119">
        <f t="shared" si="154"/>
        <v>1.7906171354866506E-2</v>
      </c>
      <c r="BB88" s="119"/>
      <c r="BC88" s="121"/>
      <c r="BD88" s="119"/>
      <c r="BE88" s="119"/>
      <c r="BF88" s="119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18"/>
      <c r="BR88" s="118"/>
      <c r="BS88" s="118">
        <f>INDEX('Dist. Plant Gas Additions'!$F$7:$AE$91,MATCH($C88,'Dist. Plant Gas Additions'!$D$7:$D$91,0),MATCH(Calculation!$G88,'Dist. Plant Gas Additions'!$F$5:$AE$5,0))</f>
        <v>38181</v>
      </c>
      <c r="BT88" s="118">
        <f>INDEX('Gen. Plant Additions'!$F$7:$AE$91,MATCH($C88,'Gen. Plant Additions'!$D$7:$D$91,0),MATCH(Calculation!$G88,'Gen. Plant Additions'!$F$5:$AE$5,0))</f>
        <v>591</v>
      </c>
      <c r="BU88" s="118"/>
      <c r="BV88" s="118"/>
      <c r="BW88" s="118">
        <f>INDEX('Dist Plant Depreciation'!$E$7:$AD$94,MATCH($C88,'Dist Plant Depreciation'!$D$7:$D$94,0),MATCH(Calculation!$G88,'Dist Plant Depreciation'!$E$5:$AD$5,0))</f>
        <v>290340</v>
      </c>
      <c r="BX88" s="118">
        <f>INDEX('Gen. Plant Depreciation'!$E$7:$AD$94,MATCH($C88,'Gen. Plant Depreciation'!$D$7:$D$94,0),MATCH(Calculation!$G88,'Gen. Plant Depreciation'!$E$5:$AD$5,0))</f>
        <v>-1497</v>
      </c>
      <c r="BY88" s="183">
        <v>1981</v>
      </c>
      <c r="BZ88" s="183">
        <f t="shared" si="66"/>
        <v>34</v>
      </c>
      <c r="CA88" s="178">
        <v>214.1277774902656</v>
      </c>
      <c r="CB88" s="184">
        <f t="shared" si="67"/>
        <v>2.564102564102564E-2</v>
      </c>
      <c r="CC88" s="185">
        <f t="shared" si="68"/>
        <v>5.4904558330837334</v>
      </c>
      <c r="CD88" s="185"/>
      <c r="CE88" s="118">
        <f>INDEX('Gross Dx Plant'!$E$7:$AD$91,MATCH($C88,'Gross Dx Plant'!$D$7:$D$91,0),MATCH(Calculation!$G88,'Gross Dx Plant'!$E$5:$AD$5,0))</f>
        <v>985953</v>
      </c>
      <c r="CF88" s="118">
        <f>INDEX('Gross Gen Plant'!$E$7:$AD$91,MATCH($C88,'Gross Gen Plant'!$D$7:$D$91,0),MATCH(Calculation!$G88,'Gross Gen Plant'!$E$5:$AD$5,0))</f>
        <v>4864</v>
      </c>
      <c r="CG88" s="118">
        <f t="shared" si="7"/>
        <v>701974</v>
      </c>
      <c r="CH88" s="118"/>
      <c r="CI88" s="121">
        <v>2002</v>
      </c>
      <c r="CJ88" s="118"/>
      <c r="CK88" s="118"/>
      <c r="CL88" s="118"/>
      <c r="CM88" s="183"/>
      <c r="CN88" s="118">
        <f t="shared" si="155"/>
        <v>38772</v>
      </c>
      <c r="CO88" s="118">
        <f t="shared" si="156"/>
        <v>107.29817853434663</v>
      </c>
      <c r="CP88" s="186">
        <v>0.97916666666666663</v>
      </c>
      <c r="CQ88" s="118">
        <f>+CQ84*CP88+CO85*CP87+CO86*CP86+CO87*CP85+CO88</f>
        <v>3565.2196081268339</v>
      </c>
      <c r="CR88" s="119">
        <f t="shared" si="157"/>
        <v>2.4853859786458567E-2</v>
      </c>
      <c r="CS88" s="119"/>
      <c r="CT88" s="177">
        <f t="shared" si="158"/>
        <v>5.6878900333887069E-3</v>
      </c>
      <c r="CU88" s="177">
        <f t="shared" ref="CU88:CU107" si="166">+(CT88+CT87+CT86)/3</f>
        <v>5.3127340936041751E-3</v>
      </c>
      <c r="CV88" s="119">
        <f>VLOOKUP($H88,RoR!$E:$F,2,FALSE)</f>
        <v>6.4916666666666664E-2</v>
      </c>
      <c r="CW88" s="177">
        <v>1.5246423291824351E-2</v>
      </c>
      <c r="CX88" s="177">
        <f t="shared" si="164"/>
        <v>4.9670243374842313E-2</v>
      </c>
      <c r="CY88" s="177">
        <f t="shared" ref="CY88:CY107" si="167">+$CX$35-CU88</f>
        <v>2.5589207514929449E-2</v>
      </c>
      <c r="CZ88" s="177">
        <f t="shared" ref="CZ88:CZ107" si="168">+((DM86/DM85-1)+(DM87/DM86-1)+(DM88/DM87-1))/3</f>
        <v>2.5243621214759093E-2</v>
      </c>
      <c r="DA88" s="187">
        <f t="shared" si="159"/>
        <v>0.84965624875000001</v>
      </c>
      <c r="DB88" s="188">
        <f t="shared" si="160"/>
        <v>0.78996741384417901</v>
      </c>
      <c r="DC88" s="188">
        <f t="shared" si="161"/>
        <v>0.58989088575096271</v>
      </c>
      <c r="DD88" s="188">
        <f t="shared" si="162"/>
        <v>0.91920675783645744</v>
      </c>
      <c r="DE88" s="188">
        <f t="shared" si="163"/>
        <v>0.42834536472275586</v>
      </c>
      <c r="DF88" s="189">
        <f>INDEX('State Tax Lookup'!$D$7:$Z$91,MATCH(Calculation!$C88,'State Tax Lookup'!$B$7:$B$91,0),MATCH($H88,'State Tax Lookup'!$D$6:$Z$6,0))</f>
        <v>0.40091666999999998</v>
      </c>
      <c r="DG88" s="189">
        <v>0.375</v>
      </c>
      <c r="DH88" s="190">
        <f t="shared" si="165"/>
        <v>13.078304620898267</v>
      </c>
      <c r="DI88" s="190"/>
      <c r="DJ88" s="177"/>
      <c r="DK88" s="189">
        <f>VLOOKUP($H88,RoR!$E:$F,2,FALSE)</f>
        <v>6.4916666666666664E-2</v>
      </c>
      <c r="DL88" s="191">
        <f>HLOOKUP($H88,'GDP-PI'!$D$8:$CQ$11,3,FALSE)</f>
        <v>1.5246423291824351E-2</v>
      </c>
      <c r="DM88" s="189">
        <f>VLOOKUP(H88,'HW Dx Data'!$E:$F,2,FALSE)</f>
        <v>361.34816573413599</v>
      </c>
      <c r="DN88" s="183">
        <f>VLOOKUP(H88,'ECI - Input Price'!$G$17:$H$37,2,FALSE)</f>
        <v>89.275000000000006</v>
      </c>
      <c r="DO88" s="177">
        <f>LN(DN88/DN87)</f>
        <v>3.5051315810864674E-2</v>
      </c>
      <c r="DP88" s="183">
        <f>HLOOKUP(H88,'GDP-PI'!$8:$9,2,FALSE)</f>
        <v>81.039000000000001</v>
      </c>
      <c r="DQ88" s="177">
        <f>LN(DP88/DP87)</f>
        <v>1.513136459537477E-2</v>
      </c>
      <c r="DR88" s="167">
        <v>142.07499999999999</v>
      </c>
      <c r="DS88" s="167">
        <v>5.3572775263951726</v>
      </c>
      <c r="DV88" s="192">
        <v>1.1866993807196297E-2</v>
      </c>
      <c r="DW88" s="192">
        <v>4.3499999999999997E-2</v>
      </c>
      <c r="DX88" s="192">
        <f t="shared" si="116"/>
        <v>5.1621423061303884E-4</v>
      </c>
      <c r="DY88" s="192">
        <v>3.7499999999999999E-2</v>
      </c>
      <c r="DZ88" s="192">
        <f t="shared" si="117"/>
        <v>4.4501226776986114E-4</v>
      </c>
      <c r="EA88" s="192">
        <v>3.5000000000000003E-2</v>
      </c>
      <c r="EB88" s="192">
        <f t="shared" si="118"/>
        <v>4.1534478325187043E-4</v>
      </c>
      <c r="EC88" s="192">
        <v>3.0800000000000001E-2</v>
      </c>
      <c r="ED88" s="192">
        <f t="shared" si="119"/>
        <v>3.6550340926164594E-4</v>
      </c>
      <c r="EE88" s="192">
        <v>2.64E-2</v>
      </c>
      <c r="EF88" s="192">
        <f t="shared" si="120"/>
        <v>3.1328863650998225E-4</v>
      </c>
    </row>
    <row r="89" spans="1:136" s="167" customFormat="1" ht="21" x14ac:dyDescent="0.35">
      <c r="A89" s="167" t="s">
        <v>31</v>
      </c>
      <c r="B89" s="168" t="s">
        <v>31</v>
      </c>
      <c r="C89" s="168">
        <v>4007784</v>
      </c>
      <c r="D89" s="168" t="s">
        <v>134</v>
      </c>
      <c r="E89" s="168"/>
      <c r="F89" s="168"/>
      <c r="G89" s="168" t="s">
        <v>9</v>
      </c>
      <c r="H89" s="169">
        <v>2003</v>
      </c>
      <c r="I89" s="170"/>
      <c r="J89" s="166"/>
      <c r="K89" s="166"/>
      <c r="L89" s="172"/>
      <c r="M89" s="172"/>
      <c r="N89" s="196"/>
      <c r="O89" s="172"/>
      <c r="P89" s="166"/>
      <c r="Q89" s="166"/>
      <c r="R89" s="166"/>
      <c r="S89" s="166"/>
      <c r="T89" s="166"/>
      <c r="U89" s="166"/>
      <c r="V89" s="166">
        <f t="shared" si="153"/>
        <v>47337.006668726826</v>
      </c>
      <c r="W89" s="170"/>
      <c r="X89" s="174">
        <v>3645.9776130213704</v>
      </c>
      <c r="Y89" s="175">
        <v>2.2398882963305895E-2</v>
      </c>
      <c r="Z89" s="175"/>
      <c r="AA89" s="175"/>
      <c r="AB89" s="175"/>
      <c r="AC89" s="170">
        <f t="shared" si="85"/>
        <v>47337.006668726826</v>
      </c>
      <c r="AD89" s="175"/>
      <c r="AE89" s="170"/>
      <c r="AF89" s="170"/>
      <c r="AG89" s="174"/>
      <c r="AH89" s="175"/>
      <c r="AI89" s="175"/>
      <c r="AJ89" s="174"/>
      <c r="AK89" s="174"/>
      <c r="AL89" s="120"/>
      <c r="AM89" s="120"/>
      <c r="AN89" s="120"/>
      <c r="AO89" s="120"/>
      <c r="AP89" s="120"/>
      <c r="AQ89" s="175"/>
      <c r="AR89" s="120"/>
      <c r="AS89" s="120"/>
      <c r="AT89" s="120"/>
      <c r="AU89" s="120"/>
      <c r="AV89" s="120"/>
      <c r="AW89" s="120"/>
      <c r="AX89" s="120"/>
      <c r="AY89" s="120"/>
      <c r="AZ89" s="118">
        <f>IFERROR(INDEX('Total Customers'!$F$7:$AB$91,MATCH($C89,'Total Customers'!$D$7:$D$91,0),MATCH($G89,'Total Customers'!$F$5:$AB$5,0)),"NA")</f>
        <v>617586</v>
      </c>
      <c r="BA89" s="119">
        <f t="shared" si="154"/>
        <v>1.3427155884655357E-2</v>
      </c>
      <c r="BB89" s="119"/>
      <c r="BC89" s="121"/>
      <c r="BD89" s="119"/>
      <c r="BE89" s="119"/>
      <c r="BF89" s="119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  <c r="BQ89" s="118"/>
      <c r="BR89" s="118"/>
      <c r="BS89" s="118">
        <f>INDEX('Dist. Plant Gas Additions'!$F$7:$AE$91,MATCH($C89,'Dist. Plant Gas Additions'!$D$7:$D$91,0),MATCH(Calculation!$G89,'Dist. Plant Gas Additions'!$F$5:$AE$5,0))</f>
        <v>36538</v>
      </c>
      <c r="BT89" s="118">
        <f>INDEX('Gen. Plant Additions'!$F$7:$AE$91,MATCH($C89,'Gen. Plant Additions'!$D$7:$D$91,0),MATCH(Calculation!$G89,'Gen. Plant Additions'!$F$5:$AE$5,0))</f>
        <v>748</v>
      </c>
      <c r="BU89" s="118"/>
      <c r="BV89" s="118"/>
      <c r="BW89" s="118">
        <f>INDEX('Dist Plant Depreciation'!$E$7:$AD$94,MATCH($C89,'Dist Plant Depreciation'!$D$7:$D$94,0),MATCH(Calculation!$G89,'Dist Plant Depreciation'!$E$5:$AD$5,0))</f>
        <v>304106</v>
      </c>
      <c r="BX89" s="118">
        <f>INDEX('Gen. Plant Depreciation'!$E$7:$AD$94,MATCH($C89,'Gen. Plant Depreciation'!$D$7:$D$94,0),MATCH(Calculation!$G89,'Gen. Plant Depreciation'!$E$5:$AD$5,0))</f>
        <v>-2265</v>
      </c>
      <c r="BY89" s="183">
        <v>1982</v>
      </c>
      <c r="BZ89" s="183">
        <f t="shared" si="66"/>
        <v>35</v>
      </c>
      <c r="CA89" s="178">
        <v>228.2610207034636</v>
      </c>
      <c r="CB89" s="184">
        <f t="shared" si="67"/>
        <v>2.6395173453996983E-2</v>
      </c>
      <c r="CC89" s="185">
        <f t="shared" si="68"/>
        <v>6.0249892342543179</v>
      </c>
      <c r="CD89" s="185"/>
      <c r="CE89" s="118">
        <f>INDEX('Gross Dx Plant'!$E$7:$AD$91,MATCH($C89,'Gross Dx Plant'!$D$7:$D$91,0),MATCH(Calculation!$G89,'Gross Dx Plant'!$E$5:$AD$5,0))</f>
        <v>1007402</v>
      </c>
      <c r="CF89" s="118">
        <f>INDEX('Gross Gen Plant'!$E$7:$AD$91,MATCH($C89,'Gross Gen Plant'!$D$7:$D$91,0),MATCH(Calculation!$G89,'Gross Gen Plant'!$E$5:$AD$5,0))</f>
        <v>4667</v>
      </c>
      <c r="CG89" s="118">
        <f t="shared" si="7"/>
        <v>710228</v>
      </c>
      <c r="CH89" s="118"/>
      <c r="CI89" s="121">
        <v>2003</v>
      </c>
      <c r="CJ89" s="118"/>
      <c r="CK89" s="118"/>
      <c r="CL89" s="118"/>
      <c r="CM89" s="183"/>
      <c r="CN89" s="118">
        <f t="shared" si="155"/>
        <v>37286</v>
      </c>
      <c r="CO89" s="118">
        <f t="shared" si="156"/>
        <v>100.98230356896075</v>
      </c>
      <c r="CP89" s="186">
        <v>0.97354497354497349</v>
      </c>
      <c r="CQ89" s="118">
        <f>+CQ84*CP89+CO85*CP88+CO86*CP87+CO87*CP86+CO88*CP85+CO89</f>
        <v>3645.9776130213704</v>
      </c>
      <c r="CR89" s="119">
        <f t="shared" si="157"/>
        <v>2.2398882963305895E-2</v>
      </c>
      <c r="CS89" s="119"/>
      <c r="CT89" s="177">
        <f t="shared" si="158"/>
        <v>5.6726656131710473E-3</v>
      </c>
      <c r="CU89" s="177">
        <f t="shared" si="166"/>
        <v>5.4893812520485259E-3</v>
      </c>
      <c r="CV89" s="119">
        <f>VLOOKUP($H89,RoR!$E:$F,2,FALSE)</f>
        <v>5.6666666666666671E-2</v>
      </c>
      <c r="CW89" s="177">
        <v>1.8855119140166909E-2</v>
      </c>
      <c r="CX89" s="177">
        <f t="shared" si="164"/>
        <v>3.7811547526499761E-2</v>
      </c>
      <c r="CY89" s="177">
        <f t="shared" si="167"/>
        <v>2.5412560356485099E-2</v>
      </c>
      <c r="CZ89" s="177">
        <f t="shared" si="168"/>
        <v>2.1375012817671957E-2</v>
      </c>
      <c r="DA89" s="187">
        <f t="shared" si="159"/>
        <v>0.84965624875000001</v>
      </c>
      <c r="DB89" s="188">
        <f t="shared" si="160"/>
        <v>0.90497737556561086</v>
      </c>
      <c r="DC89" s="188">
        <f t="shared" si="161"/>
        <v>0.5338235294117647</v>
      </c>
      <c r="DD89" s="188">
        <f t="shared" si="162"/>
        <v>0.88972433127405692</v>
      </c>
      <c r="DE89" s="188">
        <f t="shared" si="163"/>
        <v>0.42982423775949252</v>
      </c>
      <c r="DF89" s="189">
        <f>INDEX('State Tax Lookup'!$D$7:$Z$91,MATCH(Calculation!$C89,'State Tax Lookup'!$B$7:$B$91,0),MATCH($H89,'State Tax Lookup'!$D$6:$Z$6,0))</f>
        <v>0.40091666999999998</v>
      </c>
      <c r="DG89" s="189">
        <v>0.375</v>
      </c>
      <c r="DH89" s="190">
        <f t="shared" si="165"/>
        <v>13.277444834204108</v>
      </c>
      <c r="DI89" s="190"/>
      <c r="DJ89" s="177"/>
      <c r="DK89" s="189">
        <f>VLOOKUP($H89,RoR!$E:$F,2,FALSE)</f>
        <v>5.6666666666666671E-2</v>
      </c>
      <c r="DL89" s="191">
        <f>HLOOKUP($H89,'GDP-PI'!$D$8:$CQ$11,3,FALSE)</f>
        <v>1.8855119140166909E-2</v>
      </c>
      <c r="DM89" s="189">
        <f>VLOOKUP(H89,'HW Dx Data'!$E:$F,2,FALSE)</f>
        <v>369.23301095560191</v>
      </c>
      <c r="DN89" s="183">
        <f>VLOOKUP(H89,'ECI - Input Price'!$G$17:$H$37,2,FALSE)</f>
        <v>92.625</v>
      </c>
      <c r="DO89" s="177">
        <f t="shared" ref="DO89" si="169">LN(DN89/DN88)</f>
        <v>3.6837590135738785E-2</v>
      </c>
      <c r="DP89" s="183">
        <f>HLOOKUP(H89,'GDP-PI'!$8:$9,2,FALSE)</f>
        <v>82.566999999999993</v>
      </c>
      <c r="DQ89" s="177">
        <f t="shared" ref="DQ89" si="170">LN(DP89/DP88)</f>
        <v>1.8679564681853753E-2</v>
      </c>
      <c r="DR89" s="167">
        <v>141.38333333333333</v>
      </c>
      <c r="DS89" s="167">
        <v>5.4378205128205126</v>
      </c>
      <c r="DT89" s="167">
        <v>91.349981146304657</v>
      </c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</row>
    <row r="90" spans="1:136" s="167" customFormat="1" ht="21" x14ac:dyDescent="0.35">
      <c r="A90" s="167" t="s">
        <v>31</v>
      </c>
      <c r="B90" s="168" t="s">
        <v>31</v>
      </c>
      <c r="C90" s="168">
        <v>4007784</v>
      </c>
      <c r="D90" s="168" t="s">
        <v>134</v>
      </c>
      <c r="E90" s="168"/>
      <c r="F90" s="168"/>
      <c r="G90" s="168" t="s">
        <v>10</v>
      </c>
      <c r="H90" s="169">
        <v>2004</v>
      </c>
      <c r="I90" s="170"/>
      <c r="J90" s="166">
        <f>IFERROR(INDEX('Labor Expenditures'!$F$7:$X$91,MATCH($C90,'Labor Expenditures'!$D$7:$D$91,0),MATCH($G90,'Labor Expenditures'!$F$5:$X$5,0)),"NA")</f>
        <v>43201.859225662985</v>
      </c>
      <c r="K90" s="166">
        <f t="shared" ref="K90:K107" si="171">+J90/DN90</f>
        <v>449.20051183429149</v>
      </c>
      <c r="L90" s="172"/>
      <c r="M90" s="172"/>
      <c r="N90" s="196"/>
      <c r="O90" s="172"/>
      <c r="P90" s="166">
        <f>IFERROR(INDEX('Non-Labor Expenditures'!$F$7:$AB$91,MATCH($C90,'Non-Labor Expenditures'!$D$7:$D$91,0),MATCH($G90,'Non-Labor Expenditures'!$F$5:$AB$5,0)),"NA")</f>
        <v>62564.361153030353</v>
      </c>
      <c r="Q90" s="166">
        <f t="shared" ref="Q90:Q107" si="172">+P90/DP90</f>
        <v>737.97873449515612</v>
      </c>
      <c r="R90" s="166"/>
      <c r="S90" s="166"/>
      <c r="T90" s="166"/>
      <c r="U90" s="166"/>
      <c r="V90" s="166">
        <f t="shared" si="153"/>
        <v>53689.692643028829</v>
      </c>
      <c r="W90" s="170"/>
      <c r="X90" s="174">
        <v>3712.4448698092101</v>
      </c>
      <c r="Y90" s="175">
        <v>1.8066118045627487E-2</v>
      </c>
      <c r="Z90" s="175"/>
      <c r="AA90" s="175"/>
      <c r="AB90" s="175"/>
      <c r="AC90" s="170">
        <f t="shared" si="85"/>
        <v>159455.91302172217</v>
      </c>
      <c r="AD90" s="175"/>
      <c r="AE90" s="170"/>
      <c r="AF90" s="170"/>
      <c r="AG90" s="174"/>
      <c r="AH90" s="175"/>
      <c r="AI90" s="175"/>
      <c r="AJ90" s="174"/>
      <c r="AK90" s="174"/>
      <c r="AL90" s="120">
        <f t="shared" ref="AL90:AL107" si="173">+J90/AC90</f>
        <v>0.27093293943748409</v>
      </c>
      <c r="AM90" s="120">
        <f t="shared" ref="AM90:AM107" si="174">+P90/AC90</f>
        <v>0.39236149959837119</v>
      </c>
      <c r="AN90" s="120">
        <f t="shared" ref="AN90:AN107" si="175">+V90/AC90</f>
        <v>0.33670556096414472</v>
      </c>
      <c r="AO90" s="120"/>
      <c r="AP90" s="120"/>
      <c r="AQ90" s="175"/>
      <c r="AR90" s="120"/>
      <c r="AS90" s="120"/>
      <c r="AT90" s="120"/>
      <c r="AU90" s="120"/>
      <c r="AV90" s="120"/>
      <c r="AW90" s="120"/>
      <c r="AX90" s="120"/>
      <c r="AY90" s="120"/>
      <c r="AZ90" s="118">
        <f>IFERROR(INDEX('Total Customers'!$F$7:$AB$91,MATCH($C90,'Total Customers'!$D$7:$D$91,0),MATCH($G90,'Total Customers'!$F$5:$AB$5,0)),"NA")</f>
        <v>624862</v>
      </c>
      <c r="BA90" s="119">
        <f t="shared" si="154"/>
        <v>1.1712495296640663E-2</v>
      </c>
      <c r="BB90" s="119"/>
      <c r="BC90" s="121"/>
      <c r="BD90" s="119"/>
      <c r="BE90" s="119"/>
      <c r="BF90" s="119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18"/>
      <c r="BR90" s="118"/>
      <c r="BS90" s="118">
        <f>INDEX('Dist. Plant Gas Additions'!$F$7:$AE$91,MATCH($C90,'Dist. Plant Gas Additions'!$D$7:$D$91,0),MATCH(Calculation!$G90,'Dist. Plant Gas Additions'!$F$5:$AE$5,0))</f>
        <v>36090</v>
      </c>
      <c r="BT90" s="118">
        <f>INDEX('Gen. Plant Additions'!$F$7:$AE$91,MATCH($C90,'Gen. Plant Additions'!$D$7:$D$91,0),MATCH(Calculation!$G90,'Gen. Plant Additions'!$F$5:$AE$5,0))</f>
        <v>355</v>
      </c>
      <c r="BU90" s="118"/>
      <c r="BV90" s="118"/>
      <c r="BW90" s="118">
        <f>INDEX('Dist Plant Depreciation'!$E$7:$AD$94,MATCH($C90,'Dist Plant Depreciation'!$D$7:$D$94,0),MATCH(Calculation!$G90,'Dist Plant Depreciation'!$E$5:$AD$5,0))</f>
        <v>314052</v>
      </c>
      <c r="BX90" s="118">
        <f>INDEX('Gen. Plant Depreciation'!$E$7:$AD$94,MATCH($C90,'Gen. Plant Depreciation'!$D$7:$D$94,0),MATCH(Calculation!$G90,'Gen. Plant Depreciation'!$E$5:$AD$5,0))</f>
        <v>-1571</v>
      </c>
      <c r="BY90" s="183">
        <v>1983</v>
      </c>
      <c r="BZ90" s="183">
        <f t="shared" si="66"/>
        <v>36</v>
      </c>
      <c r="CA90" s="178">
        <v>234.20278490735927</v>
      </c>
      <c r="CB90" s="184">
        <f t="shared" si="67"/>
        <v>2.7149321266968326E-2</v>
      </c>
      <c r="CC90" s="185">
        <f t="shared" si="68"/>
        <v>6.3584466490685774</v>
      </c>
      <c r="CD90" s="185"/>
      <c r="CE90" s="118">
        <f>INDEX('Gross Dx Plant'!$E$7:$AD$91,MATCH($C90,'Gross Dx Plant'!$D$7:$D$91,0),MATCH(Calculation!$G90,'Gross Dx Plant'!$E$5:$AD$5,0))</f>
        <v>1025611</v>
      </c>
      <c r="CF90" s="118">
        <f>INDEX('Gross Gen Plant'!$E$7:$AD$91,MATCH($C90,'Gross Gen Plant'!$D$7:$D$91,0),MATCH(Calculation!$G90,'Gross Gen Plant'!$E$5:$AD$5,0))</f>
        <v>4795</v>
      </c>
      <c r="CG90" s="118">
        <f t="shared" si="7"/>
        <v>717925</v>
      </c>
      <c r="CH90" s="118"/>
      <c r="CI90" s="121">
        <v>2004</v>
      </c>
      <c r="CJ90" s="118"/>
      <c r="CK90" s="118"/>
      <c r="CL90" s="118"/>
      <c r="CM90" s="183"/>
      <c r="CN90" s="118">
        <f t="shared" si="155"/>
        <v>36445</v>
      </c>
      <c r="CO90" s="118">
        <f t="shared" si="156"/>
        <v>87.84315534353118</v>
      </c>
      <c r="CP90" s="186">
        <v>0.967741935483871</v>
      </c>
      <c r="CQ90" s="118">
        <f>+CQ84*CP90+CO85*CP89+CO86*CP88+CO87*CP87+CO88*CP86+CO89*CP85+CO90</f>
        <v>3712.4448698092101</v>
      </c>
      <c r="CR90" s="119">
        <f t="shared" si="157"/>
        <v>1.8066118045627487E-2</v>
      </c>
      <c r="CS90" s="119"/>
      <c r="CT90" s="177">
        <f t="shared" si="158"/>
        <v>5.8628715874032991E-3</v>
      </c>
      <c r="CU90" s="177">
        <f t="shared" si="166"/>
        <v>5.7411424113210175E-3</v>
      </c>
      <c r="CV90" s="119">
        <f>VLOOKUP($H90,RoR!$E:$F,2,FALSE)</f>
        <v>5.6283333333333331E-2</v>
      </c>
      <c r="CW90" s="177">
        <v>2.6778252812867276E-2</v>
      </c>
      <c r="CX90" s="177">
        <f t="shared" si="164"/>
        <v>2.9505080520466055E-2</v>
      </c>
      <c r="CY90" s="177">
        <f t="shared" si="167"/>
        <v>2.5160799197212608E-2</v>
      </c>
      <c r="CZ90" s="177">
        <f t="shared" si="168"/>
        <v>5.5940039414565046E-2</v>
      </c>
      <c r="DA90" s="187">
        <f t="shared" si="159"/>
        <v>0.84965624875000001</v>
      </c>
      <c r="DB90" s="188">
        <f t="shared" si="160"/>
        <v>0.91114097628755619</v>
      </c>
      <c r="DC90" s="188">
        <f t="shared" si="161"/>
        <v>0.53081877405981637</v>
      </c>
      <c r="DD90" s="188">
        <f t="shared" si="162"/>
        <v>0.88811215519385678</v>
      </c>
      <c r="DE90" s="188">
        <f t="shared" si="163"/>
        <v>0.42953609753547711</v>
      </c>
      <c r="DF90" s="189">
        <f>INDEX('State Tax Lookup'!$D$7:$Z$91,MATCH(Calculation!$C90,'State Tax Lookup'!$B$7:$B$91,0),MATCH($H90,'State Tax Lookup'!$D$6:$Z$6,0))</f>
        <v>0.40091666999999998</v>
      </c>
      <c r="DG90" s="189">
        <v>0.375</v>
      </c>
      <c r="DH90" s="190">
        <f t="shared" si="165"/>
        <v>14.725732942319668</v>
      </c>
      <c r="DI90" s="190"/>
      <c r="DJ90" s="177"/>
      <c r="DK90" s="189">
        <f>VLOOKUP($H90,RoR!$E:$F,2,FALSE)</f>
        <v>5.6283333333333331E-2</v>
      </c>
      <c r="DL90" s="191">
        <f>HLOOKUP($H90,'GDP-PI'!$D$8:$CQ$11,3,FALSE)</f>
        <v>2.6778252812867276E-2</v>
      </c>
      <c r="DM90" s="189">
        <f>VLOOKUP(H90,'HW Dx Data'!$E:$F,2,FALSE)</f>
        <v>414.88719135228365</v>
      </c>
      <c r="DN90" s="183">
        <f>VLOOKUP(H90,'ECI - Input Price'!$G$17:$H$37,2,FALSE)</f>
        <v>96.174999999999997</v>
      </c>
      <c r="DO90" s="177">
        <f t="shared" ref="DO90" si="176">LN(DN90/DN89)</f>
        <v>3.7610365022107912E-2</v>
      </c>
      <c r="DP90" s="183">
        <f>HLOOKUP(H90,'GDP-PI'!$8:$9,2,FALSE)</f>
        <v>84.778000000000006</v>
      </c>
      <c r="DQ90" s="177">
        <f t="shared" ref="DQ90" si="177">LN(DP90/DP89)</f>
        <v>2.6425990216022755E-2</v>
      </c>
      <c r="DY90" s="192"/>
      <c r="DZ90" s="192"/>
      <c r="EA90" s="192"/>
      <c r="EB90" s="192"/>
      <c r="EC90" s="192"/>
      <c r="ED90" s="192"/>
      <c r="EE90" s="192"/>
      <c r="EF90" s="192"/>
    </row>
    <row r="91" spans="1:136" s="167" customFormat="1" ht="21" x14ac:dyDescent="0.35">
      <c r="A91" s="167" t="s">
        <v>31</v>
      </c>
      <c r="B91" s="168" t="s">
        <v>31</v>
      </c>
      <c r="C91" s="168">
        <v>4007784</v>
      </c>
      <c r="D91" s="168" t="s">
        <v>134</v>
      </c>
      <c r="E91" s="168"/>
      <c r="F91" s="168"/>
      <c r="G91" s="168" t="s">
        <v>11</v>
      </c>
      <c r="H91" s="169">
        <v>2005</v>
      </c>
      <c r="I91" s="170"/>
      <c r="J91" s="166">
        <f>IFERROR(INDEX('Labor Expenditures'!$F$7:$X$91,MATCH($C91,'Labor Expenditures'!$D$7:$D$91,0),MATCH($G91,'Labor Expenditures'!$F$5:$X$5,0)),"NA")</f>
        <v>46839.927463550332</v>
      </c>
      <c r="K91" s="166">
        <f t="shared" si="171"/>
        <v>472.41480043923679</v>
      </c>
      <c r="L91" s="172">
        <f t="shared" ref="L91:L107" si="178">LN(K91/K90)</f>
        <v>5.0388051845263342E-2</v>
      </c>
      <c r="M91" s="172"/>
      <c r="N91" s="196"/>
      <c r="O91" s="172"/>
      <c r="P91" s="166">
        <f>IFERROR(INDEX('Non-Labor Expenditures'!$F$7:$AB$91,MATCH($C91,'Non-Labor Expenditures'!$D$7:$D$91,0),MATCH($G91,'Non-Labor Expenditures'!$F$5:$AB$5,0)),"NA")</f>
        <v>67832.963458908547</v>
      </c>
      <c r="Q91" s="166">
        <f t="shared" si="172"/>
        <v>776.05870764250631</v>
      </c>
      <c r="R91" s="172">
        <f>LN(Q91/Q90)</f>
        <v>5.0313162361976096E-2</v>
      </c>
      <c r="S91" s="172"/>
      <c r="T91" s="172"/>
      <c r="U91" s="172"/>
      <c r="V91" s="166">
        <f t="shared" si="153"/>
        <v>61364.778053832466</v>
      </c>
      <c r="W91" s="170"/>
      <c r="X91" s="174">
        <v>3781.7143603384834</v>
      </c>
      <c r="Y91" s="175">
        <v>1.8486787161383224E-2</v>
      </c>
      <c r="Z91" s="175"/>
      <c r="AA91" s="175"/>
      <c r="AB91" s="175"/>
      <c r="AC91" s="170">
        <f t="shared" si="85"/>
        <v>176037.66897629134</v>
      </c>
      <c r="AD91" s="175">
        <f>LN(AC91/AC90)</f>
        <v>9.8930523781735946E-2</v>
      </c>
      <c r="AE91" s="170"/>
      <c r="AF91" s="170"/>
      <c r="AG91" s="121"/>
      <c r="AH91" s="119"/>
      <c r="AI91" s="119"/>
      <c r="AJ91" s="121"/>
      <c r="AK91" s="121"/>
      <c r="AL91" s="120">
        <f t="shared" si="173"/>
        <v>0.26607900306756904</v>
      </c>
      <c r="AM91" s="120">
        <f t="shared" si="174"/>
        <v>0.38533209314447497</v>
      </c>
      <c r="AN91" s="120">
        <f t="shared" si="175"/>
        <v>0.34858890378795598</v>
      </c>
      <c r="AO91" s="120">
        <f t="shared" ref="AO91:AO107" si="179">+(((AL91+AL90)/2)*L91+((AM90+AM91)/2)*R91+((AN90+AN91)/2)*Y91)</f>
        <v>3.9428051256377827E-2</v>
      </c>
      <c r="AP91" s="173">
        <v>100</v>
      </c>
      <c r="AQ91" s="175"/>
      <c r="AR91" s="120"/>
      <c r="AS91" s="120"/>
      <c r="AT91" s="120"/>
      <c r="AU91" s="120"/>
      <c r="AV91" s="120"/>
      <c r="AW91" s="120"/>
      <c r="AX91" s="120"/>
      <c r="AY91" s="120"/>
      <c r="AZ91" s="118">
        <f>IFERROR(INDEX('Total Customers'!$F$7:$AB$91,MATCH($C91,'Total Customers'!$D$7:$D$91,0),MATCH($G91,'Total Customers'!$F$5:$AB$5,0)),"NA")</f>
        <v>634057</v>
      </c>
      <c r="BA91" s="119">
        <f t="shared" si="154"/>
        <v>1.4608030402264365E-2</v>
      </c>
      <c r="BB91" s="119"/>
      <c r="BC91" s="121"/>
      <c r="BD91" s="119"/>
      <c r="BE91" s="119"/>
      <c r="BF91" s="119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18"/>
      <c r="BR91" s="118"/>
      <c r="BS91" s="118">
        <f>INDEX('Dist. Plant Gas Additions'!$F$7:$AE$91,MATCH($C91,'Dist. Plant Gas Additions'!$D$7:$D$91,0),MATCH(Calculation!$G91,'Dist. Plant Gas Additions'!$F$5:$AE$5,0))</f>
        <v>41985</v>
      </c>
      <c r="BT91" s="118">
        <f>INDEX('Gen. Plant Additions'!$F$7:$AE$91,MATCH($C91,'Gen. Plant Additions'!$D$7:$D$91,0),MATCH(Calculation!$G91,'Gen. Plant Additions'!$F$5:$AE$5,0))</f>
        <v>1078</v>
      </c>
      <c r="BU91" s="118"/>
      <c r="BV91" s="118"/>
      <c r="BW91" s="118">
        <f>INDEX('Dist Plant Depreciation'!$E$7:$AD$94,MATCH($C91,'Dist Plant Depreciation'!$D$7:$D$94,0),MATCH(Calculation!$G91,'Dist Plant Depreciation'!$E$5:$AD$5,0))</f>
        <v>325566</v>
      </c>
      <c r="BX91" s="118">
        <f>INDEX('Gen. Plant Depreciation'!$E$7:$AD$94,MATCH($C91,'Gen. Plant Depreciation'!$D$7:$D$94,0),MATCH(Calculation!$G91,'Gen. Plant Depreciation'!$E$5:$AD$5,0))</f>
        <v>853</v>
      </c>
      <c r="BY91" s="183">
        <v>1984</v>
      </c>
      <c r="BZ91" s="183">
        <f t="shared" si="66"/>
        <v>37</v>
      </c>
      <c r="CA91" s="178">
        <v>239.28187782322669</v>
      </c>
      <c r="CB91" s="184">
        <f t="shared" si="67"/>
        <v>2.790346907993967E-2</v>
      </c>
      <c r="CC91" s="185">
        <f t="shared" si="68"/>
        <v>6.676794479230308</v>
      </c>
      <c r="CD91" s="185"/>
      <c r="CE91" s="118">
        <f>INDEX('Gross Dx Plant'!$E$7:$AD$91,MATCH($C91,'Gross Dx Plant'!$D$7:$D$91,0),MATCH(Calculation!$G91,'Gross Dx Plant'!$E$5:$AD$5,0))</f>
        <v>1053715</v>
      </c>
      <c r="CF91" s="118">
        <f>INDEX('Gross Gen Plant'!$E$7:$AD$91,MATCH($C91,'Gross Gen Plant'!$D$7:$D$91,0),MATCH(Calculation!$G91,'Gross Gen Plant'!$E$5:$AD$5,0))</f>
        <v>5862</v>
      </c>
      <c r="CG91" s="118">
        <f t="shared" si="7"/>
        <v>733158</v>
      </c>
      <c r="CH91" s="118"/>
      <c r="CI91" s="121">
        <v>2005</v>
      </c>
      <c r="CJ91" s="118"/>
      <c r="CK91" s="118"/>
      <c r="CL91" s="118"/>
      <c r="CM91" s="183"/>
      <c r="CN91" s="118">
        <f t="shared" si="155"/>
        <v>43063</v>
      </c>
      <c r="CO91" s="118">
        <f t="shared" si="156"/>
        <v>91.778619407144575</v>
      </c>
      <c r="CP91" s="186">
        <v>0.96174863387978138</v>
      </c>
      <c r="CQ91" s="118">
        <f>+CQ84*CP91+CO85*CP90+CO86*CP89+CO87*CP88+CO88*CP87+CO89*CP86+CO90*CP85+CO91</f>
        <v>3781.7143603384834</v>
      </c>
      <c r="CR91" s="119">
        <f t="shared" si="157"/>
        <v>1.8486787161383224E-2</v>
      </c>
      <c r="CS91" s="119"/>
      <c r="CT91" s="177">
        <f t="shared" si="158"/>
        <v>6.0631550547518478E-3</v>
      </c>
      <c r="CU91" s="177">
        <f t="shared" si="166"/>
        <v>5.8662307517753989E-3</v>
      </c>
      <c r="CV91" s="119">
        <f>VLOOKUP($H91,RoR!$E:$F,2,FALSE)</f>
        <v>5.2350000000000001E-2</v>
      </c>
      <c r="CW91" s="177">
        <v>3.1010403642454332E-2</v>
      </c>
      <c r="CX91" s="177">
        <f t="shared" si="164"/>
        <v>2.1339596357545669E-2</v>
      </c>
      <c r="CY91" s="177">
        <f t="shared" si="167"/>
        <v>2.5035710856758226E-2</v>
      </c>
      <c r="CZ91" s="177">
        <f t="shared" si="168"/>
        <v>9.2129610649277341E-2</v>
      </c>
      <c r="DA91" s="187">
        <f t="shared" si="159"/>
        <v>0.84965624875000001</v>
      </c>
      <c r="DB91" s="188">
        <f t="shared" si="160"/>
        <v>0.97959983346802826</v>
      </c>
      <c r="DC91" s="188">
        <f t="shared" si="161"/>
        <v>0.49744508118433622</v>
      </c>
      <c r="DD91" s="188">
        <f t="shared" si="162"/>
        <v>0.87010519444335932</v>
      </c>
      <c r="DE91" s="188">
        <f t="shared" si="163"/>
        <v>0.42399975420741998</v>
      </c>
      <c r="DF91" s="189">
        <f>INDEX('State Tax Lookup'!$D$7:$Z$91,MATCH(Calculation!$C91,'State Tax Lookup'!$B$7:$B$91,0),MATCH($H91,'State Tax Lookup'!$D$6:$Z$6,0))</f>
        <v>0.40091666999999998</v>
      </c>
      <c r="DG91" s="189">
        <v>0.375</v>
      </c>
      <c r="DH91" s="190">
        <f t="shared" si="165"/>
        <v>16.529478606637497</v>
      </c>
      <c r="DI91" s="190"/>
      <c r="DJ91" s="177"/>
      <c r="DK91" s="189">
        <f>VLOOKUP($H91,RoR!$E:$F,2,FALSE)</f>
        <v>5.2350000000000001E-2</v>
      </c>
      <c r="DL91" s="191">
        <f>HLOOKUP($H91,'GDP-PI'!$D$8:$CQ$11,3,FALSE)</f>
        <v>3.1010403642454332E-2</v>
      </c>
      <c r="DM91" s="189">
        <f>VLOOKUP(H91,'HW Dx Data'!$E:$F,2,FALSE)</f>
        <v>469.20514034936258</v>
      </c>
      <c r="DN91" s="183">
        <f>VLOOKUP(H91,'ECI - Input Price'!$G$17:$H$37,2,FALSE)</f>
        <v>99.15</v>
      </c>
      <c r="DO91" s="177">
        <f t="shared" ref="DO91" si="180">LN(DN91/DN90)</f>
        <v>3.046440632744625E-2</v>
      </c>
      <c r="DP91" s="183">
        <f>HLOOKUP(H91,'GDP-PI'!$8:$9,2,FALSE)</f>
        <v>87.406999999999996</v>
      </c>
      <c r="DQ91" s="177">
        <f t="shared" ref="DQ91" si="181">LN(DP91/DP90)</f>
        <v>3.0539295810733648E-2</v>
      </c>
      <c r="DY91" s="192"/>
      <c r="DZ91" s="192"/>
      <c r="EA91" s="192"/>
      <c r="EB91" s="192"/>
      <c r="EC91" s="192"/>
      <c r="ED91" s="192"/>
      <c r="EE91" s="192"/>
      <c r="EF91" s="192"/>
    </row>
    <row r="92" spans="1:136" s="167" customFormat="1" ht="21" x14ac:dyDescent="0.35">
      <c r="A92" s="167" t="s">
        <v>31</v>
      </c>
      <c r="B92" s="168" t="s">
        <v>31</v>
      </c>
      <c r="C92" s="168">
        <v>4007784</v>
      </c>
      <c r="D92" s="168" t="s">
        <v>134</v>
      </c>
      <c r="E92" s="168"/>
      <c r="F92" s="168"/>
      <c r="G92" s="168" t="s">
        <v>12</v>
      </c>
      <c r="H92" s="169">
        <v>2006</v>
      </c>
      <c r="I92" s="170"/>
      <c r="J92" s="166">
        <f>IFERROR(INDEX('Labor Expenditures'!$F$7:$X$91,MATCH($C92,'Labor Expenditures'!$D$7:$D$91,0),MATCH($G92,'Labor Expenditures'!$F$5:$X$5,0)),"NA")</f>
        <v>49841.86531905859</v>
      </c>
      <c r="K92" s="166">
        <f t="shared" si="171"/>
        <v>488.40632355765399</v>
      </c>
      <c r="L92" s="172">
        <f t="shared" si="178"/>
        <v>3.3290275505874128E-2</v>
      </c>
      <c r="M92" s="172">
        <f t="shared" ref="M92:M107" si="182">+L92*AR92</f>
        <v>7.6594921801242033E-4</v>
      </c>
      <c r="N92" s="196"/>
      <c r="O92" s="172"/>
      <c r="P92" s="166">
        <f>IFERROR(INDEX('Non-Labor Expenditures'!$F$7:$AB$91,MATCH($C92,'Non-Labor Expenditures'!$D$7:$D$91,0),MATCH($G92,'Non-Labor Expenditures'!$F$5:$AB$5,0)),"NA")</f>
        <v>72180.330158335346</v>
      </c>
      <c r="Q92" s="166">
        <f t="shared" si="172"/>
        <v>801.34478493611198</v>
      </c>
      <c r="R92" s="172">
        <f t="shared" ref="R92:R107" si="183">LN(Q92/Q91)</f>
        <v>3.2063126070468254E-2</v>
      </c>
      <c r="S92" s="172">
        <f>+R92*AR92</f>
        <v>7.377147220177069E-4</v>
      </c>
      <c r="T92" s="172"/>
      <c r="U92" s="172"/>
      <c r="V92" s="166">
        <f t="shared" si="153"/>
        <v>60997.389673218175</v>
      </c>
      <c r="W92" s="170"/>
      <c r="X92" s="174">
        <v>3847.2287915439306</v>
      </c>
      <c r="Y92" s="175">
        <v>1.717565342225064E-2</v>
      </c>
      <c r="Z92" s="175">
        <f>+Y92*AR92</f>
        <v>3.9518081805312445E-4</v>
      </c>
      <c r="AA92" s="175"/>
      <c r="AB92" s="175"/>
      <c r="AC92" s="170">
        <f t="shared" si="85"/>
        <v>183019.58515061211</v>
      </c>
      <c r="AD92" s="175">
        <f t="shared" ref="AD92:AD107" si="184">LN(AC92/AC91)</f>
        <v>3.8895169384091953E-2</v>
      </c>
      <c r="AE92" s="170"/>
      <c r="AF92" s="170"/>
      <c r="AG92" s="121">
        <f t="shared" ref="AG92:AG107" si="185">+(AC92*1000)/AZ92</f>
        <v>285.70962387248431</v>
      </c>
      <c r="AH92" s="119">
        <f>+AZ92/$BB$44</f>
        <v>1.8221866951490098E-2</v>
      </c>
      <c r="AI92" s="119"/>
      <c r="AJ92" s="176">
        <f>+AH92*AG92</f>
        <v>5.2061627529646888</v>
      </c>
      <c r="AK92" s="176">
        <f>+AI92*AG92</f>
        <v>0</v>
      </c>
      <c r="AL92" s="120">
        <f t="shared" si="173"/>
        <v>0.27233077420671825</v>
      </c>
      <c r="AM92" s="120">
        <f t="shared" si="174"/>
        <v>0.39438582542374395</v>
      </c>
      <c r="AN92" s="120">
        <f t="shared" si="175"/>
        <v>0.3332834003695378</v>
      </c>
      <c r="AO92" s="120">
        <f t="shared" si="179"/>
        <v>2.7317803058706923E-2</v>
      </c>
      <c r="AP92" s="173">
        <f>+AP91*EXP(AO92)</f>
        <v>102.76943552805706</v>
      </c>
      <c r="AQ92" s="175">
        <f>LN(AP92/AP91)</f>
        <v>2.7317803058706982E-2</v>
      </c>
      <c r="AR92" s="177">
        <f>+AC92/$AE$44</f>
        <v>2.3008197029708188E-2</v>
      </c>
      <c r="AS92" s="177">
        <f>+AR92*AQ92</f>
        <v>6.2853339519349525E-4</v>
      </c>
      <c r="AT92" s="177"/>
      <c r="AU92" s="177"/>
      <c r="AV92" s="177"/>
      <c r="AW92" s="190"/>
      <c r="AX92" s="120"/>
      <c r="AY92" s="120"/>
      <c r="AZ92" s="118">
        <f>IFERROR(INDEX('Total Customers'!$F$7:$AB$91,MATCH($C92,'Total Customers'!$D$7:$D$91,0),MATCH($G92,'Total Customers'!$F$5:$AB$5,0)),"NA")</f>
        <v>640579</v>
      </c>
      <c r="BA92" s="119">
        <f t="shared" si="154"/>
        <v>1.0233599111873617E-2</v>
      </c>
      <c r="BB92" s="119"/>
      <c r="BC92" s="121"/>
      <c r="BD92" s="119"/>
      <c r="BE92" s="119"/>
      <c r="BF92" s="119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18"/>
      <c r="BR92" s="118"/>
      <c r="BS92" s="118">
        <f>INDEX('Dist. Plant Gas Additions'!$F$7:$AE$91,MATCH($C92,'Dist. Plant Gas Additions'!$D$7:$D$91,0),MATCH(Calculation!$G92,'Dist. Plant Gas Additions'!$F$5:$AE$5,0))</f>
        <v>40545</v>
      </c>
      <c r="BT92" s="118">
        <f>INDEX('Gen. Plant Additions'!$F$7:$AE$91,MATCH($C92,'Gen. Plant Additions'!$D$7:$D$91,0),MATCH(Calculation!$G92,'Gen. Plant Additions'!$F$5:$AE$5,0))</f>
        <v>595</v>
      </c>
      <c r="BU92" s="118"/>
      <c r="BV92" s="118"/>
      <c r="BW92" s="118">
        <f>INDEX('Dist Plant Depreciation'!$E$7:$AD$94,MATCH($C92,'Dist Plant Depreciation'!$D$7:$D$94,0),MATCH(Calculation!$G92,'Dist Plant Depreciation'!$E$5:$AD$5,0))</f>
        <v>342124</v>
      </c>
      <c r="BX92" s="118">
        <f>INDEX('Gen. Plant Depreciation'!$E$7:$AD$94,MATCH($C92,'Gen. Plant Depreciation'!$D$7:$D$94,0),MATCH(Calculation!$G92,'Gen. Plant Depreciation'!$E$5:$AD$5,0))</f>
        <v>1127</v>
      </c>
      <c r="BY92" s="183">
        <v>1985</v>
      </c>
      <c r="BZ92" s="183">
        <f t="shared" si="66"/>
        <v>38</v>
      </c>
      <c r="CA92" s="178">
        <v>240.48972643171925</v>
      </c>
      <c r="CB92" s="184">
        <f t="shared" si="67"/>
        <v>2.8657616892911009E-2</v>
      </c>
      <c r="CC92" s="185">
        <f t="shared" si="68"/>
        <v>6.8918624467611851</v>
      </c>
      <c r="CD92" s="185"/>
      <c r="CE92" s="118">
        <f>INDEX('Gross Dx Plant'!$E$7:$AD$91,MATCH($C92,'Gross Dx Plant'!$D$7:$D$91,0),MATCH(Calculation!$G92,'Gross Dx Plant'!$E$5:$AD$5,0))</f>
        <v>1081790</v>
      </c>
      <c r="CF92" s="118">
        <f>INDEX('Gross Gen Plant'!$E$7:$AD$91,MATCH($C92,'Gross Gen Plant'!$D$7:$D$91,0),MATCH(Calculation!$G92,'Gross Gen Plant'!$E$5:$AD$5,0))</f>
        <v>6462</v>
      </c>
      <c r="CG92" s="118">
        <f t="shared" si="7"/>
        <v>745001</v>
      </c>
      <c r="CH92" s="119" t="e">
        <f>SUM(#REF!)/15</f>
        <v>#REF!</v>
      </c>
      <c r="CI92" s="121">
        <v>2006</v>
      </c>
      <c r="CJ92" s="118"/>
      <c r="CK92" s="118"/>
      <c r="CL92" s="118"/>
      <c r="CM92" s="183"/>
      <c r="CN92" s="118">
        <f t="shared" si="155"/>
        <v>41140</v>
      </c>
      <c r="CO92" s="118">
        <f t="shared" si="156"/>
        <v>89.224199391065611</v>
      </c>
      <c r="CP92" s="186">
        <v>0.9555555555555556</v>
      </c>
      <c r="CQ92" s="118">
        <f>+CQ84*CP92+CO85*CP91+CO86*CP90+CO87*CP89+CO88*CP88+CO89*CP87+CO90*CP86+CO91*CP85+CO92</f>
        <v>3847.2287915439306</v>
      </c>
      <c r="CR92" s="119">
        <f t="shared" si="157"/>
        <v>1.717565342225064E-2</v>
      </c>
      <c r="CS92" s="119"/>
      <c r="CT92" s="177">
        <f t="shared" si="158"/>
        <v>6.2695819743234862E-3</v>
      </c>
      <c r="CU92" s="177">
        <f t="shared" si="166"/>
        <v>6.0652028721595447E-3</v>
      </c>
      <c r="CV92" s="119">
        <f>VLOOKUP($H92,RoR!$E:$F,2,FALSE)</f>
        <v>5.5874999999999994E-2</v>
      </c>
      <c r="CW92" s="177">
        <v>3.0512430354548314E-2</v>
      </c>
      <c r="CX92" s="177">
        <f t="shared" si="164"/>
        <v>2.536256964545168E-2</v>
      </c>
      <c r="CY92" s="177">
        <f t="shared" si="167"/>
        <v>2.483673873637408E-2</v>
      </c>
      <c r="CZ92" s="177">
        <f t="shared" si="168"/>
        <v>7.9087823893859641E-2</v>
      </c>
      <c r="DA92" s="187">
        <f t="shared" si="159"/>
        <v>0.84965624875000001</v>
      </c>
      <c r="DB92" s="188">
        <f t="shared" si="160"/>
        <v>0.91779957551769631</v>
      </c>
      <c r="DC92" s="188">
        <f t="shared" si="161"/>
        <v>0.52757270693512304</v>
      </c>
      <c r="DD92" s="188">
        <f t="shared" si="162"/>
        <v>0.88636824549024895</v>
      </c>
      <c r="DE92" s="188">
        <f t="shared" si="163"/>
        <v>0.42918482841932087</v>
      </c>
      <c r="DF92" s="189">
        <f>INDEX('State Tax Lookup'!$D$7:$Z$91,MATCH(Calculation!$C92,'State Tax Lookup'!$B$7:$B$91,0),MATCH($H92,'State Tax Lookup'!$D$6:$Z$6,0))</f>
        <v>0.40091666999999998</v>
      </c>
      <c r="DG92" s="189">
        <v>0.375</v>
      </c>
      <c r="DH92" s="190">
        <f t="shared" si="165"/>
        <v>16.129560263181428</v>
      </c>
      <c r="DI92" s="190">
        <v>15.653997300175339</v>
      </c>
      <c r="DJ92" s="177"/>
      <c r="DK92" s="189">
        <f>VLOOKUP($H92,RoR!$E:$F,2,FALSE)</f>
        <v>5.5874999999999994E-2</v>
      </c>
      <c r="DL92" s="191">
        <f>HLOOKUP($H92,'GDP-PI'!$D$8:$CQ$11,3,FALSE)</f>
        <v>3.0512430354548314E-2</v>
      </c>
      <c r="DM92" s="189">
        <f>VLOOKUP(H92,'HW Dx Data'!$E:$F,2,FALSE)</f>
        <v>461.08567272971823</v>
      </c>
      <c r="DN92" s="183">
        <f>VLOOKUP(H92,'ECI - Input Price'!$G$17:$H$37,2,FALSE)</f>
        <v>102.05</v>
      </c>
      <c r="DO92" s="177">
        <f t="shared" ref="DO92" si="186">LN(DN92/DN91)</f>
        <v>2.8829034290048662E-2</v>
      </c>
      <c r="DP92" s="183">
        <f>HLOOKUP(H92,'GDP-PI'!$8:$9,2,FALSE)</f>
        <v>90.073999999999998</v>
      </c>
      <c r="DQ92" s="177">
        <f t="shared" ref="DQ92" si="187">LN(DP92/DP91)</f>
        <v>3.005618372545445E-2</v>
      </c>
      <c r="DR92" s="167" t="s">
        <v>314</v>
      </c>
      <c r="DU92" s="192">
        <v>4.4168460319272433E-3</v>
      </c>
      <c r="DV92" s="192">
        <v>1.0061157705322845E-2</v>
      </c>
      <c r="DW92" s="192"/>
      <c r="DX92" s="192">
        <f>SUM(DX36:DX88)</f>
        <v>3.3528360240620399E-2</v>
      </c>
      <c r="DY92" s="192"/>
      <c r="DZ92" s="192">
        <f>SUM(DZ36:DZ88)</f>
        <v>2.7017656452314409E-2</v>
      </c>
      <c r="EA92" s="192"/>
      <c r="EB92" s="192">
        <f>SUM(EB36:EB88)</f>
        <v>2.3893279692741409E-2</v>
      </c>
      <c r="EC92" s="192"/>
      <c r="ED92" s="192">
        <f>SUM(ED36:ED88)</f>
        <v>1.9283373082237022E-2</v>
      </c>
      <c r="EE92" s="192"/>
      <c r="EF92" s="192">
        <f>SUM(EF36:EF88)</f>
        <v>1.4301800920388762E-2</v>
      </c>
    </row>
    <row r="93" spans="1:136" s="167" customFormat="1" ht="21" x14ac:dyDescent="0.35">
      <c r="A93" s="167" t="s">
        <v>31</v>
      </c>
      <c r="B93" s="168" t="s">
        <v>31</v>
      </c>
      <c r="C93" s="168">
        <v>4007784</v>
      </c>
      <c r="D93" s="168" t="s">
        <v>134</v>
      </c>
      <c r="E93" s="168"/>
      <c r="F93" s="168"/>
      <c r="G93" s="168" t="s">
        <v>13</v>
      </c>
      <c r="H93" s="169">
        <v>2007</v>
      </c>
      <c r="I93" s="170"/>
      <c r="J93" s="166">
        <f>IFERROR(INDEX('Labor Expenditures'!$F$7:$X$91,MATCH($C93,'Labor Expenditures'!$D$7:$D$91,0),MATCH($G93,'Labor Expenditures'!$F$5:$X$5,0)),"NA")</f>
        <v>54499.533796756485</v>
      </c>
      <c r="K93" s="166">
        <f t="shared" si="171"/>
        <v>517.93332189837474</v>
      </c>
      <c r="L93" s="172">
        <f t="shared" si="178"/>
        <v>5.8698822120183937E-2</v>
      </c>
      <c r="M93" s="172">
        <f t="shared" si="182"/>
        <v>1.3972683172879545E-3</v>
      </c>
      <c r="N93" s="196"/>
      <c r="O93" s="172"/>
      <c r="P93" s="166">
        <f>IFERROR(INDEX('Non-Labor Expenditures'!$F$7:$AB$91,MATCH($C93,'Non-Labor Expenditures'!$D$7:$D$91,0),MATCH($G93,'Non-Labor Expenditures'!$F$5:$AB$5,0)),"NA")</f>
        <v>78925.504046515489</v>
      </c>
      <c r="Q93" s="166">
        <f t="shared" si="172"/>
        <v>853.26714141403579</v>
      </c>
      <c r="R93" s="172">
        <f t="shared" si="183"/>
        <v>6.2781379570926457E-2</v>
      </c>
      <c r="S93" s="172">
        <f t="shared" ref="S93:S107" si="188">+R93*AR93</f>
        <v>1.4944496230346143E-3</v>
      </c>
      <c r="T93" s="172"/>
      <c r="U93" s="172"/>
      <c r="V93" s="166">
        <f t="shared" si="153"/>
        <v>66575.4215531113</v>
      </c>
      <c r="W93" s="170"/>
      <c r="X93" s="174">
        <v>3904.2780619420892</v>
      </c>
      <c r="Y93" s="175">
        <v>1.4719796178031588E-2</v>
      </c>
      <c r="Z93" s="175">
        <f t="shared" ref="Z93:Z107" si="189">+Y93*AR93</f>
        <v>3.5039041830155568E-4</v>
      </c>
      <c r="AA93" s="175"/>
      <c r="AB93" s="175"/>
      <c r="AC93" s="170">
        <f t="shared" si="85"/>
        <v>200000.45939638326</v>
      </c>
      <c r="AD93" s="175">
        <f t="shared" si="184"/>
        <v>8.8726493731472025E-2</v>
      </c>
      <c r="AE93" s="170"/>
      <c r="AF93" s="170"/>
      <c r="AG93" s="121">
        <f t="shared" si="185"/>
        <v>309.5091187311134</v>
      </c>
      <c r="AH93" s="119">
        <f>+AZ93/$BB$45</f>
        <v>1.8243543759562126E-2</v>
      </c>
      <c r="AI93" s="119"/>
      <c r="AJ93" s="176">
        <f t="shared" ref="AJ93:AJ107" si="190">+AH93*AG93</f>
        <v>5.6465431515545772</v>
      </c>
      <c r="AK93" s="176">
        <f t="shared" ref="AK93:AK107" si="191">+AI93*AG93</f>
        <v>0</v>
      </c>
      <c r="AL93" s="120">
        <f t="shared" si="173"/>
        <v>0.27249704306300226</v>
      </c>
      <c r="AM93" s="120">
        <f t="shared" si="174"/>
        <v>0.3946266137823819</v>
      </c>
      <c r="AN93" s="120">
        <f t="shared" si="175"/>
        <v>0.33287634315461589</v>
      </c>
      <c r="AO93" s="120">
        <f t="shared" si="179"/>
        <v>4.5660888105355533E-2</v>
      </c>
      <c r="AP93" s="173">
        <f>+AP92*EXP(AO93)</f>
        <v>107.57076145934042</v>
      </c>
      <c r="AQ93" s="175">
        <f>LN(AP93/AP92)</f>
        <v>4.5660888105355471E-2</v>
      </c>
      <c r="AR93" s="177">
        <f>+AC93/$AE$45</f>
        <v>2.3804026500346E-2</v>
      </c>
      <c r="AS93" s="177">
        <f>+AR93*AQ93</f>
        <v>1.0869129904892152E-3</v>
      </c>
      <c r="AT93" s="177"/>
      <c r="AU93" s="177"/>
      <c r="AV93" s="177"/>
      <c r="AW93" s="190"/>
      <c r="AX93" s="120"/>
      <c r="AY93" s="120"/>
      <c r="AZ93" s="118">
        <f>IFERROR(INDEX('Total Customers'!$F$7:$AB$91,MATCH($C93,'Total Customers'!$D$7:$D$91,0),MATCH($G93,'Total Customers'!$F$5:$AB$5,0)),"NA")</f>
        <v>646186</v>
      </c>
      <c r="BA93" s="119">
        <f t="shared" si="154"/>
        <v>8.7149331659171752E-3</v>
      </c>
      <c r="BB93" s="119"/>
      <c r="BC93" s="121"/>
      <c r="BD93" s="119"/>
      <c r="BE93" s="119"/>
      <c r="BF93" s="119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18"/>
      <c r="BR93" s="118"/>
      <c r="BS93" s="118">
        <f>INDEX('Dist. Plant Gas Additions'!$F$7:$AE$91,MATCH($C93,'Dist. Plant Gas Additions'!$D$7:$D$91,0),MATCH(Calculation!$G93,'Dist. Plant Gas Additions'!$F$5:$AE$5,0))</f>
        <v>40267</v>
      </c>
      <c r="BT93" s="118">
        <f>INDEX('Gen. Plant Additions'!$F$7:$AE$91,MATCH($C93,'Gen. Plant Additions'!$D$7:$D$91,0),MATCH(Calculation!$G93,'Gen. Plant Additions'!$F$5:$AE$5,0))</f>
        <v>570</v>
      </c>
      <c r="BU93" s="118"/>
      <c r="BV93" s="118"/>
      <c r="BW93" s="118">
        <f>INDEX('Dist Plant Depreciation'!$E$7:$AD$94,MATCH($C93,'Dist Plant Depreciation'!$D$7:$D$94,0),MATCH(Calculation!$G93,'Dist Plant Depreciation'!$E$5:$AD$5,0))</f>
        <v>362463</v>
      </c>
      <c r="BX93" s="118">
        <f>INDEX('Gen. Plant Depreciation'!$E$7:$AD$94,MATCH($C93,'Gen. Plant Depreciation'!$D$7:$D$94,0),MATCH(Calculation!$G93,'Gen. Plant Depreciation'!$E$5:$AD$5,0))</f>
        <v>1488</v>
      </c>
      <c r="BY93" s="183">
        <v>1986</v>
      </c>
      <c r="BZ93" s="183">
        <f t="shared" si="66"/>
        <v>39</v>
      </c>
      <c r="CA93" s="178">
        <v>236.30996622718544</v>
      </c>
      <c r="CB93" s="184">
        <f t="shared" si="67"/>
        <v>2.9411764705882353E-2</v>
      </c>
      <c r="CC93" s="185">
        <f t="shared" si="68"/>
        <v>6.9502931243289838</v>
      </c>
      <c r="CD93" s="185"/>
      <c r="CE93" s="118">
        <f>INDEX('Gross Dx Plant'!$E$7:$AD$91,MATCH($C93,'Gross Dx Plant'!$D$7:$D$91,0),MATCH(Calculation!$G93,'Gross Dx Plant'!$E$5:$AD$5,0))</f>
        <v>1112176</v>
      </c>
      <c r="CF93" s="118">
        <f>INDEX('Gross Gen Plant'!$E$7:$AD$91,MATCH($C93,'Gross Gen Plant'!$D$7:$D$91,0),MATCH(Calculation!$G93,'Gross Gen Plant'!$E$5:$AD$5,0))</f>
        <v>7028</v>
      </c>
      <c r="CG93" s="118">
        <f t="shared" si="7"/>
        <v>755253</v>
      </c>
      <c r="CH93" s="118"/>
      <c r="CI93" s="121">
        <v>2007</v>
      </c>
      <c r="CJ93" s="118"/>
      <c r="CK93" s="118"/>
      <c r="CL93" s="118"/>
      <c r="CM93" s="183"/>
      <c r="CN93" s="118">
        <f t="shared" si="155"/>
        <v>40837</v>
      </c>
      <c r="CO93" s="118">
        <f t="shared" si="156"/>
        <v>81.998333670781747</v>
      </c>
      <c r="CP93" s="186">
        <v>0.94915254237288138</v>
      </c>
      <c r="CQ93" s="118">
        <f>+CQ84*CP93+CO85*CP92+CO86*CP91+CO87*CP90+CO88*CP89+CO89*CP88+CO90*CP87+CO91*CP86+CO92*CP85+CO93</f>
        <v>3904.2780619420892</v>
      </c>
      <c r="CR93" s="119">
        <f t="shared" si="157"/>
        <v>1.4719796178031588E-2</v>
      </c>
      <c r="CS93" s="119"/>
      <c r="CT93" s="177">
        <f t="shared" si="158"/>
        <v>6.4849440011106995E-3</v>
      </c>
      <c r="CU93" s="177">
        <f t="shared" si="166"/>
        <v>6.2725603433953442E-3</v>
      </c>
      <c r="CV93" s="119">
        <f>VLOOKUP($H93,RoR!$E:$F,2,FALSE)</f>
        <v>5.5558333333333321E-2</v>
      </c>
      <c r="CW93" s="177">
        <v>2.691120634145272E-2</v>
      </c>
      <c r="CX93" s="177">
        <f t="shared" si="164"/>
        <v>2.86471269918806E-2</v>
      </c>
      <c r="CY93" s="177">
        <f t="shared" si="167"/>
        <v>2.4629381265138282E-2</v>
      </c>
      <c r="CZ93" s="177">
        <f t="shared" si="168"/>
        <v>6.4575155250632399E-2</v>
      </c>
      <c r="DA93" s="187">
        <f t="shared" si="159"/>
        <v>0.84965624875000001</v>
      </c>
      <c r="DB93" s="188">
        <f t="shared" si="160"/>
        <v>0.92303077153834634</v>
      </c>
      <c r="DC93" s="188">
        <f t="shared" si="161"/>
        <v>0.52502249887505614</v>
      </c>
      <c r="DD93" s="188">
        <f t="shared" si="162"/>
        <v>0.88499666072084604</v>
      </c>
      <c r="DE93" s="188">
        <f t="shared" si="163"/>
        <v>0.42887993290280618</v>
      </c>
      <c r="DF93" s="189">
        <f>INDEX('State Tax Lookup'!$D$7:$Z$91,MATCH(Calculation!$C93,'State Tax Lookup'!$B$7:$B$91,0),MATCH($H93,'State Tax Lookup'!$D$6:$Z$6,0))</f>
        <v>0.40091666999999998</v>
      </c>
      <c r="DG93" s="189">
        <v>0.375</v>
      </c>
      <c r="DH93" s="190">
        <f t="shared" si="165"/>
        <v>17.304773165412378</v>
      </c>
      <c r="DI93" s="190">
        <v>17.043957637390079</v>
      </c>
      <c r="DJ93" s="177"/>
      <c r="DK93" s="189">
        <f>VLOOKUP($H93,RoR!$E:$F,2,FALSE)</f>
        <v>5.5558333333333321E-2</v>
      </c>
      <c r="DL93" s="191">
        <f>HLOOKUP($H93,'GDP-PI'!$D$8:$CQ$11,3,FALSE)</f>
        <v>2.691120634145272E-2</v>
      </c>
      <c r="DM93" s="189">
        <f>VLOOKUP(H93,'HW Dx Data'!$E:$F,2,FALSE)</f>
        <v>498.0223154772637</v>
      </c>
      <c r="DN93" s="183">
        <f>VLOOKUP(H93,'ECI - Input Price'!$G$17:$H$37,2,FALSE)</f>
        <v>105.22500000000001</v>
      </c>
      <c r="DO93" s="177">
        <f t="shared" ref="DO93" si="192">LN(DN93/DN92)</f>
        <v>3.0638025400780679E-2</v>
      </c>
      <c r="DP93" s="183">
        <f>HLOOKUP(H93,'GDP-PI'!$8:$9,2,FALSE)</f>
        <v>92.498000000000005</v>
      </c>
      <c r="DQ93" s="177">
        <f t="shared" ref="DQ93" si="193">LN(DP93/DP92)</f>
        <v>2.6555467950038037E-2</v>
      </c>
      <c r="DR93" s="167" t="s">
        <v>301</v>
      </c>
      <c r="DU93" s="192">
        <v>9.164955516249029E-4</v>
      </c>
      <c r="DV93" s="192">
        <v>2.9428886288069317E-3</v>
      </c>
      <c r="DW93" s="192"/>
      <c r="DX93" s="192">
        <f>+DX92*0.5</f>
        <v>1.6764180120310199E-2</v>
      </c>
      <c r="DY93" s="192"/>
      <c r="DZ93" s="192"/>
      <c r="EA93" s="192"/>
      <c r="EB93" s="192"/>
      <c r="EC93" s="192"/>
      <c r="ED93" s="192"/>
      <c r="EE93" s="192"/>
      <c r="EF93" s="192"/>
    </row>
    <row r="94" spans="1:136" s="167" customFormat="1" ht="21" x14ac:dyDescent="0.35">
      <c r="A94" s="167" t="s">
        <v>31</v>
      </c>
      <c r="B94" s="168" t="s">
        <v>31</v>
      </c>
      <c r="C94" s="168">
        <v>4007784</v>
      </c>
      <c r="D94" s="168" t="s">
        <v>134</v>
      </c>
      <c r="E94" s="168"/>
      <c r="F94" s="168"/>
      <c r="G94" s="168" t="s">
        <v>14</v>
      </c>
      <c r="H94" s="169">
        <v>2008</v>
      </c>
      <c r="I94" s="170"/>
      <c r="J94" s="166">
        <f>IFERROR(INDEX('Labor Expenditures'!$F$7:$X$91,MATCH($C94,'Labor Expenditures'!$D$7:$D$91,0),MATCH($G94,'Labor Expenditures'!$F$5:$X$5,0)),"NA")</f>
        <v>53553.805704717786</v>
      </c>
      <c r="K94" s="166">
        <f t="shared" si="171"/>
        <v>494.8376595492519</v>
      </c>
      <c r="L94" s="172">
        <f t="shared" si="178"/>
        <v>-4.561676349883903E-2</v>
      </c>
      <c r="M94" s="172">
        <f t="shared" si="182"/>
        <v>-1.055168045846341E-3</v>
      </c>
      <c r="N94" s="196"/>
      <c r="O94" s="172"/>
      <c r="P94" s="166">
        <f>IFERROR(INDEX('Non-Labor Expenditures'!$F$7:$AB$91,MATCH($C94,'Non-Labor Expenditures'!$D$7:$D$91,0),MATCH($G94,'Non-Labor Expenditures'!$F$5:$AB$5,0)),"NA")</f>
        <v>77555.913131601177</v>
      </c>
      <c r="Q94" s="166">
        <f t="shared" si="172"/>
        <v>822.75219735637336</v>
      </c>
      <c r="R94" s="172">
        <f t="shared" si="183"/>
        <v>-3.6417618575461254E-2</v>
      </c>
      <c r="S94" s="172">
        <f t="shared" si="188"/>
        <v>-8.42381275638392E-4</v>
      </c>
      <c r="T94" s="172"/>
      <c r="U94" s="172"/>
      <c r="V94" s="166">
        <f t="shared" si="153"/>
        <v>76655.292759513002</v>
      </c>
      <c r="W94" s="170"/>
      <c r="X94" s="174">
        <v>3963.6349139779877</v>
      </c>
      <c r="Y94" s="175">
        <v>1.5088620919870968E-2</v>
      </c>
      <c r="Z94" s="175">
        <f t="shared" si="189"/>
        <v>3.4901710313011726E-4</v>
      </c>
      <c r="AA94" s="175"/>
      <c r="AB94" s="175"/>
      <c r="AC94" s="170">
        <f t="shared" si="85"/>
        <v>207765.01159583195</v>
      </c>
      <c r="AD94" s="175">
        <f t="shared" si="184"/>
        <v>3.8088025580104386E-2</v>
      </c>
      <c r="AE94" s="170"/>
      <c r="AF94" s="170"/>
      <c r="AG94" s="121">
        <f t="shared" si="185"/>
        <v>320.16354759626091</v>
      </c>
      <c r="AH94" s="119">
        <f>+AZ94/$BB$46</f>
        <v>1.8223441025497247E-2</v>
      </c>
      <c r="AI94" s="119"/>
      <c r="AJ94" s="176">
        <f t="shared" si="190"/>
        <v>5.8344815281344413</v>
      </c>
      <c r="AK94" s="176">
        <f t="shared" si="191"/>
        <v>0</v>
      </c>
      <c r="AL94" s="120">
        <f t="shared" si="173"/>
        <v>0.25776142620633696</v>
      </c>
      <c r="AM94" s="120">
        <f t="shared" si="174"/>
        <v>0.37328668834034351</v>
      </c>
      <c r="AN94" s="120">
        <f t="shared" si="175"/>
        <v>0.36895188545331958</v>
      </c>
      <c r="AO94" s="120">
        <f t="shared" si="179"/>
        <v>-2.0782314414657263E-2</v>
      </c>
      <c r="AP94" s="173">
        <f t="shared" ref="AP94:AP107" si="194">+AP93*EXP(AO94)</f>
        <v>105.35826213300118</v>
      </c>
      <c r="AQ94" s="175">
        <f t="shared" ref="AQ94:AQ107" si="195">LN(AP94/AP93)</f>
        <v>-2.0782314414657253E-2</v>
      </c>
      <c r="AR94" s="177">
        <f>+AC94/$AE$46</f>
        <v>2.313114664246611E-2</v>
      </c>
      <c r="AS94" s="177">
        <f t="shared" ref="AS94:AS107" si="196">+AR94*AQ94</f>
        <v>-4.8071876229527415E-4</v>
      </c>
      <c r="AT94" s="177"/>
      <c r="AU94" s="177"/>
      <c r="AV94" s="177"/>
      <c r="AW94" s="190"/>
      <c r="AX94" s="120"/>
      <c r="AY94" s="120"/>
      <c r="AZ94" s="118">
        <f>IFERROR(INDEX('Total Customers'!$F$7:$AB$91,MATCH($C94,'Total Customers'!$D$7:$D$91,0),MATCH($G94,'Total Customers'!$F$5:$AB$5,0)),"NA")</f>
        <v>648934</v>
      </c>
      <c r="BA94" s="119">
        <f t="shared" si="154"/>
        <v>4.2436285810095384E-3</v>
      </c>
      <c r="BB94" s="119"/>
      <c r="BC94" s="121"/>
      <c r="BD94" s="119"/>
      <c r="BE94" s="119"/>
      <c r="BF94" s="119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18"/>
      <c r="BR94" s="118"/>
      <c r="BS94" s="118">
        <f>INDEX('Dist. Plant Gas Additions'!$F$7:$AE$91,MATCH($C94,'Dist. Plant Gas Additions'!$D$7:$D$91,0),MATCH(Calculation!$G94,'Dist. Plant Gas Additions'!$F$5:$AE$5,0))</f>
        <v>48406</v>
      </c>
      <c r="BT94" s="118">
        <f>INDEX('Gen. Plant Additions'!$F$7:$AE$91,MATCH($C94,'Gen. Plant Additions'!$D$7:$D$91,0),MATCH(Calculation!$G94,'Gen. Plant Additions'!$F$5:$AE$5,0))</f>
        <v>355</v>
      </c>
      <c r="BU94" s="118"/>
      <c r="BV94" s="118"/>
      <c r="BW94" s="118" t="str">
        <f>INDEX('Dist Plant Depreciation'!$E$7:$AD$94,MATCH($C94,'Dist Plant Depreciation'!$D$7:$D$94,0),MATCH(Calculation!$G94,'Dist Plant Depreciation'!$E$5:$AD$5,0))</f>
        <v>NA</v>
      </c>
      <c r="BX94" s="118" t="str">
        <f>INDEX('Gen. Plant Depreciation'!$E$7:$AD$94,MATCH($C94,'Gen. Plant Depreciation'!$D$7:$D$94,0),MATCH(Calculation!$G94,'Gen. Plant Depreciation'!$E$5:$AD$5,0))</f>
        <v>NA</v>
      </c>
      <c r="BY94" s="183">
        <v>1987</v>
      </c>
      <c r="BZ94" s="183">
        <f t="shared" si="66"/>
        <v>40</v>
      </c>
      <c r="CA94" s="178">
        <v>242.68992766627693</v>
      </c>
      <c r="CB94" s="184">
        <f t="shared" si="67"/>
        <v>3.0165912518853696E-2</v>
      </c>
      <c r="CC94" s="185">
        <f t="shared" si="68"/>
        <v>7.3209631271878415</v>
      </c>
      <c r="CD94" s="185"/>
      <c r="CE94" s="118">
        <f>INDEX('Gross Dx Plant'!$E$7:$AD$91,MATCH($C94,'Gross Dx Plant'!$D$7:$D$91,0),MATCH(Calculation!$G94,'Gross Dx Plant'!$E$5:$AD$5,0))</f>
        <v>1152093</v>
      </c>
      <c r="CF94" s="118">
        <f>INDEX('Gross Gen Plant'!$E$7:$AD$91,MATCH($C94,'Gross Gen Plant'!$D$7:$D$91,0),MATCH(Calculation!$G94,'Gross Gen Plant'!$E$5:$AD$5,0))</f>
        <v>7340</v>
      </c>
      <c r="CG94" s="118" t="str">
        <f t="shared" si="7"/>
        <v>NA</v>
      </c>
      <c r="CH94" s="118"/>
      <c r="CI94" s="121">
        <v>2008</v>
      </c>
      <c r="CJ94" s="118"/>
      <c r="CK94" s="118"/>
      <c r="CL94" s="118"/>
      <c r="CM94" s="183"/>
      <c r="CN94" s="118">
        <f t="shared" si="155"/>
        <v>48761</v>
      </c>
      <c r="CO94" s="118">
        <f t="shared" si="156"/>
        <v>85.56344675808397</v>
      </c>
      <c r="CP94" s="186">
        <v>0.94252873563218387</v>
      </c>
      <c r="CQ94" s="118">
        <f>+CQ84*CP94+CO85*CP93+CO86*CP92+CO87*CP91+CO88*CP90+CO89*CP89+CO90*CP88+CO91*CP87+CO92*CP86+CO93*CP85+CO94</f>
        <v>3963.6349139779877</v>
      </c>
      <c r="CR94" s="119">
        <f t="shared" si="157"/>
        <v>1.5088620919870968E-2</v>
      </c>
      <c r="CS94" s="119"/>
      <c r="CT94" s="177">
        <f t="shared" si="158"/>
        <v>6.7122767145200652E-3</v>
      </c>
      <c r="CU94" s="177">
        <f t="shared" si="166"/>
        <v>6.4889342299847509E-3</v>
      </c>
      <c r="CV94" s="119">
        <f>VLOOKUP($H94,RoR!$E:$F,2,FALSE)</f>
        <v>5.6316666666666668E-2</v>
      </c>
      <c r="CW94" s="177">
        <v>1.9092304698479889E-2</v>
      </c>
      <c r="CX94" s="177">
        <f t="shared" si="164"/>
        <v>3.7224361968186778E-2</v>
      </c>
      <c r="CY94" s="177">
        <f t="shared" si="167"/>
        <v>2.4413007378548873E-2</v>
      </c>
      <c r="CZ94" s="177">
        <f t="shared" si="168"/>
        <v>6.9030581091053131E-2</v>
      </c>
      <c r="DA94" s="187">
        <f t="shared" si="159"/>
        <v>0.84965624875000001</v>
      </c>
      <c r="DB94" s="188">
        <f t="shared" si="160"/>
        <v>0.91060168006009956</v>
      </c>
      <c r="DC94" s="188">
        <f t="shared" si="161"/>
        <v>0.53108168097070152</v>
      </c>
      <c r="DD94" s="188">
        <f t="shared" si="162"/>
        <v>0.88825329850328805</v>
      </c>
      <c r="DE94" s="188">
        <f t="shared" si="163"/>
        <v>0.4295627335323573</v>
      </c>
      <c r="DF94" s="189">
        <f>INDEX('State Tax Lookup'!$D$7:$Z$91,MATCH(Calculation!$C94,'State Tax Lookup'!$B$7:$B$91,0),MATCH($H94,'State Tax Lookup'!$D$6:$Z$6,0))</f>
        <v>0.40091666999999998</v>
      </c>
      <c r="DG94" s="189">
        <v>0.375</v>
      </c>
      <c r="DH94" s="190">
        <f t="shared" si="165"/>
        <v>19.633666338145666</v>
      </c>
      <c r="DI94" s="190">
        <v>19.341843358481938</v>
      </c>
      <c r="DJ94" s="177"/>
      <c r="DK94" s="189">
        <f>VLOOKUP($H94,RoR!$E:$F,2,FALSE)</f>
        <v>5.6316666666666668E-2</v>
      </c>
      <c r="DL94" s="191">
        <f>HLOOKUP($H94,'GDP-PI'!$D$8:$CQ$11,3,FALSE)</f>
        <v>1.9092304698479889E-2</v>
      </c>
      <c r="DM94" s="189">
        <f>VLOOKUP(H94,'HW Dx Data'!$E:$F,2,FALSE)</f>
        <v>569.88120333515076</v>
      </c>
      <c r="DN94" s="183">
        <f>VLOOKUP(H94,'ECI - Input Price'!$G$17:$H$37,2,FALSE)</f>
        <v>108.22499999999999</v>
      </c>
      <c r="DO94" s="177">
        <f t="shared" ref="DO94" si="197">LN(DN94/DN93)</f>
        <v>2.8111478671409691E-2</v>
      </c>
      <c r="DP94" s="183">
        <f>HLOOKUP(H94,'GDP-PI'!$8:$9,2,FALSE)</f>
        <v>94.263999999999996</v>
      </c>
      <c r="DQ94" s="177">
        <f t="shared" ref="DQ94" si="198">LN(DP94/DP93)</f>
        <v>1.8912333748032254E-2</v>
      </c>
      <c r="DR94" s="167" t="s">
        <v>315</v>
      </c>
      <c r="DU94" s="167">
        <f>+DU93/DU92</f>
        <v>0.20749999999999999</v>
      </c>
      <c r="DV94" s="167">
        <f>+DV93/DV92</f>
        <v>0.29249999999999998</v>
      </c>
      <c r="DW94" s="192"/>
      <c r="DX94" s="192">
        <f>+DX93/DX92</f>
        <v>0.5</v>
      </c>
      <c r="DY94" s="192"/>
      <c r="DZ94" s="192">
        <f>+DZ92*DX94</f>
        <v>1.3508828226157205E-2</v>
      </c>
      <c r="EA94" s="192"/>
      <c r="EB94" s="192">
        <f>+EB92*DX94</f>
        <v>1.1946639846370705E-2</v>
      </c>
      <c r="EC94" s="192"/>
      <c r="ED94" s="192">
        <f>+ED92*DX94</f>
        <v>9.6416865411185111E-3</v>
      </c>
      <c r="EE94" s="192"/>
      <c r="EF94" s="192">
        <f>+EF92*DX94</f>
        <v>7.1509004601943808E-3</v>
      </c>
    </row>
    <row r="95" spans="1:136" s="167" customFormat="1" ht="21" x14ac:dyDescent="0.35">
      <c r="A95" s="167" t="s">
        <v>31</v>
      </c>
      <c r="B95" s="168" t="s">
        <v>31</v>
      </c>
      <c r="C95" s="168">
        <v>4007784</v>
      </c>
      <c r="D95" s="168" t="s">
        <v>134</v>
      </c>
      <c r="E95" s="168"/>
      <c r="F95" s="168"/>
      <c r="G95" s="168" t="s">
        <v>15</v>
      </c>
      <c r="H95" s="169">
        <v>2009</v>
      </c>
      <c r="I95" s="170"/>
      <c r="J95" s="166">
        <f>IFERROR(INDEX('Labor Expenditures'!$F$7:$X$91,MATCH($C95,'Labor Expenditures'!$D$7:$D$91,0),MATCH($G95,'Labor Expenditures'!$F$5:$X$5,0)),"NA")</f>
        <v>52919.823410469005</v>
      </c>
      <c r="K95" s="166">
        <f t="shared" si="171"/>
        <v>482.07536698218183</v>
      </c>
      <c r="L95" s="172">
        <f t="shared" si="178"/>
        <v>-2.6129283410572766E-2</v>
      </c>
      <c r="M95" s="172">
        <f t="shared" si="182"/>
        <v>-5.692473561858453E-4</v>
      </c>
      <c r="N95" s="196"/>
      <c r="O95" s="172"/>
      <c r="P95" s="166">
        <f>IFERROR(INDEX('Non-Labor Expenditures'!$F$7:$AB$91,MATCH($C95,'Non-Labor Expenditures'!$D$7:$D$91,0),MATCH($G95,'Non-Labor Expenditures'!$F$5:$AB$5,0)),"NA")</f>
        <v>76637.788357969999</v>
      </c>
      <c r="Q95" s="166">
        <f t="shared" si="172"/>
        <v>806.72205347393128</v>
      </c>
      <c r="R95" s="172">
        <f t="shared" si="183"/>
        <v>-1.9675869109145813E-2</v>
      </c>
      <c r="S95" s="172">
        <f t="shared" si="188"/>
        <v>-4.286545595241212E-4</v>
      </c>
      <c r="T95" s="172"/>
      <c r="U95" s="172"/>
      <c r="V95" s="166">
        <f t="shared" si="153"/>
        <v>74551.058362850308</v>
      </c>
      <c r="W95" s="170"/>
      <c r="X95" s="174">
        <v>4015.9236140589887</v>
      </c>
      <c r="Y95" s="175">
        <v>1.3105849987846951E-2</v>
      </c>
      <c r="Z95" s="175">
        <f t="shared" si="189"/>
        <v>2.8552143351667341E-4</v>
      </c>
      <c r="AA95" s="175"/>
      <c r="AB95" s="175"/>
      <c r="AC95" s="170">
        <f t="shared" si="85"/>
        <v>204108.67013128931</v>
      </c>
      <c r="AD95" s="175">
        <f t="shared" si="184"/>
        <v>-1.775514037372836E-2</v>
      </c>
      <c r="AE95" s="170"/>
      <c r="AF95" s="170"/>
      <c r="AG95" s="121">
        <f t="shared" si="185"/>
        <v>313.5979420049585</v>
      </c>
      <c r="AH95" s="119">
        <f>+AZ95/$BB$47</f>
        <v>1.8251183214733655E-2</v>
      </c>
      <c r="AI95" s="119"/>
      <c r="AJ95" s="176">
        <f t="shared" si="190"/>
        <v>5.7235334952959169</v>
      </c>
      <c r="AK95" s="176">
        <f t="shared" si="191"/>
        <v>0</v>
      </c>
      <c r="AL95" s="120">
        <f t="shared" si="173"/>
        <v>0.25927278530808739</v>
      </c>
      <c r="AM95" s="120">
        <f t="shared" si="174"/>
        <v>0.37547541860262029</v>
      </c>
      <c r="AN95" s="120">
        <f t="shared" si="175"/>
        <v>0.36525179608929231</v>
      </c>
      <c r="AO95" s="120">
        <f t="shared" si="179"/>
        <v>-9.309957672448993E-3</v>
      </c>
      <c r="AP95" s="173">
        <f t="shared" si="194"/>
        <v>104.38193301543863</v>
      </c>
      <c r="AQ95" s="175">
        <f t="shared" si="195"/>
        <v>-9.3099576724490173E-3</v>
      </c>
      <c r="AR95" s="177">
        <f>+AC95/$AE$47</f>
        <v>2.1785800522777028E-2</v>
      </c>
      <c r="AS95" s="177">
        <f t="shared" si="196"/>
        <v>-2.028248807274718E-4</v>
      </c>
      <c r="AT95" s="177"/>
      <c r="AU95" s="177"/>
      <c r="AV95" s="177"/>
      <c r="AW95" s="190"/>
      <c r="AX95" s="120"/>
      <c r="AY95" s="120"/>
      <c r="AZ95" s="118">
        <f>IFERROR(INDEX('Total Customers'!$F$7:$AB$91,MATCH($C95,'Total Customers'!$D$7:$D$91,0),MATCH($G95,'Total Customers'!$F$5:$AB$5,0)),"NA")</f>
        <v>650861</v>
      </c>
      <c r="BA95" s="119">
        <f t="shared" si="154"/>
        <v>2.9650851277395118E-3</v>
      </c>
      <c r="BB95" s="119"/>
      <c r="BC95" s="121"/>
      <c r="BD95" s="119"/>
      <c r="BE95" s="119"/>
      <c r="BF95" s="119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18"/>
      <c r="BR95" s="118"/>
      <c r="BS95" s="118">
        <f>INDEX('Dist. Plant Gas Additions'!$F$7:$AE$91,MATCH($C95,'Dist. Plant Gas Additions'!$D$7:$D$91,0),MATCH(Calculation!$G95,'Dist. Plant Gas Additions'!$F$5:$AE$5,0))</f>
        <v>43244</v>
      </c>
      <c r="BT95" s="118">
        <f>INDEX('Gen. Plant Additions'!$F$7:$AE$91,MATCH($C95,'Gen. Plant Additions'!$D$7:$D$91,0),MATCH(Calculation!$G95,'Gen. Plant Additions'!$F$5:$AE$5,0))</f>
        <v>736</v>
      </c>
      <c r="BU95" s="118"/>
      <c r="BV95" s="118"/>
      <c r="BW95" s="118">
        <f>INDEX('Dist Plant Depreciation'!$E$7:$AD$94,MATCH($C95,'Dist Plant Depreciation'!$D$7:$D$94,0),MATCH(Calculation!$G95,'Dist Plant Depreciation'!$E$5:$AD$5,0))</f>
        <v>388386</v>
      </c>
      <c r="BX95" s="118">
        <f>INDEX('Gen. Plant Depreciation'!$E$7:$AD$94,MATCH($C95,'Gen. Plant Depreciation'!$D$7:$D$94,0),MATCH(Calculation!$G95,'Gen. Plant Depreciation'!$E$5:$AD$5,0))</f>
        <v>3420</v>
      </c>
      <c r="BY95" s="183">
        <v>1988</v>
      </c>
      <c r="BZ95" s="183">
        <f t="shared" si="66"/>
        <v>41</v>
      </c>
      <c r="CA95" s="178">
        <v>256.77937804125054</v>
      </c>
      <c r="CB95" s="184">
        <f t="shared" si="67"/>
        <v>3.0920060331825039E-2</v>
      </c>
      <c r="CC95" s="185">
        <f t="shared" si="68"/>
        <v>7.9396338610039763</v>
      </c>
      <c r="CD95" s="185"/>
      <c r="CE95" s="118">
        <f>INDEX('Gross Dx Plant'!$E$7:$AD$91,MATCH($C95,'Gross Dx Plant'!$D$7:$D$91,0),MATCH(Calculation!$G95,'Gross Dx Plant'!$E$5:$AD$5,0))</f>
        <v>1187015</v>
      </c>
      <c r="CF95" s="118">
        <f>INDEX('Gross Gen Plant'!$E$7:$AD$91,MATCH($C95,'Gross Gen Plant'!$D$7:$D$91,0),MATCH(Calculation!$G95,'Gross Gen Plant'!$E$5:$AD$5,0))</f>
        <v>7854</v>
      </c>
      <c r="CG95" s="118">
        <f t="shared" si="7"/>
        <v>803063</v>
      </c>
      <c r="CH95" s="118"/>
      <c r="CI95" s="121">
        <v>2009</v>
      </c>
      <c r="CJ95" s="118"/>
      <c r="CK95" s="118"/>
      <c r="CL95" s="118"/>
      <c r="CM95" s="183"/>
      <c r="CN95" s="118">
        <f t="shared" si="155"/>
        <v>43980</v>
      </c>
      <c r="CO95" s="118">
        <f t="shared" si="156"/>
        <v>79.827112147130734</v>
      </c>
      <c r="CP95" s="186">
        <v>0.93567251461988299</v>
      </c>
      <c r="CQ95" s="118">
        <f>+CQ84*CP95+CO85*CP94+CO86*CP93+CO87*CP92+CO88*CP91+CO89*CP90+CO90*CP89+CO91*CP88+CO92*CP87+CO93*CP86+CO94*CP85+CO95</f>
        <v>4015.9236140589887</v>
      </c>
      <c r="CR95" s="119">
        <f t="shared" si="157"/>
        <v>1.3105849987846951E-2</v>
      </c>
      <c r="CS95" s="119"/>
      <c r="CT95" s="177">
        <f t="shared" si="158"/>
        <v>6.9477670531697825E-3</v>
      </c>
      <c r="CU95" s="177">
        <f t="shared" si="166"/>
        <v>6.7149959229335157E-3</v>
      </c>
      <c r="CV95" s="119">
        <f>VLOOKUP($H95,RoR!$E:$F,2,FALSE)</f>
        <v>5.3133333333333324E-2</v>
      </c>
      <c r="CW95" s="177">
        <v>7.7972502758210105E-3</v>
      </c>
      <c r="CX95" s="177">
        <f t="shared" si="164"/>
        <v>4.5336083057512314E-2</v>
      </c>
      <c r="CY95" s="177">
        <f t="shared" si="167"/>
        <v>2.4186945685600109E-2</v>
      </c>
      <c r="CZ95" s="177">
        <f t="shared" si="168"/>
        <v>6.3720160300892073E-2</v>
      </c>
      <c r="DA95" s="187">
        <f t="shared" si="159"/>
        <v>0.84965624875000001</v>
      </c>
      <c r="DB95" s="188">
        <f t="shared" si="160"/>
        <v>0.96515780330083989</v>
      </c>
      <c r="DC95" s="188">
        <f t="shared" si="161"/>
        <v>0.50448557089084056</v>
      </c>
      <c r="DD95" s="188">
        <f t="shared" si="162"/>
        <v>0.87391435735465484</v>
      </c>
      <c r="DE95" s="188">
        <f t="shared" si="163"/>
        <v>0.42551605393279146</v>
      </c>
      <c r="DF95" s="189">
        <f>INDEX('State Tax Lookup'!$D$7:$Z$91,MATCH(Calculation!$C95,'State Tax Lookup'!$B$7:$B$91,0),MATCH($H95,'State Tax Lookup'!$D$6:$Z$6,0))</f>
        <v>0.40091666999999998</v>
      </c>
      <c r="DG95" s="189">
        <v>0.375</v>
      </c>
      <c r="DH95" s="190">
        <f t="shared" si="165"/>
        <v>18.808760135788916</v>
      </c>
      <c r="DI95" s="190">
        <v>18.457061486687877</v>
      </c>
      <c r="DJ95" s="177"/>
      <c r="DK95" s="189">
        <f>VLOOKUP($H95,RoR!$E:$F,2,FALSE)</f>
        <v>5.3133333333333324E-2</v>
      </c>
      <c r="DL95" s="191">
        <f>HLOOKUP($H95,'GDP-PI'!$D$8:$CQ$11,3,FALSE)</f>
        <v>7.7972502758210105E-3</v>
      </c>
      <c r="DM95" s="189">
        <f>VLOOKUP(H95,'HW Dx Data'!$E:$F,2,FALSE)</f>
        <v>550.94063679692806</v>
      </c>
      <c r="DN95" s="183">
        <f>VLOOKUP(H95,'ECI - Input Price'!$G$17:$H$37,2,FALSE)</f>
        <v>109.77499999999999</v>
      </c>
      <c r="DO95" s="177">
        <f t="shared" ref="DO95" si="199">LN(DN95/DN94)</f>
        <v>1.4220423119736749E-2</v>
      </c>
      <c r="DP95" s="183">
        <f>HLOOKUP(H95,'GDP-PI'!$8:$9,2,FALSE)</f>
        <v>94.998999999999995</v>
      </c>
      <c r="DQ95" s="177">
        <f t="shared" ref="DQ95" si="200">LN(DP95/DP94)</f>
        <v>7.7670088183096342E-3</v>
      </c>
      <c r="DT95" s="198" t="s">
        <v>316</v>
      </c>
      <c r="DU95" s="198" t="s">
        <v>317</v>
      </c>
      <c r="DV95" s="198"/>
      <c r="DW95" s="199" t="s">
        <v>318</v>
      </c>
      <c r="DX95" s="192"/>
      <c r="DY95" s="192"/>
      <c r="DZ95" s="192"/>
      <c r="EA95" s="192"/>
      <c r="EB95" s="192"/>
      <c r="EC95" s="192"/>
      <c r="ED95" s="192"/>
      <c r="EE95" s="192"/>
      <c r="EF95" s="192"/>
    </row>
    <row r="96" spans="1:136" s="167" customFormat="1" ht="21" x14ac:dyDescent="0.35">
      <c r="A96" s="167" t="s">
        <v>31</v>
      </c>
      <c r="B96" s="168" t="s">
        <v>31</v>
      </c>
      <c r="C96" s="168">
        <v>4007784</v>
      </c>
      <c r="D96" s="168" t="s">
        <v>134</v>
      </c>
      <c r="E96" s="168"/>
      <c r="F96" s="168"/>
      <c r="G96" s="168" t="s">
        <v>16</v>
      </c>
      <c r="H96" s="169">
        <v>2010</v>
      </c>
      <c r="I96" s="170"/>
      <c r="J96" s="166">
        <f>IFERROR(INDEX('Labor Expenditures'!$F$7:$X$91,MATCH($C96,'Labor Expenditures'!$D$7:$D$91,0),MATCH($G96,'Labor Expenditures'!$F$5:$X$5,0)),"NA")</f>
        <v>55068.902293098516</v>
      </c>
      <c r="K96" s="166">
        <f t="shared" si="171"/>
        <v>492.23599815060123</v>
      </c>
      <c r="L96" s="172">
        <f t="shared" si="178"/>
        <v>2.0857807663990618E-2</v>
      </c>
      <c r="M96" s="172">
        <f t="shared" si="182"/>
        <v>4.5568257809564807E-4</v>
      </c>
      <c r="N96" s="196"/>
      <c r="O96" s="172"/>
      <c r="P96" s="166">
        <f>IFERROR(INDEX('Non-Labor Expenditures'!$F$7:$AB$91,MATCH($C96,'Non-Labor Expenditures'!$D$7:$D$91,0),MATCH($G96,'Non-Labor Expenditures'!$F$5:$AB$5,0)),"NA")</f>
        <v>79750.055972584931</v>
      </c>
      <c r="Q96" s="166">
        <f t="shared" si="172"/>
        <v>829.78759504921425</v>
      </c>
      <c r="R96" s="172">
        <f t="shared" si="183"/>
        <v>2.8190569004078986E-2</v>
      </c>
      <c r="S96" s="172">
        <f t="shared" si="188"/>
        <v>6.1588213721711093E-4</v>
      </c>
      <c r="T96" s="172"/>
      <c r="U96" s="172"/>
      <c r="V96" s="166">
        <f t="shared" si="153"/>
        <v>77341.681192201184</v>
      </c>
      <c r="W96" s="170"/>
      <c r="X96" s="174">
        <v>4097.935318378356</v>
      </c>
      <c r="Y96" s="175">
        <v>2.0215904182597173E-2</v>
      </c>
      <c r="Z96" s="175">
        <f t="shared" si="189"/>
        <v>4.41658849523497E-4</v>
      </c>
      <c r="AA96" s="175"/>
      <c r="AB96" s="175"/>
      <c r="AC96" s="170">
        <f t="shared" si="85"/>
        <v>212160.63945788462</v>
      </c>
      <c r="AD96" s="175">
        <f t="shared" si="184"/>
        <v>3.8691172295296811E-2</v>
      </c>
      <c r="AE96" s="170"/>
      <c r="AF96" s="170"/>
      <c r="AG96" s="121">
        <f t="shared" si="185"/>
        <v>325.10357045557362</v>
      </c>
      <c r="AH96" s="119">
        <f>+AZ96/$BB$48</f>
        <v>1.8199036847695162E-2</v>
      </c>
      <c r="AI96" s="119"/>
      <c r="AJ96" s="176">
        <f t="shared" si="190"/>
        <v>5.9165718580382443</v>
      </c>
      <c r="AK96" s="176">
        <f t="shared" si="191"/>
        <v>0</v>
      </c>
      <c r="AL96" s="120">
        <f t="shared" si="173"/>
        <v>0.25956229408909792</v>
      </c>
      <c r="AM96" s="120">
        <f t="shared" si="174"/>
        <v>0.37589468139030507</v>
      </c>
      <c r="AN96" s="120">
        <f t="shared" si="175"/>
        <v>0.36454302452059706</v>
      </c>
      <c r="AO96" s="120">
        <f t="shared" si="179"/>
        <v>2.3378387556627651E-2</v>
      </c>
      <c r="AP96" s="173">
        <f t="shared" si="194"/>
        <v>106.85096281435689</v>
      </c>
      <c r="AQ96" s="175">
        <f t="shared" si="195"/>
        <v>2.3378387556627547E-2</v>
      </c>
      <c r="AR96" s="177">
        <f>+AC96/$AE$48</f>
        <v>2.1847098479211149E-2</v>
      </c>
      <c r="AS96" s="177">
        <f t="shared" si="196"/>
        <v>5.1074993523480649E-4</v>
      </c>
      <c r="AT96" s="177"/>
      <c r="AU96" s="177"/>
      <c r="AV96" s="177"/>
      <c r="AW96" s="190"/>
      <c r="AX96" s="120"/>
      <c r="AY96" s="120"/>
      <c r="AZ96" s="118">
        <f>IFERROR(INDEX('Total Customers'!$F$7:$AB$91,MATCH($C96,'Total Customers'!$D$7:$D$91,0),MATCH($G96,'Total Customers'!$F$5:$AB$5,0)),"NA")</f>
        <v>652594</v>
      </c>
      <c r="BA96" s="119">
        <f t="shared" si="154"/>
        <v>2.6590883784007534E-3</v>
      </c>
      <c r="BB96" s="119"/>
      <c r="BC96" s="121"/>
      <c r="BD96" s="119"/>
      <c r="BE96" s="119"/>
      <c r="BF96" s="119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  <c r="BQ96" s="118"/>
      <c r="BR96" s="118"/>
      <c r="BS96" s="118">
        <f>INDEX('Dist. Plant Gas Additions'!$F$7:$AE$91,MATCH($C96,'Dist. Plant Gas Additions'!$D$7:$D$91,0),MATCH(Calculation!$G96,'Dist. Plant Gas Additions'!$F$5:$AE$5,0))</f>
        <v>61438</v>
      </c>
      <c r="BT96" s="118">
        <f>INDEX('Gen. Plant Additions'!$F$7:$AE$91,MATCH($C96,'Gen. Plant Additions'!$D$7:$D$91,0),MATCH(Calculation!$G96,'Gen. Plant Additions'!$F$5:$AE$5,0))</f>
        <v>1671</v>
      </c>
      <c r="BU96" s="118"/>
      <c r="BV96" s="118"/>
      <c r="BW96" s="118">
        <f>INDEX('Dist Plant Depreciation'!$E$7:$AD$94,MATCH($C96,'Dist Plant Depreciation'!$D$7:$D$94,0),MATCH(Calculation!$G96,'Dist Plant Depreciation'!$E$5:$AD$5,0))</f>
        <v>398163</v>
      </c>
      <c r="BX96" s="118">
        <f>INDEX('Gen. Plant Depreciation'!$E$7:$AD$94,MATCH($C96,'Gen. Plant Depreciation'!$D$7:$D$94,0),MATCH(Calculation!$G96,'Gen. Plant Depreciation'!$E$5:$AD$5,0))</f>
        <v>4038</v>
      </c>
      <c r="BY96" s="183">
        <v>1989</v>
      </c>
      <c r="BZ96" s="183">
        <f t="shared" si="66"/>
        <v>42</v>
      </c>
      <c r="CA96" s="178">
        <v>268.73664562501432</v>
      </c>
      <c r="CB96" s="184">
        <f t="shared" si="67"/>
        <v>3.1674208144796379E-2</v>
      </c>
      <c r="CC96" s="185">
        <f t="shared" si="68"/>
        <v>8.5120204496610867</v>
      </c>
      <c r="CD96" s="185"/>
      <c r="CE96" s="118">
        <f>INDEX('Gross Dx Plant'!$E$7:$AD$91,MATCH($C96,'Gross Dx Plant'!$D$7:$D$91,0),MATCH(Calculation!$G96,'Gross Dx Plant'!$E$5:$AD$5,0))</f>
        <v>1239535</v>
      </c>
      <c r="CF96" s="118">
        <f>INDEX('Gross Gen Plant'!$E$7:$AD$91,MATCH($C96,'Gross Gen Plant'!$D$7:$D$91,0),MATCH(Calculation!$G96,'Gross Gen Plant'!$E$5:$AD$5,0))</f>
        <v>9450</v>
      </c>
      <c r="CG96" s="118">
        <f t="shared" si="7"/>
        <v>846784</v>
      </c>
      <c r="CH96" s="118"/>
      <c r="CI96" s="121">
        <v>2010</v>
      </c>
      <c r="CJ96" s="118"/>
      <c r="CK96" s="118"/>
      <c r="CL96" s="118"/>
      <c r="CM96" s="183"/>
      <c r="CN96" s="118">
        <f t="shared" si="155"/>
        <v>63109</v>
      </c>
      <c r="CO96" s="118">
        <f t="shared" si="156"/>
        <v>110.9141727717771</v>
      </c>
      <c r="CP96" s="186">
        <v>0.9285714285714286</v>
      </c>
      <c r="CQ96" s="118">
        <f>+CQ84*CP96+CO85*CP95+CO86*CP94+CO87*CP93+CO88*CP92+CO89*CP91+CO90*CP90+CO91*CP89+CO92*CP88+CO93*CP87+CO94*CP86+CO95*CP85+CO96</f>
        <v>4097.935318378356</v>
      </c>
      <c r="CR96" s="119">
        <f t="shared" si="157"/>
        <v>2.0215904182597173E-2</v>
      </c>
      <c r="CS96" s="119"/>
      <c r="CT96" s="177">
        <f t="shared" si="158"/>
        <v>7.19696668313804E-3</v>
      </c>
      <c r="CU96" s="177">
        <f t="shared" si="166"/>
        <v>6.9523368169426289E-3</v>
      </c>
      <c r="CV96" s="119">
        <f>VLOOKUP($H96,RoR!$E:$F,2,FALSE)</f>
        <v>4.9433333333333322E-2</v>
      </c>
      <c r="CW96" s="177">
        <v>1.1684333519300205E-2</v>
      </c>
      <c r="CX96" s="177">
        <f t="shared" si="164"/>
        <v>3.7748999814033117E-2</v>
      </c>
      <c r="CY96" s="177">
        <f t="shared" si="167"/>
        <v>2.3949604791590997E-2</v>
      </c>
      <c r="CZ96" s="177">
        <f t="shared" si="168"/>
        <v>4.7937530248493419E-2</v>
      </c>
      <c r="DA96" s="187">
        <f t="shared" si="159"/>
        <v>0.84965624875000001</v>
      </c>
      <c r="DB96" s="188">
        <f t="shared" si="160"/>
        <v>1.037398205301105</v>
      </c>
      <c r="DC96" s="188">
        <f t="shared" si="161"/>
        <v>0.46926837491571133</v>
      </c>
      <c r="DD96" s="188">
        <f t="shared" si="162"/>
        <v>0.8548537519972772</v>
      </c>
      <c r="DE96" s="188">
        <f t="shared" si="163"/>
        <v>0.41615833911547367</v>
      </c>
      <c r="DF96" s="189">
        <f>INDEX('State Tax Lookup'!$D$7:$Z$91,MATCH(Calculation!$C96,'State Tax Lookup'!$B$7:$B$91,0),MATCH($H96,'State Tax Lookup'!$D$6:$Z$6,0))</f>
        <v>0.40091666999999998</v>
      </c>
      <c r="DG96" s="189">
        <v>0.375</v>
      </c>
      <c r="DH96" s="190">
        <f t="shared" si="165"/>
        <v>19.258753060302887</v>
      </c>
      <c r="DI96" s="190">
        <v>18.918487303552958</v>
      </c>
      <c r="DJ96" s="177"/>
      <c r="DK96" s="189">
        <f>VLOOKUP($H96,RoR!$E:$F,2,FALSE)</f>
        <v>4.9433333333333322E-2</v>
      </c>
      <c r="DL96" s="191">
        <f>HLOOKUP($H96,'GDP-PI'!$D$8:$CQ$11,3,FALSE)</f>
        <v>1.1684333519300205E-2</v>
      </c>
      <c r="DM96" s="189">
        <f>VLOOKUP(H96,'HW Dx Data'!$E:$F,2,FALSE)</f>
        <v>568.98950262971744</v>
      </c>
      <c r="DN96" s="183">
        <f>VLOOKUP(H96,'ECI - Input Price'!$G$17:$H$37,2,FALSE)</f>
        <v>111.875</v>
      </c>
      <c r="DO96" s="177">
        <f t="shared" ref="DO96" si="201">LN(DN96/DN95)</f>
        <v>1.8949360147238387E-2</v>
      </c>
      <c r="DP96" s="183">
        <f>HLOOKUP(H96,'GDP-PI'!$8:$9,2,FALSE)</f>
        <v>96.108999999999995</v>
      </c>
      <c r="DQ96" s="177">
        <f t="shared" ref="DQ96" si="202">LN(DP96/DP95)</f>
        <v>1.1616598807150427E-2</v>
      </c>
      <c r="DR96" s="167" t="s">
        <v>311</v>
      </c>
      <c r="DS96" s="192"/>
      <c r="DT96" s="192">
        <v>1.3516542083719366E-2</v>
      </c>
      <c r="DU96" s="192">
        <f>+DU93+Calculation!DV93+Calculation!DX93</f>
        <v>2.0623564300742032E-2</v>
      </c>
      <c r="DV96" s="192"/>
      <c r="DW96" s="192">
        <f>+Calculation!DT96-(Calculation!DU93+DV93+DX93)</f>
        <v>-7.1070222170226665E-3</v>
      </c>
      <c r="DX96" s="192"/>
      <c r="DY96" s="192"/>
      <c r="DZ96" s="192"/>
      <c r="EA96" s="192"/>
      <c r="EB96" s="192"/>
      <c r="EC96" s="192"/>
      <c r="ED96" s="192"/>
      <c r="EE96" s="192"/>
      <c r="EF96" s="192"/>
    </row>
    <row r="97" spans="1:136" s="167" customFormat="1" ht="21" x14ac:dyDescent="0.35">
      <c r="A97" s="167" t="s">
        <v>31</v>
      </c>
      <c r="B97" s="168" t="s">
        <v>31</v>
      </c>
      <c r="C97" s="168">
        <v>4007784</v>
      </c>
      <c r="D97" s="168" t="s">
        <v>134</v>
      </c>
      <c r="E97" s="168"/>
      <c r="F97" s="168"/>
      <c r="G97" s="168" t="s">
        <v>17</v>
      </c>
      <c r="H97" s="169">
        <v>2011</v>
      </c>
      <c r="I97" s="170"/>
      <c r="J97" s="166">
        <f>IFERROR(INDEX('Labor Expenditures'!$F$7:$X$91,MATCH($C97,'Labor Expenditures'!$D$7:$D$91,0),MATCH($G97,'Labor Expenditures'!$F$5:$X$5,0)),"NA")</f>
        <v>55770.300548758933</v>
      </c>
      <c r="K97" s="166">
        <f t="shared" si="171"/>
        <v>487.92913865930825</v>
      </c>
      <c r="L97" s="172">
        <f t="shared" si="178"/>
        <v>-8.7880848805967863E-3</v>
      </c>
      <c r="M97" s="172">
        <f t="shared" si="182"/>
        <v>-1.9013962418351873E-4</v>
      </c>
      <c r="N97" s="196"/>
      <c r="O97" s="172"/>
      <c r="P97" s="166">
        <f>IFERROR(INDEX('Non-Labor Expenditures'!$F$7:$AB$91,MATCH($C97,'Non-Labor Expenditures'!$D$7:$D$91,0),MATCH($G97,'Non-Labor Expenditures'!$F$5:$AB$5,0)),"NA")</f>
        <v>80765.811649904848</v>
      </c>
      <c r="Q97" s="166">
        <f t="shared" si="172"/>
        <v>823.20013504876931</v>
      </c>
      <c r="R97" s="172">
        <f t="shared" si="183"/>
        <v>-7.9704098877006954E-3</v>
      </c>
      <c r="S97" s="172">
        <f t="shared" si="188"/>
        <v>-1.7244835037745983E-4</v>
      </c>
      <c r="T97" s="172"/>
      <c r="U97" s="172"/>
      <c r="V97" s="166">
        <f t="shared" si="153"/>
        <v>84126.940122450047</v>
      </c>
      <c r="W97" s="170"/>
      <c r="X97" s="174">
        <v>4189.9528682488681</v>
      </c>
      <c r="Y97" s="175">
        <v>2.2206219255328091E-2</v>
      </c>
      <c r="Z97" s="175">
        <f t="shared" si="189"/>
        <v>4.8045532571803872E-4</v>
      </c>
      <c r="AA97" s="175"/>
      <c r="AB97" s="175"/>
      <c r="AC97" s="170">
        <f t="shared" si="85"/>
        <v>220663.05232111382</v>
      </c>
      <c r="AD97" s="175">
        <f t="shared" si="184"/>
        <v>3.9293166896316019E-2</v>
      </c>
      <c r="AE97" s="170"/>
      <c r="AF97" s="170"/>
      <c r="AG97" s="121">
        <f t="shared" si="185"/>
        <v>337.84230414437303</v>
      </c>
      <c r="AH97" s="119">
        <f>+AZ97/$BB$49</f>
        <v>1.812610531511484E-2</v>
      </c>
      <c r="AI97" s="119"/>
      <c r="AJ97" s="176">
        <f t="shared" si="190"/>
        <v>6.1237651848219645</v>
      </c>
      <c r="AK97" s="176">
        <f t="shared" si="191"/>
        <v>0</v>
      </c>
      <c r="AL97" s="120">
        <f t="shared" si="173"/>
        <v>0.25273964065176052</v>
      </c>
      <c r="AM97" s="120">
        <f t="shared" si="174"/>
        <v>0.36601420491715408</v>
      </c>
      <c r="AN97" s="120">
        <f t="shared" si="175"/>
        <v>0.38124615443108545</v>
      </c>
      <c r="AO97" s="120">
        <f t="shared" si="179"/>
        <v>3.0728436079287894E-3</v>
      </c>
      <c r="AP97" s="173">
        <f t="shared" si="194"/>
        <v>107.17980409259864</v>
      </c>
      <c r="AQ97" s="175">
        <f t="shared" si="195"/>
        <v>3.0728436079288392E-3</v>
      </c>
      <c r="AR97" s="177">
        <f>+AC97/$AE$49</f>
        <v>2.163607051672066E-2</v>
      </c>
      <c r="AS97" s="177">
        <f t="shared" si="196"/>
        <v>6.6484260988002703E-5</v>
      </c>
      <c r="AT97" s="177"/>
      <c r="AU97" s="177"/>
      <c r="AV97" s="177"/>
      <c r="AW97" s="190"/>
      <c r="AX97" s="120"/>
      <c r="AY97" s="120"/>
      <c r="AZ97" s="118">
        <f>IFERROR(INDEX('Total Customers'!$F$7:$AB$91,MATCH($C97,'Total Customers'!$D$7:$D$91,0),MATCH($G97,'Total Customers'!$F$5:$AB$5,0)),"NA")</f>
        <v>653154</v>
      </c>
      <c r="BA97" s="119">
        <f t="shared" si="154"/>
        <v>8.5774595761818563E-4</v>
      </c>
      <c r="BB97" s="119"/>
      <c r="BC97" s="121"/>
      <c r="BD97" s="119"/>
      <c r="BE97" s="119"/>
      <c r="BF97" s="119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18"/>
      <c r="BR97" s="118"/>
      <c r="BS97" s="118">
        <f>INDEX('Dist. Plant Gas Additions'!$F$7:$AE$91,MATCH($C97,'Dist. Plant Gas Additions'!$D$7:$D$91,0),MATCH(Calculation!$G97,'Dist. Plant Gas Additions'!$F$5:$AE$5,0))</f>
        <v>74924</v>
      </c>
      <c r="BT97" s="118">
        <f>INDEX('Gen. Plant Additions'!$F$7:$AE$91,MATCH($C97,'Gen. Plant Additions'!$D$7:$D$91,0),MATCH(Calculation!$G97,'Gen. Plant Additions'!$F$5:$AE$5,0))</f>
        <v>0</v>
      </c>
      <c r="BU97" s="118"/>
      <c r="BV97" s="118"/>
      <c r="BW97" s="118">
        <f>INDEX('Dist Plant Depreciation'!$E$7:$AD$94,MATCH($C97,'Dist Plant Depreciation'!$D$7:$D$94,0),MATCH(Calculation!$G97,'Dist Plant Depreciation'!$E$5:$AD$5,0))</f>
        <v>416416</v>
      </c>
      <c r="BX97" s="118">
        <f>INDEX('Gen. Plant Depreciation'!$E$7:$AD$94,MATCH($C97,'Gen. Plant Depreciation'!$D$7:$D$94,0),MATCH(Calculation!$G97,'Gen. Plant Depreciation'!$E$5:$AD$5,0))</f>
        <v>4468</v>
      </c>
      <c r="BY97" s="183">
        <v>1990</v>
      </c>
      <c r="BZ97" s="183">
        <f t="shared" si="66"/>
        <v>43</v>
      </c>
      <c r="CA97" s="178">
        <v>273.07131432050255</v>
      </c>
      <c r="CB97" s="184">
        <f t="shared" si="67"/>
        <v>3.2428355957767725E-2</v>
      </c>
      <c r="CC97" s="185">
        <f t="shared" si="68"/>
        <v>8.855253782640732</v>
      </c>
      <c r="CD97" s="185"/>
      <c r="CE97" s="118">
        <f>INDEX('Gross Dx Plant'!$E$7:$AD$91,MATCH($C97,'Gross Dx Plant'!$D$7:$D$91,0),MATCH(Calculation!$G97,'Gross Dx Plant'!$E$5:$AD$5,0))</f>
        <v>1307437</v>
      </c>
      <c r="CF97" s="118">
        <f>INDEX('Gross Gen Plant'!$E$7:$AD$91,MATCH($C97,'Gross Gen Plant'!$D$7:$D$91,0),MATCH(Calculation!$G97,'Gross Gen Plant'!$E$5:$AD$5,0))</f>
        <v>9117</v>
      </c>
      <c r="CG97" s="118">
        <f t="shared" si="7"/>
        <v>895670</v>
      </c>
      <c r="CH97" s="118"/>
      <c r="CI97" s="121">
        <v>2011</v>
      </c>
      <c r="CJ97" s="118"/>
      <c r="CK97" s="118"/>
      <c r="CL97" s="118"/>
      <c r="CM97" s="183"/>
      <c r="CN97" s="118">
        <f t="shared" si="155"/>
        <v>74924</v>
      </c>
      <c r="CO97" s="118">
        <f t="shared" si="156"/>
        <v>122.50268262783896</v>
      </c>
      <c r="CP97" s="186">
        <v>0.92121212121212126</v>
      </c>
      <c r="CQ97" s="118">
        <f>+CQ84*CP97+CO85*CP96+CO86*CP95+CO87*CP94+CO88*CP93+CO89*CP92+CO90*CP91+CO91*CP90+CO92*CP89+CO93*CP88+CO94*CP87+CO95*CP86+CO96*CP85+CO97</f>
        <v>4189.9528682488681</v>
      </c>
      <c r="CR97" s="119">
        <f t="shared" si="157"/>
        <v>2.2206219255328091E-2</v>
      </c>
      <c r="CS97" s="119"/>
      <c r="CT97" s="177">
        <f t="shared" si="158"/>
        <v>7.4391444444248875E-3</v>
      </c>
      <c r="CU97" s="177">
        <f t="shared" si="166"/>
        <v>7.1946260602442367E-3</v>
      </c>
      <c r="CV97" s="119">
        <f>VLOOKUP($H97,RoR!$E:$F,2,FALSE)</f>
        <v>4.6391666666666664E-2</v>
      </c>
      <c r="CW97" s="177">
        <v>2.0840920205183799E-2</v>
      </c>
      <c r="CX97" s="177">
        <f t="shared" si="164"/>
        <v>2.5550746461482865E-2</v>
      </c>
      <c r="CY97" s="177">
        <f t="shared" si="167"/>
        <v>2.3707315548289389E-2</v>
      </c>
      <c r="CZ97" s="177">
        <f t="shared" si="168"/>
        <v>2.4810540821321614E-2</v>
      </c>
      <c r="DA97" s="187">
        <f t="shared" si="159"/>
        <v>0.84965624875000001</v>
      </c>
      <c r="DB97" s="188">
        <f t="shared" si="160"/>
        <v>1.1054151524782025</v>
      </c>
      <c r="DC97" s="188">
        <f t="shared" si="161"/>
        <v>0.43611011316687626</v>
      </c>
      <c r="DD97" s="188">
        <f t="shared" si="162"/>
        <v>0.83698442246886229</v>
      </c>
      <c r="DE97" s="188">
        <f t="shared" si="163"/>
        <v>0.40349573304423936</v>
      </c>
      <c r="DF97" s="189">
        <f>INDEX('State Tax Lookup'!$D$7:$Z$91,MATCH(Calculation!$C97,'State Tax Lookup'!$B$7:$B$91,0),MATCH($H97,'State Tax Lookup'!$D$6:$Z$6,0))</f>
        <v>0.40091666999999998</v>
      </c>
      <c r="DG97" s="189">
        <v>0.375</v>
      </c>
      <c r="DH97" s="190">
        <f t="shared" si="165"/>
        <v>20.529103947824375</v>
      </c>
      <c r="DI97" s="190">
        <v>20.170513342154134</v>
      </c>
      <c r="DJ97" s="177"/>
      <c r="DK97" s="189">
        <f>VLOOKUP($H97,RoR!$E:$F,2,FALSE)</f>
        <v>4.6391666666666664E-2</v>
      </c>
      <c r="DL97" s="191">
        <f>HLOOKUP($H97,'GDP-PI'!$D$8:$CQ$11,3,FALSE)</f>
        <v>2.0840920205183799E-2</v>
      </c>
      <c r="DM97" s="189">
        <f>VLOOKUP(H97,'HW Dx Data'!$E:$F,2,FALSE)</f>
        <v>611.61109612283201</v>
      </c>
      <c r="DN97" s="183">
        <f>VLOOKUP(H97,'ECI - Input Price'!$G$17:$H$37,2,FALSE)</f>
        <v>114.3</v>
      </c>
      <c r="DO97" s="177">
        <f t="shared" ref="DO97" si="203">LN(DN97/DN96)</f>
        <v>2.1444394205745516E-2</v>
      </c>
      <c r="DP97" s="183">
        <f>HLOOKUP(H97,'GDP-PI'!$8:$9,2,FALSE)</f>
        <v>98.111999999999995</v>
      </c>
      <c r="DQ97" s="177">
        <f t="shared" ref="DQ97" si="204">LN(DP97/DP96)</f>
        <v>2.0626719212849295E-2</v>
      </c>
      <c r="DR97" s="167" t="s">
        <v>312</v>
      </c>
      <c r="DS97" s="192"/>
      <c r="DT97" s="192">
        <v>1.3516542083719366E-2</v>
      </c>
      <c r="DU97" s="192">
        <f>+Calculation!DZ94+DU93+Calculation!DV93</f>
        <v>1.7368212406589041E-2</v>
      </c>
      <c r="DV97" s="192"/>
      <c r="DW97" s="192">
        <f>+Calculation!DT97-Calculation!DU97</f>
        <v>-3.8516703228696752E-3</v>
      </c>
      <c r="DX97" s="192"/>
      <c r="DY97" s="192"/>
      <c r="DZ97" s="192"/>
      <c r="EA97" s="192"/>
      <c r="EB97" s="192"/>
      <c r="EC97" s="192"/>
      <c r="ED97" s="192"/>
      <c r="EE97" s="192"/>
      <c r="EF97" s="192"/>
    </row>
    <row r="98" spans="1:136" s="167" customFormat="1" ht="21" x14ac:dyDescent="0.35">
      <c r="A98" s="167" t="s">
        <v>31</v>
      </c>
      <c r="B98" s="168" t="s">
        <v>31</v>
      </c>
      <c r="C98" s="168">
        <v>4007784</v>
      </c>
      <c r="D98" s="168" t="s">
        <v>134</v>
      </c>
      <c r="E98" s="168"/>
      <c r="F98" s="168"/>
      <c r="G98" s="168" t="s">
        <v>18</v>
      </c>
      <c r="H98" s="169">
        <v>2012</v>
      </c>
      <c r="I98" s="170"/>
      <c r="J98" s="166">
        <f>IFERROR(INDEX('Labor Expenditures'!$F$7:$X$91,MATCH($C98,'Labor Expenditures'!$D$7:$D$91,0),MATCH($G98,'Labor Expenditures'!$F$5:$X$5,0)),"NA")</f>
        <v>62189.538251120946</v>
      </c>
      <c r="K98" s="166">
        <f t="shared" si="171"/>
        <v>533.81577897957891</v>
      </c>
      <c r="L98" s="172">
        <f t="shared" si="178"/>
        <v>8.9880608611356091E-2</v>
      </c>
      <c r="M98" s="172">
        <f t="shared" si="182"/>
        <v>2.0615807154130243E-3</v>
      </c>
      <c r="N98" s="196"/>
      <c r="O98" s="172"/>
      <c r="P98" s="166">
        <f>IFERROR(INDEX('Non-Labor Expenditures'!$F$7:$AB$91,MATCH($C98,'Non-Labor Expenditures'!$D$7:$D$91,0),MATCH($G98,'Non-Labor Expenditures'!$F$5:$AB$5,0)),"NA")</f>
        <v>90062.066791145538</v>
      </c>
      <c r="Q98" s="166">
        <f t="shared" si="172"/>
        <v>900.62066791145537</v>
      </c>
      <c r="R98" s="172">
        <f t="shared" si="183"/>
        <v>8.9884808077604003E-2</v>
      </c>
      <c r="S98" s="172">
        <f t="shared" si="188"/>
        <v>2.0616770380655464E-3</v>
      </c>
      <c r="T98" s="172"/>
      <c r="U98" s="172"/>
      <c r="V98" s="166">
        <f t="shared" si="153"/>
        <v>92861.681975084633</v>
      </c>
      <c r="W98" s="170"/>
      <c r="X98" s="174">
        <v>4406.011583088095</v>
      </c>
      <c r="Y98" s="175">
        <v>5.02803920689808E-2</v>
      </c>
      <c r="Z98" s="175">
        <f t="shared" si="189"/>
        <v>1.1532753088158338E-3</v>
      </c>
      <c r="AA98" s="175"/>
      <c r="AB98" s="175"/>
      <c r="AC98" s="170">
        <f t="shared" si="85"/>
        <v>245113.28701735113</v>
      </c>
      <c r="AD98" s="175">
        <f t="shared" si="184"/>
        <v>0.10508361173652959</v>
      </c>
      <c r="AE98" s="170"/>
      <c r="AF98" s="170"/>
      <c r="AG98" s="121">
        <f t="shared" si="185"/>
        <v>374.1873384942503</v>
      </c>
      <c r="AH98" s="119">
        <f>+AZ98/$BB$50</f>
        <v>1.8091382038321963E-2</v>
      </c>
      <c r="AI98" s="119"/>
      <c r="AJ98" s="176">
        <f t="shared" si="190"/>
        <v>6.7695660946023803</v>
      </c>
      <c r="AK98" s="176">
        <f t="shared" si="191"/>
        <v>0</v>
      </c>
      <c r="AL98" s="120">
        <f t="shared" si="173"/>
        <v>0.25371753203537539</v>
      </c>
      <c r="AM98" s="120">
        <f t="shared" si="174"/>
        <v>0.36743037428554498</v>
      </c>
      <c r="AN98" s="120">
        <f t="shared" si="175"/>
        <v>0.37885209367907957</v>
      </c>
      <c r="AO98" s="120">
        <f t="shared" si="179"/>
        <v>7.4832121039912311E-2</v>
      </c>
      <c r="AP98" s="173">
        <f t="shared" si="194"/>
        <v>115.50801913240582</v>
      </c>
      <c r="AQ98" s="175">
        <f t="shared" si="195"/>
        <v>7.4832121039912297E-2</v>
      </c>
      <c r="AR98" s="177">
        <f>+AC98/$AE$50</f>
        <v>2.293687979269592E-2</v>
      </c>
      <c r="AS98" s="177">
        <f t="shared" si="196"/>
        <v>1.7164153649249394E-3</v>
      </c>
      <c r="AT98" s="177"/>
      <c r="AU98" s="177"/>
      <c r="AV98" s="177"/>
      <c r="AW98" s="190"/>
      <c r="AX98" s="120"/>
      <c r="AY98" s="120"/>
      <c r="AZ98" s="118">
        <f>IFERROR(INDEX('Total Customers'!$F$7:$AB$91,MATCH($C98,'Total Customers'!$D$7:$D$91,0),MATCH($G98,'Total Customers'!$F$5:$AB$5,0)),"NA")</f>
        <v>655055</v>
      </c>
      <c r="BA98" s="119">
        <f t="shared" si="154"/>
        <v>2.9062654943468121E-3</v>
      </c>
      <c r="BB98" s="119"/>
      <c r="BC98" s="121"/>
      <c r="BD98" s="119"/>
      <c r="BE98" s="119"/>
      <c r="BF98" s="119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18"/>
      <c r="BR98" s="118"/>
      <c r="BS98" s="118">
        <f>INDEX('Dist. Plant Gas Additions'!$F$7:$AE$91,MATCH($C98,'Dist. Plant Gas Additions'!$D$7:$D$91,0),MATCH(Calculation!$G98,'Dist. Plant Gas Additions'!$F$5:$AE$5,0))</f>
        <v>164182</v>
      </c>
      <c r="BT98" s="118">
        <f>INDEX('Gen. Plant Additions'!$F$7:$AE$91,MATCH($C98,'Gen. Plant Additions'!$D$7:$D$91,0),MATCH(Calculation!$G98,'Gen. Plant Additions'!$F$5:$AE$5,0))</f>
        <v>1882</v>
      </c>
      <c r="BU98" s="118"/>
      <c r="BV98" s="118"/>
      <c r="BW98" s="118">
        <f>INDEX('Dist Plant Depreciation'!$E$7:$AD$94,MATCH($C98,'Dist Plant Depreciation'!$D$7:$D$94,0),MATCH(Calculation!$G98,'Dist Plant Depreciation'!$E$5:$AD$5,0))</f>
        <v>438695</v>
      </c>
      <c r="BX98" s="118">
        <f>INDEX('Gen. Plant Depreciation'!$E$7:$AD$94,MATCH($C98,'Gen. Plant Depreciation'!$D$7:$D$94,0),MATCH(Calculation!$G98,'Gen. Plant Depreciation'!$E$5:$AD$5,0))</f>
        <v>5442</v>
      </c>
      <c r="BY98" s="183">
        <v>1991</v>
      </c>
      <c r="BZ98" s="183">
        <f t="shared" si="66"/>
        <v>44</v>
      </c>
      <c r="CA98" s="178">
        <v>278.97127510573875</v>
      </c>
      <c r="CB98" s="184">
        <f t="shared" si="67"/>
        <v>3.3182503770739065E-2</v>
      </c>
      <c r="CC98" s="185">
        <f t="shared" si="68"/>
        <v>9.2569653881240619</v>
      </c>
      <c r="CD98" s="185"/>
      <c r="CE98" s="118">
        <f>INDEX('Gross Dx Plant'!$E$7:$AD$91,MATCH($C98,'Gross Dx Plant'!$D$7:$D$91,0),MATCH(Calculation!$G98,'Gross Dx Plant'!$E$5:$AD$5,0))</f>
        <v>1465103</v>
      </c>
      <c r="CF98" s="118">
        <f>INDEX('Gross Gen Plant'!$E$7:$AD$91,MATCH($C98,'Gross Gen Plant'!$D$7:$D$91,0),MATCH(Calculation!$G98,'Gross Gen Plant'!$E$5:$AD$5,0))</f>
        <v>10795</v>
      </c>
      <c r="CG98" s="118">
        <f t="shared" si="7"/>
        <v>1031761</v>
      </c>
      <c r="CH98" s="118"/>
      <c r="CI98" s="121">
        <v>2012</v>
      </c>
      <c r="CJ98" s="118"/>
      <c r="CK98" s="118"/>
      <c r="CL98" s="118"/>
      <c r="CM98" s="183"/>
      <c r="CN98" s="118">
        <f t="shared" si="155"/>
        <v>166064</v>
      </c>
      <c r="CO98" s="118">
        <f t="shared" si="156"/>
        <v>248.25714329125159</v>
      </c>
      <c r="CP98" s="186">
        <v>0.9135802469135802</v>
      </c>
      <c r="CQ98" s="118">
        <f>+CQ84*CP98+CO85*CP97+CO86*CP96+CO87*CP95+CO88*CP94+CO89*CP93+CO90*CP92+CO91*CP91+CO92*CP90+CO93*CP89+CO94*CP88+CO95*CP87+CO96*CP86+CO97*CP85+CO98</f>
        <v>4406.011583088095</v>
      </c>
      <c r="CR98" s="119">
        <f t="shared" si="157"/>
        <v>5.02803920689808E-2</v>
      </c>
      <c r="CS98" s="119"/>
      <c r="CT98" s="177">
        <f t="shared" si="158"/>
        <v>7.6846755714179557E-3</v>
      </c>
      <c r="CU98" s="177">
        <f t="shared" si="166"/>
        <v>7.4402622329936274E-3</v>
      </c>
      <c r="CV98" s="119">
        <f>VLOOKUP($H98,RoR!$E:$F,2,FALSE)</f>
        <v>3.6733333333333333E-2</v>
      </c>
      <c r="CW98" s="177">
        <v>1.924331376386168E-2</v>
      </c>
      <c r="CX98" s="177">
        <f t="shared" si="164"/>
        <v>1.7490019569471653E-2</v>
      </c>
      <c r="CY98" s="177">
        <f t="shared" si="167"/>
        <v>2.3461679375539998E-2</v>
      </c>
      <c r="CZ98" s="177">
        <f t="shared" si="168"/>
        <v>6.7122682943869583E-2</v>
      </c>
      <c r="DA98" s="187">
        <f t="shared" si="159"/>
        <v>0.84965624875000001</v>
      </c>
      <c r="DB98" s="188">
        <f t="shared" si="160"/>
        <v>1.3960631020522127</v>
      </c>
      <c r="DC98" s="188">
        <f t="shared" si="161"/>
        <v>0.29441923774954631</v>
      </c>
      <c r="DD98" s="188">
        <f t="shared" si="162"/>
        <v>0.76377954189366437</v>
      </c>
      <c r="DE98" s="188">
        <f t="shared" si="163"/>
        <v>0.31393465103033691</v>
      </c>
      <c r="DF98" s="189">
        <f>INDEX('State Tax Lookup'!$D$7:$Z$91,MATCH(Calculation!$C98,'State Tax Lookup'!$B$7:$B$91,0),MATCH($H98,'State Tax Lookup'!$D$6:$Z$6,0))</f>
        <v>0.40091666999999998</v>
      </c>
      <c r="DG98" s="189">
        <v>0.375</v>
      </c>
      <c r="DH98" s="190">
        <f t="shared" si="165"/>
        <v>22.162941898173397</v>
      </c>
      <c r="DI98" s="190">
        <v>21.822195346776805</v>
      </c>
      <c r="DJ98" s="177"/>
      <c r="DK98" s="189">
        <f>VLOOKUP($H98,RoR!$E:$F,2,FALSE)</f>
        <v>3.6733333333333333E-2</v>
      </c>
      <c r="DL98" s="191">
        <f>HLOOKUP($H98,'GDP-PI'!$D$8:$CQ$11,3,FALSE)</f>
        <v>1.924331376386168E-2</v>
      </c>
      <c r="DM98" s="189">
        <f>VLOOKUP(H98,'HW Dx Data'!$E:$F,2,FALSE)</f>
        <v>668.91932211262167</v>
      </c>
      <c r="DN98" s="183">
        <f>VLOOKUP(H98,'ECI - Input Price'!$G$17:$H$37,2,FALSE)</f>
        <v>116.5</v>
      </c>
      <c r="DO98" s="177">
        <f t="shared" ref="DO98" si="205">LN(DN98/DN97)</f>
        <v>1.9064702204990347E-2</v>
      </c>
      <c r="DP98" s="183">
        <f>HLOOKUP(H98,'GDP-PI'!$8:$9,2,FALSE)</f>
        <v>100</v>
      </c>
      <c r="DQ98" s="177">
        <f t="shared" ref="DQ98" si="206">LN(DP98/DP97)</f>
        <v>1.9060502738742411E-2</v>
      </c>
      <c r="DR98" s="167" t="s">
        <v>313</v>
      </c>
      <c r="DS98" s="192"/>
      <c r="DT98" s="192">
        <v>1.3516542083719366E-2</v>
      </c>
      <c r="DU98" s="192">
        <f>+DU93+Calculation!DV93+Calculation!EB94</f>
        <v>1.5806024026802541E-2</v>
      </c>
      <c r="DV98" s="192"/>
      <c r="DW98" s="192">
        <f>+Calculation!DT98-Calculation!DU98</f>
        <v>-2.2894819430831752E-3</v>
      </c>
      <c r="DX98" s="192"/>
      <c r="DY98" s="192"/>
      <c r="DZ98" s="192"/>
      <c r="EA98" s="192"/>
      <c r="EB98" s="192"/>
      <c r="EC98" s="192"/>
      <c r="ED98" s="192"/>
      <c r="EE98" s="192"/>
      <c r="EF98" s="192"/>
    </row>
    <row r="99" spans="1:136" s="167" customFormat="1" ht="21" x14ac:dyDescent="0.35">
      <c r="A99" s="167" t="s">
        <v>31</v>
      </c>
      <c r="B99" s="168" t="s">
        <v>31</v>
      </c>
      <c r="C99" s="168">
        <v>4007784</v>
      </c>
      <c r="D99" s="168" t="s">
        <v>134</v>
      </c>
      <c r="E99" s="168"/>
      <c r="F99" s="168"/>
      <c r="G99" s="168" t="s">
        <v>19</v>
      </c>
      <c r="H99" s="169">
        <v>2013</v>
      </c>
      <c r="I99" s="170"/>
      <c r="J99" s="166">
        <f>IFERROR(INDEX('Labor Expenditures'!$F$7:$X$91,MATCH($C99,'Labor Expenditures'!$D$7:$D$91,0),MATCH($G99,'Labor Expenditures'!$F$5:$X$5,0)),"NA")</f>
        <v>63893.299510141856</v>
      </c>
      <c r="K99" s="166">
        <f t="shared" si="171"/>
        <v>538.16213527177808</v>
      </c>
      <c r="L99" s="172">
        <f t="shared" si="178"/>
        <v>8.10908518063903E-3</v>
      </c>
      <c r="M99" s="172">
        <f t="shared" si="182"/>
        <v>1.8465366149103061E-4</v>
      </c>
      <c r="N99" s="196"/>
      <c r="O99" s="172"/>
      <c r="P99" s="166">
        <f>IFERROR(INDEX('Non-Labor Expenditures'!$F$7:$AB$91,MATCH($C99,'Non-Labor Expenditures'!$D$7:$D$91,0),MATCH($G99,'Non-Labor Expenditures'!$F$5:$AB$5,0)),"NA")</f>
        <v>92529.431312916073</v>
      </c>
      <c r="Q99" s="166">
        <f t="shared" si="172"/>
        <v>909.17464664415979</v>
      </c>
      <c r="R99" s="172">
        <f t="shared" si="183"/>
        <v>9.453049593558957E-3</v>
      </c>
      <c r="S99" s="172">
        <f t="shared" si="188"/>
        <v>2.152573540446401E-4</v>
      </c>
      <c r="T99" s="172"/>
      <c r="U99" s="172"/>
      <c r="V99" s="166">
        <f t="shared" si="153"/>
        <v>95993.130851260823</v>
      </c>
      <c r="W99" s="170"/>
      <c r="X99" s="174">
        <v>4544.2679321667638</v>
      </c>
      <c r="Y99" s="175">
        <v>3.0896766313889913E-2</v>
      </c>
      <c r="Z99" s="175">
        <f t="shared" si="189"/>
        <v>7.0355667760329426E-4</v>
      </c>
      <c r="AA99" s="175"/>
      <c r="AB99" s="175"/>
      <c r="AC99" s="170">
        <f t="shared" si="85"/>
        <v>252415.86167431876</v>
      </c>
      <c r="AD99" s="175">
        <f t="shared" si="184"/>
        <v>2.9357472431289871E-2</v>
      </c>
      <c r="AE99" s="170"/>
      <c r="AF99" s="170"/>
      <c r="AG99" s="121">
        <f t="shared" si="185"/>
        <v>384.96043373090572</v>
      </c>
      <c r="AH99" s="119">
        <f>+AZ99/$BB$51</f>
        <v>1.7993225832042381E-2</v>
      </c>
      <c r="AI99" s="119"/>
      <c r="AJ99" s="176">
        <f t="shared" si="190"/>
        <v>6.9266800205211716</v>
      </c>
      <c r="AK99" s="176">
        <f t="shared" si="191"/>
        <v>0</v>
      </c>
      <c r="AL99" s="120">
        <f t="shared" si="173"/>
        <v>0.25312711763169865</v>
      </c>
      <c r="AM99" s="120">
        <f t="shared" si="174"/>
        <v>0.36657534395482161</v>
      </c>
      <c r="AN99" s="120">
        <f t="shared" si="175"/>
        <v>0.38029753841347974</v>
      </c>
      <c r="AO99" s="120">
        <f t="shared" si="179"/>
        <v>1.7251953837011402E-2</v>
      </c>
      <c r="AP99" s="173">
        <f t="shared" si="194"/>
        <v>117.51804674462359</v>
      </c>
      <c r="AQ99" s="175">
        <f t="shared" si="195"/>
        <v>1.7251953837011471E-2</v>
      </c>
      <c r="AR99" s="177">
        <f>+AC99/$AE$51</f>
        <v>2.2771207525591575E-2</v>
      </c>
      <c r="AS99" s="177">
        <f t="shared" si="196"/>
        <v>3.9284782104451405E-4</v>
      </c>
      <c r="AT99" s="177"/>
      <c r="AU99" s="177"/>
      <c r="AV99" s="177"/>
      <c r="AW99" s="190"/>
      <c r="AX99" s="120"/>
      <c r="AY99" s="120"/>
      <c r="AZ99" s="118">
        <f>IFERROR(INDEX('Total Customers'!$F$7:$AB$91,MATCH($C99,'Total Customers'!$D$7:$D$91,0),MATCH($G99,'Total Customers'!$F$5:$AB$5,0)),"NA")</f>
        <v>655693</v>
      </c>
      <c r="BA99" s="119">
        <f t="shared" si="154"/>
        <v>9.7349002307873449E-4</v>
      </c>
      <c r="BB99" s="119"/>
      <c r="BC99" s="121"/>
      <c r="BD99" s="119"/>
      <c r="BE99" s="119"/>
      <c r="BF99" s="119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18"/>
      <c r="BR99" s="118"/>
      <c r="BS99" s="118">
        <f>INDEX('Dist. Plant Gas Additions'!$F$7:$AE$91,MATCH($C99,'Dist. Plant Gas Additions'!$D$7:$D$91,0),MATCH(Calculation!$G99,'Dist. Plant Gas Additions'!$F$5:$AE$5,0))</f>
        <v>111865</v>
      </c>
      <c r="BT99" s="118">
        <f>INDEX('Gen. Plant Additions'!$F$7:$AE$91,MATCH($C99,'Gen. Plant Additions'!$D$7:$D$91,0),MATCH(Calculation!$G99,'Gen. Plant Additions'!$F$5:$AE$5,0))</f>
        <v>2793</v>
      </c>
      <c r="BU99" s="118"/>
      <c r="BV99" s="118"/>
      <c r="BW99" s="118">
        <f>INDEX('Dist Plant Depreciation'!$E$7:$AD$94,MATCH($C99,'Dist Plant Depreciation'!$D$7:$D$94,0),MATCH(Calculation!$G99,'Dist Plant Depreciation'!$E$5:$AD$5,0))</f>
        <v>466405</v>
      </c>
      <c r="BX99" s="118">
        <f>INDEX('Gen. Plant Depreciation'!$E$7:$AD$94,MATCH($C99,'Gen. Plant Depreciation'!$D$7:$D$94,0),MATCH(Calculation!$G99,'Gen. Plant Depreciation'!$E$5:$AD$5,0))</f>
        <v>1829</v>
      </c>
      <c r="BY99" s="183">
        <v>1992</v>
      </c>
      <c r="BZ99" s="183">
        <f t="shared" si="66"/>
        <v>45</v>
      </c>
      <c r="CA99" s="178">
        <v>283.70602338479029</v>
      </c>
      <c r="CB99" s="184">
        <f t="shared" si="67"/>
        <v>3.3936651583710405E-2</v>
      </c>
      <c r="CC99" s="185">
        <f t="shared" si="68"/>
        <v>9.628032467809625</v>
      </c>
      <c r="CD99" s="185"/>
      <c r="CE99" s="118">
        <f>INDEX('Gross Dx Plant'!$E$7:$AD$91,MATCH($C99,'Gross Dx Plant'!$D$7:$D$91,0),MATCH(Calculation!$G99,'Gross Dx Plant'!$E$5:$AD$5,0))</f>
        <v>1571725</v>
      </c>
      <c r="CF99" s="118">
        <f>INDEX('Gross Gen Plant'!$E$7:$AD$91,MATCH($C99,'Gross Gen Plant'!$D$7:$D$91,0),MATCH(Calculation!$G99,'Gross Gen Plant'!$E$5:$AD$5,0))</f>
        <v>10979</v>
      </c>
      <c r="CG99" s="118">
        <f t="shared" si="7"/>
        <v>1114470</v>
      </c>
      <c r="CH99" s="118"/>
      <c r="CI99" s="121">
        <v>2013</v>
      </c>
      <c r="CJ99" s="118"/>
      <c r="CK99" s="118"/>
      <c r="CL99" s="118"/>
      <c r="CM99" s="183"/>
      <c r="CN99" s="118">
        <f t="shared" si="155"/>
        <v>114658</v>
      </c>
      <c r="CO99" s="118">
        <f t="shared" si="156"/>
        <v>172.87338959465842</v>
      </c>
      <c r="CP99" s="186">
        <v>0.90566037735849059</v>
      </c>
      <c r="CQ99" s="118">
        <f>+CQ84*CP99+CO85*CP98+CO86*CP97+CO87*CP96+CO88*CP95+CO89*CP94+CO90*CP93+CO91*CP92+CO92*CP91+CO93*CP90+CO94*CP89+CO95*CP88+CO96*CP87+CO97*CP86+CO98*CP85+CO99</f>
        <v>4544.2679321667638</v>
      </c>
      <c r="CR99" s="119">
        <f t="shared" si="157"/>
        <v>3.0896766313889913E-2</v>
      </c>
      <c r="CS99" s="119"/>
      <c r="CT99" s="177">
        <f t="shared" si="158"/>
        <v>7.8567747413244796E-3</v>
      </c>
      <c r="CU99" s="177">
        <f t="shared" si="166"/>
        <v>7.660198252389107E-3</v>
      </c>
      <c r="CV99" s="119">
        <f>VLOOKUP($H99,RoR!$E:$F,2,FALSE)</f>
        <v>4.2350000000000006E-2</v>
      </c>
      <c r="CW99" s="177">
        <v>1.7730000000000024E-2</v>
      </c>
      <c r="CX99" s="177">
        <f t="shared" si="164"/>
        <v>2.4619999999999982E-2</v>
      </c>
      <c r="CY99" s="177">
        <f t="shared" si="167"/>
        <v>2.3241743356144519E-2</v>
      </c>
      <c r="CZ99" s="177">
        <f t="shared" si="168"/>
        <v>5.3376742735721204E-2</v>
      </c>
      <c r="DA99" s="187">
        <f t="shared" si="159"/>
        <v>0.84965624875000001</v>
      </c>
      <c r="DB99" s="188">
        <f t="shared" si="160"/>
        <v>1.2109103018193925</v>
      </c>
      <c r="DC99" s="188">
        <f t="shared" si="161"/>
        <v>0.38468122786304604</v>
      </c>
      <c r="DD99" s="188">
        <f t="shared" si="162"/>
        <v>0.80969194503422559</v>
      </c>
      <c r="DE99" s="188">
        <f t="shared" si="163"/>
        <v>0.37716621754800816</v>
      </c>
      <c r="DF99" s="189">
        <f>INDEX('State Tax Lookup'!$D$7:$Z$91,MATCH(Calculation!$C99,'State Tax Lookup'!$B$7:$B$91,0),MATCH($H99,'State Tax Lookup'!$D$6:$Z$6,0))</f>
        <v>0.40091666999999998</v>
      </c>
      <c r="DG99" s="189">
        <v>0.375</v>
      </c>
      <c r="DH99" s="190">
        <f t="shared" si="165"/>
        <v>21.7868539473927</v>
      </c>
      <c r="DI99" s="190">
        <v>21.49160289800038</v>
      </c>
      <c r="DJ99" s="177"/>
      <c r="DK99" s="189">
        <f>VLOOKUP($H99,RoR!$E:$F,2,FALSE)</f>
        <v>4.2350000000000006E-2</v>
      </c>
      <c r="DL99" s="191">
        <f>HLOOKUP($H99,'GDP-PI'!$D$8:$CQ$11,3,FALSE)</f>
        <v>1.7730000000000024E-2</v>
      </c>
      <c r="DM99" s="189">
        <f>VLOOKUP(H99,'HW Dx Data'!$E:$F,2,FALSE)</f>
        <v>663.24840548821396</v>
      </c>
      <c r="DN99" s="183">
        <f>VLOOKUP(H99,'ECI - Input Price'!$G$17:$H$37,2,FALSE)</f>
        <v>118.72499999999999</v>
      </c>
      <c r="DO99" s="177">
        <f t="shared" ref="DO99" si="207">LN(DN99/DN98)</f>
        <v>1.8918621429430321E-2</v>
      </c>
      <c r="DP99" s="183">
        <f>HLOOKUP(H99,'GDP-PI'!$8:$9,2,FALSE)</f>
        <v>101.773</v>
      </c>
      <c r="DQ99" s="177">
        <f t="shared" ref="DQ99" si="208">LN(DP99/DP98)</f>
        <v>1.7574657016510519E-2</v>
      </c>
      <c r="DR99" s="167" t="s">
        <v>308</v>
      </c>
      <c r="DS99" s="192"/>
      <c r="DT99" s="192">
        <v>1.3516542083719366E-2</v>
      </c>
      <c r="DU99" s="192">
        <f>+DU93+Calculation!DV93+Calculation!ED94</f>
        <v>1.3501070721550346E-2</v>
      </c>
      <c r="DV99" s="192"/>
      <c r="DW99" s="192">
        <f>+Calculation!DU99-Calculation!DT99</f>
        <v>-1.5471362169020009E-5</v>
      </c>
      <c r="DX99" s="192"/>
      <c r="DY99" s="192"/>
      <c r="DZ99" s="192"/>
      <c r="EA99" s="192"/>
      <c r="EB99" s="192"/>
      <c r="EC99" s="192"/>
      <c r="ED99" s="192"/>
      <c r="EE99" s="192"/>
      <c r="EF99" s="192"/>
    </row>
    <row r="100" spans="1:136" s="167" customFormat="1" ht="21" x14ac:dyDescent="0.35">
      <c r="A100" s="167" t="s">
        <v>31</v>
      </c>
      <c r="B100" s="168" t="s">
        <v>31</v>
      </c>
      <c r="C100" s="168">
        <v>4007784</v>
      </c>
      <c r="D100" s="168" t="s">
        <v>134</v>
      </c>
      <c r="E100" s="168"/>
      <c r="F100" s="168"/>
      <c r="G100" s="168" t="s">
        <v>20</v>
      </c>
      <c r="H100" s="169">
        <v>2014</v>
      </c>
      <c r="I100" s="170"/>
      <c r="J100" s="166">
        <f>IFERROR(INDEX('Labor Expenditures'!$F$7:$X$91,MATCH($C100,'Labor Expenditures'!$D$7:$D$91,0),MATCH($G100,'Labor Expenditures'!$F$5:$X$5,0)),"NA")</f>
        <v>70741.963792666967</v>
      </c>
      <c r="K100" s="166">
        <f t="shared" si="171"/>
        <v>583.67956924642715</v>
      </c>
      <c r="L100" s="172">
        <f t="shared" si="178"/>
        <v>8.1192268013387123E-2</v>
      </c>
      <c r="M100" s="172">
        <f t="shared" si="182"/>
        <v>1.9585519502954059E-3</v>
      </c>
      <c r="N100" s="196"/>
      <c r="O100" s="172"/>
      <c r="P100" s="166">
        <f>IFERROR(INDEX('Non-Labor Expenditures'!$F$7:$AB$91,MATCH($C100,'Non-Labor Expenditures'!$D$7:$D$91,0),MATCH($G100,'Non-Labor Expenditures'!$F$5:$AB$5,0)),"NA")</f>
        <v>102447.57634805454</v>
      </c>
      <c r="Q100" s="166">
        <f t="shared" si="172"/>
        <v>988.42780155773482</v>
      </c>
      <c r="R100" s="172">
        <f t="shared" si="183"/>
        <v>8.3578395315159537E-2</v>
      </c>
      <c r="S100" s="172">
        <f t="shared" si="188"/>
        <v>2.0161110553048745E-3</v>
      </c>
      <c r="T100" s="172"/>
      <c r="U100" s="172"/>
      <c r="V100" s="166">
        <f t="shared" si="153"/>
        <v>101318.61953506591</v>
      </c>
      <c r="W100" s="170"/>
      <c r="X100" s="174">
        <v>4668.8866816186182</v>
      </c>
      <c r="Y100" s="175">
        <v>2.705400169346556E-2</v>
      </c>
      <c r="Z100" s="175">
        <f t="shared" si="189"/>
        <v>6.5260731195851862E-4</v>
      </c>
      <c r="AA100" s="175"/>
      <c r="AB100" s="175"/>
      <c r="AC100" s="170">
        <f t="shared" si="85"/>
        <v>274508.15967578744</v>
      </c>
      <c r="AD100" s="175">
        <f t="shared" si="184"/>
        <v>8.3903014009519356E-2</v>
      </c>
      <c r="AE100" s="170"/>
      <c r="AF100" s="170"/>
      <c r="AG100" s="121">
        <f t="shared" si="185"/>
        <v>419.84895014237344</v>
      </c>
      <c r="AH100" s="119">
        <f>+AZ100/$BB$52</f>
        <v>1.7845678454926441E-2</v>
      </c>
      <c r="AI100" s="119"/>
      <c r="AJ100" s="176">
        <f t="shared" si="190"/>
        <v>7.4924893638792387</v>
      </c>
      <c r="AK100" s="176">
        <f t="shared" si="191"/>
        <v>0</v>
      </c>
      <c r="AL100" s="120">
        <f t="shared" si="173"/>
        <v>0.25770441168749947</v>
      </c>
      <c r="AM100" s="120">
        <f t="shared" si="174"/>
        <v>0.3732041206682235</v>
      </c>
      <c r="AN100" s="120">
        <f t="shared" si="175"/>
        <v>0.36909146764427697</v>
      </c>
      <c r="AO100" s="120">
        <f t="shared" si="179"/>
        <v>6.1789561208712859E-2</v>
      </c>
      <c r="AP100" s="173">
        <f t="shared" si="194"/>
        <v>125.0084671633759</v>
      </c>
      <c r="AQ100" s="175">
        <f t="shared" si="195"/>
        <v>6.1789561208712818E-2</v>
      </c>
      <c r="AR100" s="177">
        <f>+AC100/$AE$52</f>
        <v>2.4122394880907581E-2</v>
      </c>
      <c r="AS100" s="177">
        <f t="shared" si="196"/>
        <v>1.4905121949945798E-3</v>
      </c>
      <c r="AT100" s="177"/>
      <c r="AU100" s="177"/>
      <c r="AV100" s="177"/>
      <c r="AW100" s="190"/>
      <c r="AX100" s="120"/>
      <c r="AY100" s="120"/>
      <c r="AZ100" s="118">
        <f>IFERROR(INDEX('Total Customers'!$F$7:$AB$91,MATCH($C100,'Total Customers'!$D$7:$D$91,0),MATCH($G100,'Total Customers'!$F$5:$AB$5,0)),"NA")</f>
        <v>653826</v>
      </c>
      <c r="BA100" s="119">
        <f t="shared" si="154"/>
        <v>-2.8514305863366388E-3</v>
      </c>
      <c r="BB100" s="119"/>
      <c r="BC100" s="121"/>
      <c r="BD100" s="119"/>
      <c r="BE100" s="119"/>
      <c r="BF100" s="119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18"/>
      <c r="BR100" s="118"/>
      <c r="BS100" s="118">
        <f>INDEX('Dist. Plant Gas Additions'!$F$7:$AE$91,MATCH($C100,'Dist. Plant Gas Additions'!$D$7:$D$91,0),MATCH(Calculation!$G100,'Dist. Plant Gas Additions'!$F$5:$AE$5,0))</f>
        <v>108610</v>
      </c>
      <c r="BT100" s="118">
        <f>INDEX('Gen. Plant Additions'!$F$7:$AE$91,MATCH($C100,'Gen. Plant Additions'!$D$7:$D$91,0),MATCH(Calculation!$G100,'Gen. Plant Additions'!$F$5:$AE$5,0))</f>
        <v>1852</v>
      </c>
      <c r="BU100" s="118"/>
      <c r="BV100" s="118"/>
      <c r="BW100" s="118">
        <f>INDEX('Dist Plant Depreciation'!$E$7:$AD$94,MATCH($C100,'Dist Plant Depreciation'!$D$7:$D$94,0),MATCH(Calculation!$G100,'Dist Plant Depreciation'!$E$5:$AD$5,0))</f>
        <v>491489</v>
      </c>
      <c r="BX100" s="118">
        <f>INDEX('Gen. Plant Depreciation'!$E$7:$AD$94,MATCH($C100,'Gen. Plant Depreciation'!$D$7:$D$94,0),MATCH(Calculation!$G100,'Gen. Plant Depreciation'!$E$5:$AD$5,0))</f>
        <v>74</v>
      </c>
      <c r="BY100" s="183">
        <v>1993</v>
      </c>
      <c r="BZ100" s="183">
        <f t="shared" si="66"/>
        <v>46</v>
      </c>
      <c r="CA100" s="178">
        <v>290.39560884623262</v>
      </c>
      <c r="CB100" s="184">
        <f t="shared" si="67"/>
        <v>3.4690799396681751E-2</v>
      </c>
      <c r="CC100" s="185">
        <f t="shared" si="68"/>
        <v>10.074055812161916</v>
      </c>
      <c r="CD100" s="185"/>
      <c r="CE100" s="118">
        <f>INDEX('Gross Dx Plant'!$E$7:$AD$91,MATCH($C100,'Gross Dx Plant'!$D$7:$D$91,0),MATCH(Calculation!$G100,'Gross Dx Plant'!$E$5:$AD$5,0))</f>
        <v>1665849</v>
      </c>
      <c r="CF100" s="118">
        <f>INDEX('Gross Gen Plant'!$E$7:$AD$91,MATCH($C100,'Gross Gen Plant'!$D$7:$D$91,0),MATCH(Calculation!$G100,'Gross Gen Plant'!$E$5:$AD$5,0))</f>
        <v>11556</v>
      </c>
      <c r="CG100" s="118">
        <f t="shared" si="7"/>
        <v>1185842</v>
      </c>
      <c r="CH100" s="118"/>
      <c r="CI100" s="121">
        <v>2014</v>
      </c>
      <c r="CJ100" s="118"/>
      <c r="CK100" s="118"/>
      <c r="CL100" s="118"/>
      <c r="CM100" s="183"/>
      <c r="CN100" s="118">
        <f t="shared" si="155"/>
        <v>110462</v>
      </c>
      <c r="CO100" s="118">
        <f t="shared" si="156"/>
        <v>161.38346213824619</v>
      </c>
      <c r="CP100" s="186">
        <v>0.89743589743589747</v>
      </c>
      <c r="CQ100" s="118">
        <f>+CQ84*CP100+CO85*CP99+CO86*CP98+CO87*CP97+CO88*CP96+CO89*CP95+CO90*CP94+CO91*CP93+CO92*CP92+CO93*CP91+CO94*CP90+CO95*CP89+CO96*CP88+CO97*CP87+CO98*CP86+CO99*CP85+CO100</f>
        <v>4668.8866816186182</v>
      </c>
      <c r="CR100" s="119">
        <f t="shared" si="157"/>
        <v>2.705400169346556E-2</v>
      </c>
      <c r="CS100" s="119"/>
      <c r="CT100" s="177">
        <f t="shared" si="158"/>
        <v>8.0903488163960122E-3</v>
      </c>
      <c r="CU100" s="177">
        <f t="shared" si="166"/>
        <v>7.8772663763794822E-3</v>
      </c>
      <c r="CV100" s="119">
        <f>VLOOKUP($H100,RoR!$E:$F,2,FALSE)</f>
        <v>4.1625000000000002E-2</v>
      </c>
      <c r="CW100" s="177">
        <v>1.841352814597208E-2</v>
      </c>
      <c r="CX100" s="177">
        <f t="shared" si="164"/>
        <v>2.3211471854027922E-2</v>
      </c>
      <c r="CY100" s="177">
        <f t="shared" si="167"/>
        <v>2.3024675232154145E-2</v>
      </c>
      <c r="CZ100" s="177">
        <f t="shared" si="168"/>
        <v>3.9072621432650924E-2</v>
      </c>
      <c r="DA100" s="187">
        <f t="shared" si="159"/>
        <v>0.84965624875000001</v>
      </c>
      <c r="DB100" s="188">
        <f t="shared" si="160"/>
        <v>1.2320012320012319</v>
      </c>
      <c r="DC100" s="188">
        <f t="shared" si="161"/>
        <v>0.37439939939939942</v>
      </c>
      <c r="DD100" s="188">
        <f t="shared" si="162"/>
        <v>0.80432100613819935</v>
      </c>
      <c r="DE100" s="188">
        <f t="shared" si="163"/>
        <v>0.37100152660040037</v>
      </c>
      <c r="DF100" s="189">
        <f>INDEX('State Tax Lookup'!$D$7:$Z$91,MATCH(Calculation!$C100,'State Tax Lookup'!$B$7:$B$91,0),MATCH($H100,'State Tax Lookup'!$D$6:$Z$6,0))</f>
        <v>0.40091666999999998</v>
      </c>
      <c r="DG100" s="189">
        <v>0.375</v>
      </c>
      <c r="DH100" s="190">
        <f t="shared" si="165"/>
        <v>22.295916756553552</v>
      </c>
      <c r="DI100" s="190">
        <v>21.963989916237935</v>
      </c>
      <c r="DJ100" s="177"/>
      <c r="DK100" s="189">
        <f>VLOOKUP($H100,RoR!$E:$F,2,FALSE)</f>
        <v>4.1625000000000002E-2</v>
      </c>
      <c r="DL100" s="191">
        <f>HLOOKUP($H100,'GDP-PI'!$D$8:$CQ$11,3,FALSE)</f>
        <v>1.841352814597208E-2</v>
      </c>
      <c r="DM100" s="189">
        <f>VLOOKUP(H100,'HW Dx Data'!$E:$F,2,FALSE)</f>
        <v>684.46914285042885</v>
      </c>
      <c r="DN100" s="183">
        <f>VLOOKUP(H100,'ECI - Input Price'!$G$17:$H$37,2,FALSE)</f>
        <v>121.2</v>
      </c>
      <c r="DO100" s="177">
        <f t="shared" ref="DO100" si="209">LN(DN100/DN99)</f>
        <v>2.0632179200028689E-2</v>
      </c>
      <c r="DP100" s="183">
        <f>HLOOKUP(H100,'GDP-PI'!$8:$9,2,FALSE)</f>
        <v>103.64700000000001</v>
      </c>
      <c r="DQ100" s="177">
        <f t="shared" ref="DQ100" si="210">LN(DP100/DP99)</f>
        <v>1.8246051898256087E-2</v>
      </c>
      <c r="DR100" s="167" t="s">
        <v>309</v>
      </c>
      <c r="DS100" s="192"/>
      <c r="DT100" s="192">
        <v>1.3516542083719366E-2</v>
      </c>
      <c r="DU100" s="192">
        <f>+Calculation!DV93+DU93+Calculation!EF94</f>
        <v>1.1010284640626216E-2</v>
      </c>
      <c r="DV100" s="192"/>
      <c r="DW100" s="192">
        <f>+Calculation!DT100-Calculation!DU100</f>
        <v>2.5062574430931503E-3</v>
      </c>
      <c r="DX100" s="192"/>
      <c r="DY100" s="192"/>
      <c r="DZ100" s="192"/>
      <c r="EA100" s="192"/>
      <c r="EB100" s="192"/>
      <c r="EC100" s="192"/>
      <c r="ED100" s="192"/>
      <c r="EE100" s="192"/>
      <c r="EF100" s="192"/>
    </row>
    <row r="101" spans="1:136" s="167" customFormat="1" ht="21" x14ac:dyDescent="0.35">
      <c r="A101" s="167" t="s">
        <v>31</v>
      </c>
      <c r="B101" s="168" t="s">
        <v>31</v>
      </c>
      <c r="C101" s="168">
        <v>4007784</v>
      </c>
      <c r="D101" s="168" t="s">
        <v>134</v>
      </c>
      <c r="E101" s="168"/>
      <c r="F101" s="168"/>
      <c r="G101" s="168" t="s">
        <v>21</v>
      </c>
      <c r="H101" s="169">
        <v>2015</v>
      </c>
      <c r="I101" s="170"/>
      <c r="J101" s="166">
        <f>IFERROR(INDEX('Labor Expenditures'!$F$7:$X$91,MATCH($C101,'Labor Expenditures'!$D$7:$D$91,0),MATCH($G101,'Labor Expenditures'!$F$5:$X$5,0)),"NA")</f>
        <v>74971.414300718054</v>
      </c>
      <c r="K101" s="166">
        <f t="shared" si="171"/>
        <v>605.82961051085294</v>
      </c>
      <c r="L101" s="172">
        <f t="shared" si="178"/>
        <v>3.7246626309707369E-2</v>
      </c>
      <c r="M101" s="172">
        <f t="shared" si="182"/>
        <v>9.2525409676514649E-4</v>
      </c>
      <c r="N101" s="196"/>
      <c r="O101" s="172"/>
      <c r="P101" s="166">
        <f>IFERROR(INDEX('Non-Labor Expenditures'!$F$7:$AB$91,MATCH($C101,'Non-Labor Expenditures'!$D$7:$D$91,0),MATCH($G101,'Non-Labor Expenditures'!$F$5:$AB$5,0)),"NA")</f>
        <v>108572.61063610177</v>
      </c>
      <c r="Q101" s="166">
        <f t="shared" si="172"/>
        <v>1037.5922040166838</v>
      </c>
      <c r="R101" s="172">
        <f t="shared" si="183"/>
        <v>4.8542517937850096E-2</v>
      </c>
      <c r="S101" s="172">
        <f t="shared" si="188"/>
        <v>1.2058585713462509E-3</v>
      </c>
      <c r="T101" s="172"/>
      <c r="U101" s="172"/>
      <c r="V101" s="166">
        <f t="shared" si="153"/>
        <v>102000.05237224694</v>
      </c>
      <c r="W101" s="170"/>
      <c r="X101" s="174">
        <v>4920.5946152455845</v>
      </c>
      <c r="Y101" s="175">
        <v>5.2508734639698726E-2</v>
      </c>
      <c r="Z101" s="175">
        <f t="shared" si="189"/>
        <v>1.3043844947823653E-3</v>
      </c>
      <c r="AA101" s="175"/>
      <c r="AB101" s="175"/>
      <c r="AC101" s="170">
        <f t="shared" si="85"/>
        <v>285544.07730906678</v>
      </c>
      <c r="AD101" s="175">
        <f t="shared" si="184"/>
        <v>3.9415417448585302E-2</v>
      </c>
      <c r="AE101" s="170"/>
      <c r="AF101" s="170"/>
      <c r="AG101" s="121">
        <f t="shared" si="185"/>
        <v>431.63017242749851</v>
      </c>
      <c r="AH101" s="119">
        <f>+AZ101/$BB$53</f>
        <v>1.7910039895600551E-2</v>
      </c>
      <c r="AI101" s="119"/>
      <c r="AJ101" s="176">
        <f t="shared" si="190"/>
        <v>7.7305136083214432</v>
      </c>
      <c r="AK101" s="176">
        <f t="shared" si="191"/>
        <v>0</v>
      </c>
      <c r="AL101" s="120">
        <f t="shared" si="173"/>
        <v>0.26255636260166798</v>
      </c>
      <c r="AM101" s="120">
        <f t="shared" si="174"/>
        <v>0.38023065181136678</v>
      </c>
      <c r="AN101" s="120">
        <f t="shared" si="175"/>
        <v>0.35721298558696518</v>
      </c>
      <c r="AO101" s="120">
        <f t="shared" si="179"/>
        <v>4.7044453701994456E-2</v>
      </c>
      <c r="AP101" s="173">
        <f t="shared" si="194"/>
        <v>131.02995039214849</v>
      </c>
      <c r="AQ101" s="175">
        <f t="shared" si="195"/>
        <v>4.7044453701994539E-2</v>
      </c>
      <c r="AR101" s="177">
        <f>+AC101/$AE$53</f>
        <v>2.4841286001894967E-2</v>
      </c>
      <c r="AS101" s="177">
        <f t="shared" si="196"/>
        <v>1.1686447292141528E-3</v>
      </c>
      <c r="AT101" s="177"/>
      <c r="AU101" s="177"/>
      <c r="AV101" s="177"/>
      <c r="AW101" s="190"/>
      <c r="AX101" s="120"/>
      <c r="AY101" s="120"/>
      <c r="AZ101" s="118">
        <f>IFERROR(INDEX('Total Customers'!$F$7:$AB$91,MATCH($C101,'Total Customers'!$D$7:$D$91,0),MATCH($G101,'Total Customers'!$F$5:$AB$5,0)),"NA")</f>
        <v>661548</v>
      </c>
      <c r="BA101" s="119">
        <f t="shared" si="154"/>
        <v>1.1741282268361797E-2</v>
      </c>
      <c r="BB101" s="119"/>
      <c r="BC101" s="121"/>
      <c r="BD101" s="119"/>
      <c r="BE101" s="119"/>
      <c r="BF101" s="119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18"/>
      <c r="BR101" s="118"/>
      <c r="BS101" s="118">
        <f>INDEX('Dist. Plant Gas Additions'!$F$7:$AE$91,MATCH($C101,'Dist. Plant Gas Additions'!$D$7:$D$91,0),MATCH(Calculation!$G101,'Dist. Plant Gas Additions'!$F$5:$AE$5,0))</f>
        <v>195451</v>
      </c>
      <c r="BT101" s="118">
        <f>INDEX('Gen. Plant Additions'!$F$7:$AE$91,MATCH($C101,'Gen. Plant Additions'!$D$7:$D$91,0),MATCH(Calculation!$G101,'Gen. Plant Additions'!$F$5:$AE$5,0))</f>
        <v>925</v>
      </c>
      <c r="BU101" s="118"/>
      <c r="BV101" s="118"/>
      <c r="BW101" s="118">
        <f>INDEX('Dist Plant Depreciation'!$E$7:$AD$94,MATCH($C101,'Dist Plant Depreciation'!$D$7:$D$94,0),MATCH(Calculation!$G101,'Dist Plant Depreciation'!$E$5:$AD$5,0))</f>
        <v>517475</v>
      </c>
      <c r="BX101" s="118">
        <f>INDEX('Gen. Plant Depreciation'!$E$7:$AD$94,MATCH($C101,'Gen. Plant Depreciation'!$D$7:$D$94,0),MATCH(Calculation!$G101,'Gen. Plant Depreciation'!$E$5:$AD$5,0))</f>
        <v>2406</v>
      </c>
      <c r="BY101" s="183">
        <v>1994</v>
      </c>
      <c r="BZ101" s="183">
        <f t="shared" si="66"/>
        <v>47</v>
      </c>
      <c r="CA101" s="178">
        <v>303.55946043601477</v>
      </c>
      <c r="CB101" s="184">
        <f t="shared" si="67"/>
        <v>3.5444947209653091E-2</v>
      </c>
      <c r="CC101" s="185">
        <f t="shared" si="68"/>
        <v>10.75964905014532</v>
      </c>
      <c r="CD101" s="185"/>
      <c r="CE101" s="118">
        <f>INDEX('Gross Dx Plant'!$E$7:$AD$91,MATCH($C101,'Gross Dx Plant'!$D$7:$D$91,0),MATCH(Calculation!$G101,'Gross Dx Plant'!$E$5:$AD$5,0))</f>
        <v>1853697</v>
      </c>
      <c r="CF101" s="118">
        <f>INDEX('Gross Gen Plant'!$E$7:$AD$91,MATCH($C101,'Gross Gen Plant'!$D$7:$D$91,0),MATCH(Calculation!$G101,'Gross Gen Plant'!$E$5:$AD$5,0))</f>
        <v>12372</v>
      </c>
      <c r="CG101" s="118">
        <f t="shared" si="7"/>
        <v>1346188</v>
      </c>
      <c r="CH101" s="118"/>
      <c r="CI101" s="121">
        <v>2015</v>
      </c>
      <c r="CJ101" s="118"/>
      <c r="CK101" s="118"/>
      <c r="CL101" s="118"/>
      <c r="CM101" s="183"/>
      <c r="CN101" s="118">
        <f t="shared" si="155"/>
        <v>196376</v>
      </c>
      <c r="CO101" s="118">
        <f t="shared" si="156"/>
        <v>290.66273935308885</v>
      </c>
      <c r="CP101" s="186">
        <v>0.88888888888888884</v>
      </c>
      <c r="CQ101" s="118">
        <f>+CQ84*CP101+CO85*CP100+CO86*CP99+CO87*CP98+CO88*CP97+CO89*CP96+CO90*CP95+CO91*CP94+CO92*CP93+CO93*CP92+CO94*CP91+CO95*CP90+CO96*CP89+CO97*CP88+CO98*CP87+CO99*CP86+CO100*CP85+CO101</f>
        <v>4920.5946152455845</v>
      </c>
      <c r="CR101" s="119">
        <f t="shared" si="157"/>
        <v>5.2508734639698726E-2</v>
      </c>
      <c r="CS101" s="119"/>
      <c r="CT101" s="177">
        <f t="shared" si="158"/>
        <v>8.3434892261333923E-3</v>
      </c>
      <c r="CU101" s="177">
        <f t="shared" si="166"/>
        <v>8.096870927951293E-3</v>
      </c>
      <c r="CV101" s="119">
        <f>VLOOKUP($H101,RoR!$E:$F,2,FALSE)</f>
        <v>3.8866666666666674E-2</v>
      </c>
      <c r="CW101" s="177">
        <v>9.5709475431029478E-3</v>
      </c>
      <c r="CX101" s="177">
        <f t="shared" si="164"/>
        <v>2.9295719123563727E-2</v>
      </c>
      <c r="CY101" s="177">
        <f t="shared" si="167"/>
        <v>2.280507068058233E-2</v>
      </c>
      <c r="CZ101" s="177">
        <f t="shared" si="168"/>
        <v>3.5270373279175926E-3</v>
      </c>
      <c r="DA101" s="187">
        <f t="shared" si="159"/>
        <v>0.84965624875000001</v>
      </c>
      <c r="DB101" s="188">
        <f t="shared" si="160"/>
        <v>1.3194352816994324</v>
      </c>
      <c r="DC101" s="188">
        <f t="shared" si="161"/>
        <v>0.33177530017152673</v>
      </c>
      <c r="DD101" s="188">
        <f t="shared" si="162"/>
        <v>0.78242572977668579</v>
      </c>
      <c r="DE101" s="188">
        <f t="shared" si="163"/>
        <v>0.34251158643433932</v>
      </c>
      <c r="DF101" s="189">
        <f>INDEX('State Tax Lookup'!$D$7:$Z$91,MATCH(Calculation!$C101,'State Tax Lookup'!$B$7:$B$91,0),MATCH($H101,'State Tax Lookup'!$D$6:$Z$6,0))</f>
        <v>0.40091666999999998</v>
      </c>
      <c r="DG101" s="189">
        <v>0.375</v>
      </c>
      <c r="DH101" s="190">
        <f t="shared" si="165"/>
        <v>21.846761193374128</v>
      </c>
      <c r="DI101" s="190">
        <v>21.460782909233703</v>
      </c>
      <c r="DJ101" s="177"/>
      <c r="DK101" s="189">
        <f>VLOOKUP($H101,RoR!$E:$F,2,FALSE)</f>
        <v>3.8866666666666674E-2</v>
      </c>
      <c r="DL101" s="191">
        <f>HLOOKUP($H101,'GDP-PI'!$D$8:$CQ$11,3,FALSE)</f>
        <v>9.5709475431029478E-3</v>
      </c>
      <c r="DM101" s="189">
        <f>VLOOKUP(H101,'HW Dx Data'!$E:$F,2,FALSE)</f>
        <v>675.61463308665782</v>
      </c>
      <c r="DN101" s="183">
        <f>VLOOKUP(H101,'ECI - Input Price'!$G$17:$H$37,2,FALSE)</f>
        <v>123.75</v>
      </c>
      <c r="DO101" s="177">
        <f t="shared" ref="DO101" si="211">LN(DN101/DN100)</f>
        <v>2.0821327813585516E-2</v>
      </c>
      <c r="DP101" s="183">
        <f>HLOOKUP(H101,'GDP-PI'!$8:$9,2,FALSE)</f>
        <v>104.639</v>
      </c>
      <c r="DQ101" s="177">
        <f t="shared" ref="DQ101" si="212">LN(DP101/DP100)</f>
        <v>9.5254361854427965E-3</v>
      </c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</row>
    <row r="102" spans="1:136" s="167" customFormat="1" ht="21" x14ac:dyDescent="0.35">
      <c r="A102" s="167" t="s">
        <v>31</v>
      </c>
      <c r="B102" s="168" t="s">
        <v>31</v>
      </c>
      <c r="C102" s="168">
        <v>4007784</v>
      </c>
      <c r="D102" s="168" t="s">
        <v>134</v>
      </c>
      <c r="E102" s="168"/>
      <c r="F102" s="168"/>
      <c r="G102" s="168" t="s">
        <v>22</v>
      </c>
      <c r="H102" s="169">
        <v>2016</v>
      </c>
      <c r="I102" s="170"/>
      <c r="J102" s="166">
        <f>IFERROR(INDEX('Labor Expenditures'!$F$7:$X$91,MATCH($C102,'Labor Expenditures'!$D$7:$D$91,0),MATCH($G102,'Labor Expenditures'!$F$5:$X$5,0)),"NA")</f>
        <v>82583.869731804851</v>
      </c>
      <c r="K102" s="166">
        <f t="shared" si="171"/>
        <v>653.35339977693707</v>
      </c>
      <c r="L102" s="172">
        <f t="shared" si="178"/>
        <v>7.5519401269850003E-2</v>
      </c>
      <c r="M102" s="172">
        <f t="shared" si="182"/>
        <v>1.9548807116011573E-3</v>
      </c>
      <c r="N102" s="196"/>
      <c r="O102" s="172"/>
      <c r="P102" s="166">
        <f>IFERROR(INDEX('Non-Labor Expenditures'!$F$7:$AB$91,MATCH($C102,'Non-Labor Expenditures'!$D$7:$D$91,0),MATCH($G102,'Non-Labor Expenditures'!$F$5:$AB$5,0)),"NA")</f>
        <v>119596.86791086616</v>
      </c>
      <c r="Q102" s="166">
        <f t="shared" si="172"/>
        <v>1131.0893916061336</v>
      </c>
      <c r="R102" s="172">
        <f t="shared" si="183"/>
        <v>8.6278391166602408E-2</v>
      </c>
      <c r="S102" s="172">
        <f t="shared" si="188"/>
        <v>2.2333858569255805E-3</v>
      </c>
      <c r="T102" s="172"/>
      <c r="U102" s="172"/>
      <c r="V102" s="166">
        <f t="shared" si="153"/>
        <v>105805.65285208543</v>
      </c>
      <c r="W102" s="170"/>
      <c r="X102" s="174">
        <v>5218.2815104773126</v>
      </c>
      <c r="Y102" s="175">
        <v>5.8738755181099882E-2</v>
      </c>
      <c r="Z102" s="175">
        <f t="shared" si="189"/>
        <v>1.520500131041661E-3</v>
      </c>
      <c r="AA102" s="175"/>
      <c r="AB102" s="175"/>
      <c r="AC102" s="170">
        <f t="shared" si="85"/>
        <v>307986.39049475646</v>
      </c>
      <c r="AD102" s="175">
        <f t="shared" si="184"/>
        <v>7.5659191740749185E-2</v>
      </c>
      <c r="AE102" s="170"/>
      <c r="AF102" s="170"/>
      <c r="AG102" s="121">
        <f t="shared" si="185"/>
        <v>461.12512089311974</v>
      </c>
      <c r="AH102" s="119">
        <f>+AZ102/$BB$54</f>
        <v>1.7925828381188478E-2</v>
      </c>
      <c r="AI102" s="119"/>
      <c r="AJ102" s="176">
        <f t="shared" si="190"/>
        <v>8.2660497793848542</v>
      </c>
      <c r="AK102" s="176">
        <f t="shared" si="191"/>
        <v>0</v>
      </c>
      <c r="AL102" s="120">
        <f t="shared" si="173"/>
        <v>0.2681412954615956</v>
      </c>
      <c r="AM102" s="120">
        <f t="shared" si="174"/>
        <v>0.3883186777141126</v>
      </c>
      <c r="AN102" s="120">
        <f t="shared" si="175"/>
        <v>0.34354002682429174</v>
      </c>
      <c r="AO102" s="120">
        <f t="shared" si="179"/>
        <v>7.3774264357160821E-2</v>
      </c>
      <c r="AP102" s="173">
        <f t="shared" si="194"/>
        <v>141.06209596889232</v>
      </c>
      <c r="AQ102" s="175">
        <f t="shared" si="195"/>
        <v>7.3774264357160765E-2</v>
      </c>
      <c r="AR102" s="177">
        <f>+AC102/$AE$54</f>
        <v>2.5885807868310184E-2</v>
      </c>
      <c r="AS102" s="177">
        <f t="shared" si="196"/>
        <v>1.9097064327753877E-3</v>
      </c>
      <c r="AT102" s="177"/>
      <c r="AU102" s="177"/>
      <c r="AV102" s="177"/>
      <c r="AW102" s="190"/>
      <c r="AX102" s="120"/>
      <c r="AY102" s="120"/>
      <c r="AZ102" s="118">
        <f>IFERROR(INDEX('Total Customers'!$F$7:$AB$91,MATCH($C102,'Total Customers'!$D$7:$D$91,0),MATCH($G102,'Total Customers'!$F$5:$AB$5,0)),"NA")</f>
        <v>667902</v>
      </c>
      <c r="BA102" s="119">
        <f t="shared" si="154"/>
        <v>9.5589129065889299E-3</v>
      </c>
      <c r="BB102" s="119"/>
      <c r="BC102" s="121"/>
      <c r="BD102" s="119"/>
      <c r="BE102" s="119"/>
      <c r="BF102" s="119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18"/>
      <c r="BR102" s="118"/>
      <c r="BS102" s="118">
        <f>INDEX('Dist. Plant Gas Additions'!$F$7:$AE$91,MATCH($C102,'Dist. Plant Gas Additions'!$D$7:$D$91,0),MATCH(Calculation!$G102,'Dist. Plant Gas Additions'!$F$5:$AE$5,0))</f>
        <v>222151</v>
      </c>
      <c r="BT102" s="118">
        <f>INDEX('Gen. Plant Additions'!$F$7:$AE$91,MATCH($C102,'Gen. Plant Additions'!$D$7:$D$91,0),MATCH(Calculation!$G102,'Gen. Plant Additions'!$F$5:$AE$5,0))</f>
        <v>5862</v>
      </c>
      <c r="BU102" s="118"/>
      <c r="BV102" s="118"/>
      <c r="BW102" s="118">
        <f>INDEX('Dist Plant Depreciation'!$E$7:$AD$94,MATCH($C102,'Dist Plant Depreciation'!$D$7:$D$94,0),MATCH(Calculation!$G102,'Dist Plant Depreciation'!$E$5:$AD$5,0))</f>
        <v>539945</v>
      </c>
      <c r="BX102" s="118">
        <f>INDEX('Gen. Plant Depreciation'!$E$7:$AD$94,MATCH($C102,'Gen. Plant Depreciation'!$D$7:$D$94,0),MATCH(Calculation!$G102,'Gen. Plant Depreciation'!$E$5:$AD$5,0))</f>
        <v>7210</v>
      </c>
      <c r="BY102" s="183">
        <v>1995</v>
      </c>
      <c r="BZ102" s="183">
        <f t="shared" si="66"/>
        <v>48</v>
      </c>
      <c r="CA102" s="178">
        <v>309.3938435140484</v>
      </c>
      <c r="CB102" s="184">
        <f t="shared" si="67"/>
        <v>3.6199095022624438E-2</v>
      </c>
      <c r="CC102" s="185">
        <f t="shared" si="68"/>
        <v>11.199777140780034</v>
      </c>
      <c r="CD102" s="185"/>
      <c r="CE102" s="118">
        <f>INDEX('Gross Dx Plant'!$E$7:$AD$91,MATCH($C102,'Gross Dx Plant'!$D$7:$D$91,0),MATCH(Calculation!$G102,'Gross Dx Plant'!$E$5:$AD$5,0))</f>
        <v>2067727</v>
      </c>
      <c r="CF102" s="118">
        <f>INDEX('Gross Gen Plant'!$E$7:$AD$91,MATCH($C102,'Gross Gen Plant'!$D$7:$D$91,0),MATCH(Calculation!$G102,'Gross Gen Plant'!$E$5:$AD$5,0))</f>
        <v>18275</v>
      </c>
      <c r="CG102" s="118">
        <f t="shared" si="7"/>
        <v>1538847</v>
      </c>
      <c r="CH102" s="118"/>
      <c r="CI102" s="121">
        <v>2016</v>
      </c>
      <c r="CJ102" s="118"/>
      <c r="CK102" s="118"/>
      <c r="CL102" s="118"/>
      <c r="CM102" s="183"/>
      <c r="CN102" s="118">
        <f t="shared" si="155"/>
        <v>228013</v>
      </c>
      <c r="CO102" s="118">
        <f t="shared" si="156"/>
        <v>339.57975839550778</v>
      </c>
      <c r="CP102" s="186">
        <v>0.88</v>
      </c>
      <c r="CQ102" s="118">
        <f>+CQ84*CP102+CO85*CP101+CO86*CP100+CO87*CP99+CO88*CP98+CO89*CP97+CO90*CP96+CO91*CP95+CO92*CP94+CO93*CP93+CO94*CP92+CO95*CP91+CO96*CP90+CO97*CP89+CO98*CP88+CO99*CP87+CO100*CP86+CO101*CP85+CO102</f>
        <v>5218.2815104773126</v>
      </c>
      <c r="CR102" s="119">
        <f t="shared" si="157"/>
        <v>5.8738755181099882E-2</v>
      </c>
      <c r="CS102" s="119"/>
      <c r="CT102" s="177">
        <f t="shared" si="158"/>
        <v>8.5137806382143445E-3</v>
      </c>
      <c r="CU102" s="177">
        <f t="shared" si="166"/>
        <v>8.3158728935812509E-3</v>
      </c>
      <c r="CV102" s="119">
        <f>VLOOKUP($H102,RoR!$E:$F,2,FALSE)</f>
        <v>3.6658333333333334E-2</v>
      </c>
      <c r="CW102" s="177">
        <v>1.0483662879041455E-2</v>
      </c>
      <c r="CX102" s="177">
        <f t="shared" si="164"/>
        <v>2.6174670454291879E-2</v>
      </c>
      <c r="CY102" s="177">
        <f t="shared" si="167"/>
        <v>2.2586068714952376E-2</v>
      </c>
      <c r="CZ102" s="177">
        <f t="shared" si="168"/>
        <v>4.301363574220729E-3</v>
      </c>
      <c r="DA102" s="187">
        <f t="shared" si="159"/>
        <v>0.84965624875000001</v>
      </c>
      <c r="DB102" s="188">
        <f t="shared" si="160"/>
        <v>1.3989193348138562</v>
      </c>
      <c r="DC102" s="188">
        <f t="shared" si="161"/>
        <v>0.29302682427824522</v>
      </c>
      <c r="DD102" s="188">
        <f t="shared" si="162"/>
        <v>0.76309497491941802</v>
      </c>
      <c r="DE102" s="188">
        <f t="shared" si="163"/>
        <v>0.31280857135128509</v>
      </c>
      <c r="DF102" s="189">
        <f>INDEX('State Tax Lookup'!$D$7:$Z$91,MATCH(Calculation!$C102,'State Tax Lookup'!$B$7:$B$91,0),MATCH($H102,'State Tax Lookup'!$D$6:$Z$6,0))</f>
        <v>0.40091666999999998</v>
      </c>
      <c r="DG102" s="189">
        <v>0.375</v>
      </c>
      <c r="DH102" s="190">
        <f t="shared" si="165"/>
        <v>21.50261525797421</v>
      </c>
      <c r="DI102" s="190">
        <v>21.141293072424354</v>
      </c>
      <c r="DJ102" s="177"/>
      <c r="DK102" s="189">
        <f>VLOOKUP($H102,RoR!$E:$F,2,FALSE)</f>
        <v>3.6658333333333334E-2</v>
      </c>
      <c r="DL102" s="191">
        <f>HLOOKUP($H102,'GDP-PI'!$D$8:$CQ$11,3,FALSE)</f>
        <v>1.0483662879041455E-2</v>
      </c>
      <c r="DM102" s="189">
        <f>VLOOKUP(H102,'HW Dx Data'!$E:$F,2,FALSE)</f>
        <v>671.45639385971219</v>
      </c>
      <c r="DN102" s="183">
        <f>VLOOKUP(H102,'ECI - Input Price'!$G$17:$H$37,2,FALSE)</f>
        <v>126.4</v>
      </c>
      <c r="DO102" s="177">
        <f t="shared" ref="DO102" si="213">LN(DN102/DN101)</f>
        <v>2.11880802639575E-2</v>
      </c>
      <c r="DP102" s="183">
        <f>HLOOKUP(H102,'GDP-PI'!$8:$9,2,FALSE)</f>
        <v>105.736</v>
      </c>
      <c r="DQ102" s="177">
        <f t="shared" ref="DQ102" si="214">LN(DP102/DP101)</f>
        <v>1.0429090367205095E-2</v>
      </c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</row>
    <row r="103" spans="1:136" s="167" customFormat="1" ht="21" x14ac:dyDescent="0.35">
      <c r="A103" s="167" t="s">
        <v>31</v>
      </c>
      <c r="B103" s="168" t="s">
        <v>31</v>
      </c>
      <c r="C103" s="168">
        <v>4007784</v>
      </c>
      <c r="D103" s="168" t="s">
        <v>134</v>
      </c>
      <c r="E103" s="168"/>
      <c r="F103" s="168"/>
      <c r="G103" s="168" t="s">
        <v>23</v>
      </c>
      <c r="H103" s="169">
        <v>2017</v>
      </c>
      <c r="I103" s="170"/>
      <c r="J103" s="166">
        <f>IFERROR(INDEX('Labor Expenditures'!$F$7:$X$91,MATCH($C103,'Labor Expenditures'!$D$7:$D$91,0),MATCH($G103,'Labor Expenditures'!$F$5:$X$5,0)),"NA")</f>
        <v>81993.977569285445</v>
      </c>
      <c r="K103" s="166">
        <f t="shared" si="171"/>
        <v>633.1581279481502</v>
      </c>
      <c r="L103" s="172">
        <f t="shared" si="178"/>
        <v>-3.1397978896453113E-2</v>
      </c>
      <c r="M103" s="172">
        <f t="shared" si="182"/>
        <v>-8.0109155111271436E-4</v>
      </c>
      <c r="N103" s="196"/>
      <c r="O103" s="172"/>
      <c r="P103" s="166">
        <f>IFERROR(INDEX('Non-Labor Expenditures'!$F$7:$AB$91,MATCH($C103,'Non-Labor Expenditures'!$D$7:$D$91,0),MATCH($G103,'Non-Labor Expenditures'!$F$5:$AB$5,0)),"NA")</f>
        <v>118742.59388287981</v>
      </c>
      <c r="Q103" s="166">
        <f t="shared" si="172"/>
        <v>1102.0092053241251</v>
      </c>
      <c r="R103" s="172">
        <f t="shared" si="183"/>
        <v>-2.6046167697362971E-2</v>
      </c>
      <c r="S103" s="172">
        <f t="shared" si="188"/>
        <v>-6.6454484061008923E-4</v>
      </c>
      <c r="T103" s="172"/>
      <c r="U103" s="172"/>
      <c r="V103" s="166">
        <f t="shared" si="153"/>
        <v>101538.59238588753</v>
      </c>
      <c r="W103" s="170"/>
      <c r="X103" s="174">
        <v>5503.7205211694281</v>
      </c>
      <c r="Y103" s="175">
        <v>5.3256186798056507E-2</v>
      </c>
      <c r="Z103" s="175">
        <f t="shared" si="189"/>
        <v>1.3587843163122516E-3</v>
      </c>
      <c r="AA103" s="175"/>
      <c r="AB103" s="175"/>
      <c r="AC103" s="170">
        <f t="shared" si="85"/>
        <v>302275.16383805277</v>
      </c>
      <c r="AD103" s="175">
        <f t="shared" si="184"/>
        <v>-1.8717854215263108E-2</v>
      </c>
      <c r="AE103" s="170"/>
      <c r="AF103" s="170"/>
      <c r="AG103" s="121">
        <f t="shared" si="185"/>
        <v>448.52139567652875</v>
      </c>
      <c r="AH103" s="119">
        <f>+AZ103/$BB$55</f>
        <v>1.7951903808732139E-2</v>
      </c>
      <c r="AI103" s="119"/>
      <c r="AJ103" s="176">
        <f t="shared" si="190"/>
        <v>8.0518129513433312</v>
      </c>
      <c r="AK103" s="176">
        <f t="shared" si="191"/>
        <v>0</v>
      </c>
      <c r="AL103" s="120">
        <f t="shared" si="173"/>
        <v>0.27125608511195654</v>
      </c>
      <c r="AM103" s="120">
        <f t="shared" si="174"/>
        <v>0.39282947489029385</v>
      </c>
      <c r="AN103" s="120">
        <f t="shared" si="175"/>
        <v>0.33591443999774967</v>
      </c>
      <c r="AO103" s="120">
        <f t="shared" si="179"/>
        <v>-5.4837467271080104E-4</v>
      </c>
      <c r="AP103" s="173">
        <f t="shared" si="194"/>
        <v>140.98476229403576</v>
      </c>
      <c r="AQ103" s="175">
        <f t="shared" si="195"/>
        <v>-5.4837467271075984E-4</v>
      </c>
      <c r="AR103" s="177">
        <f>+AC103/$AE$55</f>
        <v>2.55141120310521E-2</v>
      </c>
      <c r="AS103" s="177">
        <f t="shared" si="196"/>
        <v>-1.3991292834533855E-5</v>
      </c>
      <c r="AT103" s="177"/>
      <c r="AU103" s="177"/>
      <c r="AV103" s="177"/>
      <c r="AW103" s="190"/>
      <c r="AX103" s="120"/>
      <c r="AY103" s="120"/>
      <c r="AZ103" s="118">
        <f>IFERROR(INDEX('Total Customers'!$F$7:$AB$91,MATCH($C103,'Total Customers'!$D$7:$D$91,0),MATCH($G103,'Total Customers'!$F$5:$AB$5,0)),"NA")</f>
        <v>673937</v>
      </c>
      <c r="BA103" s="119">
        <f t="shared" si="154"/>
        <v>8.9951785461007145E-3</v>
      </c>
      <c r="BB103" s="119"/>
      <c r="BC103" s="121"/>
      <c r="BD103" s="119"/>
      <c r="BE103" s="119"/>
      <c r="BF103" s="119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18"/>
      <c r="BR103" s="118"/>
      <c r="BS103" s="118">
        <f>INDEX('Dist. Plant Gas Additions'!$F$7:$AE$91,MATCH($C103,'Dist. Plant Gas Additions'!$D$7:$D$91,0),MATCH(Calculation!$G103,'Dist. Plant Gas Additions'!$F$5:$AE$5,0))</f>
        <v>232572</v>
      </c>
      <c r="BT103" s="118">
        <f>INDEX('Gen. Plant Additions'!$F$7:$AE$91,MATCH($C103,'Gen. Plant Additions'!$D$7:$D$91,0),MATCH(Calculation!$G103,'Gen. Plant Additions'!$F$5:$AE$5,0))</f>
        <v>2989</v>
      </c>
      <c r="BU103" s="118"/>
      <c r="BV103" s="118"/>
      <c r="BW103" s="118">
        <f>INDEX('Dist Plant Depreciation'!$E$7:$AD$94,MATCH($C103,'Dist Plant Depreciation'!$D$7:$D$94,0),MATCH(Calculation!$G103,'Dist Plant Depreciation'!$E$5:$AD$5,0))</f>
        <v>545762</v>
      </c>
      <c r="BX103" s="118">
        <f>INDEX('Gen. Plant Depreciation'!$E$7:$AD$94,MATCH($C103,'Gen. Plant Depreciation'!$D$7:$D$94,0),MATCH(Calculation!$G103,'Gen. Plant Depreciation'!$E$5:$AD$5,0))</f>
        <v>6777</v>
      </c>
      <c r="BY103" s="183">
        <v>1996</v>
      </c>
      <c r="BZ103" s="183">
        <f t="shared" si="66"/>
        <v>49</v>
      </c>
      <c r="CA103" s="178">
        <v>313.66152591576542</v>
      </c>
      <c r="CB103" s="184">
        <f t="shared" si="67"/>
        <v>3.6953242835595777E-2</v>
      </c>
      <c r="CC103" s="185">
        <f t="shared" si="68"/>
        <v>11.590810535348798</v>
      </c>
      <c r="CD103" s="185"/>
      <c r="CE103" s="118">
        <f>INDEX('Gross Dx Plant'!$E$7:$AD$91,MATCH($C103,'Gross Dx Plant'!$D$7:$D$91,0),MATCH(Calculation!$G103,'Gross Dx Plant'!$E$5:$AD$5,0))</f>
        <v>2265054</v>
      </c>
      <c r="CF103" s="118">
        <f>INDEX('Gross Gen Plant'!$E$7:$AD$91,MATCH($C103,'Gross Gen Plant'!$D$7:$D$91,0),MATCH(Calculation!$G103,'Gross Gen Plant'!$E$5:$AD$5,0))</f>
        <v>19509</v>
      </c>
      <c r="CG103" s="118">
        <f t="shared" ref="CG103:CG169" si="215">IF(OR(BW103="NA",BX103="NA"),"NA",(SUM(CE103:CF103)-SUM(BW103:BX103)))</f>
        <v>1732024</v>
      </c>
      <c r="CH103" s="118"/>
      <c r="CI103" s="121">
        <v>2017</v>
      </c>
      <c r="CJ103" s="118"/>
      <c r="CK103" s="118"/>
      <c r="CL103" s="118"/>
      <c r="CM103" s="183"/>
      <c r="CN103" s="118">
        <f t="shared" si="155"/>
        <v>235561</v>
      </c>
      <c r="CO103" s="118">
        <f t="shared" si="156"/>
        <v>330.6450715043656</v>
      </c>
      <c r="CP103" s="186">
        <v>0.87074829931972786</v>
      </c>
      <c r="CQ103" s="118">
        <f>+CQ84*CP103+CO85*CP102+CO86*CP101+CO87*CP100+CO88*CP99+CO89*CP98+CO90*CP97+CO91*CP96+CO92*CP95+CO93*CP94+CO94*CP93+CO95*CP92+CO96*CP91+CO97*CP90+CO98*CP89+CO99*CP88+CO100*CP87+CO101*CP86+CO102*CP85+CO103</f>
        <v>5503.7205211694281</v>
      </c>
      <c r="CR103" s="119">
        <f t="shared" si="157"/>
        <v>5.3256186798056507E-2</v>
      </c>
      <c r="CS103" s="119"/>
      <c r="CT103" s="177">
        <f t="shared" si="158"/>
        <v>8.6630168804586235E-3</v>
      </c>
      <c r="CU103" s="177">
        <f t="shared" si="166"/>
        <v>8.5067622482687868E-3</v>
      </c>
      <c r="CV103" s="119">
        <f>VLOOKUP($H103,RoR!$E:$F,2,FALSE)</f>
        <v>3.7433333333333339E-2</v>
      </c>
      <c r="CW103" s="177">
        <v>1.9056896421275615E-2</v>
      </c>
      <c r="CX103" s="177">
        <f t="shared" si="164"/>
        <v>1.8376436912057724E-2</v>
      </c>
      <c r="CY103" s="177">
        <f t="shared" si="167"/>
        <v>2.239517936026484E-2</v>
      </c>
      <c r="CZ103" s="177">
        <f t="shared" si="168"/>
        <v>1.3976271617800498E-2</v>
      </c>
      <c r="DA103" s="187">
        <f t="shared" si="159"/>
        <v>0.90215624875</v>
      </c>
      <c r="DB103" s="188">
        <f t="shared" si="160"/>
        <v>1.3699568463593395</v>
      </c>
      <c r="DC103" s="188">
        <f t="shared" si="161"/>
        <v>0.30714603739982199</v>
      </c>
      <c r="DD103" s="188">
        <f t="shared" si="162"/>
        <v>0.77007188472689425</v>
      </c>
      <c r="DE103" s="188">
        <f t="shared" si="163"/>
        <v>0.32402839633793828</v>
      </c>
      <c r="DF103" s="189">
        <f>INDEX('State Tax Lookup'!$D$7:$Z$91,MATCH(Calculation!$C103,'State Tax Lookup'!$B$7:$B$91,0),MATCH($H103,'State Tax Lookup'!$D$6:$Z$6,0))</f>
        <v>0.26091666999999996</v>
      </c>
      <c r="DG103" s="189">
        <v>0.375</v>
      </c>
      <c r="DH103" s="190">
        <f t="shared" si="165"/>
        <v>19.458243519828784</v>
      </c>
      <c r="DI103" s="190">
        <v>19.200583023233403</v>
      </c>
      <c r="DJ103" s="177"/>
      <c r="DK103" s="189">
        <f>VLOOKUP($H103,RoR!$E:$F,2,FALSE)</f>
        <v>3.7433333333333339E-2</v>
      </c>
      <c r="DL103" s="191">
        <f>HLOOKUP($H103,'GDP-PI'!$D$8:$CQ$11,3,FALSE)</f>
        <v>1.9056896421275615E-2</v>
      </c>
      <c r="DM103" s="189">
        <f>VLOOKUP(H103,'HW Dx Data'!$E:$F,2,FALSE)</f>
        <v>712.42858370229726</v>
      </c>
      <c r="DN103" s="183">
        <f>VLOOKUP(H103,'ECI - Input Price'!$G$17:$H$37,2,FALSE)</f>
        <v>129.5</v>
      </c>
      <c r="DO103" s="177">
        <f t="shared" ref="DO103" si="216">LN(DN103/DN102)</f>
        <v>2.4229399426835413E-2</v>
      </c>
      <c r="DP103" s="183">
        <f>HLOOKUP(H103,'GDP-PI'!$8:$9,2,FALSE)</f>
        <v>107.751</v>
      </c>
      <c r="DQ103" s="177">
        <f t="shared" ref="DQ103" si="217">LN(DP103/DP102)</f>
        <v>1.8877588227745139E-2</v>
      </c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</row>
    <row r="104" spans="1:136" s="167" customFormat="1" ht="21" x14ac:dyDescent="0.35">
      <c r="A104" s="167" t="s">
        <v>31</v>
      </c>
      <c r="B104" s="168" t="s">
        <v>31</v>
      </c>
      <c r="C104" s="168">
        <v>4007784</v>
      </c>
      <c r="D104" s="168" t="s">
        <v>134</v>
      </c>
      <c r="E104" s="168"/>
      <c r="F104" s="168"/>
      <c r="G104" s="168" t="s">
        <v>24</v>
      </c>
      <c r="H104" s="169">
        <v>2018</v>
      </c>
      <c r="I104" s="170"/>
      <c r="J104" s="166">
        <f>IFERROR(INDEX('Labor Expenditures'!$F$7:$X$91,MATCH($C104,'Labor Expenditures'!$D$7:$D$91,0),MATCH($G104,'Labor Expenditures'!$F$5:$X$5,0)),"NA")</f>
        <v>89958.634166663251</v>
      </c>
      <c r="K104" s="166">
        <f t="shared" si="171"/>
        <v>675.11170106313887</v>
      </c>
      <c r="L104" s="172">
        <f t="shared" si="178"/>
        <v>6.4157962105593283E-2</v>
      </c>
      <c r="M104" s="172">
        <f t="shared" si="182"/>
        <v>1.6572796692776455E-3</v>
      </c>
      <c r="N104" s="196"/>
      <c r="O104" s="172"/>
      <c r="P104" s="166">
        <f>IFERROR(INDEX('Non-Labor Expenditures'!$F$7:$AB$91,MATCH($C104,'Non-Labor Expenditures'!$D$7:$D$91,0),MATCH($G104,'Non-Labor Expenditures'!$F$5:$AB$5,0)),"NA")</f>
        <v>130276.90422853749</v>
      </c>
      <c r="Q104" s="166">
        <f t="shared" si="172"/>
        <v>1180.8787388602227</v>
      </c>
      <c r="R104" s="172">
        <f t="shared" si="183"/>
        <v>6.9123791295446102E-2</v>
      </c>
      <c r="S104" s="172">
        <f t="shared" si="188"/>
        <v>1.7855531911813451E-3</v>
      </c>
      <c r="T104" s="172"/>
      <c r="U104" s="172"/>
      <c r="V104" s="166">
        <f t="shared" si="153"/>
        <v>112524.61706761514</v>
      </c>
      <c r="W104" s="170"/>
      <c r="X104" s="174">
        <v>5794.7644231649992</v>
      </c>
      <c r="Y104" s="175">
        <v>5.1530502287100842E-2</v>
      </c>
      <c r="Z104" s="175">
        <f t="shared" si="189"/>
        <v>1.3310967335203473E-3</v>
      </c>
      <c r="AA104" s="175"/>
      <c r="AB104" s="175"/>
      <c r="AC104" s="170">
        <f t="shared" si="85"/>
        <v>332760.15546281589</v>
      </c>
      <c r="AD104" s="175">
        <f t="shared" si="184"/>
        <v>9.6084235530881773E-2</v>
      </c>
      <c r="AE104" s="170"/>
      <c r="AF104" s="170"/>
      <c r="AG104" s="121">
        <f t="shared" si="185"/>
        <v>490.76556422353138</v>
      </c>
      <c r="AH104" s="119">
        <f>+AZ104/$BB$56</f>
        <v>1.7904391647618711E-2</v>
      </c>
      <c r="AI104" s="119"/>
      <c r="AJ104" s="176">
        <f t="shared" si="190"/>
        <v>8.7868588690226801</v>
      </c>
      <c r="AK104" s="176">
        <f t="shared" si="191"/>
        <v>0</v>
      </c>
      <c r="AL104" s="120">
        <f t="shared" si="173"/>
        <v>0.27034076252772887</v>
      </c>
      <c r="AM104" s="120">
        <f t="shared" si="174"/>
        <v>0.39150391682965546</v>
      </c>
      <c r="AN104" s="120">
        <f t="shared" si="175"/>
        <v>0.33815532064261566</v>
      </c>
      <c r="AO104" s="120">
        <f t="shared" si="179"/>
        <v>6.1849500522509364E-2</v>
      </c>
      <c r="AP104" s="173">
        <f t="shared" si="194"/>
        <v>149.97990466538596</v>
      </c>
      <c r="AQ104" s="175">
        <f t="shared" si="195"/>
        <v>6.184950052250944E-2</v>
      </c>
      <c r="AR104" s="177">
        <f>+AC104/$AE$56</f>
        <v>2.5831239255231331E-2</v>
      </c>
      <c r="AS104" s="177">
        <f t="shared" si="196"/>
        <v>1.5976492458134965E-3</v>
      </c>
      <c r="AT104" s="177"/>
      <c r="AU104" s="177"/>
      <c r="AV104" s="177"/>
      <c r="AW104" s="190"/>
      <c r="AX104" s="120"/>
      <c r="AY104" s="120"/>
      <c r="AZ104" s="118">
        <f>IFERROR(INDEX('Total Customers'!$F$7:$AB$91,MATCH($C104,'Total Customers'!$D$7:$D$91,0),MATCH($G104,'Total Customers'!$F$5:$AB$5,0)),"NA")</f>
        <v>678043</v>
      </c>
      <c r="BA104" s="119">
        <f t="shared" si="154"/>
        <v>6.074073024768898E-3</v>
      </c>
      <c r="BB104" s="119"/>
      <c r="BC104" s="121"/>
      <c r="BD104" s="119"/>
      <c r="BE104" s="119"/>
      <c r="BF104" s="119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18"/>
      <c r="BR104" s="118"/>
      <c r="BS104" s="118">
        <f>INDEX('Dist. Plant Gas Additions'!$F$7:$AE$91,MATCH($C104,'Dist. Plant Gas Additions'!$D$7:$D$91,0),MATCH(Calculation!$G104,'Dist. Plant Gas Additions'!$F$5:$AE$5,0))</f>
        <v>253684</v>
      </c>
      <c r="BT104" s="118">
        <f>INDEX('Gen. Plant Additions'!$F$7:$AE$91,MATCH($C104,'Gen. Plant Additions'!$D$7:$D$91,0),MATCH(Calculation!$G104,'Gen. Plant Additions'!$F$5:$AE$5,0))</f>
        <v>2811</v>
      </c>
      <c r="BU104" s="118"/>
      <c r="BV104" s="118"/>
      <c r="BW104" s="118">
        <f>INDEX('Dist Plant Depreciation'!$E$7:$AD$94,MATCH($C104,'Dist Plant Depreciation'!$D$7:$D$94,0),MATCH(Calculation!$G104,'Dist Plant Depreciation'!$E$5:$AD$5,0))</f>
        <v>567189</v>
      </c>
      <c r="BX104" s="118">
        <f>INDEX('Gen. Plant Depreciation'!$E$7:$AD$94,MATCH($C104,'Gen. Plant Depreciation'!$D$7:$D$94,0),MATCH(Calculation!$G104,'Gen. Plant Depreciation'!$E$5:$AD$5,0))</f>
        <v>7280</v>
      </c>
      <c r="BY104" s="183">
        <v>1997</v>
      </c>
      <c r="BZ104" s="183">
        <f>+BZ105-1</f>
        <v>50</v>
      </c>
      <c r="CA104" s="178">
        <v>320.8283835677903</v>
      </c>
      <c r="CB104" s="184">
        <f t="shared" si="67"/>
        <v>3.7707390648567117E-2</v>
      </c>
      <c r="CC104" s="185">
        <f t="shared" si="68"/>
        <v>12.097601190339001</v>
      </c>
      <c r="CD104" s="185"/>
      <c r="CE104" s="118">
        <f>INDEX('Gross Dx Plant'!$E$7:$AD$91,MATCH($C104,'Gross Dx Plant'!$D$7:$D$91,0),MATCH(Calculation!$G104,'Gross Dx Plant'!$E$5:$AD$5,0))</f>
        <v>2505627</v>
      </c>
      <c r="CF104" s="118">
        <f>INDEX('Gross Gen Plant'!$E$7:$AD$91,MATCH($C104,'Gross Gen Plant'!$D$7:$D$91,0),MATCH(Calculation!$G104,'Gross Gen Plant'!$E$5:$AD$5,0))</f>
        <v>21687</v>
      </c>
      <c r="CG104" s="118">
        <f t="shared" si="215"/>
        <v>1952845</v>
      </c>
      <c r="CH104" s="118"/>
      <c r="CI104" s="121">
        <v>2018</v>
      </c>
      <c r="CJ104" s="118"/>
      <c r="CK104" s="118"/>
      <c r="CL104" s="118"/>
      <c r="CM104" s="183"/>
      <c r="CN104" s="118">
        <f t="shared" si="155"/>
        <v>256495</v>
      </c>
      <c r="CO104" s="118">
        <f t="shared" si="156"/>
        <v>339.66697040228843</v>
      </c>
      <c r="CP104" s="186">
        <v>0.86111111111111116</v>
      </c>
      <c r="CQ104" s="118">
        <f>+CQ84*CP104++CO85*CP103+CO86*CP102+CO87*CP101+CO88*CP100+CO89*CP99+CO90*CP98+CO91*CP97+CO92*CP96+CO93*CP95+CO94*CP94+CO95*CP93+CO96*CP92+CO97*CP91+CO98*CP90+CO99*CP89+CO100*CP88+CO101*CP87+CO102*CP86+CO103*CP85+CO104</f>
        <v>5794.7644231649992</v>
      </c>
      <c r="CR104" s="119">
        <f t="shared" si="157"/>
        <v>5.1530502287100842E-2</v>
      </c>
      <c r="CS104" s="119"/>
      <c r="CT104" s="177">
        <f t="shared" si="158"/>
        <v>8.8345816652016171E-3</v>
      </c>
      <c r="CU104" s="177">
        <f t="shared" si="166"/>
        <v>8.6704597279581956E-3</v>
      </c>
      <c r="CV104" s="119">
        <f>VLOOKUP($H104,RoR!$E:$F,2,FALSE)</f>
        <v>3.9299999999999995E-2</v>
      </c>
      <c r="CW104" s="177">
        <v>2.386056741932796E-2</v>
      </c>
      <c r="CX104" s="177">
        <f t="shared" si="164"/>
        <v>1.5439432580672034E-2</v>
      </c>
      <c r="CY104" s="177">
        <f t="shared" si="167"/>
        <v>2.2231481880575429E-2</v>
      </c>
      <c r="CZ104" s="177">
        <f t="shared" si="168"/>
        <v>3.8270792163076606E-2</v>
      </c>
      <c r="DA104" s="187">
        <f t="shared" si="159"/>
        <v>0.90215624875</v>
      </c>
      <c r="DB104" s="188">
        <f t="shared" si="160"/>
        <v>1.3048868010700074</v>
      </c>
      <c r="DC104" s="188">
        <f t="shared" si="161"/>
        <v>0.33886768447837151</v>
      </c>
      <c r="DD104" s="188">
        <f t="shared" si="162"/>
        <v>0.78602506232557801</v>
      </c>
      <c r="DE104" s="188">
        <f t="shared" si="163"/>
        <v>0.34756768162358759</v>
      </c>
      <c r="DF104" s="189">
        <f>INDEX('State Tax Lookup'!$D$7:$Z$91,MATCH(Calculation!$C104,'State Tax Lookup'!$B$7:$B$91,0),MATCH($H104,'State Tax Lookup'!$D$6:$Z$6,0))</f>
        <v>0.26091666999999996</v>
      </c>
      <c r="DG104" s="189">
        <v>0.375</v>
      </c>
      <c r="DH104" s="190">
        <f t="shared" si="165"/>
        <v>20.445190963967399</v>
      </c>
      <c r="DI104" s="190">
        <v>20.181274161055473</v>
      </c>
      <c r="DJ104" s="177"/>
      <c r="DK104" s="189">
        <f>VLOOKUP($H104,RoR!$E:$F,2,FALSE)</f>
        <v>3.9299999999999995E-2</v>
      </c>
      <c r="DL104" s="191">
        <f>HLOOKUP($H104,'GDP-PI'!$D$8:$CQ$11,3,FALSE)</f>
        <v>2.386056741932796E-2</v>
      </c>
      <c r="DM104" s="189">
        <f>VLOOKUP(H104,'HW Dx Data'!$E:$F,2,FALSE)</f>
        <v>755.13671434174842</v>
      </c>
      <c r="DN104" s="183">
        <f>VLOOKUP(H104,'ECI - Input Price'!$G$17:$H$37,2,FALSE)</f>
        <v>133.25</v>
      </c>
      <c r="DO104" s="177">
        <f t="shared" ref="DO104" si="218">LN(DN104/DN103)</f>
        <v>2.8546181906361531E-2</v>
      </c>
      <c r="DP104" s="183">
        <f>HLOOKUP(H104,'GDP-PI'!$8:$9,2,FALSE)</f>
        <v>110.322</v>
      </c>
      <c r="DQ104" s="177">
        <f t="shared" ref="DQ104" si="219">LN(DP104/DP103)</f>
        <v>2.3580352716508712E-2</v>
      </c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</row>
    <row r="105" spans="1:136" s="167" customFormat="1" ht="21" x14ac:dyDescent="0.35">
      <c r="A105" s="167" t="s">
        <v>31</v>
      </c>
      <c r="B105" s="168" t="s">
        <v>31</v>
      </c>
      <c r="C105" s="168">
        <v>4007784</v>
      </c>
      <c r="D105" s="168" t="s">
        <v>134</v>
      </c>
      <c r="E105" s="168"/>
      <c r="F105" s="168"/>
      <c r="G105" s="168" t="s">
        <v>25</v>
      </c>
      <c r="H105" s="169">
        <v>2019</v>
      </c>
      <c r="I105" s="170"/>
      <c r="J105" s="166">
        <f>IFERROR(INDEX('Labor Expenditures'!$F$7:$X$91,MATCH($C105,'Labor Expenditures'!$D$7:$D$91,0),MATCH($G105,'Labor Expenditures'!$F$5:$X$5,0)),"NA")</f>
        <v>92559.102092208152</v>
      </c>
      <c r="K105" s="166">
        <f t="shared" si="171"/>
        <v>676.35441791894891</v>
      </c>
      <c r="L105" s="172">
        <f t="shared" si="178"/>
        <v>1.8390652767556115E-3</v>
      </c>
      <c r="M105" s="172">
        <f t="shared" si="182"/>
        <v>4.8032730148431357E-5</v>
      </c>
      <c r="N105" s="196"/>
      <c r="O105" s="172"/>
      <c r="P105" s="166">
        <f>IFERROR(INDEX('Non-Labor Expenditures'!$F$7:$AB$91,MATCH($C105,'Non-Labor Expenditures'!$D$7:$D$91,0),MATCH($G105,'Non-Labor Expenditures'!$F$5:$AB$5,0)),"NA")</f>
        <v>134042.86748513771</v>
      </c>
      <c r="Q105" s="166">
        <f t="shared" si="172"/>
        <v>1193.4228483870593</v>
      </c>
      <c r="R105" s="172">
        <f t="shared" si="183"/>
        <v>1.0566666266087732E-2</v>
      </c>
      <c r="S105" s="172">
        <f t="shared" si="188"/>
        <v>2.7598032312529561E-4</v>
      </c>
      <c r="T105" s="172"/>
      <c r="U105" s="172"/>
      <c r="V105" s="166">
        <f t="shared" si="153"/>
        <v>120382.02136175314</v>
      </c>
      <c r="W105" s="170"/>
      <c r="X105" s="174">
        <v>6262.1752119199045</v>
      </c>
      <c r="Y105" s="175">
        <v>7.7572778472887849E-2</v>
      </c>
      <c r="Z105" s="175">
        <f t="shared" si="189"/>
        <v>2.0260468088580032E-3</v>
      </c>
      <c r="AA105" s="175"/>
      <c r="AB105" s="175"/>
      <c r="AC105" s="170">
        <f t="shared" si="85"/>
        <v>346983.99093909899</v>
      </c>
      <c r="AD105" s="175">
        <f t="shared" si="184"/>
        <v>4.1856666652789754E-2</v>
      </c>
      <c r="AE105" s="170"/>
      <c r="AF105" s="170"/>
      <c r="AG105" s="121">
        <f t="shared" si="185"/>
        <v>507.42897266352401</v>
      </c>
      <c r="AH105" s="119">
        <f>+AZ105/$BB$57</f>
        <v>1.7908896065400283E-2</v>
      </c>
      <c r="AI105" s="119"/>
      <c r="AJ105" s="176">
        <f t="shared" si="190"/>
        <v>9.0874927320038932</v>
      </c>
      <c r="AK105" s="176">
        <f t="shared" si="191"/>
        <v>0</v>
      </c>
      <c r="AL105" s="120">
        <f t="shared" si="173"/>
        <v>0.26675323504609089</v>
      </c>
      <c r="AM105" s="120">
        <f t="shared" si="174"/>
        <v>0.38630850697853747</v>
      </c>
      <c r="AN105" s="120">
        <f t="shared" si="175"/>
        <v>0.34693825797537164</v>
      </c>
      <c r="AO105" s="120">
        <f t="shared" si="179"/>
        <v>3.1175623814310473E-2</v>
      </c>
      <c r="AP105" s="173">
        <f t="shared" si="194"/>
        <v>154.72926929501355</v>
      </c>
      <c r="AQ105" s="175">
        <f t="shared" si="195"/>
        <v>3.1175623814310393E-2</v>
      </c>
      <c r="AR105" s="177">
        <f>+AC105/$AE$57</f>
        <v>2.6118012642361636E-2</v>
      </c>
      <c r="AS105" s="177">
        <f t="shared" si="196"/>
        <v>8.1424533691566931E-4</v>
      </c>
      <c r="AT105" s="177"/>
      <c r="AU105" s="177"/>
      <c r="AV105" s="177"/>
      <c r="AW105" s="190"/>
      <c r="AX105" s="120"/>
      <c r="AY105" s="120"/>
      <c r="AZ105" s="118">
        <f>IFERROR(INDEX('Total Customers'!$F$7:$AB$91,MATCH($C105,'Total Customers'!$D$7:$D$91,0),MATCH($G105,'Total Customers'!$F$5:$AB$5,0)),"NA")</f>
        <v>683808</v>
      </c>
      <c r="BA105" s="119">
        <f t="shared" si="154"/>
        <v>8.4664687058280189E-3</v>
      </c>
      <c r="BB105" s="119"/>
      <c r="BC105" s="121"/>
      <c r="BD105" s="119"/>
      <c r="BE105" s="119"/>
      <c r="BF105" s="119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18"/>
      <c r="BR105" s="118"/>
      <c r="BS105" s="118">
        <f>INDEX('Dist. Plant Gas Additions'!$F$7:$AE$91,MATCH($C105,'Dist. Plant Gas Additions'!$D$7:$D$91,0),MATCH(Calculation!$G105,'Dist. Plant Gas Additions'!$F$5:$AE$5,0))</f>
        <v>399000</v>
      </c>
      <c r="BT105" s="118">
        <f>INDEX('Gen. Plant Additions'!$F$7:$AE$91,MATCH($C105,'Gen. Plant Additions'!$D$7:$D$91,0),MATCH(Calculation!$G105,'Gen. Plant Additions'!$F$5:$AE$5,0))</f>
        <v>2972</v>
      </c>
      <c r="BU105" s="118"/>
      <c r="BV105" s="118"/>
      <c r="BW105" s="118">
        <f>INDEX('Dist Plant Depreciation'!$E$7:$AD$94,MATCH($C105,'Dist Plant Depreciation'!$D$7:$D$94,0),MATCH(Calculation!$G105,'Dist Plant Depreciation'!$E$5:$AD$5,0))</f>
        <v>578248</v>
      </c>
      <c r="BX105" s="118">
        <f>INDEX('Gen. Plant Depreciation'!$E$7:$AD$94,MATCH($C105,'Gen. Plant Depreciation'!$D$7:$D$94,0),MATCH(Calculation!$G105,'Gen. Plant Depreciation'!$E$5:$AD$5,0))</f>
        <v>6800</v>
      </c>
      <c r="BY105" s="183">
        <v>1998</v>
      </c>
      <c r="BZ105" s="183">
        <v>51</v>
      </c>
      <c r="CA105" s="178">
        <v>325.62124608830305</v>
      </c>
      <c r="CB105" s="184">
        <f>+BZ105/$BZ$107</f>
        <v>3.8461538461538464E-2</v>
      </c>
      <c r="CC105" s="185">
        <f t="shared" si="68"/>
        <v>12.52389408031935</v>
      </c>
      <c r="CD105" s="185"/>
      <c r="CE105" s="118">
        <f>INDEX('Gross Dx Plant'!$E$7:$AD$91,MATCH($C105,'Gross Dx Plant'!$D$7:$D$91,0),MATCH(Calculation!$G105,'Gross Dx Plant'!$E$5:$AD$5,0))</f>
        <v>2876921</v>
      </c>
      <c r="CF105" s="118">
        <f>INDEX('Gross Gen Plant'!$E$7:$AD$91,MATCH($C105,'Gross Gen Plant'!$D$7:$D$91,0),MATCH(Calculation!$G105,'Gross Gen Plant'!$E$5:$AD$5,0))</f>
        <v>23194</v>
      </c>
      <c r="CG105" s="118">
        <f t="shared" si="215"/>
        <v>2315067</v>
      </c>
      <c r="CH105" s="118"/>
      <c r="CI105" s="121">
        <v>2019</v>
      </c>
      <c r="CJ105" s="118"/>
      <c r="CK105" s="118"/>
      <c r="CL105" s="118"/>
      <c r="CM105" s="183"/>
      <c r="CN105" s="118">
        <f t="shared" si="155"/>
        <v>401972</v>
      </c>
      <c r="CO105" s="118">
        <f t="shared" si="156"/>
        <v>519.65297829186386</v>
      </c>
      <c r="CP105" s="186">
        <v>0.85106382978723405</v>
      </c>
      <c r="CQ105" s="118">
        <f>CQ84*CP105+CO85*CP104+CO86*CP103+CO87*CP102+CO88*CP101+CO89*CP100+CO90*CP99+CO91*CP98+CO92*CP97+CO93*CP96+CO94*CP95+CO95*CP94+CO96*CP93+CO97*CP92+CO98*CP91+CO99*CP90+CO100*CP89+CO101*CP88+CO102*CP87+CO103*CP86+CO104*CP85+CO105</f>
        <v>6262.1752119199045</v>
      </c>
      <c r="CR105" s="119">
        <f t="shared" si="157"/>
        <v>7.7572778472887849E-2</v>
      </c>
      <c r="CS105" s="119"/>
      <c r="CT105" s="177">
        <f t="shared" si="158"/>
        <v>9.0154121413661865E-3</v>
      </c>
      <c r="CU105" s="177">
        <f t="shared" si="166"/>
        <v>8.837670229008809E-3</v>
      </c>
      <c r="CV105" s="119">
        <f>VLOOKUP($H105,RoR!$E:$F,2,FALSE)</f>
        <v>3.3875000000000009E-2</v>
      </c>
      <c r="CW105" s="177">
        <v>1.8092492884465461E-2</v>
      </c>
      <c r="CX105" s="177">
        <f t="shared" si="164"/>
        <v>1.5782507115534548E-2</v>
      </c>
      <c r="CY105" s="177">
        <f t="shared" si="167"/>
        <v>2.2064271379524818E-2</v>
      </c>
      <c r="CZ105" s="177">
        <f t="shared" si="168"/>
        <v>4.8445665544254078E-2</v>
      </c>
      <c r="DA105" s="187">
        <f t="shared" si="159"/>
        <v>0.90215624875</v>
      </c>
      <c r="DB105" s="188">
        <f t="shared" si="160"/>
        <v>1.513861292459078</v>
      </c>
      <c r="DC105" s="188">
        <f t="shared" si="161"/>
        <v>0.23699261992619944</v>
      </c>
      <c r="DD105" s="188">
        <f t="shared" si="162"/>
        <v>0.73619765810468829</v>
      </c>
      <c r="DE105" s="188">
        <f t="shared" si="163"/>
        <v>0.26412854465362851</v>
      </c>
      <c r="DF105" s="189">
        <f>INDEX('State Tax Lookup'!$D$7:$Z$91,MATCH(Calculation!$C105,'State Tax Lookup'!$B$7:$B$91,0),MATCH($H105,'State Tax Lookup'!$D$6:$Z$6,0))</f>
        <v>0.26091666999999996</v>
      </c>
      <c r="DG105" s="189">
        <v>0.375</v>
      </c>
      <c r="DH105" s="190">
        <f t="shared" si="165"/>
        <v>20.774273563307787</v>
      </c>
      <c r="DI105" s="190">
        <v>20.501703066466746</v>
      </c>
      <c r="DJ105" s="177"/>
      <c r="DK105" s="189">
        <f>VLOOKUP($H105,RoR!$E:$F,2,FALSE)</f>
        <v>3.3875000000000009E-2</v>
      </c>
      <c r="DL105" s="191">
        <f>HLOOKUP($H105,'GDP-PI'!$D$8:$CQ$11,3,FALSE)</f>
        <v>1.8092492884465461E-2</v>
      </c>
      <c r="DM105" s="189">
        <f>VLOOKUP(H105,'HW Dx Data'!$E:$F,2,FALSE)</f>
        <v>773.53929793938721</v>
      </c>
      <c r="DN105" s="183">
        <f>VLOOKUP(H105,'ECI - Input Price'!$G$17:$H$37,2,FALSE)</f>
        <v>136.85</v>
      </c>
      <c r="DO105" s="177">
        <f t="shared" ref="DO105" si="220">LN(DN105/DN104)</f>
        <v>2.6658372440734168E-2</v>
      </c>
      <c r="DP105" s="183">
        <f>HLOOKUP(H105,'GDP-PI'!$8:$9,2,FALSE)</f>
        <v>112.318</v>
      </c>
      <c r="DQ105" s="177">
        <f t="shared" ref="DQ105" si="221">LN(DP105/DP104)</f>
        <v>1.7930771451401852E-2</v>
      </c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</row>
    <row r="106" spans="1:136" s="167" customFormat="1" ht="21" x14ac:dyDescent="0.35">
      <c r="A106" s="167" t="s">
        <v>31</v>
      </c>
      <c r="B106" s="167" t="s">
        <v>31</v>
      </c>
      <c r="C106" s="167">
        <v>4007784</v>
      </c>
      <c r="D106" s="167" t="s">
        <v>134</v>
      </c>
      <c r="G106" s="168" t="s">
        <v>26</v>
      </c>
      <c r="H106" s="169">
        <v>2020</v>
      </c>
      <c r="I106" s="170"/>
      <c r="J106" s="166">
        <f>IFERROR(INDEX('Labor Expenditures'!$F$7:$X$91,MATCH($C106,'Labor Expenditures'!$D$7:$D$91,0),MATCH($G106,'Labor Expenditures'!$F$5:$X$5,0)),"NA")</f>
        <v>91499.463972828875</v>
      </c>
      <c r="K106" s="166">
        <f t="shared" si="171"/>
        <v>651.47357759223132</v>
      </c>
      <c r="L106" s="172">
        <f t="shared" si="178"/>
        <v>-3.7480386039225488E-2</v>
      </c>
      <c r="M106" s="172">
        <f t="shared" si="182"/>
        <v>-9.8487454081673574E-4</v>
      </c>
      <c r="N106" s="196"/>
      <c r="O106" s="172"/>
      <c r="P106" s="166">
        <f>IFERROR(INDEX('Non-Labor Expenditures'!$F$7:$AB$91,MATCH($C106,'Non-Labor Expenditures'!$D$7:$D$91,0),MATCH($G106,'Non-Labor Expenditures'!$F$5:$AB$5,0)),"NA")</f>
        <v>132508.31357517588</v>
      </c>
      <c r="Q106" s="166">
        <f t="shared" si="172"/>
        <v>1166.210305793509</v>
      </c>
      <c r="R106" s="172">
        <f t="shared" si="183"/>
        <v>-2.3066084707053736E-2</v>
      </c>
      <c r="S106" s="172">
        <f t="shared" si="188"/>
        <v>-6.0610900753595642E-4</v>
      </c>
      <c r="T106" s="172"/>
      <c r="U106" s="172"/>
      <c r="V106" s="166">
        <f t="shared" si="153"/>
        <v>135900.49000976162</v>
      </c>
      <c r="W106" s="170"/>
      <c r="X106" s="174">
        <v>6628.8341638774791</v>
      </c>
      <c r="Y106" s="175">
        <v>5.6901343485235512E-2</v>
      </c>
      <c r="Z106" s="175">
        <f t="shared" si="189"/>
        <v>1.4952003023188374E-3</v>
      </c>
      <c r="AA106" s="175"/>
      <c r="AB106" s="175"/>
      <c r="AC106" s="170">
        <f t="shared" si="85"/>
        <v>359908.2675577664</v>
      </c>
      <c r="AD106" s="175">
        <f t="shared" si="184"/>
        <v>3.6570543380052271E-2</v>
      </c>
      <c r="AE106" s="170"/>
      <c r="AF106" s="170"/>
      <c r="AG106" s="121">
        <f t="shared" si="185"/>
        <v>528.64870500606105</v>
      </c>
      <c r="AH106" s="119">
        <f>+AZ106/$BB$58</f>
        <v>1.7704967963954689E-2</v>
      </c>
      <c r="AI106" s="119"/>
      <c r="AJ106" s="176">
        <f t="shared" si="190"/>
        <v>9.3597083863184434</v>
      </c>
      <c r="AK106" s="176">
        <f t="shared" si="191"/>
        <v>0</v>
      </c>
      <c r="AL106" s="120">
        <f t="shared" si="173"/>
        <v>0.25422995863284226</v>
      </c>
      <c r="AM106" s="120">
        <f t="shared" si="174"/>
        <v>0.36817246370676349</v>
      </c>
      <c r="AN106" s="120">
        <f t="shared" si="175"/>
        <v>0.37759757766039415</v>
      </c>
      <c r="AO106" s="120">
        <f t="shared" si="179"/>
        <v>2.1487446260752933E-3</v>
      </c>
      <c r="AP106" s="173">
        <f t="shared" si="194"/>
        <v>155.06210043741243</v>
      </c>
      <c r="AQ106" s="175">
        <f t="shared" si="195"/>
        <v>2.1487446260752057E-3</v>
      </c>
      <c r="AR106" s="177">
        <f>+AC106/$AE$58</f>
        <v>2.6277065017046651E-2</v>
      </c>
      <c r="AS106" s="177">
        <f t="shared" si="196"/>
        <v>5.6462702244407775E-5</v>
      </c>
      <c r="AT106" s="177"/>
      <c r="AU106" s="177"/>
      <c r="AV106" s="177"/>
      <c r="AW106" s="190"/>
      <c r="AX106" s="120"/>
      <c r="AY106" s="120"/>
      <c r="AZ106" s="118">
        <v>680808</v>
      </c>
      <c r="BA106" s="119">
        <f t="shared" si="154"/>
        <v>-4.3968483926135893E-3</v>
      </c>
      <c r="BB106" s="119"/>
      <c r="BC106" s="121"/>
      <c r="BD106" s="119"/>
      <c r="BE106" s="119"/>
      <c r="BF106" s="119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18"/>
      <c r="BR106" s="118"/>
      <c r="BS106" s="118">
        <f>INDEX('Dist. Plant Gas Additions'!$F$7:$AE$91,MATCH($C106,'Dist. Plant Gas Additions'!$D$7:$D$91,0),MATCH(Calculation!$G106,'Dist. Plant Gas Additions'!$F$5:$AE$5,0))</f>
        <v>336562</v>
      </c>
      <c r="BT106" s="118">
        <f>INDEX('Gen. Plant Additions'!$F$7:$AE$91,MATCH($C106,'Gen. Plant Additions'!$D$7:$D$91,0),MATCH(Calculation!$G106,'Gen. Plant Additions'!$F$5:$AE$5,0))</f>
        <v>7847</v>
      </c>
      <c r="BU106" s="118"/>
      <c r="BV106" s="118"/>
      <c r="BW106" s="118">
        <f>INDEX('Dist Plant Depreciation'!$E$7:$AD$94,MATCH($C106,'Dist Plant Depreciation'!$D$7:$D$94,0),MATCH(Calculation!$G106,'Dist Plant Depreciation'!$E$5:$AD$5,0))</f>
        <v>604946</v>
      </c>
      <c r="BX106" s="118">
        <f>INDEX('Gen. Plant Depreciation'!$E$7:$AD$94,MATCH($C106,'Gen. Plant Depreciation'!$D$7:$D$94,0),MATCH(Calculation!$G106,'Gen. Plant Depreciation'!$E$5:$AD$5,0))</f>
        <v>7847</v>
      </c>
      <c r="BY106" s="118"/>
      <c r="BZ106" s="118"/>
      <c r="CA106" s="118"/>
      <c r="CB106" s="184"/>
      <c r="CC106" s="118"/>
      <c r="CD106" s="118"/>
      <c r="CE106" s="118">
        <f>INDEX('Gross Dx Plant'!$E$7:$AD$91,MATCH($C106,'Gross Dx Plant'!$D$7:$D$91,0),MATCH(Calculation!$G106,'Gross Dx Plant'!$E$5:$AD$5,0))</f>
        <v>3183762</v>
      </c>
      <c r="CF106" s="118">
        <f>INDEX('Gross Gen Plant'!$E$7:$AD$91,MATCH($C106,'Gross Gen Plant'!$D$7:$D$91,0),MATCH(Calculation!$G106,'Gross Gen Plant'!$E$5:$AD$5,0))</f>
        <v>30669</v>
      </c>
      <c r="CG106" s="118">
        <f t="shared" si="215"/>
        <v>2601638</v>
      </c>
      <c r="CH106" s="118"/>
      <c r="CI106" s="121">
        <v>2020</v>
      </c>
      <c r="CJ106" s="118"/>
      <c r="CK106" s="118"/>
      <c r="CL106" s="118"/>
      <c r="CM106" s="183"/>
      <c r="CN106" s="118">
        <f t="shared" si="155"/>
        <v>344409</v>
      </c>
      <c r="CO106" s="118">
        <f t="shared" si="156"/>
        <v>423.58554039551757</v>
      </c>
      <c r="CP106" s="186">
        <v>0.84057971014492749</v>
      </c>
      <c r="CQ106" s="118">
        <f>CQ84*CP106+CO85*CP105+CO86*CP104+CO87*CP103+CO88*CP102+CO89*CP101+CO90*CP100+CO91*CP99+CO92*CP98+CO93*CP97+CO94*CP96+CO95*CP95+CO96*CP94+CO97*CP93+CO98*CP92+CO99*CP91+CO100*CP90+CO101*CP89+CO102*CP88+CO103*CP87+CO104*CP86+CO105*CP85+CO106</f>
        <v>6628.8341638774791</v>
      </c>
      <c r="CR106" s="119">
        <f t="shared" si="157"/>
        <v>5.6901343485235512E-2</v>
      </c>
      <c r="CS106" s="119"/>
      <c r="CT106" s="177">
        <f t="shared" si="158"/>
        <v>9.0905454592813944E-3</v>
      </c>
      <c r="CU106" s="177">
        <f t="shared" si="166"/>
        <v>8.9801797552830648E-3</v>
      </c>
      <c r="CV106" s="119">
        <f>VLOOKUP($H106,RoR!$E:$F,2,FALSE)</f>
        <v>2.4766666666666666E-2</v>
      </c>
      <c r="CW106" s="177">
        <v>1.1618796630994188E-2</v>
      </c>
      <c r="CX106" s="177">
        <f t="shared" si="164"/>
        <v>1.3147870035672478E-2</v>
      </c>
      <c r="CY106" s="177">
        <f t="shared" si="167"/>
        <v>2.1921761853250558E-2</v>
      </c>
      <c r="CZ106" s="177">
        <f t="shared" si="168"/>
        <v>4.5144642961987357E-2</v>
      </c>
      <c r="DA106" s="187">
        <f t="shared" si="159"/>
        <v>0.90215624875</v>
      </c>
      <c r="DB106" s="188">
        <f t="shared" si="160"/>
        <v>2.0706077233668081</v>
      </c>
      <c r="DC106" s="188">
        <f t="shared" si="161"/>
        <v>-3.4421265141318998E-2</v>
      </c>
      <c r="DD106" s="188">
        <f t="shared" si="162"/>
        <v>0.62416226176410472</v>
      </c>
      <c r="DE106" s="188">
        <f t="shared" si="163"/>
        <v>-4.4485877841158712E-2</v>
      </c>
      <c r="DF106" s="189">
        <f>INDEX('State Tax Lookup'!$D$7:$Z$91,MATCH(Calculation!$C106,'State Tax Lookup'!$B$7:$B$91,0),MATCH($H106,'State Tax Lookup'!$D$6:$Z$6,0))</f>
        <v>0.26091666999999996</v>
      </c>
      <c r="DG106" s="189">
        <v>0.375</v>
      </c>
      <c r="DH106" s="190">
        <f t="shared" si="165"/>
        <v>21.701802554338979</v>
      </c>
      <c r="DI106" s="190">
        <v>21.5203123836115</v>
      </c>
      <c r="DJ106" s="177"/>
      <c r="DK106" s="189">
        <f>VLOOKUP($H106,RoR!$E:$F,2,FALSE)</f>
        <v>2.4766666666666666E-2</v>
      </c>
      <c r="DL106" s="191">
        <f>HLOOKUP($H106,'GDP-PI'!$D$8:$CQ$11,3,FALSE)</f>
        <v>1.1618796630994188E-2</v>
      </c>
      <c r="DM106" s="189">
        <f>VLOOKUP(H106,'HW Dx Data'!$E:$F,2,FALSE)</f>
        <v>813.080162458833</v>
      </c>
      <c r="DN106" s="183">
        <f>VLOOKUP(H106,'ECI - Input Price'!$G$17:$H$37,2,FALSE)</f>
        <v>140.44999999999999</v>
      </c>
      <c r="DO106" s="177">
        <f t="shared" ref="DO106" si="222">LN(DN106/DN105)</f>
        <v>2.5966118063564539E-2</v>
      </c>
      <c r="DP106" s="183">
        <f>HLOOKUP(H106,'GDP-PI'!$8:$9,2,FALSE)</f>
        <v>113.623</v>
      </c>
      <c r="DQ106" s="177">
        <f t="shared" ref="DQ106" si="223">LN(DP106/DP105)</f>
        <v>1.1551816731392881E-2</v>
      </c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</row>
    <row r="107" spans="1:136" s="167" customFormat="1" ht="21" x14ac:dyDescent="0.35">
      <c r="A107" s="167" t="s">
        <v>31</v>
      </c>
      <c r="B107" s="167" t="s">
        <v>31</v>
      </c>
      <c r="C107" s="167">
        <v>4007784</v>
      </c>
      <c r="D107" s="167" t="s">
        <v>134</v>
      </c>
      <c r="G107" s="168" t="s">
        <v>462</v>
      </c>
      <c r="H107" s="169">
        <v>2021</v>
      </c>
      <c r="I107" s="170"/>
      <c r="J107" s="166">
        <f>IFERROR(INDEX('Labor Expenditures'!$E$7:$X$91,MATCH($C107,'Labor Expenditures'!$D$7:$D$91,0),MATCH($G107,'Labor Expenditures'!$E$5:$X$5,0)),"NA")</f>
        <v>97613.497409951407</v>
      </c>
      <c r="K107" s="166">
        <f t="shared" si="171"/>
        <v>670.99843553841822</v>
      </c>
      <c r="L107" s="171">
        <f t="shared" si="178"/>
        <v>2.9529965955832863E-2</v>
      </c>
      <c r="M107" s="172">
        <f t="shared" si="182"/>
        <v>7.4678895862028446E-4</v>
      </c>
      <c r="N107" s="196"/>
      <c r="O107" s="172"/>
      <c r="P107" s="166">
        <f>IFERROR(INDEX('Non-Labor Expenditures'!$E$7:$AB$91,MATCH($C107,'Non-Labor Expenditures'!$D$7:$D$91,0),MATCH($G107,'Non-Labor Expenditures'!$E$5:$AB$5,0)),"NA")</f>
        <v>137599.74936101586</v>
      </c>
      <c r="Q107" s="166">
        <f t="shared" si="172"/>
        <v>1161.2773175881159</v>
      </c>
      <c r="R107" s="172">
        <f t="shared" si="183"/>
        <v>-4.2389016743035867E-3</v>
      </c>
      <c r="S107" s="172">
        <f t="shared" si="188"/>
        <v>-1.0719839541236187E-4</v>
      </c>
      <c r="T107" s="172"/>
      <c r="U107" s="172"/>
      <c r="V107" s="166">
        <f t="shared" si="153"/>
        <v>137762.55056040263</v>
      </c>
      <c r="W107" s="170"/>
      <c r="X107" s="174">
        <v>6934.6431365647632</v>
      </c>
      <c r="Y107" s="175">
        <v>3.8862560818863592E-2</v>
      </c>
      <c r="Z107" s="175">
        <f t="shared" si="189"/>
        <v>9.8280273558879806E-4</v>
      </c>
      <c r="AA107" s="175"/>
      <c r="AB107" s="175"/>
      <c r="AC107" s="170">
        <f t="shared" si="85"/>
        <v>372975.79733136989</v>
      </c>
      <c r="AD107" s="175">
        <f t="shared" si="184"/>
        <v>3.5664344387084337E-2</v>
      </c>
      <c r="AE107" s="118"/>
      <c r="AF107" s="119"/>
      <c r="AG107" s="121">
        <f t="shared" si="185"/>
        <v>550.26227318228382</v>
      </c>
      <c r="AH107" s="119">
        <f>+AZ107/$BB$59</f>
        <v>1.7390485278813969E-2</v>
      </c>
      <c r="AI107" s="119"/>
      <c r="AJ107" s="176">
        <f t="shared" si="190"/>
        <v>9.5693279612632178</v>
      </c>
      <c r="AK107" s="176">
        <f t="shared" si="191"/>
        <v>0</v>
      </c>
      <c r="AL107" s="120">
        <f t="shared" si="173"/>
        <v>0.26171536627409314</v>
      </c>
      <c r="AM107" s="120">
        <f t="shared" si="174"/>
        <v>0.36892407053095067</v>
      </c>
      <c r="AN107" s="120">
        <f t="shared" si="175"/>
        <v>0.36936056319495619</v>
      </c>
      <c r="AO107" s="120">
        <f t="shared" si="179"/>
        <v>2.057003716230282E-2</v>
      </c>
      <c r="AP107" s="173">
        <f t="shared" si="194"/>
        <v>158.28476514014054</v>
      </c>
      <c r="AQ107" s="175">
        <f t="shared" si="195"/>
        <v>2.05700371623029E-2</v>
      </c>
      <c r="AR107" s="177">
        <f>+AC107/$AE$59</f>
        <v>2.5289191316279731E-2</v>
      </c>
      <c r="AS107" s="177">
        <f t="shared" si="196"/>
        <v>5.2019960518046189E-4</v>
      </c>
      <c r="AT107" s="177"/>
      <c r="AU107" s="177"/>
      <c r="AV107" s="177"/>
      <c r="AW107" s="190"/>
      <c r="AX107" s="120"/>
      <c r="AY107" s="120"/>
      <c r="AZ107" s="118">
        <f>+AZ106*(1+BA106)</f>
        <v>677814.59043952159</v>
      </c>
      <c r="BA107" s="119">
        <f t="shared" si="154"/>
        <v>-4.4065429579665883E-3</v>
      </c>
      <c r="BB107" s="118"/>
      <c r="BC107" s="121"/>
      <c r="BD107" s="118"/>
      <c r="BE107" s="119"/>
      <c r="BF107" s="119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18"/>
      <c r="BR107" s="118"/>
      <c r="BS107" s="118">
        <f>INDEX('Dist. Plant Gas Additions'!$E$7:$AE$91,MATCH($C107,'Dist. Plant Gas Additions'!$D$7:$D$91,0),MATCH(Calculation!$G107,'Dist. Plant Gas Additions'!$E$5:$AE$5,0))</f>
        <v>401846.52</v>
      </c>
      <c r="BT107" s="118">
        <f>INDEX('Gen. Plant Additions'!$E$7:$AE$91,MATCH($C107,'Gen. Plant Additions'!$D$7:$D$91,0),MATCH(Calculation!$G107,'Gen. Plant Additions'!$E$5:$AE$5,0))</f>
        <v>4808.8159999999998</v>
      </c>
      <c r="BU107" s="118"/>
      <c r="BV107" s="118"/>
      <c r="BW107" s="118"/>
      <c r="BX107" s="118"/>
      <c r="BY107" s="183"/>
      <c r="BZ107" s="183">
        <f>SUM(BZ55:BZ105)</f>
        <v>1326</v>
      </c>
      <c r="CA107" s="178"/>
      <c r="CB107" s="184"/>
      <c r="CC107" s="185">
        <f>SUM(CC55:CC105)</f>
        <v>201.71943868802228</v>
      </c>
      <c r="CD107" s="185"/>
      <c r="CE107" s="118"/>
      <c r="CF107" s="118"/>
      <c r="CG107" s="118"/>
      <c r="CH107" s="118"/>
      <c r="CI107" s="121">
        <v>2021</v>
      </c>
      <c r="CJ107" s="118"/>
      <c r="CK107" s="118"/>
      <c r="CL107" s="118"/>
      <c r="CM107" s="183"/>
      <c r="CN107" s="118">
        <f t="shared" si="155"/>
        <v>406655.33600000001</v>
      </c>
      <c r="CO107" s="118">
        <f t="shared" si="156"/>
        <v>435.84729879657948</v>
      </c>
      <c r="CP107" s="186">
        <f>+(51-23)/(51-23*0.75)</f>
        <v>0.82962962962962961</v>
      </c>
      <c r="CQ107" s="118">
        <f>CQ84*CP107+CO85*CP106+CO86*CP105+CO87*CP104+CO88*CP103+CO89*CP102+CO90*CP101+CO91*CP100+CO92*CP99+CO93*CP98+CO94*CP97+CO95*CP96+CO96*CP95+CO97*CP94+CO98*CP93+CO89*CP92+CO100*CP91+CO101*CP90+CO102*CP89+CO103*CP88+CO104*CP87+CO105*CP86+CO107+CO106*CP85</f>
        <v>6934.6431365647632</v>
      </c>
      <c r="CR107" s="119">
        <f>AVERAGE(CR93:CR106)</f>
        <v>3.8862560818863592E-2</v>
      </c>
      <c r="CS107" s="118"/>
      <c r="CT107" s="177">
        <f t="shared" si="158"/>
        <v>1.9617073363807105E-2</v>
      </c>
      <c r="CU107" s="177">
        <f t="shared" si="166"/>
        <v>1.2574343654818229E-2</v>
      </c>
      <c r="CV107" s="119">
        <f>VLOOKUP($H107,RoR!$E:$F,2,FALSE)</f>
        <v>2.7033333333333336E-2</v>
      </c>
      <c r="CW107" s="177"/>
      <c r="CX107" s="177"/>
      <c r="CY107" s="177">
        <f t="shared" si="167"/>
        <v>1.8327597953715396E-2</v>
      </c>
      <c r="CZ107" s="177">
        <f t="shared" si="168"/>
        <v>7.433422950153494E-2</v>
      </c>
      <c r="DA107" s="187">
        <f t="shared" si="159"/>
        <v>0.90215624875</v>
      </c>
      <c r="DB107" s="188">
        <f t="shared" si="160"/>
        <v>1.8969932656739068</v>
      </c>
      <c r="DC107" s="188">
        <f t="shared" si="161"/>
        <v>5.0215782983970621E-2</v>
      </c>
      <c r="DD107" s="188">
        <f t="shared" si="162"/>
        <v>0.655952481704143</v>
      </c>
      <c r="DE107" s="188">
        <f t="shared" si="163"/>
        <v>6.2485378865697057E-2</v>
      </c>
      <c r="DF107" s="189">
        <f>DF106</f>
        <v>0.26091666999999996</v>
      </c>
      <c r="DG107" s="189">
        <v>0.375</v>
      </c>
      <c r="DH107" s="190">
        <f t="shared" si="165"/>
        <v>20.782319659030303</v>
      </c>
      <c r="DI107" s="190"/>
      <c r="DJ107" s="177">
        <f t="shared" ref="DJ107" si="224">LN(DH107/DH106)</f>
        <v>-4.3292715271055771E-2</v>
      </c>
      <c r="DK107" s="189">
        <f>VLOOKUP($H107,RoR!$E:$F,2,FALSE)</f>
        <v>2.7033333333333336E-2</v>
      </c>
      <c r="DL107" s="191">
        <f>HLOOKUP($H107,'GDP-PI'!$D$8:$CR$11,3,FALSE)</f>
        <v>4.2834637353352578E-2</v>
      </c>
      <c r="DM107" s="189">
        <f>VLOOKUP(H107,'HW Dx Data'!$E:$F,2,FALSE)</f>
        <v>933.02249921662576</v>
      </c>
      <c r="DN107" s="183">
        <f>VLOOKUP(H107,'ECI - Input Price'!$G$17:$H$37,2,FALSE)</f>
        <v>145.47500000000002</v>
      </c>
      <c r="DO107" s="177">
        <f t="shared" ref="DO107" si="225">LN(DN107/DN106)</f>
        <v>3.5152696992481205E-2</v>
      </c>
      <c r="DP107" s="183">
        <f>HLOOKUP(H107,'GDP-PI'!$8:$9,2,FALSE)</f>
        <v>118.49</v>
      </c>
      <c r="DQ107" s="177">
        <f t="shared" ref="DQ107" si="226">LN(DP107/DP106)</f>
        <v>4.194261824609434E-2</v>
      </c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</row>
    <row r="108" spans="1:136" s="167" customFormat="1" ht="21" x14ac:dyDescent="0.35">
      <c r="A108" s="167" t="s">
        <v>34</v>
      </c>
      <c r="B108" s="168" t="s">
        <v>35</v>
      </c>
      <c r="C108" s="168">
        <v>4057110</v>
      </c>
      <c r="D108" s="168" t="s">
        <v>333</v>
      </c>
      <c r="E108" s="168" t="s">
        <v>126</v>
      </c>
      <c r="F108" s="168"/>
      <c r="G108" s="168" t="s">
        <v>4</v>
      </c>
      <c r="H108" s="169">
        <v>1998</v>
      </c>
      <c r="I108" s="170"/>
      <c r="J108" s="166"/>
      <c r="K108" s="166"/>
      <c r="L108" s="166"/>
      <c r="M108" s="166"/>
      <c r="N108" s="196"/>
      <c r="O108" s="166"/>
      <c r="P108" s="172"/>
      <c r="Q108" s="172"/>
      <c r="R108" s="172"/>
      <c r="S108" s="166"/>
      <c r="T108" s="172"/>
      <c r="U108" s="172"/>
      <c r="V108" s="166"/>
      <c r="W108" s="170"/>
      <c r="X108" s="174">
        <v>159.72679782155851</v>
      </c>
      <c r="Y108" s="175"/>
      <c r="Z108" s="166"/>
      <c r="AA108" s="175"/>
      <c r="AB108" s="175"/>
      <c r="AC108" s="170">
        <f t="shared" si="85"/>
        <v>0</v>
      </c>
      <c r="AD108" s="170"/>
      <c r="AE108" s="170"/>
      <c r="AF108" s="119"/>
      <c r="AG108" s="174"/>
      <c r="AH108" s="175"/>
      <c r="AI108" s="175"/>
      <c r="AJ108" s="174"/>
      <c r="AK108" s="174"/>
      <c r="AL108" s="120"/>
      <c r="AM108" s="120"/>
      <c r="AN108" s="120"/>
      <c r="AO108" s="120"/>
      <c r="AP108" s="120"/>
      <c r="AQ108" s="175">
        <f>AVERAGE(AQ117:AQ131)</f>
        <v>2.7388912699796045E-2</v>
      </c>
      <c r="AR108" s="120"/>
      <c r="AS108" s="120"/>
      <c r="AT108" s="120"/>
      <c r="AU108" s="120"/>
      <c r="AV108" s="120"/>
      <c r="AW108" s="120"/>
      <c r="AX108" s="120"/>
      <c r="AY108" s="120"/>
      <c r="AZ108" s="118">
        <f>IFERROR(INDEX('Total Customers'!$F$7:$AB$91,MATCH($C108,'Total Customers'!$D$7:$D$91,0),MATCH($G108,'Total Customers'!$F$5:$AB$5,0)),"NA")</f>
        <v>32854</v>
      </c>
      <c r="BA108" s="119"/>
      <c r="BB108" s="119"/>
      <c r="BC108" s="121"/>
      <c r="BD108" s="119"/>
      <c r="BE108" s="119"/>
      <c r="BF108" s="119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18">
        <f>INDEX('Gross Dx Plant'!$E$7:$AD$91,MATCH($C108,'Gross Dx Plant'!$D$7:$D$91,0),MATCH(Calculation!$G108,'Gross Dx Plant'!$E$5:$AD$5,0))</f>
        <v>43857</v>
      </c>
      <c r="BR108" s="118">
        <f>INDEX('Gross Gen Plant'!$E$7:$AD$91,MATCH($C108,'Gross Gen Plant'!$D$7:$D$91,0),MATCH(Calculation!$G108,'Gross Gen Plant'!$E$5:$AD$5,0))</f>
        <v>9239</v>
      </c>
      <c r="BS108" s="118">
        <f>INDEX('Dist. Plant Gas Additions'!$F$7:$AE$91,MATCH($C108,'Dist. Plant Gas Additions'!$D$7:$D$91,0),MATCH(Calculation!$G108,'Dist. Plant Gas Additions'!$F$5:$AE$5,0))</f>
        <v>5166</v>
      </c>
      <c r="BT108" s="118">
        <f>INDEX('Gen. Plant Additions'!$F$7:$AE$91,MATCH($C108,'Gen. Plant Additions'!$D$7:$D$91,0),MATCH(Calculation!$G108,'Gen. Plant Additions'!$F$5:$AE$5,0))</f>
        <v>294</v>
      </c>
      <c r="BU108" s="118">
        <v>32455</v>
      </c>
      <c r="BV108" s="118" t="e">
        <f>INDEX('Gen. Plant Depreciation'!$E$7:$AA$94,MATCH($C108,'Gen. Plant Depreciation'!$D$7:$D$94,0),MATCH(#REF!,'Gen. Plant Depreciation'!$E$5:$AA$5,0))</f>
        <v>#REF!</v>
      </c>
      <c r="BW108" s="118" t="str">
        <f>INDEX('Dist Plant Depreciation'!$E$7:$AD$94,MATCH($C108,'Dist Plant Depreciation'!$D$7:$D$94,0),MATCH(Calculation!$G108,'Dist Plant Depreciation'!$E$5:$AD$5,0))</f>
        <v>NA</v>
      </c>
      <c r="BX108" s="118" t="str">
        <f>INDEX('Gen. Plant Depreciation'!$E$7:$AD$94,MATCH($C108,'Gen. Plant Depreciation'!$D$7:$D$94,0),MATCH(Calculation!$G108,'Gen. Plant Depreciation'!$E$5:$AD$5,0))</f>
        <v>NA</v>
      </c>
      <c r="BY108" s="183">
        <v>1998</v>
      </c>
      <c r="CA108" s="178">
        <v>325.62124608830305</v>
      </c>
      <c r="CB108" s="118"/>
      <c r="CC108" s="118"/>
      <c r="CD108" s="118"/>
      <c r="CE108" s="118">
        <f>INDEX('Gross Dx Plant'!$E$7:$AD$91,MATCH($C108,'Gross Dx Plant'!$D$7:$D$91,0),MATCH(Calculation!$G108,'Gross Dx Plant'!$E$5:$AD$5,0))</f>
        <v>43857</v>
      </c>
      <c r="CF108" s="118">
        <f>INDEX('Gross Gen Plant'!$E$7:$AD$91,MATCH($C108,'Gross Gen Plant'!$D$7:$D$91,0),MATCH(Calculation!$G108,'Gross Gen Plant'!$E$5:$AD$5,0))</f>
        <v>9239</v>
      </c>
      <c r="CG108" s="118">
        <f>+CE108+CF108-32455</f>
        <v>20641</v>
      </c>
      <c r="CH108" s="118"/>
      <c r="CI108" s="121">
        <v>1998</v>
      </c>
      <c r="CJ108" s="118">
        <f>BQ108+BR108</f>
        <v>53096</v>
      </c>
      <c r="CK108" s="118">
        <v>20876</v>
      </c>
      <c r="CL108" s="118">
        <f>+CJ108-CK108</f>
        <v>32220</v>
      </c>
      <c r="CM108" s="118">
        <f>CL108/$CD$36</f>
        <v>159.72679782155851</v>
      </c>
      <c r="CN108" s="183"/>
      <c r="CO108" s="183"/>
      <c r="CP108" s="186">
        <v>1</v>
      </c>
      <c r="CQ108" s="118">
        <f>+CM108</f>
        <v>159.72679782155851</v>
      </c>
      <c r="CR108" s="119"/>
      <c r="CS108" s="119"/>
      <c r="CT108" s="177"/>
      <c r="CU108" s="177"/>
      <c r="CV108" s="119" t="e">
        <f>VLOOKUP($H108,RoR!$E:$F,2,FALSE)</f>
        <v>#N/A</v>
      </c>
      <c r="CW108" s="177">
        <v>1.1028127770464469E-2</v>
      </c>
      <c r="CX108" s="177"/>
      <c r="CY108" s="177"/>
      <c r="CZ108" s="177"/>
      <c r="DA108" s="187"/>
      <c r="DB108" s="190" t="e">
        <f>2/(DK108*39)</f>
        <v>#N/A</v>
      </c>
      <c r="DC108" s="188" t="e">
        <f>+(DK108*40-(1+DK108))/(DK108*40)</f>
        <v>#N/A</v>
      </c>
      <c r="DD108" s="188" t="e">
        <f>+(1-(1/(1+DK108)^40))</f>
        <v>#N/A</v>
      </c>
      <c r="DE108" s="188" t="e">
        <f>+DD108*DC108*DB108</f>
        <v>#N/A</v>
      </c>
      <c r="DF108" s="189">
        <f>INDEX('State Tax Lookup'!$D$7:$Z$91,MATCH(Calculation!$C108,'State Tax Lookup'!$B$7:$B$91,0),MATCH($H108,'State Tax Lookup'!$D$6:$Z$6,0))</f>
        <v>0.40700500000000001</v>
      </c>
      <c r="DG108" s="189">
        <v>0.375</v>
      </c>
      <c r="DH108" s="183"/>
      <c r="DI108" s="183"/>
      <c r="DJ108" s="177"/>
      <c r="DK108" s="189" t="e">
        <f>VLOOKUP($H108,RoR!$E:$F,2,FALSE)</f>
        <v>#N/A</v>
      </c>
      <c r="DL108" s="191">
        <f>HLOOKUP($H108,'GDP-PI'!$D$8:$CQ$11,3,FALSE)</f>
        <v>1.1028127770464469E-2</v>
      </c>
      <c r="DM108" s="189">
        <f>VLOOKUP(H108,'HW Dx Data'!$E:$F,2,FALSE)</f>
        <v>329.24564746449528</v>
      </c>
      <c r="DN108" s="183" t="e">
        <f>VLOOKUP(H108,'ECI - Input Price'!$G$17:$H$37,2,FALSE)</f>
        <v>#N/A</v>
      </c>
      <c r="DO108" s="177"/>
      <c r="DP108" s="183">
        <f>HLOOKUP(H108,'GDP-PI'!$8:$9,2,FALSE)</f>
        <v>75.266999999999996</v>
      </c>
      <c r="DW108" s="192"/>
      <c r="DX108" s="192"/>
      <c r="DY108" s="192"/>
      <c r="DZ108" s="192"/>
      <c r="EA108" s="192"/>
      <c r="EB108" s="192"/>
      <c r="EC108" s="192"/>
      <c r="ED108" s="192"/>
      <c r="EE108" s="192"/>
    </row>
    <row r="109" spans="1:136" s="167" customFormat="1" ht="21" x14ac:dyDescent="0.35">
      <c r="A109" s="167" t="s">
        <v>34</v>
      </c>
      <c r="B109" s="168" t="s">
        <v>35</v>
      </c>
      <c r="C109" s="168">
        <v>4057110</v>
      </c>
      <c r="D109" s="168" t="s">
        <v>333</v>
      </c>
      <c r="E109" s="168" t="s">
        <v>126</v>
      </c>
      <c r="F109" s="168"/>
      <c r="G109" s="168" t="s">
        <v>5</v>
      </c>
      <c r="H109" s="169">
        <v>1999</v>
      </c>
      <c r="I109" s="170"/>
      <c r="J109" s="166"/>
      <c r="K109" s="166"/>
      <c r="L109" s="166"/>
      <c r="M109" s="166"/>
      <c r="N109" s="173"/>
      <c r="O109" s="170"/>
      <c r="P109" s="177"/>
      <c r="Q109" s="177"/>
      <c r="R109" s="177"/>
      <c r="S109" s="195"/>
      <c r="T109" s="177"/>
      <c r="U109" s="177"/>
      <c r="V109" s="166">
        <f t="shared" ref="V109:V131" si="227">+CQ108*DH109</f>
        <v>0</v>
      </c>
      <c r="W109" s="170"/>
      <c r="X109" s="174">
        <v>164.99491221001517</v>
      </c>
      <c r="Y109" s="175">
        <v>3.2449796178763021E-2</v>
      </c>
      <c r="Z109" s="175"/>
      <c r="AA109" s="175"/>
      <c r="AB109" s="175"/>
      <c r="AC109" s="170">
        <f t="shared" si="85"/>
        <v>0</v>
      </c>
      <c r="AD109" s="175"/>
      <c r="AE109" s="170"/>
      <c r="AF109" s="119"/>
      <c r="AG109" s="174"/>
      <c r="AH109" s="175"/>
      <c r="AI109" s="175"/>
      <c r="AJ109" s="174"/>
      <c r="AK109" s="174"/>
      <c r="AL109" s="120"/>
      <c r="AM109" s="120"/>
      <c r="AN109" s="120"/>
      <c r="AO109" s="120"/>
      <c r="AP109" s="120"/>
      <c r="AQ109" s="175"/>
      <c r="AR109" s="120"/>
      <c r="AS109" s="120"/>
      <c r="AT109" s="120"/>
      <c r="AU109" s="120"/>
      <c r="AV109" s="120"/>
      <c r="AW109" s="120"/>
      <c r="AX109" s="120"/>
      <c r="AY109" s="120"/>
      <c r="AZ109" s="118">
        <f>IFERROR(INDEX('Total Customers'!$F$7:$AB$91,MATCH($C109,'Total Customers'!$D$7:$D$91,0),MATCH($G109,'Total Customers'!$F$5:$AB$5,0)),"NA")</f>
        <v>33944</v>
      </c>
      <c r="BA109" s="119">
        <f t="shared" ref="BA109:BA131" si="228">LN(AZ109/AZ108)</f>
        <v>3.2638604781015643E-2</v>
      </c>
      <c r="BB109" s="119"/>
      <c r="BC109" s="121"/>
      <c r="BD109" s="119"/>
      <c r="BE109" s="119"/>
      <c r="BF109" s="119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18"/>
      <c r="BR109" s="118"/>
      <c r="BS109" s="118">
        <f>INDEX('Dist. Plant Gas Additions'!$F$7:$AE$91,MATCH($C109,'Dist. Plant Gas Additions'!$D$7:$D$91,0),MATCH(Calculation!$G109,'Dist. Plant Gas Additions'!$F$5:$AE$5,0))</f>
        <v>1884</v>
      </c>
      <c r="BT109" s="118">
        <f>INDEX('Gen. Plant Additions'!$F$7:$AE$91,MATCH($C109,'Gen. Plant Additions'!$D$7:$D$91,0),MATCH(Calculation!$G109,'Gen. Plant Additions'!$F$5:$AE$5,0))</f>
        <v>149</v>
      </c>
      <c r="BU109" s="118"/>
      <c r="BV109" s="118"/>
      <c r="BW109" s="118" t="str">
        <f>INDEX('Dist Plant Depreciation'!$E$7:$AD$94,MATCH($C109,'Dist Plant Depreciation'!$D$7:$D$94,0),MATCH(Calculation!$G109,'Dist Plant Depreciation'!$E$5:$AD$5,0))</f>
        <v>NA</v>
      </c>
      <c r="BX109" s="118" t="str">
        <f>INDEX('Gen. Plant Depreciation'!$E$7:$AD$94,MATCH($C109,'Gen. Plant Depreciation'!$D$7:$D$94,0),MATCH(Calculation!$G109,'Gen. Plant Depreciation'!$E$5:$AD$5,0))</f>
        <v>NA</v>
      </c>
      <c r="BY109" s="183">
        <v>1999</v>
      </c>
      <c r="BZ109" s="118"/>
      <c r="CA109" s="178">
        <v>331.4896082321045</v>
      </c>
      <c r="CB109" s="118"/>
      <c r="CC109" s="118"/>
      <c r="CD109" s="118"/>
      <c r="CE109" s="118">
        <f>INDEX('Gross Dx Plant'!$E$7:$AD$91,MATCH($C109,'Gross Dx Plant'!$D$7:$D$91,0),MATCH(Calculation!$G109,'Gross Dx Plant'!$E$5:$AD$5,0))</f>
        <v>45523</v>
      </c>
      <c r="CF109" s="118">
        <f>INDEX('Gross Gen Plant'!$E$7:$AD$91,MATCH($C109,'Gross Gen Plant'!$D$7:$D$91,0),MATCH(Calculation!$G109,'Gross Gen Plant'!$E$5:$AD$5,0))</f>
        <v>8251</v>
      </c>
      <c r="CG109" s="118" t="str">
        <f t="shared" si="215"/>
        <v>NA</v>
      </c>
      <c r="CH109" s="118"/>
      <c r="CI109" s="121">
        <v>1999</v>
      </c>
      <c r="CJ109" s="118"/>
      <c r="CK109" s="118"/>
      <c r="CL109" s="118"/>
      <c r="CM109" s="183"/>
      <c r="CN109" s="118">
        <f t="shared" ref="CN109:CN131" si="229">+BT109+BS109</f>
        <v>2033</v>
      </c>
      <c r="CO109" s="118">
        <f t="shared" ref="CO109:CO131" si="230">+CN109/$DM109</f>
        <v>6.0627750741360646</v>
      </c>
      <c r="CP109" s="186">
        <v>0.99502487562189057</v>
      </c>
      <c r="CQ109" s="118">
        <f>+CQ108*CP109+CO109</f>
        <v>164.99491221001517</v>
      </c>
      <c r="CR109" s="119">
        <f t="shared" ref="CR109:CR130" si="231">LN(CQ109/CQ108)</f>
        <v>3.2449796178763021E-2</v>
      </c>
      <c r="CS109" s="119"/>
      <c r="CT109" s="177">
        <f t="shared" ref="CT109:CT131" si="232">+(CQ108-CQ109+CO109)/CQ108</f>
        <v>4.9751243781094683E-3</v>
      </c>
      <c r="CU109" s="177"/>
      <c r="CV109" s="119">
        <f>VLOOKUP($H109,RoR!$E:$F,2,FALSE)</f>
        <v>7.0416666666666669E-2</v>
      </c>
      <c r="CW109" s="177">
        <v>1.4335631817396832E-2</v>
      </c>
      <c r="CX109" s="177">
        <f>+CV109-CW109</f>
        <v>5.6081034849269837E-2</v>
      </c>
      <c r="CY109" s="177"/>
      <c r="CZ109" s="177"/>
      <c r="DA109" s="187">
        <f t="shared" ref="DA109:DA131" si="233">1-DF109*DG109</f>
        <v>0.84737312500000006</v>
      </c>
      <c r="DB109" s="188">
        <f t="shared" ref="DB109:DB131" si="234">2/(DK109*39)</f>
        <v>0.72826581702321336</v>
      </c>
      <c r="DC109" s="188">
        <f t="shared" ref="DC109:DC131" si="235">+(DK109*40-(1+DK109))/(DK109*40)</f>
        <v>0.61997041420118348</v>
      </c>
      <c r="DD109" s="188">
        <f t="shared" ref="DD109:DD131" si="236">+(1-(1/(1+DK109)^40))</f>
        <v>0.93425155319585029</v>
      </c>
      <c r="DE109" s="188">
        <f t="shared" ref="DE109:DE131" si="237">+DD109*DC109*DB109</f>
        <v>0.42181762214141483</v>
      </c>
      <c r="DF109" s="189">
        <f>INDEX('State Tax Lookup'!$D$7:$Z$91,MATCH(Calculation!$C109,'State Tax Lookup'!$B$7:$B$91,0),MATCH($H109,'State Tax Lookup'!$D$6:$Z$6,0))</f>
        <v>0.40700500000000001</v>
      </c>
      <c r="DG109" s="189">
        <v>0.375</v>
      </c>
      <c r="DH109" s="190"/>
      <c r="DI109" s="190"/>
      <c r="DJ109" s="177"/>
      <c r="DK109" s="189">
        <f>VLOOKUP($H109,RoR!$E:$F,2,FALSE)</f>
        <v>7.0416666666666669E-2</v>
      </c>
      <c r="DL109" s="191">
        <f>HLOOKUP($H109,'GDP-PI'!$D$8:$CQ$11,3,FALSE)</f>
        <v>1.4335631817396832E-2</v>
      </c>
      <c r="DM109" s="189">
        <f>VLOOKUP(H109,'HW Dx Data'!$E:$F,2,FALSE)</f>
        <v>335.32499146683239</v>
      </c>
      <c r="DN109" s="183" t="e">
        <f>VLOOKUP(H109,'ECI - Input Price'!$G$17:$H$37,2,FALSE)</f>
        <v>#N/A</v>
      </c>
      <c r="DO109" s="177"/>
      <c r="DP109" s="183">
        <f>HLOOKUP(H109,'GDP-PI'!$8:$9,2,FALSE)</f>
        <v>76.346000000000004</v>
      </c>
      <c r="DW109" s="192"/>
      <c r="DX109" s="192"/>
      <c r="DY109" s="192"/>
      <c r="DZ109" s="192"/>
      <c r="EA109" s="192"/>
      <c r="EB109" s="192"/>
      <c r="EC109" s="192"/>
      <c r="ED109" s="192"/>
      <c r="EE109" s="192"/>
    </row>
    <row r="110" spans="1:136" s="167" customFormat="1" ht="21" x14ac:dyDescent="0.35">
      <c r="A110" s="167" t="s">
        <v>34</v>
      </c>
      <c r="B110" s="168" t="s">
        <v>35</v>
      </c>
      <c r="C110" s="168">
        <v>4057110</v>
      </c>
      <c r="D110" s="168" t="s">
        <v>333</v>
      </c>
      <c r="E110" s="168" t="s">
        <v>126</v>
      </c>
      <c r="F110" s="168"/>
      <c r="G110" s="168" t="s">
        <v>6</v>
      </c>
      <c r="H110" s="169">
        <v>2000</v>
      </c>
      <c r="I110" s="170"/>
      <c r="J110" s="166"/>
      <c r="K110" s="166"/>
      <c r="L110" s="166"/>
      <c r="M110" s="166"/>
      <c r="N110" s="196"/>
      <c r="O110" s="166"/>
      <c r="P110" s="166"/>
      <c r="Q110" s="166"/>
      <c r="R110" s="166"/>
      <c r="S110" s="166"/>
      <c r="T110" s="166"/>
      <c r="U110" s="166"/>
      <c r="V110" s="166">
        <f t="shared" si="227"/>
        <v>0</v>
      </c>
      <c r="W110" s="170"/>
      <c r="X110" s="174">
        <v>171.12368382001458</v>
      </c>
      <c r="Y110" s="175">
        <v>3.647195390802533E-2</v>
      </c>
      <c r="Z110" s="175"/>
      <c r="AA110" s="175"/>
      <c r="AB110" s="175"/>
      <c r="AC110" s="170">
        <f t="shared" si="85"/>
        <v>0</v>
      </c>
      <c r="AD110" s="175"/>
      <c r="AE110" s="170"/>
      <c r="AF110" s="170"/>
      <c r="AG110" s="174"/>
      <c r="AH110" s="175"/>
      <c r="AI110" s="175"/>
      <c r="AJ110" s="174"/>
      <c r="AK110" s="174"/>
      <c r="AL110" s="120"/>
      <c r="AM110" s="120"/>
      <c r="AN110" s="120"/>
      <c r="AO110" s="120"/>
      <c r="AP110" s="120"/>
      <c r="AQ110" s="175"/>
      <c r="AR110" s="120"/>
      <c r="AS110" s="120"/>
      <c r="AT110" s="120"/>
      <c r="AU110" s="120"/>
      <c r="AV110" s="120"/>
      <c r="AW110" s="120"/>
      <c r="AX110" s="120"/>
      <c r="AY110" s="120"/>
      <c r="AZ110" s="118">
        <f>IFERROR(INDEX('Total Customers'!$F$7:$AB$91,MATCH($C110,'Total Customers'!$D$7:$D$91,0),MATCH($G110,'Total Customers'!$F$5:$AB$5,0)),"NA")</f>
        <v>34005</v>
      </c>
      <c r="BA110" s="119">
        <f t="shared" si="228"/>
        <v>1.79546472757838E-3</v>
      </c>
      <c r="BB110" s="119"/>
      <c r="BC110" s="121"/>
      <c r="BD110" s="119"/>
      <c r="BE110" s="119"/>
      <c r="BF110" s="119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18"/>
      <c r="BR110" s="118"/>
      <c r="BS110" s="118">
        <f>INDEX('Dist. Plant Gas Additions'!$F$7:$AE$91,MATCH($C110,'Dist. Plant Gas Additions'!$D$7:$D$91,0),MATCH(Calculation!$G110,'Dist. Plant Gas Additions'!$F$5:$AE$5,0))</f>
        <v>2234</v>
      </c>
      <c r="BT110" s="118">
        <f>INDEX('Gen. Plant Additions'!$F$7:$AE$91,MATCH($C110,'Gen. Plant Additions'!$D$7:$D$91,0),MATCH(Calculation!$G110,'Gen. Plant Additions'!$F$5:$AE$5,0))</f>
        <v>184</v>
      </c>
      <c r="BU110" s="118"/>
      <c r="BV110" s="118"/>
      <c r="BW110" s="118" t="str">
        <f>INDEX('Dist Plant Depreciation'!$E$7:$AD$94,MATCH($C110,'Dist Plant Depreciation'!$D$7:$D$94,0),MATCH(Calculation!$G110,'Dist Plant Depreciation'!$E$5:$AD$5,0))</f>
        <v>NA</v>
      </c>
      <c r="BX110" s="118" t="str">
        <f>INDEX('Gen. Plant Depreciation'!$E$7:$AD$94,MATCH($C110,'Gen. Plant Depreciation'!$D$7:$D$94,0),MATCH(Calculation!$G110,'Gen. Plant Depreciation'!$E$5:$AD$5,0))</f>
        <v>NA</v>
      </c>
      <c r="BY110" s="183">
        <v>2000</v>
      </c>
      <c r="BZ110" s="118"/>
      <c r="CA110" s="178">
        <v>342.35914635260616</v>
      </c>
      <c r="CB110" s="118"/>
      <c r="CC110" s="118"/>
      <c r="CD110" s="118"/>
      <c r="CE110" s="118">
        <f>INDEX('Gross Dx Plant'!$E$7:$AD$91,MATCH($C110,'Gross Dx Plant'!$D$7:$D$91,0),MATCH(Calculation!$G110,'Gross Dx Plant'!$E$5:$AD$5,0))</f>
        <v>43939</v>
      </c>
      <c r="CF110" s="118">
        <f>INDEX('Gross Gen Plant'!$E$7:$AD$91,MATCH($C110,'Gross Gen Plant'!$D$7:$D$91,0),MATCH(Calculation!$G110,'Gross Gen Plant'!$E$5:$AD$5,0))</f>
        <v>8374</v>
      </c>
      <c r="CG110" s="118" t="str">
        <f t="shared" si="215"/>
        <v>NA</v>
      </c>
      <c r="CH110" s="118"/>
      <c r="CI110" s="121">
        <v>2000</v>
      </c>
      <c r="CJ110" s="118"/>
      <c r="CK110" s="118"/>
      <c r="CL110" s="118"/>
      <c r="CM110" s="183"/>
      <c r="CN110" s="118">
        <f t="shared" si="229"/>
        <v>2418</v>
      </c>
      <c r="CO110" s="118">
        <f t="shared" si="230"/>
        <v>6.9776759825879093</v>
      </c>
      <c r="CP110" s="186">
        <v>0.98989898989898994</v>
      </c>
      <c r="CQ110" s="118">
        <f>+CQ108*CP110+CO109*CP109+CO110</f>
        <v>171.12368382001458</v>
      </c>
      <c r="CR110" s="119">
        <f t="shared" si="231"/>
        <v>3.647195390802533E-2</v>
      </c>
      <c r="CS110" s="119"/>
      <c r="CT110" s="177">
        <f t="shared" si="232"/>
        <v>5.1450336329642091E-3</v>
      </c>
      <c r="CU110" s="177"/>
      <c r="CV110" s="119">
        <f>VLOOKUP($H110,RoR!$E:$F,2,FALSE)</f>
        <v>7.6225000000000001E-2</v>
      </c>
      <c r="CW110" s="177">
        <v>2.2568307442433211E-2</v>
      </c>
      <c r="CX110" s="177">
        <f t="shared" ref="CX110:CX130" si="238">+CV110-CW110</f>
        <v>5.365669255756679E-2</v>
      </c>
      <c r="CY110" s="177"/>
      <c r="CZ110" s="177"/>
      <c r="DA110" s="187">
        <f t="shared" si="233"/>
        <v>0.84737312500000006</v>
      </c>
      <c r="DB110" s="188">
        <f t="shared" si="234"/>
        <v>0.67277207323124022</v>
      </c>
      <c r="DC110" s="188">
        <f t="shared" si="235"/>
        <v>0.6470236142997704</v>
      </c>
      <c r="DD110" s="188">
        <f t="shared" si="236"/>
        <v>0.94704866037543145</v>
      </c>
      <c r="DE110" s="188">
        <f t="shared" si="237"/>
        <v>0.41224973107878493</v>
      </c>
      <c r="DF110" s="189">
        <f>INDEX('State Tax Lookup'!$D$7:$Z$91,MATCH(Calculation!$C110,'State Tax Lookup'!$B$7:$B$91,0),MATCH($H110,'State Tax Lookup'!$D$6:$Z$6,0))</f>
        <v>0.40700500000000001</v>
      </c>
      <c r="DG110" s="189">
        <v>0.375</v>
      </c>
      <c r="DH110" s="190"/>
      <c r="DI110" s="190"/>
      <c r="DJ110" s="177"/>
      <c r="DK110" s="189">
        <f>VLOOKUP($H110,RoR!$E:$F,2,FALSE)</f>
        <v>7.6225000000000001E-2</v>
      </c>
      <c r="DL110" s="191">
        <f>HLOOKUP($H110,'GDP-PI'!$D$8:$CQ$11,3,FALSE)</f>
        <v>2.2568307442433211E-2</v>
      </c>
      <c r="DM110" s="189">
        <f>VLOOKUP(H110,'HW Dx Data'!$E:$F,2,FALSE)</f>
        <v>346.53371782150339</v>
      </c>
      <c r="DN110" s="183" t="e">
        <f>VLOOKUP(H110,'ECI - Input Price'!$G$17:$H$37,2,FALSE)</f>
        <v>#N/A</v>
      </c>
      <c r="DO110" s="177"/>
      <c r="DP110" s="183">
        <f>HLOOKUP(H110,'GDP-PI'!$8:$9,2,FALSE)</f>
        <v>78.069000000000003</v>
      </c>
      <c r="DW110" s="192"/>
      <c r="DX110" s="192"/>
      <c r="DY110" s="192"/>
      <c r="DZ110" s="192"/>
      <c r="EA110" s="192"/>
      <c r="EB110" s="192"/>
      <c r="EC110" s="192"/>
      <c r="ED110" s="192"/>
      <c r="EE110" s="192"/>
    </row>
    <row r="111" spans="1:136" s="167" customFormat="1" ht="21" x14ac:dyDescent="0.35">
      <c r="A111" s="167" t="s">
        <v>34</v>
      </c>
      <c r="B111" s="168" t="s">
        <v>35</v>
      </c>
      <c r="C111" s="168">
        <v>4057110</v>
      </c>
      <c r="D111" s="168" t="s">
        <v>333</v>
      </c>
      <c r="E111" s="168" t="s">
        <v>126</v>
      </c>
      <c r="F111" s="168"/>
      <c r="G111" s="168" t="s">
        <v>7</v>
      </c>
      <c r="H111" s="169">
        <v>2001</v>
      </c>
      <c r="I111" s="170"/>
      <c r="J111" s="166"/>
      <c r="K111" s="166"/>
      <c r="L111" s="166"/>
      <c r="M111" s="166"/>
      <c r="N111" s="196"/>
      <c r="O111" s="166"/>
      <c r="P111" s="166"/>
      <c r="Q111" s="166"/>
      <c r="R111" s="166"/>
      <c r="S111" s="166"/>
      <c r="T111" s="166"/>
      <c r="U111" s="166"/>
      <c r="V111" s="166">
        <f t="shared" si="227"/>
        <v>2226.0917278785323</v>
      </c>
      <c r="W111" s="170"/>
      <c r="X111" s="174">
        <v>176.28634721181072</v>
      </c>
      <c r="Y111" s="175">
        <v>2.9723053503721383E-2</v>
      </c>
      <c r="Z111" s="175"/>
      <c r="AA111" s="175"/>
      <c r="AB111" s="175"/>
      <c r="AC111" s="170">
        <f t="shared" si="85"/>
        <v>2226.0917278785323</v>
      </c>
      <c r="AD111" s="175"/>
      <c r="AE111" s="170"/>
      <c r="AF111" s="170"/>
      <c r="AG111" s="174"/>
      <c r="AH111" s="175"/>
      <c r="AI111" s="175"/>
      <c r="AJ111" s="174"/>
      <c r="AK111" s="174"/>
      <c r="AL111" s="120"/>
      <c r="AM111" s="120"/>
      <c r="AN111" s="120"/>
      <c r="AO111" s="120"/>
      <c r="AP111" s="120"/>
      <c r="AQ111" s="175"/>
      <c r="AR111" s="120"/>
      <c r="AS111" s="120"/>
      <c r="AT111" s="120"/>
      <c r="AU111" s="120"/>
      <c r="AV111" s="120"/>
      <c r="AW111" s="120"/>
      <c r="AX111" s="120"/>
      <c r="AY111" s="120"/>
      <c r="AZ111" s="118">
        <f>IFERROR(INDEX('Total Customers'!$F$7:$AB$91,MATCH($C111,'Total Customers'!$D$7:$D$91,0),MATCH($G111,'Total Customers'!$F$5:$AB$5,0)),"NA")</f>
        <v>33903</v>
      </c>
      <c r="BA111" s="119">
        <f t="shared" si="228"/>
        <v>-3.0040665814786006E-3</v>
      </c>
      <c r="BB111" s="119"/>
      <c r="BC111" s="121"/>
      <c r="BD111" s="119"/>
      <c r="BE111" s="119"/>
      <c r="BF111" s="119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18"/>
      <c r="BR111" s="118"/>
      <c r="BS111" s="118">
        <f>INDEX('Dist. Plant Gas Additions'!$F$7:$AE$91,MATCH($C111,'Dist. Plant Gas Additions'!$D$7:$D$91,0),MATCH(Calculation!$G111,'Dist. Plant Gas Additions'!$F$5:$AE$5,0))</f>
        <v>2035</v>
      </c>
      <c r="BT111" s="118">
        <f>INDEX('Gen. Plant Additions'!$F$7:$AE$91,MATCH($C111,'Gen. Plant Additions'!$D$7:$D$91,0),MATCH(Calculation!$G111,'Gen. Plant Additions'!$F$5:$AE$5,0))</f>
        <v>99</v>
      </c>
      <c r="BU111" s="118"/>
      <c r="BV111" s="118"/>
      <c r="BW111" s="118" t="str">
        <f>INDEX('Dist Plant Depreciation'!$E$7:$AD$94,MATCH($C111,'Dist Plant Depreciation'!$D$7:$D$94,0),MATCH(Calculation!$G111,'Dist Plant Depreciation'!$E$5:$AD$5,0))</f>
        <v>NA</v>
      </c>
      <c r="BX111" s="118" t="str">
        <f>INDEX('Gen. Plant Depreciation'!$E$7:$AD$94,MATCH($C111,'Gen. Plant Depreciation'!$D$7:$D$94,0),MATCH(Calculation!$G111,'Gen. Plant Depreciation'!$E$5:$AD$5,0))</f>
        <v>NA</v>
      </c>
      <c r="BY111" s="183">
        <v>2001</v>
      </c>
      <c r="BZ111" s="118"/>
      <c r="CA111" s="178">
        <v>348.81246318631145</v>
      </c>
      <c r="CB111" s="118"/>
      <c r="CC111" s="118"/>
      <c r="CD111" s="118"/>
      <c r="CE111" s="118">
        <f>INDEX('Gross Dx Plant'!$E$7:$AD$91,MATCH($C111,'Gross Dx Plant'!$D$7:$D$91,0),MATCH(Calculation!$G111,'Gross Dx Plant'!$E$5:$AD$5,0))</f>
        <v>45592</v>
      </c>
      <c r="CF111" s="118">
        <f>INDEX('Gross Gen Plant'!$E$7:$AD$91,MATCH($C111,'Gross Gen Plant'!$D$7:$D$91,0),MATCH(Calculation!$G111,'Gross Gen Plant'!$E$5:$AD$5,0))</f>
        <v>8341</v>
      </c>
      <c r="CG111" s="118" t="str">
        <f t="shared" si="215"/>
        <v>NA</v>
      </c>
      <c r="CH111" s="118"/>
      <c r="CI111" s="121">
        <v>2001</v>
      </c>
      <c r="CJ111" s="118"/>
      <c r="CK111" s="118"/>
      <c r="CL111" s="118"/>
      <c r="CM111" s="183"/>
      <c r="CN111" s="118">
        <f t="shared" si="229"/>
        <v>2134</v>
      </c>
      <c r="CO111" s="118">
        <f t="shared" si="230"/>
        <v>6.0376738368931324</v>
      </c>
      <c r="CP111" s="186">
        <v>0.98461538461538467</v>
      </c>
      <c r="CQ111" s="118">
        <f>+CQ108*CP111+CO109*CP110+CO110*CP108+CO111</f>
        <v>176.28634721181072</v>
      </c>
      <c r="CR111" s="119">
        <f t="shared" si="231"/>
        <v>2.9723053503721383E-2</v>
      </c>
      <c r="CS111" s="119"/>
      <c r="CT111" s="177">
        <f t="shared" si="232"/>
        <v>5.113321695536379E-3</v>
      </c>
      <c r="CU111" s="177">
        <f>+(CT111+CT110+CT109)/3</f>
        <v>5.0778265688700185E-3</v>
      </c>
      <c r="CV111" s="119">
        <f>VLOOKUP($H111,RoR!$E:$F,2,FALSE)</f>
        <v>7.0824999999999999E-2</v>
      </c>
      <c r="CW111" s="177">
        <v>2.2454495382290052E-2</v>
      </c>
      <c r="CX111" s="177">
        <f t="shared" si="238"/>
        <v>4.8370504617709947E-2</v>
      </c>
      <c r="CY111" s="177">
        <f>+$CX$35-CU111</f>
        <v>2.5824115039663607E-2</v>
      </c>
      <c r="CZ111" s="177">
        <f>+((DM109/DM108-1)+(DM110/DM109-1)+(DM111/DM110-1))/3</f>
        <v>2.3947275901631187E-2</v>
      </c>
      <c r="DA111" s="187">
        <f t="shared" si="233"/>
        <v>0.84737312500000006</v>
      </c>
      <c r="DB111" s="188">
        <f t="shared" si="234"/>
        <v>0.72406708481540816</v>
      </c>
      <c r="DC111" s="188">
        <f t="shared" si="235"/>
        <v>0.62201729615248857</v>
      </c>
      <c r="DD111" s="188">
        <f t="shared" si="236"/>
        <v>0.9352469954311422</v>
      </c>
      <c r="DE111" s="188">
        <f t="shared" si="237"/>
        <v>0.42121864641655071</v>
      </c>
      <c r="DF111" s="189">
        <f>INDEX('State Tax Lookup'!$D$7:$Z$91,MATCH(Calculation!$C111,'State Tax Lookup'!$B$7:$B$91,0),MATCH($H111,'State Tax Lookup'!$D$6:$Z$6,0))</f>
        <v>0.40700500000000001</v>
      </c>
      <c r="DG111" s="189">
        <v>0.375</v>
      </c>
      <c r="DH111" s="190">
        <f t="shared" ref="DH111:DH131" si="239">+(DM111*CY111-CZ111)*DA111/(1-DF111)</f>
        <v>13.008671144666939</v>
      </c>
      <c r="DI111" s="190"/>
      <c r="DJ111" s="177"/>
      <c r="DK111" s="189">
        <f>VLOOKUP($H111,RoR!$E:$F,2,FALSE)</f>
        <v>7.0824999999999999E-2</v>
      </c>
      <c r="DL111" s="191">
        <f>HLOOKUP($H111,'GDP-PI'!$D$8:$CQ$11,3,FALSE)</f>
        <v>2.2454495382290052E-2</v>
      </c>
      <c r="DM111" s="189">
        <f>VLOOKUP(H111,'HW Dx Data'!$E:$F,2,FALSE)</f>
        <v>353.44738017483138</v>
      </c>
      <c r="DN111" s="183">
        <f>VLOOKUP(H111,'ECI - Input Price'!$G$17:$H$37,2,FALSE)</f>
        <v>86.2</v>
      </c>
      <c r="DO111" s="177"/>
      <c r="DP111" s="183">
        <f>HLOOKUP(H111,'GDP-PI'!$8:$9,2,FALSE)</f>
        <v>79.822000000000003</v>
      </c>
      <c r="DW111" s="192"/>
      <c r="DX111" s="192"/>
      <c r="DY111" s="192"/>
      <c r="DZ111" s="192"/>
      <c r="EA111" s="192"/>
      <c r="EB111" s="192"/>
      <c r="EC111" s="192"/>
      <c r="ED111" s="192"/>
      <c r="EE111" s="192"/>
    </row>
    <row r="112" spans="1:136" s="167" customFormat="1" ht="21" x14ac:dyDescent="0.35">
      <c r="A112" s="167" t="s">
        <v>34</v>
      </c>
      <c r="B112" s="168" t="s">
        <v>35</v>
      </c>
      <c r="C112" s="168">
        <v>4057110</v>
      </c>
      <c r="D112" s="168" t="s">
        <v>333</v>
      </c>
      <c r="E112" s="168" t="s">
        <v>126</v>
      </c>
      <c r="F112" s="168"/>
      <c r="G112" s="168" t="s">
        <v>8</v>
      </c>
      <c r="H112" s="169">
        <v>2002</v>
      </c>
      <c r="I112" s="170"/>
      <c r="J112" s="166"/>
      <c r="K112" s="166"/>
      <c r="L112" s="166"/>
      <c r="M112" s="166"/>
      <c r="N112" s="196"/>
      <c r="O112" s="166"/>
      <c r="P112" s="166"/>
      <c r="Q112" s="166"/>
      <c r="R112" s="166"/>
      <c r="S112" s="166"/>
      <c r="T112" s="166"/>
      <c r="U112" s="166"/>
      <c r="V112" s="166">
        <f t="shared" si="227"/>
        <v>2322.6668411684518</v>
      </c>
      <c r="W112" s="170"/>
      <c r="X112" s="174">
        <v>181.84779406436795</v>
      </c>
      <c r="Y112" s="175">
        <v>3.1060395090188979E-2</v>
      </c>
      <c r="Z112" s="175"/>
      <c r="AA112" s="175"/>
      <c r="AB112" s="175"/>
      <c r="AC112" s="170">
        <f t="shared" si="85"/>
        <v>2322.6668411684518</v>
      </c>
      <c r="AD112" s="175"/>
      <c r="AE112" s="170"/>
      <c r="AF112" s="170"/>
      <c r="AG112" s="174"/>
      <c r="AH112" s="175"/>
      <c r="AI112" s="175"/>
      <c r="AJ112" s="174"/>
      <c r="AK112" s="174"/>
      <c r="AL112" s="120"/>
      <c r="AM112" s="120"/>
      <c r="AN112" s="120"/>
      <c r="AO112" s="120"/>
      <c r="AP112" s="120"/>
      <c r="AQ112" s="175"/>
      <c r="AR112" s="120"/>
      <c r="AS112" s="120"/>
      <c r="AT112" s="120"/>
      <c r="AU112" s="120"/>
      <c r="AV112" s="120"/>
      <c r="AW112" s="120"/>
      <c r="AX112" s="120"/>
      <c r="AY112" s="120"/>
      <c r="AZ112" s="118">
        <f>IFERROR(INDEX('Total Customers'!$F$7:$AB$91,MATCH($C112,'Total Customers'!$D$7:$D$91,0),MATCH($G112,'Total Customers'!$F$5:$AB$5,0)),"NA")</f>
        <v>34469</v>
      </c>
      <c r="BA112" s="119">
        <f t="shared" si="228"/>
        <v>1.655686332785956E-2</v>
      </c>
      <c r="BB112" s="119"/>
      <c r="BC112" s="121"/>
      <c r="BD112" s="119"/>
      <c r="BE112" s="119"/>
      <c r="BF112" s="119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18"/>
      <c r="BR112" s="118"/>
      <c r="BS112" s="118">
        <f>INDEX('Dist. Plant Gas Additions'!$F$7:$AE$91,MATCH($C112,'Dist. Plant Gas Additions'!$D$7:$D$91,0),MATCH(Calculation!$G112,'Dist. Plant Gas Additions'!$F$5:$AE$5,0))</f>
        <v>1930</v>
      </c>
      <c r="BT112" s="118">
        <f>INDEX('Gen. Plant Additions'!$F$7:$AE$91,MATCH($C112,'Gen. Plant Additions'!$D$7:$D$91,0),MATCH(Calculation!$G112,'Gen. Plant Additions'!$F$5:$AE$5,0))</f>
        <v>442</v>
      </c>
      <c r="BU112" s="118"/>
      <c r="BV112" s="118"/>
      <c r="BW112" s="118" t="str">
        <f>INDEX('Dist Plant Depreciation'!$E$7:$AD$94,MATCH($C112,'Dist Plant Depreciation'!$D$7:$D$94,0),MATCH(Calculation!$G112,'Dist Plant Depreciation'!$E$5:$AD$5,0))</f>
        <v>NA</v>
      </c>
      <c r="BX112" s="118" t="str">
        <f>INDEX('Gen. Plant Depreciation'!$E$7:$AD$94,MATCH($C112,'Gen. Plant Depreciation'!$D$7:$D$94,0),MATCH(Calculation!$G112,'Gen. Plant Depreciation'!$E$5:$AD$5,0))</f>
        <v>NA</v>
      </c>
      <c r="BY112" s="183">
        <v>2002</v>
      </c>
      <c r="BZ112" s="118"/>
      <c r="CA112" s="178">
        <v>356.65642736178768</v>
      </c>
      <c r="CB112" s="118"/>
      <c r="CC112" s="118"/>
      <c r="CD112" s="118"/>
      <c r="CE112" s="118">
        <f>INDEX('Gross Dx Plant'!$E$7:$AD$91,MATCH($C112,'Gross Dx Plant'!$D$7:$D$91,0),MATCH(Calculation!$G112,'Gross Dx Plant'!$E$5:$AD$5,0))</f>
        <v>47020</v>
      </c>
      <c r="CF112" s="118">
        <f>INDEX('Gross Gen Plant'!$E$7:$AD$91,MATCH($C112,'Gross Gen Plant'!$D$7:$D$91,0),MATCH(Calculation!$G112,'Gross Gen Plant'!$E$5:$AD$5,0))</f>
        <v>8710</v>
      </c>
      <c r="CG112" s="118" t="str">
        <f t="shared" si="215"/>
        <v>NA</v>
      </c>
      <c r="CH112" s="118"/>
      <c r="CI112" s="121">
        <v>2002</v>
      </c>
      <c r="CJ112" s="118"/>
      <c r="CK112" s="118"/>
      <c r="CL112" s="118"/>
      <c r="CM112" s="183"/>
      <c r="CN112" s="118">
        <f t="shared" si="229"/>
        <v>2372</v>
      </c>
      <c r="CO112" s="118">
        <f t="shared" si="230"/>
        <v>6.5643061870285315</v>
      </c>
      <c r="CP112" s="186">
        <v>0.97916666666666663</v>
      </c>
      <c r="CQ112" s="118">
        <f>+CQ108*CP112+CO109*CP111+CO110*CP110+CO111*CP109+CO112</f>
        <v>181.84779406436795</v>
      </c>
      <c r="CR112" s="119">
        <f t="shared" si="231"/>
        <v>3.1060395090188979E-2</v>
      </c>
      <c r="CS112" s="119"/>
      <c r="CT112" s="177">
        <f t="shared" si="232"/>
        <v>5.6888088631523795E-3</v>
      </c>
      <c r="CU112" s="177">
        <f t="shared" ref="CU112:CU131" si="240">+(CT112+CT111+CT110)/3</f>
        <v>5.3157213972176562E-3</v>
      </c>
      <c r="CV112" s="119">
        <f>VLOOKUP($H112,RoR!$E:$F,2,FALSE)</f>
        <v>6.4916666666666664E-2</v>
      </c>
      <c r="CW112" s="177">
        <v>1.5246423291824351E-2</v>
      </c>
      <c r="CX112" s="177">
        <f t="shared" si="238"/>
        <v>4.9670243374842313E-2</v>
      </c>
      <c r="CY112" s="177">
        <f t="shared" ref="CY112:CY131" si="241">+$CX$35-CU112</f>
        <v>2.5586220211315968E-2</v>
      </c>
      <c r="CZ112" s="177">
        <f t="shared" ref="CZ112:CZ131" si="242">+((DM110/DM109-1)+(DM111/DM110-1)+(DM112/DM111-1))/3</f>
        <v>2.5243621214759093E-2</v>
      </c>
      <c r="DA112" s="187">
        <f t="shared" si="233"/>
        <v>0.84737312500000006</v>
      </c>
      <c r="DB112" s="188">
        <f t="shared" si="234"/>
        <v>0.78996741384417901</v>
      </c>
      <c r="DC112" s="188">
        <f t="shared" si="235"/>
        <v>0.58989088575096271</v>
      </c>
      <c r="DD112" s="188">
        <f t="shared" si="236"/>
        <v>0.91920675783645744</v>
      </c>
      <c r="DE112" s="188">
        <f t="shared" si="237"/>
        <v>0.42834536472275586</v>
      </c>
      <c r="DF112" s="189">
        <f>INDEX('State Tax Lookup'!$D$7:$Z$91,MATCH(Calculation!$C112,'State Tax Lookup'!$B$7:$B$91,0),MATCH($H112,'State Tax Lookup'!$D$6:$Z$6,0))</f>
        <v>0.40700500000000001</v>
      </c>
      <c r="DG112" s="189">
        <v>0.375</v>
      </c>
      <c r="DH112" s="190">
        <f t="shared" si="239"/>
        <v>13.175534452351732</v>
      </c>
      <c r="DI112" s="190"/>
      <c r="DJ112" s="177"/>
      <c r="DK112" s="189">
        <f>VLOOKUP($H112,RoR!$E:$F,2,FALSE)</f>
        <v>6.4916666666666664E-2</v>
      </c>
      <c r="DL112" s="191">
        <f>HLOOKUP($H112,'GDP-PI'!$D$8:$CQ$11,3,FALSE)</f>
        <v>1.5246423291824351E-2</v>
      </c>
      <c r="DM112" s="189">
        <f>VLOOKUP(H112,'HW Dx Data'!$E:$F,2,FALSE)</f>
        <v>361.34816573413599</v>
      </c>
      <c r="DN112" s="183">
        <f>VLOOKUP(H112,'ECI - Input Price'!$G$17:$H$37,2,FALSE)</f>
        <v>89.275000000000006</v>
      </c>
      <c r="DO112" s="177">
        <f>LN(DN112/DN111)</f>
        <v>3.5051315810864674E-2</v>
      </c>
      <c r="DP112" s="183">
        <f>HLOOKUP(H112,'GDP-PI'!$8:$9,2,FALSE)</f>
        <v>81.039000000000001</v>
      </c>
      <c r="DQ112" s="177">
        <f>LN(DP112/DP111)</f>
        <v>1.513136459537477E-2</v>
      </c>
      <c r="DW112" s="192"/>
      <c r="DX112" s="192"/>
      <c r="DY112" s="192"/>
      <c r="DZ112" s="192"/>
      <c r="EA112" s="192"/>
      <c r="EB112" s="192"/>
      <c r="EC112" s="192"/>
      <c r="ED112" s="192"/>
      <c r="EE112" s="192"/>
    </row>
    <row r="113" spans="1:135" s="167" customFormat="1" ht="21" x14ac:dyDescent="0.35">
      <c r="A113" s="167" t="s">
        <v>34</v>
      </c>
      <c r="B113" s="168" t="s">
        <v>35</v>
      </c>
      <c r="C113" s="168">
        <v>4057110</v>
      </c>
      <c r="D113" s="168" t="s">
        <v>333</v>
      </c>
      <c r="E113" s="168" t="s">
        <v>126</v>
      </c>
      <c r="F113" s="168"/>
      <c r="G113" s="168" t="s">
        <v>9</v>
      </c>
      <c r="H113" s="169">
        <v>2003</v>
      </c>
      <c r="I113" s="170"/>
      <c r="J113" s="166"/>
      <c r="K113" s="166"/>
      <c r="L113" s="172"/>
      <c r="M113" s="172"/>
      <c r="N113" s="196"/>
      <c r="O113" s="172"/>
      <c r="P113" s="166"/>
      <c r="Q113" s="166"/>
      <c r="R113" s="166"/>
      <c r="S113" s="166"/>
      <c r="T113" s="166"/>
      <c r="U113" s="166"/>
      <c r="V113" s="166">
        <f t="shared" si="227"/>
        <v>2432.517143520452</v>
      </c>
      <c r="W113" s="170"/>
      <c r="X113" s="174">
        <v>187.38672749648143</v>
      </c>
      <c r="Y113" s="175">
        <v>3.0004502001386723E-2</v>
      </c>
      <c r="Z113" s="175"/>
      <c r="AA113" s="175"/>
      <c r="AB113" s="175"/>
      <c r="AC113" s="170">
        <f t="shared" si="85"/>
        <v>2432.517143520452</v>
      </c>
      <c r="AD113" s="175"/>
      <c r="AE113" s="170"/>
      <c r="AF113" s="170"/>
      <c r="AG113" s="174"/>
      <c r="AH113" s="175"/>
      <c r="AI113" s="175"/>
      <c r="AJ113" s="174"/>
      <c r="AK113" s="174"/>
      <c r="AL113" s="120"/>
      <c r="AM113" s="120"/>
      <c r="AN113" s="120"/>
      <c r="AO113" s="120"/>
      <c r="AP113" s="120"/>
      <c r="AQ113" s="175"/>
      <c r="AR113" s="120"/>
      <c r="AS113" s="120"/>
      <c r="AT113" s="120"/>
      <c r="AU113" s="120"/>
      <c r="AV113" s="120"/>
      <c r="AW113" s="120"/>
      <c r="AX113" s="120"/>
      <c r="AY113" s="120"/>
      <c r="AZ113" s="118">
        <f>IFERROR(INDEX('Total Customers'!$F$7:$AB$91,MATCH($C113,'Total Customers'!$D$7:$D$91,0),MATCH($G113,'Total Customers'!$F$5:$AB$5,0)),"NA")</f>
        <v>34508</v>
      </c>
      <c r="BA113" s="119">
        <f t="shared" si="228"/>
        <v>1.1308118403494858E-3</v>
      </c>
      <c r="BB113" s="119"/>
      <c r="BC113" s="121"/>
      <c r="BD113" s="119"/>
      <c r="BE113" s="119"/>
      <c r="BF113" s="119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18"/>
      <c r="BR113" s="118"/>
      <c r="BS113" s="118">
        <f>INDEX('Dist. Plant Gas Additions'!$F$7:$AE$91,MATCH($C113,'Dist. Plant Gas Additions'!$D$7:$D$91,0),MATCH(Calculation!$G113,'Dist. Plant Gas Additions'!$F$5:$AE$5,0))</f>
        <v>1597</v>
      </c>
      <c r="BT113" s="118">
        <f>INDEX('Gen. Plant Additions'!$F$7:$AE$91,MATCH($C113,'Gen. Plant Additions'!$D$7:$D$91,0),MATCH(Calculation!$G113,'Gen. Plant Additions'!$F$5:$AE$5,0))</f>
        <v>829</v>
      </c>
      <c r="BU113" s="118"/>
      <c r="BV113" s="118"/>
      <c r="BW113" s="118" t="str">
        <f>INDEX('Dist Plant Depreciation'!$E$7:$AD$94,MATCH($C113,'Dist Plant Depreciation'!$D$7:$D$94,0),MATCH(Calculation!$G113,'Dist Plant Depreciation'!$E$5:$AD$5,0))</f>
        <v>NA</v>
      </c>
      <c r="BX113" s="118" t="str">
        <f>INDEX('Gen. Plant Depreciation'!$E$7:$AD$94,MATCH($C113,'Gen. Plant Depreciation'!$D$7:$D$94,0),MATCH(Calculation!$G113,'Gen. Plant Depreciation'!$E$5:$AD$5,0))</f>
        <v>NA</v>
      </c>
      <c r="BY113" s="183">
        <v>2003</v>
      </c>
      <c r="BZ113" s="118"/>
      <c r="CA113" s="178">
        <v>364.48397346780041</v>
      </c>
      <c r="CB113" s="118"/>
      <c r="CC113" s="118"/>
      <c r="CD113" s="118"/>
      <c r="CE113" s="118">
        <f>INDEX('Gross Dx Plant'!$E$7:$AD$91,MATCH($C113,'Gross Dx Plant'!$D$7:$D$91,0),MATCH(Calculation!$G113,'Gross Dx Plant'!$E$5:$AD$5,0))</f>
        <v>48427</v>
      </c>
      <c r="CF113" s="118">
        <f>INDEX('Gross Gen Plant'!$E$7:$AD$91,MATCH($C113,'Gross Gen Plant'!$D$7:$D$91,0),MATCH(Calculation!$G113,'Gross Gen Plant'!$E$5:$AD$5,0))</f>
        <v>9257</v>
      </c>
      <c r="CG113" s="118" t="str">
        <f t="shared" si="215"/>
        <v>NA</v>
      </c>
      <c r="CH113" s="118"/>
      <c r="CI113" s="121">
        <v>2003</v>
      </c>
      <c r="CJ113" s="118"/>
      <c r="CK113" s="118"/>
      <c r="CL113" s="118"/>
      <c r="CM113" s="183"/>
      <c r="CN113" s="118">
        <f t="shared" si="229"/>
        <v>2426</v>
      </c>
      <c r="CO113" s="118">
        <f t="shared" si="230"/>
        <v>6.5703767756878921</v>
      </c>
      <c r="CP113" s="186">
        <v>0.97354497354497349</v>
      </c>
      <c r="CQ113" s="118">
        <f>+CQ108*CP113+CO109*CP112+CO110*CP111+CO111*CP110+CO112*CP109+CO113</f>
        <v>187.38672749648143</v>
      </c>
      <c r="CR113" s="119">
        <f t="shared" si="231"/>
        <v>3.0004502001386723E-2</v>
      </c>
      <c r="CS113" s="119"/>
      <c r="CT113" s="177">
        <f t="shared" si="232"/>
        <v>5.6720146036487807E-3</v>
      </c>
      <c r="CU113" s="177">
        <f t="shared" si="240"/>
        <v>5.4913817207791794E-3</v>
      </c>
      <c r="CV113" s="119">
        <f>VLOOKUP($H113,RoR!$E:$F,2,FALSE)</f>
        <v>5.6666666666666671E-2</v>
      </c>
      <c r="CW113" s="177">
        <v>1.8855119140166909E-2</v>
      </c>
      <c r="CX113" s="177">
        <f t="shared" si="238"/>
        <v>3.7811547526499761E-2</v>
      </c>
      <c r="CY113" s="177">
        <f t="shared" si="241"/>
        <v>2.5410559887754446E-2</v>
      </c>
      <c r="CZ113" s="177">
        <f t="shared" si="242"/>
        <v>2.1375012817671957E-2</v>
      </c>
      <c r="DA113" s="187">
        <f t="shared" si="233"/>
        <v>0.84737312500000006</v>
      </c>
      <c r="DB113" s="188">
        <f t="shared" si="234"/>
        <v>0.90497737556561086</v>
      </c>
      <c r="DC113" s="188">
        <f t="shared" si="235"/>
        <v>0.5338235294117647</v>
      </c>
      <c r="DD113" s="188">
        <f t="shared" si="236"/>
        <v>0.88972433127405692</v>
      </c>
      <c r="DE113" s="188">
        <f t="shared" si="237"/>
        <v>0.42982423775949252</v>
      </c>
      <c r="DF113" s="189">
        <f>INDEX('State Tax Lookup'!$D$7:$Z$91,MATCH(Calculation!$C113,'State Tax Lookup'!$B$7:$B$91,0),MATCH($H113,'State Tax Lookup'!$D$6:$Z$6,0))</f>
        <v>0.40700500000000001</v>
      </c>
      <c r="DG113" s="189">
        <v>0.375</v>
      </c>
      <c r="DH113" s="190">
        <f t="shared" si="239"/>
        <v>13.376665667219607</v>
      </c>
      <c r="DI113" s="190"/>
      <c r="DJ113" s="177"/>
      <c r="DK113" s="189">
        <f>VLOOKUP($H113,RoR!$E:$F,2,FALSE)</f>
        <v>5.6666666666666671E-2</v>
      </c>
      <c r="DL113" s="191">
        <f>HLOOKUP($H113,'GDP-PI'!$D$8:$CQ$11,3,FALSE)</f>
        <v>1.8855119140166909E-2</v>
      </c>
      <c r="DM113" s="189">
        <f>VLOOKUP(H113,'HW Dx Data'!$E:$F,2,FALSE)</f>
        <v>369.23301095560191</v>
      </c>
      <c r="DN113" s="183">
        <f>VLOOKUP(H113,'ECI - Input Price'!$G$17:$H$37,2,FALSE)</f>
        <v>92.625</v>
      </c>
      <c r="DO113" s="177">
        <f t="shared" ref="DO113" si="243">LN(DN113/DN112)</f>
        <v>3.6837590135738785E-2</v>
      </c>
      <c r="DP113" s="183">
        <f>HLOOKUP(H113,'GDP-PI'!$8:$9,2,FALSE)</f>
        <v>82.566999999999993</v>
      </c>
      <c r="DQ113" s="177">
        <f t="shared" ref="DQ113" si="244">LN(DP113/DP112)</f>
        <v>1.8679564681853753E-2</v>
      </c>
      <c r="DW113" s="192"/>
      <c r="DX113" s="192"/>
      <c r="DY113" s="192"/>
      <c r="DZ113" s="192"/>
      <c r="EA113" s="192"/>
      <c r="EB113" s="192"/>
      <c r="EC113" s="192"/>
      <c r="ED113" s="192"/>
      <c r="EE113" s="192"/>
    </row>
    <row r="114" spans="1:135" s="167" customFormat="1" ht="21" x14ac:dyDescent="0.35">
      <c r="A114" s="167" t="s">
        <v>34</v>
      </c>
      <c r="B114" s="168" t="s">
        <v>35</v>
      </c>
      <c r="C114" s="168">
        <v>4057110</v>
      </c>
      <c r="D114" s="168" t="s">
        <v>333</v>
      </c>
      <c r="E114" s="168" t="s">
        <v>126</v>
      </c>
      <c r="F114" s="168"/>
      <c r="G114" s="168" t="s">
        <v>10</v>
      </c>
      <c r="H114" s="169">
        <v>2004</v>
      </c>
      <c r="I114" s="170"/>
      <c r="J114" s="166">
        <f>IFERROR(INDEX('Labor Expenditures'!$F$7:$X$91,MATCH($C114,'Labor Expenditures'!$D$7:$D$91,0),MATCH($G114,'Labor Expenditures'!$F$5:$X$5,0)),"NA")</f>
        <v>3071.7901839654742</v>
      </c>
      <c r="K114" s="166">
        <f t="shared" ref="K114:K131" si="245">+J114/DN114</f>
        <v>31.939591203176235</v>
      </c>
      <c r="L114" s="172"/>
      <c r="M114" s="172"/>
      <c r="N114" s="196"/>
      <c r="O114" s="172"/>
      <c r="P114" s="166">
        <f>IFERROR(INDEX('Non-Labor Expenditures'!$F$7:$AB$91,MATCH($C114,'Non-Labor Expenditures'!$D$7:$D$91,0),MATCH($G114,'Non-Labor Expenditures'!$F$5:$AB$5,0)),"NA")</f>
        <v>4448.5259176481695</v>
      </c>
      <c r="Q114" s="166">
        <f t="shared" ref="Q114:Q131" si="246">+P114/DP114</f>
        <v>52.472645234001384</v>
      </c>
      <c r="R114" s="166"/>
      <c r="S114" s="166"/>
      <c r="T114" s="166"/>
      <c r="U114" s="166"/>
      <c r="V114" s="166">
        <f t="shared" si="227"/>
        <v>2780.5106230233387</v>
      </c>
      <c r="W114" s="170"/>
      <c r="X114" s="174">
        <v>193.48662445638305</v>
      </c>
      <c r="Y114" s="175">
        <v>3.203384298655218E-2</v>
      </c>
      <c r="Z114" s="175"/>
      <c r="AA114" s="175"/>
      <c r="AB114" s="175"/>
      <c r="AC114" s="170">
        <f t="shared" si="85"/>
        <v>10300.826724636983</v>
      </c>
      <c r="AD114" s="175"/>
      <c r="AE114" s="170"/>
      <c r="AF114" s="170"/>
      <c r="AG114" s="174"/>
      <c r="AH114" s="175"/>
      <c r="AI114" s="175"/>
      <c r="AJ114" s="174"/>
      <c r="AK114" s="174"/>
      <c r="AL114" s="120">
        <f t="shared" ref="AL114:AL131" si="247">+J114/AC114</f>
        <v>0.29820812116162732</v>
      </c>
      <c r="AM114" s="120">
        <f t="shared" ref="AM114:AM131" si="248">+P114/AC114</f>
        <v>0.43186105703617128</v>
      </c>
      <c r="AN114" s="120">
        <f t="shared" ref="AN114:AN131" si="249">+V114/AC114</f>
        <v>0.26993082180220135</v>
      </c>
      <c r="AO114" s="120"/>
      <c r="AP114" s="120"/>
      <c r="AQ114" s="175"/>
      <c r="AR114" s="120"/>
      <c r="AS114" s="120"/>
      <c r="AT114" s="120"/>
      <c r="AU114" s="120"/>
      <c r="AV114" s="120"/>
      <c r="AW114" s="120"/>
      <c r="AX114" s="120"/>
      <c r="AY114" s="120"/>
      <c r="AZ114" s="118">
        <f>IFERROR(INDEX('Total Customers'!$F$7:$AB$91,MATCH($C114,'Total Customers'!$D$7:$D$91,0),MATCH($G114,'Total Customers'!$F$5:$AB$5,0)),"NA")</f>
        <v>35231</v>
      </c>
      <c r="BA114" s="119">
        <f t="shared" si="228"/>
        <v>2.0735195635203884E-2</v>
      </c>
      <c r="BB114" s="119"/>
      <c r="BC114" s="121"/>
      <c r="BD114" s="119"/>
      <c r="BE114" s="119"/>
      <c r="BF114" s="119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18"/>
      <c r="BR114" s="118"/>
      <c r="BS114" s="118">
        <f>INDEX('Dist. Plant Gas Additions'!$F$7:$AE$91,MATCH($C114,'Dist. Plant Gas Additions'!$D$7:$D$91,0),MATCH(Calculation!$G114,'Dist. Plant Gas Additions'!$F$5:$AE$5,0))</f>
        <v>2293</v>
      </c>
      <c r="BT114" s="118">
        <f>INDEX('Gen. Plant Additions'!$F$7:$AE$91,MATCH($C114,'Gen. Plant Additions'!$D$7:$D$91,0),MATCH(Calculation!$G114,'Gen. Plant Additions'!$F$5:$AE$5,0))</f>
        <v>693</v>
      </c>
      <c r="BU114" s="118"/>
      <c r="BV114" s="118"/>
      <c r="BW114" s="118" t="str">
        <f>INDEX('Dist Plant Depreciation'!$E$7:$AD$94,MATCH($C114,'Dist Plant Depreciation'!$D$7:$D$94,0),MATCH(Calculation!$G114,'Dist Plant Depreciation'!$E$5:$AD$5,0))</f>
        <v>NA</v>
      </c>
      <c r="BX114" s="118" t="str">
        <f>INDEX('Gen. Plant Depreciation'!$E$7:$AD$94,MATCH($C114,'Gen. Plant Depreciation'!$D$7:$D$94,0),MATCH(Calculation!$G114,'Gen. Plant Depreciation'!$E$5:$AD$5,0))</f>
        <v>NA</v>
      </c>
      <c r="BY114" s="183">
        <v>2004</v>
      </c>
      <c r="BZ114" s="118"/>
      <c r="CA114" s="178">
        <v>409.97501511476293</v>
      </c>
      <c r="CB114" s="118"/>
      <c r="CC114" s="118"/>
      <c r="CD114" s="118"/>
      <c r="CE114" s="118">
        <f>INDEX('Gross Dx Plant'!$E$7:$AD$91,MATCH($C114,'Gross Dx Plant'!$D$7:$D$91,0),MATCH(Calculation!$G114,'Gross Dx Plant'!$E$5:$AD$5,0))</f>
        <v>50101</v>
      </c>
      <c r="CF114" s="118">
        <f>INDEX('Gross Gen Plant'!$E$7:$AD$91,MATCH($C114,'Gross Gen Plant'!$D$7:$D$91,0),MATCH(Calculation!$G114,'Gross Gen Plant'!$E$5:$AD$5,0))</f>
        <v>9209</v>
      </c>
      <c r="CG114" s="118" t="str">
        <f t="shared" si="215"/>
        <v>NA</v>
      </c>
      <c r="CH114" s="118"/>
      <c r="CI114" s="121">
        <v>2004</v>
      </c>
      <c r="CJ114" s="118"/>
      <c r="CK114" s="118"/>
      <c r="CL114" s="118"/>
      <c r="CM114" s="183"/>
      <c r="CN114" s="118">
        <f t="shared" si="229"/>
        <v>2986</v>
      </c>
      <c r="CO114" s="118">
        <f t="shared" si="230"/>
        <v>7.197137106757693</v>
      </c>
      <c r="CP114" s="186">
        <v>0.967741935483871</v>
      </c>
      <c r="CQ114" s="118">
        <f>+CQ108*CP114+CO109*CP113+CO110*CP112+CO111*CP111+CO112*CP110+CO113*CP109+CO114</f>
        <v>193.48662445638305</v>
      </c>
      <c r="CR114" s="119">
        <f t="shared" si="231"/>
        <v>3.203384298655218E-2</v>
      </c>
      <c r="CS114" s="119"/>
      <c r="CT114" s="177">
        <f t="shared" si="232"/>
        <v>5.8554848655258587E-3</v>
      </c>
      <c r="CU114" s="177">
        <f t="shared" si="240"/>
        <v>5.7387694441090068E-3</v>
      </c>
      <c r="CV114" s="119">
        <f>VLOOKUP($H114,RoR!$E:$F,2,FALSE)</f>
        <v>5.6283333333333331E-2</v>
      </c>
      <c r="CW114" s="177">
        <v>2.6778252812867276E-2</v>
      </c>
      <c r="CX114" s="177">
        <f t="shared" si="238"/>
        <v>2.9505080520466055E-2</v>
      </c>
      <c r="CY114" s="177">
        <f t="shared" si="241"/>
        <v>2.5163172164424617E-2</v>
      </c>
      <c r="CZ114" s="177">
        <f t="shared" si="242"/>
        <v>5.5940039414565046E-2</v>
      </c>
      <c r="DA114" s="187">
        <f t="shared" si="233"/>
        <v>0.84737312500000006</v>
      </c>
      <c r="DB114" s="188">
        <f t="shared" si="234"/>
        <v>0.91114097628755619</v>
      </c>
      <c r="DC114" s="188">
        <f t="shared" si="235"/>
        <v>0.53081877405981637</v>
      </c>
      <c r="DD114" s="188">
        <f t="shared" si="236"/>
        <v>0.88811215519385678</v>
      </c>
      <c r="DE114" s="188">
        <f t="shared" si="237"/>
        <v>0.42953609753547711</v>
      </c>
      <c r="DF114" s="189">
        <f>INDEX('State Tax Lookup'!$D$7:$Z$91,MATCH(Calculation!$C114,'State Tax Lookup'!$B$7:$B$91,0),MATCH($H114,'State Tax Lookup'!$D$6:$Z$6,0))</f>
        <v>0.40700500000000001</v>
      </c>
      <c r="DG114" s="189">
        <v>0.375</v>
      </c>
      <c r="DH114" s="190">
        <f t="shared" si="239"/>
        <v>14.838354136237042</v>
      </c>
      <c r="DI114" s="190"/>
      <c r="DJ114" s="177"/>
      <c r="DK114" s="189">
        <f>VLOOKUP($H114,RoR!$E:$F,2,FALSE)</f>
        <v>5.6283333333333331E-2</v>
      </c>
      <c r="DL114" s="191">
        <f>HLOOKUP($H114,'GDP-PI'!$D$8:$CQ$11,3,FALSE)</f>
        <v>2.6778252812867276E-2</v>
      </c>
      <c r="DM114" s="189">
        <f>VLOOKUP(H114,'HW Dx Data'!$E:$F,2,FALSE)</f>
        <v>414.88719135228365</v>
      </c>
      <c r="DN114" s="183">
        <f>VLOOKUP(H114,'ECI - Input Price'!$G$17:$H$37,2,FALSE)</f>
        <v>96.174999999999997</v>
      </c>
      <c r="DO114" s="177">
        <f t="shared" ref="DO114" si="250">LN(DN114/DN113)</f>
        <v>3.7610365022107912E-2</v>
      </c>
      <c r="DP114" s="183">
        <f>HLOOKUP(H114,'GDP-PI'!$8:$9,2,FALSE)</f>
        <v>84.778000000000006</v>
      </c>
      <c r="DQ114" s="177">
        <f t="shared" ref="DQ114" si="251">LN(DP114/DP113)</f>
        <v>2.6425990216022755E-2</v>
      </c>
      <c r="DW114" s="192"/>
      <c r="DX114" s="192"/>
      <c r="DY114" s="192"/>
      <c r="DZ114" s="192"/>
      <c r="EA114" s="192"/>
      <c r="EB114" s="192"/>
      <c r="EC114" s="192"/>
      <c r="ED114" s="192"/>
      <c r="EE114" s="192"/>
    </row>
    <row r="115" spans="1:135" s="167" customFormat="1" ht="21" x14ac:dyDescent="0.35">
      <c r="A115" s="167" t="s">
        <v>34</v>
      </c>
      <c r="B115" s="168" t="s">
        <v>35</v>
      </c>
      <c r="C115" s="168">
        <v>4057110</v>
      </c>
      <c r="D115" s="168" t="s">
        <v>333</v>
      </c>
      <c r="E115" s="168" t="s">
        <v>126</v>
      </c>
      <c r="F115" s="168"/>
      <c r="G115" s="168" t="s">
        <v>11</v>
      </c>
      <c r="H115" s="169">
        <v>2005</v>
      </c>
      <c r="I115" s="170"/>
      <c r="J115" s="166">
        <f>IFERROR(INDEX('Labor Expenditures'!$F$7:$X$91,MATCH($C115,'Labor Expenditures'!$D$7:$D$91,0),MATCH($G115,'Labor Expenditures'!$F$5:$X$5,0)),"NA")</f>
        <v>3042.3379951114734</v>
      </c>
      <c r="K115" s="166">
        <f t="shared" si="245"/>
        <v>30.684195613832308</v>
      </c>
      <c r="L115" s="172">
        <f t="shared" ref="L115:L131" si="252">LN(K115/K114)</f>
        <v>-4.0098622620952346E-2</v>
      </c>
      <c r="M115" s="172"/>
      <c r="N115" s="196"/>
      <c r="O115" s="172"/>
      <c r="P115" s="166">
        <f>IFERROR(INDEX('Non-Labor Expenditures'!$F$7:$AB$91,MATCH($C115,'Non-Labor Expenditures'!$D$7:$D$91,0),MATCH($G115,'Non-Labor Expenditures'!$F$5:$AB$5,0)),"NA")</f>
        <v>4405.8736472774926</v>
      </c>
      <c r="Q115" s="166">
        <f t="shared" si="246"/>
        <v>50.406416502997388</v>
      </c>
      <c r="R115" s="172">
        <f>LN(Q115/Q114)</f>
        <v>-4.0173512104239417E-2</v>
      </c>
      <c r="S115" s="172"/>
      <c r="T115" s="172"/>
      <c r="U115" s="172"/>
      <c r="V115" s="166">
        <f t="shared" si="227"/>
        <v>3223.7122593404201</v>
      </c>
      <c r="W115" s="170"/>
      <c r="X115" s="174">
        <v>198.57524923006878</v>
      </c>
      <c r="Y115" s="175">
        <v>2.5959731787062068E-2</v>
      </c>
      <c r="Z115" s="175"/>
      <c r="AA115" s="175"/>
      <c r="AB115" s="175"/>
      <c r="AC115" s="170">
        <f t="shared" si="85"/>
        <v>10671.923901729386</v>
      </c>
      <c r="AD115" s="175">
        <f>LN(AC115/AC114)</f>
        <v>3.5392201957870746E-2</v>
      </c>
      <c r="AE115" s="170"/>
      <c r="AF115" s="170"/>
      <c r="AG115" s="121"/>
      <c r="AH115" s="119"/>
      <c r="AI115" s="119"/>
      <c r="AJ115" s="121"/>
      <c r="AK115" s="121"/>
      <c r="AL115" s="120">
        <f t="shared" si="247"/>
        <v>0.2850786815129428</v>
      </c>
      <c r="AM115" s="120">
        <f t="shared" si="248"/>
        <v>0.41284717618381073</v>
      </c>
      <c r="AN115" s="120">
        <f t="shared" si="249"/>
        <v>0.30207414230324653</v>
      </c>
      <c r="AO115" s="120">
        <f t="shared" ref="AO115:AO131" si="253">+(((AL115+AL114)/2)*L115+((AM114+AM115)/2)*R115+((AN114+AN115)/2)*Y115)</f>
        <v>-2.1237399181498817E-2</v>
      </c>
      <c r="AP115" s="173">
        <v>100</v>
      </c>
      <c r="AQ115" s="175"/>
      <c r="AR115" s="120"/>
      <c r="AS115" s="120"/>
      <c r="AT115" s="120"/>
      <c r="AU115" s="120"/>
      <c r="AV115" s="120"/>
      <c r="AW115" s="120"/>
      <c r="AX115" s="120"/>
      <c r="AY115" s="120"/>
      <c r="AZ115" s="118">
        <f>IFERROR(INDEX('Total Customers'!$F$7:$AB$91,MATCH($C115,'Total Customers'!$D$7:$D$91,0),MATCH($G115,'Total Customers'!$F$5:$AB$5,0)),"NA")</f>
        <v>35229</v>
      </c>
      <c r="BA115" s="119">
        <f t="shared" si="228"/>
        <v>-5.6769798482497852E-5</v>
      </c>
      <c r="BB115" s="119"/>
      <c r="BC115" s="121"/>
      <c r="BD115" s="119"/>
      <c r="BE115" s="119"/>
      <c r="BF115" s="119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18"/>
      <c r="BR115" s="118"/>
      <c r="BS115" s="118">
        <f>INDEX('Dist. Plant Gas Additions'!$F$7:$AE$91,MATCH($C115,'Dist. Plant Gas Additions'!$D$7:$D$91,0),MATCH(Calculation!$G115,'Dist. Plant Gas Additions'!$F$5:$AE$5,0))</f>
        <v>2187</v>
      </c>
      <c r="BT115" s="118">
        <f>INDEX('Gen. Plant Additions'!$F$7:$AE$91,MATCH($C115,'Gen. Plant Additions'!$D$7:$D$91,0),MATCH(Calculation!$G115,'Gen. Plant Additions'!$F$5:$AE$5,0))</f>
        <v>749</v>
      </c>
      <c r="BU115" s="118"/>
      <c r="BV115" s="118"/>
      <c r="BW115" s="118" t="str">
        <f>INDEX('Dist Plant Depreciation'!$E$7:$AD$94,MATCH($C115,'Dist Plant Depreciation'!$D$7:$D$94,0),MATCH(Calculation!$G115,'Dist Plant Depreciation'!$E$5:$AD$5,0))</f>
        <v>NA</v>
      </c>
      <c r="BX115" s="118" t="str">
        <f>INDEX('Gen. Plant Depreciation'!$E$7:$AD$94,MATCH($C115,'Gen. Plant Depreciation'!$D$7:$D$94,0),MATCH(Calculation!$G115,'Gen. Plant Depreciation'!$E$5:$AD$5,0))</f>
        <v>NA</v>
      </c>
      <c r="BY115" s="183">
        <v>2005</v>
      </c>
      <c r="BZ115" s="118"/>
      <c r="CA115" s="178">
        <v>465.05637553448639</v>
      </c>
      <c r="CB115" s="118"/>
      <c r="CC115" s="118"/>
      <c r="CD115" s="118"/>
      <c r="CE115" s="118">
        <f>INDEX('Gross Dx Plant'!$E$7:$AD$91,MATCH($C115,'Gross Dx Plant'!$D$7:$D$91,0),MATCH(Calculation!$G115,'Gross Dx Plant'!$E$5:$AD$5,0))</f>
        <v>51779</v>
      </c>
      <c r="CF115" s="118">
        <f>INDEX('Gross Gen Plant'!$E$7:$AD$91,MATCH($C115,'Gross Gen Plant'!$D$7:$D$91,0),MATCH(Calculation!$G115,'Gross Gen Plant'!$E$5:$AD$5,0))</f>
        <v>9813</v>
      </c>
      <c r="CG115" s="118" t="str">
        <f t="shared" si="215"/>
        <v>NA</v>
      </c>
      <c r="CH115" s="118"/>
      <c r="CI115" s="121">
        <v>2005</v>
      </c>
      <c r="CJ115" s="118"/>
      <c r="CK115" s="118"/>
      <c r="CL115" s="118"/>
      <c r="CM115" s="183"/>
      <c r="CN115" s="118">
        <f t="shared" si="229"/>
        <v>2936</v>
      </c>
      <c r="CO115" s="118">
        <f t="shared" si="230"/>
        <v>6.2573909523111828</v>
      </c>
      <c r="CP115" s="186">
        <v>0.96174863387978138</v>
      </c>
      <c r="CQ115" s="118">
        <f>+CQ108*CP115+CO109*CP114+CO110*CP113+CO111*CP112+CO112*CP111+CO113*CP110+CO114*CP109+CO115</f>
        <v>198.57524923006878</v>
      </c>
      <c r="CR115" s="119">
        <f t="shared" si="231"/>
        <v>2.5959731787062068E-2</v>
      </c>
      <c r="CS115" s="119"/>
      <c r="CT115" s="177">
        <f t="shared" si="232"/>
        <v>6.0405528387773924E-3</v>
      </c>
      <c r="CU115" s="177">
        <f t="shared" si="240"/>
        <v>5.8560174359840109E-3</v>
      </c>
      <c r="CV115" s="119">
        <f>VLOOKUP($H115,RoR!$E:$F,2,FALSE)</f>
        <v>5.2350000000000001E-2</v>
      </c>
      <c r="CW115" s="177">
        <v>3.1010403642454332E-2</v>
      </c>
      <c r="CX115" s="177">
        <f t="shared" si="238"/>
        <v>2.1339596357545669E-2</v>
      </c>
      <c r="CY115" s="177">
        <f t="shared" si="241"/>
        <v>2.5045924172549614E-2</v>
      </c>
      <c r="CZ115" s="177">
        <f t="shared" si="242"/>
        <v>9.2129610649277341E-2</v>
      </c>
      <c r="DA115" s="187">
        <f t="shared" si="233"/>
        <v>0.84737312500000006</v>
      </c>
      <c r="DB115" s="188">
        <f t="shared" si="234"/>
        <v>0.97959983346802826</v>
      </c>
      <c r="DC115" s="188">
        <f t="shared" si="235"/>
        <v>0.49744508118433622</v>
      </c>
      <c r="DD115" s="188">
        <f t="shared" si="236"/>
        <v>0.87010519444335932</v>
      </c>
      <c r="DE115" s="188">
        <f t="shared" si="237"/>
        <v>0.42399975420741998</v>
      </c>
      <c r="DF115" s="189">
        <f>INDEX('State Tax Lookup'!$D$7:$Z$91,MATCH(Calculation!$C115,'State Tax Lookup'!$B$7:$B$91,0),MATCH($H115,'State Tax Lookup'!$D$6:$Z$6,0))</f>
        <v>0.40700500000000001</v>
      </c>
      <c r="DG115" s="189">
        <v>0.375</v>
      </c>
      <c r="DH115" s="190">
        <f t="shared" si="239"/>
        <v>16.661163366706671</v>
      </c>
      <c r="DI115" s="190"/>
      <c r="DJ115" s="177"/>
      <c r="DK115" s="189">
        <f>VLOOKUP($H115,RoR!$E:$F,2,FALSE)</f>
        <v>5.2350000000000001E-2</v>
      </c>
      <c r="DL115" s="191">
        <f>HLOOKUP($H115,'GDP-PI'!$D$8:$CQ$11,3,FALSE)</f>
        <v>3.1010403642454332E-2</v>
      </c>
      <c r="DM115" s="189">
        <f>VLOOKUP(H115,'HW Dx Data'!$E:$F,2,FALSE)</f>
        <v>469.20514034936258</v>
      </c>
      <c r="DN115" s="183">
        <f>VLOOKUP(H115,'ECI - Input Price'!$G$17:$H$37,2,FALSE)</f>
        <v>99.15</v>
      </c>
      <c r="DO115" s="177">
        <f t="shared" ref="DO115" si="254">LN(DN115/DN114)</f>
        <v>3.046440632744625E-2</v>
      </c>
      <c r="DP115" s="183">
        <f>HLOOKUP(H115,'GDP-PI'!$8:$9,2,FALSE)</f>
        <v>87.406999999999996</v>
      </c>
      <c r="DQ115" s="177">
        <f t="shared" ref="DQ115" si="255">LN(DP115/DP114)</f>
        <v>3.0539295810733648E-2</v>
      </c>
      <c r="DW115" s="192"/>
      <c r="DX115" s="192"/>
      <c r="DY115" s="192"/>
      <c r="DZ115" s="192"/>
      <c r="EA115" s="192"/>
      <c r="EB115" s="192"/>
      <c r="EC115" s="192"/>
      <c r="ED115" s="192"/>
      <c r="EE115" s="192"/>
    </row>
    <row r="116" spans="1:135" s="167" customFormat="1" ht="21" x14ac:dyDescent="0.35">
      <c r="A116" s="167" t="s">
        <v>34</v>
      </c>
      <c r="B116" s="168" t="s">
        <v>35</v>
      </c>
      <c r="C116" s="168">
        <v>4057110</v>
      </c>
      <c r="D116" s="168" t="s">
        <v>333</v>
      </c>
      <c r="E116" s="168" t="s">
        <v>126</v>
      </c>
      <c r="F116" s="168"/>
      <c r="G116" s="168" t="s">
        <v>12</v>
      </c>
      <c r="H116" s="169">
        <v>2006</v>
      </c>
      <c r="I116" s="170"/>
      <c r="J116" s="166">
        <f>IFERROR(INDEX('Labor Expenditures'!$F$7:$X$91,MATCH($C116,'Labor Expenditures'!$D$7:$D$91,0),MATCH($G116,'Labor Expenditures'!$F$5:$X$5,0)),"NA")</f>
        <v>3041.058535493924</v>
      </c>
      <c r="K116" s="166">
        <f t="shared" si="245"/>
        <v>29.799691675589653</v>
      </c>
      <c r="L116" s="172">
        <f t="shared" si="252"/>
        <v>-2.9249674184219022E-2</v>
      </c>
      <c r="M116" s="172">
        <f t="shared" ref="M116:M131" si="256">+L116*AR116</f>
        <v>-3.9252869025890504E-5</v>
      </c>
      <c r="N116" s="196"/>
      <c r="O116" s="172"/>
      <c r="P116" s="166">
        <f>IFERROR(INDEX('Non-Labor Expenditures'!$F$7:$AB$91,MATCH($C116,'Non-Labor Expenditures'!$D$7:$D$91,0),MATCH($G116,'Non-Labor Expenditures'!$F$5:$AB$5,0)),"NA")</f>
        <v>4404.0207507811865</v>
      </c>
      <c r="Q116" s="166">
        <f t="shared" si="246"/>
        <v>48.893362688247294</v>
      </c>
      <c r="R116" s="172">
        <f t="shared" ref="R116:R131" si="257">LN(Q116/Q115)</f>
        <v>-3.0476823619624917E-2</v>
      </c>
      <c r="S116" s="172">
        <f>+R116*AR116</f>
        <v>-4.0899695440427856E-5</v>
      </c>
      <c r="T116" s="172"/>
      <c r="U116" s="172"/>
      <c r="V116" s="166">
        <f t="shared" si="227"/>
        <v>3229.8584657613847</v>
      </c>
      <c r="W116" s="170"/>
      <c r="X116" s="174">
        <v>203.89954531206709</v>
      </c>
      <c r="Y116" s="175">
        <v>2.6459330011102681E-2</v>
      </c>
      <c r="Z116" s="175">
        <f>+Y116*AR116</f>
        <v>3.550824562685154E-5</v>
      </c>
      <c r="AA116" s="175"/>
      <c r="AB116" s="175"/>
      <c r="AC116" s="170">
        <f t="shared" si="85"/>
        <v>10674.937752036494</v>
      </c>
      <c r="AD116" s="175">
        <f t="shared" ref="AD116:AD131" si="258">LN(AC116/AC115)</f>
        <v>2.8236940642764808E-4</v>
      </c>
      <c r="AE116" s="170"/>
      <c r="AF116" s="170"/>
      <c r="AG116" s="121">
        <f t="shared" ref="AG116:AG131" si="259">+(AC116*1000)/AZ116</f>
        <v>302.4661477357123</v>
      </c>
      <c r="AH116" s="119">
        <f>+AZ116/$BB$44</f>
        <v>1.003942293329847E-3</v>
      </c>
      <c r="AI116" s="119">
        <f>+AZ116/$BC$44</f>
        <v>4.2792999519726087E-3</v>
      </c>
      <c r="AJ116" s="176">
        <f>+AH116*AG116</f>
        <v>0.3036585580124353</v>
      </c>
      <c r="AK116" s="176">
        <f>+AI116*AG116</f>
        <v>1.2943433714787735</v>
      </c>
      <c r="AL116" s="120">
        <f t="shared" si="247"/>
        <v>0.28487833897802084</v>
      </c>
      <c r="AM116" s="120">
        <f t="shared" si="248"/>
        <v>0.41255704277441957</v>
      </c>
      <c r="AN116" s="120">
        <f t="shared" si="249"/>
        <v>0.30256461824755965</v>
      </c>
      <c r="AO116" s="120">
        <f t="shared" si="253"/>
        <v>-1.2914209720767652E-2</v>
      </c>
      <c r="AP116" s="173">
        <f>+AP115*EXP(AO116)</f>
        <v>98.71688208764165</v>
      </c>
      <c r="AQ116" s="175">
        <f>LN(AP116/AP115)</f>
        <v>-1.2914209720767574E-2</v>
      </c>
      <c r="AR116" s="177">
        <f>+AC116/$AE$44</f>
        <v>1.3419933767012172E-3</v>
      </c>
      <c r="AS116" s="177">
        <f>+AR116*AQ116</f>
        <v>-1.7330783910600558E-5</v>
      </c>
      <c r="AT116" s="177"/>
      <c r="AU116" s="177"/>
      <c r="AV116" s="177"/>
      <c r="AW116" s="190"/>
      <c r="AX116" s="120"/>
      <c r="AY116" s="120"/>
      <c r="AZ116" s="118">
        <f>IFERROR(INDEX('Total Customers'!$F$7:$AB$91,MATCH($C116,'Total Customers'!$D$7:$D$91,0),MATCH($G116,'Total Customers'!$F$5:$AB$5,0)),"NA")</f>
        <v>35293</v>
      </c>
      <c r="BA116" s="119">
        <f t="shared" si="228"/>
        <v>1.8150369408103453E-3</v>
      </c>
      <c r="BB116" s="119"/>
      <c r="BC116" s="121">
        <v>8247377</v>
      </c>
      <c r="BD116" s="119"/>
      <c r="BE116" s="119"/>
      <c r="BF116" s="119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18"/>
      <c r="BR116" s="118"/>
      <c r="BS116" s="118">
        <f>INDEX('Dist. Plant Gas Additions'!$F$7:$AE$91,MATCH($C116,'Dist. Plant Gas Additions'!$D$7:$D$91,0),MATCH(Calculation!$G116,'Dist. Plant Gas Additions'!$F$5:$AE$5,0))</f>
        <v>2166</v>
      </c>
      <c r="BT116" s="118">
        <f>INDEX('Gen. Plant Additions'!$F$7:$AE$91,MATCH($C116,'Gen. Plant Additions'!$D$7:$D$91,0),MATCH(Calculation!$G116,'Gen. Plant Additions'!$F$5:$AE$5,0))</f>
        <v>860</v>
      </c>
      <c r="BU116" s="118"/>
      <c r="BV116" s="118"/>
      <c r="BW116" s="118" t="str">
        <f>INDEX('Dist Plant Depreciation'!$E$7:$AD$94,MATCH($C116,'Dist Plant Depreciation'!$D$7:$D$94,0),MATCH(Calculation!$G116,'Dist Plant Depreciation'!$E$5:$AD$5,0))</f>
        <v>NA</v>
      </c>
      <c r="BX116" s="118" t="str">
        <f>INDEX('Gen. Plant Depreciation'!$E$7:$AD$94,MATCH($C116,'Gen. Plant Depreciation'!$D$7:$D$94,0),MATCH(Calculation!$G116,'Gen. Plant Depreciation'!$E$5:$AD$5,0))</f>
        <v>NA</v>
      </c>
      <c r="BY116" s="183">
        <v>2006</v>
      </c>
      <c r="BZ116" s="118"/>
      <c r="CA116" s="178">
        <v>449.38250205318639</v>
      </c>
      <c r="CB116" s="118"/>
      <c r="CC116" s="118"/>
      <c r="CD116" s="118"/>
      <c r="CE116" s="118">
        <f>INDEX('Gross Dx Plant'!$E$7:$AD$91,MATCH($C116,'Gross Dx Plant'!$D$7:$D$91,0),MATCH(Calculation!$G116,'Gross Dx Plant'!$E$5:$AD$5,0))</f>
        <v>53091</v>
      </c>
      <c r="CF116" s="118">
        <f>INDEX('Gross Gen Plant'!$E$7:$AD$91,MATCH($C116,'Gross Gen Plant'!$D$7:$D$91,0),MATCH(Calculation!$G116,'Gross Gen Plant'!$E$5:$AD$5,0))</f>
        <v>10340</v>
      </c>
      <c r="CG116" s="118" t="str">
        <f t="shared" si="215"/>
        <v>NA</v>
      </c>
      <c r="CH116" s="119" t="e">
        <f>SUM(#REF!)/15</f>
        <v>#REF!</v>
      </c>
      <c r="CI116" s="121">
        <v>2006</v>
      </c>
      <c r="CJ116" s="118"/>
      <c r="CK116" s="118"/>
      <c r="CL116" s="118"/>
      <c r="CM116" s="183"/>
      <c r="CN116" s="118">
        <f t="shared" si="229"/>
        <v>3026</v>
      </c>
      <c r="CO116" s="118">
        <f t="shared" si="230"/>
        <v>6.5627716907478009</v>
      </c>
      <c r="CP116" s="186">
        <v>0.9555555555555556</v>
      </c>
      <c r="CQ116" s="118">
        <f>+CQ108*CP116+CO109*CP115+CO110*CP114+CO111*CP113+CO112*CP112+CO113*CP111+CO114*CP110+CO115*CP109+CO116</f>
        <v>203.89954531206709</v>
      </c>
      <c r="CR116" s="119">
        <f t="shared" si="231"/>
        <v>2.6459330011102681E-2</v>
      </c>
      <c r="CS116" s="119"/>
      <c r="CT116" s="177">
        <f t="shared" si="232"/>
        <v>6.2368075253658312E-3</v>
      </c>
      <c r="CU116" s="177">
        <f t="shared" si="240"/>
        <v>6.0442817432230277E-3</v>
      </c>
      <c r="CV116" s="119">
        <f>VLOOKUP($H116,RoR!$E:$F,2,FALSE)</f>
        <v>5.5874999999999994E-2</v>
      </c>
      <c r="CW116" s="177">
        <v>3.0512430354548314E-2</v>
      </c>
      <c r="CX116" s="177">
        <f t="shared" si="238"/>
        <v>2.536256964545168E-2</v>
      </c>
      <c r="CY116" s="177">
        <f t="shared" si="241"/>
        <v>2.4857659865310598E-2</v>
      </c>
      <c r="CZ116" s="177">
        <f t="shared" si="242"/>
        <v>7.9087823893859641E-2</v>
      </c>
      <c r="DA116" s="187">
        <f t="shared" si="233"/>
        <v>0.84737312500000006</v>
      </c>
      <c r="DB116" s="188">
        <f t="shared" si="234"/>
        <v>0.91779957551769631</v>
      </c>
      <c r="DC116" s="188">
        <f t="shared" si="235"/>
        <v>0.52757270693512304</v>
      </c>
      <c r="DD116" s="188">
        <f t="shared" si="236"/>
        <v>0.88636824549024895</v>
      </c>
      <c r="DE116" s="188">
        <f t="shared" si="237"/>
        <v>0.42918482841932087</v>
      </c>
      <c r="DF116" s="189">
        <f>INDEX('State Tax Lookup'!$D$7:$Z$91,MATCH(Calculation!$C116,'State Tax Lookup'!$B$7:$B$91,0),MATCH($H116,'State Tax Lookup'!$D$6:$Z$6,0))</f>
        <v>0.40700500000000001</v>
      </c>
      <c r="DG116" s="189">
        <v>0.375</v>
      </c>
      <c r="DH116" s="190">
        <f t="shared" si="239"/>
        <v>16.265161334478694</v>
      </c>
      <c r="DI116" s="190">
        <v>15.793430474135508</v>
      </c>
      <c r="DJ116" s="177"/>
      <c r="DK116" s="189">
        <f>VLOOKUP($H116,RoR!$E:$F,2,FALSE)</f>
        <v>5.5874999999999994E-2</v>
      </c>
      <c r="DL116" s="191">
        <f>HLOOKUP($H116,'GDP-PI'!$D$8:$CQ$11,3,FALSE)</f>
        <v>3.0512430354548314E-2</v>
      </c>
      <c r="DM116" s="189">
        <f>VLOOKUP(H116,'HW Dx Data'!$E:$F,2,FALSE)</f>
        <v>461.08567272971823</v>
      </c>
      <c r="DN116" s="183">
        <f>VLOOKUP(H116,'ECI - Input Price'!$G$17:$H$37,2,FALSE)</f>
        <v>102.05</v>
      </c>
      <c r="DO116" s="177">
        <f t="shared" ref="DO116" si="260">LN(DN116/DN115)</f>
        <v>2.8829034290048662E-2</v>
      </c>
      <c r="DP116" s="183">
        <f>HLOOKUP(H116,'GDP-PI'!$8:$9,2,FALSE)</f>
        <v>90.073999999999998</v>
      </c>
      <c r="DQ116" s="177">
        <f t="shared" ref="DQ116" si="261">LN(DP116/DP115)</f>
        <v>3.005618372545445E-2</v>
      </c>
      <c r="DW116" s="192"/>
      <c r="DX116" s="192"/>
      <c r="DY116" s="192"/>
      <c r="DZ116" s="192"/>
      <c r="EA116" s="192"/>
      <c r="EB116" s="192"/>
      <c r="EC116" s="192"/>
      <c r="ED116" s="192"/>
      <c r="EE116" s="192"/>
    </row>
    <row r="117" spans="1:135" s="167" customFormat="1" ht="21" x14ac:dyDescent="0.35">
      <c r="A117" s="167" t="s">
        <v>34</v>
      </c>
      <c r="B117" s="168" t="s">
        <v>35</v>
      </c>
      <c r="C117" s="168">
        <v>4057110</v>
      </c>
      <c r="D117" s="168" t="s">
        <v>333</v>
      </c>
      <c r="E117" s="168" t="s">
        <v>126</v>
      </c>
      <c r="F117" s="168"/>
      <c r="G117" s="168" t="s">
        <v>13</v>
      </c>
      <c r="H117" s="169">
        <v>2007</v>
      </c>
      <c r="I117" s="170"/>
      <c r="J117" s="166">
        <f>IFERROR(INDEX('Labor Expenditures'!$F$7:$X$91,MATCH($C117,'Labor Expenditures'!$D$7:$D$91,0),MATCH($G117,'Labor Expenditures'!$F$5:$X$5,0)),"NA")</f>
        <v>3097.5659466271604</v>
      </c>
      <c r="K117" s="166">
        <f t="shared" si="245"/>
        <v>29.437547603964457</v>
      </c>
      <c r="L117" s="172">
        <f t="shared" si="252"/>
        <v>-1.2227058105970034E-2</v>
      </c>
      <c r="M117" s="172">
        <f t="shared" si="256"/>
        <v>-1.6216690759920341E-5</v>
      </c>
      <c r="N117" s="196"/>
      <c r="O117" s="172"/>
      <c r="P117" s="166">
        <f>IFERROR(INDEX('Non-Labor Expenditures'!$F$7:$AB$91,MATCH($C117,'Non-Labor Expenditures'!$D$7:$D$91,0),MATCH($G117,'Non-Labor Expenditures'!$F$5:$AB$5,0)),"NA")</f>
        <v>4485.8540362306812</v>
      </c>
      <c r="Q117" s="166">
        <f t="shared" si="246"/>
        <v>48.496767889367135</v>
      </c>
      <c r="R117" s="172">
        <f t="shared" si="257"/>
        <v>-8.144500655227354E-3</v>
      </c>
      <c r="S117" s="172">
        <f t="shared" ref="S117:S131" si="262">+R117*AR117</f>
        <v>-1.0802013646708867E-5</v>
      </c>
      <c r="T117" s="172"/>
      <c r="U117" s="172"/>
      <c r="V117" s="166">
        <f t="shared" si="227"/>
        <v>3560.0597409938218</v>
      </c>
      <c r="W117" s="170"/>
      <c r="X117" s="174">
        <v>209.57660099046075</v>
      </c>
      <c r="Y117" s="175">
        <v>2.7461862096784865E-2</v>
      </c>
      <c r="Z117" s="175">
        <f t="shared" ref="Z117:Z131" si="263">+Y117*AR117</f>
        <v>3.6422541011536858E-5</v>
      </c>
      <c r="AA117" s="175"/>
      <c r="AB117" s="175"/>
      <c r="AC117" s="170">
        <f t="shared" si="85"/>
        <v>11143.479723851664</v>
      </c>
      <c r="AD117" s="175">
        <f t="shared" si="258"/>
        <v>4.295582082008835E-2</v>
      </c>
      <c r="AE117" s="170"/>
      <c r="AF117" s="170"/>
      <c r="AG117" s="121">
        <f t="shared" si="259"/>
        <v>314.18404544523696</v>
      </c>
      <c r="AH117" s="119">
        <f>+AZ117/$BB$45</f>
        <v>1.0013556624008406E-3</v>
      </c>
      <c r="AI117" s="119">
        <f>+AZ117/$BC$45</f>
        <v>4.3318334923715986E-3</v>
      </c>
      <c r="AJ117" s="176">
        <f t="shared" ref="AJ117:AJ131" si="264">+AH117*AG117</f>
        <v>0.31460997294259108</v>
      </c>
      <c r="AK117" s="176">
        <f t="shared" ref="AK117:AK131" si="265">+AI117*AG117</f>
        <v>1.3609929708284778</v>
      </c>
      <c r="AL117" s="120">
        <f t="shared" si="247"/>
        <v>0.27797115653175064</v>
      </c>
      <c r="AM117" s="120">
        <f t="shared" si="248"/>
        <v>0.40255415250849291</v>
      </c>
      <c r="AN117" s="120">
        <f t="shared" si="249"/>
        <v>0.31947469095975639</v>
      </c>
      <c r="AO117" s="120">
        <f t="shared" si="253"/>
        <v>1.7808452888259524E-3</v>
      </c>
      <c r="AP117" s="173">
        <f>+AP116*EXP(AO117)</f>
        <v>98.892838210849121</v>
      </c>
      <c r="AQ117" s="175">
        <f>LN(AP117/AP116)</f>
        <v>1.7808452888258591E-3</v>
      </c>
      <c r="AR117" s="177">
        <f>+AC117/$AE$45</f>
        <v>1.3262953867866475E-3</v>
      </c>
      <c r="AS117" s="177">
        <f>+AR117*AQ117</f>
        <v>2.361926891150472E-6</v>
      </c>
      <c r="AT117" s="177"/>
      <c r="AU117" s="177"/>
      <c r="AV117" s="177"/>
      <c r="AW117" s="190"/>
      <c r="AX117" s="120"/>
      <c r="AY117" s="120"/>
      <c r="AZ117" s="118">
        <f>IFERROR(INDEX('Total Customers'!$F$7:$AB$91,MATCH($C117,'Total Customers'!$D$7:$D$91,0),MATCH($G117,'Total Customers'!$F$5:$AB$5,0)),"NA")</f>
        <v>35468</v>
      </c>
      <c r="BA117" s="119">
        <f t="shared" si="228"/>
        <v>4.9462375258963699E-3</v>
      </c>
      <c r="BB117" s="119"/>
      <c r="BC117" s="121">
        <v>8187757</v>
      </c>
      <c r="BD117" s="119"/>
      <c r="BE117" s="119"/>
      <c r="BF117" s="119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18"/>
      <c r="BR117" s="118"/>
      <c r="BS117" s="118">
        <f>INDEX('Dist. Plant Gas Additions'!$F$7:$AE$91,MATCH($C117,'Dist. Plant Gas Additions'!$D$7:$D$91,0),MATCH(Calculation!$G117,'Dist. Plant Gas Additions'!$F$5:$AE$5,0))</f>
        <v>2552</v>
      </c>
      <c r="BT117" s="118">
        <f>INDEX('Gen. Plant Additions'!$F$7:$AE$91,MATCH($C117,'Gen. Plant Additions'!$D$7:$D$91,0),MATCH(Calculation!$G117,'Gen. Plant Additions'!$F$5:$AE$5,0))</f>
        <v>929</v>
      </c>
      <c r="BU117" s="118"/>
      <c r="BV117" s="118"/>
      <c r="BW117" s="118" t="str">
        <f>INDEX('Dist Plant Depreciation'!$E$7:$AD$94,MATCH($C117,'Dist Plant Depreciation'!$D$7:$D$94,0),MATCH(Calculation!$G117,'Dist Plant Depreciation'!$E$5:$AD$5,0))</f>
        <v>NA</v>
      </c>
      <c r="BX117" s="118" t="str">
        <f>INDEX('Gen. Plant Depreciation'!$E$7:$AD$94,MATCH($C117,'Gen. Plant Depreciation'!$D$7:$D$94,0),MATCH(Calculation!$G117,'Gen. Plant Depreciation'!$E$5:$AD$5,0))</f>
        <v>NA</v>
      </c>
      <c r="BY117" s="183">
        <v>2007</v>
      </c>
      <c r="BZ117" s="118"/>
      <c r="CA117" s="178">
        <v>492.91323186281352</v>
      </c>
      <c r="CB117" s="118"/>
      <c r="CC117" s="118"/>
      <c r="CD117" s="118"/>
      <c r="CE117" s="118">
        <f>INDEX('Gross Dx Plant'!$E$7:$AD$91,MATCH($C117,'Gross Dx Plant'!$D$7:$D$91,0),MATCH(Calculation!$G117,'Gross Dx Plant'!$E$5:$AD$5,0))</f>
        <v>54704</v>
      </c>
      <c r="CF117" s="118">
        <f>INDEX('Gross Gen Plant'!$E$7:$AD$91,MATCH($C117,'Gross Gen Plant'!$D$7:$D$91,0),MATCH(Calculation!$G117,'Gross Gen Plant'!$E$5:$AD$5,0))</f>
        <v>11183</v>
      </c>
      <c r="CG117" s="118" t="str">
        <f t="shared" si="215"/>
        <v>NA</v>
      </c>
      <c r="CH117" s="118"/>
      <c r="CI117" s="121">
        <v>2007</v>
      </c>
      <c r="CJ117" s="118"/>
      <c r="CK117" s="118"/>
      <c r="CL117" s="118"/>
      <c r="CM117" s="183"/>
      <c r="CN117" s="118">
        <f t="shared" si="229"/>
        <v>3481</v>
      </c>
      <c r="CO117" s="118">
        <f t="shared" si="230"/>
        <v>6.989646631926715</v>
      </c>
      <c r="CP117" s="186">
        <v>0.94915254237288138</v>
      </c>
      <c r="CQ117" s="118">
        <f>+CQ108*CP117+CO109*CP116+CO110*CP115+CO111*CP114+CO112*CP113+CO113*CP112+CO114*CP111+CO115*CP110+CO116*CP109+CO117</f>
        <v>209.57660099046075</v>
      </c>
      <c r="CR117" s="119">
        <f t="shared" si="231"/>
        <v>2.7461862096784865E-2</v>
      </c>
      <c r="CS117" s="119"/>
      <c r="CT117" s="177">
        <f t="shared" si="232"/>
        <v>6.4374393357481251E-3</v>
      </c>
      <c r="CU117" s="177">
        <f t="shared" si="240"/>
        <v>6.2382665666304501E-3</v>
      </c>
      <c r="CV117" s="119">
        <f>VLOOKUP($H117,RoR!$E:$F,2,FALSE)</f>
        <v>5.5558333333333321E-2</v>
      </c>
      <c r="CW117" s="177">
        <v>2.691120634145272E-2</v>
      </c>
      <c r="CX117" s="177">
        <f t="shared" si="238"/>
        <v>2.86471269918806E-2</v>
      </c>
      <c r="CY117" s="177">
        <f t="shared" si="241"/>
        <v>2.4663675041903175E-2</v>
      </c>
      <c r="CZ117" s="177">
        <f t="shared" si="242"/>
        <v>6.4575155250632399E-2</v>
      </c>
      <c r="DA117" s="187">
        <f t="shared" si="233"/>
        <v>0.84737312500000006</v>
      </c>
      <c r="DB117" s="188">
        <f t="shared" si="234"/>
        <v>0.92303077153834634</v>
      </c>
      <c r="DC117" s="188">
        <f t="shared" si="235"/>
        <v>0.52502249887505614</v>
      </c>
      <c r="DD117" s="188">
        <f t="shared" si="236"/>
        <v>0.88499666072084604</v>
      </c>
      <c r="DE117" s="188">
        <f t="shared" si="237"/>
        <v>0.42887993290280618</v>
      </c>
      <c r="DF117" s="189">
        <f>INDEX('State Tax Lookup'!$D$7:$Z$91,MATCH(Calculation!$C117,'State Tax Lookup'!$B$7:$B$91,0),MATCH($H117,'State Tax Lookup'!$D$6:$Z$6,0))</f>
        <v>0.40700500000000001</v>
      </c>
      <c r="DG117" s="189">
        <v>0.375</v>
      </c>
      <c r="DH117" s="190">
        <f t="shared" si="239"/>
        <v>17.459870916068844</v>
      </c>
      <c r="DI117" s="190">
        <v>17.206504405859324</v>
      </c>
      <c r="DJ117" s="177"/>
      <c r="DK117" s="189">
        <f>VLOOKUP($H117,RoR!$E:$F,2,FALSE)</f>
        <v>5.5558333333333321E-2</v>
      </c>
      <c r="DL117" s="191">
        <f>HLOOKUP($H117,'GDP-PI'!$D$8:$CQ$11,3,FALSE)</f>
        <v>2.691120634145272E-2</v>
      </c>
      <c r="DM117" s="189">
        <f>VLOOKUP(H117,'HW Dx Data'!$E:$F,2,FALSE)</f>
        <v>498.0223154772637</v>
      </c>
      <c r="DN117" s="183">
        <f>VLOOKUP(H117,'ECI - Input Price'!$G$17:$H$37,2,FALSE)</f>
        <v>105.22500000000001</v>
      </c>
      <c r="DO117" s="177">
        <f t="shared" ref="DO117" si="266">LN(DN117/DN116)</f>
        <v>3.0638025400780679E-2</v>
      </c>
      <c r="DP117" s="183">
        <f>HLOOKUP(H117,'GDP-PI'!$8:$9,2,FALSE)</f>
        <v>92.498000000000005</v>
      </c>
      <c r="DQ117" s="177">
        <f t="shared" ref="DQ117" si="267">LN(DP117/DP116)</f>
        <v>2.6555467950038037E-2</v>
      </c>
      <c r="DW117" s="192"/>
      <c r="DX117" s="192"/>
      <c r="DY117" s="192"/>
      <c r="DZ117" s="192"/>
      <c r="EA117" s="192"/>
      <c r="EB117" s="192"/>
      <c r="EC117" s="192"/>
      <c r="ED117" s="192"/>
      <c r="EE117" s="192"/>
    </row>
    <row r="118" spans="1:135" s="167" customFormat="1" ht="21" x14ac:dyDescent="0.35">
      <c r="A118" s="167" t="s">
        <v>34</v>
      </c>
      <c r="B118" s="168" t="s">
        <v>35</v>
      </c>
      <c r="C118" s="168">
        <v>4057110</v>
      </c>
      <c r="D118" s="168" t="s">
        <v>333</v>
      </c>
      <c r="E118" s="168" t="s">
        <v>126</v>
      </c>
      <c r="F118" s="168"/>
      <c r="G118" s="168" t="s">
        <v>14</v>
      </c>
      <c r="H118" s="169">
        <v>2008</v>
      </c>
      <c r="I118" s="170"/>
      <c r="J118" s="166">
        <f>IFERROR(INDEX('Labor Expenditures'!$F$7:$X$91,MATCH($C118,'Labor Expenditures'!$D$7:$D$91,0),MATCH($G118,'Labor Expenditures'!$F$5:$X$5,0)),"NA")</f>
        <v>3246.3019385040448</v>
      </c>
      <c r="K118" s="166">
        <f t="shared" si="245"/>
        <v>29.995859907637282</v>
      </c>
      <c r="L118" s="172">
        <f t="shared" si="252"/>
        <v>1.8788380164956438E-2</v>
      </c>
      <c r="M118" s="172">
        <f t="shared" si="256"/>
        <v>2.5314547837935856E-5</v>
      </c>
      <c r="N118" s="196"/>
      <c r="O118" s="172"/>
      <c r="P118" s="166">
        <f>IFERROR(INDEX('Non-Labor Expenditures'!$F$7:$AB$91,MATCH($C118,'Non-Labor Expenditures'!$D$7:$D$91,0),MATCH($G118,'Non-Labor Expenditures'!$F$5:$AB$5,0)),"NA")</f>
        <v>4701.2515325197273</v>
      </c>
      <c r="Q118" s="166">
        <f t="shared" si="246"/>
        <v>49.873244637610618</v>
      </c>
      <c r="R118" s="172">
        <f t="shared" si="257"/>
        <v>2.7987525088334079E-2</v>
      </c>
      <c r="S118" s="172">
        <f t="shared" si="262"/>
        <v>3.7709027414482577E-5</v>
      </c>
      <c r="T118" s="172"/>
      <c r="U118" s="172"/>
      <c r="V118" s="166">
        <f t="shared" si="227"/>
        <v>4154.4169213506075</v>
      </c>
      <c r="W118" s="170"/>
      <c r="X118" s="174">
        <v>215.41950311803049</v>
      </c>
      <c r="Y118" s="175">
        <v>2.749799462772334E-2</v>
      </c>
      <c r="Z118" s="175">
        <f t="shared" si="263"/>
        <v>3.7049457927679714E-5</v>
      </c>
      <c r="AA118" s="175"/>
      <c r="AB118" s="175"/>
      <c r="AC118" s="170">
        <f t="shared" si="85"/>
        <v>12101.97039237438</v>
      </c>
      <c r="AD118" s="175">
        <f t="shared" si="258"/>
        <v>8.2513732963495762E-2</v>
      </c>
      <c r="AE118" s="170"/>
      <c r="AF118" s="170"/>
      <c r="AG118" s="121">
        <f t="shared" si="259"/>
        <v>339.6281646893155</v>
      </c>
      <c r="AH118" s="119">
        <f>+AZ118/$BB$46</f>
        <v>1.0006501031869857E-3</v>
      </c>
      <c r="AI118" s="119">
        <f>+AZ118/$BC$46</f>
        <v>4.3222389034979778E-3</v>
      </c>
      <c r="AJ118" s="176">
        <f t="shared" si="264"/>
        <v>0.33984895804157012</v>
      </c>
      <c r="AK118" s="176">
        <f t="shared" si="265"/>
        <v>1.4679540661437775</v>
      </c>
      <c r="AL118" s="120">
        <f t="shared" si="247"/>
        <v>0.26824573464083046</v>
      </c>
      <c r="AM118" s="120">
        <f t="shared" si="248"/>
        <v>0.3884699251521927</v>
      </c>
      <c r="AN118" s="120">
        <f t="shared" si="249"/>
        <v>0.34328434020697685</v>
      </c>
      <c r="AO118" s="120">
        <f t="shared" si="253"/>
        <v>2.5312940550686905E-2</v>
      </c>
      <c r="AP118" s="173">
        <f t="shared" ref="AP118:AP131" si="268">+AP117*EXP(AO118)</f>
        <v>101.42805831558647</v>
      </c>
      <c r="AQ118" s="175">
        <f t="shared" ref="AQ118:AQ131" si="269">LN(AP118/AP117)</f>
        <v>2.5312940550686936E-2</v>
      </c>
      <c r="AR118" s="177">
        <f>+AC118/$AE$46</f>
        <v>1.3473512679476139E-3</v>
      </c>
      <c r="AS118" s="177">
        <f t="shared" ref="AS118:AS131" si="270">+AR118*AQ118</f>
        <v>3.4105422546450615E-5</v>
      </c>
      <c r="AT118" s="177"/>
      <c r="AU118" s="177"/>
      <c r="AV118" s="177"/>
      <c r="AW118" s="190"/>
      <c r="AX118" s="120"/>
      <c r="AY118" s="120"/>
      <c r="AZ118" s="118">
        <f>IFERROR(INDEX('Total Customers'!$F$7:$AB$91,MATCH($C118,'Total Customers'!$D$7:$D$91,0),MATCH($G118,'Total Customers'!$F$5:$AB$5,0)),"NA")</f>
        <v>35633</v>
      </c>
      <c r="BA118" s="119">
        <f t="shared" si="228"/>
        <v>4.6412932644248001E-3</v>
      </c>
      <c r="BB118" s="119"/>
      <c r="BC118" s="121">
        <v>8244107</v>
      </c>
      <c r="BD118" s="119"/>
      <c r="BE118" s="119"/>
      <c r="BF118" s="119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18"/>
      <c r="BR118" s="118"/>
      <c r="BS118" s="118">
        <f>INDEX('Dist. Plant Gas Additions'!$F$7:$AE$91,MATCH($C118,'Dist. Plant Gas Additions'!$D$7:$D$91,0),MATCH(Calculation!$G118,'Dist. Plant Gas Additions'!$F$5:$AE$5,0))</f>
        <v>3233</v>
      </c>
      <c r="BT118" s="118">
        <f>INDEX('Gen. Plant Additions'!$F$7:$AE$91,MATCH($C118,'Gen. Plant Additions'!$D$7:$D$91,0),MATCH(Calculation!$G118,'Gen. Plant Additions'!$F$5:$AE$5,0))</f>
        <v>890</v>
      </c>
      <c r="BU118" s="118"/>
      <c r="BV118" s="118"/>
      <c r="BW118" s="118" t="str">
        <f>INDEX('Dist Plant Depreciation'!$E$7:$AD$94,MATCH($C118,'Dist Plant Depreciation'!$D$7:$D$94,0),MATCH(Calculation!$G118,'Dist Plant Depreciation'!$E$5:$AD$5,0))</f>
        <v>NA</v>
      </c>
      <c r="BX118" s="118" t="str">
        <f>INDEX('Gen. Plant Depreciation'!$E$7:$AD$94,MATCH($C118,'Gen. Plant Depreciation'!$D$7:$D$94,0),MATCH(Calculation!$G118,'Gen. Plant Depreciation'!$E$5:$AD$5,0))</f>
        <v>NA</v>
      </c>
      <c r="BY118" s="183">
        <v>2008</v>
      </c>
      <c r="BZ118" s="118"/>
      <c r="CA118" s="178">
        <v>564.37628257120275</v>
      </c>
      <c r="CB118" s="118"/>
      <c r="CC118" s="118"/>
      <c r="CD118" s="118"/>
      <c r="CE118" s="118">
        <f>INDEX('Gross Dx Plant'!$E$7:$AD$91,MATCH($C118,'Gross Dx Plant'!$D$7:$D$91,0),MATCH(Calculation!$G118,'Gross Dx Plant'!$E$5:$AD$5,0))</f>
        <v>56904</v>
      </c>
      <c r="CF118" s="118">
        <f>INDEX('Gross Gen Plant'!$E$7:$AD$91,MATCH($C118,'Gross Gen Plant'!$D$7:$D$91,0),MATCH(Calculation!$G118,'Gross Gen Plant'!$E$5:$AD$5,0))</f>
        <v>11888</v>
      </c>
      <c r="CG118" s="118" t="str">
        <f t="shared" si="215"/>
        <v>NA</v>
      </c>
      <c r="CH118" s="118"/>
      <c r="CI118" s="121">
        <v>2008</v>
      </c>
      <c r="CJ118" s="118"/>
      <c r="CK118" s="118"/>
      <c r="CL118" s="118"/>
      <c r="CM118" s="183"/>
      <c r="CN118" s="118">
        <f t="shared" si="229"/>
        <v>4123</v>
      </c>
      <c r="CO118" s="118">
        <f t="shared" si="230"/>
        <v>7.2348411842164895</v>
      </c>
      <c r="CP118" s="186">
        <v>0.94252873563218387</v>
      </c>
      <c r="CQ118" s="118">
        <f>+CQ108*CP118+CO109*CP117+CO110*CP116+CO111*CP115+CO112*CP114+CO113*CP113+CO114*CP112+CO115*CP111+CO116*CP110+CO117*CP109+CO118</f>
        <v>215.41950311803049</v>
      </c>
      <c r="CR118" s="119">
        <f t="shared" si="231"/>
        <v>2.749799462772334E-2</v>
      </c>
      <c r="CS118" s="119"/>
      <c r="CT118" s="177">
        <f t="shared" si="232"/>
        <v>6.641672066769049E-3</v>
      </c>
      <c r="CU118" s="177">
        <f t="shared" si="240"/>
        <v>6.4386396426276684E-3</v>
      </c>
      <c r="CV118" s="119">
        <f>VLOOKUP($H118,RoR!$E:$F,2,FALSE)</f>
        <v>5.6316666666666668E-2</v>
      </c>
      <c r="CW118" s="177">
        <v>1.9092304698479889E-2</v>
      </c>
      <c r="CX118" s="177">
        <f t="shared" si="238"/>
        <v>3.7224361968186778E-2</v>
      </c>
      <c r="CY118" s="177">
        <f t="shared" si="241"/>
        <v>2.4463301965905956E-2</v>
      </c>
      <c r="CZ118" s="177">
        <f t="shared" si="242"/>
        <v>6.9030581091053131E-2</v>
      </c>
      <c r="DA118" s="187">
        <f t="shared" si="233"/>
        <v>0.84737312500000006</v>
      </c>
      <c r="DB118" s="188">
        <f t="shared" si="234"/>
        <v>0.91060168006009956</v>
      </c>
      <c r="DC118" s="188">
        <f t="shared" si="235"/>
        <v>0.53108168097070152</v>
      </c>
      <c r="DD118" s="188">
        <f t="shared" si="236"/>
        <v>0.88825329850328805</v>
      </c>
      <c r="DE118" s="188">
        <f t="shared" si="237"/>
        <v>0.4295627335323573</v>
      </c>
      <c r="DF118" s="189">
        <f>INDEX('State Tax Lookup'!$D$7:$Z$91,MATCH(Calculation!$C118,'State Tax Lookup'!$B$7:$B$91,0),MATCH($H118,'State Tax Lookup'!$D$6:$Z$6,0))</f>
        <v>0.40700500000000001</v>
      </c>
      <c r="DG118" s="189">
        <v>0.375</v>
      </c>
      <c r="DH118" s="190">
        <f t="shared" si="239"/>
        <v>19.822904378240697</v>
      </c>
      <c r="DI118" s="190">
        <v>19.545356693985948</v>
      </c>
      <c r="DJ118" s="177"/>
      <c r="DK118" s="189">
        <f>VLOOKUP($H118,RoR!$E:$F,2,FALSE)</f>
        <v>5.6316666666666668E-2</v>
      </c>
      <c r="DL118" s="191">
        <f>HLOOKUP($H118,'GDP-PI'!$D$8:$CQ$11,3,FALSE)</f>
        <v>1.9092304698479889E-2</v>
      </c>
      <c r="DM118" s="189">
        <f>VLOOKUP(H118,'HW Dx Data'!$E:$F,2,FALSE)</f>
        <v>569.88120333515076</v>
      </c>
      <c r="DN118" s="183">
        <f>VLOOKUP(H118,'ECI - Input Price'!$G$17:$H$37,2,FALSE)</f>
        <v>108.22499999999999</v>
      </c>
      <c r="DO118" s="177">
        <f t="shared" ref="DO118" si="271">LN(DN118/DN117)</f>
        <v>2.8111478671409691E-2</v>
      </c>
      <c r="DP118" s="183">
        <f>HLOOKUP(H118,'GDP-PI'!$8:$9,2,FALSE)</f>
        <v>94.263999999999996</v>
      </c>
      <c r="DQ118" s="177">
        <f t="shared" ref="DQ118" si="272">LN(DP118/DP117)</f>
        <v>1.8912333748032254E-2</v>
      </c>
      <c r="DW118" s="192"/>
      <c r="DX118" s="192"/>
      <c r="DY118" s="192"/>
      <c r="DZ118" s="192"/>
      <c r="EA118" s="192"/>
      <c r="EB118" s="192"/>
      <c r="EC118" s="192"/>
      <c r="ED118" s="192"/>
      <c r="EE118" s="192"/>
    </row>
    <row r="119" spans="1:135" s="167" customFormat="1" ht="21" x14ac:dyDescent="0.35">
      <c r="A119" s="167" t="s">
        <v>34</v>
      </c>
      <c r="B119" s="168" t="s">
        <v>35</v>
      </c>
      <c r="C119" s="168">
        <v>4057110</v>
      </c>
      <c r="D119" s="168" t="s">
        <v>333</v>
      </c>
      <c r="E119" s="168" t="s">
        <v>126</v>
      </c>
      <c r="F119" s="168"/>
      <c r="G119" s="168" t="s">
        <v>15</v>
      </c>
      <c r="H119" s="169">
        <v>2009</v>
      </c>
      <c r="I119" s="170"/>
      <c r="J119" s="166">
        <f>IFERROR(INDEX('Labor Expenditures'!$F$7:$X$91,MATCH($C119,'Labor Expenditures'!$D$7:$D$91,0),MATCH($G119,'Labor Expenditures'!$F$5:$X$5,0)),"NA")</f>
        <v>3456.5619686629871</v>
      </c>
      <c r="K119" s="166">
        <f t="shared" si="245"/>
        <v>31.487697277731609</v>
      </c>
      <c r="L119" s="172">
        <f t="shared" si="252"/>
        <v>4.8537537870353996E-2</v>
      </c>
      <c r="M119" s="172">
        <f t="shared" si="256"/>
        <v>6.505333250190134E-5</v>
      </c>
      <c r="N119" s="196"/>
      <c r="O119" s="172"/>
      <c r="P119" s="166">
        <f>IFERROR(INDEX('Non-Labor Expenditures'!$F$7:$AB$91,MATCH($C119,'Non-Labor Expenditures'!$D$7:$D$91,0),MATCH($G119,'Non-Labor Expenditures'!$F$5:$AB$5,0)),"NA")</f>
        <v>5005.7473273464657</v>
      </c>
      <c r="Q119" s="166">
        <f t="shared" si="246"/>
        <v>52.692631789244793</v>
      </c>
      <c r="R119" s="172">
        <f t="shared" si="257"/>
        <v>5.4990952171781224E-2</v>
      </c>
      <c r="S119" s="172">
        <f t="shared" si="262"/>
        <v>7.3702640331330569E-5</v>
      </c>
      <c r="T119" s="172"/>
      <c r="U119" s="172"/>
      <c r="V119" s="166">
        <f t="shared" si="227"/>
        <v>4094.5126787930367</v>
      </c>
      <c r="W119" s="170"/>
      <c r="X119" s="174">
        <v>219.46146582978585</v>
      </c>
      <c r="Y119" s="175">
        <v>1.8589358450650625E-2</v>
      </c>
      <c r="Z119" s="175">
        <f t="shared" si="263"/>
        <v>2.491473134705143E-5</v>
      </c>
      <c r="AA119" s="175"/>
      <c r="AB119" s="175"/>
      <c r="AC119" s="170">
        <f t="shared" si="85"/>
        <v>12556.821974802489</v>
      </c>
      <c r="AD119" s="175">
        <f t="shared" si="258"/>
        <v>3.689581984900956E-2</v>
      </c>
      <c r="AE119" s="170"/>
      <c r="AF119" s="170"/>
      <c r="AG119" s="121">
        <f t="shared" si="259"/>
        <v>349.74297342290311</v>
      </c>
      <c r="AH119" s="119">
        <f>+AZ119/$BB$47</f>
        <v>1.0067775315444963E-3</v>
      </c>
      <c r="AI119" s="119">
        <f>+AZ119/$BC$47</f>
        <v>4.3065622686465762E-3</v>
      </c>
      <c r="AJ119" s="176">
        <f t="shared" si="264"/>
        <v>0.35211336745774274</v>
      </c>
      <c r="AK119" s="176">
        <f t="shared" si="265"/>
        <v>1.5061898930673367</v>
      </c>
      <c r="AL119" s="120">
        <f t="shared" si="247"/>
        <v>0.27527363019075984</v>
      </c>
      <c r="AM119" s="120">
        <f t="shared" si="248"/>
        <v>0.39864763053831564</v>
      </c>
      <c r="AN119" s="120">
        <f t="shared" si="249"/>
        <v>0.32607873927092451</v>
      </c>
      <c r="AO119" s="120">
        <f t="shared" si="253"/>
        <v>4.1054232915188102E-2</v>
      </c>
      <c r="AP119" s="173">
        <f t="shared" si="268"/>
        <v>105.67876722969493</v>
      </c>
      <c r="AQ119" s="175">
        <f t="shared" si="269"/>
        <v>4.1054232915188074E-2</v>
      </c>
      <c r="AR119" s="177">
        <f>+AC119/$AE$47</f>
        <v>1.3402684881887045E-3</v>
      </c>
      <c r="AS119" s="177">
        <f t="shared" si="270"/>
        <v>5.5023694682986067E-5</v>
      </c>
      <c r="AT119" s="177"/>
      <c r="AU119" s="177"/>
      <c r="AV119" s="177"/>
      <c r="AW119" s="190"/>
      <c r="AX119" s="120"/>
      <c r="AY119" s="120"/>
      <c r="AZ119" s="118">
        <f>IFERROR(INDEX('Total Customers'!$F$7:$AB$91,MATCH($C119,'Total Customers'!$D$7:$D$91,0),MATCH($G119,'Total Customers'!$F$5:$AB$5,0)),"NA")</f>
        <v>35903</v>
      </c>
      <c r="BA119" s="119">
        <f t="shared" si="228"/>
        <v>7.5486826802592319E-3</v>
      </c>
      <c r="BB119" s="119"/>
      <c r="BC119" s="121">
        <v>8336812</v>
      </c>
      <c r="BD119" s="119"/>
      <c r="BE119" s="119"/>
      <c r="BF119" s="119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18"/>
      <c r="BR119" s="118"/>
      <c r="BS119" s="118">
        <f>INDEX('Dist. Plant Gas Additions'!$F$7:$AE$91,MATCH($C119,'Dist. Plant Gas Additions'!$D$7:$D$91,0),MATCH(Calculation!$G119,'Dist. Plant Gas Additions'!$F$5:$AE$5,0))</f>
        <v>2270</v>
      </c>
      <c r="BT119" s="118">
        <f>INDEX('Gen. Plant Additions'!$F$7:$AE$91,MATCH($C119,'Gen. Plant Additions'!$D$7:$D$91,0),MATCH(Calculation!$G119,'Gen. Plant Additions'!$F$5:$AE$5,0))</f>
        <v>770</v>
      </c>
      <c r="BU119" s="118"/>
      <c r="BV119" s="118"/>
      <c r="BW119" s="118" t="str">
        <f>INDEX('Dist Plant Depreciation'!$E$7:$AD$94,MATCH($C119,'Dist Plant Depreciation'!$D$7:$D$94,0),MATCH(Calculation!$G119,'Dist Plant Depreciation'!$E$5:$AD$5,0))</f>
        <v>NA</v>
      </c>
      <c r="BX119" s="118" t="str">
        <f>INDEX('Gen. Plant Depreciation'!$E$7:$AD$94,MATCH($C119,'Gen. Plant Depreciation'!$D$7:$D$94,0),MATCH(Calculation!$G119,'Gen. Plant Depreciation'!$E$5:$AD$5,0))</f>
        <v>NA</v>
      </c>
      <c r="BY119" s="183">
        <v>2009</v>
      </c>
      <c r="BZ119" s="118"/>
      <c r="CA119" s="178">
        <v>543.92026153021129</v>
      </c>
      <c r="CB119" s="118"/>
      <c r="CC119" s="118"/>
      <c r="CD119" s="118"/>
      <c r="CE119" s="118">
        <f>INDEX('Gross Dx Plant'!$E$7:$AD$91,MATCH($C119,'Gross Dx Plant'!$D$7:$D$91,0),MATCH(Calculation!$G119,'Gross Dx Plant'!$E$5:$AD$5,0))</f>
        <v>58093</v>
      </c>
      <c r="CF119" s="118">
        <f>INDEX('Gross Gen Plant'!$E$7:$AD$91,MATCH($C119,'Gross Gen Plant'!$D$7:$D$91,0),MATCH(Calculation!$G119,'Gross Gen Plant'!$E$5:$AD$5,0))</f>
        <v>12311</v>
      </c>
      <c r="CG119" s="118" t="str">
        <f t="shared" si="215"/>
        <v>NA</v>
      </c>
      <c r="CH119" s="118"/>
      <c r="CI119" s="121">
        <v>2009</v>
      </c>
      <c r="CJ119" s="118"/>
      <c r="CK119" s="118"/>
      <c r="CL119" s="118"/>
      <c r="CM119" s="183"/>
      <c r="CN119" s="118">
        <f t="shared" si="229"/>
        <v>3040</v>
      </c>
      <c r="CO119" s="118">
        <f t="shared" si="230"/>
        <v>5.517835855554285</v>
      </c>
      <c r="CP119" s="186">
        <v>0.93567251461988299</v>
      </c>
      <c r="CQ119" s="118">
        <f>+CQ108*CP119+CO109*CP118+CO110*CP117+CO111*CP116+CO112*CP115+CO113*CP114+CO114*CP113+CO115*CP112+CO116*CP111+CO117*CP110+CO118*CP109+CO119</f>
        <v>219.46146582978585</v>
      </c>
      <c r="CR119" s="119">
        <f t="shared" si="231"/>
        <v>1.8589358450650625E-2</v>
      </c>
      <c r="CS119" s="119"/>
      <c r="CT119" s="177">
        <f t="shared" si="232"/>
        <v>6.8511584254758919E-3</v>
      </c>
      <c r="CU119" s="177">
        <f t="shared" si="240"/>
        <v>6.6434232759976881E-3</v>
      </c>
      <c r="CV119" s="119">
        <f>VLOOKUP($H119,RoR!$E:$F,2,FALSE)</f>
        <v>5.3133333333333324E-2</v>
      </c>
      <c r="CW119" s="177">
        <v>7.7972502758210105E-3</v>
      </c>
      <c r="CX119" s="177">
        <f t="shared" si="238"/>
        <v>4.5336083057512314E-2</v>
      </c>
      <c r="CY119" s="177">
        <f t="shared" si="241"/>
        <v>2.4258518332535936E-2</v>
      </c>
      <c r="CZ119" s="177">
        <f t="shared" si="242"/>
        <v>6.3720160300892073E-2</v>
      </c>
      <c r="DA119" s="187">
        <f t="shared" si="233"/>
        <v>0.84737312500000006</v>
      </c>
      <c r="DB119" s="188">
        <f t="shared" si="234"/>
        <v>0.96515780330083989</v>
      </c>
      <c r="DC119" s="188">
        <f t="shared" si="235"/>
        <v>0.50448557089084056</v>
      </c>
      <c r="DD119" s="188">
        <f t="shared" si="236"/>
        <v>0.87391435735465484</v>
      </c>
      <c r="DE119" s="188">
        <f t="shared" si="237"/>
        <v>0.42551605393279146</v>
      </c>
      <c r="DF119" s="189">
        <f>INDEX('State Tax Lookup'!$D$7:$Z$91,MATCH(Calculation!$C119,'State Tax Lookup'!$B$7:$B$91,0),MATCH($H119,'State Tax Lookup'!$D$6:$Z$6,0))</f>
        <v>0.40700500000000001</v>
      </c>
      <c r="DG119" s="189">
        <v>0.375</v>
      </c>
      <c r="DH119" s="190">
        <f t="shared" si="239"/>
        <v>19.007158681215657</v>
      </c>
      <c r="DI119" s="190">
        <v>18.672086609611949</v>
      </c>
      <c r="DJ119" s="177"/>
      <c r="DK119" s="189">
        <f>VLOOKUP($H119,RoR!$E:$F,2,FALSE)</f>
        <v>5.3133333333333324E-2</v>
      </c>
      <c r="DL119" s="191">
        <f>HLOOKUP($H119,'GDP-PI'!$D$8:$CQ$11,3,FALSE)</f>
        <v>7.7972502758210105E-3</v>
      </c>
      <c r="DM119" s="189">
        <f>VLOOKUP(H119,'HW Dx Data'!$E:$F,2,FALSE)</f>
        <v>550.94063679692806</v>
      </c>
      <c r="DN119" s="183">
        <f>VLOOKUP(H119,'ECI - Input Price'!$G$17:$H$37,2,FALSE)</f>
        <v>109.77499999999999</v>
      </c>
      <c r="DO119" s="177">
        <f t="shared" ref="DO119" si="273">LN(DN119/DN118)</f>
        <v>1.4220423119736749E-2</v>
      </c>
      <c r="DP119" s="183">
        <f>HLOOKUP(H119,'GDP-PI'!$8:$9,2,FALSE)</f>
        <v>94.998999999999995</v>
      </c>
      <c r="DQ119" s="177">
        <f t="shared" ref="DQ119" si="274">LN(DP119/DP118)</f>
        <v>7.7670088183096342E-3</v>
      </c>
      <c r="DW119" s="192"/>
      <c r="DX119" s="192"/>
      <c r="DY119" s="192"/>
      <c r="DZ119" s="192"/>
      <c r="EA119" s="192"/>
      <c r="EB119" s="192"/>
      <c r="EC119" s="192"/>
      <c r="ED119" s="192"/>
      <c r="EE119" s="192"/>
    </row>
    <row r="120" spans="1:135" s="167" customFormat="1" ht="21" x14ac:dyDescent="0.35">
      <c r="A120" s="167" t="s">
        <v>34</v>
      </c>
      <c r="B120" s="168" t="s">
        <v>35</v>
      </c>
      <c r="C120" s="168">
        <v>4057110</v>
      </c>
      <c r="D120" s="168" t="s">
        <v>333</v>
      </c>
      <c r="E120" s="168" t="s">
        <v>126</v>
      </c>
      <c r="F120" s="168"/>
      <c r="G120" s="168" t="s">
        <v>16</v>
      </c>
      <c r="H120" s="169">
        <v>2010</v>
      </c>
      <c r="I120" s="170"/>
      <c r="J120" s="166">
        <f>IFERROR(INDEX('Labor Expenditures'!$F$7:$X$91,MATCH($C120,'Labor Expenditures'!$D$7:$D$91,0),MATCH($G120,'Labor Expenditures'!$F$5:$X$5,0)),"NA")</f>
        <v>3281.6767716305308</v>
      </c>
      <c r="K120" s="166">
        <f t="shared" si="245"/>
        <v>29.333423657032679</v>
      </c>
      <c r="L120" s="172">
        <f t="shared" si="252"/>
        <v>-7.0869301908071961E-2</v>
      </c>
      <c r="M120" s="172">
        <f t="shared" si="256"/>
        <v>-8.9829361743572065E-5</v>
      </c>
      <c r="N120" s="196"/>
      <c r="O120" s="172"/>
      <c r="P120" s="166">
        <f>IFERROR(INDEX('Non-Labor Expenditures'!$F$7:$AB$91,MATCH($C120,'Non-Labor Expenditures'!$D$7:$D$91,0),MATCH($G120,'Non-Labor Expenditures'!$F$5:$AB$5,0)),"NA")</f>
        <v>4752.4808979943246</v>
      </c>
      <c r="Q120" s="166">
        <f t="shared" si="246"/>
        <v>49.448864289445574</v>
      </c>
      <c r="R120" s="172">
        <f t="shared" si="257"/>
        <v>-6.3536540567984315E-2</v>
      </c>
      <c r="S120" s="172">
        <f t="shared" si="262"/>
        <v>-8.0534825840672362E-5</v>
      </c>
      <c r="T120" s="172"/>
      <c r="U120" s="172"/>
      <c r="V120" s="166">
        <f t="shared" si="227"/>
        <v>4275.0814533651592</v>
      </c>
      <c r="W120" s="170"/>
      <c r="X120" s="174">
        <v>223.41986899992887</v>
      </c>
      <c r="Y120" s="175">
        <v>1.7876159005032269E-2</v>
      </c>
      <c r="Z120" s="175">
        <f t="shared" si="263"/>
        <v>2.2658667584049634E-5</v>
      </c>
      <c r="AA120" s="175"/>
      <c r="AB120" s="175"/>
      <c r="AC120" s="170">
        <f t="shared" si="85"/>
        <v>12309.239122990015</v>
      </c>
      <c r="AD120" s="175">
        <f t="shared" si="258"/>
        <v>-1.9913972921002384E-2</v>
      </c>
      <c r="AE120" s="170"/>
      <c r="AF120" s="170"/>
      <c r="AG120" s="121">
        <f t="shared" si="259"/>
        <v>342.42743825604401</v>
      </c>
      <c r="AH120" s="119">
        <f>+AZ120/$BB$48</f>
        <v>1.0024621396520622E-3</v>
      </c>
      <c r="AI120" s="119">
        <f>+AZ120/$BC$48</f>
        <v>4.277652452132406E-3</v>
      </c>
      <c r="AJ120" s="176">
        <f t="shared" si="264"/>
        <v>0.34327054242972832</v>
      </c>
      <c r="AK120" s="176">
        <f t="shared" si="265"/>
        <v>1.4647855709333848</v>
      </c>
      <c r="AL120" s="120">
        <f t="shared" si="247"/>
        <v>0.26660273139883439</v>
      </c>
      <c r="AM120" s="120">
        <f t="shared" si="248"/>
        <v>0.38609054958710626</v>
      </c>
      <c r="AN120" s="120">
        <f t="shared" si="249"/>
        <v>0.34730671901405935</v>
      </c>
      <c r="AO120" s="120">
        <f t="shared" si="253"/>
        <v>-3.8112201579573332E-2</v>
      </c>
      <c r="AP120" s="173">
        <f t="shared" si="268"/>
        <v>101.72690222998699</v>
      </c>
      <c r="AQ120" s="175">
        <f t="shared" si="269"/>
        <v>-3.8112201579573388E-2</v>
      </c>
      <c r="AR120" s="177">
        <f>+AC120/$AE$48</f>
        <v>1.2675355806396136E-3</v>
      </c>
      <c r="AS120" s="177">
        <f t="shared" si="270"/>
        <v>-4.8308571558618555E-5</v>
      </c>
      <c r="AT120" s="177"/>
      <c r="AU120" s="177"/>
      <c r="AV120" s="177"/>
      <c r="AW120" s="190"/>
      <c r="AX120" s="120"/>
      <c r="AY120" s="120"/>
      <c r="AZ120" s="118">
        <f>IFERROR(INDEX('Total Customers'!$F$7:$AB$91,MATCH($C120,'Total Customers'!$D$7:$D$91,0),MATCH($G120,'Total Customers'!$F$5:$AB$5,0)),"NA")</f>
        <v>35947</v>
      </c>
      <c r="BA120" s="119">
        <f t="shared" si="228"/>
        <v>1.2247739874811858E-3</v>
      </c>
      <c r="BB120" s="119"/>
      <c r="BC120" s="121">
        <v>8403441</v>
      </c>
      <c r="BD120" s="119"/>
      <c r="BE120" s="119"/>
      <c r="BF120" s="119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18"/>
      <c r="BR120" s="118"/>
      <c r="BS120" s="118">
        <f>INDEX('Dist. Plant Gas Additions'!$F$7:$AE$91,MATCH($C120,'Dist. Plant Gas Additions'!$D$7:$D$91,0),MATCH(Calculation!$G120,'Dist. Plant Gas Additions'!$F$5:$AE$5,0))</f>
        <v>2721</v>
      </c>
      <c r="BT120" s="118">
        <f>INDEX('Gen. Plant Additions'!$F$7:$AE$91,MATCH($C120,'Gen. Plant Additions'!$D$7:$D$91,0),MATCH(Calculation!$G120,'Gen. Plant Additions'!$F$5:$AE$5,0))</f>
        <v>416</v>
      </c>
      <c r="BU120" s="118"/>
      <c r="BV120" s="118"/>
      <c r="BW120" s="118" t="str">
        <f>INDEX('Dist Plant Depreciation'!$E$7:$AD$94,MATCH($C120,'Dist Plant Depreciation'!$D$7:$D$94,0),MATCH(Calculation!$G120,'Dist Plant Depreciation'!$E$5:$AD$5,0))</f>
        <v>NA</v>
      </c>
      <c r="BX120" s="118" t="str">
        <f>INDEX('Gen. Plant Depreciation'!$E$7:$AD$94,MATCH($C120,'Gen. Plant Depreciation'!$D$7:$D$94,0),MATCH(Calculation!$G120,'Gen. Plant Depreciation'!$E$5:$AD$5,0))</f>
        <v>NA</v>
      </c>
      <c r="BY120" s="183">
        <v>2010</v>
      </c>
      <c r="BZ120" s="118"/>
      <c r="CA120" s="178">
        <v>562.3890283662447</v>
      </c>
      <c r="CB120" s="118"/>
      <c r="CC120" s="118"/>
      <c r="CD120" s="118"/>
      <c r="CE120" s="118">
        <f>INDEX('Gross Dx Plant'!$E$7:$AD$91,MATCH($C120,'Gross Dx Plant'!$D$7:$D$91,0),MATCH(Calculation!$G120,'Gross Dx Plant'!$E$5:$AD$5,0))</f>
        <v>59756</v>
      </c>
      <c r="CF120" s="118">
        <f>INDEX('Gross Gen Plant'!$E$7:$AD$91,MATCH($C120,'Gross Gen Plant'!$D$7:$D$91,0),MATCH(Calculation!$G120,'Gross Gen Plant'!$E$5:$AD$5,0))</f>
        <v>12012</v>
      </c>
      <c r="CG120" s="118" t="str">
        <f t="shared" si="215"/>
        <v>NA</v>
      </c>
      <c r="CH120" s="118"/>
      <c r="CI120" s="121">
        <v>2010</v>
      </c>
      <c r="CJ120" s="118"/>
      <c r="CK120" s="118"/>
      <c r="CL120" s="118"/>
      <c r="CM120" s="183"/>
      <c r="CN120" s="118">
        <f t="shared" si="229"/>
        <v>3137</v>
      </c>
      <c r="CO120" s="118">
        <f t="shared" si="230"/>
        <v>5.5132827328125114</v>
      </c>
      <c r="CP120" s="186">
        <v>0.9285714285714286</v>
      </c>
      <c r="CQ120" s="118">
        <f>+CQ108*CP120+CO109*CP119+CO110*CP118+CO111*CP117+CO112*CP116+CO113*CP115+CO114*CP114+CO115*CP113+CO116*CP112+CO117*CP111+CO118*CP110+CO119*CP109+CO120</f>
        <v>223.41986899992887</v>
      </c>
      <c r="CR120" s="119">
        <f t="shared" si="231"/>
        <v>1.7876159005032269E-2</v>
      </c>
      <c r="CS120" s="119"/>
      <c r="CT120" s="177">
        <f t="shared" si="232"/>
        <v>7.0849775690255343E-3</v>
      </c>
      <c r="CU120" s="177">
        <f t="shared" si="240"/>
        <v>6.8592693537568245E-3</v>
      </c>
      <c r="CV120" s="119">
        <f>VLOOKUP($H120,RoR!$E:$F,2,FALSE)</f>
        <v>4.9433333333333322E-2</v>
      </c>
      <c r="CW120" s="177">
        <v>1.1684333519300205E-2</v>
      </c>
      <c r="CX120" s="177">
        <f t="shared" si="238"/>
        <v>3.7748999814033117E-2</v>
      </c>
      <c r="CY120" s="177">
        <f t="shared" si="241"/>
        <v>2.4042672254776801E-2</v>
      </c>
      <c r="CZ120" s="177">
        <f t="shared" si="242"/>
        <v>4.7937530248493419E-2</v>
      </c>
      <c r="DA120" s="187">
        <f t="shared" si="233"/>
        <v>0.84737312500000006</v>
      </c>
      <c r="DB120" s="188">
        <f t="shared" si="234"/>
        <v>1.037398205301105</v>
      </c>
      <c r="DC120" s="188">
        <f t="shared" si="235"/>
        <v>0.46926837491571133</v>
      </c>
      <c r="DD120" s="188">
        <f t="shared" si="236"/>
        <v>0.8548537519972772</v>
      </c>
      <c r="DE120" s="188">
        <f t="shared" si="237"/>
        <v>0.41615833911547367</v>
      </c>
      <c r="DF120" s="189">
        <f>INDEX('State Tax Lookup'!$D$7:$Z$91,MATCH(Calculation!$C120,'State Tax Lookup'!$B$7:$B$91,0),MATCH($H120,'State Tax Lookup'!$D$6:$Z$6,0))</f>
        <v>0.40700500000000001</v>
      </c>
      <c r="DG120" s="189">
        <v>0.375</v>
      </c>
      <c r="DH120" s="190">
        <f t="shared" si="239"/>
        <v>19.479872866068021</v>
      </c>
      <c r="DI120" s="190">
        <v>19.151975872417534</v>
      </c>
      <c r="DJ120" s="177"/>
      <c r="DK120" s="189">
        <f>VLOOKUP($H120,RoR!$E:$F,2,FALSE)</f>
        <v>4.9433333333333322E-2</v>
      </c>
      <c r="DL120" s="191">
        <f>HLOOKUP($H120,'GDP-PI'!$D$8:$CQ$11,3,FALSE)</f>
        <v>1.1684333519300205E-2</v>
      </c>
      <c r="DM120" s="189">
        <f>VLOOKUP(H120,'HW Dx Data'!$E:$F,2,FALSE)</f>
        <v>568.98950262971744</v>
      </c>
      <c r="DN120" s="183">
        <f>VLOOKUP(H120,'ECI - Input Price'!$G$17:$H$37,2,FALSE)</f>
        <v>111.875</v>
      </c>
      <c r="DO120" s="177">
        <f t="shared" ref="DO120" si="275">LN(DN120/DN119)</f>
        <v>1.8949360147238387E-2</v>
      </c>
      <c r="DP120" s="183">
        <f>HLOOKUP(H120,'GDP-PI'!$8:$9,2,FALSE)</f>
        <v>96.108999999999995</v>
      </c>
      <c r="DQ120" s="177">
        <f t="shared" ref="DQ120" si="276">LN(DP120/DP119)</f>
        <v>1.1616598807150427E-2</v>
      </c>
      <c r="DW120" s="192"/>
      <c r="DX120" s="192"/>
      <c r="DY120" s="192"/>
      <c r="DZ120" s="192"/>
      <c r="EA120" s="192"/>
      <c r="EB120" s="192"/>
      <c r="EC120" s="192"/>
      <c r="ED120" s="192"/>
      <c r="EE120" s="192"/>
    </row>
    <row r="121" spans="1:135" s="167" customFormat="1" ht="21" x14ac:dyDescent="0.35">
      <c r="A121" s="167" t="s">
        <v>34</v>
      </c>
      <c r="B121" s="168" t="s">
        <v>35</v>
      </c>
      <c r="C121" s="168">
        <v>4057110</v>
      </c>
      <c r="D121" s="168" t="s">
        <v>333</v>
      </c>
      <c r="E121" s="168" t="s">
        <v>126</v>
      </c>
      <c r="F121" s="168"/>
      <c r="G121" s="168" t="s">
        <v>17</v>
      </c>
      <c r="H121" s="169">
        <v>2011</v>
      </c>
      <c r="I121" s="170"/>
      <c r="J121" s="166">
        <f>IFERROR(INDEX('Labor Expenditures'!$F$7:$X$91,MATCH($C121,'Labor Expenditures'!$D$7:$D$91,0),MATCH($G121,'Labor Expenditures'!$F$5:$X$5,0)),"NA")</f>
        <v>3632.8982756353257</v>
      </c>
      <c r="K121" s="166">
        <f t="shared" si="245"/>
        <v>31.783886925943357</v>
      </c>
      <c r="L121" s="172">
        <f t="shared" si="252"/>
        <v>8.0231855905669475E-2</v>
      </c>
      <c r="M121" s="172">
        <f t="shared" si="256"/>
        <v>1.0648445048787925E-4</v>
      </c>
      <c r="N121" s="196"/>
      <c r="O121" s="172"/>
      <c r="P121" s="166">
        <f>IFERROR(INDEX('Non-Labor Expenditures'!$F$7:$AB$91,MATCH($C121,'Non-Labor Expenditures'!$D$7:$D$91,0),MATCH($G121,'Non-Labor Expenditures'!$F$5:$AB$5,0)),"NA")</f>
        <v>5261.1152349215063</v>
      </c>
      <c r="Q121" s="166">
        <f t="shared" si="246"/>
        <v>53.623565261349341</v>
      </c>
      <c r="R121" s="172">
        <f t="shared" si="257"/>
        <v>8.1049530898566133E-2</v>
      </c>
      <c r="S121" s="172">
        <f t="shared" si="262"/>
        <v>1.075696761917275E-4</v>
      </c>
      <c r="T121" s="172"/>
      <c r="U121" s="172"/>
      <c r="V121" s="166">
        <f t="shared" si="227"/>
        <v>4641.9940654665415</v>
      </c>
      <c r="W121" s="170"/>
      <c r="X121" s="174">
        <v>229.51609158146954</v>
      </c>
      <c r="Y121" s="175">
        <v>2.6920321063414507E-2</v>
      </c>
      <c r="Z121" s="175">
        <f t="shared" si="263"/>
        <v>3.572889549962923E-5</v>
      </c>
      <c r="AA121" s="175"/>
      <c r="AB121" s="175"/>
      <c r="AC121" s="170">
        <f t="shared" si="85"/>
        <v>13536.007576023374</v>
      </c>
      <c r="AD121" s="175">
        <f t="shared" si="258"/>
        <v>9.5003233939791626E-2</v>
      </c>
      <c r="AE121" s="170"/>
      <c r="AF121" s="170"/>
      <c r="AG121" s="121">
        <f t="shared" si="259"/>
        <v>373.46892109103226</v>
      </c>
      <c r="AH121" s="119">
        <f>+AZ121/$BB$49</f>
        <v>1.0058310307232631E-3</v>
      </c>
      <c r="AI121" s="119">
        <f>+AZ121/$BC$49</f>
        <v>4.2954115869213464E-3</v>
      </c>
      <c r="AJ121" s="176">
        <f t="shared" si="264"/>
        <v>0.37564662984409802</v>
      </c>
      <c r="AK121" s="176">
        <f t="shared" si="265"/>
        <v>1.604202731009434</v>
      </c>
      <c r="AL121" s="120">
        <f t="shared" si="247"/>
        <v>0.26838772475795286</v>
      </c>
      <c r="AM121" s="120">
        <f t="shared" si="248"/>
        <v>0.38867555336188159</v>
      </c>
      <c r="AN121" s="120">
        <f t="shared" si="249"/>
        <v>0.34293672188016555</v>
      </c>
      <c r="AO121" s="120">
        <f t="shared" si="253"/>
        <v>6.214964071509696E-2</v>
      </c>
      <c r="AP121" s="173">
        <f t="shared" si="268"/>
        <v>108.24979078271542</v>
      </c>
      <c r="AQ121" s="175">
        <f t="shared" si="269"/>
        <v>6.2149640715096981E-2</v>
      </c>
      <c r="AR121" s="177">
        <f>+AC121/$AE$49</f>
        <v>1.3272091152057555E-3</v>
      </c>
      <c r="AS121" s="177">
        <f t="shared" si="270"/>
        <v>8.2485569663839464E-5</v>
      </c>
      <c r="AT121" s="177"/>
      <c r="AU121" s="177"/>
      <c r="AV121" s="177"/>
      <c r="AW121" s="190"/>
      <c r="AX121" s="120"/>
      <c r="AY121" s="120"/>
      <c r="AZ121" s="118">
        <f>IFERROR(INDEX('Total Customers'!$F$7:$AB$91,MATCH($C121,'Total Customers'!$D$7:$D$91,0),MATCH($G121,'Total Customers'!$F$5:$AB$5,0)),"NA")</f>
        <v>36244</v>
      </c>
      <c r="BA121" s="119">
        <f t="shared" si="228"/>
        <v>8.2282189098882175E-3</v>
      </c>
      <c r="BB121" s="119"/>
      <c r="BC121" s="121">
        <v>8437841</v>
      </c>
      <c r="BD121" s="119"/>
      <c r="BE121" s="119"/>
      <c r="BF121" s="119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18"/>
      <c r="BR121" s="118"/>
      <c r="BS121" s="118">
        <f>INDEX('Dist. Plant Gas Additions'!$F$7:$AE$91,MATCH($C121,'Dist. Plant Gas Additions'!$D$7:$D$91,0),MATCH(Calculation!$G121,'Dist. Plant Gas Additions'!$F$5:$AE$5,0))</f>
        <v>3244</v>
      </c>
      <c r="BT121" s="118">
        <f>INDEX('Gen. Plant Additions'!$F$7:$AE$91,MATCH($C121,'Gen. Plant Additions'!$D$7:$D$91,0),MATCH(Calculation!$G121,'Gen. Plant Additions'!$F$5:$AE$5,0))</f>
        <v>1486</v>
      </c>
      <c r="BU121" s="118"/>
      <c r="BV121" s="118"/>
      <c r="BW121" s="118" t="str">
        <f>INDEX('Dist Plant Depreciation'!$E$7:$AD$94,MATCH($C121,'Dist Plant Depreciation'!$D$7:$D$94,0),MATCH(Calculation!$G121,'Dist Plant Depreciation'!$E$5:$AD$5,0))</f>
        <v>NA</v>
      </c>
      <c r="BX121" s="118" t="str">
        <f>INDEX('Gen. Plant Depreciation'!$E$7:$AD$94,MATCH($C121,'Gen. Plant Depreciation'!$D$7:$D$94,0),MATCH(Calculation!$G121,'Gen. Plant Depreciation'!$E$5:$AD$5,0))</f>
        <v>NA</v>
      </c>
      <c r="BY121" s="183">
        <v>2011</v>
      </c>
      <c r="BZ121" s="118"/>
      <c r="CA121" s="178">
        <v>604.63177932520034</v>
      </c>
      <c r="CB121" s="118"/>
      <c r="CC121" s="118"/>
      <c r="CD121" s="118"/>
      <c r="CE121" s="118">
        <f>INDEX('Gross Dx Plant'!$E$7:$AD$91,MATCH($C121,'Gross Dx Plant'!$D$7:$D$91,0),MATCH(Calculation!$G121,'Gross Dx Plant'!$E$5:$AD$5,0))</f>
        <v>62042</v>
      </c>
      <c r="CF121" s="118">
        <f>INDEX('Gross Gen Plant'!$E$7:$AD$91,MATCH($C121,'Gross Gen Plant'!$D$7:$D$91,0),MATCH(Calculation!$G121,'Gross Gen Plant'!$E$5:$AD$5,0))</f>
        <v>13411</v>
      </c>
      <c r="CG121" s="118" t="str">
        <f t="shared" si="215"/>
        <v>NA</v>
      </c>
      <c r="CH121" s="118"/>
      <c r="CI121" s="121">
        <v>2011</v>
      </c>
      <c r="CJ121" s="118"/>
      <c r="CK121" s="118"/>
      <c r="CL121" s="118"/>
      <c r="CM121" s="183"/>
      <c r="CN121" s="118">
        <f t="shared" si="229"/>
        <v>4730</v>
      </c>
      <c r="CO121" s="118">
        <f t="shared" si="230"/>
        <v>7.7336726393369055</v>
      </c>
      <c r="CP121" s="186">
        <v>0.92121212121212126</v>
      </c>
      <c r="CQ121" s="118">
        <f>+CQ108*CP121+CO109*CP120+CO110*CP119+CO111*CP118+CO112*CP117+CO113*CP116+CO114*CP115+CO115*CP114+CO116*CP113+CO117*CP112+CO118*CP111+CO119*CP110+CO120*CP109+CO121</f>
        <v>229.51609158146954</v>
      </c>
      <c r="CR121" s="119">
        <f t="shared" si="231"/>
        <v>2.6920321063414507E-2</v>
      </c>
      <c r="CS121" s="119"/>
      <c r="CT121" s="177">
        <f t="shared" si="232"/>
        <v>7.3290261297071762E-3</v>
      </c>
      <c r="CU121" s="177">
        <f t="shared" si="240"/>
        <v>7.0883873747362011E-3</v>
      </c>
      <c r="CV121" s="119">
        <f>VLOOKUP($H121,RoR!$E:$F,2,FALSE)</f>
        <v>4.6391666666666664E-2</v>
      </c>
      <c r="CW121" s="177">
        <v>2.0840920205183799E-2</v>
      </c>
      <c r="CX121" s="177">
        <f t="shared" si="238"/>
        <v>2.5550746461482865E-2</v>
      </c>
      <c r="CY121" s="177">
        <f t="shared" si="241"/>
        <v>2.3813554233797423E-2</v>
      </c>
      <c r="CZ121" s="177">
        <f t="shared" si="242"/>
        <v>2.4810540821321614E-2</v>
      </c>
      <c r="DA121" s="187">
        <f t="shared" si="233"/>
        <v>0.84737312500000006</v>
      </c>
      <c r="DB121" s="188">
        <f t="shared" si="234"/>
        <v>1.1054151524782025</v>
      </c>
      <c r="DC121" s="188">
        <f t="shared" si="235"/>
        <v>0.43611011316687626</v>
      </c>
      <c r="DD121" s="188">
        <f t="shared" si="236"/>
        <v>0.83698442246886229</v>
      </c>
      <c r="DE121" s="188">
        <f t="shared" si="237"/>
        <v>0.40349573304423936</v>
      </c>
      <c r="DF121" s="189">
        <f>INDEX('State Tax Lookup'!$D$7:$Z$91,MATCH(Calculation!$C121,'State Tax Lookup'!$B$7:$B$91,0),MATCH($H121,'State Tax Lookup'!$D$6:$Z$6,0))</f>
        <v>0.40700500000000001</v>
      </c>
      <c r="DG121" s="189">
        <v>0.375</v>
      </c>
      <c r="DH121" s="190">
        <f t="shared" si="239"/>
        <v>20.776997525981091</v>
      </c>
      <c r="DI121" s="190">
        <v>20.41859083716535</v>
      </c>
      <c r="DJ121" s="177"/>
      <c r="DK121" s="189">
        <f>VLOOKUP($H121,RoR!$E:$F,2,FALSE)</f>
        <v>4.6391666666666664E-2</v>
      </c>
      <c r="DL121" s="191">
        <f>HLOOKUP($H121,'GDP-PI'!$D$8:$CQ$11,3,FALSE)</f>
        <v>2.0840920205183799E-2</v>
      </c>
      <c r="DM121" s="189">
        <f>VLOOKUP(H121,'HW Dx Data'!$E:$F,2,FALSE)</f>
        <v>611.61109612283201</v>
      </c>
      <c r="DN121" s="183">
        <f>VLOOKUP(H121,'ECI - Input Price'!$G$17:$H$37,2,FALSE)</f>
        <v>114.3</v>
      </c>
      <c r="DO121" s="177">
        <f t="shared" ref="DO121" si="277">LN(DN121/DN120)</f>
        <v>2.1444394205745516E-2</v>
      </c>
      <c r="DP121" s="183">
        <f>HLOOKUP(H121,'GDP-PI'!$8:$9,2,FALSE)</f>
        <v>98.111999999999995</v>
      </c>
      <c r="DQ121" s="177">
        <f t="shared" ref="DQ121" si="278">LN(DP121/DP120)</f>
        <v>2.0626719212849295E-2</v>
      </c>
      <c r="DW121" s="192"/>
      <c r="DX121" s="192"/>
      <c r="DY121" s="192"/>
      <c r="DZ121" s="192"/>
      <c r="EA121" s="192"/>
      <c r="EB121" s="192"/>
      <c r="EC121" s="192"/>
      <c r="ED121" s="192"/>
      <c r="EE121" s="192"/>
    </row>
    <row r="122" spans="1:135" s="167" customFormat="1" ht="21" x14ac:dyDescent="0.35">
      <c r="A122" s="167" t="s">
        <v>34</v>
      </c>
      <c r="B122" s="168" t="s">
        <v>35</v>
      </c>
      <c r="C122" s="168">
        <v>4057110</v>
      </c>
      <c r="D122" s="168" t="s">
        <v>333</v>
      </c>
      <c r="E122" s="168" t="s">
        <v>126</v>
      </c>
      <c r="F122" s="168"/>
      <c r="G122" s="168" t="s">
        <v>18</v>
      </c>
      <c r="H122" s="169">
        <v>2012</v>
      </c>
      <c r="I122" s="170"/>
      <c r="J122" s="166">
        <f>IFERROR(INDEX('Labor Expenditures'!$F$7:$X$91,MATCH($C122,'Labor Expenditures'!$D$7:$D$91,0),MATCH($G122,'Labor Expenditures'!$F$5:$X$5,0)),"NA")</f>
        <v>3689.6609006826088</v>
      </c>
      <c r="K122" s="166">
        <f t="shared" si="245"/>
        <v>31.670909018734839</v>
      </c>
      <c r="L122" s="172">
        <f t="shared" si="252"/>
        <v>-3.5608979559849986E-3</v>
      </c>
      <c r="M122" s="172">
        <f t="shared" si="256"/>
        <v>-4.7262109350508119E-6</v>
      </c>
      <c r="N122" s="196"/>
      <c r="O122" s="172"/>
      <c r="P122" s="166">
        <f>IFERROR(INDEX('Non-Labor Expenditures'!$F$7:$AB$91,MATCH($C122,'Non-Labor Expenditures'!$D$7:$D$91,0),MATCH($G122,'Non-Labor Expenditures'!$F$5:$AB$5,0)),"NA")</f>
        <v>5343.3181177859242</v>
      </c>
      <c r="Q122" s="166">
        <f t="shared" si="246"/>
        <v>53.43318117785924</v>
      </c>
      <c r="R122" s="172">
        <f t="shared" si="257"/>
        <v>-3.5566984897373753E-3</v>
      </c>
      <c r="S122" s="172">
        <f t="shared" si="262"/>
        <v>-4.7206371827146821E-6</v>
      </c>
      <c r="T122" s="172"/>
      <c r="U122" s="172"/>
      <c r="V122" s="166">
        <f t="shared" si="227"/>
        <v>5150.6083356457384</v>
      </c>
      <c r="W122" s="170"/>
      <c r="X122" s="174">
        <v>235.58184142389715</v>
      </c>
      <c r="Y122" s="175">
        <v>2.6085232188541398E-2</v>
      </c>
      <c r="Z122" s="175">
        <f t="shared" si="263"/>
        <v>3.4621691252234007E-5</v>
      </c>
      <c r="AA122" s="175"/>
      <c r="AB122" s="175"/>
      <c r="AC122" s="170">
        <f t="shared" si="85"/>
        <v>14183.587354114272</v>
      </c>
      <c r="AD122" s="175">
        <f t="shared" si="258"/>
        <v>4.6732113441077569E-2</v>
      </c>
      <c r="AE122" s="170"/>
      <c r="AF122" s="170"/>
      <c r="AG122" s="121">
        <f t="shared" si="259"/>
        <v>386.83214296935233</v>
      </c>
      <c r="AH122" s="119">
        <f>+AZ122/$BB$50</f>
        <v>1.0126456768013571E-3</v>
      </c>
      <c r="AI122" s="119">
        <f>+AZ122/$BC$50</f>
        <v>4.3212361662929907E-3</v>
      </c>
      <c r="AJ122" s="176">
        <f t="shared" si="264"/>
        <v>0.3917238972257191</v>
      </c>
      <c r="AK122" s="176">
        <f t="shared" si="265"/>
        <v>1.671593046483786</v>
      </c>
      <c r="AL122" s="120">
        <f t="shared" si="247"/>
        <v>0.26013594505852139</v>
      </c>
      <c r="AM122" s="120">
        <f t="shared" si="248"/>
        <v>0.37672543513725204</v>
      </c>
      <c r="AN122" s="120">
        <f t="shared" si="249"/>
        <v>0.36313861980422657</v>
      </c>
      <c r="AO122" s="120">
        <f t="shared" si="253"/>
        <v>6.9069099175317686E-3</v>
      </c>
      <c r="AP122" s="173">
        <f t="shared" si="268"/>
        <v>109.0000503412187</v>
      </c>
      <c r="AQ122" s="175">
        <f t="shared" si="269"/>
        <v>6.9069099175317452E-3</v>
      </c>
      <c r="AR122" s="177">
        <f>+AC122/$AE$50</f>
        <v>1.3272525619857226E-3</v>
      </c>
      <c r="AS122" s="177">
        <f t="shared" si="270"/>
        <v>9.1672138834486045E-6</v>
      </c>
      <c r="AT122" s="177"/>
      <c r="AU122" s="177"/>
      <c r="AV122" s="177"/>
      <c r="AW122" s="190"/>
      <c r="AX122" s="120"/>
      <c r="AY122" s="120"/>
      <c r="AZ122" s="118">
        <f>IFERROR(INDEX('Total Customers'!$F$7:$AB$91,MATCH($C122,'Total Customers'!$D$7:$D$91,0),MATCH($G122,'Total Customers'!$F$5:$AB$5,0)),"NA")</f>
        <v>36666</v>
      </c>
      <c r="BA122" s="119">
        <f t="shared" si="228"/>
        <v>1.1576044781019305E-2</v>
      </c>
      <c r="BB122" s="119"/>
      <c r="BC122" s="121">
        <v>8485072</v>
      </c>
      <c r="BD122" s="119"/>
      <c r="BE122" s="119"/>
      <c r="BF122" s="119"/>
      <c r="BG122" s="173"/>
      <c r="BH122" s="173"/>
      <c r="BI122" s="173"/>
      <c r="BJ122" s="173"/>
      <c r="BK122" s="173"/>
      <c r="BL122" s="173"/>
      <c r="BM122" s="173"/>
      <c r="BN122" s="173"/>
      <c r="BO122" s="173"/>
      <c r="BP122" s="173"/>
      <c r="BQ122" s="118"/>
      <c r="BR122" s="118"/>
      <c r="BS122" s="118">
        <f>INDEX('Dist. Plant Gas Additions'!$F$7:$AE$91,MATCH($C122,'Dist. Plant Gas Additions'!$D$7:$D$91,0),MATCH(Calculation!$G122,'Dist. Plant Gas Additions'!$F$5:$AE$5,0))</f>
        <v>4877</v>
      </c>
      <c r="BT122" s="118">
        <f>INDEX('Gen. Plant Additions'!$F$7:$AE$91,MATCH($C122,'Gen. Plant Additions'!$D$7:$D$91,0),MATCH(Calculation!$G122,'Gen. Plant Additions'!$F$5:$AE$5,0))</f>
        <v>341</v>
      </c>
      <c r="BU122" s="118"/>
      <c r="BV122" s="118"/>
      <c r="BW122" s="118" t="str">
        <f>INDEX('Dist Plant Depreciation'!$E$7:$AD$94,MATCH($C122,'Dist Plant Depreciation'!$D$7:$D$94,0),MATCH(Calculation!$G122,'Dist Plant Depreciation'!$E$5:$AD$5,0))</f>
        <v>NA</v>
      </c>
      <c r="BX122" s="118" t="str">
        <f>INDEX('Gen. Plant Depreciation'!$E$7:$AD$94,MATCH($C122,'Gen. Plant Depreciation'!$D$7:$D$94,0),MATCH(Calculation!$G122,'Gen. Plant Depreciation'!$E$5:$AD$5,0))</f>
        <v>NA</v>
      </c>
      <c r="BY122" s="183">
        <v>2012</v>
      </c>
      <c r="BZ122" s="118"/>
      <c r="CA122" s="178">
        <v>662.81812063483881</v>
      </c>
      <c r="CB122" s="118"/>
      <c r="CC122" s="118"/>
      <c r="CD122" s="118"/>
      <c r="CE122" s="118">
        <f>INDEX('Gross Dx Plant'!$E$7:$AD$91,MATCH($C122,'Gross Dx Plant'!$D$7:$D$91,0),MATCH(Calculation!$G122,'Gross Dx Plant'!$E$5:$AD$5,0))</f>
        <v>66003</v>
      </c>
      <c r="CF122" s="118">
        <f>INDEX('Gross Gen Plant'!$E$7:$AD$91,MATCH($C122,'Gross Gen Plant'!$D$7:$D$91,0),MATCH(Calculation!$G122,'Gross Gen Plant'!$E$5:$AD$5,0))</f>
        <v>13422</v>
      </c>
      <c r="CG122" s="118" t="str">
        <f t="shared" si="215"/>
        <v>NA</v>
      </c>
      <c r="CH122" s="118"/>
      <c r="CI122" s="121">
        <v>2012</v>
      </c>
      <c r="CJ122" s="118"/>
      <c r="CK122" s="118"/>
      <c r="CL122" s="118"/>
      <c r="CM122" s="183"/>
      <c r="CN122" s="118">
        <f t="shared" si="229"/>
        <v>5218</v>
      </c>
      <c r="CO122" s="118">
        <f t="shared" si="230"/>
        <v>7.8006417627767055</v>
      </c>
      <c r="CP122" s="186">
        <v>0.9135802469135802</v>
      </c>
      <c r="CQ122" s="118">
        <f>+CQ108*CP122+CO109*CP121+CO110*CP120+CO111*CP119+CO112*CP118+CO113*CP117+CO114*CP116+CO115*CP115+CO116*CP114+CO117*CP113+CO118*CP112+CO119*CP111+CO120*CP110+CO121*CP109+CO122</f>
        <v>235.58184142389715</v>
      </c>
      <c r="CR122" s="119">
        <f t="shared" si="231"/>
        <v>2.6085232188541398E-2</v>
      </c>
      <c r="CS122" s="119"/>
      <c r="CT122" s="177">
        <f t="shared" si="232"/>
        <v>7.5589119193992431E-3</v>
      </c>
      <c r="CU122" s="177">
        <f t="shared" si="240"/>
        <v>7.3243052060439845E-3</v>
      </c>
      <c r="CV122" s="119">
        <f>VLOOKUP($H122,RoR!$E:$F,2,FALSE)</f>
        <v>3.6733333333333333E-2</v>
      </c>
      <c r="CW122" s="177">
        <v>1.924331376386168E-2</v>
      </c>
      <c r="CX122" s="177">
        <f t="shared" si="238"/>
        <v>1.7490019569471653E-2</v>
      </c>
      <c r="CY122" s="177">
        <f t="shared" si="241"/>
        <v>2.3577636402489641E-2</v>
      </c>
      <c r="CZ122" s="177">
        <f t="shared" si="242"/>
        <v>6.7122682943869583E-2</v>
      </c>
      <c r="DA122" s="187">
        <f t="shared" si="233"/>
        <v>0.84737312500000006</v>
      </c>
      <c r="DB122" s="188">
        <f t="shared" si="234"/>
        <v>1.3960631020522127</v>
      </c>
      <c r="DC122" s="188">
        <f t="shared" si="235"/>
        <v>0.29441923774954631</v>
      </c>
      <c r="DD122" s="188">
        <f t="shared" si="236"/>
        <v>0.76377954189366437</v>
      </c>
      <c r="DE122" s="188">
        <f t="shared" si="237"/>
        <v>0.31393465103033691</v>
      </c>
      <c r="DF122" s="189">
        <f>INDEX('State Tax Lookup'!$D$7:$Z$91,MATCH(Calculation!$C122,'State Tax Lookup'!$B$7:$B$91,0),MATCH($H122,'State Tax Lookup'!$D$6:$Z$6,0))</f>
        <v>0.40700500000000001</v>
      </c>
      <c r="DG122" s="189">
        <v>0.375</v>
      </c>
      <c r="DH122" s="190">
        <f t="shared" si="239"/>
        <v>22.44116436523348</v>
      </c>
      <c r="DI122" s="190">
        <v>22.106791025207816</v>
      </c>
      <c r="DJ122" s="177"/>
      <c r="DK122" s="189">
        <f>VLOOKUP($H122,RoR!$E:$F,2,FALSE)</f>
        <v>3.6733333333333333E-2</v>
      </c>
      <c r="DL122" s="191">
        <f>HLOOKUP($H122,'GDP-PI'!$D$8:$CQ$11,3,FALSE)</f>
        <v>1.924331376386168E-2</v>
      </c>
      <c r="DM122" s="189">
        <f>VLOOKUP(H122,'HW Dx Data'!$E:$F,2,FALSE)</f>
        <v>668.91932211262167</v>
      </c>
      <c r="DN122" s="183">
        <f>VLOOKUP(H122,'ECI - Input Price'!$G$17:$H$37,2,FALSE)</f>
        <v>116.5</v>
      </c>
      <c r="DO122" s="177">
        <f t="shared" ref="DO122" si="279">LN(DN122/DN121)</f>
        <v>1.9064702204990347E-2</v>
      </c>
      <c r="DP122" s="183">
        <f>HLOOKUP(H122,'GDP-PI'!$8:$9,2,FALSE)</f>
        <v>100</v>
      </c>
      <c r="DQ122" s="177">
        <f t="shared" ref="DQ122" si="280">LN(DP122/DP121)</f>
        <v>1.9060502738742411E-2</v>
      </c>
      <c r="DW122" s="192"/>
      <c r="DX122" s="192"/>
      <c r="DY122" s="192"/>
      <c r="DZ122" s="192"/>
      <c r="EA122" s="192"/>
      <c r="EB122" s="192"/>
      <c r="EC122" s="192"/>
      <c r="ED122" s="192"/>
      <c r="EE122" s="192"/>
    </row>
    <row r="123" spans="1:135" s="167" customFormat="1" ht="21" x14ac:dyDescent="0.35">
      <c r="A123" s="167" t="s">
        <v>34</v>
      </c>
      <c r="B123" s="168" t="s">
        <v>35</v>
      </c>
      <c r="C123" s="168">
        <v>4057110</v>
      </c>
      <c r="D123" s="168" t="s">
        <v>333</v>
      </c>
      <c r="E123" s="168" t="s">
        <v>126</v>
      </c>
      <c r="F123" s="168"/>
      <c r="G123" s="168" t="s">
        <v>19</v>
      </c>
      <c r="H123" s="169">
        <v>2013</v>
      </c>
      <c r="I123" s="170"/>
      <c r="J123" s="166">
        <f>IFERROR(INDEX('Labor Expenditures'!$F$7:$X$91,MATCH($C123,'Labor Expenditures'!$D$7:$D$91,0),MATCH($G123,'Labor Expenditures'!$F$5:$X$5,0)),"NA")</f>
        <v>3713.808881639</v>
      </c>
      <c r="K123" s="166">
        <f t="shared" si="245"/>
        <v>31.280765480218996</v>
      </c>
      <c r="L123" s="172">
        <f t="shared" si="252"/>
        <v>-1.2395175720375793E-2</v>
      </c>
      <c r="M123" s="172">
        <f t="shared" si="256"/>
        <v>-1.5973999537869784E-5</v>
      </c>
      <c r="N123" s="196"/>
      <c r="O123" s="172"/>
      <c r="P123" s="166">
        <f>IFERROR(INDEX('Non-Labor Expenditures'!$F$7:$AB$91,MATCH($C123,'Non-Labor Expenditures'!$D$7:$D$91,0),MATCH($G123,'Non-Labor Expenditures'!$F$5:$AB$5,0)),"NA")</f>
        <v>5378.2889044314843</v>
      </c>
      <c r="Q123" s="166">
        <f t="shared" si="246"/>
        <v>52.845930693125723</v>
      </c>
      <c r="R123" s="172">
        <f t="shared" si="257"/>
        <v>-1.1051211307455918E-2</v>
      </c>
      <c r="S123" s="172">
        <f t="shared" si="262"/>
        <v>-1.4241996104017324E-5</v>
      </c>
      <c r="T123" s="172"/>
      <c r="U123" s="172"/>
      <c r="V123" s="166">
        <f t="shared" si="227"/>
        <v>5193.2744255648577</v>
      </c>
      <c r="W123" s="170"/>
      <c r="X123" s="174">
        <v>247.85560739076416</v>
      </c>
      <c r="Y123" s="175">
        <v>5.0787973286702183E-2</v>
      </c>
      <c r="Z123" s="175">
        <f t="shared" si="263"/>
        <v>6.5451840305699773E-5</v>
      </c>
      <c r="AA123" s="175"/>
      <c r="AB123" s="175"/>
      <c r="AC123" s="170">
        <f t="shared" si="85"/>
        <v>14285.372211635342</v>
      </c>
      <c r="AD123" s="175">
        <f t="shared" si="258"/>
        <v>7.150615461374913E-3</v>
      </c>
      <c r="AE123" s="170"/>
      <c r="AF123" s="170"/>
      <c r="AG123" s="121">
        <f t="shared" si="259"/>
        <v>379.32480646933993</v>
      </c>
      <c r="AH123" s="119">
        <f>+AZ123/$BB$51</f>
        <v>1.0334484047179336E-3</v>
      </c>
      <c r="AI123" s="119">
        <f>+AZ123/$BC$51</f>
        <v>4.4124602910794375E-3</v>
      </c>
      <c r="AJ123" s="176">
        <f t="shared" si="264"/>
        <v>0.39201261611567828</v>
      </c>
      <c r="AK123" s="176">
        <f t="shared" si="265"/>
        <v>1.673755645967355</v>
      </c>
      <c r="AL123" s="120">
        <f t="shared" si="247"/>
        <v>0.25997284681277866</v>
      </c>
      <c r="AM123" s="120">
        <f t="shared" si="248"/>
        <v>0.37648923841486631</v>
      </c>
      <c r="AN123" s="120">
        <f t="shared" si="249"/>
        <v>0.36353791477235503</v>
      </c>
      <c r="AO123" s="120">
        <f t="shared" si="253"/>
        <v>1.1067827019945362E-2</v>
      </c>
      <c r="AP123" s="173">
        <f t="shared" si="268"/>
        <v>110.21314482016302</v>
      </c>
      <c r="AQ123" s="175">
        <f t="shared" si="269"/>
        <v>1.1067827019945395E-2</v>
      </c>
      <c r="AR123" s="177">
        <f>+AC123/$AE$51</f>
        <v>1.2887271546792956E-3</v>
      </c>
      <c r="AS123" s="177">
        <f t="shared" si="270"/>
        <v>1.4263409223896855E-5</v>
      </c>
      <c r="AT123" s="177"/>
      <c r="AU123" s="177"/>
      <c r="AV123" s="177"/>
      <c r="AW123" s="190"/>
      <c r="AX123" s="120"/>
      <c r="AY123" s="120"/>
      <c r="AZ123" s="118">
        <f>IFERROR(INDEX('Total Customers'!$F$7:$AB$91,MATCH($C123,'Total Customers'!$D$7:$D$91,0),MATCH($G123,'Total Customers'!$F$5:$AB$5,0)),"NA")</f>
        <v>37660</v>
      </c>
      <c r="BA123" s="119">
        <f t="shared" si="228"/>
        <v>2.6748628088172945E-2</v>
      </c>
      <c r="BB123" s="119"/>
      <c r="BC123" s="121">
        <v>8534921</v>
      </c>
      <c r="BD123" s="119"/>
      <c r="BE123" s="119"/>
      <c r="BF123" s="119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  <c r="BQ123" s="118"/>
      <c r="BR123" s="118"/>
      <c r="BS123" s="118">
        <f>INDEX('Dist. Plant Gas Additions'!$F$7:$AE$91,MATCH($C123,'Dist. Plant Gas Additions'!$D$7:$D$91,0),MATCH(Calculation!$G123,'Dist. Plant Gas Additions'!$F$5:$AE$5,0))</f>
        <v>6163</v>
      </c>
      <c r="BT123" s="118">
        <f>INDEX('Gen. Plant Additions'!$F$7:$AE$91,MATCH($C123,'Gen. Plant Additions'!$D$7:$D$91,0),MATCH(Calculation!$G123,'Gen. Plant Additions'!$F$5:$AE$5,0))</f>
        <v>3196</v>
      </c>
      <c r="BU123" s="118"/>
      <c r="BV123" s="118"/>
      <c r="BW123" s="118" t="str">
        <f>INDEX('Dist Plant Depreciation'!$E$7:$AD$94,MATCH($C123,'Dist Plant Depreciation'!$D$7:$D$94,0),MATCH(Calculation!$G123,'Dist Plant Depreciation'!$E$5:$AD$5,0))</f>
        <v>NA</v>
      </c>
      <c r="BX123" s="118" t="str">
        <f>INDEX('Gen. Plant Depreciation'!$E$7:$AD$94,MATCH($C123,'Gen. Plant Depreciation'!$D$7:$D$94,0),MATCH(Calculation!$G123,'Gen. Plant Depreciation'!$E$5:$AD$5,0))</f>
        <v>NA</v>
      </c>
      <c r="BY123" s="183">
        <v>2013</v>
      </c>
      <c r="BZ123" s="118"/>
      <c r="CA123" s="178">
        <v>657.03626912475272</v>
      </c>
      <c r="CB123" s="118"/>
      <c r="CC123" s="118"/>
      <c r="CD123" s="118"/>
      <c r="CE123" s="118">
        <f>INDEX('Gross Dx Plant'!$E$7:$AD$91,MATCH($C123,'Gross Dx Plant'!$D$7:$D$91,0),MATCH(Calculation!$G123,'Gross Dx Plant'!$E$5:$AD$5,0))</f>
        <v>71402</v>
      </c>
      <c r="CF123" s="118">
        <f>INDEX('Gross Gen Plant'!$E$7:$AD$91,MATCH($C123,'Gross Gen Plant'!$D$7:$D$91,0),MATCH(Calculation!$G123,'Gross Gen Plant'!$E$5:$AD$5,0))</f>
        <v>16618</v>
      </c>
      <c r="CG123" s="118" t="str">
        <f t="shared" si="215"/>
        <v>NA</v>
      </c>
      <c r="CH123" s="118"/>
      <c r="CI123" s="121">
        <v>2013</v>
      </c>
      <c r="CJ123" s="118"/>
      <c r="CK123" s="118"/>
      <c r="CL123" s="118"/>
      <c r="CM123" s="183"/>
      <c r="CN123" s="118">
        <f t="shared" si="229"/>
        <v>9359</v>
      </c>
      <c r="CO123" s="118">
        <f t="shared" si="230"/>
        <v>14.110851865691084</v>
      </c>
      <c r="CP123" s="186">
        <v>0.90566037735849059</v>
      </c>
      <c r="CQ123" s="118">
        <f>+CQ108*CP123+CO109*CP122+CO110*CP121+CO111*CP120+CO112*CP119+CO113*CP118+CO114*CP117+CO115*CP116+CO116*CP115+CO117*CP114+CO118*CP113+CO119*CP112+CO120*CP111+CO121*CP110+CO122*CP109+CO123</f>
        <v>247.85560739076416</v>
      </c>
      <c r="CR123" s="119">
        <f t="shared" si="231"/>
        <v>5.0787973286702183E-2</v>
      </c>
      <c r="CS123" s="119"/>
      <c r="CT123" s="177">
        <f t="shared" si="232"/>
        <v>7.7980793753898983E-3</v>
      </c>
      <c r="CU123" s="177">
        <f t="shared" si="240"/>
        <v>7.5620058081654383E-3</v>
      </c>
      <c r="CV123" s="119">
        <f>VLOOKUP($H123,RoR!$E:$F,2,FALSE)</f>
        <v>4.2350000000000006E-2</v>
      </c>
      <c r="CW123" s="177">
        <v>1.7730000000000024E-2</v>
      </c>
      <c r="CX123" s="177">
        <f t="shared" si="238"/>
        <v>2.4619999999999982E-2</v>
      </c>
      <c r="CY123" s="177">
        <f t="shared" si="241"/>
        <v>2.3339935800368188E-2</v>
      </c>
      <c r="CZ123" s="177">
        <f t="shared" si="242"/>
        <v>5.3376742735721204E-2</v>
      </c>
      <c r="DA123" s="187">
        <f t="shared" si="233"/>
        <v>0.84737312500000006</v>
      </c>
      <c r="DB123" s="188">
        <f t="shared" si="234"/>
        <v>1.2109103018193925</v>
      </c>
      <c r="DC123" s="188">
        <f t="shared" si="235"/>
        <v>0.38468122786304604</v>
      </c>
      <c r="DD123" s="188">
        <f t="shared" si="236"/>
        <v>0.80969194503422559</v>
      </c>
      <c r="DE123" s="188">
        <f t="shared" si="237"/>
        <v>0.37716621754800816</v>
      </c>
      <c r="DF123" s="189">
        <f>INDEX('State Tax Lookup'!$D$7:$Z$91,MATCH(Calculation!$C123,'State Tax Lookup'!$B$7:$B$91,0),MATCH($H123,'State Tax Lookup'!$D$6:$Z$6,0))</f>
        <v>0.40700500000000001</v>
      </c>
      <c r="DG123" s="189">
        <v>0.375</v>
      </c>
      <c r="DH123" s="190">
        <f t="shared" si="239"/>
        <v>22.044459768952539</v>
      </c>
      <c r="DI123" s="190">
        <v>21.709448363969035</v>
      </c>
      <c r="DJ123" s="177"/>
      <c r="DK123" s="189">
        <f>VLOOKUP($H123,RoR!$E:$F,2,FALSE)</f>
        <v>4.2350000000000006E-2</v>
      </c>
      <c r="DL123" s="191">
        <f>HLOOKUP($H123,'GDP-PI'!$D$8:$CQ$11,3,FALSE)</f>
        <v>1.7730000000000024E-2</v>
      </c>
      <c r="DM123" s="189">
        <f>VLOOKUP(H123,'HW Dx Data'!$E:$F,2,FALSE)</f>
        <v>663.24840548821396</v>
      </c>
      <c r="DN123" s="183">
        <f>VLOOKUP(H123,'ECI - Input Price'!$G$17:$H$37,2,FALSE)</f>
        <v>118.72499999999999</v>
      </c>
      <c r="DO123" s="177">
        <f t="shared" ref="DO123" si="281">LN(DN123/DN122)</f>
        <v>1.8918621429430321E-2</v>
      </c>
      <c r="DP123" s="183">
        <f>HLOOKUP(H123,'GDP-PI'!$8:$9,2,FALSE)</f>
        <v>101.773</v>
      </c>
      <c r="DQ123" s="177">
        <f t="shared" ref="DQ123" si="282">LN(DP123/DP122)</f>
        <v>1.7574657016510519E-2</v>
      </c>
      <c r="DW123" s="192"/>
      <c r="DX123" s="192"/>
      <c r="DY123" s="192"/>
      <c r="DZ123" s="192"/>
      <c r="EA123" s="192"/>
      <c r="EB123" s="192"/>
      <c r="EC123" s="192"/>
      <c r="ED123" s="192"/>
      <c r="EE123" s="192"/>
    </row>
    <row r="124" spans="1:135" s="167" customFormat="1" ht="21" x14ac:dyDescent="0.35">
      <c r="A124" s="167" t="s">
        <v>34</v>
      </c>
      <c r="B124" s="168" t="s">
        <v>35</v>
      </c>
      <c r="C124" s="168">
        <v>4057110</v>
      </c>
      <c r="D124" s="168" t="s">
        <v>333</v>
      </c>
      <c r="E124" s="168" t="s">
        <v>126</v>
      </c>
      <c r="F124" s="168"/>
      <c r="G124" s="168" t="s">
        <v>20</v>
      </c>
      <c r="H124" s="169">
        <v>2014</v>
      </c>
      <c r="I124" s="170"/>
      <c r="J124" s="166">
        <f>IFERROR(INDEX('Labor Expenditures'!$F$7:$X$91,MATCH($C124,'Labor Expenditures'!$D$7:$D$91,0),MATCH($G124,'Labor Expenditures'!$F$5:$X$5,0)),"NA")</f>
        <v>4825.9965335007028</v>
      </c>
      <c r="K124" s="166">
        <f t="shared" si="245"/>
        <v>39.818453246705467</v>
      </c>
      <c r="L124" s="172">
        <f t="shared" si="252"/>
        <v>0.24132706700123685</v>
      </c>
      <c r="M124" s="172">
        <f t="shared" si="256"/>
        <v>3.691535571724836E-4</v>
      </c>
      <c r="N124" s="196"/>
      <c r="O124" s="172"/>
      <c r="P124" s="166">
        <f>IFERROR(INDEX('Non-Labor Expenditures'!$F$7:$AB$91,MATCH($C124,'Non-Labor Expenditures'!$D$7:$D$91,0),MATCH($G124,'Non-Labor Expenditures'!$F$5:$AB$5,0)),"NA")</f>
        <v>6988.9443523267028</v>
      </c>
      <c r="Q124" s="166">
        <f t="shared" si="246"/>
        <v>67.430261872767204</v>
      </c>
      <c r="R124" s="172">
        <f t="shared" si="257"/>
        <v>0.24371319430300944</v>
      </c>
      <c r="S124" s="172">
        <f t="shared" si="262"/>
        <v>3.7280357203513974E-4</v>
      </c>
      <c r="T124" s="172"/>
      <c r="U124" s="172"/>
      <c r="V124" s="166">
        <f t="shared" si="227"/>
        <v>5592.537263322286</v>
      </c>
      <c r="W124" s="170"/>
      <c r="X124" s="174">
        <v>255.15454681866169</v>
      </c>
      <c r="Y124" s="175">
        <v>2.9023079188922316E-2</v>
      </c>
      <c r="Z124" s="175">
        <f t="shared" si="263"/>
        <v>4.4396068190040372E-5</v>
      </c>
      <c r="AA124" s="175"/>
      <c r="AB124" s="175"/>
      <c r="AC124" s="170">
        <f t="shared" si="85"/>
        <v>17407.478149149691</v>
      </c>
      <c r="AD124" s="175">
        <f t="shared" si="258"/>
        <v>0.19766380111827886</v>
      </c>
      <c r="AE124" s="170"/>
      <c r="AF124" s="170"/>
      <c r="AG124" s="121">
        <f t="shared" si="259"/>
        <v>448.08046923086027</v>
      </c>
      <c r="AH124" s="119">
        <f>+AZ124/$BB$52</f>
        <v>1.060353614410313E-3</v>
      </c>
      <c r="AI124" s="119">
        <f>+AZ124/$BC$52</f>
        <v>4.5174548016140926E-3</v>
      </c>
      <c r="AJ124" s="176">
        <f t="shared" si="264"/>
        <v>0.47512374509561173</v>
      </c>
      <c r="AK124" s="176">
        <f t="shared" si="265"/>
        <v>2.0241832672364453</v>
      </c>
      <c r="AL124" s="120">
        <f t="shared" si="247"/>
        <v>0.27723697207320291</v>
      </c>
      <c r="AM124" s="120">
        <f t="shared" si="248"/>
        <v>0.40149091628577427</v>
      </c>
      <c r="AN124" s="120">
        <f t="shared" si="249"/>
        <v>0.32127211164102287</v>
      </c>
      <c r="AO124" s="120">
        <f t="shared" si="253"/>
        <v>0.1695612970942128</v>
      </c>
      <c r="AP124" s="173">
        <f t="shared" si="268"/>
        <v>130.57887733423357</v>
      </c>
      <c r="AQ124" s="175">
        <f t="shared" si="269"/>
        <v>0.16956129709421283</v>
      </c>
      <c r="AR124" s="177">
        <f>+AC124/$AE$52</f>
        <v>1.5296815303796471E-3</v>
      </c>
      <c r="AS124" s="177">
        <f t="shared" si="270"/>
        <v>2.5937478443223351E-4</v>
      </c>
      <c r="AT124" s="177"/>
      <c r="AU124" s="177"/>
      <c r="AV124" s="177"/>
      <c r="AW124" s="190"/>
      <c r="AX124" s="120"/>
      <c r="AY124" s="120"/>
      <c r="AZ124" s="118">
        <f>IFERROR(INDEX('Total Customers'!$F$7:$AB$91,MATCH($C124,'Total Customers'!$D$7:$D$91,0),MATCH($G124,'Total Customers'!$F$5:$AB$5,0)),"NA")</f>
        <v>38849</v>
      </c>
      <c r="BA124" s="119">
        <f t="shared" si="228"/>
        <v>3.1083813227629941E-2</v>
      </c>
      <c r="BB124" s="119"/>
      <c r="BC124" s="121">
        <v>8599754</v>
      </c>
      <c r="BD124" s="119"/>
      <c r="BE124" s="119"/>
      <c r="BF124" s="119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  <c r="BQ124" s="118"/>
      <c r="BR124" s="118"/>
      <c r="BS124" s="118">
        <f>INDEX('Dist. Plant Gas Additions'!$F$7:$AE$91,MATCH($C124,'Dist. Plant Gas Additions'!$D$7:$D$91,0),MATCH(Calculation!$G124,'Dist. Plant Gas Additions'!$F$5:$AE$5,0))</f>
        <v>4788</v>
      </c>
      <c r="BT124" s="118">
        <f>INDEX('Gen. Plant Additions'!$F$7:$AE$91,MATCH($C124,'Gen. Plant Additions'!$D$7:$D$91,0),MATCH(Calculation!$G124,'Gen. Plant Additions'!$F$5:$AE$5,0))</f>
        <v>1560</v>
      </c>
      <c r="BU124" s="118"/>
      <c r="BV124" s="118"/>
      <c r="BW124" s="118" t="str">
        <f>INDEX('Dist Plant Depreciation'!$E$7:$AD$94,MATCH($C124,'Dist Plant Depreciation'!$D$7:$D$94,0),MATCH(Calculation!$G124,'Dist Plant Depreciation'!$E$5:$AD$5,0))</f>
        <v>NA</v>
      </c>
      <c r="BX124" s="118" t="str">
        <f>INDEX('Gen. Plant Depreciation'!$E$7:$AD$94,MATCH($C124,'Gen. Plant Depreciation'!$D$7:$D$94,0),MATCH(Calculation!$G124,'Gen. Plant Depreciation'!$E$5:$AD$5,0))</f>
        <v>NA</v>
      </c>
      <c r="BY124" s="183">
        <v>2014</v>
      </c>
      <c r="BZ124" s="118"/>
      <c r="CA124" s="178">
        <v>677.61141062376498</v>
      </c>
      <c r="CB124" s="118"/>
      <c r="CC124" s="118"/>
      <c r="CD124" s="118"/>
      <c r="CE124" s="118">
        <f>INDEX('Gross Dx Plant'!$E$7:$AD$91,MATCH($C124,'Gross Dx Plant'!$D$7:$D$91,0),MATCH(Calculation!$G124,'Gross Dx Plant'!$E$5:$AD$5,0))</f>
        <v>75105</v>
      </c>
      <c r="CF124" s="118">
        <f>INDEX('Gross Gen Plant'!$E$7:$AD$91,MATCH($C124,'Gross Gen Plant'!$D$7:$D$91,0),MATCH(Calculation!$G124,'Gross Gen Plant'!$E$5:$AD$5,0))</f>
        <v>17882</v>
      </c>
      <c r="CG124" s="118" t="str">
        <f t="shared" si="215"/>
        <v>NA</v>
      </c>
      <c r="CH124" s="118"/>
      <c r="CI124" s="121">
        <v>2014</v>
      </c>
      <c r="CJ124" s="118"/>
      <c r="CK124" s="118"/>
      <c r="CL124" s="118"/>
      <c r="CM124" s="183"/>
      <c r="CN124" s="118">
        <f t="shared" si="229"/>
        <v>6348</v>
      </c>
      <c r="CO124" s="118">
        <f t="shared" si="230"/>
        <v>9.2743406570004776</v>
      </c>
      <c r="CP124" s="186">
        <v>0.89743589743589747</v>
      </c>
      <c r="CQ124" s="118">
        <f>+CQ108*CP124+CO109*CP123+CO110*CP122+CO111*CP121+CO112*CP120+CO113*CP119+CO114*CP118+CO115*CP117+CO116*CP116+CO117*CP115+CO118*CP114+CO119*CP113+CO120*CP112+CO121*CP111+CO122*CP110+CO123*CP109+CO124</f>
        <v>255.15454681866169</v>
      </c>
      <c r="CR124" s="119">
        <f t="shared" si="231"/>
        <v>2.9023079188922316E-2</v>
      </c>
      <c r="CS124" s="119"/>
      <c r="CT124" s="177">
        <f t="shared" si="232"/>
        <v>7.9699678772591868E-3</v>
      </c>
      <c r="CU124" s="177">
        <f t="shared" si="240"/>
        <v>7.7756530573494425E-3</v>
      </c>
      <c r="CV124" s="119">
        <f>VLOOKUP($H124,RoR!$E:$F,2,FALSE)</f>
        <v>4.1625000000000002E-2</v>
      </c>
      <c r="CW124" s="177">
        <v>1.841352814597208E-2</v>
      </c>
      <c r="CX124" s="177">
        <f t="shared" si="238"/>
        <v>2.3211471854027922E-2</v>
      </c>
      <c r="CY124" s="177">
        <f t="shared" si="241"/>
        <v>2.3126288551184183E-2</v>
      </c>
      <c r="CZ124" s="177">
        <f t="shared" si="242"/>
        <v>3.9072621432650924E-2</v>
      </c>
      <c r="DA124" s="187">
        <f t="shared" si="233"/>
        <v>0.84737312500000006</v>
      </c>
      <c r="DB124" s="188">
        <f t="shared" si="234"/>
        <v>1.2320012320012319</v>
      </c>
      <c r="DC124" s="188">
        <f t="shared" si="235"/>
        <v>0.37439939939939942</v>
      </c>
      <c r="DD124" s="188">
        <f t="shared" si="236"/>
        <v>0.80432100613819935</v>
      </c>
      <c r="DE124" s="188">
        <f t="shared" si="237"/>
        <v>0.37100152660040037</v>
      </c>
      <c r="DF124" s="189">
        <f>INDEX('State Tax Lookup'!$D$7:$Z$91,MATCH(Calculation!$C124,'State Tax Lookup'!$B$7:$B$91,0),MATCH($H124,'State Tax Lookup'!$D$6:$Z$6,0))</f>
        <v>0.40700500000000001</v>
      </c>
      <c r="DG124" s="189">
        <v>0.375</v>
      </c>
      <c r="DH124" s="190">
        <f t="shared" si="239"/>
        <v>22.563690699582214</v>
      </c>
      <c r="DI124" s="190">
        <v>22.246945246526664</v>
      </c>
      <c r="DJ124" s="177"/>
      <c r="DK124" s="189">
        <f>VLOOKUP($H124,RoR!$E:$F,2,FALSE)</f>
        <v>4.1625000000000002E-2</v>
      </c>
      <c r="DL124" s="191">
        <f>HLOOKUP($H124,'GDP-PI'!$D$8:$CQ$11,3,FALSE)</f>
        <v>1.841352814597208E-2</v>
      </c>
      <c r="DM124" s="189">
        <f>VLOOKUP(H124,'HW Dx Data'!$E:$F,2,FALSE)</f>
        <v>684.46914285042885</v>
      </c>
      <c r="DN124" s="183">
        <f>VLOOKUP(H124,'ECI - Input Price'!$G$17:$H$37,2,FALSE)</f>
        <v>121.2</v>
      </c>
      <c r="DO124" s="177">
        <f t="shared" ref="DO124" si="283">LN(DN124/DN123)</f>
        <v>2.0632179200028689E-2</v>
      </c>
      <c r="DP124" s="183">
        <f>HLOOKUP(H124,'GDP-PI'!$8:$9,2,FALSE)</f>
        <v>103.64700000000001</v>
      </c>
      <c r="DQ124" s="177">
        <f t="shared" ref="DQ124" si="284">LN(DP124/DP123)</f>
        <v>1.8246051898256087E-2</v>
      </c>
      <c r="DW124" s="192"/>
      <c r="DX124" s="192"/>
      <c r="DY124" s="192"/>
      <c r="DZ124" s="192"/>
      <c r="EA124" s="192"/>
      <c r="EB124" s="192"/>
      <c r="EC124" s="192"/>
      <c r="ED124" s="192"/>
      <c r="EE124" s="192"/>
    </row>
    <row r="125" spans="1:135" s="167" customFormat="1" ht="21" x14ac:dyDescent="0.35">
      <c r="A125" s="167" t="s">
        <v>34</v>
      </c>
      <c r="B125" s="168" t="s">
        <v>35</v>
      </c>
      <c r="C125" s="168">
        <v>4057110</v>
      </c>
      <c r="D125" s="168" t="s">
        <v>333</v>
      </c>
      <c r="E125" s="168" t="s">
        <v>126</v>
      </c>
      <c r="F125" s="168"/>
      <c r="G125" s="168" t="s">
        <v>21</v>
      </c>
      <c r="H125" s="169">
        <v>2015</v>
      </c>
      <c r="I125" s="170"/>
      <c r="J125" s="166">
        <f>IFERROR(INDEX('Labor Expenditures'!$F$7:$X$91,MATCH($C125,'Labor Expenditures'!$D$7:$D$91,0),MATCH($G125,'Labor Expenditures'!$F$5:$X$5,0)),"NA")</f>
        <v>5705.7942234833481</v>
      </c>
      <c r="K125" s="166">
        <f t="shared" si="245"/>
        <v>46.107428068552309</v>
      </c>
      <c r="L125" s="172">
        <f t="shared" si="252"/>
        <v>0.14664361223940103</v>
      </c>
      <c r="M125" s="172">
        <f t="shared" si="256"/>
        <v>2.5018193095750741E-4</v>
      </c>
      <c r="N125" s="196"/>
      <c r="O125" s="172"/>
      <c r="P125" s="166">
        <f>IFERROR(INDEX('Non-Labor Expenditures'!$F$7:$AB$91,MATCH($C125,'Non-Labor Expenditures'!$D$7:$D$91,0),MATCH($G125,'Non-Labor Expenditures'!$F$5:$AB$5,0)),"NA")</f>
        <v>8263.055730963355</v>
      </c>
      <c r="Q125" s="166">
        <f t="shared" si="246"/>
        <v>78.967265846991609</v>
      </c>
      <c r="R125" s="172">
        <f t="shared" si="257"/>
        <v>0.15793950386754349</v>
      </c>
      <c r="S125" s="172">
        <f t="shared" si="262"/>
        <v>2.6945333280214984E-4</v>
      </c>
      <c r="T125" s="172"/>
      <c r="U125" s="172"/>
      <c r="V125" s="166">
        <f t="shared" si="227"/>
        <v>5641.7947667239514</v>
      </c>
      <c r="W125" s="170"/>
      <c r="X125" s="174">
        <v>262.35560826596935</v>
      </c>
      <c r="Y125" s="175">
        <v>2.783143941226288E-2</v>
      </c>
      <c r="Z125" s="175">
        <f t="shared" si="263"/>
        <v>4.7481940380189057E-5</v>
      </c>
      <c r="AA125" s="175"/>
      <c r="AB125" s="175"/>
      <c r="AC125" s="170">
        <f t="shared" si="85"/>
        <v>19610.644721170655</v>
      </c>
      <c r="AD125" s="175">
        <f t="shared" si="258"/>
        <v>0.11917262425218797</v>
      </c>
      <c r="AE125" s="170"/>
      <c r="AF125" s="170"/>
      <c r="AG125" s="121">
        <f t="shared" si="259"/>
        <v>497.63105768297442</v>
      </c>
      <c r="AH125" s="119">
        <f>+AZ125/$BB$53</f>
        <v>1.0668898586434039E-3</v>
      </c>
      <c r="AI125" s="119">
        <f>+AZ125/$BC$53</f>
        <v>4.5510456098889623E-3</v>
      </c>
      <c r="AJ125" s="176">
        <f t="shared" si="264"/>
        <v>0.53091752878795617</v>
      </c>
      <c r="AK125" s="176">
        <f t="shared" si="265"/>
        <v>2.2647416404125016</v>
      </c>
      <c r="AL125" s="120">
        <f t="shared" si="247"/>
        <v>0.2909539336727498</v>
      </c>
      <c r="AM125" s="120">
        <f t="shared" si="248"/>
        <v>0.42135563865694736</v>
      </c>
      <c r="AN125" s="120">
        <f t="shared" si="249"/>
        <v>0.28769042767030278</v>
      </c>
      <c r="AO125" s="120">
        <f t="shared" si="253"/>
        <v>0.11511492376205763</v>
      </c>
      <c r="AP125" s="173">
        <f t="shared" si="268"/>
        <v>146.50981048036485</v>
      </c>
      <c r="AQ125" s="175">
        <f t="shared" si="269"/>
        <v>0.11511492376205767</v>
      </c>
      <c r="AR125" s="177">
        <f>+AC125/$AE$53</f>
        <v>1.7060540662969779E-3</v>
      </c>
      <c r="AS125" s="177">
        <f t="shared" si="270"/>
        <v>1.963922837757251E-4</v>
      </c>
      <c r="AT125" s="177"/>
      <c r="AU125" s="177"/>
      <c r="AV125" s="177"/>
      <c r="AW125" s="190"/>
      <c r="AX125" s="120"/>
      <c r="AY125" s="120"/>
      <c r="AZ125" s="118">
        <f>IFERROR(INDEX('Total Customers'!$F$7:$AB$91,MATCH($C125,'Total Customers'!$D$7:$D$91,0),MATCH($G125,'Total Customers'!$F$5:$AB$5,0)),"NA")</f>
        <v>39408</v>
      </c>
      <c r="BA125" s="119">
        <f t="shared" si="228"/>
        <v>1.4286504921545883E-2</v>
      </c>
      <c r="BB125" s="119"/>
      <c r="BC125" s="121">
        <v>8659109</v>
      </c>
      <c r="BD125" s="119"/>
      <c r="BE125" s="119"/>
      <c r="BF125" s="119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18"/>
      <c r="BR125" s="118"/>
      <c r="BS125" s="118">
        <f>INDEX('Dist. Plant Gas Additions'!$F$7:$AE$91,MATCH($C125,'Dist. Plant Gas Additions'!$D$7:$D$91,0),MATCH(Calculation!$G125,'Dist. Plant Gas Additions'!$F$5:$AE$5,0))</f>
        <v>4286</v>
      </c>
      <c r="BT125" s="118">
        <f>INDEX('Gen. Plant Additions'!$F$7:$AE$91,MATCH($C125,'Gen. Plant Additions'!$D$7:$D$91,0),MATCH(Calculation!$G125,'Gen. Plant Additions'!$F$5:$AE$5,0))</f>
        <v>1995</v>
      </c>
      <c r="BU125" s="118"/>
      <c r="BV125" s="118"/>
      <c r="BW125" s="118" t="str">
        <f>INDEX('Dist Plant Depreciation'!$E$7:$AD$94,MATCH($C125,'Dist Plant Depreciation'!$D$7:$D$94,0),MATCH(Calculation!$G125,'Dist Plant Depreciation'!$E$5:$AD$5,0))</f>
        <v>NA</v>
      </c>
      <c r="BX125" s="118" t="str">
        <f>INDEX('Gen. Plant Depreciation'!$E$7:$AD$94,MATCH($C125,'Gen. Plant Depreciation'!$D$7:$D$94,0),MATCH(Calculation!$G125,'Gen. Plant Depreciation'!$E$5:$AD$5,0))</f>
        <v>NA</v>
      </c>
      <c r="BY125" s="183">
        <v>2015</v>
      </c>
      <c r="BZ125" s="118"/>
      <c r="CA125" s="178">
        <v>667.87090625041685</v>
      </c>
      <c r="CB125" s="118"/>
      <c r="CC125" s="118"/>
      <c r="CD125" s="118"/>
      <c r="CE125" s="118">
        <f>INDEX('Gross Dx Plant'!$E$7:$AD$91,MATCH($C125,'Gross Dx Plant'!$D$7:$D$91,0),MATCH(Calculation!$G125,'Gross Dx Plant'!$E$5:$AD$5,0))</f>
        <v>77397</v>
      </c>
      <c r="CF125" s="118">
        <f>INDEX('Gross Gen Plant'!$E$7:$AD$91,MATCH($C125,'Gross Gen Plant'!$D$7:$D$91,0),MATCH(Calculation!$G125,'Gross Gen Plant'!$E$5:$AD$5,0))</f>
        <v>19283</v>
      </c>
      <c r="CG125" s="118" t="str">
        <f t="shared" si="215"/>
        <v>NA</v>
      </c>
      <c r="CH125" s="118"/>
      <c r="CI125" s="121">
        <v>2015</v>
      </c>
      <c r="CJ125" s="118"/>
      <c r="CK125" s="118"/>
      <c r="CL125" s="118"/>
      <c r="CM125" s="183"/>
      <c r="CN125" s="118">
        <f t="shared" si="229"/>
        <v>6281</v>
      </c>
      <c r="CO125" s="118">
        <f t="shared" si="230"/>
        <v>9.2967198938605087</v>
      </c>
      <c r="CP125" s="186">
        <v>0.88888888888888884</v>
      </c>
      <c r="CQ125" s="118">
        <f>+CQ108*CP125+CO109*CP124+CO110*CP123+CO111*CP122+CO112*CP121+CO113*CP120+CO114*CP119+CO115*CP118+CO116*CP117+CO117*CP116+CO118*CP115+CO119*CP114+CO120*CP113+CO121*CP112+CO122*CP111+CO123*CP110+CO124*CP109+CO125</f>
        <v>262.35560826596935</v>
      </c>
      <c r="CR125" s="119">
        <f t="shared" si="231"/>
        <v>2.783143941226288E-2</v>
      </c>
      <c r="CS125" s="119"/>
      <c r="CT125" s="177">
        <f t="shared" si="232"/>
        <v>8.2132906220253529E-3</v>
      </c>
      <c r="CU125" s="177">
        <f t="shared" si="240"/>
        <v>7.9937792915581469E-3</v>
      </c>
      <c r="CV125" s="119">
        <f>VLOOKUP($H125,RoR!$E:$F,2,FALSE)</f>
        <v>3.8866666666666674E-2</v>
      </c>
      <c r="CW125" s="177">
        <v>9.5709475431029478E-3</v>
      </c>
      <c r="CX125" s="177">
        <f t="shared" si="238"/>
        <v>2.9295719123563727E-2</v>
      </c>
      <c r="CY125" s="177">
        <f t="shared" si="241"/>
        <v>2.2908162316975476E-2</v>
      </c>
      <c r="CZ125" s="177">
        <f t="shared" si="242"/>
        <v>3.5270373279175926E-3</v>
      </c>
      <c r="DA125" s="187">
        <f t="shared" si="233"/>
        <v>0.84737312500000006</v>
      </c>
      <c r="DB125" s="188">
        <f t="shared" si="234"/>
        <v>1.3194352816994324</v>
      </c>
      <c r="DC125" s="188">
        <f t="shared" si="235"/>
        <v>0.33177530017152673</v>
      </c>
      <c r="DD125" s="188">
        <f t="shared" si="236"/>
        <v>0.78242572977668579</v>
      </c>
      <c r="DE125" s="188">
        <f t="shared" si="237"/>
        <v>0.34251158643433932</v>
      </c>
      <c r="DF125" s="189">
        <f>INDEX('State Tax Lookup'!$D$7:$Z$91,MATCH(Calculation!$C125,'State Tax Lookup'!$B$7:$B$91,0),MATCH($H125,'State Tax Lookup'!$D$6:$Z$6,0))</f>
        <v>0.40700500000000001</v>
      </c>
      <c r="DG125" s="189">
        <v>0.375</v>
      </c>
      <c r="DH125" s="190">
        <f t="shared" si="239"/>
        <v>22.111284462955599</v>
      </c>
      <c r="DI125" s="190">
        <v>21.747579014839989</v>
      </c>
      <c r="DJ125" s="177"/>
      <c r="DK125" s="189">
        <f>VLOOKUP($H125,RoR!$E:$F,2,FALSE)</f>
        <v>3.8866666666666674E-2</v>
      </c>
      <c r="DL125" s="191">
        <f>HLOOKUP($H125,'GDP-PI'!$D$8:$CQ$11,3,FALSE)</f>
        <v>9.5709475431029478E-3</v>
      </c>
      <c r="DM125" s="189">
        <f>VLOOKUP(H125,'HW Dx Data'!$E:$F,2,FALSE)</f>
        <v>675.61463308665782</v>
      </c>
      <c r="DN125" s="183">
        <f>VLOOKUP(H125,'ECI - Input Price'!$G$17:$H$37,2,FALSE)</f>
        <v>123.75</v>
      </c>
      <c r="DO125" s="177">
        <f t="shared" ref="DO125" si="285">LN(DN125/DN124)</f>
        <v>2.0821327813585516E-2</v>
      </c>
      <c r="DP125" s="183">
        <f>HLOOKUP(H125,'GDP-PI'!$8:$9,2,FALSE)</f>
        <v>104.639</v>
      </c>
      <c r="DQ125" s="177">
        <f t="shared" ref="DQ125" si="286">LN(DP125/DP124)</f>
        <v>9.5254361854427965E-3</v>
      </c>
      <c r="DW125" s="192"/>
      <c r="DX125" s="192"/>
      <c r="DY125" s="192"/>
      <c r="DZ125" s="192"/>
      <c r="EA125" s="192"/>
      <c r="EB125" s="192"/>
      <c r="EC125" s="192"/>
      <c r="ED125" s="192"/>
      <c r="EE125" s="192"/>
    </row>
    <row r="126" spans="1:135" s="167" customFormat="1" ht="21" x14ac:dyDescent="0.35">
      <c r="A126" s="167" t="s">
        <v>34</v>
      </c>
      <c r="B126" s="168" t="s">
        <v>35</v>
      </c>
      <c r="C126" s="168">
        <v>4057110</v>
      </c>
      <c r="D126" s="168" t="s">
        <v>333</v>
      </c>
      <c r="E126" s="168" t="s">
        <v>126</v>
      </c>
      <c r="F126" s="168"/>
      <c r="G126" s="168" t="s">
        <v>22</v>
      </c>
      <c r="H126" s="169">
        <v>2016</v>
      </c>
      <c r="I126" s="170"/>
      <c r="J126" s="166">
        <f>IFERROR(INDEX('Labor Expenditures'!$F$7:$X$91,MATCH($C126,'Labor Expenditures'!$D$7:$D$91,0),MATCH($G126,'Labor Expenditures'!$F$5:$X$5,0)),"NA")</f>
        <v>4974.0093831415288</v>
      </c>
      <c r="K126" s="166">
        <f t="shared" si="245"/>
        <v>39.351340056499438</v>
      </c>
      <c r="L126" s="172">
        <f t="shared" si="252"/>
        <v>-0.1584440374057296</v>
      </c>
      <c r="M126" s="172">
        <f t="shared" si="256"/>
        <v>-2.3818882721276478E-4</v>
      </c>
      <c r="N126" s="196"/>
      <c r="O126" s="172"/>
      <c r="P126" s="166">
        <f>IFERROR(INDEX('Non-Labor Expenditures'!$F$7:$AB$91,MATCH($C126,'Non-Labor Expenditures'!$D$7:$D$91,0),MATCH($G126,'Non-Labor Expenditures'!$F$5:$AB$5,0)),"NA")</f>
        <v>7203.2946035935947</v>
      </c>
      <c r="Q126" s="166">
        <f t="shared" si="246"/>
        <v>68.125279976484777</v>
      </c>
      <c r="R126" s="172">
        <f t="shared" si="257"/>
        <v>-0.14768504750897729</v>
      </c>
      <c r="S126" s="172">
        <f t="shared" si="262"/>
        <v>-2.2201484409884578E-4</v>
      </c>
      <c r="T126" s="172"/>
      <c r="U126" s="172"/>
      <c r="V126" s="166">
        <f t="shared" si="227"/>
        <v>5708.7809305701994</v>
      </c>
      <c r="W126" s="170"/>
      <c r="X126" s="174">
        <v>279.67501213705123</v>
      </c>
      <c r="Y126" s="175">
        <v>6.3927391187550392E-2</v>
      </c>
      <c r="Z126" s="175">
        <f t="shared" si="263"/>
        <v>9.610200915761085E-5</v>
      </c>
      <c r="AA126" s="175"/>
      <c r="AB126" s="175"/>
      <c r="AC126" s="170">
        <f t="shared" ref="AC126:AC189" si="287">+J126+P126+V126</f>
        <v>17886.084917305321</v>
      </c>
      <c r="AD126" s="175">
        <f t="shared" si="258"/>
        <v>-9.2049485221489161E-2</v>
      </c>
      <c r="AE126" s="170"/>
      <c r="AF126" s="170"/>
      <c r="AG126" s="121">
        <f t="shared" si="259"/>
        <v>451.39523817144459</v>
      </c>
      <c r="AH126" s="119">
        <f>+AZ126/$BB$54</f>
        <v>1.0634689277412139E-3</v>
      </c>
      <c r="AI126" s="119">
        <f>+AZ126/$BC$54</f>
        <v>4.5237632860715147E-3</v>
      </c>
      <c r="AJ126" s="176">
        <f t="shared" si="264"/>
        <v>0.480044809925676</v>
      </c>
      <c r="AK126" s="176">
        <f t="shared" si="265"/>
        <v>2.042005205947488</v>
      </c>
      <c r="AL126" s="120">
        <f t="shared" si="247"/>
        <v>0.27809380343090212</v>
      </c>
      <c r="AM126" s="120">
        <f t="shared" si="248"/>
        <v>0.40273176812574518</v>
      </c>
      <c r="AN126" s="120">
        <f t="shared" si="249"/>
        <v>0.31917442844335281</v>
      </c>
      <c r="AO126" s="120">
        <f t="shared" si="253"/>
        <v>-8.6536160855397254E-2</v>
      </c>
      <c r="AP126" s="173">
        <f t="shared" si="268"/>
        <v>134.36449661427099</v>
      </c>
      <c r="AQ126" s="175">
        <f t="shared" si="269"/>
        <v>-8.6536160855397087E-2</v>
      </c>
      <c r="AR126" s="177">
        <f>+AC126/$AE$54</f>
        <v>1.5032994053467074E-3</v>
      </c>
      <c r="AS126" s="177">
        <f t="shared" si="270"/>
        <v>-1.3008975915490545E-4</v>
      </c>
      <c r="AT126" s="177"/>
      <c r="AU126" s="177"/>
      <c r="AV126" s="177"/>
      <c r="AW126" s="190"/>
      <c r="AX126" s="120"/>
      <c r="AY126" s="120"/>
      <c r="AZ126" s="118">
        <f>IFERROR(INDEX('Total Customers'!$F$7:$AB$91,MATCH($C126,'Total Customers'!$D$7:$D$91,0),MATCH($G126,'Total Customers'!$F$5:$AB$5,0)),"NA")</f>
        <v>39624</v>
      </c>
      <c r="BA126" s="119">
        <f t="shared" si="228"/>
        <v>5.466153907754393E-3</v>
      </c>
      <c r="BB126" s="119"/>
      <c r="BC126" s="121">
        <v>8759079</v>
      </c>
      <c r="BD126" s="119"/>
      <c r="BE126" s="119"/>
      <c r="BF126" s="119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  <c r="BQ126" s="118"/>
      <c r="BR126" s="118"/>
      <c r="BS126" s="118">
        <f>INDEX('Dist. Plant Gas Additions'!$F$7:$AE$91,MATCH($C126,'Dist. Plant Gas Additions'!$D$7:$D$91,0),MATCH(Calculation!$G126,'Dist. Plant Gas Additions'!$F$5:$AE$5,0))</f>
        <v>5372</v>
      </c>
      <c r="BT126" s="118">
        <f>INDEX('Gen. Plant Additions'!$F$7:$AE$91,MATCH($C126,'Gen. Plant Additions'!$D$7:$D$91,0),MATCH(Calculation!$G126,'Gen. Plant Additions'!$F$5:$AE$5,0))</f>
        <v>7749</v>
      </c>
      <c r="BU126" s="118"/>
      <c r="BV126" s="118"/>
      <c r="BW126" s="118" t="str">
        <f>INDEX('Dist Plant Depreciation'!$E$7:$AD$94,MATCH($C126,'Dist Plant Depreciation'!$D$7:$D$94,0),MATCH(Calculation!$G126,'Dist Plant Depreciation'!$E$5:$AD$5,0))</f>
        <v>NA</v>
      </c>
      <c r="BX126" s="118" t="str">
        <f>INDEX('Gen. Plant Depreciation'!$E$7:$AD$94,MATCH($C126,'Gen. Plant Depreciation'!$D$7:$D$94,0),MATCH(Calculation!$G126,'Gen. Plant Depreciation'!$E$5:$AD$5,0))</f>
        <v>NA</v>
      </c>
      <c r="BY126" s="183">
        <v>2016</v>
      </c>
      <c r="BZ126" s="118"/>
      <c r="CA126" s="178">
        <v>662.8869452508203</v>
      </c>
      <c r="CB126" s="118"/>
      <c r="CC126" s="118"/>
      <c r="CD126" s="118"/>
      <c r="CE126" s="118">
        <f>INDEX('Gross Dx Plant'!$E$7:$AD$91,MATCH($C126,'Gross Dx Plant'!$D$7:$D$91,0),MATCH(Calculation!$G126,'Gross Dx Plant'!$E$5:$AD$5,0))</f>
        <v>82200</v>
      </c>
      <c r="CF126" s="118">
        <f>INDEX('Gross Gen Plant'!$E$7:$AD$91,MATCH($C126,'Gross Gen Plant'!$D$7:$D$91,0),MATCH(Calculation!$G126,'Gross Gen Plant'!$E$5:$AD$5,0))</f>
        <v>26345</v>
      </c>
      <c r="CG126" s="118" t="str">
        <f t="shared" si="215"/>
        <v>NA</v>
      </c>
      <c r="CH126" s="118"/>
      <c r="CI126" s="121">
        <v>2016</v>
      </c>
      <c r="CJ126" s="118"/>
      <c r="CK126" s="118"/>
      <c r="CL126" s="118"/>
      <c r="CM126" s="183"/>
      <c r="CN126" s="118">
        <f t="shared" si="229"/>
        <v>13121</v>
      </c>
      <c r="CO126" s="118">
        <f t="shared" si="230"/>
        <v>19.541105155879087</v>
      </c>
      <c r="CP126" s="186">
        <v>0.88</v>
      </c>
      <c r="CQ126" s="118">
        <f>+CQ108*CP126+CO109*CP125+CO110*CP124+CO111*CP123+CO112*CP122+CO113*CP121+CO114*CP120+CO115*CP119+CO116*CP118+CO117*CP117+CO118*CP116+CO119*CP115+CO120*CP114+CO121*CP113+CO122*CP112+CO123*CP111+CO124*CP110+CO125*CP109+CO126</f>
        <v>279.67501213705123</v>
      </c>
      <c r="CR126" s="119">
        <f t="shared" si="231"/>
        <v>6.3927391187550392E-2</v>
      </c>
      <c r="CS126" s="119"/>
      <c r="CT126" s="177">
        <f t="shared" si="232"/>
        <v>8.4682820370468679E-3</v>
      </c>
      <c r="CU126" s="177">
        <f t="shared" si="240"/>
        <v>8.2171801787771347E-3</v>
      </c>
      <c r="CV126" s="119">
        <f>VLOOKUP($H126,RoR!$E:$F,2,FALSE)</f>
        <v>3.6658333333333334E-2</v>
      </c>
      <c r="CW126" s="177">
        <v>1.0483662879041455E-2</v>
      </c>
      <c r="CX126" s="177">
        <f t="shared" si="238"/>
        <v>2.6174670454291879E-2</v>
      </c>
      <c r="CY126" s="177">
        <f t="shared" si="241"/>
        <v>2.2684761429756492E-2</v>
      </c>
      <c r="CZ126" s="177">
        <f t="shared" si="242"/>
        <v>4.301363574220729E-3</v>
      </c>
      <c r="DA126" s="187">
        <f t="shared" si="233"/>
        <v>0.84737312500000006</v>
      </c>
      <c r="DB126" s="188">
        <f t="shared" si="234"/>
        <v>1.3989193348138562</v>
      </c>
      <c r="DC126" s="188">
        <f t="shared" si="235"/>
        <v>0.29302682427824522</v>
      </c>
      <c r="DD126" s="188">
        <f t="shared" si="236"/>
        <v>0.76309497491941802</v>
      </c>
      <c r="DE126" s="188">
        <f t="shared" si="237"/>
        <v>0.31280857135128509</v>
      </c>
      <c r="DF126" s="189">
        <f>INDEX('State Tax Lookup'!$D$7:$Z$91,MATCH(Calculation!$C126,'State Tax Lookup'!$B$7:$B$91,0),MATCH($H126,'State Tax Lookup'!$D$6:$Z$6,0))</f>
        <v>0.40700500000000001</v>
      </c>
      <c r="DG126" s="189">
        <v>0.375</v>
      </c>
      <c r="DH126" s="190">
        <f t="shared" si="239"/>
        <v>21.759706103872514</v>
      </c>
      <c r="DI126" s="190">
        <v>21.344106718300296</v>
      </c>
      <c r="DJ126" s="177"/>
      <c r="DK126" s="189">
        <f>VLOOKUP($H126,RoR!$E:$F,2,FALSE)</f>
        <v>3.6658333333333334E-2</v>
      </c>
      <c r="DL126" s="191">
        <f>HLOOKUP($H126,'GDP-PI'!$D$8:$CQ$11,3,FALSE)</f>
        <v>1.0483662879041455E-2</v>
      </c>
      <c r="DM126" s="189">
        <f>VLOOKUP(H126,'HW Dx Data'!$E:$F,2,FALSE)</f>
        <v>671.45639385971219</v>
      </c>
      <c r="DN126" s="183">
        <f>VLOOKUP(H126,'ECI - Input Price'!$G$17:$H$37,2,FALSE)</f>
        <v>126.4</v>
      </c>
      <c r="DO126" s="177">
        <f t="shared" ref="DO126" si="288">LN(DN126/DN125)</f>
        <v>2.11880802639575E-2</v>
      </c>
      <c r="DP126" s="183">
        <f>HLOOKUP(H126,'GDP-PI'!$8:$9,2,FALSE)</f>
        <v>105.736</v>
      </c>
      <c r="DQ126" s="177">
        <f t="shared" ref="DQ126" si="289">LN(DP126/DP125)</f>
        <v>1.0429090367205095E-2</v>
      </c>
      <c r="DW126" s="192"/>
      <c r="DX126" s="192"/>
      <c r="DY126" s="192"/>
      <c r="DZ126" s="192"/>
      <c r="EA126" s="192"/>
      <c r="EB126" s="192"/>
      <c r="EC126" s="192"/>
      <c r="ED126" s="192"/>
      <c r="EE126" s="192"/>
    </row>
    <row r="127" spans="1:135" s="167" customFormat="1" ht="21" x14ac:dyDescent="0.35">
      <c r="A127" s="167" t="s">
        <v>34</v>
      </c>
      <c r="B127" s="168" t="s">
        <v>35</v>
      </c>
      <c r="C127" s="168">
        <v>4057110</v>
      </c>
      <c r="D127" s="168" t="s">
        <v>333</v>
      </c>
      <c r="E127" s="168" t="s">
        <v>126</v>
      </c>
      <c r="F127" s="168"/>
      <c r="G127" s="168" t="s">
        <v>23</v>
      </c>
      <c r="H127" s="169">
        <v>2017</v>
      </c>
      <c r="I127" s="170"/>
      <c r="J127" s="166">
        <f>IFERROR(INDEX('Labor Expenditures'!$F$7:$X$91,MATCH($C127,'Labor Expenditures'!$D$7:$D$91,0),MATCH($G127,'Labor Expenditures'!$F$5:$X$5,0)),"NA")</f>
        <v>5336.991271977362</v>
      </c>
      <c r="K127" s="166">
        <f t="shared" si="245"/>
        <v>41.212287814497003</v>
      </c>
      <c r="L127" s="172">
        <f t="shared" si="252"/>
        <v>4.6206430726498229E-2</v>
      </c>
      <c r="M127" s="172">
        <f t="shared" si="256"/>
        <v>7.2382094276520251E-5</v>
      </c>
      <c r="N127" s="196"/>
      <c r="O127" s="172"/>
      <c r="P127" s="166">
        <f>IFERROR(INDEX('Non-Labor Expenditures'!$F$7:$AB$91,MATCH($C127,'Non-Labor Expenditures'!$D$7:$D$91,0),MATCH($G127,'Non-Labor Expenditures'!$F$5:$AB$5,0)),"NA")</f>
        <v>7728.9601742930172</v>
      </c>
      <c r="Q127" s="166">
        <f t="shared" si="246"/>
        <v>71.729823150532397</v>
      </c>
      <c r="R127" s="172">
        <f t="shared" si="257"/>
        <v>5.1558241925588798E-2</v>
      </c>
      <c r="S127" s="172">
        <f t="shared" si="262"/>
        <v>8.0765674152136151E-5</v>
      </c>
      <c r="T127" s="172"/>
      <c r="U127" s="172"/>
      <c r="V127" s="166">
        <f t="shared" si="227"/>
        <v>5492.8843625371446</v>
      </c>
      <c r="W127" s="170"/>
      <c r="X127" s="174">
        <v>293.31954952705229</v>
      </c>
      <c r="Y127" s="175">
        <v>4.7634369321404517E-2</v>
      </c>
      <c r="Z127" s="175">
        <f t="shared" si="263"/>
        <v>7.4618951449266903E-5</v>
      </c>
      <c r="AA127" s="175"/>
      <c r="AB127" s="175"/>
      <c r="AC127" s="170">
        <f t="shared" si="287"/>
        <v>18558.835808807526</v>
      </c>
      <c r="AD127" s="175">
        <f t="shared" si="258"/>
        <v>3.692296796260898E-2</v>
      </c>
      <c r="AE127" s="170"/>
      <c r="AF127" s="170"/>
      <c r="AG127" s="121">
        <f t="shared" si="259"/>
        <v>464.43533055073891</v>
      </c>
      <c r="AH127" s="119">
        <f>+AZ127/$BB$55</f>
        <v>1.0644289840102802E-3</v>
      </c>
      <c r="AI127" s="119">
        <f>+AZ127/$BC$56</f>
        <v>4.4841660461101543E-3</v>
      </c>
      <c r="AJ127" s="176">
        <f t="shared" si="264"/>
        <v>0.49435842703660171</v>
      </c>
      <c r="AK127" s="176">
        <f t="shared" si="265"/>
        <v>2.0826051398695693</v>
      </c>
      <c r="AL127" s="120">
        <f t="shared" si="247"/>
        <v>0.28757144720492483</v>
      </c>
      <c r="AM127" s="120">
        <f t="shared" si="248"/>
        <v>0.41645716649020947</v>
      </c>
      <c r="AN127" s="120">
        <f t="shared" si="249"/>
        <v>0.29597138630486558</v>
      </c>
      <c r="AO127" s="120">
        <f t="shared" si="253"/>
        <v>4.8837698208909625E-2</v>
      </c>
      <c r="AP127" s="173">
        <f t="shared" si="268"/>
        <v>141.08942783602498</v>
      </c>
      <c r="AQ127" s="175">
        <f t="shared" si="269"/>
        <v>4.8837698208909562E-2</v>
      </c>
      <c r="AR127" s="177">
        <f>+AC127/$AE$55</f>
        <v>1.5664939519990004E-3</v>
      </c>
      <c r="AS127" s="177">
        <f t="shared" si="270"/>
        <v>7.6503958873809248E-5</v>
      </c>
      <c r="AT127" s="177"/>
      <c r="AU127" s="177"/>
      <c r="AV127" s="177"/>
      <c r="AW127" s="190"/>
      <c r="AX127" s="120"/>
      <c r="AY127" s="120"/>
      <c r="AZ127" s="118">
        <f>IFERROR(INDEX('Total Customers'!$F$7:$AB$91,MATCH($C127,'Total Customers'!$D$7:$D$91,0),MATCH($G127,'Total Customers'!$F$5:$AB$5,0)),"NA")</f>
        <v>39960</v>
      </c>
      <c r="BA127" s="119">
        <f t="shared" si="228"/>
        <v>8.4439584944162958E-3</v>
      </c>
      <c r="BB127" s="119"/>
      <c r="BC127" s="121">
        <v>8824403</v>
      </c>
      <c r="BD127" s="119"/>
      <c r="BE127" s="119"/>
      <c r="BF127" s="119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18"/>
      <c r="BR127" s="118"/>
      <c r="BS127" s="118">
        <f>INDEX('Dist. Plant Gas Additions'!$F$7:$AE$91,MATCH($C127,'Dist. Plant Gas Additions'!$D$7:$D$91,0),MATCH(Calculation!$G127,'Dist. Plant Gas Additions'!$F$5:$AE$5,0))</f>
        <v>4743</v>
      </c>
      <c r="BT127" s="118">
        <f>INDEX('Gen. Plant Additions'!$F$7:$AE$91,MATCH($C127,'Gen. Plant Additions'!$D$7:$D$91,0),MATCH(Calculation!$G127,'Gen. Plant Additions'!$F$5:$AE$5,0))</f>
        <v>6691</v>
      </c>
      <c r="BU127" s="118"/>
      <c r="BV127" s="118"/>
      <c r="BW127" s="118" t="str">
        <f>INDEX('Dist Plant Depreciation'!$E$7:$AD$94,MATCH($C127,'Dist Plant Depreciation'!$D$7:$D$94,0),MATCH(Calculation!$G127,'Dist Plant Depreciation'!$E$5:$AD$5,0))</f>
        <v>NA</v>
      </c>
      <c r="BX127" s="118" t="str">
        <f>INDEX('Gen. Plant Depreciation'!$E$7:$AD$94,MATCH($C127,'Gen. Plant Depreciation'!$D$7:$D$94,0),MATCH(Calculation!$G127,'Gen. Plant Depreciation'!$E$5:$AD$5,0))</f>
        <v>NA</v>
      </c>
      <c r="BY127" s="183">
        <v>2017</v>
      </c>
      <c r="BZ127" s="118"/>
      <c r="CA127" s="178">
        <v>704.58067642135154</v>
      </c>
      <c r="CB127" s="118"/>
      <c r="CC127" s="118"/>
      <c r="CD127" s="118"/>
      <c r="CE127" s="118">
        <f>INDEX('Gross Dx Plant'!$E$7:$AD$91,MATCH($C127,'Gross Dx Plant'!$D$7:$D$91,0),MATCH(Calculation!$G127,'Gross Dx Plant'!$E$5:$AD$5,0))</f>
        <v>86333</v>
      </c>
      <c r="CF127" s="118">
        <f>INDEX('Gross Gen Plant'!$E$7:$AD$91,MATCH($C127,'Gross Gen Plant'!$D$7:$D$91,0),MATCH(Calculation!$G127,'Gross Gen Plant'!$E$5:$AD$5,0))</f>
        <v>32693</v>
      </c>
      <c r="CG127" s="118" t="str">
        <f t="shared" si="215"/>
        <v>NA</v>
      </c>
      <c r="CH127" s="118"/>
      <c r="CI127" s="121">
        <v>2017</v>
      </c>
      <c r="CJ127" s="118"/>
      <c r="CK127" s="118"/>
      <c r="CL127" s="118"/>
      <c r="CM127" s="183"/>
      <c r="CN127" s="118">
        <f t="shared" si="229"/>
        <v>11434</v>
      </c>
      <c r="CO127" s="118">
        <f t="shared" si="230"/>
        <v>16.049327976961028</v>
      </c>
      <c r="CP127" s="186">
        <v>0.87074829931972786</v>
      </c>
      <c r="CQ127" s="118">
        <f>+CQ108*CP127+CO109*CP126+CO110*CP125+CO111*CP124+CO112*CP123+CO113*CP122+CO114*CP121+CO115*CP120+CO116*CP119+CO117*CP118+CO118*CP117+CO119*CP116+CO120*CP115+CO121*CP114+CO122*CP113+CO123*CP112+CO124*CP111+CO125*CP110+CO126*CP109+CO127</f>
        <v>293.31954952705229</v>
      </c>
      <c r="CR127" s="119">
        <f t="shared" si="231"/>
        <v>4.7634369321404517E-2</v>
      </c>
      <c r="CS127" s="119"/>
      <c r="CT127" s="177">
        <f t="shared" si="232"/>
        <v>8.5985178603711927E-3</v>
      </c>
      <c r="CU127" s="177">
        <f t="shared" si="240"/>
        <v>8.4266968398144706E-3</v>
      </c>
      <c r="CV127" s="119">
        <f>VLOOKUP($H127,RoR!$E:$F,2,FALSE)</f>
        <v>3.7433333333333339E-2</v>
      </c>
      <c r="CW127" s="177">
        <v>1.9056896421275615E-2</v>
      </c>
      <c r="CX127" s="177">
        <f t="shared" si="238"/>
        <v>1.8376436912057724E-2</v>
      </c>
      <c r="CY127" s="177">
        <f t="shared" si="241"/>
        <v>2.2475244768719156E-2</v>
      </c>
      <c r="CZ127" s="177">
        <f t="shared" si="242"/>
        <v>1.3976271617800498E-2</v>
      </c>
      <c r="DA127" s="187">
        <f t="shared" si="233"/>
        <v>0.89987312500000005</v>
      </c>
      <c r="DB127" s="188">
        <f t="shared" si="234"/>
        <v>1.3699568463593395</v>
      </c>
      <c r="DC127" s="188">
        <f t="shared" si="235"/>
        <v>0.30714603739982199</v>
      </c>
      <c r="DD127" s="188">
        <f t="shared" si="236"/>
        <v>0.77007188472689425</v>
      </c>
      <c r="DE127" s="188">
        <f t="shared" si="237"/>
        <v>0.32402839633793828</v>
      </c>
      <c r="DF127" s="189">
        <f>INDEX('State Tax Lookup'!$D$7:$Z$91,MATCH(Calculation!$C127,'State Tax Lookup'!$B$7:$B$91,0),MATCH($H127,'State Tax Lookup'!$D$6:$Z$6,0))</f>
        <v>0.26700499999999999</v>
      </c>
      <c r="DG127" s="189">
        <v>0.375</v>
      </c>
      <c r="DH127" s="190">
        <f t="shared" si="239"/>
        <v>19.640240007732352</v>
      </c>
      <c r="DI127" s="190">
        <v>19.366888912198448</v>
      </c>
      <c r="DJ127" s="177"/>
      <c r="DK127" s="189">
        <f>VLOOKUP($H127,RoR!$E:$F,2,FALSE)</f>
        <v>3.7433333333333339E-2</v>
      </c>
      <c r="DL127" s="191">
        <f>HLOOKUP($H127,'GDP-PI'!$D$8:$CQ$11,3,FALSE)</f>
        <v>1.9056896421275615E-2</v>
      </c>
      <c r="DM127" s="189">
        <f>VLOOKUP(H127,'HW Dx Data'!$E:$F,2,FALSE)</f>
        <v>712.42858370229726</v>
      </c>
      <c r="DN127" s="183">
        <f>VLOOKUP(H127,'ECI - Input Price'!$G$17:$H$37,2,FALSE)</f>
        <v>129.5</v>
      </c>
      <c r="DO127" s="177">
        <f t="shared" ref="DO127" si="290">LN(DN127/DN126)</f>
        <v>2.4229399426835413E-2</v>
      </c>
      <c r="DP127" s="183">
        <f>HLOOKUP(H127,'GDP-PI'!$8:$9,2,FALSE)</f>
        <v>107.751</v>
      </c>
      <c r="DQ127" s="177">
        <f t="shared" ref="DQ127" si="291">LN(DP127/DP126)</f>
        <v>1.8877588227745139E-2</v>
      </c>
      <c r="DW127" s="192"/>
      <c r="DX127" s="192"/>
      <c r="DY127" s="192"/>
      <c r="DZ127" s="192"/>
      <c r="EA127" s="192"/>
      <c r="EB127" s="192"/>
      <c r="EC127" s="192"/>
      <c r="ED127" s="192"/>
      <c r="EE127" s="192"/>
    </row>
    <row r="128" spans="1:135" s="167" customFormat="1" ht="21" x14ac:dyDescent="0.35">
      <c r="A128" s="167" t="s">
        <v>34</v>
      </c>
      <c r="B128" s="168" t="s">
        <v>35</v>
      </c>
      <c r="C128" s="168">
        <v>4057110</v>
      </c>
      <c r="D128" s="168" t="s">
        <v>333</v>
      </c>
      <c r="E128" s="168" t="s">
        <v>126</v>
      </c>
      <c r="F128" s="168"/>
      <c r="G128" s="168" t="s">
        <v>24</v>
      </c>
      <c r="H128" s="169">
        <v>2018</v>
      </c>
      <c r="I128" s="170"/>
      <c r="J128" s="166">
        <f>IFERROR(INDEX('Labor Expenditures'!$F$7:$X$91,MATCH($C128,'Labor Expenditures'!$D$7:$D$91,0),MATCH($G128,'Labor Expenditures'!$F$5:$X$5,0)),"NA")</f>
        <v>5275.506860945422</v>
      </c>
      <c r="K128" s="166">
        <f t="shared" si="245"/>
        <v>39.591045860753638</v>
      </c>
      <c r="L128" s="172">
        <f t="shared" si="252"/>
        <v>-4.0133481747859294E-2</v>
      </c>
      <c r="M128" s="172">
        <f t="shared" si="256"/>
        <v>-5.9071513665803141E-5</v>
      </c>
      <c r="N128" s="196"/>
      <c r="O128" s="172"/>
      <c r="P128" s="166">
        <f>IFERROR(INDEX('Non-Labor Expenditures'!$F$7:$AB$91,MATCH($C128,'Non-Labor Expenditures'!$D$7:$D$91,0),MATCH($G128,'Non-Labor Expenditures'!$F$5:$AB$5,0)),"NA")</f>
        <v>7639.919263414843</v>
      </c>
      <c r="Q128" s="166">
        <f t="shared" si="246"/>
        <v>69.251094644901684</v>
      </c>
      <c r="R128" s="172">
        <f t="shared" si="257"/>
        <v>-3.5167652558006489E-2</v>
      </c>
      <c r="S128" s="172">
        <f t="shared" si="262"/>
        <v>-5.1762428232016156E-5</v>
      </c>
      <c r="T128" s="172"/>
      <c r="U128" s="172"/>
      <c r="V128" s="166">
        <f t="shared" si="227"/>
        <v>6045.4035865749311</v>
      </c>
      <c r="W128" s="170"/>
      <c r="X128" s="174">
        <v>300.61733515778724</v>
      </c>
      <c r="Y128" s="175">
        <v>2.4575516726974261E-2</v>
      </c>
      <c r="Z128" s="175">
        <f t="shared" si="263"/>
        <v>3.6172116371614519E-5</v>
      </c>
      <c r="AA128" s="175"/>
      <c r="AB128" s="175"/>
      <c r="AC128" s="170">
        <f t="shared" si="287"/>
        <v>18960.829710935195</v>
      </c>
      <c r="AD128" s="175">
        <f t="shared" si="258"/>
        <v>2.1429257422511602E-2</v>
      </c>
      <c r="AE128" s="170"/>
      <c r="AF128" s="170"/>
      <c r="AG128" s="121">
        <f t="shared" si="259"/>
        <v>471.55685818934057</v>
      </c>
      <c r="AH128" s="119">
        <f>+AZ128/$BB$56</f>
        <v>1.0617581536260985E-3</v>
      </c>
      <c r="AI128" s="119">
        <f>+AZ128/$BC$57</f>
        <v>4.485789255257909E-3</v>
      </c>
      <c r="AJ128" s="176">
        <f t="shared" si="264"/>
        <v>0.50067933908083817</v>
      </c>
      <c r="AK128" s="176">
        <f t="shared" si="265"/>
        <v>2.1153046877089214</v>
      </c>
      <c r="AL128" s="120">
        <f t="shared" si="247"/>
        <v>0.27823185701113606</v>
      </c>
      <c r="AM128" s="120">
        <f t="shared" si="248"/>
        <v>0.40293169549477609</v>
      </c>
      <c r="AN128" s="120">
        <f t="shared" si="249"/>
        <v>0.3188364474940879</v>
      </c>
      <c r="AO128" s="120">
        <f t="shared" si="253"/>
        <v>-1.8207209593710534E-2</v>
      </c>
      <c r="AP128" s="173">
        <f t="shared" si="268"/>
        <v>138.54382751361049</v>
      </c>
      <c r="AQ128" s="175">
        <f t="shared" si="269"/>
        <v>-1.8207209593710541E-2</v>
      </c>
      <c r="AR128" s="177">
        <f>+AC128/$AE$56</f>
        <v>1.4718761266944898E-3</v>
      </c>
      <c r="AS128" s="177">
        <f t="shared" si="270"/>
        <v>-2.6798757134705426E-5</v>
      </c>
      <c r="AT128" s="177"/>
      <c r="AU128" s="177"/>
      <c r="AV128" s="177"/>
      <c r="AW128" s="190"/>
      <c r="AX128" s="120"/>
      <c r="AY128" s="120"/>
      <c r="AZ128" s="118">
        <f>IFERROR(INDEX('Total Customers'!$F$7:$AB$91,MATCH($C128,'Total Customers'!$D$7:$D$91,0),MATCH($G128,'Total Customers'!$F$5:$AB$5,0)),"NA")</f>
        <v>40209</v>
      </c>
      <c r="BA128" s="119">
        <f t="shared" si="228"/>
        <v>6.2118973841164497E-3</v>
      </c>
      <c r="BB128" s="119"/>
      <c r="BC128" s="121">
        <v>8911356</v>
      </c>
      <c r="BD128" s="119"/>
      <c r="BE128" s="119"/>
      <c r="BF128" s="119"/>
      <c r="BG128" s="173"/>
      <c r="BH128" s="173"/>
      <c r="BI128" s="173"/>
      <c r="BJ128" s="173"/>
      <c r="BK128" s="173"/>
      <c r="BL128" s="173"/>
      <c r="BM128" s="173"/>
      <c r="BN128" s="173"/>
      <c r="BO128" s="173"/>
      <c r="BP128" s="173"/>
      <c r="BQ128" s="118"/>
      <c r="BR128" s="118"/>
      <c r="BS128" s="118">
        <f>INDEX('Dist. Plant Gas Additions'!$F$7:$AE$91,MATCH($C128,'Dist. Plant Gas Additions'!$D$7:$D$91,0),MATCH(Calculation!$G128,'Dist. Plant Gas Additions'!$F$5:$AE$5,0))</f>
        <v>4956</v>
      </c>
      <c r="BT128" s="118">
        <f>INDEX('Gen. Plant Additions'!$F$7:$AE$91,MATCH($C128,'Gen. Plant Additions'!$D$7:$D$91,0),MATCH(Calculation!$G128,'Gen. Plant Additions'!$F$5:$AE$5,0))</f>
        <v>2502</v>
      </c>
      <c r="BU128" s="118"/>
      <c r="BV128" s="118"/>
      <c r="BW128" s="118" t="str">
        <f>INDEX('Dist Plant Depreciation'!$E$7:$AD$94,MATCH($C128,'Dist Plant Depreciation'!$D$7:$D$94,0),MATCH(Calculation!$G128,'Dist Plant Depreciation'!$E$5:$AD$5,0))</f>
        <v>NA</v>
      </c>
      <c r="BX128" s="118" t="str">
        <f>INDEX('Gen. Plant Depreciation'!$E$7:$AD$94,MATCH($C128,'Gen. Plant Depreciation'!$D$7:$D$94,0),MATCH(Calculation!$G128,'Gen. Plant Depreciation'!$E$5:$AD$5,0))</f>
        <v>NA</v>
      </c>
      <c r="BY128" s="183">
        <v>2018</v>
      </c>
      <c r="BZ128" s="118"/>
      <c r="CA128" s="178">
        <v>747.35020328085432</v>
      </c>
      <c r="CB128" s="118"/>
      <c r="CC128" s="118"/>
      <c r="CD128" s="118"/>
      <c r="CE128" s="118">
        <f>INDEX('Gross Dx Plant'!$E$7:$AD$91,MATCH($C128,'Gross Dx Plant'!$D$7:$D$91,0),MATCH(Calculation!$G128,'Gross Dx Plant'!$E$5:$AD$5,0))</f>
        <v>90838</v>
      </c>
      <c r="CF128" s="118">
        <f>INDEX('Gross Gen Plant'!$E$7:$AD$91,MATCH($C128,'Gross Gen Plant'!$D$7:$D$91,0),MATCH(Calculation!$G128,'Gross Gen Plant'!$E$5:$AD$5,0))</f>
        <v>35839</v>
      </c>
      <c r="CG128" s="118" t="str">
        <f t="shared" si="215"/>
        <v>NA</v>
      </c>
      <c r="CH128" s="118"/>
      <c r="CI128" s="121">
        <v>2018</v>
      </c>
      <c r="CJ128" s="118"/>
      <c r="CK128" s="118"/>
      <c r="CL128" s="118"/>
      <c r="CM128" s="183"/>
      <c r="CN128" s="118">
        <f t="shared" si="229"/>
        <v>7458</v>
      </c>
      <c r="CO128" s="118">
        <f t="shared" si="230"/>
        <v>9.8763572984279122</v>
      </c>
      <c r="CP128" s="186">
        <v>0.86111111111111116</v>
      </c>
      <c r="CQ128" s="118">
        <f>+CQ108*CP128++CO109*CP127+CO110*CP126+CO111*CP125+CO112*CP124+CO113*CP123+CO114*CP122+CO115*CP121+CO116*CP120+CO117*CP119+CO118*CP118+CO119*CP117+CO120*CP116+CO121*CP115+CO122*CP114+CO123*CP113+CO124*CP112+CO125*CP111+CO126*CP110+CO127*CP109+CO128</f>
        <v>300.61733515778724</v>
      </c>
      <c r="CR128" s="119">
        <f t="shared" si="231"/>
        <v>2.4575516726974261E-2</v>
      </c>
      <c r="CS128" s="119"/>
      <c r="CT128" s="177">
        <f t="shared" si="232"/>
        <v>8.7909983219688053E-3</v>
      </c>
      <c r="CU128" s="177">
        <f t="shared" si="240"/>
        <v>8.6192660731289547E-3</v>
      </c>
      <c r="CV128" s="119">
        <f>VLOOKUP($H128,RoR!$E:$F,2,FALSE)</f>
        <v>3.9299999999999995E-2</v>
      </c>
      <c r="CW128" s="177">
        <v>2.386056741932796E-2</v>
      </c>
      <c r="CX128" s="177">
        <f t="shared" si="238"/>
        <v>1.5439432580672034E-2</v>
      </c>
      <c r="CY128" s="177">
        <f t="shared" si="241"/>
        <v>2.228267553540467E-2</v>
      </c>
      <c r="CZ128" s="177">
        <f t="shared" si="242"/>
        <v>3.8270792163076606E-2</v>
      </c>
      <c r="DA128" s="187">
        <f t="shared" si="233"/>
        <v>0.89987312500000005</v>
      </c>
      <c r="DB128" s="188">
        <f t="shared" si="234"/>
        <v>1.3048868010700074</v>
      </c>
      <c r="DC128" s="188">
        <f t="shared" si="235"/>
        <v>0.33886768447837151</v>
      </c>
      <c r="DD128" s="188">
        <f t="shared" si="236"/>
        <v>0.78602506232557801</v>
      </c>
      <c r="DE128" s="188">
        <f t="shared" si="237"/>
        <v>0.34756768162358759</v>
      </c>
      <c r="DF128" s="189">
        <f>INDEX('State Tax Lookup'!$D$7:$Z$91,MATCH(Calculation!$C128,'State Tax Lookup'!$B$7:$B$91,0),MATCH($H128,'State Tax Lookup'!$D$6:$Z$6,0))</f>
        <v>0.26700499999999999</v>
      </c>
      <c r="DG128" s="189">
        <v>0.375</v>
      </c>
      <c r="DH128" s="190">
        <f t="shared" si="239"/>
        <v>20.610298891848583</v>
      </c>
      <c r="DI128" s="190">
        <v>20.3373069776699</v>
      </c>
      <c r="DJ128" s="177"/>
      <c r="DK128" s="189">
        <f>VLOOKUP($H128,RoR!$E:$F,2,FALSE)</f>
        <v>3.9299999999999995E-2</v>
      </c>
      <c r="DL128" s="191">
        <f>HLOOKUP($H128,'GDP-PI'!$D$8:$CQ$11,3,FALSE)</f>
        <v>2.386056741932796E-2</v>
      </c>
      <c r="DM128" s="189">
        <f>VLOOKUP(H128,'HW Dx Data'!$E:$F,2,FALSE)</f>
        <v>755.13671434174842</v>
      </c>
      <c r="DN128" s="183">
        <f>VLOOKUP(H128,'ECI - Input Price'!$G$17:$H$37,2,FALSE)</f>
        <v>133.25</v>
      </c>
      <c r="DO128" s="177">
        <f t="shared" ref="DO128" si="292">LN(DN128/DN127)</f>
        <v>2.8546181906361531E-2</v>
      </c>
      <c r="DP128" s="183">
        <f>HLOOKUP(H128,'GDP-PI'!$8:$9,2,FALSE)</f>
        <v>110.322</v>
      </c>
      <c r="DQ128" s="177">
        <f t="shared" ref="DQ128" si="293">LN(DP128/DP127)</f>
        <v>2.3580352716508712E-2</v>
      </c>
      <c r="DW128" s="192"/>
      <c r="DX128" s="192"/>
      <c r="DY128" s="192"/>
      <c r="DZ128" s="192"/>
      <c r="EA128" s="192"/>
      <c r="EB128" s="192"/>
      <c r="EC128" s="192"/>
      <c r="ED128" s="192"/>
      <c r="EE128" s="192"/>
    </row>
    <row r="129" spans="1:135" s="167" customFormat="1" ht="21" x14ac:dyDescent="0.35">
      <c r="A129" s="167" t="s">
        <v>34</v>
      </c>
      <c r="B129" s="168" t="s">
        <v>35</v>
      </c>
      <c r="C129" s="168">
        <v>4057110</v>
      </c>
      <c r="D129" s="168" t="s">
        <v>333</v>
      </c>
      <c r="E129" s="168" t="s">
        <v>126</v>
      </c>
      <c r="F129" s="168"/>
      <c r="G129" s="168" t="s">
        <v>25</v>
      </c>
      <c r="H129" s="169">
        <v>2019</v>
      </c>
      <c r="I129" s="170"/>
      <c r="J129" s="166">
        <f>IFERROR(INDEX('Labor Expenditures'!$F$7:$X$91,MATCH($C129,'Labor Expenditures'!$D$7:$D$91,0),MATCH($G129,'Labor Expenditures'!$F$5:$X$5,0)),"NA")</f>
        <v>5169.9679584946898</v>
      </c>
      <c r="K129" s="166">
        <f t="shared" si="245"/>
        <v>37.778355560794225</v>
      </c>
      <c r="L129" s="172">
        <f t="shared" si="252"/>
        <v>-4.6866643651885399E-2</v>
      </c>
      <c r="M129" s="172">
        <f t="shared" si="256"/>
        <v>-6.6822806069750937E-5</v>
      </c>
      <c r="N129" s="196"/>
      <c r="O129" s="172"/>
      <c r="P129" s="166">
        <f>IFERROR(INDEX('Non-Labor Expenditures'!$F$7:$AB$91,MATCH($C129,'Non-Labor Expenditures'!$D$7:$D$91,0),MATCH($G129,'Non-Labor Expenditures'!$F$5:$AB$5,0)),"NA")</f>
        <v>7487.0792207182603</v>
      </c>
      <c r="Q129" s="166">
        <f t="shared" si="246"/>
        <v>66.659655805109253</v>
      </c>
      <c r="R129" s="172">
        <f t="shared" si="257"/>
        <v>-3.8139042662553087E-2</v>
      </c>
      <c r="S129" s="172">
        <f t="shared" si="262"/>
        <v>-5.4378928229976132E-5</v>
      </c>
      <c r="T129" s="172"/>
      <c r="U129" s="172"/>
      <c r="V129" s="166">
        <f t="shared" si="227"/>
        <v>6285.1418529907178</v>
      </c>
      <c r="W129" s="170"/>
      <c r="X129" s="174">
        <v>305.78636077111298</v>
      </c>
      <c r="Y129" s="175">
        <v>1.7048546526995539E-2</v>
      </c>
      <c r="Z129" s="175">
        <f t="shared" si="263"/>
        <v>2.4307943338262044E-5</v>
      </c>
      <c r="AA129" s="175"/>
      <c r="AB129" s="175"/>
      <c r="AC129" s="170">
        <f t="shared" si="287"/>
        <v>18942.189032203667</v>
      </c>
      <c r="AD129" s="175">
        <f t="shared" si="258"/>
        <v>-9.8359871337452593E-4</v>
      </c>
      <c r="AE129" s="170"/>
      <c r="AF129" s="170"/>
      <c r="AG129" s="121">
        <f t="shared" si="259"/>
        <v>470.6601657855108</v>
      </c>
      <c r="AH129" s="119">
        <f>+AZ129/$BB$57</f>
        <v>1.0540406532946378E-3</v>
      </c>
      <c r="AI129" s="119">
        <f>+AZ129/$BC$58</f>
        <v>4.4420398019834328E-3</v>
      </c>
      <c r="AJ129" s="176">
        <f t="shared" si="264"/>
        <v>0.49609494862432235</v>
      </c>
      <c r="AK129" s="176">
        <f t="shared" si="265"/>
        <v>2.0906911896273601</v>
      </c>
      <c r="AL129" s="120">
        <f t="shared" si="247"/>
        <v>0.27293402835887726</v>
      </c>
      <c r="AM129" s="120">
        <f t="shared" si="248"/>
        <v>0.39525945010840385</v>
      </c>
      <c r="AN129" s="120">
        <f t="shared" si="249"/>
        <v>0.33180652153271889</v>
      </c>
      <c r="AO129" s="120">
        <f t="shared" si="253"/>
        <v>-2.2590512183914051E-2</v>
      </c>
      <c r="AP129" s="173">
        <f t="shared" si="268"/>
        <v>135.44913840475931</v>
      </c>
      <c r="AQ129" s="175">
        <f t="shared" si="269"/>
        <v>-2.2590512183914085E-2</v>
      </c>
      <c r="AR129" s="177">
        <f>+AC129/$AE$57</f>
        <v>1.4258073730667659E-3</v>
      </c>
      <c r="AS129" s="177">
        <f t="shared" si="270"/>
        <v>-3.220971883317931E-5</v>
      </c>
      <c r="AT129" s="177"/>
      <c r="AU129" s="177"/>
      <c r="AV129" s="177"/>
      <c r="AW129" s="190"/>
      <c r="AX129" s="120"/>
      <c r="AY129" s="120"/>
      <c r="AZ129" s="118">
        <f>IFERROR(INDEX('Total Customers'!$F$7:$AB$91,MATCH($C129,'Total Customers'!$D$7:$D$91,0),MATCH($G129,'Total Customers'!$F$5:$AB$5,0)),"NA")</f>
        <v>40246</v>
      </c>
      <c r="BA129" s="119">
        <f t="shared" si="228"/>
        <v>9.1976887970728744E-4</v>
      </c>
      <c r="BB129" s="119"/>
      <c r="BC129" s="121">
        <v>8963640</v>
      </c>
      <c r="BD129" s="119"/>
      <c r="BE129" s="119"/>
      <c r="BF129" s="119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18"/>
      <c r="BR129" s="118"/>
      <c r="BS129" s="118">
        <f>INDEX('Dist. Plant Gas Additions'!$F$7:$AE$91,MATCH($C129,'Dist. Plant Gas Additions'!$D$7:$D$91,0),MATCH(Calculation!$G129,'Dist. Plant Gas Additions'!$F$5:$AE$5,0))</f>
        <v>4079</v>
      </c>
      <c r="BT129" s="118">
        <f>INDEX('Gen. Plant Additions'!$F$7:$AE$91,MATCH($C129,'Gen. Plant Additions'!$D$7:$D$91,0),MATCH(Calculation!$G129,'Gen. Plant Additions'!$F$5:$AE$5,0))</f>
        <v>2031</v>
      </c>
      <c r="BU129" s="118"/>
      <c r="BV129" s="118"/>
      <c r="BW129" s="118" t="str">
        <f>INDEX('Dist Plant Depreciation'!$E$7:$AD$94,MATCH($C129,'Dist Plant Depreciation'!$D$7:$D$94,0),MATCH(Calculation!$G129,'Dist Plant Depreciation'!$E$5:$AD$5,0))</f>
        <v>NA</v>
      </c>
      <c r="BX129" s="118" t="str">
        <f>INDEX('Gen. Plant Depreciation'!$E$7:$AD$94,MATCH($C129,'Gen. Plant Depreciation'!$D$7:$D$94,0),MATCH(Calculation!$G129,'Gen. Plant Depreciation'!$E$5:$AD$5,0))</f>
        <v>NA</v>
      </c>
      <c r="BY129" s="183">
        <v>2019</v>
      </c>
      <c r="BZ129" s="118"/>
      <c r="CA129" s="178">
        <v>765.87924552647178</v>
      </c>
      <c r="CB129" s="118"/>
      <c r="CC129" s="118"/>
      <c r="CD129" s="118"/>
      <c r="CE129" s="118">
        <f>INDEX('Gross Dx Plant'!$E$7:$AD$91,MATCH($C129,'Gross Dx Plant'!$D$7:$D$91,0),MATCH(Calculation!$G129,'Gross Dx Plant'!$E$5:$AD$5,0))</f>
        <v>102504</v>
      </c>
      <c r="CF129" s="118">
        <f>INDEX('Gross Gen Plant'!$E$7:$AD$91,MATCH($C129,'Gross Gen Plant'!$D$7:$D$91,0),MATCH(Calculation!$G129,'Gross Gen Plant'!$E$5:$AD$5,0))</f>
        <v>37389</v>
      </c>
      <c r="CG129" s="118" t="str">
        <f t="shared" si="215"/>
        <v>NA</v>
      </c>
      <c r="CH129" s="118"/>
      <c r="CI129" s="121">
        <v>2019</v>
      </c>
      <c r="CJ129" s="118"/>
      <c r="CK129" s="118"/>
      <c r="CL129" s="118"/>
      <c r="CM129" s="183"/>
      <c r="CN129" s="118">
        <f t="shared" si="229"/>
        <v>6110</v>
      </c>
      <c r="CO129" s="118">
        <f t="shared" si="230"/>
        <v>7.8987583646703952</v>
      </c>
      <c r="CP129" s="186">
        <v>0.85106382978723405</v>
      </c>
      <c r="CQ129" s="118">
        <f>CQ108*CP129+CO109*CP128+CO110*CP127+CO111*CP126+CO112*CP125+CO113*CP124+CO114*CP123+CO115*CP122+CO116*CP121+CO117*CP120+CO118*CP119+CO119*CP118+CO120*CP117+CO121*CP116+CO122*CP115+CO123*CP114+CO124*CP113+CO125*CP112+CO126*CP111+CO127*CP110+CO128*CP109+CO129</f>
        <v>305.78636077111298</v>
      </c>
      <c r="CR129" s="119">
        <f t="shared" si="231"/>
        <v>1.7048546526995539E-2</v>
      </c>
      <c r="CS129" s="119"/>
      <c r="CT129" s="177">
        <f t="shared" si="232"/>
        <v>9.080423621983998E-3</v>
      </c>
      <c r="CU129" s="177">
        <f t="shared" si="240"/>
        <v>8.8233132681079986E-3</v>
      </c>
      <c r="CV129" s="119">
        <f>VLOOKUP($H129,RoR!$E:$F,2,FALSE)</f>
        <v>3.3875000000000009E-2</v>
      </c>
      <c r="CW129" s="177">
        <v>1.8092492884465461E-2</v>
      </c>
      <c r="CX129" s="177">
        <f t="shared" si="238"/>
        <v>1.5782507115534548E-2</v>
      </c>
      <c r="CY129" s="177">
        <f t="shared" si="241"/>
        <v>2.2078628340425628E-2</v>
      </c>
      <c r="CZ129" s="177">
        <f t="shared" si="242"/>
        <v>4.8445665544254078E-2</v>
      </c>
      <c r="DA129" s="187">
        <f t="shared" si="233"/>
        <v>0.89987312500000005</v>
      </c>
      <c r="DB129" s="188">
        <f t="shared" si="234"/>
        <v>1.513861292459078</v>
      </c>
      <c r="DC129" s="188">
        <f t="shared" si="235"/>
        <v>0.23699261992619944</v>
      </c>
      <c r="DD129" s="188">
        <f t="shared" si="236"/>
        <v>0.73619765810468829</v>
      </c>
      <c r="DE129" s="188">
        <f t="shared" si="237"/>
        <v>0.26412854465362851</v>
      </c>
      <c r="DF129" s="189">
        <f>INDEX('State Tax Lookup'!$D$7:$Z$91,MATCH(Calculation!$C129,'State Tax Lookup'!$B$7:$B$91,0),MATCH($H129,'State Tax Lookup'!$D$6:$Z$6,0))</f>
        <v>0.26700499999999999</v>
      </c>
      <c r="DG129" s="189">
        <v>0.375</v>
      </c>
      <c r="DH129" s="190">
        <f t="shared" si="239"/>
        <v>20.907449830502252</v>
      </c>
      <c r="DI129" s="190">
        <v>20.5583311140199</v>
      </c>
      <c r="DJ129" s="177"/>
      <c r="DK129" s="189">
        <f>VLOOKUP($H129,RoR!$E:$F,2,FALSE)</f>
        <v>3.3875000000000009E-2</v>
      </c>
      <c r="DL129" s="191">
        <f>HLOOKUP($H129,'GDP-PI'!$D$8:$CQ$11,3,FALSE)</f>
        <v>1.8092492884465461E-2</v>
      </c>
      <c r="DM129" s="189">
        <f>VLOOKUP(H129,'HW Dx Data'!$E:$F,2,FALSE)</f>
        <v>773.53929793938721</v>
      </c>
      <c r="DN129" s="183">
        <f>VLOOKUP(H129,'ECI - Input Price'!$G$17:$H$37,2,FALSE)</f>
        <v>136.85</v>
      </c>
      <c r="DO129" s="177">
        <f t="shared" ref="DO129" si="294">LN(DN129/DN128)</f>
        <v>2.6658372440734168E-2</v>
      </c>
      <c r="DP129" s="183">
        <f>HLOOKUP(H129,'GDP-PI'!$8:$9,2,FALSE)</f>
        <v>112.318</v>
      </c>
      <c r="DQ129" s="177">
        <f t="shared" ref="DQ129" si="295">LN(DP129/DP128)</f>
        <v>1.7930771451401852E-2</v>
      </c>
      <c r="DW129" s="192"/>
      <c r="DX129" s="192"/>
      <c r="DY129" s="192"/>
      <c r="DZ129" s="192"/>
      <c r="EA129" s="192"/>
      <c r="EB129" s="192"/>
      <c r="EC129" s="192"/>
      <c r="ED129" s="192"/>
      <c r="EE129" s="192"/>
    </row>
    <row r="130" spans="1:135" s="167" customFormat="1" ht="21" x14ac:dyDescent="0.35">
      <c r="A130" s="167" t="s">
        <v>34</v>
      </c>
      <c r="B130" s="167" t="s">
        <v>35</v>
      </c>
      <c r="C130" s="167">
        <v>4057110</v>
      </c>
      <c r="D130" s="167" t="s">
        <v>333</v>
      </c>
      <c r="E130" s="167" t="s">
        <v>126</v>
      </c>
      <c r="G130" s="168" t="s">
        <v>26</v>
      </c>
      <c r="H130" s="169">
        <v>2020</v>
      </c>
      <c r="I130" s="170"/>
      <c r="J130" s="166">
        <f>IFERROR(INDEX('Labor Expenditures'!$F$7:$X$91,MATCH($C130,'Labor Expenditures'!$D$7:$D$91,0),MATCH($G130,'Labor Expenditures'!$F$5:$X$5,0)),"NA")</f>
        <v>5550.8039337216997</v>
      </c>
      <c r="K130" s="166">
        <f t="shared" si="245"/>
        <v>39.521565921834821</v>
      </c>
      <c r="L130" s="172">
        <f t="shared" si="252"/>
        <v>4.5110161209535343E-2</v>
      </c>
      <c r="M130" s="172">
        <f t="shared" si="256"/>
        <v>6.6623079413551827E-5</v>
      </c>
      <c r="N130" s="196"/>
      <c r="O130" s="172"/>
      <c r="P130" s="166">
        <f>IFERROR(INDEX('Non-Labor Expenditures'!$F$7:$AB$91,MATCH($C130,'Non-Labor Expenditures'!$D$7:$D$91,0),MATCH($G130,'Non-Labor Expenditures'!$F$5:$AB$5,0)),"NA")</f>
        <v>8038.6008431954597</v>
      </c>
      <c r="Q130" s="166">
        <f t="shared" si="246"/>
        <v>70.748007385788611</v>
      </c>
      <c r="R130" s="172">
        <f t="shared" si="257"/>
        <v>5.9524462541706992E-2</v>
      </c>
      <c r="S130" s="172">
        <f t="shared" si="262"/>
        <v>8.7911523449108622E-5</v>
      </c>
      <c r="T130" s="172"/>
      <c r="U130" s="172"/>
      <c r="V130" s="166">
        <f t="shared" si="227"/>
        <v>6639.1702612397521</v>
      </c>
      <c r="W130" s="170"/>
      <c r="X130" s="174">
        <v>310.95351025510593</v>
      </c>
      <c r="Y130" s="175">
        <v>1.6756725589660119E-2</v>
      </c>
      <c r="Z130" s="175">
        <f t="shared" si="263"/>
        <v>2.4747964310866661E-5</v>
      </c>
      <c r="AA130" s="175"/>
      <c r="AB130" s="175"/>
      <c r="AC130" s="170">
        <f t="shared" si="287"/>
        <v>20228.575038156912</v>
      </c>
      <c r="AD130" s="175">
        <f t="shared" si="258"/>
        <v>6.5704552362965435E-2</v>
      </c>
      <c r="AE130" s="170"/>
      <c r="AF130" s="170"/>
      <c r="AG130" s="121">
        <f t="shared" si="259"/>
        <v>502.62324300941486</v>
      </c>
      <c r="AH130" s="119">
        <f>+AZ130/$BB$58</f>
        <v>1.0466300934732266E-3</v>
      </c>
      <c r="AI130" s="119">
        <f>+AZ130/$BC$59</f>
        <v>4.4158045117220265E-3</v>
      </c>
      <c r="AJ130" s="176">
        <f t="shared" si="264"/>
        <v>0.52606061181276009</v>
      </c>
      <c r="AK130" s="176">
        <f t="shared" si="265"/>
        <v>2.2194859841773305</v>
      </c>
      <c r="AL130" s="120">
        <f t="shared" si="247"/>
        <v>0.27440410030124646</v>
      </c>
      <c r="AM130" s="120">
        <f t="shared" si="248"/>
        <v>0.39738838885251904</v>
      </c>
      <c r="AN130" s="120">
        <f t="shared" si="249"/>
        <v>0.32820751084623445</v>
      </c>
      <c r="AO130" s="120">
        <f t="shared" si="253"/>
        <v>4.1466060922438597E-2</v>
      </c>
      <c r="AP130" s="173">
        <f t="shared" si="268"/>
        <v>141.1837549413045</v>
      </c>
      <c r="AQ130" s="175">
        <f t="shared" si="269"/>
        <v>4.1466060922438645E-2</v>
      </c>
      <c r="AR130" s="177">
        <f>+AC130/$AE$58</f>
        <v>1.476897391345813E-3</v>
      </c>
      <c r="AS130" s="177">
        <f t="shared" si="270"/>
        <v>6.1241117205736197E-5</v>
      </c>
      <c r="AT130" s="177"/>
      <c r="AU130" s="177"/>
      <c r="AV130" s="177"/>
      <c r="AW130" s="190"/>
      <c r="AX130" s="120"/>
      <c r="AY130" s="120"/>
      <c r="AZ130" s="118">
        <v>40246</v>
      </c>
      <c r="BA130" s="119">
        <f t="shared" si="228"/>
        <v>0</v>
      </c>
      <c r="BB130" s="119"/>
      <c r="BC130" s="121">
        <v>9060252</v>
      </c>
      <c r="BD130" s="119"/>
      <c r="BE130" s="119"/>
      <c r="BF130" s="119"/>
      <c r="BG130" s="173"/>
      <c r="BH130" s="173"/>
      <c r="BI130" s="173"/>
      <c r="BJ130" s="173"/>
      <c r="BK130" s="173"/>
      <c r="BL130" s="173"/>
      <c r="BM130" s="173"/>
      <c r="BN130" s="173"/>
      <c r="BO130" s="173"/>
      <c r="BP130" s="173"/>
      <c r="BQ130" s="118"/>
      <c r="BR130" s="118"/>
      <c r="BS130" s="118">
        <f>INDEX('Dist. Plant Gas Additions'!$F$7:$AE$91,MATCH($C130,'Dist. Plant Gas Additions'!$D$7:$D$91,0),MATCH(Calculation!$G130,'Dist. Plant Gas Additions'!$F$5:$AE$5,0))</f>
        <v>4902</v>
      </c>
      <c r="BT130" s="118">
        <f>INDEX('Gen. Plant Additions'!$F$7:$AE$91,MATCH($C130,'Gen. Plant Additions'!$D$7:$D$91,0),MATCH(Calculation!$G130,'Gen. Plant Additions'!$F$5:$AE$5,0))</f>
        <v>1640</v>
      </c>
      <c r="BU130" s="118"/>
      <c r="BV130" s="118"/>
      <c r="BW130" s="118" t="str">
        <f>INDEX('Dist Plant Depreciation'!$E$7:$AD$94,MATCH($C130,'Dist Plant Depreciation'!$D$7:$D$94,0),MATCH(Calculation!$G130,'Dist Plant Depreciation'!$E$5:$AD$5,0))</f>
        <v>NA</v>
      </c>
      <c r="BX130" s="118" t="str">
        <f>INDEX('Gen. Plant Depreciation'!$E$7:$AD$94,MATCH($C130,'Gen. Plant Depreciation'!$D$7:$D$94,0),MATCH(Calculation!$G130,'Gen. Plant Depreciation'!$E$5:$AD$5,0))</f>
        <v>NA</v>
      </c>
      <c r="BY130" s="183">
        <v>2020</v>
      </c>
      <c r="BZ130" s="118"/>
      <c r="CA130" s="178">
        <v>806.38389686319499</v>
      </c>
      <c r="CB130" s="118"/>
      <c r="CC130" s="118"/>
      <c r="CD130" s="118"/>
      <c r="CE130" s="118">
        <f>INDEX('Gross Dx Plant'!$E$7:$AD$91,MATCH($C130,'Gross Dx Plant'!$D$7:$D$91,0),MATCH(Calculation!$G130,'Gross Dx Plant'!$E$5:$AD$5,0))</f>
        <v>106266</v>
      </c>
      <c r="CF130" s="118">
        <f>INDEX('Gross Gen Plant'!$E$7:$AD$91,MATCH($C130,'Gross Gen Plant'!$D$7:$D$91,0),MATCH(Calculation!$G130,'Gross Gen Plant'!$E$5:$AD$5,0))</f>
        <v>38930</v>
      </c>
      <c r="CG130" s="118" t="str">
        <f t="shared" si="215"/>
        <v>NA</v>
      </c>
      <c r="CH130" s="118"/>
      <c r="CI130" s="121">
        <v>2020</v>
      </c>
      <c r="CJ130" s="118"/>
      <c r="CK130" s="118"/>
      <c r="CL130" s="118"/>
      <c r="CM130" s="183"/>
      <c r="CN130" s="118">
        <f t="shared" si="229"/>
        <v>6542</v>
      </c>
      <c r="CO130" s="118">
        <f t="shared" si="230"/>
        <v>8.0459471304973906</v>
      </c>
      <c r="CP130" s="186">
        <v>0.84057971014492749</v>
      </c>
      <c r="CQ130" s="118">
        <f>CQ108*CP130+CO109*CP129+CO110*CP128+CO111*CP127+CO112*CP126+CO113*CP125+CO114*CP124+CO115*CP123+CO116*CP122+CO117*CP121+CO118*CP120+CO119*CP119+CO120*CP118+CO121*CP117+CO122*CP116+CO123*CP115+CO124*CP114+CO125*CP113+CO126*CP112+CO127*CP111+CO128*CP110+CO129*CP109+CO130</f>
        <v>310.95351025510593</v>
      </c>
      <c r="CR130" s="119">
        <f t="shared" si="231"/>
        <v>1.6756725589660119E-2</v>
      </c>
      <c r="CS130" s="119"/>
      <c r="CT130" s="177">
        <f t="shared" si="232"/>
        <v>9.4144082791818261E-3</v>
      </c>
      <c r="CU130" s="177">
        <f t="shared" si="240"/>
        <v>9.0952767410448776E-3</v>
      </c>
      <c r="CV130" s="119">
        <f>VLOOKUP($H130,RoR!$E:$F,2,FALSE)</f>
        <v>2.4766666666666666E-2</v>
      </c>
      <c r="CW130" s="177">
        <v>1.1618796630994188E-2</v>
      </c>
      <c r="CX130" s="177">
        <f t="shared" si="238"/>
        <v>1.3147870035672478E-2</v>
      </c>
      <c r="CY130" s="177">
        <f t="shared" si="241"/>
        <v>2.1806664867488747E-2</v>
      </c>
      <c r="CZ130" s="177">
        <f t="shared" si="242"/>
        <v>4.5144642961987357E-2</v>
      </c>
      <c r="DA130" s="187">
        <f t="shared" si="233"/>
        <v>0.89987312500000005</v>
      </c>
      <c r="DB130" s="188">
        <f t="shared" si="234"/>
        <v>2.0706077233668081</v>
      </c>
      <c r="DC130" s="188">
        <f t="shared" si="235"/>
        <v>-3.4421265141318998E-2</v>
      </c>
      <c r="DD130" s="188">
        <f t="shared" si="236"/>
        <v>0.62416226176410472</v>
      </c>
      <c r="DE130" s="188">
        <f t="shared" si="237"/>
        <v>-4.4485877841158712E-2</v>
      </c>
      <c r="DF130" s="189">
        <f>INDEX('State Tax Lookup'!$D$7:$Z$91,MATCH(Calculation!$C130,'State Tax Lookup'!$B$7:$B$91,0),MATCH($H130,'State Tax Lookup'!$D$6:$Z$6,0))</f>
        <v>0.26700499999999999</v>
      </c>
      <c r="DG130" s="189">
        <v>0.375</v>
      </c>
      <c r="DH130" s="190">
        <f t="shared" si="239"/>
        <v>21.711793307253817</v>
      </c>
      <c r="DI130" s="190">
        <v>21.32327622305246</v>
      </c>
      <c r="DJ130" s="177"/>
      <c r="DK130" s="189">
        <f>VLOOKUP($H130,RoR!$E:$F,2,FALSE)</f>
        <v>2.4766666666666666E-2</v>
      </c>
      <c r="DL130" s="191">
        <f>HLOOKUP($H130,'GDP-PI'!$D$8:$CQ$11,3,FALSE)</f>
        <v>1.1618796630994188E-2</v>
      </c>
      <c r="DM130" s="189">
        <f>VLOOKUP(H130,'HW Dx Data'!$E:$F,2,FALSE)</f>
        <v>813.080162458833</v>
      </c>
      <c r="DN130" s="183">
        <f>VLOOKUP(H130,'ECI - Input Price'!$G$17:$H$37,2,FALSE)</f>
        <v>140.44999999999999</v>
      </c>
      <c r="DO130" s="177">
        <f t="shared" ref="DO130" si="296">LN(DN130/DN129)</f>
        <v>2.5966118063564539E-2</v>
      </c>
      <c r="DP130" s="183">
        <f>HLOOKUP(H130,'GDP-PI'!$8:$9,2,FALSE)</f>
        <v>113.623</v>
      </c>
      <c r="DQ130" s="177">
        <f t="shared" ref="DQ130" si="297">LN(DP130/DP129)</f>
        <v>1.1551816731392881E-2</v>
      </c>
      <c r="DW130" s="192"/>
      <c r="DX130" s="192"/>
      <c r="DY130" s="192"/>
      <c r="DZ130" s="192"/>
      <c r="EA130" s="192"/>
      <c r="EB130" s="192"/>
      <c r="EC130" s="192"/>
      <c r="ED130" s="192"/>
      <c r="EE130" s="192"/>
    </row>
    <row r="131" spans="1:135" s="167" customFormat="1" ht="21" x14ac:dyDescent="0.35">
      <c r="A131" s="167" t="s">
        <v>34</v>
      </c>
      <c r="B131" s="167" t="s">
        <v>35</v>
      </c>
      <c r="C131" s="167">
        <v>4057110</v>
      </c>
      <c r="D131" s="167" t="s">
        <v>333</v>
      </c>
      <c r="E131" s="167" t="s">
        <v>126</v>
      </c>
      <c r="G131" s="168" t="s">
        <v>462</v>
      </c>
      <c r="H131" s="169">
        <v>2021</v>
      </c>
      <c r="I131" s="170"/>
      <c r="J131" s="166">
        <f>IFERROR(INDEX('Labor Expenditures'!$E$7:$X$91,MATCH($C131,'Labor Expenditures'!$D$7:$D$91,0),MATCH($G131,'Labor Expenditures'!$E$5:$X$5,0)),"NA")</f>
        <v>6316.4267603490844</v>
      </c>
      <c r="K131" s="166">
        <f t="shared" si="245"/>
        <v>43.419328134381054</v>
      </c>
      <c r="L131" s="171">
        <f t="shared" si="252"/>
        <v>9.4058195063624381E-2</v>
      </c>
      <c r="M131" s="172">
        <f t="shared" si="256"/>
        <v>1.2813810459607402E-4</v>
      </c>
      <c r="N131" s="196"/>
      <c r="O131" s="172"/>
      <c r="P131" s="166">
        <f>IFERROR(INDEX('Non-Labor Expenditures'!$E$7:$AB$91,MATCH($C131,'Non-Labor Expenditures'!$D$7:$D$91,0),MATCH($G131,'Non-Labor Expenditures'!$E$5:$AB$5,0)),"NA")</f>
        <v>8903.8786862752168</v>
      </c>
      <c r="Q131" s="166">
        <f t="shared" si="246"/>
        <v>75.144558074733879</v>
      </c>
      <c r="R131" s="172">
        <f t="shared" si="257"/>
        <v>6.0289327433487881E-2</v>
      </c>
      <c r="S131" s="172">
        <f t="shared" si="262"/>
        <v>8.2133833627931206E-5</v>
      </c>
      <c r="T131" s="172"/>
      <c r="U131" s="172"/>
      <c r="V131" s="166">
        <f t="shared" si="227"/>
        <v>4871.8886168670624</v>
      </c>
      <c r="W131" s="170"/>
      <c r="X131" s="174">
        <v>306.39842588244659</v>
      </c>
      <c r="Y131" s="175"/>
      <c r="Z131" s="175">
        <f t="shared" si="263"/>
        <v>0</v>
      </c>
      <c r="AA131" s="175"/>
      <c r="AB131" s="175"/>
      <c r="AC131" s="170">
        <f t="shared" si="287"/>
        <v>20092.194063491363</v>
      </c>
      <c r="AD131" s="175">
        <f t="shared" si="258"/>
        <v>-6.7648260587534126E-3</v>
      </c>
      <c r="AE131" s="118"/>
      <c r="AF131" s="119"/>
      <c r="AG131" s="121">
        <f t="shared" si="259"/>
        <v>506.77716002450029</v>
      </c>
      <c r="AH131" s="119">
        <f>+AZ131/$BB$59</f>
        <v>1.0172111659650927E-3</v>
      </c>
      <c r="AI131" s="119">
        <f>+AZ131/$BC$44</f>
        <v>4.8072253760195515E-3</v>
      </c>
      <c r="AJ131" s="176">
        <f t="shared" si="264"/>
        <v>0.51549938583300026</v>
      </c>
      <c r="AK131" s="176">
        <f t="shared" si="265"/>
        <v>2.4361920236568988</v>
      </c>
      <c r="AL131" s="120">
        <f t="shared" si="247"/>
        <v>0.3143721756015877</v>
      </c>
      <c r="AM131" s="120">
        <f t="shared" si="248"/>
        <v>0.44315113910103332</v>
      </c>
      <c r="AN131" s="120">
        <f t="shared" si="249"/>
        <v>0.24247668529737904</v>
      </c>
      <c r="AO131" s="120">
        <f t="shared" si="253"/>
        <v>5.302739831464208E-2</v>
      </c>
      <c r="AP131" s="173">
        <f t="shared" si="268"/>
        <v>148.87241541678057</v>
      </c>
      <c r="AQ131" s="175">
        <f t="shared" si="269"/>
        <v>5.3027398314642052E-2</v>
      </c>
      <c r="AR131" s="177">
        <f>+AC131/$AE$59</f>
        <v>1.3623279131541569E-3</v>
      </c>
      <c r="AS131" s="177">
        <f t="shared" si="270"/>
        <v>7.2240704885980558E-5</v>
      </c>
      <c r="AT131" s="177"/>
      <c r="AU131" s="177"/>
      <c r="AV131" s="177"/>
      <c r="AW131" s="190"/>
      <c r="AX131" s="120"/>
      <c r="AY131" s="120"/>
      <c r="AZ131" s="118">
        <f>INDEX('Total Customers'!$E$7:$E$91,MATCH(Calculation!$C131,'Total Customers'!$D$7:$D$91,0))</f>
        <v>39647</v>
      </c>
      <c r="BA131" s="119">
        <f t="shared" si="228"/>
        <v>-1.499533686871141E-2</v>
      </c>
      <c r="BB131" s="118"/>
      <c r="BC131" s="121"/>
      <c r="BD131" s="118"/>
      <c r="BE131" s="119"/>
      <c r="BF131" s="119"/>
      <c r="BG131" s="173"/>
      <c r="BH131" s="173"/>
      <c r="BI131" s="173"/>
      <c r="BJ131" s="173"/>
      <c r="BK131" s="173"/>
      <c r="BL131" s="173"/>
      <c r="BM131" s="173"/>
      <c r="BN131" s="173"/>
      <c r="BO131" s="173"/>
      <c r="BP131" s="173"/>
      <c r="BQ131" s="118"/>
      <c r="BR131" s="118"/>
      <c r="BS131" s="118">
        <f>INDEX('Dist. Plant Gas Additions'!$E$7:$AE$91,MATCH($C131,'Dist. Plant Gas Additions'!$D$7:$D$91,0),MATCH(Calculation!$G131,'Dist. Plant Gas Additions'!$E$5:$AE$5,0))</f>
        <v>876</v>
      </c>
      <c r="BT131" s="118">
        <f>INDEX('Gen. Plant Additions'!$E$7:$AE$91,MATCH($C131,'Gen. Plant Additions'!$D$7:$D$91,0),MATCH(Calculation!$G131,'Gen. Plant Additions'!$E$5:$AE$5,0))</f>
        <v>4430</v>
      </c>
      <c r="BU131" s="118"/>
      <c r="BV131" s="118"/>
      <c r="BW131" s="118"/>
      <c r="BX131" s="118"/>
      <c r="BY131" s="183"/>
      <c r="BZ131" s="183"/>
      <c r="CA131" s="178"/>
      <c r="CB131" s="184"/>
      <c r="CC131" s="185"/>
      <c r="CD131" s="185"/>
      <c r="CE131" s="118"/>
      <c r="CF131" s="118"/>
      <c r="CG131" s="118"/>
      <c r="CH131" s="118"/>
      <c r="CI131" s="121">
        <v>2021</v>
      </c>
      <c r="CJ131" s="118"/>
      <c r="CK131" s="118"/>
      <c r="CL131" s="118"/>
      <c r="CM131" s="183"/>
      <c r="CN131" s="118">
        <f t="shared" si="229"/>
        <v>5306</v>
      </c>
      <c r="CO131" s="118">
        <f t="shared" si="230"/>
        <v>5.6868939435597383</v>
      </c>
      <c r="CP131" s="186">
        <f>+(51-23)/(51-23*0.75)</f>
        <v>0.82962962962962961</v>
      </c>
      <c r="CQ131" s="118">
        <f>CQ108*CP131+CO109*CP130+CO110*CP129+CO111*CP128+CO112*CP127+CO113*CP126+CO114*CP125+CO115*CP124+CO116*CP123+CO117*CP122+CO118*CP121+CO119*CP120+CO120*CP119+CO121*CP118+CO122*CP117+CO113*CP116+CO124*CP115+CO125*CP114+CO126*CP113+CO127*CP112+CO128*CP111+CO129*CP110+CO131+CO130*CP109</f>
        <v>306.39842588244659</v>
      </c>
      <c r="CR131" s="119"/>
      <c r="CS131" s="118"/>
      <c r="CT131" s="177">
        <f t="shared" si="232"/>
        <v>3.2937329788676667E-2</v>
      </c>
      <c r="CU131" s="177">
        <f t="shared" si="240"/>
        <v>1.7144053896614164E-2</v>
      </c>
      <c r="CV131" s="119">
        <f>VLOOKUP($H131,RoR!$E:$F,2,FALSE)</f>
        <v>2.7033333333333336E-2</v>
      </c>
      <c r="CW131" s="177"/>
      <c r="CX131" s="177"/>
      <c r="CY131" s="177">
        <f t="shared" si="241"/>
        <v>1.3757887711919461E-2</v>
      </c>
      <c r="CZ131" s="177">
        <f t="shared" si="242"/>
        <v>7.433422950153494E-2</v>
      </c>
      <c r="DA131" s="187">
        <f t="shared" si="233"/>
        <v>0.89987312500000005</v>
      </c>
      <c r="DB131" s="188">
        <f t="shared" si="234"/>
        <v>1.8969932656739068</v>
      </c>
      <c r="DC131" s="188">
        <f t="shared" si="235"/>
        <v>5.0215782983970621E-2</v>
      </c>
      <c r="DD131" s="188">
        <f t="shared" si="236"/>
        <v>0.655952481704143</v>
      </c>
      <c r="DE131" s="188">
        <f t="shared" si="237"/>
        <v>6.2485378865697057E-2</v>
      </c>
      <c r="DF131" s="189">
        <f>DF130</f>
        <v>0.26700499999999999</v>
      </c>
      <c r="DG131" s="189">
        <v>0.375</v>
      </c>
      <c r="DH131" s="190">
        <f t="shared" si="239"/>
        <v>15.667578773657098</v>
      </c>
      <c r="DI131" s="190"/>
      <c r="DJ131" s="177">
        <f t="shared" ref="DJ131" si="298">LN(DH131/DH130)</f>
        <v>-0.32626205235784367</v>
      </c>
      <c r="DK131" s="189">
        <f>VLOOKUP($H131,RoR!$E:$F,2,FALSE)</f>
        <v>2.7033333333333336E-2</v>
      </c>
      <c r="DL131" s="191">
        <f>HLOOKUP($H131,'GDP-PI'!$D$8:$CR$11,3,FALSE)</f>
        <v>4.2834637353352578E-2</v>
      </c>
      <c r="DM131" s="189">
        <f>VLOOKUP(H131,'HW Dx Data'!$E:$F,2,FALSE)</f>
        <v>933.02249921662576</v>
      </c>
      <c r="DN131" s="183">
        <f>VLOOKUP(H131,'ECI - Input Price'!$G$17:$H$37,2,FALSE)</f>
        <v>145.47500000000002</v>
      </c>
      <c r="DO131" s="177">
        <f t="shared" ref="DO131" si="299">LN(DN131/DN130)</f>
        <v>3.5152696992481205E-2</v>
      </c>
      <c r="DP131" s="183">
        <f>HLOOKUP(H131,'GDP-PI'!$8:$9,2,FALSE)</f>
        <v>118.49</v>
      </c>
      <c r="DQ131" s="177">
        <f t="shared" ref="DQ131" si="300">LN(DP131/DP130)</f>
        <v>4.194261824609434E-2</v>
      </c>
      <c r="DW131" s="192"/>
      <c r="DX131" s="192"/>
      <c r="DY131" s="192"/>
      <c r="DZ131" s="192"/>
      <c r="EA131" s="192"/>
      <c r="EB131" s="192"/>
      <c r="EC131" s="192"/>
      <c r="ED131" s="192"/>
      <c r="EE131" s="192"/>
    </row>
    <row r="132" spans="1:135" s="167" customFormat="1" ht="21" x14ac:dyDescent="0.35">
      <c r="A132" s="167" t="s">
        <v>36</v>
      </c>
      <c r="B132" s="168" t="s">
        <v>36</v>
      </c>
      <c r="C132" s="168">
        <v>4058516</v>
      </c>
      <c r="D132" s="168" t="s">
        <v>131</v>
      </c>
      <c r="E132" s="168"/>
      <c r="F132" s="168"/>
      <c r="G132" s="168" t="s">
        <v>4</v>
      </c>
      <c r="H132" s="169">
        <v>1998</v>
      </c>
      <c r="I132" s="170"/>
      <c r="J132" s="166"/>
      <c r="K132" s="166"/>
      <c r="L132" s="166"/>
      <c r="M132" s="166"/>
      <c r="N132" s="196"/>
      <c r="O132" s="166"/>
      <c r="P132" s="166"/>
      <c r="Q132" s="166"/>
      <c r="R132" s="166"/>
      <c r="S132" s="166"/>
      <c r="T132" s="166"/>
      <c r="U132" s="166"/>
      <c r="V132" s="166"/>
      <c r="W132" s="170"/>
      <c r="X132" s="174">
        <v>408.38404338119699</v>
      </c>
      <c r="Y132" s="175"/>
      <c r="Z132" s="166"/>
      <c r="AA132" s="175"/>
      <c r="AB132" s="175"/>
      <c r="AC132" s="170">
        <f t="shared" si="287"/>
        <v>0</v>
      </c>
      <c r="AD132" s="170"/>
      <c r="AE132" s="170"/>
      <c r="AF132" s="119"/>
      <c r="AG132" s="174"/>
      <c r="AH132" s="175"/>
      <c r="AI132" s="119"/>
      <c r="AJ132" s="174"/>
      <c r="AK132" s="174"/>
      <c r="AL132" s="120"/>
      <c r="AM132" s="120"/>
      <c r="AN132" s="120"/>
      <c r="AO132" s="120"/>
      <c r="AP132" s="120"/>
      <c r="AQ132" s="175">
        <f>AVERAGE(AQ141:AQ155)</f>
        <v>1.4309153987875927E-2</v>
      </c>
      <c r="AR132" s="120"/>
      <c r="AS132" s="120"/>
      <c r="AT132" s="120"/>
      <c r="AU132" s="120"/>
      <c r="AV132" s="120"/>
      <c r="AW132" s="120"/>
      <c r="AX132" s="120"/>
      <c r="AY132" s="120"/>
      <c r="AZ132" s="118">
        <f>IFERROR(INDEX('Total Customers'!$F$7:$AB$91,MATCH($C132,'Total Customers'!$D$7:$D$91,0),MATCH($G132,'Total Customers'!$F$5:$AB$5,0)),"NA")</f>
        <v>107197</v>
      </c>
      <c r="BA132" s="119"/>
      <c r="BB132" s="119"/>
      <c r="BC132" s="121"/>
      <c r="BD132" s="119"/>
      <c r="BE132" s="119"/>
      <c r="BF132" s="119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18">
        <f>INDEX('Gross Dx Plant'!$E$7:$AD$91,MATCH($C132,'Gross Dx Plant'!$D$7:$D$91,0),MATCH(Calculation!$G132,'Gross Dx Plant'!$E$5:$AD$5,0))</f>
        <v>108976</v>
      </c>
      <c r="BR132" s="118">
        <f>INDEX('Gross Gen Plant'!$E$7:$AD$91,MATCH($C132,'Gross Gen Plant'!$D$7:$D$91,0),MATCH(Calculation!$G132,'Gross Gen Plant'!$E$5:$AD$5,0))</f>
        <v>27016</v>
      </c>
      <c r="BS132" s="118">
        <f>INDEX('Dist. Plant Gas Additions'!$F$7:$AE$91,MATCH($C132,'Dist. Plant Gas Additions'!$D$7:$D$91,0),MATCH(Calculation!$G132,'Dist. Plant Gas Additions'!$F$5:$AE$5,0))</f>
        <v>5691</v>
      </c>
      <c r="BT132" s="118">
        <f>INDEX('Gen. Plant Additions'!$F$7:$AE$91,MATCH($C132,'Gen. Plant Additions'!$D$7:$D$91,0),MATCH(Calculation!$G132,'Gen. Plant Additions'!$F$5:$AE$5,0))</f>
        <v>2288</v>
      </c>
      <c r="BU132" s="118" t="e">
        <f>INDEX('Dist Plant Depreciation'!$E$7:$AA$94,MATCH($C132,'Dist Plant Depreciation'!$D$7:$D$94,0),MATCH(#REF!,'Dist Plant Depreciation'!$E$5:$AA$5,0))</f>
        <v>#REF!</v>
      </c>
      <c r="BV132" s="118" t="e">
        <f>INDEX('Gen. Plant Depreciation'!$E$7:$AA$94,MATCH($C132,'Gen. Plant Depreciation'!$D$7:$D$94,0),MATCH(#REF!,'Gen. Plant Depreciation'!$E$5:$AA$5,0))</f>
        <v>#REF!</v>
      </c>
      <c r="BW132" s="118">
        <f>INDEX('Dist Plant Depreciation'!$E$7:$AD$94,MATCH($C132,'Dist Plant Depreciation'!$D$7:$D$94,0),MATCH(Calculation!$G132,'Dist Plant Depreciation'!$E$5:$AD$5,0))</f>
        <v>43585</v>
      </c>
      <c r="BX132" s="118">
        <f>INDEX('Gen. Plant Depreciation'!$E$7:$AD$94,MATCH($C132,'Gen. Plant Depreciation'!$D$7:$D$94,0),MATCH(Calculation!$G132,'Gen. Plant Depreciation'!$E$5:$AD$5,0))</f>
        <v>10028</v>
      </c>
      <c r="BY132" s="118"/>
      <c r="BZ132" s="118"/>
      <c r="CA132" s="118"/>
      <c r="CB132" s="118"/>
      <c r="CC132" s="118"/>
      <c r="CD132" s="118"/>
      <c r="CE132" s="118">
        <f>INDEX('Gross Dx Plant'!$E$7:$AD$91,MATCH($C132,'Gross Dx Plant'!$D$7:$D$91,0),MATCH(Calculation!$G132,'Gross Dx Plant'!$E$5:$AD$5,0))</f>
        <v>108976</v>
      </c>
      <c r="CF132" s="118">
        <f>INDEX('Gross Gen Plant'!$E$7:$AD$91,MATCH($C132,'Gross Gen Plant'!$D$7:$D$91,0),MATCH(Calculation!$G132,'Gross Gen Plant'!$E$5:$AD$5,0))</f>
        <v>27016</v>
      </c>
      <c r="CG132" s="118">
        <f t="shared" si="215"/>
        <v>82379</v>
      </c>
      <c r="CH132" s="118"/>
      <c r="CI132" s="121">
        <v>1998</v>
      </c>
      <c r="CJ132" s="118">
        <f>BQ132+BR132</f>
        <v>135992</v>
      </c>
      <c r="CK132" s="118">
        <f>43585+10028</f>
        <v>53613</v>
      </c>
      <c r="CL132" s="118">
        <f>+CJ132-CK132</f>
        <v>82379</v>
      </c>
      <c r="CM132" s="118">
        <f>CL132/$CD$36</f>
        <v>408.38404338119699</v>
      </c>
      <c r="CN132" s="183"/>
      <c r="CO132" s="183"/>
      <c r="CP132" s="186">
        <v>1</v>
      </c>
      <c r="CQ132" s="118">
        <f>+CM132</f>
        <v>408.38404338119699</v>
      </c>
      <c r="CR132" s="119"/>
      <c r="CS132" s="119"/>
      <c r="CT132" s="177"/>
      <c r="CU132" s="177"/>
      <c r="CV132" s="119" t="e">
        <f>VLOOKUP($H132,RoR!$E:$F,2,FALSE)</f>
        <v>#N/A</v>
      </c>
      <c r="CW132" s="177">
        <v>1.1028127770464469E-2</v>
      </c>
      <c r="CX132" s="177"/>
      <c r="CY132" s="177"/>
      <c r="CZ132" s="177"/>
      <c r="DA132" s="187"/>
      <c r="DB132" s="190" t="e">
        <f>2/(DK132*39)</f>
        <v>#N/A</v>
      </c>
      <c r="DC132" s="188" t="e">
        <f>+(DK132*40-(1+DK132))/(DK132*40)</f>
        <v>#N/A</v>
      </c>
      <c r="DD132" s="188" t="e">
        <f>+(1-(1/(1+DK132)^40))</f>
        <v>#N/A</v>
      </c>
      <c r="DE132" s="188" t="e">
        <f>+DD132*DC132*DB132</f>
        <v>#N/A</v>
      </c>
      <c r="DF132" s="189">
        <f>INDEX('State Tax Lookup'!$D$7:$Z$91,MATCH(Calculation!$C132,'State Tax Lookup'!$B$7:$B$91,0),MATCH($H132,'State Tax Lookup'!$D$6:$Z$6,0))</f>
        <v>0.39224999999999999</v>
      </c>
      <c r="DG132" s="189">
        <v>0.375</v>
      </c>
      <c r="DH132" s="183"/>
      <c r="DI132" s="183"/>
      <c r="DJ132" s="177"/>
      <c r="DK132" s="189" t="e">
        <f>VLOOKUP($H132,RoR!$E:$F,2,FALSE)</f>
        <v>#N/A</v>
      </c>
      <c r="DL132" s="191">
        <f>HLOOKUP($H132,'GDP-PI'!$D$8:$CQ$11,3,FALSE)</f>
        <v>1.1028127770464469E-2</v>
      </c>
      <c r="DM132" s="189">
        <f>VLOOKUP(H132,'HW Dx Data'!$E:$F,2,FALSE)</f>
        <v>329.24564746449528</v>
      </c>
      <c r="DN132" s="183" t="e">
        <f>VLOOKUP(H132,'ECI - Input Price'!$G$17:$H$37,2,FALSE)</f>
        <v>#N/A</v>
      </c>
      <c r="DO132" s="177"/>
      <c r="DP132" s="183">
        <f>HLOOKUP(H132,'GDP-PI'!$8:$9,2,FALSE)</f>
        <v>75.266999999999996</v>
      </c>
      <c r="DW132" s="192"/>
      <c r="DX132" s="192"/>
      <c r="DY132" s="192"/>
      <c r="DZ132" s="192"/>
      <c r="EA132" s="192"/>
      <c r="EB132" s="192"/>
      <c r="EC132" s="192"/>
      <c r="ED132" s="192"/>
      <c r="EE132" s="192"/>
    </row>
    <row r="133" spans="1:135" s="167" customFormat="1" ht="21" x14ac:dyDescent="0.35">
      <c r="A133" s="167" t="s">
        <v>36</v>
      </c>
      <c r="B133" s="168" t="s">
        <v>36</v>
      </c>
      <c r="C133" s="168">
        <v>4058516</v>
      </c>
      <c r="D133" s="168" t="s">
        <v>131</v>
      </c>
      <c r="E133" s="168"/>
      <c r="F133" s="168"/>
      <c r="G133" s="168" t="s">
        <v>5</v>
      </c>
      <c r="H133" s="169">
        <v>1999</v>
      </c>
      <c r="I133" s="170"/>
      <c r="J133" s="166"/>
      <c r="K133" s="166"/>
      <c r="L133" s="166"/>
      <c r="M133" s="166"/>
      <c r="N133" s="196"/>
      <c r="O133" s="166"/>
      <c r="P133" s="166"/>
      <c r="Q133" s="166"/>
      <c r="R133" s="166"/>
      <c r="S133" s="195"/>
      <c r="T133" s="166"/>
      <c r="U133" s="166"/>
      <c r="V133" s="166">
        <f t="shared" ref="V133:V155" si="301">+CQ132*DH133</f>
        <v>0</v>
      </c>
      <c r="W133" s="170"/>
      <c r="X133" s="174">
        <v>427.42437674450576</v>
      </c>
      <c r="Y133" s="175">
        <v>4.5569361752341497E-2</v>
      </c>
      <c r="Z133" s="175"/>
      <c r="AA133" s="175"/>
      <c r="AB133" s="175"/>
      <c r="AC133" s="170">
        <f t="shared" si="287"/>
        <v>0</v>
      </c>
      <c r="AD133" s="175"/>
      <c r="AE133" s="170"/>
      <c r="AF133" s="119"/>
      <c r="AG133" s="174"/>
      <c r="AH133" s="175"/>
      <c r="AI133" s="119"/>
      <c r="AJ133" s="174"/>
      <c r="AK133" s="174"/>
      <c r="AL133" s="120"/>
      <c r="AM133" s="120"/>
      <c r="AN133" s="120"/>
      <c r="AO133" s="120"/>
      <c r="AP133" s="120"/>
      <c r="AQ133" s="175"/>
      <c r="AR133" s="120"/>
      <c r="AS133" s="120"/>
      <c r="AT133" s="120"/>
      <c r="AU133" s="120"/>
      <c r="AV133" s="120"/>
      <c r="AW133" s="120"/>
      <c r="AX133" s="120"/>
      <c r="AY133" s="120"/>
      <c r="AZ133" s="118">
        <f>IFERROR(INDEX('Total Customers'!$F$7:$AB$91,MATCH($C133,'Total Customers'!$D$7:$D$91,0),MATCH($G133,'Total Customers'!$F$5:$AB$5,0)),"NA")</f>
        <v>109707</v>
      </c>
      <c r="BA133" s="119">
        <f t="shared" ref="BA133:BA155" si="302">LN(AZ133/AZ132)</f>
        <v>2.3144912466880985E-2</v>
      </c>
      <c r="BB133" s="119"/>
      <c r="BC133" s="121"/>
      <c r="BD133" s="119"/>
      <c r="BE133" s="119"/>
      <c r="BF133" s="119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18"/>
      <c r="BR133" s="118"/>
      <c r="BS133" s="118">
        <f>INDEX('Dist. Plant Gas Additions'!$F$7:$AE$91,MATCH($C133,'Dist. Plant Gas Additions'!$D$7:$D$91,0),MATCH(Calculation!$G133,'Dist. Plant Gas Additions'!$F$5:$AE$5,0))</f>
        <v>4408</v>
      </c>
      <c r="BT133" s="118">
        <f>INDEX('Gen. Plant Additions'!$F$7:$AE$91,MATCH($C133,'Gen. Plant Additions'!$D$7:$D$91,0),MATCH(Calculation!$G133,'Gen. Plant Additions'!$F$5:$AE$5,0))</f>
        <v>2658</v>
      </c>
      <c r="BU133" s="118"/>
      <c r="BV133" s="118"/>
      <c r="BW133" s="118">
        <f>INDEX('Dist Plant Depreciation'!$E$7:$AD$94,MATCH($C133,'Dist Plant Depreciation'!$D$7:$D$94,0),MATCH(Calculation!$G133,'Dist Plant Depreciation'!$E$5:$AD$5,0))</f>
        <v>45779</v>
      </c>
      <c r="BX133" s="118">
        <f>INDEX('Gen. Plant Depreciation'!$E$7:$AD$94,MATCH($C133,'Gen. Plant Depreciation'!$D$7:$D$94,0),MATCH(Calculation!$G133,'Gen. Plant Depreciation'!$E$5:$AD$5,0))</f>
        <v>10961</v>
      </c>
      <c r="BY133" s="118"/>
      <c r="BZ133" s="118"/>
      <c r="CA133" s="118"/>
      <c r="CB133" s="118"/>
      <c r="CC133" s="118"/>
      <c r="CD133" s="118"/>
      <c r="CE133" s="118">
        <f>INDEX('Gross Dx Plant'!$E$7:$AD$91,MATCH($C133,'Gross Dx Plant'!$D$7:$D$91,0),MATCH(Calculation!$G133,'Gross Dx Plant'!$E$5:$AD$5,0))</f>
        <v>112753</v>
      </c>
      <c r="CF133" s="118">
        <f>INDEX('Gross Gen Plant'!$E$7:$AD$91,MATCH($C133,'Gross Gen Plant'!$D$7:$D$91,0),MATCH(Calculation!$G133,'Gross Gen Plant'!$E$5:$AD$5,0))</f>
        <v>28439</v>
      </c>
      <c r="CG133" s="118">
        <f t="shared" si="215"/>
        <v>84452</v>
      </c>
      <c r="CH133" s="118"/>
      <c r="CI133" s="121">
        <v>1999</v>
      </c>
      <c r="CJ133" s="118"/>
      <c r="CK133" s="118"/>
      <c r="CL133" s="118"/>
      <c r="CM133" s="183"/>
      <c r="CN133" s="118">
        <f t="shared" ref="CN133:CN155" si="303">+BT133+BS133</f>
        <v>7066</v>
      </c>
      <c r="CO133" s="118">
        <f t="shared" ref="CO133:CO155" si="304">+CN133/$DM133</f>
        <v>21.072094773165485</v>
      </c>
      <c r="CP133" s="186">
        <v>0.99502487562189057</v>
      </c>
      <c r="CQ133" s="118">
        <f>+CQ132*CP133+CO133</f>
        <v>427.42437674450576</v>
      </c>
      <c r="CR133" s="119">
        <f t="shared" ref="CR133:CR154" si="305">LN(CQ133/CQ132)</f>
        <v>4.5569361752341497E-2</v>
      </c>
      <c r="CS133" s="119"/>
      <c r="CT133" s="177">
        <f t="shared" ref="CT133:CT155" si="306">+(CQ132-CQ133+CO133)/CQ132</f>
        <v>4.9751243781094735E-3</v>
      </c>
      <c r="CU133" s="177"/>
      <c r="CV133" s="119">
        <f>VLOOKUP($H133,RoR!$E:$F,2,FALSE)</f>
        <v>7.0416666666666669E-2</v>
      </c>
      <c r="CW133" s="177">
        <v>1.4335631817396832E-2</v>
      </c>
      <c r="CX133" s="177">
        <f>+CV133-CW133</f>
        <v>5.6081034849269837E-2</v>
      </c>
      <c r="CY133" s="177"/>
      <c r="CZ133" s="177"/>
      <c r="DA133" s="187">
        <f t="shared" ref="DA133:DA155" si="307">1-DF133*DG133</f>
        <v>0.85290624999999998</v>
      </c>
      <c r="DB133" s="188">
        <f t="shared" ref="DB133:DB155" si="308">2/(DK133*39)</f>
        <v>0.72826581702321336</v>
      </c>
      <c r="DC133" s="188">
        <f t="shared" ref="DC133:DC155" si="309">+(DK133*40-(1+DK133))/(DK133*40)</f>
        <v>0.61997041420118348</v>
      </c>
      <c r="DD133" s="188">
        <f t="shared" ref="DD133:DD155" si="310">+(1-(1/(1+DK133)^40))</f>
        <v>0.93425155319585029</v>
      </c>
      <c r="DE133" s="188">
        <f t="shared" ref="DE133:DE155" si="311">+DD133*DC133*DB133</f>
        <v>0.42181762214141483</v>
      </c>
      <c r="DF133" s="189">
        <f>INDEX('State Tax Lookup'!$D$7:$Z$91,MATCH(Calculation!$C133,'State Tax Lookup'!$B$7:$B$91,0),MATCH($H133,'State Tax Lookup'!$D$6:$Z$6,0))</f>
        <v>0.39224999999999999</v>
      </c>
      <c r="DG133" s="189">
        <v>0.375</v>
      </c>
      <c r="DH133" s="190"/>
      <c r="DI133" s="190"/>
      <c r="DJ133" s="177"/>
      <c r="DK133" s="189">
        <f>VLOOKUP($H133,RoR!$E:$F,2,FALSE)</f>
        <v>7.0416666666666669E-2</v>
      </c>
      <c r="DL133" s="191">
        <f>HLOOKUP($H133,'GDP-PI'!$D$8:$CQ$11,3,FALSE)</f>
        <v>1.4335631817396832E-2</v>
      </c>
      <c r="DM133" s="189">
        <f>VLOOKUP(H133,'HW Dx Data'!$E:$F,2,FALSE)</f>
        <v>335.32499146683239</v>
      </c>
      <c r="DN133" s="183" t="e">
        <f>VLOOKUP(H133,'ECI - Input Price'!$G$17:$H$37,2,FALSE)</f>
        <v>#N/A</v>
      </c>
      <c r="DO133" s="177"/>
      <c r="DP133" s="183">
        <f>HLOOKUP(H133,'GDP-PI'!$8:$9,2,FALSE)</f>
        <v>76.346000000000004</v>
      </c>
      <c r="DW133" s="192"/>
      <c r="DX133" s="192"/>
      <c r="DY133" s="192"/>
      <c r="DZ133" s="192"/>
      <c r="EA133" s="192"/>
      <c r="EB133" s="192"/>
      <c r="EC133" s="192"/>
      <c r="ED133" s="192"/>
      <c r="EE133" s="192"/>
    </row>
    <row r="134" spans="1:135" s="167" customFormat="1" ht="21" x14ac:dyDescent="0.35">
      <c r="A134" s="167" t="s">
        <v>36</v>
      </c>
      <c r="B134" s="168" t="s">
        <v>36</v>
      </c>
      <c r="C134" s="168">
        <v>4058516</v>
      </c>
      <c r="D134" s="168" t="s">
        <v>131</v>
      </c>
      <c r="E134" s="168"/>
      <c r="F134" s="168"/>
      <c r="G134" s="168" t="s">
        <v>6</v>
      </c>
      <c r="H134" s="169">
        <v>2000</v>
      </c>
      <c r="I134" s="170"/>
      <c r="J134" s="166"/>
      <c r="K134" s="166"/>
      <c r="L134" s="166"/>
      <c r="M134" s="166"/>
      <c r="N134" s="196"/>
      <c r="O134" s="166"/>
      <c r="P134" s="166"/>
      <c r="Q134" s="166"/>
      <c r="R134" s="166"/>
      <c r="S134" s="166"/>
      <c r="T134" s="166"/>
      <c r="U134" s="166"/>
      <c r="V134" s="166">
        <f t="shared" si="301"/>
        <v>0</v>
      </c>
      <c r="W134" s="170"/>
      <c r="X134" s="174">
        <v>438.05901659183206</v>
      </c>
      <c r="Y134" s="175">
        <v>2.4576266152221752E-2</v>
      </c>
      <c r="Z134" s="175"/>
      <c r="AA134" s="175"/>
      <c r="AB134" s="175"/>
      <c r="AC134" s="170">
        <f t="shared" si="287"/>
        <v>0</v>
      </c>
      <c r="AD134" s="175"/>
      <c r="AE134" s="170"/>
      <c r="AF134" s="170"/>
      <c r="AG134" s="174"/>
      <c r="AH134" s="175"/>
      <c r="AI134" s="175"/>
      <c r="AJ134" s="174"/>
      <c r="AK134" s="174"/>
      <c r="AL134" s="120"/>
      <c r="AM134" s="120"/>
      <c r="AN134" s="120"/>
      <c r="AO134" s="120"/>
      <c r="AP134" s="120"/>
      <c r="AQ134" s="175"/>
      <c r="AR134" s="120"/>
      <c r="AS134" s="120"/>
      <c r="AT134" s="120"/>
      <c r="AU134" s="120"/>
      <c r="AV134" s="120"/>
      <c r="AW134" s="120"/>
      <c r="AX134" s="120"/>
      <c r="AY134" s="120"/>
      <c r="AZ134" s="118">
        <f>IFERROR(INDEX('Total Customers'!$F$7:$AB$91,MATCH($C134,'Total Customers'!$D$7:$D$91,0),MATCH($G134,'Total Customers'!$F$5:$AB$5,0)),"NA")</f>
        <v>112401</v>
      </c>
      <c r="BA134" s="119">
        <f t="shared" si="302"/>
        <v>2.4259658579801308E-2</v>
      </c>
      <c r="BB134" s="119"/>
      <c r="BC134" s="121"/>
      <c r="BD134" s="119"/>
      <c r="BE134" s="119"/>
      <c r="BF134" s="119"/>
      <c r="BG134" s="173"/>
      <c r="BH134" s="173"/>
      <c r="BI134" s="173"/>
      <c r="BJ134" s="173"/>
      <c r="BK134" s="173"/>
      <c r="BL134" s="173"/>
      <c r="BM134" s="173"/>
      <c r="BN134" s="173"/>
      <c r="BO134" s="173"/>
      <c r="BP134" s="173"/>
      <c r="BQ134" s="118"/>
      <c r="BR134" s="118"/>
      <c r="BS134" s="118">
        <f>INDEX('Dist. Plant Gas Additions'!$F$7:$AE$91,MATCH($C134,'Dist. Plant Gas Additions'!$D$7:$D$91,0),MATCH(Calculation!$G134,'Dist. Plant Gas Additions'!$F$5:$AE$5,0))</f>
        <v>3129</v>
      </c>
      <c r="BT134" s="118">
        <f>INDEX('Gen. Plant Additions'!$F$7:$AE$91,MATCH($C134,'Gen. Plant Additions'!$D$7:$D$91,0),MATCH(Calculation!$G134,'Gen. Plant Additions'!$F$5:$AE$5,0))</f>
        <v>1318</v>
      </c>
      <c r="BU134" s="118"/>
      <c r="BV134" s="118"/>
      <c r="BW134" s="118">
        <f>INDEX('Dist Plant Depreciation'!$E$7:$AD$94,MATCH($C134,'Dist Plant Depreciation'!$D$7:$D$94,0),MATCH(Calculation!$G134,'Dist Plant Depreciation'!$E$5:$AD$5,0))</f>
        <v>35489</v>
      </c>
      <c r="BX134" s="118">
        <f>INDEX('Gen. Plant Depreciation'!$E$7:$AD$94,MATCH($C134,'Gen. Plant Depreciation'!$D$7:$D$94,0),MATCH(Calculation!$G134,'Gen. Plant Depreciation'!$E$5:$AD$5,0))</f>
        <v>10722</v>
      </c>
      <c r="BY134" s="118"/>
      <c r="BZ134" s="118"/>
      <c r="CA134" s="118"/>
      <c r="CB134" s="118"/>
      <c r="CC134" s="118"/>
      <c r="CD134" s="118"/>
      <c r="CE134" s="118">
        <f>INDEX('Gross Dx Plant'!$E$7:$AD$91,MATCH($C134,'Gross Dx Plant'!$D$7:$D$91,0),MATCH(Calculation!$G134,'Gross Dx Plant'!$E$5:$AD$5,0))</f>
        <v>84789</v>
      </c>
      <c r="CF134" s="118">
        <f>INDEX('Gross Gen Plant'!$E$7:$AD$91,MATCH($C134,'Gross Gen Plant'!$D$7:$D$91,0),MATCH(Calculation!$G134,'Gross Gen Plant'!$E$5:$AD$5,0))</f>
        <v>24273</v>
      </c>
      <c r="CG134" s="118">
        <f t="shared" si="215"/>
        <v>62851</v>
      </c>
      <c r="CH134" s="118"/>
      <c r="CI134" s="121">
        <v>2000</v>
      </c>
      <c r="CJ134" s="118"/>
      <c r="CK134" s="118"/>
      <c r="CL134" s="118"/>
      <c r="CM134" s="183"/>
      <c r="CN134" s="118">
        <f t="shared" si="303"/>
        <v>4447</v>
      </c>
      <c r="CO134" s="118">
        <f t="shared" si="304"/>
        <v>12.83280607715816</v>
      </c>
      <c r="CP134" s="186">
        <v>0.98989898989898994</v>
      </c>
      <c r="CQ134" s="118">
        <f>+CQ132*CP134+CO133*CP133+CO134</f>
        <v>438.05901659183206</v>
      </c>
      <c r="CR134" s="119">
        <f t="shared" si="305"/>
        <v>2.4576266152221752E-2</v>
      </c>
      <c r="CS134" s="119"/>
      <c r="CT134" s="177">
        <f t="shared" si="306"/>
        <v>5.1428190562603851E-3</v>
      </c>
      <c r="CU134" s="177"/>
      <c r="CV134" s="119">
        <f>VLOOKUP($H134,RoR!$E:$F,2,FALSE)</f>
        <v>7.6225000000000001E-2</v>
      </c>
      <c r="CW134" s="177">
        <v>2.2568307442433211E-2</v>
      </c>
      <c r="CX134" s="177">
        <f t="shared" ref="CX134:CX154" si="312">+CV134-CW134</f>
        <v>5.365669255756679E-2</v>
      </c>
      <c r="CY134" s="177"/>
      <c r="CZ134" s="177"/>
      <c r="DA134" s="187">
        <f t="shared" si="307"/>
        <v>0.85290624999999998</v>
      </c>
      <c r="DB134" s="188">
        <f t="shared" si="308"/>
        <v>0.67277207323124022</v>
      </c>
      <c r="DC134" s="188">
        <f t="shared" si="309"/>
        <v>0.6470236142997704</v>
      </c>
      <c r="DD134" s="188">
        <f t="shared" si="310"/>
        <v>0.94704866037543145</v>
      </c>
      <c r="DE134" s="188">
        <f t="shared" si="311"/>
        <v>0.41224973107878493</v>
      </c>
      <c r="DF134" s="189">
        <f>INDEX('State Tax Lookup'!$D$7:$Z$91,MATCH(Calculation!$C134,'State Tax Lookup'!$B$7:$B$91,0),MATCH($H134,'State Tax Lookup'!$D$6:$Z$6,0))</f>
        <v>0.39224999999999999</v>
      </c>
      <c r="DG134" s="189">
        <v>0.375</v>
      </c>
      <c r="DH134" s="190"/>
      <c r="DI134" s="190"/>
      <c r="DJ134" s="177"/>
      <c r="DK134" s="189">
        <f>VLOOKUP($H134,RoR!$E:$F,2,FALSE)</f>
        <v>7.6225000000000001E-2</v>
      </c>
      <c r="DL134" s="191">
        <f>HLOOKUP($H134,'GDP-PI'!$D$8:$CQ$11,3,FALSE)</f>
        <v>2.2568307442433211E-2</v>
      </c>
      <c r="DM134" s="189">
        <f>VLOOKUP(H134,'HW Dx Data'!$E:$F,2,FALSE)</f>
        <v>346.53371782150339</v>
      </c>
      <c r="DN134" s="183" t="e">
        <f>VLOOKUP(H134,'ECI - Input Price'!$G$17:$H$37,2,FALSE)</f>
        <v>#N/A</v>
      </c>
      <c r="DO134" s="177"/>
      <c r="DP134" s="183">
        <f>HLOOKUP(H134,'GDP-PI'!$8:$9,2,FALSE)</f>
        <v>78.069000000000003</v>
      </c>
      <c r="DW134" s="192"/>
      <c r="DX134" s="192"/>
      <c r="DY134" s="192"/>
      <c r="DZ134" s="192"/>
      <c r="EA134" s="192"/>
      <c r="EB134" s="192"/>
      <c r="EC134" s="192"/>
      <c r="ED134" s="192"/>
      <c r="EE134" s="192"/>
    </row>
    <row r="135" spans="1:135" s="167" customFormat="1" ht="21" x14ac:dyDescent="0.35">
      <c r="A135" s="167" t="s">
        <v>36</v>
      </c>
      <c r="B135" s="168" t="s">
        <v>36</v>
      </c>
      <c r="C135" s="168">
        <v>4058516</v>
      </c>
      <c r="D135" s="168" t="s">
        <v>131</v>
      </c>
      <c r="E135" s="168"/>
      <c r="F135" s="168"/>
      <c r="G135" s="168" t="s">
        <v>7</v>
      </c>
      <c r="H135" s="169">
        <v>2001</v>
      </c>
      <c r="I135" s="170"/>
      <c r="J135" s="166"/>
      <c r="K135" s="166"/>
      <c r="L135" s="166"/>
      <c r="M135" s="166"/>
      <c r="N135" s="196"/>
      <c r="O135" s="166"/>
      <c r="P135" s="166"/>
      <c r="Q135" s="166"/>
      <c r="R135" s="166"/>
      <c r="S135" s="166"/>
      <c r="T135" s="166"/>
      <c r="U135" s="166"/>
      <c r="V135" s="166">
        <f t="shared" si="301"/>
        <v>5592.4141078791899</v>
      </c>
      <c r="W135" s="170"/>
      <c r="X135" s="174">
        <v>447.79504986449592</v>
      </c>
      <c r="Y135" s="175">
        <v>2.1982007382047572E-2</v>
      </c>
      <c r="Z135" s="175"/>
      <c r="AA135" s="175"/>
      <c r="AB135" s="175"/>
      <c r="AC135" s="170">
        <f t="shared" si="287"/>
        <v>5592.4141078791899</v>
      </c>
      <c r="AD135" s="175"/>
      <c r="AE135" s="170"/>
      <c r="AF135" s="170"/>
      <c r="AG135" s="174"/>
      <c r="AH135" s="175"/>
      <c r="AI135" s="175"/>
      <c r="AJ135" s="174"/>
      <c r="AK135" s="174"/>
      <c r="AL135" s="120"/>
      <c r="AM135" s="120"/>
      <c r="AN135" s="120"/>
      <c r="AO135" s="120"/>
      <c r="AP135" s="120"/>
      <c r="AQ135" s="175"/>
      <c r="AR135" s="120"/>
      <c r="AS135" s="120"/>
      <c r="AT135" s="120"/>
      <c r="AU135" s="120"/>
      <c r="AV135" s="120"/>
      <c r="AW135" s="120"/>
      <c r="AX135" s="120"/>
      <c r="AY135" s="120"/>
      <c r="AZ135" s="118">
        <f>IFERROR(INDEX('Total Customers'!$F$7:$AB$91,MATCH($C135,'Total Customers'!$D$7:$D$91,0),MATCH($G135,'Total Customers'!$F$5:$AB$5,0)),"NA")</f>
        <v>114211</v>
      </c>
      <c r="BA135" s="119">
        <f t="shared" si="302"/>
        <v>1.5974780607734464E-2</v>
      </c>
      <c r="BB135" s="119"/>
      <c r="BC135" s="121"/>
      <c r="BD135" s="119"/>
      <c r="BE135" s="119"/>
      <c r="BF135" s="119"/>
      <c r="BG135" s="173"/>
      <c r="BH135" s="173"/>
      <c r="BI135" s="173"/>
      <c r="BJ135" s="173"/>
      <c r="BK135" s="173"/>
      <c r="BL135" s="173"/>
      <c r="BM135" s="173"/>
      <c r="BN135" s="173"/>
      <c r="BO135" s="173"/>
      <c r="BP135" s="173"/>
      <c r="BQ135" s="118"/>
      <c r="BR135" s="118"/>
      <c r="BS135" s="118">
        <f>INDEX('Dist. Plant Gas Additions'!$F$7:$AE$91,MATCH($C135,'Dist. Plant Gas Additions'!$D$7:$D$91,0),MATCH(Calculation!$G135,'Dist. Plant Gas Additions'!$F$5:$AE$5,0))</f>
        <v>2569</v>
      </c>
      <c r="BT135" s="118">
        <f>INDEX('Gen. Plant Additions'!$F$7:$AE$91,MATCH($C135,'Gen. Plant Additions'!$D$7:$D$91,0),MATCH(Calculation!$G135,'Gen. Plant Additions'!$F$5:$AE$5,0))</f>
        <v>1673</v>
      </c>
      <c r="BU135" s="118"/>
      <c r="BV135" s="118"/>
      <c r="BW135" s="118">
        <f>INDEX('Dist Plant Depreciation'!$E$7:$AD$94,MATCH($C135,'Dist Plant Depreciation'!$D$7:$D$94,0),MATCH(Calculation!$G135,'Dist Plant Depreciation'!$E$5:$AD$5,0))</f>
        <v>37457</v>
      </c>
      <c r="BX135" s="118">
        <f>INDEX('Gen. Plant Depreciation'!$E$7:$AD$94,MATCH($C135,'Gen. Plant Depreciation'!$D$7:$D$94,0),MATCH(Calculation!$G135,'Gen. Plant Depreciation'!$E$5:$AD$5,0))</f>
        <v>11128</v>
      </c>
      <c r="BY135" s="118"/>
      <c r="BZ135" s="118"/>
      <c r="CA135" s="118"/>
      <c r="CB135" s="118"/>
      <c r="CC135" s="118"/>
      <c r="CD135" s="118"/>
      <c r="CE135" s="118">
        <f>INDEX('Gross Dx Plant'!$E$7:$AD$91,MATCH($C135,'Gross Dx Plant'!$D$7:$D$91,0),MATCH(Calculation!$G135,'Gross Dx Plant'!$E$5:$AD$5,0))</f>
        <v>87180</v>
      </c>
      <c r="CF135" s="118">
        <f>INDEX('Gross Gen Plant'!$E$7:$AD$91,MATCH($C135,'Gross Gen Plant'!$D$7:$D$91,0),MATCH(Calculation!$G135,'Gross Gen Plant'!$E$5:$AD$5,0))</f>
        <v>24497</v>
      </c>
      <c r="CG135" s="118">
        <f t="shared" si="215"/>
        <v>63092</v>
      </c>
      <c r="CH135" s="118"/>
      <c r="CI135" s="121">
        <v>2001</v>
      </c>
      <c r="CJ135" s="118"/>
      <c r="CK135" s="118"/>
      <c r="CL135" s="118"/>
      <c r="CM135" s="183"/>
      <c r="CN135" s="118">
        <f t="shared" si="303"/>
        <v>4242</v>
      </c>
      <c r="CO135" s="118">
        <f t="shared" si="304"/>
        <v>12.001786511762264</v>
      </c>
      <c r="CP135" s="186">
        <v>0.98461538461538467</v>
      </c>
      <c r="CQ135" s="118">
        <f>+CQ132*CP135+CO133*CP134+CO134*CP132+CO135</f>
        <v>447.79504986449592</v>
      </c>
      <c r="CR135" s="119">
        <f t="shared" si="305"/>
        <v>2.1982007382047572E-2</v>
      </c>
      <c r="CS135" s="119"/>
      <c r="CT135" s="177">
        <f t="shared" si="306"/>
        <v>5.1722556853784664E-3</v>
      </c>
      <c r="CU135" s="177">
        <f>+(CT135+CT134+CT133)/3</f>
        <v>5.0967330399161086E-3</v>
      </c>
      <c r="CV135" s="119">
        <f>VLOOKUP($H135,RoR!$E:$F,2,FALSE)</f>
        <v>7.0824999999999999E-2</v>
      </c>
      <c r="CW135" s="177">
        <v>2.2454495382290052E-2</v>
      </c>
      <c r="CX135" s="177">
        <f t="shared" si="312"/>
        <v>4.8370504617709947E-2</v>
      </c>
      <c r="CY135" s="177">
        <f>+$CX$35-CU135</f>
        <v>2.5805208568617517E-2</v>
      </c>
      <c r="CZ135" s="177">
        <f>+((DM133/DM132-1)+(DM134/DM133-1)+(DM135/DM134-1))/3</f>
        <v>2.3947275901631187E-2</v>
      </c>
      <c r="DA135" s="187">
        <f t="shared" si="307"/>
        <v>0.85290624999999998</v>
      </c>
      <c r="DB135" s="188">
        <f t="shared" si="308"/>
        <v>0.72406708481540816</v>
      </c>
      <c r="DC135" s="188">
        <f t="shared" si="309"/>
        <v>0.62201729615248857</v>
      </c>
      <c r="DD135" s="188">
        <f t="shared" si="310"/>
        <v>0.9352469954311422</v>
      </c>
      <c r="DE135" s="188">
        <f t="shared" si="311"/>
        <v>0.42121864641655071</v>
      </c>
      <c r="DF135" s="189">
        <f>INDEX('State Tax Lookup'!$D$7:$Z$91,MATCH(Calculation!$C135,'State Tax Lookup'!$B$7:$B$91,0),MATCH($H135,'State Tax Lookup'!$D$6:$Z$6,0))</f>
        <v>0.39224999999999999</v>
      </c>
      <c r="DG135" s="189">
        <v>0.375</v>
      </c>
      <c r="DH135" s="190">
        <f t="shared" ref="DH135:DH155" si="313">+(DM135*CY135-CZ135)*DA135/(1-DF135)</f>
        <v>12.766348587889025</v>
      </c>
      <c r="DI135" s="190"/>
      <c r="DJ135" s="177"/>
      <c r="DK135" s="189">
        <f>VLOOKUP($H135,RoR!$E:$F,2,FALSE)</f>
        <v>7.0824999999999999E-2</v>
      </c>
      <c r="DL135" s="191">
        <f>HLOOKUP($H135,'GDP-PI'!$D$8:$CQ$11,3,FALSE)</f>
        <v>2.2454495382290052E-2</v>
      </c>
      <c r="DM135" s="189">
        <f>VLOOKUP(H135,'HW Dx Data'!$E:$F,2,FALSE)</f>
        <v>353.44738017483138</v>
      </c>
      <c r="DN135" s="183">
        <f>VLOOKUP(H135,'ECI - Input Price'!$G$17:$H$37,2,FALSE)</f>
        <v>86.2</v>
      </c>
      <c r="DO135" s="177"/>
      <c r="DP135" s="183">
        <f>HLOOKUP(H135,'GDP-PI'!$8:$9,2,FALSE)</f>
        <v>79.822000000000003</v>
      </c>
      <c r="DW135" s="192"/>
      <c r="DX135" s="192"/>
      <c r="DY135" s="192"/>
      <c r="DZ135" s="192"/>
      <c r="EA135" s="192"/>
      <c r="EB135" s="192"/>
      <c r="EC135" s="192"/>
      <c r="ED135" s="192"/>
      <c r="EE135" s="192"/>
    </row>
    <row r="136" spans="1:135" s="167" customFormat="1" ht="21" x14ac:dyDescent="0.35">
      <c r="A136" s="167" t="s">
        <v>36</v>
      </c>
      <c r="B136" s="168" t="s">
        <v>36</v>
      </c>
      <c r="C136" s="168">
        <v>4058516</v>
      </c>
      <c r="D136" s="168" t="s">
        <v>131</v>
      </c>
      <c r="E136" s="168"/>
      <c r="F136" s="168"/>
      <c r="G136" s="168" t="s">
        <v>8</v>
      </c>
      <c r="H136" s="169">
        <v>2002</v>
      </c>
      <c r="I136" s="170"/>
      <c r="J136" s="166"/>
      <c r="K136" s="166"/>
      <c r="L136" s="166"/>
      <c r="M136" s="166"/>
      <c r="N136" s="196"/>
      <c r="O136" s="166"/>
      <c r="P136" s="166"/>
      <c r="Q136" s="166"/>
      <c r="R136" s="166"/>
      <c r="S136" s="166"/>
      <c r="T136" s="166"/>
      <c r="U136" s="166"/>
      <c r="V136" s="166">
        <f t="shared" si="301"/>
        <v>5793.6441373562402</v>
      </c>
      <c r="W136" s="170"/>
      <c r="X136" s="174">
        <v>459.24741757683756</v>
      </c>
      <c r="Y136" s="175">
        <v>2.5253451188907202E-2</v>
      </c>
      <c r="Z136" s="175"/>
      <c r="AA136" s="175"/>
      <c r="AB136" s="175"/>
      <c r="AC136" s="170">
        <f t="shared" si="287"/>
        <v>5793.6441373562402</v>
      </c>
      <c r="AD136" s="175"/>
      <c r="AE136" s="170"/>
      <c r="AF136" s="170"/>
      <c r="AG136" s="174"/>
      <c r="AH136" s="175"/>
      <c r="AI136" s="175"/>
      <c r="AJ136" s="174"/>
      <c r="AK136" s="174"/>
      <c r="AL136" s="120"/>
      <c r="AM136" s="120"/>
      <c r="AN136" s="120"/>
      <c r="AO136" s="120"/>
      <c r="AP136" s="120"/>
      <c r="AQ136" s="175"/>
      <c r="AR136" s="120"/>
      <c r="AS136" s="120"/>
      <c r="AT136" s="120"/>
      <c r="AU136" s="120"/>
      <c r="AV136" s="120"/>
      <c r="AW136" s="120"/>
      <c r="AX136" s="120"/>
      <c r="AY136" s="120"/>
      <c r="AZ136" s="118">
        <f>IFERROR(INDEX('Total Customers'!$F$7:$AB$91,MATCH($C136,'Total Customers'!$D$7:$D$91,0),MATCH($G136,'Total Customers'!$F$5:$AB$5,0)),"NA")</f>
        <v>117277</v>
      </c>
      <c r="BA136" s="119">
        <f t="shared" si="302"/>
        <v>2.6491043177266478E-2</v>
      </c>
      <c r="BB136" s="119"/>
      <c r="BC136" s="121"/>
      <c r="BD136" s="119"/>
      <c r="BE136" s="119"/>
      <c r="BF136" s="119"/>
      <c r="BG136" s="173"/>
      <c r="BH136" s="173"/>
      <c r="BI136" s="173"/>
      <c r="BJ136" s="173"/>
      <c r="BK136" s="173"/>
      <c r="BL136" s="173"/>
      <c r="BM136" s="173"/>
      <c r="BN136" s="173"/>
      <c r="BO136" s="173"/>
      <c r="BP136" s="173"/>
      <c r="BQ136" s="118"/>
      <c r="BR136" s="118"/>
      <c r="BS136" s="118">
        <f>INDEX('Dist. Plant Gas Additions'!$F$7:$AE$91,MATCH($C136,'Dist. Plant Gas Additions'!$D$7:$D$91,0),MATCH(Calculation!$G136,'Dist. Plant Gas Additions'!$F$5:$AE$5,0))</f>
        <v>3179</v>
      </c>
      <c r="BT136" s="118">
        <f>INDEX('Gen. Plant Additions'!$F$7:$AE$91,MATCH($C136,'Gen. Plant Additions'!$D$7:$D$91,0),MATCH(Calculation!$G136,'Gen. Plant Additions'!$F$5:$AE$5,0))</f>
        <v>1872</v>
      </c>
      <c r="BU136" s="118"/>
      <c r="BV136" s="118"/>
      <c r="BW136" s="118">
        <f>INDEX('Dist Plant Depreciation'!$E$7:$AD$94,MATCH($C136,'Dist Plant Depreciation'!$D$7:$D$94,0),MATCH(Calculation!$G136,'Dist Plant Depreciation'!$E$5:$AD$5,0))</f>
        <v>39436</v>
      </c>
      <c r="BX136" s="118">
        <f>INDEX('Gen. Plant Depreciation'!$E$7:$AD$94,MATCH($C136,'Gen. Plant Depreciation'!$D$7:$D$94,0),MATCH(Calculation!$G136,'Gen. Plant Depreciation'!$E$5:$AD$5,0))</f>
        <v>12040</v>
      </c>
      <c r="BY136" s="118"/>
      <c r="BZ136" s="118"/>
      <c r="CA136" s="118"/>
      <c r="CB136" s="118"/>
      <c r="CC136" s="118"/>
      <c r="CD136" s="118"/>
      <c r="CE136" s="118">
        <f>INDEX('Gross Dx Plant'!$E$7:$AD$91,MATCH($C136,'Gross Dx Plant'!$D$7:$D$91,0),MATCH(Calculation!$G136,'Gross Dx Plant'!$E$5:$AD$5,0))</f>
        <v>90093</v>
      </c>
      <c r="CF136" s="118">
        <f>INDEX('Gross Gen Plant'!$E$7:$AD$91,MATCH($C136,'Gross Gen Plant'!$D$7:$D$91,0),MATCH(Calculation!$G136,'Gross Gen Plant'!$E$5:$AD$5,0))</f>
        <v>25999</v>
      </c>
      <c r="CG136" s="118">
        <f t="shared" si="215"/>
        <v>64616</v>
      </c>
      <c r="CH136" s="118"/>
      <c r="CI136" s="121">
        <v>2002</v>
      </c>
      <c r="CJ136" s="118"/>
      <c r="CK136" s="118"/>
      <c r="CL136" s="118"/>
      <c r="CM136" s="183"/>
      <c r="CN136" s="118">
        <f t="shared" si="303"/>
        <v>5051</v>
      </c>
      <c r="CO136" s="118">
        <f t="shared" si="304"/>
        <v>13.978208495228124</v>
      </c>
      <c r="CP136" s="186">
        <v>0.97916666666666663</v>
      </c>
      <c r="CQ136" s="118">
        <f>+CQ132*CP136+CO133*CP135+CO134*CP134+CO135*CP133+CO136</f>
        <v>459.24741757683756</v>
      </c>
      <c r="CR136" s="119">
        <f t="shared" si="305"/>
        <v>2.5253451188907202E-2</v>
      </c>
      <c r="CS136" s="119"/>
      <c r="CT136" s="177">
        <f t="shared" si="306"/>
        <v>5.6406179202981585E-3</v>
      </c>
      <c r="CU136" s="177">
        <f t="shared" ref="CU136:CU155" si="314">+(CT136+CT135+CT134)/3</f>
        <v>5.3185642206456697E-3</v>
      </c>
      <c r="CV136" s="119">
        <f>VLOOKUP($H136,RoR!$E:$F,2,FALSE)</f>
        <v>6.4916666666666664E-2</v>
      </c>
      <c r="CW136" s="177">
        <v>1.5246423291824351E-2</v>
      </c>
      <c r="CX136" s="177">
        <f t="shared" si="312"/>
        <v>4.9670243374842313E-2</v>
      </c>
      <c r="CY136" s="177">
        <f t="shared" ref="CY136:CY155" si="315">+$CX$35-CU136</f>
        <v>2.5583377387887955E-2</v>
      </c>
      <c r="CZ136" s="177">
        <f t="shared" ref="CZ136:CZ155" si="316">+((DM134/DM133-1)+(DM135/DM134-1)+(DM136/DM135-1))/3</f>
        <v>2.5243621214759093E-2</v>
      </c>
      <c r="DA136" s="187">
        <f t="shared" si="307"/>
        <v>0.85290624999999998</v>
      </c>
      <c r="DB136" s="188">
        <f t="shared" si="308"/>
        <v>0.78996741384417901</v>
      </c>
      <c r="DC136" s="188">
        <f t="shared" si="309"/>
        <v>0.58989088575096271</v>
      </c>
      <c r="DD136" s="188">
        <f t="shared" si="310"/>
        <v>0.91920675783645744</v>
      </c>
      <c r="DE136" s="188">
        <f t="shared" si="311"/>
        <v>0.42834536472275586</v>
      </c>
      <c r="DF136" s="189">
        <f>INDEX('State Tax Lookup'!$D$7:$Z$91,MATCH(Calculation!$C136,'State Tax Lookup'!$B$7:$B$91,0),MATCH($H136,'State Tax Lookup'!$D$6:$Z$6,0))</f>
        <v>0.39224999999999999</v>
      </c>
      <c r="DG136" s="189">
        <v>0.375</v>
      </c>
      <c r="DH136" s="190">
        <f t="shared" si="313"/>
        <v>12.938160301480362</v>
      </c>
      <c r="DI136" s="190"/>
      <c r="DJ136" s="177"/>
      <c r="DK136" s="189">
        <f>VLOOKUP($H136,RoR!$E:$F,2,FALSE)</f>
        <v>6.4916666666666664E-2</v>
      </c>
      <c r="DL136" s="191">
        <f>HLOOKUP($H136,'GDP-PI'!$D$8:$CQ$11,3,FALSE)</f>
        <v>1.5246423291824351E-2</v>
      </c>
      <c r="DM136" s="189">
        <f>VLOOKUP(H136,'HW Dx Data'!$E:$F,2,FALSE)</f>
        <v>361.34816573413599</v>
      </c>
      <c r="DN136" s="183">
        <f>VLOOKUP(H136,'ECI - Input Price'!$G$17:$H$37,2,FALSE)</f>
        <v>89.275000000000006</v>
      </c>
      <c r="DO136" s="177">
        <f>LN(DN136/DN135)</f>
        <v>3.5051315810864674E-2</v>
      </c>
      <c r="DP136" s="183">
        <f>HLOOKUP(H136,'GDP-PI'!$8:$9,2,FALSE)</f>
        <v>81.039000000000001</v>
      </c>
      <c r="DQ136" s="177">
        <f>LN(DP136/DP135)</f>
        <v>1.513136459537477E-2</v>
      </c>
      <c r="DW136" s="192"/>
      <c r="DX136" s="192"/>
      <c r="DY136" s="192"/>
      <c r="DZ136" s="192"/>
      <c r="EA136" s="192"/>
      <c r="EB136" s="192"/>
      <c r="EC136" s="192"/>
      <c r="ED136" s="192"/>
      <c r="EE136" s="192"/>
    </row>
    <row r="137" spans="1:135" s="167" customFormat="1" ht="21" x14ac:dyDescent="0.35">
      <c r="A137" s="167" t="s">
        <v>36</v>
      </c>
      <c r="B137" s="168" t="s">
        <v>36</v>
      </c>
      <c r="C137" s="168">
        <v>4058516</v>
      </c>
      <c r="D137" s="168" t="s">
        <v>131</v>
      </c>
      <c r="E137" s="168"/>
      <c r="F137" s="168"/>
      <c r="G137" s="168" t="s">
        <v>9</v>
      </c>
      <c r="H137" s="169">
        <v>2003</v>
      </c>
      <c r="I137" s="170"/>
      <c r="J137" s="166"/>
      <c r="K137" s="166"/>
      <c r="L137" s="172"/>
      <c r="M137" s="172"/>
      <c r="N137" s="196"/>
      <c r="O137" s="172"/>
      <c r="P137" s="166"/>
      <c r="Q137" s="166"/>
      <c r="R137" s="166"/>
      <c r="S137" s="166"/>
      <c r="T137" s="166"/>
      <c r="U137" s="166"/>
      <c r="V137" s="166">
        <f t="shared" si="301"/>
        <v>6031.5411002532446</v>
      </c>
      <c r="W137" s="170"/>
      <c r="X137" s="174">
        <v>474.26635995265502</v>
      </c>
      <c r="Y137" s="175">
        <v>3.2180003745960431E-2</v>
      </c>
      <c r="Z137" s="175"/>
      <c r="AA137" s="175"/>
      <c r="AB137" s="175"/>
      <c r="AC137" s="170">
        <f t="shared" si="287"/>
        <v>6031.5411002532446</v>
      </c>
      <c r="AD137" s="175"/>
      <c r="AE137" s="170"/>
      <c r="AF137" s="170"/>
      <c r="AG137" s="174"/>
      <c r="AH137" s="175"/>
      <c r="AI137" s="175"/>
      <c r="AJ137" s="174"/>
      <c r="AK137" s="174"/>
      <c r="AL137" s="120"/>
      <c r="AM137" s="120"/>
      <c r="AN137" s="120"/>
      <c r="AO137" s="120"/>
      <c r="AP137" s="120"/>
      <c r="AQ137" s="175"/>
      <c r="AR137" s="120"/>
      <c r="AS137" s="120"/>
      <c r="AT137" s="120"/>
      <c r="AU137" s="120"/>
      <c r="AV137" s="120"/>
      <c r="AW137" s="120"/>
      <c r="AX137" s="120"/>
      <c r="AY137" s="120"/>
      <c r="AZ137" s="118">
        <f>IFERROR(INDEX('Total Customers'!$F$7:$AB$91,MATCH($C137,'Total Customers'!$D$7:$D$91,0),MATCH($G137,'Total Customers'!$F$5:$AB$5,0)),"NA")</f>
        <v>120059</v>
      </c>
      <c r="BA137" s="119">
        <f t="shared" si="302"/>
        <v>2.3444630618091936E-2</v>
      </c>
      <c r="BB137" s="119"/>
      <c r="BC137" s="121"/>
      <c r="BD137" s="119"/>
      <c r="BE137" s="119"/>
      <c r="BF137" s="119"/>
      <c r="BG137" s="173"/>
      <c r="BH137" s="173"/>
      <c r="BI137" s="173"/>
      <c r="BJ137" s="173"/>
      <c r="BK137" s="173"/>
      <c r="BL137" s="173"/>
      <c r="BM137" s="173"/>
      <c r="BN137" s="173"/>
      <c r="BO137" s="173"/>
      <c r="BP137" s="173"/>
      <c r="BQ137" s="118"/>
      <c r="BR137" s="118"/>
      <c r="BS137" s="118">
        <f>INDEX('Dist. Plant Gas Additions'!$F$7:$AE$91,MATCH($C137,'Dist. Plant Gas Additions'!$D$7:$D$91,0),MATCH(Calculation!$G137,'Dist. Plant Gas Additions'!$F$5:$AE$5,0))</f>
        <v>4413</v>
      </c>
      <c r="BT137" s="118">
        <f>INDEX('Gen. Plant Additions'!$F$7:$AE$91,MATCH($C137,'Gen. Plant Additions'!$D$7:$D$91,0),MATCH(Calculation!$G137,'Gen. Plant Additions'!$F$5:$AE$5,0))</f>
        <v>2096</v>
      </c>
      <c r="BU137" s="118"/>
      <c r="BV137" s="118"/>
      <c r="BW137" s="118">
        <f>INDEX('Dist Plant Depreciation'!$E$7:$AD$94,MATCH($C137,'Dist Plant Depreciation'!$D$7:$D$94,0),MATCH(Calculation!$G137,'Dist Plant Depreciation'!$E$5:$AD$5,0))</f>
        <v>41287</v>
      </c>
      <c r="BX137" s="118">
        <f>INDEX('Gen. Plant Depreciation'!$E$7:$AD$94,MATCH($C137,'Gen. Plant Depreciation'!$D$7:$D$94,0),MATCH(Calculation!$G137,'Gen. Plant Depreciation'!$E$5:$AD$5,0))</f>
        <v>12736</v>
      </c>
      <c r="BY137" s="118"/>
      <c r="BZ137" s="118"/>
      <c r="CA137" s="118"/>
      <c r="CB137" s="118"/>
      <c r="CC137" s="118"/>
      <c r="CD137" s="118"/>
      <c r="CE137" s="118">
        <f>INDEX('Gross Dx Plant'!$E$7:$AD$91,MATCH($C137,'Gross Dx Plant'!$D$7:$D$91,0),MATCH(Calculation!$G137,'Gross Dx Plant'!$E$5:$AD$5,0))</f>
        <v>94002</v>
      </c>
      <c r="CF137" s="118">
        <f>INDEX('Gross Gen Plant'!$E$7:$AD$91,MATCH($C137,'Gross Gen Plant'!$D$7:$D$91,0),MATCH(Calculation!$G137,'Gross Gen Plant'!$E$5:$AD$5,0))</f>
        <v>27003</v>
      </c>
      <c r="CG137" s="118">
        <f t="shared" si="215"/>
        <v>66982</v>
      </c>
      <c r="CH137" s="118"/>
      <c r="CI137" s="121">
        <v>2003</v>
      </c>
      <c r="CJ137" s="118"/>
      <c r="CK137" s="118"/>
      <c r="CL137" s="118"/>
      <c r="CM137" s="183"/>
      <c r="CN137" s="118">
        <f t="shared" si="303"/>
        <v>6509</v>
      </c>
      <c r="CO137" s="118">
        <f t="shared" si="304"/>
        <v>17.628434638480005</v>
      </c>
      <c r="CP137" s="186">
        <v>0.97354497354497349</v>
      </c>
      <c r="CQ137" s="118">
        <f>+CQ132*CP137+CO133*CP136+CO134*CP135+CO135*CP134+CO136*CP133+CO137</f>
        <v>474.26635995265502</v>
      </c>
      <c r="CR137" s="119">
        <f t="shared" si="305"/>
        <v>3.2180003745960431E-2</v>
      </c>
      <c r="CS137" s="119"/>
      <c r="CT137" s="177">
        <f t="shared" si="306"/>
        <v>5.6821054681835993E-3</v>
      </c>
      <c r="CU137" s="177">
        <f t="shared" si="314"/>
        <v>5.4983263579534078E-3</v>
      </c>
      <c r="CV137" s="119">
        <f>VLOOKUP($H137,RoR!$E:$F,2,FALSE)</f>
        <v>5.6666666666666671E-2</v>
      </c>
      <c r="CW137" s="177">
        <v>1.8855119140166909E-2</v>
      </c>
      <c r="CX137" s="177">
        <f t="shared" si="312"/>
        <v>3.7811547526499761E-2</v>
      </c>
      <c r="CY137" s="177">
        <f t="shared" si="315"/>
        <v>2.5403615250580217E-2</v>
      </c>
      <c r="CZ137" s="177">
        <f t="shared" si="316"/>
        <v>2.1375012817671957E-2</v>
      </c>
      <c r="DA137" s="187">
        <f t="shared" si="307"/>
        <v>0.85290624999999998</v>
      </c>
      <c r="DB137" s="188">
        <f t="shared" si="308"/>
        <v>0.90497737556561086</v>
      </c>
      <c r="DC137" s="188">
        <f t="shared" si="309"/>
        <v>0.5338235294117647</v>
      </c>
      <c r="DD137" s="188">
        <f t="shared" si="310"/>
        <v>0.88972433127405692</v>
      </c>
      <c r="DE137" s="188">
        <f t="shared" si="311"/>
        <v>0.42982423775949252</v>
      </c>
      <c r="DF137" s="189">
        <f>INDEX('State Tax Lookup'!$D$7:$Z$91,MATCH(Calculation!$C137,'State Tax Lookup'!$B$7:$B$91,0),MATCH($H137,'State Tax Lookup'!$D$6:$Z$6,0))</f>
        <v>0.39224999999999999</v>
      </c>
      <c r="DG137" s="189">
        <v>0.375</v>
      </c>
      <c r="DH137" s="190">
        <f t="shared" si="313"/>
        <v>13.133532970262367</v>
      </c>
      <c r="DI137" s="190"/>
      <c r="DJ137" s="177"/>
      <c r="DK137" s="189">
        <f>VLOOKUP($H137,RoR!$E:$F,2,FALSE)</f>
        <v>5.6666666666666671E-2</v>
      </c>
      <c r="DL137" s="191">
        <f>HLOOKUP($H137,'GDP-PI'!$D$8:$CQ$11,3,FALSE)</f>
        <v>1.8855119140166909E-2</v>
      </c>
      <c r="DM137" s="189">
        <f>VLOOKUP(H137,'HW Dx Data'!$E:$F,2,FALSE)</f>
        <v>369.23301095560191</v>
      </c>
      <c r="DN137" s="183">
        <f>VLOOKUP(H137,'ECI - Input Price'!$G$17:$H$37,2,FALSE)</f>
        <v>92.625</v>
      </c>
      <c r="DO137" s="177">
        <f t="shared" ref="DO137" si="317">LN(DN137/DN136)</f>
        <v>3.6837590135738785E-2</v>
      </c>
      <c r="DP137" s="183">
        <f>HLOOKUP(H137,'GDP-PI'!$8:$9,2,FALSE)</f>
        <v>82.566999999999993</v>
      </c>
      <c r="DQ137" s="177">
        <f t="shared" ref="DQ137" si="318">LN(DP137/DP136)</f>
        <v>1.8679564681853753E-2</v>
      </c>
      <c r="DW137" s="192"/>
      <c r="DX137" s="192"/>
      <c r="DY137" s="192"/>
      <c r="DZ137" s="192"/>
      <c r="EA137" s="192"/>
      <c r="EB137" s="192"/>
      <c r="EC137" s="192"/>
      <c r="ED137" s="192"/>
      <c r="EE137" s="192"/>
    </row>
    <row r="138" spans="1:135" s="167" customFormat="1" ht="21" x14ac:dyDescent="0.35">
      <c r="A138" s="167" t="s">
        <v>36</v>
      </c>
      <c r="B138" s="168" t="s">
        <v>36</v>
      </c>
      <c r="C138" s="168">
        <v>4058516</v>
      </c>
      <c r="D138" s="168" t="s">
        <v>131</v>
      </c>
      <c r="E138" s="168"/>
      <c r="F138" s="168"/>
      <c r="G138" s="168" t="s">
        <v>10</v>
      </c>
      <c r="H138" s="169">
        <v>2004</v>
      </c>
      <c r="I138" s="170"/>
      <c r="J138" s="166">
        <f>IFERROR(INDEX('Labor Expenditures'!$F$7:$X$91,MATCH($C138,'Labor Expenditures'!$D$7:$D$91,0),MATCH($G138,'Labor Expenditures'!$F$5:$X$5,0)),"NA")</f>
        <v>7779.1706362206651</v>
      </c>
      <c r="K138" s="166">
        <f t="shared" ref="K138:K155" si="319">+J138/DN138</f>
        <v>80.885579789141303</v>
      </c>
      <c r="L138" s="172"/>
      <c r="M138" s="172"/>
      <c r="N138" s="196"/>
      <c r="O138" s="172"/>
      <c r="P138" s="166"/>
      <c r="Q138" s="166">
        <f t="shared" ref="Q138:Q155" si="320">+P138/DP138</f>
        <v>0</v>
      </c>
      <c r="R138" s="166"/>
      <c r="S138" s="166"/>
      <c r="T138" s="166"/>
      <c r="U138" s="166"/>
      <c r="V138" s="166">
        <f t="shared" si="301"/>
        <v>6914.0542694692585</v>
      </c>
      <c r="W138" s="170"/>
      <c r="X138" s="174">
        <v>487.78133753155674</v>
      </c>
      <c r="Y138" s="175">
        <v>2.8098121913214189E-2</v>
      </c>
      <c r="Z138" s="175"/>
      <c r="AA138" s="175"/>
      <c r="AB138" s="175"/>
      <c r="AC138" s="170">
        <f t="shared" si="287"/>
        <v>14693.224905689924</v>
      </c>
      <c r="AD138" s="175"/>
      <c r="AE138" s="170"/>
      <c r="AF138" s="170"/>
      <c r="AG138" s="174"/>
      <c r="AH138" s="175"/>
      <c r="AI138" s="175"/>
      <c r="AJ138" s="174"/>
      <c r="AK138" s="174"/>
      <c r="AL138" s="120">
        <f t="shared" ref="AL138:AL155" si="321">+J138/AC138</f>
        <v>0.5294392950596023</v>
      </c>
      <c r="AM138" s="120">
        <f t="shared" ref="AM138:AM155" si="322">+P138/AC138</f>
        <v>0</v>
      </c>
      <c r="AN138" s="120">
        <f t="shared" ref="AN138:AN155" si="323">+V138/AC138</f>
        <v>0.47056070494039764</v>
      </c>
      <c r="AO138" s="120"/>
      <c r="AP138" s="120"/>
      <c r="AQ138" s="175"/>
      <c r="AR138" s="120"/>
      <c r="AS138" s="120"/>
      <c r="AT138" s="120"/>
      <c r="AU138" s="120"/>
      <c r="AV138" s="120"/>
      <c r="AW138" s="120"/>
      <c r="AX138" s="120"/>
      <c r="AY138" s="120"/>
      <c r="AZ138" s="118">
        <f>IFERROR(INDEX('Total Customers'!$F$7:$AB$91,MATCH($C138,'Total Customers'!$D$7:$D$91,0),MATCH($G138,'Total Customers'!$F$5:$AB$5,0)),"NA")</f>
        <v>141596</v>
      </c>
      <c r="BA138" s="119">
        <f t="shared" si="302"/>
        <v>0.16499464365278943</v>
      </c>
      <c r="BB138" s="119"/>
      <c r="BC138" s="121"/>
      <c r="BD138" s="119"/>
      <c r="BE138" s="119"/>
      <c r="BF138" s="119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  <c r="BQ138" s="118"/>
      <c r="BR138" s="118"/>
      <c r="BS138" s="118">
        <f>INDEX('Dist. Plant Gas Additions'!$F$7:$AE$91,MATCH($C138,'Dist. Plant Gas Additions'!$D$7:$D$91,0),MATCH(Calculation!$G138,'Dist. Plant Gas Additions'!$F$5:$AE$5,0))</f>
        <v>5319</v>
      </c>
      <c r="BT138" s="118">
        <f>INDEX('Gen. Plant Additions'!$F$7:$AE$91,MATCH($C138,'Gen. Plant Additions'!$D$7:$D$91,0),MATCH(Calculation!$G138,'Gen. Plant Additions'!$F$5:$AE$5,0))</f>
        <v>1442</v>
      </c>
      <c r="BU138" s="118"/>
      <c r="BV138" s="118"/>
      <c r="BW138" s="118">
        <f>INDEX('Dist Plant Depreciation'!$E$7:$AD$94,MATCH($C138,'Dist Plant Depreciation'!$D$7:$D$94,0),MATCH(Calculation!$G138,'Dist Plant Depreciation'!$E$5:$AD$5,0))</f>
        <v>42994</v>
      </c>
      <c r="BX138" s="118">
        <f>INDEX('Gen. Plant Depreciation'!$E$7:$AD$94,MATCH($C138,'Gen. Plant Depreciation'!$D$7:$D$94,0),MATCH(Calculation!$G138,'Gen. Plant Depreciation'!$E$5:$AD$5,0))</f>
        <v>12681</v>
      </c>
      <c r="BY138" s="118"/>
      <c r="BZ138" s="118"/>
      <c r="CA138" s="118"/>
      <c r="CB138" s="118"/>
      <c r="CC138" s="118"/>
      <c r="CD138" s="118"/>
      <c r="CE138" s="118">
        <f>INDEX('Gross Dx Plant'!$E$7:$AD$91,MATCH($C138,'Gross Dx Plant'!$D$7:$D$91,0),MATCH(Calculation!$G138,'Gross Dx Plant'!$E$5:$AD$5,0))</f>
        <v>98571</v>
      </c>
      <c r="CF138" s="118">
        <f>INDEX('Gross Gen Plant'!$E$7:$AD$91,MATCH($C138,'Gross Gen Plant'!$D$7:$D$91,0),MATCH(Calculation!$G138,'Gross Gen Plant'!$E$5:$AD$5,0))</f>
        <v>26646</v>
      </c>
      <c r="CG138" s="118">
        <f t="shared" si="215"/>
        <v>69542</v>
      </c>
      <c r="CH138" s="118"/>
      <c r="CI138" s="121">
        <v>2004</v>
      </c>
      <c r="CJ138" s="118"/>
      <c r="CK138" s="118"/>
      <c r="CL138" s="118"/>
      <c r="CM138" s="183"/>
      <c r="CN138" s="118">
        <f t="shared" si="303"/>
        <v>6761</v>
      </c>
      <c r="CO138" s="118">
        <f t="shared" si="304"/>
        <v>16.295995974142251</v>
      </c>
      <c r="CP138" s="186">
        <v>0.967741935483871</v>
      </c>
      <c r="CQ138" s="118">
        <f>+CQ132*CP138+CO133*CP137+CO134*CP136+CO135*CP135+CO136*CP134+CO137*CP133+CO138</f>
        <v>487.78133753155674</v>
      </c>
      <c r="CR138" s="119">
        <f t="shared" si="305"/>
        <v>2.8098121913214189E-2</v>
      </c>
      <c r="CS138" s="119"/>
      <c r="CT138" s="177">
        <f t="shared" si="306"/>
        <v>5.863832289345069E-3</v>
      </c>
      <c r="CU138" s="177">
        <f t="shared" si="314"/>
        <v>5.7288518926089417E-3</v>
      </c>
      <c r="CV138" s="119">
        <f>VLOOKUP($H138,RoR!$E:$F,2,FALSE)</f>
        <v>5.6283333333333331E-2</v>
      </c>
      <c r="CW138" s="177">
        <v>2.6778252812867276E-2</v>
      </c>
      <c r="CX138" s="177">
        <f t="shared" si="312"/>
        <v>2.9505080520466055E-2</v>
      </c>
      <c r="CY138" s="177">
        <f t="shared" si="315"/>
        <v>2.5173089715924683E-2</v>
      </c>
      <c r="CZ138" s="177">
        <f t="shared" si="316"/>
        <v>5.5940039414565046E-2</v>
      </c>
      <c r="DA138" s="187">
        <f t="shared" si="307"/>
        <v>0.85290624999999998</v>
      </c>
      <c r="DB138" s="188">
        <f t="shared" si="308"/>
        <v>0.91114097628755619</v>
      </c>
      <c r="DC138" s="188">
        <f t="shared" si="309"/>
        <v>0.53081877405981637</v>
      </c>
      <c r="DD138" s="188">
        <f t="shared" si="310"/>
        <v>0.88811215519385678</v>
      </c>
      <c r="DE138" s="188">
        <f t="shared" si="311"/>
        <v>0.42953609753547711</v>
      </c>
      <c r="DF138" s="189">
        <f>INDEX('State Tax Lookup'!$D$7:$Z$91,MATCH(Calculation!$C138,'State Tax Lookup'!$B$7:$B$91,0),MATCH($H138,'State Tax Lookup'!$D$6:$Z$6,0))</f>
        <v>0.39224999999999999</v>
      </c>
      <c r="DG138" s="189">
        <v>0.375</v>
      </c>
      <c r="DH138" s="190">
        <f t="shared" si="313"/>
        <v>14.57842017333777</v>
      </c>
      <c r="DI138" s="190"/>
      <c r="DJ138" s="177"/>
      <c r="DK138" s="189">
        <f>VLOOKUP($H138,RoR!$E:$F,2,FALSE)</f>
        <v>5.6283333333333331E-2</v>
      </c>
      <c r="DL138" s="191">
        <f>HLOOKUP($H138,'GDP-PI'!$D$8:$CQ$11,3,FALSE)</f>
        <v>2.6778252812867276E-2</v>
      </c>
      <c r="DM138" s="189">
        <f>VLOOKUP(H138,'HW Dx Data'!$E:$F,2,FALSE)</f>
        <v>414.88719135228365</v>
      </c>
      <c r="DN138" s="183">
        <f>VLOOKUP(H138,'ECI - Input Price'!$G$17:$H$37,2,FALSE)</f>
        <v>96.174999999999997</v>
      </c>
      <c r="DO138" s="177">
        <f t="shared" ref="DO138" si="324">LN(DN138/DN137)</f>
        <v>3.7610365022107912E-2</v>
      </c>
      <c r="DP138" s="183">
        <f>HLOOKUP(H138,'GDP-PI'!$8:$9,2,FALSE)</f>
        <v>84.778000000000006</v>
      </c>
      <c r="DQ138" s="177">
        <f t="shared" ref="DQ138" si="325">LN(DP138/DP137)</f>
        <v>2.6425990216022755E-2</v>
      </c>
      <c r="DW138" s="192"/>
      <c r="DX138" s="192"/>
      <c r="DY138" s="192"/>
      <c r="DZ138" s="192"/>
      <c r="EA138" s="192"/>
      <c r="EB138" s="192"/>
      <c r="EC138" s="192"/>
      <c r="ED138" s="192"/>
      <c r="EE138" s="192"/>
    </row>
    <row r="139" spans="1:135" s="167" customFormat="1" ht="21" x14ac:dyDescent="0.35">
      <c r="A139" s="167" t="s">
        <v>36</v>
      </c>
      <c r="B139" s="168" t="s">
        <v>36</v>
      </c>
      <c r="C139" s="168">
        <v>4058516</v>
      </c>
      <c r="D139" s="168" t="s">
        <v>131</v>
      </c>
      <c r="E139" s="168"/>
      <c r="F139" s="168"/>
      <c r="G139" s="168" t="s">
        <v>11</v>
      </c>
      <c r="H139" s="169">
        <v>2005</v>
      </c>
      <c r="I139" s="170"/>
      <c r="J139" s="166">
        <f>IFERROR(INDEX('Labor Expenditures'!$F$7:$X$91,MATCH($C139,'Labor Expenditures'!$D$7:$D$91,0),MATCH($G139,'Labor Expenditures'!$F$5:$X$5,0)),"NA")</f>
        <v>8779.939894970048</v>
      </c>
      <c r="K139" s="166">
        <f t="shared" si="319"/>
        <v>88.552091729400374</v>
      </c>
      <c r="L139" s="172">
        <f t="shared" ref="L139:L155" si="326">LN(K139/K138)</f>
        <v>9.0555425141046128E-2</v>
      </c>
      <c r="M139" s="172"/>
      <c r="N139" s="196"/>
      <c r="O139" s="172"/>
      <c r="P139" s="166">
        <f>IFERROR(INDEX('Non-Labor Expenditures'!$F$7:$AB$91,MATCH($C139,'Non-Labor Expenditures'!$D$7:$D$91,0),MATCH($G139,'Non-Labor Expenditures'!$F$5:$AB$5,0)),"NA")</f>
        <v>12714.992834486642</v>
      </c>
      <c r="Q139" s="166">
        <f t="shared" si="320"/>
        <v>145.46881639327106</v>
      </c>
      <c r="R139" s="172"/>
      <c r="S139" s="172"/>
      <c r="T139" s="172"/>
      <c r="U139" s="172"/>
      <c r="V139" s="166">
        <f t="shared" si="301"/>
        <v>7978.1383209654787</v>
      </c>
      <c r="W139" s="170"/>
      <c r="X139" s="174">
        <v>503.99298431293994</v>
      </c>
      <c r="Y139" s="175">
        <v>3.2695121353422341E-2</v>
      </c>
      <c r="Z139" s="175"/>
      <c r="AA139" s="175"/>
      <c r="AB139" s="175"/>
      <c r="AC139" s="170">
        <f t="shared" si="287"/>
        <v>29473.071050422168</v>
      </c>
      <c r="AD139" s="175">
        <f>LN(AC139/AC138)</f>
        <v>0.69609050392746341</v>
      </c>
      <c r="AE139" s="170"/>
      <c r="AF139" s="170"/>
      <c r="AG139" s="121"/>
      <c r="AH139" s="119"/>
      <c r="AI139" s="175"/>
      <c r="AJ139" s="121"/>
      <c r="AK139" s="121"/>
      <c r="AL139" s="120">
        <f t="shared" si="321"/>
        <v>0.29789701520922046</v>
      </c>
      <c r="AM139" s="120">
        <f t="shared" si="322"/>
        <v>0.43141051751050946</v>
      </c>
      <c r="AN139" s="120">
        <f t="shared" si="323"/>
        <v>0.27069246728027008</v>
      </c>
      <c r="AO139" s="120">
        <f t="shared" ref="AO139:AO155" si="327">+(((AL139+AL138)/2)*L139+((AM138+AM139)/2)*R139+((AN138+AN139)/2)*Y139)</f>
        <v>4.9577576865190841E-2</v>
      </c>
      <c r="AP139" s="173">
        <v>100</v>
      </c>
      <c r="AQ139" s="175"/>
      <c r="AR139" s="120"/>
      <c r="AS139" s="120"/>
      <c r="AT139" s="120"/>
      <c r="AU139" s="120"/>
      <c r="AV139" s="120"/>
      <c r="AW139" s="120"/>
      <c r="AX139" s="120"/>
      <c r="AY139" s="120"/>
      <c r="AZ139" s="118">
        <f>IFERROR(INDEX('Total Customers'!$F$7:$AB$91,MATCH($C139,'Total Customers'!$D$7:$D$91,0),MATCH($G139,'Total Customers'!$F$5:$AB$5,0)),"NA")</f>
        <v>144867</v>
      </c>
      <c r="BA139" s="119">
        <f t="shared" si="302"/>
        <v>2.2838147844928269E-2</v>
      </c>
      <c r="BB139" s="119"/>
      <c r="BC139" s="121"/>
      <c r="BD139" s="119"/>
      <c r="BE139" s="119"/>
      <c r="BF139" s="119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  <c r="BQ139" s="118"/>
      <c r="BR139" s="118"/>
      <c r="BS139" s="118">
        <f>INDEX('Dist. Plant Gas Additions'!$F$7:$AE$91,MATCH($C139,'Dist. Plant Gas Additions'!$D$7:$D$91,0),MATCH(Calculation!$G139,'Dist. Plant Gas Additions'!$F$5:$AE$5,0))</f>
        <v>7170</v>
      </c>
      <c r="BT139" s="118">
        <f>INDEX('Gen. Plant Additions'!$F$7:$AE$91,MATCH($C139,'Gen. Plant Additions'!$D$7:$D$91,0),MATCH(Calculation!$G139,'Gen. Plant Additions'!$F$5:$AE$5,0))</f>
        <v>1822</v>
      </c>
      <c r="BU139" s="118"/>
      <c r="BV139" s="118"/>
      <c r="BW139" s="118">
        <f>INDEX('Dist Plant Depreciation'!$E$7:$AD$94,MATCH($C139,'Dist Plant Depreciation'!$D$7:$D$94,0),MATCH(Calculation!$G139,'Dist Plant Depreciation'!$E$5:$AD$5,0))</f>
        <v>45069</v>
      </c>
      <c r="BX139" s="118">
        <f>INDEX('Gen. Plant Depreciation'!$E$7:$AD$94,MATCH($C139,'Gen. Plant Depreciation'!$D$7:$D$94,0),MATCH(Calculation!$G139,'Gen. Plant Depreciation'!$E$5:$AD$5,0))</f>
        <v>13053</v>
      </c>
      <c r="BY139" s="118"/>
      <c r="BZ139" s="118"/>
      <c r="CA139" s="118"/>
      <c r="CB139" s="118"/>
      <c r="CC139" s="118"/>
      <c r="CD139" s="118"/>
      <c r="CE139" s="118">
        <f>INDEX('Gross Dx Plant'!$E$7:$AD$91,MATCH($C139,'Gross Dx Plant'!$D$7:$D$91,0),MATCH(Calculation!$G139,'Gross Dx Plant'!$E$5:$AD$5,0))</f>
        <v>105281</v>
      </c>
      <c r="CF139" s="118">
        <f>INDEX('Gross Gen Plant'!$E$7:$AD$91,MATCH($C139,'Gross Gen Plant'!$D$7:$D$91,0),MATCH(Calculation!$G139,'Gross Gen Plant'!$E$5:$AD$5,0))</f>
        <v>27269</v>
      </c>
      <c r="CG139" s="118">
        <f t="shared" si="215"/>
        <v>74428</v>
      </c>
      <c r="CH139" s="118"/>
      <c r="CI139" s="121">
        <v>2005</v>
      </c>
      <c r="CJ139" s="118"/>
      <c r="CK139" s="118"/>
      <c r="CL139" s="118"/>
      <c r="CM139" s="183"/>
      <c r="CN139" s="118">
        <f t="shared" si="303"/>
        <v>8992</v>
      </c>
      <c r="CO139" s="118">
        <f t="shared" si="304"/>
        <v>19.164325423427165</v>
      </c>
      <c r="CP139" s="186">
        <v>0.96174863387978138</v>
      </c>
      <c r="CQ139" s="118">
        <f>+CQ132*CP139+CO133*CP138+CO134*CP137+CO135*CP136+CO136*CP135+CO137*CP134+CO138*CP133+CO139</f>
        <v>503.99298431293994</v>
      </c>
      <c r="CR139" s="119">
        <f t="shared" si="305"/>
        <v>3.2695121353422341E-2</v>
      </c>
      <c r="CS139" s="119"/>
      <c r="CT139" s="177">
        <f t="shared" si="306"/>
        <v>6.0532833359024287E-3</v>
      </c>
      <c r="CU139" s="177">
        <f t="shared" si="314"/>
        <v>5.8664070311436993E-3</v>
      </c>
      <c r="CV139" s="119">
        <f>VLOOKUP($H139,RoR!$E:$F,2,FALSE)</f>
        <v>5.2350000000000001E-2</v>
      </c>
      <c r="CW139" s="177">
        <v>3.1010403642454332E-2</v>
      </c>
      <c r="CX139" s="177">
        <f t="shared" si="312"/>
        <v>2.1339596357545669E-2</v>
      </c>
      <c r="CY139" s="177">
        <f t="shared" si="315"/>
        <v>2.5035534577389926E-2</v>
      </c>
      <c r="CZ139" s="177">
        <f t="shared" si="316"/>
        <v>9.2129610649277341E-2</v>
      </c>
      <c r="DA139" s="187">
        <f t="shared" si="307"/>
        <v>0.85290624999999998</v>
      </c>
      <c r="DB139" s="188">
        <f t="shared" si="308"/>
        <v>0.97959983346802826</v>
      </c>
      <c r="DC139" s="188">
        <f t="shared" si="309"/>
        <v>0.49744508118433622</v>
      </c>
      <c r="DD139" s="188">
        <f t="shared" si="310"/>
        <v>0.87010519444335932</v>
      </c>
      <c r="DE139" s="188">
        <f t="shared" si="311"/>
        <v>0.42399975420741998</v>
      </c>
      <c r="DF139" s="189">
        <f>INDEX('State Tax Lookup'!$D$7:$Z$91,MATCH(Calculation!$C139,'State Tax Lookup'!$B$7:$B$91,0),MATCH($H139,'State Tax Lookup'!$D$6:$Z$6,0))</f>
        <v>0.39224999999999999</v>
      </c>
      <c r="DG139" s="189">
        <v>0.375</v>
      </c>
      <c r="DH139" s="190">
        <f t="shared" si="313"/>
        <v>16.355972865504182</v>
      </c>
      <c r="DI139" s="190"/>
      <c r="DJ139" s="177"/>
      <c r="DK139" s="189">
        <f>VLOOKUP($H139,RoR!$E:$F,2,FALSE)</f>
        <v>5.2350000000000001E-2</v>
      </c>
      <c r="DL139" s="191">
        <f>HLOOKUP($H139,'GDP-PI'!$D$8:$CQ$11,3,FALSE)</f>
        <v>3.1010403642454332E-2</v>
      </c>
      <c r="DM139" s="189">
        <f>VLOOKUP(H139,'HW Dx Data'!$E:$F,2,FALSE)</f>
        <v>469.20514034936258</v>
      </c>
      <c r="DN139" s="183">
        <f>VLOOKUP(H139,'ECI - Input Price'!$G$17:$H$37,2,FALSE)</f>
        <v>99.15</v>
      </c>
      <c r="DO139" s="177">
        <f t="shared" ref="DO139" si="328">LN(DN139/DN138)</f>
        <v>3.046440632744625E-2</v>
      </c>
      <c r="DP139" s="183">
        <f>HLOOKUP(H139,'GDP-PI'!$8:$9,2,FALSE)</f>
        <v>87.406999999999996</v>
      </c>
      <c r="DQ139" s="177">
        <f t="shared" ref="DQ139" si="329">LN(DP139/DP138)</f>
        <v>3.0539295810733648E-2</v>
      </c>
      <c r="DW139" s="192"/>
      <c r="DX139" s="192"/>
      <c r="DY139" s="192"/>
      <c r="DZ139" s="192"/>
      <c r="EA139" s="192"/>
      <c r="EB139" s="192"/>
      <c r="EC139" s="192"/>
      <c r="ED139" s="192"/>
      <c r="EE139" s="192"/>
    </row>
    <row r="140" spans="1:135" s="167" customFormat="1" ht="21" x14ac:dyDescent="0.35">
      <c r="A140" s="167" t="s">
        <v>36</v>
      </c>
      <c r="B140" s="168" t="s">
        <v>36</v>
      </c>
      <c r="C140" s="168">
        <v>4058516</v>
      </c>
      <c r="D140" s="168" t="s">
        <v>131</v>
      </c>
      <c r="E140" s="168"/>
      <c r="F140" s="168"/>
      <c r="G140" s="168" t="s">
        <v>12</v>
      </c>
      <c r="H140" s="169">
        <v>2006</v>
      </c>
      <c r="I140" s="170"/>
      <c r="J140" s="166">
        <f>IFERROR(INDEX('Labor Expenditures'!$F$7:$X$91,MATCH($C140,'Labor Expenditures'!$D$7:$D$91,0),MATCH($G140,'Labor Expenditures'!$F$5:$X$5,0)),"NA")</f>
        <v>9770.3134732770995</v>
      </c>
      <c r="K140" s="166">
        <f t="shared" si="319"/>
        <v>95.740455397129836</v>
      </c>
      <c r="L140" s="172">
        <f t="shared" si="326"/>
        <v>7.8049954591085699E-2</v>
      </c>
      <c r="M140" s="172">
        <f t="shared" ref="M140:M155" si="330">+L140*AR140</f>
        <v>3.1366529398536315E-4</v>
      </c>
      <c r="N140" s="196"/>
      <c r="O140" s="172"/>
      <c r="P140" s="166">
        <f>IFERROR(INDEX('Non-Labor Expenditures'!$F$7:$AB$91,MATCH($C140,'Non-Labor Expenditures'!$D$7:$D$91,0),MATCH($G140,'Non-Labor Expenditures'!$F$5:$AB$5,0)),"NA")</f>
        <v>14149.238752144149</v>
      </c>
      <c r="Q140" s="166">
        <f t="shared" si="320"/>
        <v>157.08460545933508</v>
      </c>
      <c r="R140" s="172">
        <f t="shared" ref="R140:R155" si="331">LN(Q140/Q139)</f>
        <v>7.6822805155679935E-2</v>
      </c>
      <c r="S140" s="172">
        <f>+R140*AR140</f>
        <v>3.0873365513384632E-4</v>
      </c>
      <c r="T140" s="172"/>
      <c r="U140" s="172"/>
      <c r="V140" s="166">
        <f t="shared" si="301"/>
        <v>8047.9564875490532</v>
      </c>
      <c r="W140" s="170"/>
      <c r="X140" s="174">
        <v>523.64361495205196</v>
      </c>
      <c r="Y140" s="175">
        <v>3.8248980833917916E-2</v>
      </c>
      <c r="Z140" s="175">
        <f>+Y140*AR140</f>
        <v>1.5371409094044029E-4</v>
      </c>
      <c r="AA140" s="175"/>
      <c r="AB140" s="175"/>
      <c r="AC140" s="170">
        <f t="shared" si="287"/>
        <v>31967.508712970302</v>
      </c>
      <c r="AD140" s="175">
        <f t="shared" ref="AD140:AD155" si="332">LN(AC140/AC139)</f>
        <v>8.1243033560322017E-2</v>
      </c>
      <c r="AE140" s="170"/>
      <c r="AF140" s="170"/>
      <c r="AG140" s="121">
        <f t="shared" ref="AG140:AG155" si="333">+(AC140*1000)/AZ140</f>
        <v>216.07697937051134</v>
      </c>
      <c r="AH140" s="119">
        <f>+AZ140/$BB$44</f>
        <v>4.2084334736827191E-3</v>
      </c>
      <c r="AI140" s="175"/>
      <c r="AJ140" s="176">
        <f>+AH140*AG140</f>
        <v>0.9093455928751103</v>
      </c>
      <c r="AK140" s="176">
        <f>+AI140*AG140</f>
        <v>0</v>
      </c>
      <c r="AL140" s="120">
        <f t="shared" si="321"/>
        <v>0.30563262095281613</v>
      </c>
      <c r="AM140" s="120">
        <f t="shared" si="322"/>
        <v>0.44261311943909232</v>
      </c>
      <c r="AN140" s="120">
        <f t="shared" si="323"/>
        <v>0.2517542596080915</v>
      </c>
      <c r="AO140" s="120">
        <f t="shared" si="327"/>
        <v>6.7116731551577755E-2</v>
      </c>
      <c r="AP140" s="173">
        <f>+AP139*EXP(AO140)</f>
        <v>106.94203059803927</v>
      </c>
      <c r="AQ140" s="175">
        <f>LN(AP140/AP139)</f>
        <v>6.7116731551577782E-2</v>
      </c>
      <c r="AR140" s="177">
        <f>+AC140/$AE$44</f>
        <v>4.0187761239413675E-3</v>
      </c>
      <c r="AS140" s="177">
        <f>+AR140*AQ140</f>
        <v>2.6972711827646305E-4</v>
      </c>
      <c r="AT140" s="177"/>
      <c r="AU140" s="177"/>
      <c r="AV140" s="177"/>
      <c r="AW140" s="190"/>
      <c r="AX140" s="120"/>
      <c r="AY140" s="120"/>
      <c r="AZ140" s="118">
        <f>IFERROR(INDEX('Total Customers'!$F$7:$AB$91,MATCH($C140,'Total Customers'!$D$7:$D$91,0),MATCH($G140,'Total Customers'!$F$5:$AB$5,0)),"NA")</f>
        <v>147945</v>
      </c>
      <c r="BA140" s="119">
        <f t="shared" si="302"/>
        <v>2.1024502956088233E-2</v>
      </c>
      <c r="BB140" s="119"/>
      <c r="BC140" s="121"/>
      <c r="BD140" s="119"/>
      <c r="BE140" s="119"/>
      <c r="BF140" s="119"/>
      <c r="BG140" s="173"/>
      <c r="BH140" s="173"/>
      <c r="BI140" s="173"/>
      <c r="BJ140" s="173"/>
      <c r="BK140" s="173"/>
      <c r="BL140" s="173"/>
      <c r="BM140" s="173"/>
      <c r="BN140" s="173"/>
      <c r="BO140" s="173"/>
      <c r="BP140" s="173"/>
      <c r="BQ140" s="118"/>
      <c r="BR140" s="118"/>
      <c r="BS140" s="118">
        <f>INDEX('Dist. Plant Gas Additions'!$F$7:$AE$91,MATCH($C140,'Dist. Plant Gas Additions'!$D$7:$D$91,0),MATCH(Calculation!$G140,'Dist. Plant Gas Additions'!$F$5:$AE$5,0))</f>
        <v>7575</v>
      </c>
      <c r="BT140" s="118">
        <f>INDEX('Gen. Plant Additions'!$F$7:$AE$91,MATCH($C140,'Gen. Plant Additions'!$D$7:$D$91,0),MATCH(Calculation!$G140,'Gen. Plant Additions'!$F$5:$AE$5,0))</f>
        <v>2936</v>
      </c>
      <c r="BU140" s="118"/>
      <c r="BV140" s="118"/>
      <c r="BW140" s="118">
        <f>INDEX('Dist Plant Depreciation'!$E$7:$AD$94,MATCH($C140,'Dist Plant Depreciation'!$D$7:$D$94,0),MATCH(Calculation!$G140,'Dist Plant Depreciation'!$E$5:$AD$5,0))</f>
        <v>47471</v>
      </c>
      <c r="BX140" s="118">
        <f>INDEX('Gen. Plant Depreciation'!$E$7:$AD$94,MATCH($C140,'Gen. Plant Depreciation'!$D$7:$D$94,0),MATCH(Calculation!$G140,'Gen. Plant Depreciation'!$E$5:$AD$5,0))</f>
        <v>13768</v>
      </c>
      <c r="BY140" s="118"/>
      <c r="BZ140" s="118"/>
      <c r="CA140" s="118"/>
      <c r="CB140" s="118"/>
      <c r="CC140" s="118"/>
      <c r="CD140" s="118"/>
      <c r="CE140" s="118">
        <f>INDEX('Gross Dx Plant'!$E$7:$AD$91,MATCH($C140,'Gross Dx Plant'!$D$7:$D$91,0),MATCH(Calculation!$G140,'Gross Dx Plant'!$E$5:$AD$5,0))</f>
        <v>112607</v>
      </c>
      <c r="CF140" s="118">
        <f>INDEX('Gross Gen Plant'!$E$7:$AD$91,MATCH($C140,'Gross Gen Plant'!$D$7:$D$91,0),MATCH(Calculation!$G140,'Gross Gen Plant'!$E$5:$AD$5,0))</f>
        <v>28695</v>
      </c>
      <c r="CG140" s="118">
        <f t="shared" si="215"/>
        <v>80063</v>
      </c>
      <c r="CH140" s="119" t="e">
        <f>SUM(#REF!)/15</f>
        <v>#REF!</v>
      </c>
      <c r="CI140" s="121">
        <v>2006</v>
      </c>
      <c r="CJ140" s="118"/>
      <c r="CK140" s="118"/>
      <c r="CL140" s="118"/>
      <c r="CM140" s="183"/>
      <c r="CN140" s="118">
        <f t="shared" si="303"/>
        <v>10511</v>
      </c>
      <c r="CO140" s="118">
        <f t="shared" si="304"/>
        <v>22.796197369943865</v>
      </c>
      <c r="CP140" s="186">
        <v>0.9555555555555556</v>
      </c>
      <c r="CQ140" s="118">
        <f>+CQ132*CP140+CO133*CP139+CO134*CP138+CO135*CP137+CO136*CP136+CO137*CP135+CO138*CP134+CO139*CP133+CO140</f>
        <v>523.64361495205196</v>
      </c>
      <c r="CR140" s="119">
        <f t="shared" si="305"/>
        <v>3.8248980833917916E-2</v>
      </c>
      <c r="CS140" s="119"/>
      <c r="CT140" s="177">
        <f t="shared" si="306"/>
        <v>6.2412907098696692E-3</v>
      </c>
      <c r="CU140" s="177">
        <f t="shared" si="314"/>
        <v>6.0528021117057214E-3</v>
      </c>
      <c r="CV140" s="119">
        <f>VLOOKUP($H140,RoR!$E:$F,2,FALSE)</f>
        <v>5.5874999999999994E-2</v>
      </c>
      <c r="CW140" s="177">
        <v>3.0512430354548314E-2</v>
      </c>
      <c r="CX140" s="177">
        <f t="shared" si="312"/>
        <v>2.536256964545168E-2</v>
      </c>
      <c r="CY140" s="177">
        <f t="shared" si="315"/>
        <v>2.4849139496827904E-2</v>
      </c>
      <c r="CZ140" s="177">
        <f t="shared" si="316"/>
        <v>7.9087823893859641E-2</v>
      </c>
      <c r="DA140" s="187">
        <f t="shared" si="307"/>
        <v>0.85290624999999998</v>
      </c>
      <c r="DB140" s="188">
        <f t="shared" si="308"/>
        <v>0.91779957551769631</v>
      </c>
      <c r="DC140" s="188">
        <f t="shared" si="309"/>
        <v>0.52757270693512304</v>
      </c>
      <c r="DD140" s="188">
        <f t="shared" si="310"/>
        <v>0.88636824549024895</v>
      </c>
      <c r="DE140" s="188">
        <f t="shared" si="311"/>
        <v>0.42918482841932087</v>
      </c>
      <c r="DF140" s="189">
        <f>INDEX('State Tax Lookup'!$D$7:$Z$91,MATCH(Calculation!$C140,'State Tax Lookup'!$B$7:$B$91,0),MATCH($H140,'State Tax Lookup'!$D$6:$Z$6,0))</f>
        <v>0.39224999999999999</v>
      </c>
      <c r="DG140" s="189">
        <v>0.375</v>
      </c>
      <c r="DH140" s="190">
        <f t="shared" si="313"/>
        <v>15.968389914237191</v>
      </c>
      <c r="DI140" s="190">
        <v>15.507754182765895</v>
      </c>
      <c r="DJ140" s="177"/>
      <c r="DK140" s="189">
        <f>VLOOKUP($H140,RoR!$E:$F,2,FALSE)</f>
        <v>5.5874999999999994E-2</v>
      </c>
      <c r="DL140" s="191">
        <f>HLOOKUP($H140,'GDP-PI'!$D$8:$CQ$11,3,FALSE)</f>
        <v>3.0512430354548314E-2</v>
      </c>
      <c r="DM140" s="189">
        <f>VLOOKUP(H140,'HW Dx Data'!$E:$F,2,FALSE)</f>
        <v>461.08567272971823</v>
      </c>
      <c r="DN140" s="183">
        <f>VLOOKUP(H140,'ECI - Input Price'!$G$17:$H$37,2,FALSE)</f>
        <v>102.05</v>
      </c>
      <c r="DO140" s="177">
        <f t="shared" ref="DO140" si="334">LN(DN140/DN139)</f>
        <v>2.8829034290048662E-2</v>
      </c>
      <c r="DP140" s="183">
        <f>HLOOKUP(H140,'GDP-PI'!$8:$9,2,FALSE)</f>
        <v>90.073999999999998</v>
      </c>
      <c r="DQ140" s="177">
        <f t="shared" ref="DQ140" si="335">LN(DP140/DP139)</f>
        <v>3.005618372545445E-2</v>
      </c>
      <c r="DW140" s="192"/>
      <c r="DX140" s="192"/>
      <c r="DY140" s="192"/>
      <c r="DZ140" s="192"/>
      <c r="EA140" s="192"/>
      <c r="EB140" s="192"/>
      <c r="EC140" s="192"/>
      <c r="ED140" s="192"/>
      <c r="EE140" s="192"/>
    </row>
    <row r="141" spans="1:135" s="167" customFormat="1" ht="21" x14ac:dyDescent="0.35">
      <c r="A141" s="167" t="s">
        <v>36</v>
      </c>
      <c r="B141" s="168" t="s">
        <v>36</v>
      </c>
      <c r="C141" s="168">
        <v>4058516</v>
      </c>
      <c r="D141" s="168" t="s">
        <v>131</v>
      </c>
      <c r="E141" s="168"/>
      <c r="F141" s="168"/>
      <c r="G141" s="168" t="s">
        <v>13</v>
      </c>
      <c r="H141" s="169">
        <v>2007</v>
      </c>
      <c r="I141" s="170"/>
      <c r="J141" s="166">
        <f>IFERROR(INDEX('Labor Expenditures'!$F$7:$X$91,MATCH($C141,'Labor Expenditures'!$D$7:$D$91,0),MATCH($G141,'Labor Expenditures'!$F$5:$X$5,0)),"NA")</f>
        <v>9781.1791531573144</v>
      </c>
      <c r="K141" s="166">
        <f t="shared" si="319"/>
        <v>92.954898105557746</v>
      </c>
      <c r="L141" s="172">
        <f t="shared" si="326"/>
        <v>-2.9526531643607048E-2</v>
      </c>
      <c r="M141" s="172">
        <f t="shared" si="330"/>
        <v>-1.1570514159090678E-4</v>
      </c>
      <c r="N141" s="196"/>
      <c r="O141" s="172"/>
      <c r="P141" s="166">
        <f>IFERROR(INDEX('Non-Labor Expenditures'!$F$7:$AB$91,MATCH($C141,'Non-Labor Expenditures'!$D$7:$D$91,0),MATCH($G141,'Non-Labor Expenditures'!$F$5:$AB$5,0)),"NA")</f>
        <v>14164.97428603976</v>
      </c>
      <c r="Q141" s="166">
        <f t="shared" si="320"/>
        <v>153.13816824190533</v>
      </c>
      <c r="R141" s="172">
        <f t="shared" si="331"/>
        <v>-2.5443974192864604E-2</v>
      </c>
      <c r="S141" s="172">
        <f t="shared" ref="S141:S155" si="336">+R141*AR141</f>
        <v>-9.9706889795103941E-5</v>
      </c>
      <c r="T141" s="172"/>
      <c r="U141" s="172"/>
      <c r="V141" s="166">
        <f t="shared" si="301"/>
        <v>8978.4680619871815</v>
      </c>
      <c r="W141" s="170"/>
      <c r="X141" s="174">
        <v>536.30868666886613</v>
      </c>
      <c r="Y141" s="175">
        <v>2.3898574469361757E-2</v>
      </c>
      <c r="Z141" s="175">
        <f t="shared" ref="Z141:Z155" si="337">+Y141*AR141</f>
        <v>9.3650956914779999E-5</v>
      </c>
      <c r="AA141" s="175"/>
      <c r="AB141" s="175"/>
      <c r="AC141" s="170">
        <f t="shared" si="287"/>
        <v>32924.621501184258</v>
      </c>
      <c r="AD141" s="175">
        <f t="shared" si="332"/>
        <v>2.9500717515107026E-2</v>
      </c>
      <c r="AE141" s="170"/>
      <c r="AF141" s="170"/>
      <c r="AG141" s="121">
        <f t="shared" si="333"/>
        <v>218.72464957938124</v>
      </c>
      <c r="AH141" s="119">
        <f>+AZ141/$BB$45</f>
        <v>4.2498609411638242E-3</v>
      </c>
      <c r="AI141" s="175"/>
      <c r="AJ141" s="176">
        <f t="shared" ref="AJ141:AJ155" si="338">+AH141*AG141</f>
        <v>0.92954934511715681</v>
      </c>
      <c r="AK141" s="176">
        <f t="shared" ref="AK141:AK155" si="339">+AI141*AG141</f>
        <v>0</v>
      </c>
      <c r="AL141" s="120">
        <f t="shared" si="321"/>
        <v>0.29707795282644323</v>
      </c>
      <c r="AM141" s="120">
        <f t="shared" si="322"/>
        <v>0.43022436220049676</v>
      </c>
      <c r="AN141" s="120">
        <f t="shared" si="323"/>
        <v>0.27269768497305996</v>
      </c>
      <c r="AO141" s="120">
        <f t="shared" si="327"/>
        <v>-1.3735376666429133E-2</v>
      </c>
      <c r="AP141" s="173">
        <f>+AP140*EXP(AO141)</f>
        <v>105.48318336989833</v>
      </c>
      <c r="AQ141" s="175">
        <f>LN(AP141/AP140)</f>
        <v>-1.3735376666429176E-2</v>
      </c>
      <c r="AR141" s="177">
        <f>+AC141/$AE$45</f>
        <v>3.918683812494406E-3</v>
      </c>
      <c r="AS141" s="177">
        <f t="shared" ref="AS141:AS155" si="340">+AR141*AQ141</f>
        <v>-5.3824598201249391E-5</v>
      </c>
      <c r="AT141" s="177"/>
      <c r="AU141" s="177"/>
      <c r="AV141" s="177"/>
      <c r="AW141" s="190"/>
      <c r="AX141" s="120"/>
      <c r="AY141" s="120"/>
      <c r="AZ141" s="118">
        <f>IFERROR(INDEX('Total Customers'!$F$7:$AB$91,MATCH($C141,'Total Customers'!$D$7:$D$91,0),MATCH($G141,'Total Customers'!$F$5:$AB$5,0)),"NA")</f>
        <v>150530</v>
      </c>
      <c r="BA141" s="119">
        <f t="shared" si="302"/>
        <v>1.7321816798346133E-2</v>
      </c>
      <c r="BB141" s="119"/>
      <c r="BC141" s="121"/>
      <c r="BD141" s="119"/>
      <c r="BE141" s="119"/>
      <c r="BF141" s="119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18"/>
      <c r="BR141" s="118"/>
      <c r="BS141" s="118">
        <f>INDEX('Dist. Plant Gas Additions'!$F$7:$AE$91,MATCH($C141,'Dist. Plant Gas Additions'!$D$7:$D$91,0),MATCH(Calculation!$G141,'Dist. Plant Gas Additions'!$F$5:$AE$5,0))</f>
        <v>5232</v>
      </c>
      <c r="BT141" s="118">
        <f>INDEX('Gen. Plant Additions'!$F$7:$AE$91,MATCH($C141,'Gen. Plant Additions'!$D$7:$D$91,0),MATCH(Calculation!$G141,'Gen. Plant Additions'!$F$5:$AE$5,0))</f>
        <v>2751</v>
      </c>
      <c r="BU141" s="118"/>
      <c r="BV141" s="118"/>
      <c r="BW141" s="118">
        <f>INDEX('Dist Plant Depreciation'!$E$7:$AD$94,MATCH($C141,'Dist Plant Depreciation'!$D$7:$D$94,0),MATCH(Calculation!$G141,'Dist Plant Depreciation'!$E$5:$AD$5,0))</f>
        <v>49719</v>
      </c>
      <c r="BX141" s="118">
        <f>INDEX('Gen. Plant Depreciation'!$E$7:$AD$94,MATCH($C141,'Gen. Plant Depreciation'!$D$7:$D$94,0),MATCH(Calculation!$G141,'Gen. Plant Depreciation'!$E$5:$AD$5,0))</f>
        <v>14622</v>
      </c>
      <c r="BY141" s="118"/>
      <c r="BZ141" s="118"/>
      <c r="CA141" s="118"/>
      <c r="CB141" s="118"/>
      <c r="CC141" s="118"/>
      <c r="CD141" s="118"/>
      <c r="CE141" s="118">
        <f>INDEX('Gross Dx Plant'!$E$7:$AD$91,MATCH($C141,'Gross Dx Plant'!$D$7:$D$91,0),MATCH(Calculation!$G141,'Gross Dx Plant'!$E$5:$AD$5,0))</f>
        <v>117412</v>
      </c>
      <c r="CF141" s="118">
        <f>INDEX('Gross Gen Plant'!$E$7:$AD$91,MATCH($C141,'Gross Gen Plant'!$D$7:$D$91,0),MATCH(Calculation!$G141,'Gross Gen Plant'!$E$5:$AD$5,0))</f>
        <v>30270</v>
      </c>
      <c r="CG141" s="118">
        <f t="shared" si="215"/>
        <v>83341</v>
      </c>
      <c r="CH141" s="118"/>
      <c r="CI141" s="121">
        <v>2007</v>
      </c>
      <c r="CJ141" s="118"/>
      <c r="CK141" s="118"/>
      <c r="CL141" s="118"/>
      <c r="CM141" s="183"/>
      <c r="CN141" s="118">
        <f t="shared" si="303"/>
        <v>7983</v>
      </c>
      <c r="CO141" s="118">
        <f t="shared" si="304"/>
        <v>16.029402201284391</v>
      </c>
      <c r="CP141" s="186">
        <v>0.94915254237288138</v>
      </c>
      <c r="CQ141" s="118">
        <f>+CQ132*CP141+CO133*CP140+CO134*CP139+CO135*CP138+CO136*CP137+CO137*CP136+CO138*CP135+CO139*CP134+CO140*CP133+CO141</f>
        <v>536.30868666886613</v>
      </c>
      <c r="CR141" s="119">
        <f t="shared" si="305"/>
        <v>2.3898574469361757E-2</v>
      </c>
      <c r="CS141" s="119"/>
      <c r="CT141" s="177">
        <f t="shared" si="306"/>
        <v>6.4248477178095289E-3</v>
      </c>
      <c r="CU141" s="177">
        <f t="shared" si="314"/>
        <v>6.2398072545272092E-3</v>
      </c>
      <c r="CV141" s="119">
        <f>VLOOKUP($H141,RoR!$E:$F,2,FALSE)</f>
        <v>5.5558333333333321E-2</v>
      </c>
      <c r="CW141" s="177">
        <v>2.691120634145272E-2</v>
      </c>
      <c r="CX141" s="177">
        <f t="shared" si="312"/>
        <v>2.86471269918806E-2</v>
      </c>
      <c r="CY141" s="177">
        <f t="shared" si="315"/>
        <v>2.4662134354006417E-2</v>
      </c>
      <c r="CZ141" s="177">
        <f t="shared" si="316"/>
        <v>6.4575155250632399E-2</v>
      </c>
      <c r="DA141" s="187">
        <f t="shared" si="307"/>
        <v>0.85290624999999998</v>
      </c>
      <c r="DB141" s="188">
        <f t="shared" si="308"/>
        <v>0.92303077153834634</v>
      </c>
      <c r="DC141" s="188">
        <f t="shared" si="309"/>
        <v>0.52502249887505614</v>
      </c>
      <c r="DD141" s="188">
        <f t="shared" si="310"/>
        <v>0.88499666072084604</v>
      </c>
      <c r="DE141" s="188">
        <f t="shared" si="311"/>
        <v>0.42887993290280618</v>
      </c>
      <c r="DF141" s="189">
        <f>INDEX('State Tax Lookup'!$D$7:$Z$91,MATCH(Calculation!$C141,'State Tax Lookup'!$B$7:$B$91,0),MATCH($H141,'State Tax Lookup'!$D$6:$Z$6,0))</f>
        <v>0.39224999999999999</v>
      </c>
      <c r="DG141" s="189">
        <v>0.375</v>
      </c>
      <c r="DH141" s="190">
        <f t="shared" si="313"/>
        <v>17.146142539729631</v>
      </c>
      <c r="DI141" s="190">
        <v>16.907304557224347</v>
      </c>
      <c r="DJ141" s="177"/>
      <c r="DK141" s="189">
        <f>VLOOKUP($H141,RoR!$E:$F,2,FALSE)</f>
        <v>5.5558333333333321E-2</v>
      </c>
      <c r="DL141" s="191">
        <f>HLOOKUP($H141,'GDP-PI'!$D$8:$CQ$11,3,FALSE)</f>
        <v>2.691120634145272E-2</v>
      </c>
      <c r="DM141" s="189">
        <f>VLOOKUP(H141,'HW Dx Data'!$E:$F,2,FALSE)</f>
        <v>498.0223154772637</v>
      </c>
      <c r="DN141" s="183">
        <f>VLOOKUP(H141,'ECI - Input Price'!$G$17:$H$37,2,FALSE)</f>
        <v>105.22500000000001</v>
      </c>
      <c r="DO141" s="177">
        <f t="shared" ref="DO141" si="341">LN(DN141/DN140)</f>
        <v>3.0638025400780679E-2</v>
      </c>
      <c r="DP141" s="183">
        <f>HLOOKUP(H141,'GDP-PI'!$8:$9,2,FALSE)</f>
        <v>92.498000000000005</v>
      </c>
      <c r="DQ141" s="177">
        <f t="shared" ref="DQ141" si="342">LN(DP141/DP140)</f>
        <v>2.6555467950038037E-2</v>
      </c>
      <c r="DW141" s="192"/>
      <c r="DX141" s="192"/>
      <c r="DY141" s="192"/>
      <c r="DZ141" s="192"/>
      <c r="EA141" s="192"/>
      <c r="EB141" s="192"/>
      <c r="EC141" s="192"/>
      <c r="ED141" s="192"/>
      <c r="EE141" s="192"/>
    </row>
    <row r="142" spans="1:135" s="167" customFormat="1" ht="21" x14ac:dyDescent="0.35">
      <c r="A142" s="167" t="s">
        <v>36</v>
      </c>
      <c r="B142" s="168" t="s">
        <v>36</v>
      </c>
      <c r="C142" s="168">
        <v>4058516</v>
      </c>
      <c r="D142" s="168" t="s">
        <v>131</v>
      </c>
      <c r="E142" s="168"/>
      <c r="F142" s="168"/>
      <c r="G142" s="168" t="s">
        <v>14</v>
      </c>
      <c r="H142" s="169">
        <v>2008</v>
      </c>
      <c r="I142" s="170"/>
      <c r="J142" s="166">
        <f>IFERROR(INDEX('Labor Expenditures'!$F$7:$X$91,MATCH($C142,'Labor Expenditures'!$D$7:$D$91,0),MATCH($G142,'Labor Expenditures'!$F$5:$X$5,0)),"NA")</f>
        <v>9465.3921147019773</v>
      </c>
      <c r="K142" s="166">
        <f t="shared" si="319"/>
        <v>87.460310600156873</v>
      </c>
      <c r="L142" s="172">
        <f t="shared" si="326"/>
        <v>-6.0929311593994416E-2</v>
      </c>
      <c r="M142" s="172">
        <f t="shared" si="330"/>
        <v>-2.2803284378001656E-4</v>
      </c>
      <c r="N142" s="196"/>
      <c r="O142" s="172"/>
      <c r="P142" s="166">
        <f>IFERROR(INDEX('Non-Labor Expenditures'!$F$7:$AB$91,MATCH($C142,'Non-Labor Expenditures'!$D$7:$D$91,0),MATCH($G142,'Non-Labor Expenditures'!$F$5:$AB$5,0)),"NA")</f>
        <v>13707.655673473442</v>
      </c>
      <c r="Q142" s="166">
        <f t="shared" si="320"/>
        <v>145.41771698075027</v>
      </c>
      <c r="R142" s="172">
        <f t="shared" si="331"/>
        <v>-5.1730166670616778E-2</v>
      </c>
      <c r="S142" s="172">
        <f t="shared" si="336"/>
        <v>-1.9360430483310567E-4</v>
      </c>
      <c r="T142" s="172"/>
      <c r="U142" s="172"/>
      <c r="V142" s="166">
        <f t="shared" si="301"/>
        <v>10442.979122436451</v>
      </c>
      <c r="W142" s="170"/>
      <c r="X142" s="174">
        <v>537.89536610575408</v>
      </c>
      <c r="Y142" s="175">
        <v>2.9541511907413419E-3</v>
      </c>
      <c r="Z142" s="175">
        <f t="shared" si="337"/>
        <v>1.1056148171667001E-5</v>
      </c>
      <c r="AA142" s="175"/>
      <c r="AB142" s="175"/>
      <c r="AC142" s="170">
        <f t="shared" si="287"/>
        <v>33616.026910611872</v>
      </c>
      <c r="AD142" s="175">
        <f t="shared" si="332"/>
        <v>2.0782192856793155E-2</v>
      </c>
      <c r="AE142" s="170"/>
      <c r="AF142" s="170"/>
      <c r="AG142" s="121">
        <f t="shared" si="333"/>
        <v>221.77963839848439</v>
      </c>
      <c r="AH142" s="119">
        <f>+AZ142/$BB$46</f>
        <v>4.2565189217990112E-3</v>
      </c>
      <c r="AI142" s="175"/>
      <c r="AJ142" s="176">
        <f t="shared" si="338"/>
        <v>0.94400922731289139</v>
      </c>
      <c r="AK142" s="176">
        <f t="shared" si="339"/>
        <v>0</v>
      </c>
      <c r="AL142" s="120">
        <f t="shared" si="321"/>
        <v>0.28157379037895619</v>
      </c>
      <c r="AM142" s="120">
        <f t="shared" si="322"/>
        <v>0.40777143919843256</v>
      </c>
      <c r="AN142" s="120">
        <f t="shared" si="323"/>
        <v>0.31065477042261119</v>
      </c>
      <c r="AO142" s="120">
        <f t="shared" si="327"/>
        <v>-3.8441601745542259E-2</v>
      </c>
      <c r="AP142" s="173">
        <f t="shared" ref="AP142:AP155" si="343">+AP141*EXP(AO142)</f>
        <v>101.50519090828644</v>
      </c>
      <c r="AQ142" s="175">
        <f t="shared" ref="AQ142:AQ155" si="344">LN(AP142/AP141)</f>
        <v>-3.8441601745542203E-2</v>
      </c>
      <c r="AR142" s="177">
        <f>+AC142/$AE$46</f>
        <v>3.7425803412900029E-3</v>
      </c>
      <c r="AS142" s="177">
        <f t="shared" si="340"/>
        <v>-1.4387078298056571E-4</v>
      </c>
      <c r="AT142" s="177"/>
      <c r="AU142" s="177"/>
      <c r="AV142" s="177"/>
      <c r="AW142" s="190"/>
      <c r="AX142" s="120"/>
      <c r="AY142" s="120"/>
      <c r="AZ142" s="118">
        <f>IFERROR(INDEX('Total Customers'!$F$7:$AB$91,MATCH($C142,'Total Customers'!$D$7:$D$91,0),MATCH($G142,'Total Customers'!$F$5:$AB$5,0)),"NA")</f>
        <v>151574</v>
      </c>
      <c r="BA142" s="119">
        <f t="shared" si="302"/>
        <v>6.9115546695896106E-3</v>
      </c>
      <c r="BB142" s="119"/>
      <c r="BC142" s="121"/>
      <c r="BD142" s="119"/>
      <c r="BE142" s="119"/>
      <c r="BF142" s="119"/>
      <c r="BG142" s="173"/>
      <c r="BH142" s="173"/>
      <c r="BI142" s="173"/>
      <c r="BJ142" s="173"/>
      <c r="BK142" s="173"/>
      <c r="BL142" s="173"/>
      <c r="BM142" s="173"/>
      <c r="BN142" s="173"/>
      <c r="BO142" s="173"/>
      <c r="BP142" s="173"/>
      <c r="BQ142" s="118"/>
      <c r="BR142" s="118"/>
      <c r="BS142" s="118">
        <f>INDEX('Dist. Plant Gas Additions'!$F$7:$AE$91,MATCH($C142,'Dist. Plant Gas Additions'!$D$7:$D$91,0),MATCH(Calculation!$G142,'Dist. Plant Gas Additions'!$F$5:$AE$5,0))</f>
        <v>1868</v>
      </c>
      <c r="BT142" s="118">
        <f>INDEX('Gen. Plant Additions'!$F$7:$AE$91,MATCH($C142,'Gen. Plant Additions'!$D$7:$D$91,0),MATCH(Calculation!$G142,'Gen. Plant Additions'!$F$5:$AE$5,0))</f>
        <v>1064</v>
      </c>
      <c r="BU142" s="118"/>
      <c r="BV142" s="118"/>
      <c r="BW142" s="118">
        <f>INDEX('Dist Plant Depreciation'!$E$7:$AD$94,MATCH($C142,'Dist Plant Depreciation'!$D$7:$D$94,0),MATCH(Calculation!$G142,'Dist Plant Depreciation'!$E$5:$AD$5,0))</f>
        <v>52312</v>
      </c>
      <c r="BX142" s="118">
        <f>INDEX('Gen. Plant Depreciation'!$E$7:$AD$94,MATCH($C142,'Gen. Plant Depreciation'!$D$7:$D$94,0),MATCH(Calculation!$G142,'Gen. Plant Depreciation'!$E$5:$AD$5,0))</f>
        <v>14172</v>
      </c>
      <c r="BY142" s="118"/>
      <c r="BZ142" s="118"/>
      <c r="CA142" s="118"/>
      <c r="CB142" s="118"/>
      <c r="CC142" s="118"/>
      <c r="CD142" s="118"/>
      <c r="CE142" s="118">
        <f>INDEX('Gross Dx Plant'!$E$7:$AD$91,MATCH($C142,'Gross Dx Plant'!$D$7:$D$91,0),MATCH(Calculation!$G142,'Gross Dx Plant'!$E$5:$AD$5,0))</f>
        <v>119345</v>
      </c>
      <c r="CF142" s="118">
        <f>INDEX('Gross Gen Plant'!$E$7:$AD$91,MATCH($C142,'Gross Gen Plant'!$D$7:$D$91,0),MATCH(Calculation!$G142,'Gross Gen Plant'!$E$5:$AD$5,0))</f>
        <v>27139</v>
      </c>
      <c r="CG142" s="118">
        <f t="shared" si="215"/>
        <v>80000</v>
      </c>
      <c r="CH142" s="118"/>
      <c r="CI142" s="121">
        <v>2008</v>
      </c>
      <c r="CJ142" s="118"/>
      <c r="CK142" s="118"/>
      <c r="CL142" s="118"/>
      <c r="CM142" s="183"/>
      <c r="CN142" s="118">
        <f t="shared" si="303"/>
        <v>2932</v>
      </c>
      <c r="CO142" s="118">
        <f t="shared" si="304"/>
        <v>5.1449319311478892</v>
      </c>
      <c r="CP142" s="186">
        <v>0.94252873563218387</v>
      </c>
      <c r="CQ142" s="118">
        <f>+CQ132*CP142+CO133*CP141+CO134*CP140+CO135*CP139+CO136*CP138+CO137*CP137+CO138*CP136+CO139*CP135+CO140*CP134+CO141*CP133+CO142</f>
        <v>537.89536610575408</v>
      </c>
      <c r="CR142" s="119">
        <f t="shared" si="305"/>
        <v>2.9541511907413419E-3</v>
      </c>
      <c r="CS142" s="119"/>
      <c r="CT142" s="177">
        <f t="shared" si="306"/>
        <v>6.6347097906637453E-3</v>
      </c>
      <c r="CU142" s="177">
        <f t="shared" si="314"/>
        <v>6.4336160727809814E-3</v>
      </c>
      <c r="CV142" s="119">
        <f>VLOOKUP($H142,RoR!$E:$F,2,FALSE)</f>
        <v>5.6316666666666668E-2</v>
      </c>
      <c r="CW142" s="177">
        <v>1.9092304698479889E-2</v>
      </c>
      <c r="CX142" s="177">
        <f t="shared" si="312"/>
        <v>3.7224361968186778E-2</v>
      </c>
      <c r="CY142" s="177">
        <f t="shared" si="315"/>
        <v>2.4468325535752643E-2</v>
      </c>
      <c r="CZ142" s="177">
        <f t="shared" si="316"/>
        <v>6.9030581091053131E-2</v>
      </c>
      <c r="DA142" s="187">
        <f t="shared" si="307"/>
        <v>0.85290624999999998</v>
      </c>
      <c r="DB142" s="188">
        <f t="shared" si="308"/>
        <v>0.91060168006009956</v>
      </c>
      <c r="DC142" s="188">
        <f t="shared" si="309"/>
        <v>0.53108168097070152</v>
      </c>
      <c r="DD142" s="188">
        <f t="shared" si="310"/>
        <v>0.88825329850328805</v>
      </c>
      <c r="DE142" s="188">
        <f t="shared" si="311"/>
        <v>0.4295627335323573</v>
      </c>
      <c r="DF142" s="189">
        <f>INDEX('State Tax Lookup'!$D$7:$Z$91,MATCH(Calculation!$C142,'State Tax Lookup'!$B$7:$B$91,0),MATCH($H142,'State Tax Lookup'!$D$6:$Z$6,0))</f>
        <v>0.39224999999999999</v>
      </c>
      <c r="DG142" s="189">
        <v>0.375</v>
      </c>
      <c r="DH142" s="190">
        <f t="shared" si="313"/>
        <v>19.471955950033447</v>
      </c>
      <c r="DI142" s="190">
        <v>19.201085354779064</v>
      </c>
      <c r="DJ142" s="177"/>
      <c r="DK142" s="189">
        <f>VLOOKUP($H142,RoR!$E:$F,2,FALSE)</f>
        <v>5.6316666666666668E-2</v>
      </c>
      <c r="DL142" s="191">
        <f>HLOOKUP($H142,'GDP-PI'!$D$8:$CQ$11,3,FALSE)</f>
        <v>1.9092304698479889E-2</v>
      </c>
      <c r="DM142" s="189">
        <f>VLOOKUP(H142,'HW Dx Data'!$E:$F,2,FALSE)</f>
        <v>569.88120333515076</v>
      </c>
      <c r="DN142" s="183">
        <f>VLOOKUP(H142,'ECI - Input Price'!$G$17:$H$37,2,FALSE)</f>
        <v>108.22499999999999</v>
      </c>
      <c r="DO142" s="177">
        <f t="shared" ref="DO142" si="345">LN(DN142/DN141)</f>
        <v>2.8111478671409691E-2</v>
      </c>
      <c r="DP142" s="183">
        <f>HLOOKUP(H142,'GDP-PI'!$8:$9,2,FALSE)</f>
        <v>94.263999999999996</v>
      </c>
      <c r="DQ142" s="177">
        <f t="shared" ref="DQ142" si="346">LN(DP142/DP141)</f>
        <v>1.8912333748032254E-2</v>
      </c>
      <c r="DW142" s="192"/>
      <c r="DX142" s="192"/>
      <c r="DY142" s="192"/>
      <c r="DZ142" s="192"/>
      <c r="EA142" s="192"/>
      <c r="EB142" s="192"/>
      <c r="EC142" s="192"/>
      <c r="ED142" s="192"/>
      <c r="EE142" s="192"/>
    </row>
    <row r="143" spans="1:135" s="167" customFormat="1" ht="21" x14ac:dyDescent="0.35">
      <c r="A143" s="167" t="s">
        <v>36</v>
      </c>
      <c r="B143" s="168" t="s">
        <v>36</v>
      </c>
      <c r="C143" s="168">
        <v>4058516</v>
      </c>
      <c r="D143" s="168" t="s">
        <v>131</v>
      </c>
      <c r="E143" s="168"/>
      <c r="F143" s="168"/>
      <c r="G143" s="168" t="s">
        <v>15</v>
      </c>
      <c r="H143" s="169">
        <v>2009</v>
      </c>
      <c r="I143" s="170"/>
      <c r="J143" s="166">
        <f>IFERROR(INDEX('Labor Expenditures'!$F$7:$X$91,MATCH($C143,'Labor Expenditures'!$D$7:$D$91,0),MATCH($G143,'Labor Expenditures'!$F$5:$X$5,0)),"NA")</f>
        <v>8610.090797554356</v>
      </c>
      <c r="K143" s="166">
        <f t="shared" si="319"/>
        <v>78.433985857930821</v>
      </c>
      <c r="L143" s="172">
        <f t="shared" si="326"/>
        <v>-0.10892777080678527</v>
      </c>
      <c r="M143" s="172">
        <f t="shared" si="330"/>
        <v>-3.6178500734523184E-4</v>
      </c>
      <c r="N143" s="196"/>
      <c r="O143" s="172"/>
      <c r="P143" s="166">
        <f>IFERROR(INDEX('Non-Labor Expenditures'!$F$7:$AB$91,MATCH($C143,'Non-Labor Expenditures'!$D$7:$D$91,0),MATCH($G143,'Non-Labor Expenditures'!$F$5:$AB$5,0)),"NA")</f>
        <v>12469.019617993239</v>
      </c>
      <c r="Q143" s="166">
        <f t="shared" si="320"/>
        <v>131.25421970750472</v>
      </c>
      <c r="R143" s="172">
        <f t="shared" si="331"/>
        <v>-0.10247435650535781</v>
      </c>
      <c r="S143" s="172">
        <f t="shared" si="336"/>
        <v>-3.403510927139933E-4</v>
      </c>
      <c r="T143" s="172"/>
      <c r="U143" s="172"/>
      <c r="V143" s="166">
        <f t="shared" si="301"/>
        <v>10038.044338941951</v>
      </c>
      <c r="W143" s="170"/>
      <c r="X143" s="174">
        <v>544.26450254380973</v>
      </c>
      <c r="Y143" s="175">
        <v>1.1771292147233207E-2</v>
      </c>
      <c r="Z143" s="175">
        <f t="shared" si="337"/>
        <v>3.9096338650899451E-5</v>
      </c>
      <c r="AA143" s="175"/>
      <c r="AB143" s="175"/>
      <c r="AC143" s="170">
        <f t="shared" si="287"/>
        <v>31117.154754489544</v>
      </c>
      <c r="AD143" s="175">
        <f t="shared" si="332"/>
        <v>-7.7243677699445498E-2</v>
      </c>
      <c r="AE143" s="170"/>
      <c r="AF143" s="170"/>
      <c r="AG143" s="121">
        <f t="shared" si="333"/>
        <v>201.84187664264198</v>
      </c>
      <c r="AH143" s="119">
        <f>+AZ143/$BB$47</f>
        <v>4.32306116280224E-3</v>
      </c>
      <c r="AI143" s="175"/>
      <c r="AJ143" s="176">
        <f t="shared" si="338"/>
        <v>0.87257477794092608</v>
      </c>
      <c r="AK143" s="176">
        <f t="shared" si="339"/>
        <v>0</v>
      </c>
      <c r="AL143" s="120">
        <f t="shared" si="321"/>
        <v>0.27669916692213331</v>
      </c>
      <c r="AM143" s="120">
        <f t="shared" si="322"/>
        <v>0.40071207397887898</v>
      </c>
      <c r="AN143" s="120">
        <f t="shared" si="323"/>
        <v>0.32258875909898782</v>
      </c>
      <c r="AO143" s="120">
        <f t="shared" si="327"/>
        <v>-6.8103080956105733E-2</v>
      </c>
      <c r="AP143" s="173">
        <f t="shared" si="343"/>
        <v>94.822512829444022</v>
      </c>
      <c r="AQ143" s="175">
        <f t="shared" si="344"/>
        <v>-6.8103080956105899E-2</v>
      </c>
      <c r="AR143" s="177">
        <f>+AC143/$AE$47</f>
        <v>3.3213293971374996E-3</v>
      </c>
      <c r="AS143" s="177">
        <f t="shared" si="340"/>
        <v>-2.2619276481514953E-4</v>
      </c>
      <c r="AT143" s="177"/>
      <c r="AU143" s="177"/>
      <c r="AV143" s="177"/>
      <c r="AW143" s="190"/>
      <c r="AX143" s="120"/>
      <c r="AY143" s="120"/>
      <c r="AZ143" s="118">
        <f>IFERROR(INDEX('Total Customers'!$F$7:$AB$91,MATCH($C143,'Total Customers'!$D$7:$D$91,0),MATCH($G143,'Total Customers'!$F$5:$AB$5,0)),"NA")</f>
        <v>154166</v>
      </c>
      <c r="BA143" s="119">
        <f t="shared" si="302"/>
        <v>1.6955989408693729E-2</v>
      </c>
      <c r="BB143" s="119"/>
      <c r="BC143" s="121"/>
      <c r="BD143" s="119"/>
      <c r="BE143" s="119"/>
      <c r="BF143" s="119"/>
      <c r="BG143" s="173"/>
      <c r="BH143" s="173"/>
      <c r="BI143" s="173"/>
      <c r="BJ143" s="173"/>
      <c r="BK143" s="173"/>
      <c r="BL143" s="173"/>
      <c r="BM143" s="173"/>
      <c r="BN143" s="173"/>
      <c r="BO143" s="173"/>
      <c r="BP143" s="173"/>
      <c r="BQ143" s="118"/>
      <c r="BR143" s="118"/>
      <c r="BS143" s="118">
        <f>INDEX('Dist. Plant Gas Additions'!$F$7:$AE$91,MATCH($C143,'Dist. Plant Gas Additions'!$D$7:$D$91,0),MATCH(Calculation!$G143,'Dist. Plant Gas Additions'!$F$5:$AE$5,0))</f>
        <v>3673</v>
      </c>
      <c r="BT143" s="118">
        <f>INDEX('Gen. Plant Additions'!$F$7:$AE$91,MATCH($C143,'Gen. Plant Additions'!$D$7:$D$91,0),MATCH(Calculation!$G143,'Gen. Plant Additions'!$F$5:$AE$5,0))</f>
        <v>1878</v>
      </c>
      <c r="BU143" s="118"/>
      <c r="BV143" s="118"/>
      <c r="BW143" s="118">
        <f>INDEX('Dist Plant Depreciation'!$E$7:$AD$94,MATCH($C143,'Dist Plant Depreciation'!$D$7:$D$94,0),MATCH(Calculation!$G143,'Dist Plant Depreciation'!$E$5:$AD$5,0))</f>
        <v>55117</v>
      </c>
      <c r="BX143" s="118">
        <f>INDEX('Gen. Plant Depreciation'!$E$7:$AD$94,MATCH($C143,'Gen. Plant Depreciation'!$D$7:$D$94,0),MATCH(Calculation!$G143,'Gen. Plant Depreciation'!$E$5:$AD$5,0))</f>
        <v>15529</v>
      </c>
      <c r="BY143" s="118"/>
      <c r="BZ143" s="118"/>
      <c r="CA143" s="118"/>
      <c r="CB143" s="118"/>
      <c r="CC143" s="118"/>
      <c r="CD143" s="118"/>
      <c r="CE143" s="118">
        <f>INDEX('Gross Dx Plant'!$E$7:$AD$91,MATCH($C143,'Gross Dx Plant'!$D$7:$D$91,0),MATCH(Calculation!$G143,'Gross Dx Plant'!$E$5:$AD$5,0))</f>
        <v>122891</v>
      </c>
      <c r="CF143" s="118">
        <f>INDEX('Gross Gen Plant'!$E$7:$AD$91,MATCH($C143,'Gross Gen Plant'!$D$7:$D$91,0),MATCH(Calculation!$G143,'Gross Gen Plant'!$E$5:$AD$5,0))</f>
        <v>28495</v>
      </c>
      <c r="CG143" s="118">
        <f t="shared" si="215"/>
        <v>80740</v>
      </c>
      <c r="CH143" s="118"/>
      <c r="CI143" s="121">
        <v>2009</v>
      </c>
      <c r="CJ143" s="118"/>
      <c r="CK143" s="118"/>
      <c r="CL143" s="118"/>
      <c r="CM143" s="183"/>
      <c r="CN143" s="118">
        <f t="shared" si="303"/>
        <v>5551</v>
      </c>
      <c r="CO143" s="118">
        <f t="shared" si="304"/>
        <v>10.075495669138762</v>
      </c>
      <c r="CP143" s="186">
        <v>0.93567251461988299</v>
      </c>
      <c r="CQ143" s="118">
        <f>+CQ132*CP143+CO133*CP142+CO134*CP141+CO135*CP140+CO136*CP139+CO137*CP138+CO138*CP137+CO139*CP136+CO140*CP135+CO141*CP134+CO142*CP133+CO143</f>
        <v>544.26450254380973</v>
      </c>
      <c r="CR143" s="119">
        <f t="shared" si="305"/>
        <v>1.1771292147233207E-2</v>
      </c>
      <c r="CS143" s="119"/>
      <c r="CT143" s="177">
        <f t="shared" si="306"/>
        <v>6.8904836602634309E-3</v>
      </c>
      <c r="CU143" s="177">
        <f t="shared" si="314"/>
        <v>6.6500137229122342E-3</v>
      </c>
      <c r="CV143" s="119">
        <f>VLOOKUP($H143,RoR!$E:$F,2,FALSE)</f>
        <v>5.3133333333333324E-2</v>
      </c>
      <c r="CW143" s="177">
        <v>7.7972502758210105E-3</v>
      </c>
      <c r="CX143" s="177">
        <f t="shared" si="312"/>
        <v>4.5336083057512314E-2</v>
      </c>
      <c r="CY143" s="177">
        <f t="shared" si="315"/>
        <v>2.4251927885621392E-2</v>
      </c>
      <c r="CZ143" s="177">
        <f t="shared" si="316"/>
        <v>6.3720160300892073E-2</v>
      </c>
      <c r="DA143" s="187">
        <f t="shared" si="307"/>
        <v>0.85290624999999998</v>
      </c>
      <c r="DB143" s="188">
        <f t="shared" si="308"/>
        <v>0.96515780330083989</v>
      </c>
      <c r="DC143" s="188">
        <f t="shared" si="309"/>
        <v>0.50448557089084056</v>
      </c>
      <c r="DD143" s="188">
        <f t="shared" si="310"/>
        <v>0.87391435735465484</v>
      </c>
      <c r="DE143" s="188">
        <f t="shared" si="311"/>
        <v>0.42551605393279146</v>
      </c>
      <c r="DF143" s="189">
        <f>INDEX('State Tax Lookup'!$D$7:$Z$91,MATCH(Calculation!$C143,'State Tax Lookup'!$B$7:$B$91,0),MATCH($H143,'State Tax Lookup'!$D$6:$Z$6,0))</f>
        <v>0.39224999999999999</v>
      </c>
      <c r="DG143" s="189">
        <v>0.375</v>
      </c>
      <c r="DH143" s="190">
        <f t="shared" si="313"/>
        <v>18.661704434479919</v>
      </c>
      <c r="DI143" s="190">
        <v>18.307782766274293</v>
      </c>
      <c r="DJ143" s="177"/>
      <c r="DK143" s="189">
        <f>VLOOKUP($H143,RoR!$E:$F,2,FALSE)</f>
        <v>5.3133333333333324E-2</v>
      </c>
      <c r="DL143" s="191">
        <f>HLOOKUP($H143,'GDP-PI'!$D$8:$CQ$11,3,FALSE)</f>
        <v>7.7972502758210105E-3</v>
      </c>
      <c r="DM143" s="189">
        <f>VLOOKUP(H143,'HW Dx Data'!$E:$F,2,FALSE)</f>
        <v>550.94063679692806</v>
      </c>
      <c r="DN143" s="183">
        <f>VLOOKUP(H143,'ECI - Input Price'!$G$17:$H$37,2,FALSE)</f>
        <v>109.77499999999999</v>
      </c>
      <c r="DO143" s="177">
        <f t="shared" ref="DO143" si="347">LN(DN143/DN142)</f>
        <v>1.4220423119736749E-2</v>
      </c>
      <c r="DP143" s="183">
        <f>HLOOKUP(H143,'GDP-PI'!$8:$9,2,FALSE)</f>
        <v>94.998999999999995</v>
      </c>
      <c r="DQ143" s="177">
        <f t="shared" ref="DQ143" si="348">LN(DP143/DP142)</f>
        <v>7.7670088183096342E-3</v>
      </c>
      <c r="DW143" s="192"/>
      <c r="DX143" s="192"/>
      <c r="DY143" s="192"/>
      <c r="DZ143" s="192"/>
      <c r="EA143" s="192"/>
      <c r="EB143" s="192"/>
      <c r="EC143" s="192"/>
      <c r="ED143" s="192"/>
      <c r="EE143" s="192"/>
    </row>
    <row r="144" spans="1:135" s="167" customFormat="1" ht="21" x14ac:dyDescent="0.35">
      <c r="A144" s="167" t="s">
        <v>36</v>
      </c>
      <c r="B144" s="168" t="s">
        <v>36</v>
      </c>
      <c r="C144" s="168">
        <v>4058516</v>
      </c>
      <c r="D144" s="168" t="s">
        <v>131</v>
      </c>
      <c r="E144" s="168"/>
      <c r="F144" s="168"/>
      <c r="G144" s="168" t="s">
        <v>16</v>
      </c>
      <c r="H144" s="169">
        <v>2010</v>
      </c>
      <c r="I144" s="170"/>
      <c r="J144" s="166">
        <f>IFERROR(INDEX('Labor Expenditures'!$F$7:$X$91,MATCH($C144,'Labor Expenditures'!$D$7:$D$91,0),MATCH($G144,'Labor Expenditures'!$F$5:$X$5,0)),"NA")</f>
        <v>8981.9195396377472</v>
      </c>
      <c r="K144" s="166">
        <f t="shared" si="319"/>
        <v>80.285314320784337</v>
      </c>
      <c r="L144" s="172">
        <f t="shared" si="326"/>
        <v>2.3329392545147341E-2</v>
      </c>
      <c r="M144" s="172">
        <f t="shared" si="330"/>
        <v>7.7809166524761333E-5</v>
      </c>
      <c r="N144" s="196"/>
      <c r="O144" s="172"/>
      <c r="P144" s="166">
        <f>IFERROR(INDEX('Non-Labor Expenditures'!$F$7:$AB$91,MATCH($C144,'Non-Labor Expenditures'!$D$7:$D$91,0),MATCH($G144,'Non-Labor Expenditures'!$F$5:$AB$5,0)),"NA")</f>
        <v>13007.497084559385</v>
      </c>
      <c r="Q144" s="166">
        <f t="shared" si="320"/>
        <v>135.34109276508326</v>
      </c>
      <c r="R144" s="172">
        <f t="shared" si="331"/>
        <v>3.0662153885235174E-2</v>
      </c>
      <c r="S144" s="172">
        <f t="shared" si="336"/>
        <v>1.0226569907669464E-4</v>
      </c>
      <c r="T144" s="172"/>
      <c r="U144" s="172"/>
      <c r="V144" s="166">
        <f t="shared" si="301"/>
        <v>10399.646202168402</v>
      </c>
      <c r="W144" s="170"/>
      <c r="X144" s="174">
        <v>557.54907387649621</v>
      </c>
      <c r="Y144" s="175">
        <v>2.4115177749156443E-2</v>
      </c>
      <c r="Z144" s="175">
        <f t="shared" si="337"/>
        <v>8.0429950228113939E-5</v>
      </c>
      <c r="AA144" s="175"/>
      <c r="AB144" s="175"/>
      <c r="AC144" s="170">
        <f t="shared" si="287"/>
        <v>32389.062826365534</v>
      </c>
      <c r="AD144" s="175">
        <f t="shared" si="332"/>
        <v>4.0061531789463846E-2</v>
      </c>
      <c r="AE144" s="170"/>
      <c r="AF144" s="170"/>
      <c r="AG144" s="121">
        <f t="shared" si="333"/>
        <v>210.91572781619087</v>
      </c>
      <c r="AH144" s="119">
        <f>+AZ144/$BB$48</f>
        <v>4.2824740872264531E-3</v>
      </c>
      <c r="AI144" s="175"/>
      <c r="AJ144" s="176">
        <f t="shared" si="338"/>
        <v>0.90324113896134506</v>
      </c>
      <c r="AK144" s="176">
        <f t="shared" si="339"/>
        <v>0</v>
      </c>
      <c r="AL144" s="120">
        <f t="shared" si="321"/>
        <v>0.27731335073783714</v>
      </c>
      <c r="AM144" s="120">
        <f t="shared" si="322"/>
        <v>0.40160152685773132</v>
      </c>
      <c r="AN144" s="120">
        <f t="shared" si="323"/>
        <v>0.32108512240443154</v>
      </c>
      <c r="AO144" s="120">
        <f t="shared" si="327"/>
        <v>2.6523874328714267E-2</v>
      </c>
      <c r="AP144" s="173">
        <f t="shared" si="343"/>
        <v>97.371224679815484</v>
      </c>
      <c r="AQ144" s="175">
        <f t="shared" si="344"/>
        <v>2.6523874328714309E-2</v>
      </c>
      <c r="AR144" s="177">
        <f>+AC144/$AE$48</f>
        <v>3.3352418574201636E-3</v>
      </c>
      <c r="AS144" s="177">
        <f t="shared" si="340"/>
        <v>8.8463535882080108E-5</v>
      </c>
      <c r="AT144" s="177"/>
      <c r="AU144" s="177"/>
      <c r="AV144" s="177"/>
      <c r="AW144" s="190"/>
      <c r="AX144" s="120"/>
      <c r="AY144" s="120"/>
      <c r="AZ144" s="118">
        <f>IFERROR(INDEX('Total Customers'!$F$7:$AB$91,MATCH($C144,'Total Customers'!$D$7:$D$91,0),MATCH($G144,'Total Customers'!$F$5:$AB$5,0)),"NA")</f>
        <v>153564</v>
      </c>
      <c r="BA144" s="119">
        <f t="shared" si="302"/>
        <v>-3.9125257072367848E-3</v>
      </c>
      <c r="BB144" s="119"/>
      <c r="BC144" s="121"/>
      <c r="BD144" s="119"/>
      <c r="BE144" s="119"/>
      <c r="BF144" s="119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18"/>
      <c r="BR144" s="118"/>
      <c r="BS144" s="118">
        <f>INDEX('Dist. Plant Gas Additions'!$F$7:$AE$91,MATCH($C144,'Dist. Plant Gas Additions'!$D$7:$D$91,0),MATCH(Calculation!$G144,'Dist. Plant Gas Additions'!$F$5:$AE$5,0))</f>
        <v>5455</v>
      </c>
      <c r="BT144" s="118">
        <f>INDEX('Gen. Plant Additions'!$F$7:$AE$91,MATCH($C144,'Gen. Plant Additions'!$D$7:$D$91,0),MATCH(Calculation!$G144,'Gen. Plant Additions'!$F$5:$AE$5,0))</f>
        <v>4315</v>
      </c>
      <c r="BU144" s="118"/>
      <c r="BV144" s="118"/>
      <c r="BW144" s="118">
        <f>INDEX('Dist Plant Depreciation'!$E$7:$AD$94,MATCH($C144,'Dist Plant Depreciation'!$D$7:$D$94,0),MATCH(Calculation!$G144,'Dist Plant Depreciation'!$E$5:$AD$5,0))</f>
        <v>59359</v>
      </c>
      <c r="BX144" s="118">
        <f>INDEX('Gen. Plant Depreciation'!$E$7:$AD$94,MATCH($C144,'Gen. Plant Depreciation'!$D$7:$D$94,0),MATCH(Calculation!$G144,'Gen. Plant Depreciation'!$E$5:$AD$5,0))</f>
        <v>16460</v>
      </c>
      <c r="BY144" s="118"/>
      <c r="BZ144" s="118"/>
      <c r="CA144" s="118"/>
      <c r="CB144" s="118"/>
      <c r="CC144" s="118"/>
      <c r="CD144" s="118"/>
      <c r="CE144" s="118">
        <f>INDEX('Gross Dx Plant'!$E$7:$AD$91,MATCH($C144,'Gross Dx Plant'!$D$7:$D$91,0),MATCH(Calculation!$G144,'Gross Dx Plant'!$E$5:$AD$5,0))</f>
        <v>130878</v>
      </c>
      <c r="CF144" s="118">
        <f>INDEX('Gross Gen Plant'!$E$7:$AD$91,MATCH($C144,'Gross Gen Plant'!$D$7:$D$91,0),MATCH(Calculation!$G144,'Gross Gen Plant'!$E$5:$AD$5,0))</f>
        <v>31679</v>
      </c>
      <c r="CG144" s="118">
        <f t="shared" si="215"/>
        <v>86738</v>
      </c>
      <c r="CH144" s="118"/>
      <c r="CI144" s="121">
        <v>2010</v>
      </c>
      <c r="CJ144" s="118"/>
      <c r="CK144" s="118"/>
      <c r="CL144" s="118"/>
      <c r="CM144" s="183"/>
      <c r="CN144" s="118">
        <f t="shared" si="303"/>
        <v>9770</v>
      </c>
      <c r="CO144" s="118">
        <f t="shared" si="304"/>
        <v>17.170791297283465</v>
      </c>
      <c r="CP144" s="186">
        <v>0.9285714285714286</v>
      </c>
      <c r="CQ144" s="118">
        <f>+CQ132*CP144+CO133*CP143+CO134*CP142+CO135*CP141+CO136*CP140+CO137*CP139+CO138*CP138+CO139*CP137+CO140*CP136+CO141*CP135+CO142*CP134+CO143*CP133+CO144</f>
        <v>557.54907387649621</v>
      </c>
      <c r="CR144" s="119">
        <f t="shared" si="305"/>
        <v>2.4115177749156443E-2</v>
      </c>
      <c r="CS144" s="119"/>
      <c r="CT144" s="177">
        <f t="shared" si="306"/>
        <v>7.1403149506046783E-3</v>
      </c>
      <c r="CU144" s="177">
        <f t="shared" si="314"/>
        <v>6.8885028005106182E-3</v>
      </c>
      <c r="CV144" s="119">
        <f>VLOOKUP($H144,RoR!$E:$F,2,FALSE)</f>
        <v>4.9433333333333322E-2</v>
      </c>
      <c r="CW144" s="177">
        <v>1.1684333519300205E-2</v>
      </c>
      <c r="CX144" s="177">
        <f t="shared" si="312"/>
        <v>3.7748999814033117E-2</v>
      </c>
      <c r="CY144" s="177">
        <f t="shared" si="315"/>
        <v>2.4013438808023008E-2</v>
      </c>
      <c r="CZ144" s="177">
        <f t="shared" si="316"/>
        <v>4.7937530248493419E-2</v>
      </c>
      <c r="DA144" s="187">
        <f t="shared" si="307"/>
        <v>0.85290624999999998</v>
      </c>
      <c r="DB144" s="188">
        <f t="shared" si="308"/>
        <v>1.037398205301105</v>
      </c>
      <c r="DC144" s="188">
        <f t="shared" si="309"/>
        <v>0.46926837491571133</v>
      </c>
      <c r="DD144" s="188">
        <f t="shared" si="310"/>
        <v>0.8548537519972772</v>
      </c>
      <c r="DE144" s="188">
        <f t="shared" si="311"/>
        <v>0.41615833911547367</v>
      </c>
      <c r="DF144" s="189">
        <f>INDEX('State Tax Lookup'!$D$7:$Z$91,MATCH(Calculation!$C144,'State Tax Lookup'!$B$7:$B$91,0),MATCH($H144,'State Tax Lookup'!$D$6:$Z$6,0))</f>
        <v>0.39224999999999999</v>
      </c>
      <c r="DG144" s="189">
        <v>0.375</v>
      </c>
      <c r="DH144" s="190">
        <f t="shared" si="313"/>
        <v>19.107706186168734</v>
      </c>
      <c r="DI144" s="190">
        <v>18.765358554797633</v>
      </c>
      <c r="DJ144" s="177"/>
      <c r="DK144" s="189">
        <f>VLOOKUP($H144,RoR!$E:$F,2,FALSE)</f>
        <v>4.9433333333333322E-2</v>
      </c>
      <c r="DL144" s="191">
        <f>HLOOKUP($H144,'GDP-PI'!$D$8:$CQ$11,3,FALSE)</f>
        <v>1.1684333519300205E-2</v>
      </c>
      <c r="DM144" s="189">
        <f>VLOOKUP(H144,'HW Dx Data'!$E:$F,2,FALSE)</f>
        <v>568.98950262971744</v>
      </c>
      <c r="DN144" s="183">
        <f>VLOOKUP(H144,'ECI - Input Price'!$G$17:$H$37,2,FALSE)</f>
        <v>111.875</v>
      </c>
      <c r="DO144" s="177">
        <f t="shared" ref="DO144" si="349">LN(DN144/DN143)</f>
        <v>1.8949360147238387E-2</v>
      </c>
      <c r="DP144" s="183">
        <f>HLOOKUP(H144,'GDP-PI'!$8:$9,2,FALSE)</f>
        <v>96.108999999999995</v>
      </c>
      <c r="DQ144" s="177">
        <f t="shared" ref="DQ144" si="350">LN(DP144/DP143)</f>
        <v>1.1616598807150427E-2</v>
      </c>
      <c r="DW144" s="192"/>
      <c r="DX144" s="192"/>
      <c r="DY144" s="192"/>
      <c r="DZ144" s="192"/>
      <c r="EA144" s="192"/>
      <c r="EB144" s="192"/>
      <c r="EC144" s="192"/>
      <c r="ED144" s="192"/>
      <c r="EE144" s="192"/>
    </row>
    <row r="145" spans="1:135" s="167" customFormat="1" ht="21" x14ac:dyDescent="0.35">
      <c r="A145" s="167" t="s">
        <v>36</v>
      </c>
      <c r="B145" s="168" t="s">
        <v>36</v>
      </c>
      <c r="C145" s="168">
        <v>4058516</v>
      </c>
      <c r="D145" s="168" t="s">
        <v>131</v>
      </c>
      <c r="E145" s="168"/>
      <c r="F145" s="168"/>
      <c r="G145" s="168" t="s">
        <v>17</v>
      </c>
      <c r="H145" s="169">
        <v>2011</v>
      </c>
      <c r="I145" s="170"/>
      <c r="J145" s="166">
        <f>IFERROR(INDEX('Labor Expenditures'!$F$7:$X$91,MATCH($C145,'Labor Expenditures'!$D$7:$D$91,0),MATCH($G145,'Labor Expenditures'!$F$5:$X$5,0)),"NA")</f>
        <v>8739.1160143126126</v>
      </c>
      <c r="K145" s="166">
        <f t="shared" si="319"/>
        <v>76.457707911746397</v>
      </c>
      <c r="L145" s="172">
        <f t="shared" si="326"/>
        <v>-4.8848968849973751E-2</v>
      </c>
      <c r="M145" s="172">
        <f t="shared" si="330"/>
        <v>-1.5686073746813863E-4</v>
      </c>
      <c r="N145" s="196"/>
      <c r="O145" s="172"/>
      <c r="P145" s="166">
        <f>IFERROR(INDEX('Non-Labor Expenditures'!$F$7:$AB$91,MATCH($C145,'Non-Labor Expenditures'!$D$7:$D$91,0),MATCH($G145,'Non-Labor Expenditures'!$F$5:$AB$5,0)),"NA")</f>
        <v>12655.872230445535</v>
      </c>
      <c r="Q145" s="166">
        <f t="shared" si="320"/>
        <v>128.99413150731343</v>
      </c>
      <c r="R145" s="172">
        <f t="shared" si="331"/>
        <v>-4.8031293857077897E-2</v>
      </c>
      <c r="S145" s="172">
        <f t="shared" si="336"/>
        <v>-1.5423507094099414E-4</v>
      </c>
      <c r="T145" s="172"/>
      <c r="U145" s="172"/>
      <c r="V145" s="166">
        <f t="shared" si="301"/>
        <v>11354.919795148839</v>
      </c>
      <c r="W145" s="170"/>
      <c r="X145" s="174">
        <v>578.34884893896731</v>
      </c>
      <c r="Y145" s="175">
        <v>3.6626707138638109E-2</v>
      </c>
      <c r="Z145" s="175">
        <f t="shared" si="337"/>
        <v>1.1761337911638228E-4</v>
      </c>
      <c r="AA145" s="175"/>
      <c r="AB145" s="175"/>
      <c r="AC145" s="170">
        <f t="shared" si="287"/>
        <v>32749.908039906986</v>
      </c>
      <c r="AD145" s="175">
        <f t="shared" si="332"/>
        <v>1.1079355413341634E-2</v>
      </c>
      <c r="AE145" s="170"/>
      <c r="AF145" s="170"/>
      <c r="AG145" s="121">
        <f t="shared" si="333"/>
        <v>213.49770882029625</v>
      </c>
      <c r="AH145" s="119">
        <f>+AZ145/$BB$49</f>
        <v>4.2570208205456464E-3</v>
      </c>
      <c r="AI145" s="175"/>
      <c r="AJ145" s="176">
        <f t="shared" si="338"/>
        <v>0.9088641915867931</v>
      </c>
      <c r="AK145" s="176">
        <f t="shared" si="339"/>
        <v>0</v>
      </c>
      <c r="AL145" s="120">
        <f t="shared" si="321"/>
        <v>0.26684398636062345</v>
      </c>
      <c r="AM145" s="120">
        <f t="shared" si="322"/>
        <v>0.3864399318319881</v>
      </c>
      <c r="AN145" s="120">
        <f t="shared" si="323"/>
        <v>0.34671608180738844</v>
      </c>
      <c r="AO145" s="120">
        <f t="shared" si="327"/>
        <v>-1.9986408274898702E-2</v>
      </c>
      <c r="AP145" s="173">
        <f t="shared" si="343"/>
        <v>95.444442495218041</v>
      </c>
      <c r="AQ145" s="175">
        <f t="shared" si="344"/>
        <v>-1.9986408274898747E-2</v>
      </c>
      <c r="AR145" s="177">
        <f>+AC145/$AE$49</f>
        <v>3.2111371265562119E-3</v>
      </c>
      <c r="AS145" s="177">
        <f t="shared" si="340"/>
        <v>-6.4179097638037653E-5</v>
      </c>
      <c r="AT145" s="177"/>
      <c r="AU145" s="177"/>
      <c r="AV145" s="177"/>
      <c r="AW145" s="190"/>
      <c r="AX145" s="120"/>
      <c r="AY145" s="120"/>
      <c r="AZ145" s="118">
        <f>IFERROR(INDEX('Total Customers'!$F$7:$AB$91,MATCH($C145,'Total Customers'!$D$7:$D$91,0),MATCH($G145,'Total Customers'!$F$5:$AB$5,0)),"NA")</f>
        <v>153397</v>
      </c>
      <c r="BA145" s="119">
        <f t="shared" si="302"/>
        <v>-1.0880862160104197E-3</v>
      </c>
      <c r="BB145" s="119"/>
      <c r="BC145" s="121"/>
      <c r="BD145" s="119"/>
      <c r="BE145" s="119"/>
      <c r="BF145" s="119"/>
      <c r="BG145" s="173"/>
      <c r="BH145" s="173"/>
      <c r="BI145" s="173"/>
      <c r="BJ145" s="173"/>
      <c r="BK145" s="173"/>
      <c r="BL145" s="173"/>
      <c r="BM145" s="173"/>
      <c r="BN145" s="173"/>
      <c r="BO145" s="173"/>
      <c r="BP145" s="173"/>
      <c r="BQ145" s="118"/>
      <c r="BR145" s="118"/>
      <c r="BS145" s="118">
        <f>INDEX('Dist. Plant Gas Additions'!$F$7:$AE$91,MATCH($C145,'Dist. Plant Gas Additions'!$D$7:$D$91,0),MATCH(Calculation!$G145,'Dist. Plant Gas Additions'!$F$5:$AE$5,0))</f>
        <v>11183</v>
      </c>
      <c r="BT145" s="118">
        <f>INDEX('Gen. Plant Additions'!$F$7:$AE$91,MATCH($C145,'Gen. Plant Additions'!$D$7:$D$91,0),MATCH(Calculation!$G145,'Gen. Plant Additions'!$F$5:$AE$5,0))</f>
        <v>4052</v>
      </c>
      <c r="BU145" s="118"/>
      <c r="BV145" s="118"/>
      <c r="BW145" s="118">
        <f>INDEX('Dist Plant Depreciation'!$E$7:$AD$94,MATCH($C145,'Dist Plant Depreciation'!$D$7:$D$94,0),MATCH(Calculation!$G145,'Dist Plant Depreciation'!$E$5:$AD$5,0))</f>
        <v>62200</v>
      </c>
      <c r="BX145" s="118">
        <f>INDEX('Gen. Plant Depreciation'!$E$7:$AD$94,MATCH($C145,'Gen. Plant Depreciation'!$D$7:$D$94,0),MATCH(Calculation!$G145,'Gen. Plant Depreciation'!$E$5:$AD$5,0))</f>
        <v>13381</v>
      </c>
      <c r="BY145" s="118"/>
      <c r="BZ145" s="118"/>
      <c r="CA145" s="118"/>
      <c r="CB145" s="118"/>
      <c r="CC145" s="118"/>
      <c r="CD145" s="118"/>
      <c r="CE145" s="118">
        <f>INDEX('Gross Dx Plant'!$E$7:$AD$91,MATCH($C145,'Gross Dx Plant'!$D$7:$D$91,0),MATCH(Calculation!$G145,'Gross Dx Plant'!$E$5:$AD$5,0))</f>
        <v>141621</v>
      </c>
      <c r="CF145" s="118">
        <f>INDEX('Gross Gen Plant'!$E$7:$AD$91,MATCH($C145,'Gross Gen Plant'!$D$7:$D$91,0),MATCH(Calculation!$G145,'Gross Gen Plant'!$E$5:$AD$5,0))</f>
        <v>30394</v>
      </c>
      <c r="CG145" s="118">
        <f t="shared" si="215"/>
        <v>96434</v>
      </c>
      <c r="CH145" s="118"/>
      <c r="CI145" s="121">
        <v>2011</v>
      </c>
      <c r="CJ145" s="118"/>
      <c r="CK145" s="118"/>
      <c r="CL145" s="118"/>
      <c r="CM145" s="183"/>
      <c r="CN145" s="118">
        <f t="shared" si="303"/>
        <v>15235</v>
      </c>
      <c r="CO145" s="118">
        <f t="shared" si="304"/>
        <v>24.90962001274794</v>
      </c>
      <c r="CP145" s="186">
        <v>0.92121212121212126</v>
      </c>
      <c r="CQ145" s="118">
        <f>+CQ132*CP145+CO133*CP144+CO134*CP143+CO135*CP142+CO136*CP141+CO137*CP140+CO138*CP139+CO139*CP138+CO140*CP137+CO141*CP136+CO142*CP135+CO143*CP134+CO144*CP133+CO145</f>
        <v>578.34884893896731</v>
      </c>
      <c r="CR145" s="119">
        <f t="shared" si="305"/>
        <v>3.6626707138638109E-2</v>
      </c>
      <c r="CS145" s="119"/>
      <c r="CT145" s="177">
        <f t="shared" si="306"/>
        <v>7.3712703380567736E-3</v>
      </c>
      <c r="CU145" s="177">
        <f t="shared" si="314"/>
        <v>7.1340229829749613E-3</v>
      </c>
      <c r="CV145" s="119">
        <f>VLOOKUP($H145,RoR!$E:$F,2,FALSE)</f>
        <v>4.6391666666666664E-2</v>
      </c>
      <c r="CW145" s="177">
        <v>2.0840920205183799E-2</v>
      </c>
      <c r="CX145" s="177">
        <f t="shared" si="312"/>
        <v>2.5550746461482865E-2</v>
      </c>
      <c r="CY145" s="177">
        <f t="shared" si="315"/>
        <v>2.3767918625558663E-2</v>
      </c>
      <c r="CZ145" s="177">
        <f t="shared" si="316"/>
        <v>2.4810540821321614E-2</v>
      </c>
      <c r="DA145" s="187">
        <f t="shared" si="307"/>
        <v>0.85290624999999998</v>
      </c>
      <c r="DB145" s="188">
        <f t="shared" si="308"/>
        <v>1.1054151524782025</v>
      </c>
      <c r="DC145" s="188">
        <f t="shared" si="309"/>
        <v>0.43611011316687626</v>
      </c>
      <c r="DD145" s="188">
        <f t="shared" si="310"/>
        <v>0.83698442246886229</v>
      </c>
      <c r="DE145" s="188">
        <f t="shared" si="311"/>
        <v>0.40349573304423936</v>
      </c>
      <c r="DF145" s="189">
        <f>INDEX('State Tax Lookup'!$D$7:$Z$91,MATCH(Calculation!$C145,'State Tax Lookup'!$B$7:$B$91,0),MATCH($H145,'State Tax Lookup'!$D$6:$Z$6,0))</f>
        <v>0.39224999999999999</v>
      </c>
      <c r="DG145" s="189">
        <v>0.375</v>
      </c>
      <c r="DH145" s="190">
        <f t="shared" si="313"/>
        <v>20.365776444037444</v>
      </c>
      <c r="DI145" s="190">
        <v>20.01720356555213</v>
      </c>
      <c r="DJ145" s="177"/>
      <c r="DK145" s="189">
        <f>VLOOKUP($H145,RoR!$E:$F,2,FALSE)</f>
        <v>4.6391666666666664E-2</v>
      </c>
      <c r="DL145" s="191">
        <f>HLOOKUP($H145,'GDP-PI'!$D$8:$CQ$11,3,FALSE)</f>
        <v>2.0840920205183799E-2</v>
      </c>
      <c r="DM145" s="189">
        <f>VLOOKUP(H145,'HW Dx Data'!$E:$F,2,FALSE)</f>
        <v>611.61109612283201</v>
      </c>
      <c r="DN145" s="183">
        <f>VLOOKUP(H145,'ECI - Input Price'!$G$17:$H$37,2,FALSE)</f>
        <v>114.3</v>
      </c>
      <c r="DO145" s="177">
        <f t="shared" ref="DO145" si="351">LN(DN145/DN144)</f>
        <v>2.1444394205745516E-2</v>
      </c>
      <c r="DP145" s="183">
        <f>HLOOKUP(H145,'GDP-PI'!$8:$9,2,FALSE)</f>
        <v>98.111999999999995</v>
      </c>
      <c r="DQ145" s="177">
        <f t="shared" ref="DQ145" si="352">LN(DP145/DP144)</f>
        <v>2.0626719212849295E-2</v>
      </c>
      <c r="DW145" s="192"/>
      <c r="DX145" s="192"/>
      <c r="DY145" s="192"/>
      <c r="DZ145" s="192"/>
      <c r="EA145" s="192"/>
      <c r="EB145" s="192"/>
      <c r="EC145" s="192"/>
      <c r="ED145" s="192"/>
      <c r="EE145" s="192"/>
    </row>
    <row r="146" spans="1:135" s="167" customFormat="1" ht="21" x14ac:dyDescent="0.35">
      <c r="A146" s="167" t="s">
        <v>36</v>
      </c>
      <c r="B146" s="168" t="s">
        <v>36</v>
      </c>
      <c r="C146" s="168">
        <v>4058516</v>
      </c>
      <c r="D146" s="168" t="s">
        <v>131</v>
      </c>
      <c r="E146" s="168"/>
      <c r="F146" s="168"/>
      <c r="G146" s="168" t="s">
        <v>18</v>
      </c>
      <c r="H146" s="169">
        <v>2012</v>
      </c>
      <c r="I146" s="170"/>
      <c r="J146" s="166">
        <f>IFERROR(INDEX('Labor Expenditures'!$F$7:$X$91,MATCH($C146,'Labor Expenditures'!$D$7:$D$91,0),MATCH($G146,'Labor Expenditures'!$F$5:$X$5,0)),"NA")</f>
        <v>9569.287539562838</v>
      </c>
      <c r="K146" s="166">
        <f t="shared" si="319"/>
        <v>82.139807206547971</v>
      </c>
      <c r="L146" s="172">
        <f t="shared" si="326"/>
        <v>7.1685011186893341E-2</v>
      </c>
      <c r="M146" s="172">
        <f t="shared" si="330"/>
        <v>2.4251522816525636E-4</v>
      </c>
      <c r="N146" s="196"/>
      <c r="O146" s="172"/>
      <c r="P146" s="166">
        <f>IFERROR(INDEX('Non-Labor Expenditures'!$F$7:$AB$91,MATCH($C146,'Non-Labor Expenditures'!$D$7:$D$91,0),MATCH($G146,'Non-Labor Expenditures'!$F$5:$AB$5,0)),"NA")</f>
        <v>13858.11565366062</v>
      </c>
      <c r="Q146" s="166">
        <f t="shared" si="320"/>
        <v>138.58115653660619</v>
      </c>
      <c r="R146" s="172">
        <f t="shared" si="331"/>
        <v>7.168921065314128E-2</v>
      </c>
      <c r="S146" s="172">
        <f t="shared" si="336"/>
        <v>2.4252943524283687E-4</v>
      </c>
      <c r="T146" s="172"/>
      <c r="U146" s="172"/>
      <c r="V146" s="166">
        <f t="shared" si="301"/>
        <v>12725.499509024157</v>
      </c>
      <c r="W146" s="170"/>
      <c r="X146" s="174">
        <v>601.964164946305</v>
      </c>
      <c r="Y146" s="175">
        <v>4.0020685380246522E-2</v>
      </c>
      <c r="Z146" s="175">
        <f t="shared" si="337"/>
        <v>1.3539267812927357E-4</v>
      </c>
      <c r="AA146" s="175"/>
      <c r="AB146" s="175"/>
      <c r="AC146" s="170">
        <f t="shared" si="287"/>
        <v>36152.902702247615</v>
      </c>
      <c r="AD146" s="175">
        <f t="shared" si="332"/>
        <v>9.8857087296780763E-2</v>
      </c>
      <c r="AE146" s="170"/>
      <c r="AF146" s="170"/>
      <c r="AG146" s="121">
        <f t="shared" si="333"/>
        <v>234.38470172482664</v>
      </c>
      <c r="AH146" s="119">
        <f>+AZ146/$BB$50</f>
        <v>4.2599832287105802E-3</v>
      </c>
      <c r="AI146" s="175"/>
      <c r="AJ146" s="176">
        <f t="shared" si="338"/>
        <v>0.99847489841409331</v>
      </c>
      <c r="AK146" s="176">
        <f t="shared" si="339"/>
        <v>0</v>
      </c>
      <c r="AL146" s="120">
        <f t="shared" si="321"/>
        <v>0.26468932849942139</v>
      </c>
      <c r="AM146" s="120">
        <f t="shared" si="322"/>
        <v>0.38331958481439071</v>
      </c>
      <c r="AN146" s="120">
        <f t="shared" si="323"/>
        <v>0.35199108668618789</v>
      </c>
      <c r="AO146" s="120">
        <f t="shared" si="327"/>
        <v>6.06245817631378E-2</v>
      </c>
      <c r="AP146" s="173">
        <f t="shared" si="343"/>
        <v>101.40971608937559</v>
      </c>
      <c r="AQ146" s="175">
        <f t="shared" si="344"/>
        <v>6.0624581763137723E-2</v>
      </c>
      <c r="AR146" s="177">
        <f>+AC146/$AE$50</f>
        <v>3.3830674523155696E-3</v>
      </c>
      <c r="AS146" s="177">
        <f t="shared" si="340"/>
        <v>2.0509704937311527E-4</v>
      </c>
      <c r="AT146" s="177"/>
      <c r="AU146" s="177"/>
      <c r="AV146" s="177"/>
      <c r="AW146" s="190"/>
      <c r="AX146" s="120"/>
      <c r="AY146" s="120"/>
      <c r="AZ146" s="118">
        <f>IFERROR(INDEX('Total Customers'!$F$7:$AB$91,MATCH($C146,'Total Customers'!$D$7:$D$91,0),MATCH($G146,'Total Customers'!$F$5:$AB$5,0)),"NA")</f>
        <v>154246</v>
      </c>
      <c r="BA146" s="119">
        <f t="shared" si="302"/>
        <v>5.5193984931228152E-3</v>
      </c>
      <c r="BB146" s="119"/>
      <c r="BC146" s="121"/>
      <c r="BD146" s="119"/>
      <c r="BE146" s="119"/>
      <c r="BF146" s="119"/>
      <c r="BG146" s="173"/>
      <c r="BH146" s="173"/>
      <c r="BI146" s="173"/>
      <c r="BJ146" s="173"/>
      <c r="BK146" s="173"/>
      <c r="BL146" s="173"/>
      <c r="BM146" s="173"/>
      <c r="BN146" s="173"/>
      <c r="BO146" s="173"/>
      <c r="BP146" s="173"/>
      <c r="BQ146" s="118"/>
      <c r="BR146" s="118"/>
      <c r="BS146" s="118">
        <f>INDEX('Dist. Plant Gas Additions'!$F$7:$AE$91,MATCH($C146,'Dist. Plant Gas Additions'!$D$7:$D$91,0),MATCH(Calculation!$G146,'Dist. Plant Gas Additions'!$F$5:$AE$5,0))</f>
        <v>15379</v>
      </c>
      <c r="BT146" s="118">
        <f>INDEX('Gen. Plant Additions'!$F$7:$AE$91,MATCH($C146,'Gen. Plant Additions'!$D$7:$D$91,0),MATCH(Calculation!$G146,'Gen. Plant Additions'!$F$5:$AE$5,0))</f>
        <v>3349</v>
      </c>
      <c r="BU146" s="118"/>
      <c r="BV146" s="118"/>
      <c r="BW146" s="118">
        <f>INDEX('Dist Plant Depreciation'!$E$7:$AD$94,MATCH($C146,'Dist Plant Depreciation'!$D$7:$D$94,0),MATCH(Calculation!$G146,'Dist Plant Depreciation'!$E$5:$AD$5,0))</f>
        <v>65264</v>
      </c>
      <c r="BX146" s="118">
        <f>INDEX('Gen. Plant Depreciation'!$E$7:$AD$94,MATCH($C146,'Gen. Plant Depreciation'!$D$7:$D$94,0),MATCH(Calculation!$G146,'Gen. Plant Depreciation'!$E$5:$AD$5,0))</f>
        <v>12638</v>
      </c>
      <c r="BY146" s="118"/>
      <c r="BZ146" s="118"/>
      <c r="CA146" s="118"/>
      <c r="CB146" s="118"/>
      <c r="CC146" s="118"/>
      <c r="CD146" s="118"/>
      <c r="CE146" s="118">
        <f>INDEX('Gross Dx Plant'!$E$7:$AD$91,MATCH($C146,'Gross Dx Plant'!$D$7:$D$91,0),MATCH(Calculation!$G146,'Gross Dx Plant'!$E$5:$AD$5,0))</f>
        <v>156344</v>
      </c>
      <c r="CF146" s="118">
        <f>INDEX('Gross Gen Plant'!$E$7:$AD$91,MATCH($C146,'Gross Gen Plant'!$D$7:$D$91,0),MATCH(Calculation!$G146,'Gross Gen Plant'!$E$5:$AD$5,0))</f>
        <v>30650</v>
      </c>
      <c r="CG146" s="118">
        <f t="shared" si="215"/>
        <v>109092</v>
      </c>
      <c r="CH146" s="118"/>
      <c r="CI146" s="121">
        <v>2012</v>
      </c>
      <c r="CJ146" s="118"/>
      <c r="CK146" s="118"/>
      <c r="CL146" s="118"/>
      <c r="CM146" s="183"/>
      <c r="CN146" s="118">
        <f t="shared" si="303"/>
        <v>18728</v>
      </c>
      <c r="CO146" s="118">
        <f t="shared" si="304"/>
        <v>27.997397265864727</v>
      </c>
      <c r="CP146" s="186">
        <v>0.9135802469135802</v>
      </c>
      <c r="CQ146" s="118">
        <f>+CQ132*CP146+CO133*CP145+CO134*CP144+CO135*CP143+CO136*CP142+CO137*CP141+CO138*CP140+CO139*CP139+CO140*CP138+CO141*CP137+CO142*CP136+CO143*CP135+CO144*CP134+CO145*CP133+CO146</f>
        <v>601.964164946305</v>
      </c>
      <c r="CR146" s="119">
        <f t="shared" si="305"/>
        <v>4.0020685380246522E-2</v>
      </c>
      <c r="CS146" s="119"/>
      <c r="CT146" s="177">
        <f t="shared" si="306"/>
        <v>7.5768824759768266E-3</v>
      </c>
      <c r="CU146" s="177">
        <f t="shared" si="314"/>
        <v>7.3628225882127587E-3</v>
      </c>
      <c r="CV146" s="119">
        <f>VLOOKUP($H146,RoR!$E:$F,2,FALSE)</f>
        <v>3.6733333333333333E-2</v>
      </c>
      <c r="CW146" s="177">
        <v>1.924331376386168E-2</v>
      </c>
      <c r="CX146" s="177">
        <f t="shared" si="312"/>
        <v>1.7490019569471653E-2</v>
      </c>
      <c r="CY146" s="177">
        <f t="shared" si="315"/>
        <v>2.3539119020320867E-2</v>
      </c>
      <c r="CZ146" s="177">
        <f t="shared" si="316"/>
        <v>6.7122682943869583E-2</v>
      </c>
      <c r="DA146" s="187">
        <f t="shared" si="307"/>
        <v>0.85290624999999998</v>
      </c>
      <c r="DB146" s="188">
        <f t="shared" si="308"/>
        <v>1.3960631020522127</v>
      </c>
      <c r="DC146" s="188">
        <f t="shared" si="309"/>
        <v>0.29441923774954631</v>
      </c>
      <c r="DD146" s="188">
        <f t="shared" si="310"/>
        <v>0.76377954189366437</v>
      </c>
      <c r="DE146" s="188">
        <f t="shared" si="311"/>
        <v>0.31393465103033691</v>
      </c>
      <c r="DF146" s="189">
        <f>INDEX('State Tax Lookup'!$D$7:$Z$91,MATCH(Calculation!$C146,'State Tax Lookup'!$B$7:$B$91,0),MATCH($H146,'State Tax Lookup'!$D$6:$Z$6,0))</f>
        <v>0.39224999999999999</v>
      </c>
      <c r="DG146" s="189">
        <v>0.375</v>
      </c>
      <c r="DH146" s="190">
        <f t="shared" si="313"/>
        <v>22.003155245091651</v>
      </c>
      <c r="DI146" s="190">
        <v>21.69443523679654</v>
      </c>
      <c r="DJ146" s="177"/>
      <c r="DK146" s="189">
        <f>VLOOKUP($H146,RoR!$E:$F,2,FALSE)</f>
        <v>3.6733333333333333E-2</v>
      </c>
      <c r="DL146" s="191">
        <f>HLOOKUP($H146,'GDP-PI'!$D$8:$CQ$11,3,FALSE)</f>
        <v>1.924331376386168E-2</v>
      </c>
      <c r="DM146" s="189">
        <f>VLOOKUP(H146,'HW Dx Data'!$E:$F,2,FALSE)</f>
        <v>668.91932211262167</v>
      </c>
      <c r="DN146" s="183">
        <f>VLOOKUP(H146,'ECI - Input Price'!$G$17:$H$37,2,FALSE)</f>
        <v>116.5</v>
      </c>
      <c r="DO146" s="177">
        <f t="shared" ref="DO146" si="353">LN(DN146/DN145)</f>
        <v>1.9064702204990347E-2</v>
      </c>
      <c r="DP146" s="183">
        <f>HLOOKUP(H146,'GDP-PI'!$8:$9,2,FALSE)</f>
        <v>100</v>
      </c>
      <c r="DQ146" s="177">
        <f t="shared" ref="DQ146" si="354">LN(DP146/DP145)</f>
        <v>1.9060502738742411E-2</v>
      </c>
      <c r="DW146" s="192"/>
      <c r="DX146" s="192"/>
      <c r="DY146" s="192"/>
      <c r="DZ146" s="192"/>
      <c r="EA146" s="192"/>
      <c r="EB146" s="192"/>
      <c r="EC146" s="192"/>
      <c r="ED146" s="192"/>
      <c r="EE146" s="192"/>
    </row>
    <row r="147" spans="1:135" s="167" customFormat="1" ht="21" x14ac:dyDescent="0.35">
      <c r="A147" s="167" t="s">
        <v>36</v>
      </c>
      <c r="B147" s="168" t="s">
        <v>36</v>
      </c>
      <c r="C147" s="168">
        <v>4058516</v>
      </c>
      <c r="D147" s="168" t="s">
        <v>131</v>
      </c>
      <c r="E147" s="168"/>
      <c r="F147" s="168"/>
      <c r="G147" s="168" t="s">
        <v>19</v>
      </c>
      <c r="H147" s="169">
        <v>2013</v>
      </c>
      <c r="I147" s="170"/>
      <c r="J147" s="166">
        <f>IFERROR(INDEX('Labor Expenditures'!$F$7:$X$91,MATCH($C147,'Labor Expenditures'!$D$7:$D$91,0),MATCH($G147,'Labor Expenditures'!$F$5:$X$5,0)),"NA")</f>
        <v>10265.820404773485</v>
      </c>
      <c r="K147" s="166">
        <f t="shared" si="319"/>
        <v>86.46721755968403</v>
      </c>
      <c r="L147" s="172">
        <f t="shared" si="326"/>
        <v>5.1342592961210611E-2</v>
      </c>
      <c r="M147" s="172">
        <f t="shared" si="330"/>
        <v>1.7673750146972829E-4</v>
      </c>
      <c r="N147" s="196"/>
      <c r="O147" s="172"/>
      <c r="P147" s="166">
        <f>IFERROR(INDEX('Non-Labor Expenditures'!$F$7:$AB$91,MATCH($C147,'Non-Labor Expenditures'!$D$7:$D$91,0),MATCH($G147,'Non-Labor Expenditures'!$F$5:$AB$5,0)),"NA")</f>
        <v>14866.825336879703</v>
      </c>
      <c r="Q147" s="166">
        <f t="shared" si="320"/>
        <v>146.0782853692011</v>
      </c>
      <c r="R147" s="172">
        <f t="shared" si="331"/>
        <v>5.2686557374130555E-2</v>
      </c>
      <c r="S147" s="172">
        <f t="shared" si="336"/>
        <v>1.8136385356268072E-4</v>
      </c>
      <c r="T147" s="172"/>
      <c r="U147" s="172"/>
      <c r="V147" s="166">
        <f t="shared" si="301"/>
        <v>13024.99317416546</v>
      </c>
      <c r="W147" s="170"/>
      <c r="X147" s="174">
        <v>625.21324419495397</v>
      </c>
      <c r="Y147" s="175">
        <v>3.7894865386241802E-2</v>
      </c>
      <c r="Z147" s="175">
        <f t="shared" si="337"/>
        <v>1.3044615475412381E-4</v>
      </c>
      <c r="AA147" s="175"/>
      <c r="AB147" s="175"/>
      <c r="AC147" s="170">
        <f t="shared" si="287"/>
        <v>38157.63891581865</v>
      </c>
      <c r="AD147" s="175">
        <f t="shared" si="332"/>
        <v>5.3968729958335057E-2</v>
      </c>
      <c r="AE147" s="170"/>
      <c r="AF147" s="170"/>
      <c r="AG147" s="121">
        <f t="shared" si="333"/>
        <v>244.24015180066982</v>
      </c>
      <c r="AH147" s="119">
        <f>+AZ147/$BB$51</f>
        <v>4.2871918287063935E-3</v>
      </c>
      <c r="AI147" s="175"/>
      <c r="AJ147" s="176">
        <f t="shared" si="338"/>
        <v>1.0471043830418407</v>
      </c>
      <c r="AK147" s="176">
        <f t="shared" si="339"/>
        <v>0</v>
      </c>
      <c r="AL147" s="120">
        <f t="shared" si="321"/>
        <v>0.26903709706518769</v>
      </c>
      <c r="AM147" s="120">
        <f t="shared" si="322"/>
        <v>0.3896159657487745</v>
      </c>
      <c r="AN147" s="120">
        <f t="shared" si="323"/>
        <v>0.34134693718603781</v>
      </c>
      <c r="AO147" s="120">
        <f t="shared" si="327"/>
        <v>4.7200081466728945E-2</v>
      </c>
      <c r="AP147" s="173">
        <f t="shared" si="343"/>
        <v>106.31102410561526</v>
      </c>
      <c r="AQ147" s="175">
        <f t="shared" si="344"/>
        <v>4.7200081466729008E-2</v>
      </c>
      <c r="AR147" s="177">
        <f>+AC147/$AE$51</f>
        <v>3.4423174069773549E-3</v>
      </c>
      <c r="AS147" s="177">
        <f t="shared" si="340"/>
        <v>1.6247766204367049E-4</v>
      </c>
      <c r="AT147" s="177"/>
      <c r="AU147" s="177"/>
      <c r="AV147" s="177"/>
      <c r="AW147" s="190"/>
      <c r="AX147" s="120"/>
      <c r="AY147" s="120"/>
      <c r="AZ147" s="118">
        <f>IFERROR(INDEX('Total Customers'!$F$7:$AB$91,MATCH($C147,'Total Customers'!$D$7:$D$91,0),MATCH($G147,'Total Customers'!$F$5:$AB$5,0)),"NA")</f>
        <v>156230</v>
      </c>
      <c r="BA147" s="119">
        <f t="shared" si="302"/>
        <v>1.2780549903240073E-2</v>
      </c>
      <c r="BB147" s="119"/>
      <c r="BC147" s="121"/>
      <c r="BD147" s="119"/>
      <c r="BE147" s="119"/>
      <c r="BF147" s="119"/>
      <c r="BG147" s="173"/>
      <c r="BH147" s="173"/>
      <c r="BI147" s="173"/>
      <c r="BJ147" s="173"/>
      <c r="BK147" s="173"/>
      <c r="BL147" s="173"/>
      <c r="BM147" s="173"/>
      <c r="BN147" s="173"/>
      <c r="BO147" s="173"/>
      <c r="BP147" s="173"/>
      <c r="BQ147" s="118"/>
      <c r="BR147" s="118"/>
      <c r="BS147" s="118">
        <f>INDEX('Dist. Plant Gas Additions'!$F$7:$AE$91,MATCH($C147,'Dist. Plant Gas Additions'!$D$7:$D$91,0),MATCH(Calculation!$G147,'Dist. Plant Gas Additions'!$F$5:$AE$5,0))</f>
        <v>15461</v>
      </c>
      <c r="BT147" s="118">
        <f>INDEX('Gen. Plant Additions'!$F$7:$AE$91,MATCH($C147,'Gen. Plant Additions'!$D$7:$D$91,0),MATCH(Calculation!$G147,'Gen. Plant Additions'!$F$5:$AE$5,0))</f>
        <v>3064</v>
      </c>
      <c r="BU147" s="118"/>
      <c r="BV147" s="118"/>
      <c r="BW147" s="118">
        <f>INDEX('Dist Plant Depreciation'!$E$7:$AD$94,MATCH($C147,'Dist Plant Depreciation'!$D$7:$D$94,0),MATCH(Calculation!$G147,'Dist Plant Depreciation'!$E$5:$AD$5,0))</f>
        <v>67914</v>
      </c>
      <c r="BX147" s="118">
        <f>INDEX('Gen. Plant Depreciation'!$E$7:$AD$94,MATCH($C147,'Gen. Plant Depreciation'!$D$7:$D$94,0),MATCH(Calculation!$G147,'Gen. Plant Depreciation'!$E$5:$AD$5,0))</f>
        <v>14151</v>
      </c>
      <c r="BY147" s="118"/>
      <c r="BZ147" s="118"/>
      <c r="CA147" s="118"/>
      <c r="CB147" s="118"/>
      <c r="CC147" s="118"/>
      <c r="CD147" s="118"/>
      <c r="CE147" s="118">
        <f>INDEX('Gross Dx Plant'!$E$7:$AD$91,MATCH($C147,'Gross Dx Plant'!$D$7:$D$91,0),MATCH(Calculation!$G147,'Gross Dx Plant'!$E$5:$AD$5,0))</f>
        <v>169612</v>
      </c>
      <c r="CF147" s="118">
        <f>INDEX('Gross Gen Plant'!$E$7:$AD$91,MATCH($C147,'Gross Gen Plant'!$D$7:$D$91,0),MATCH(Calculation!$G147,'Gross Gen Plant'!$E$5:$AD$5,0))</f>
        <v>33417</v>
      </c>
      <c r="CG147" s="118">
        <f t="shared" si="215"/>
        <v>120964</v>
      </c>
      <c r="CH147" s="118"/>
      <c r="CI147" s="121">
        <v>2013</v>
      </c>
      <c r="CJ147" s="118"/>
      <c r="CK147" s="118"/>
      <c r="CL147" s="118"/>
      <c r="CM147" s="183"/>
      <c r="CN147" s="118">
        <f t="shared" si="303"/>
        <v>18525</v>
      </c>
      <c r="CO147" s="118">
        <f t="shared" si="304"/>
        <v>27.930711701242366</v>
      </c>
      <c r="CP147" s="186">
        <v>0.90566037735849059</v>
      </c>
      <c r="CQ147" s="118">
        <f>+CQ132*CP147+CO133*CP146+CO134*CP145+CO135*CP144+CO136*CP143+CO137*CP142+CO138*CP141+CO139*CP140+CO140*CP139+CO141*CP138+CO142*CP137+CO143*CP136+CO144*CP135+CO145*CP134+CO146*CP133+CO147</f>
        <v>625.21324419495397</v>
      </c>
      <c r="CR147" s="119">
        <f t="shared" si="305"/>
        <v>3.7894865386241802E-2</v>
      </c>
      <c r="CS147" s="119"/>
      <c r="CT147" s="177">
        <f t="shared" si="306"/>
        <v>7.7772610484396487E-3</v>
      </c>
      <c r="CU147" s="177">
        <f t="shared" si="314"/>
        <v>7.5751379541577494E-3</v>
      </c>
      <c r="CV147" s="119">
        <f>VLOOKUP($H147,RoR!$E:$F,2,FALSE)</f>
        <v>4.2350000000000006E-2</v>
      </c>
      <c r="CW147" s="177">
        <v>1.7730000000000024E-2</v>
      </c>
      <c r="CX147" s="177">
        <f t="shared" si="312"/>
        <v>2.4619999999999982E-2</v>
      </c>
      <c r="CY147" s="177">
        <f t="shared" si="315"/>
        <v>2.3326803654375877E-2</v>
      </c>
      <c r="CZ147" s="177">
        <f t="shared" si="316"/>
        <v>5.3376742735721204E-2</v>
      </c>
      <c r="DA147" s="187">
        <f t="shared" si="307"/>
        <v>0.85290624999999998</v>
      </c>
      <c r="DB147" s="188">
        <f t="shared" si="308"/>
        <v>1.2109103018193925</v>
      </c>
      <c r="DC147" s="188">
        <f t="shared" si="309"/>
        <v>0.38468122786304604</v>
      </c>
      <c r="DD147" s="188">
        <f t="shared" si="310"/>
        <v>0.80969194503422559</v>
      </c>
      <c r="DE147" s="188">
        <f t="shared" si="311"/>
        <v>0.37716621754800816</v>
      </c>
      <c r="DF147" s="189">
        <f>INDEX('State Tax Lookup'!$D$7:$Z$91,MATCH(Calculation!$C147,'State Tax Lookup'!$B$7:$B$91,0),MATCH($H147,'State Tax Lookup'!$D$6:$Z$6,0))</f>
        <v>0.39224999999999999</v>
      </c>
      <c r="DG147" s="189">
        <v>0.375</v>
      </c>
      <c r="DH147" s="190">
        <f t="shared" si="313"/>
        <v>21.63748929361482</v>
      </c>
      <c r="DI147" s="190">
        <v>21.340194169506056</v>
      </c>
      <c r="DJ147" s="177"/>
      <c r="DK147" s="189">
        <f>VLOOKUP($H147,RoR!$E:$F,2,FALSE)</f>
        <v>4.2350000000000006E-2</v>
      </c>
      <c r="DL147" s="191">
        <f>HLOOKUP($H147,'GDP-PI'!$D$8:$CQ$11,3,FALSE)</f>
        <v>1.7730000000000024E-2</v>
      </c>
      <c r="DM147" s="189">
        <f>VLOOKUP(H147,'HW Dx Data'!$E:$F,2,FALSE)</f>
        <v>663.24840548821396</v>
      </c>
      <c r="DN147" s="183">
        <f>VLOOKUP(H147,'ECI - Input Price'!$G$17:$H$37,2,FALSE)</f>
        <v>118.72499999999999</v>
      </c>
      <c r="DO147" s="177">
        <f t="shared" ref="DO147" si="355">LN(DN147/DN146)</f>
        <v>1.8918621429430321E-2</v>
      </c>
      <c r="DP147" s="183">
        <f>HLOOKUP(H147,'GDP-PI'!$8:$9,2,FALSE)</f>
        <v>101.773</v>
      </c>
      <c r="DQ147" s="177">
        <f t="shared" ref="DQ147" si="356">LN(DP147/DP146)</f>
        <v>1.7574657016510519E-2</v>
      </c>
      <c r="DW147" s="192"/>
      <c r="DX147" s="192"/>
      <c r="DY147" s="192"/>
      <c r="DZ147" s="192"/>
      <c r="EA147" s="192"/>
      <c r="EB147" s="192"/>
      <c r="EC147" s="192"/>
      <c r="ED147" s="192"/>
      <c r="EE147" s="192"/>
    </row>
    <row r="148" spans="1:135" s="167" customFormat="1" ht="21" x14ac:dyDescent="0.35">
      <c r="A148" s="167" t="s">
        <v>36</v>
      </c>
      <c r="B148" s="168" t="s">
        <v>36</v>
      </c>
      <c r="C148" s="168">
        <v>4058516</v>
      </c>
      <c r="D148" s="168" t="s">
        <v>131</v>
      </c>
      <c r="E148" s="168"/>
      <c r="F148" s="168"/>
      <c r="G148" s="168" t="s">
        <v>20</v>
      </c>
      <c r="H148" s="169">
        <v>2014</v>
      </c>
      <c r="I148" s="170"/>
      <c r="J148" s="166">
        <f>IFERROR(INDEX('Labor Expenditures'!$F$7:$X$91,MATCH($C148,'Labor Expenditures'!$D$7:$D$91,0),MATCH($G148,'Labor Expenditures'!$F$5:$X$5,0)),"NA")</f>
        <v>10681.722252101341</v>
      </c>
      <c r="K148" s="166">
        <f t="shared" si="319"/>
        <v>88.133021882024266</v>
      </c>
      <c r="L148" s="172">
        <f t="shared" si="326"/>
        <v>1.9081931083588254E-2</v>
      </c>
      <c r="M148" s="172">
        <f t="shared" si="330"/>
        <v>6.7076920164021563E-5</v>
      </c>
      <c r="N148" s="196"/>
      <c r="O148" s="172"/>
      <c r="P148" s="166">
        <f>IFERROR(INDEX('Non-Labor Expenditures'!$F$7:$AB$91,MATCH($C148,'Non-Labor Expenditures'!$D$7:$D$91,0),MATCH($G148,'Non-Labor Expenditures'!$F$5:$AB$5,0)),"NA")</f>
        <v>15469.128891560415</v>
      </c>
      <c r="Q148" s="166">
        <f t="shared" si="320"/>
        <v>149.24820681312931</v>
      </c>
      <c r="R148" s="172">
        <f t="shared" si="331"/>
        <v>2.1468058385360943E-2</v>
      </c>
      <c r="S148" s="172">
        <f t="shared" si="336"/>
        <v>7.546464936297334E-5</v>
      </c>
      <c r="T148" s="172"/>
      <c r="U148" s="172"/>
      <c r="V148" s="166">
        <f t="shared" si="301"/>
        <v>13851.510009870519</v>
      </c>
      <c r="W148" s="170"/>
      <c r="X148" s="174">
        <v>650.55948491081381</v>
      </c>
      <c r="Y148" s="175">
        <v>3.97399564208877E-2</v>
      </c>
      <c r="Z148" s="175">
        <f t="shared" si="337"/>
        <v>1.3969413643141206E-4</v>
      </c>
      <c r="AA148" s="175"/>
      <c r="AB148" s="175"/>
      <c r="AC148" s="170">
        <f t="shared" si="287"/>
        <v>40002.361153532271</v>
      </c>
      <c r="AD148" s="175">
        <f t="shared" si="332"/>
        <v>4.7212509819446677E-2</v>
      </c>
      <c r="AE148" s="170"/>
      <c r="AF148" s="170"/>
      <c r="AG148" s="121">
        <f t="shared" si="333"/>
        <v>252.47480862612755</v>
      </c>
      <c r="AH148" s="119">
        <f>+AZ148/$BB$52</f>
        <v>4.3245253937240187E-3</v>
      </c>
      <c r="AI148" s="175"/>
      <c r="AJ148" s="176">
        <f t="shared" si="338"/>
        <v>1.0918337211793006</v>
      </c>
      <c r="AK148" s="176">
        <f t="shared" si="339"/>
        <v>0</v>
      </c>
      <c r="AL148" s="120">
        <f t="shared" si="321"/>
        <v>0.26702729399157299</v>
      </c>
      <c r="AM148" s="120">
        <f t="shared" si="322"/>
        <v>0.38670539551874594</v>
      </c>
      <c r="AN148" s="120">
        <f t="shared" si="323"/>
        <v>0.34626731048968118</v>
      </c>
      <c r="AO148" s="120">
        <f t="shared" si="327"/>
        <v>2.7110508156509689E-2</v>
      </c>
      <c r="AP148" s="173">
        <f t="shared" si="343"/>
        <v>109.23259367052709</v>
      </c>
      <c r="AQ148" s="175">
        <f t="shared" si="344"/>
        <v>2.7110508156509779E-2</v>
      </c>
      <c r="AR148" s="177">
        <f>+AC148/$AE$52</f>
        <v>3.5152060800446045E-3</v>
      </c>
      <c r="AS148" s="177">
        <f t="shared" si="340"/>
        <v>9.5299023104862015E-5</v>
      </c>
      <c r="AT148" s="177"/>
      <c r="AU148" s="177"/>
      <c r="AV148" s="177"/>
      <c r="AW148" s="190"/>
      <c r="AX148" s="120"/>
      <c r="AY148" s="120"/>
      <c r="AZ148" s="118">
        <f>IFERROR(INDEX('Total Customers'!$F$7:$AB$91,MATCH($C148,'Total Customers'!$D$7:$D$91,0),MATCH($G148,'Total Customers'!$F$5:$AB$5,0)),"NA")</f>
        <v>158441</v>
      </c>
      <c r="BA148" s="119">
        <f t="shared" si="302"/>
        <v>1.4053003847477052E-2</v>
      </c>
      <c r="BB148" s="119"/>
      <c r="BC148" s="121"/>
      <c r="BD148" s="119"/>
      <c r="BE148" s="119"/>
      <c r="BF148" s="119"/>
      <c r="BG148" s="173"/>
      <c r="BH148" s="173"/>
      <c r="BI148" s="173"/>
      <c r="BJ148" s="173"/>
      <c r="BK148" s="173"/>
      <c r="BL148" s="173"/>
      <c r="BM148" s="173"/>
      <c r="BN148" s="173"/>
      <c r="BO148" s="173"/>
      <c r="BP148" s="173"/>
      <c r="BQ148" s="118"/>
      <c r="BR148" s="118"/>
      <c r="BS148" s="118">
        <f>INDEX('Dist. Plant Gas Additions'!$F$7:$AE$91,MATCH($C148,'Dist. Plant Gas Additions'!$D$7:$D$91,0),MATCH(Calculation!$G148,'Dist. Plant Gas Additions'!$F$5:$AE$5,0))</f>
        <v>16710</v>
      </c>
      <c r="BT148" s="118">
        <f>INDEX('Gen. Plant Additions'!$F$7:$AE$91,MATCH($C148,'Gen. Plant Additions'!$D$7:$D$91,0),MATCH(Calculation!$G148,'Gen. Plant Additions'!$F$5:$AE$5,0))</f>
        <v>4057</v>
      </c>
      <c r="BU148" s="118"/>
      <c r="BV148" s="118"/>
      <c r="BW148" s="118">
        <f>INDEX('Dist Plant Depreciation'!$E$7:$AD$94,MATCH($C148,'Dist Plant Depreciation'!$D$7:$D$94,0),MATCH(Calculation!$G148,'Dist Plant Depreciation'!$E$5:$AD$5,0))</f>
        <v>70110</v>
      </c>
      <c r="BX148" s="118">
        <f>INDEX('Gen. Plant Depreciation'!$E$7:$AD$94,MATCH($C148,'Gen. Plant Depreciation'!$D$7:$D$94,0),MATCH(Calculation!$G148,'Gen. Plant Depreciation'!$E$5:$AD$5,0))</f>
        <v>16013</v>
      </c>
      <c r="BY148" s="118"/>
      <c r="BZ148" s="118"/>
      <c r="CA148" s="118"/>
      <c r="CB148" s="118"/>
      <c r="CC148" s="118"/>
      <c r="CD148" s="118"/>
      <c r="CE148" s="118">
        <f>INDEX('Gross Dx Plant'!$E$7:$AD$91,MATCH($C148,'Gross Dx Plant'!$D$7:$D$91,0),MATCH(Calculation!$G148,'Gross Dx Plant'!$E$5:$AD$5,0))</f>
        <v>184674</v>
      </c>
      <c r="CF148" s="118">
        <f>INDEX('Gross Gen Plant'!$E$7:$AD$91,MATCH($C148,'Gross Gen Plant'!$D$7:$D$91,0),MATCH(Calculation!$G148,'Gross Gen Plant'!$E$5:$AD$5,0))</f>
        <v>36172</v>
      </c>
      <c r="CG148" s="118">
        <f t="shared" si="215"/>
        <v>134723</v>
      </c>
      <c r="CH148" s="118"/>
      <c r="CI148" s="121">
        <v>2014</v>
      </c>
      <c r="CJ148" s="118"/>
      <c r="CK148" s="118"/>
      <c r="CL148" s="118"/>
      <c r="CM148" s="183"/>
      <c r="CN148" s="118">
        <f t="shared" si="303"/>
        <v>20767</v>
      </c>
      <c r="CO148" s="118">
        <f t="shared" si="304"/>
        <v>30.340301264008964</v>
      </c>
      <c r="CP148" s="186">
        <v>0.89743589743589747</v>
      </c>
      <c r="CQ148" s="118">
        <f>+CQ132*CP148+CO133*CP147+CO134*CP146+CO135*CP145+CO136*CP144+CO137*CP143+CO138*CP142+CO139*CP141+CO140*CP140+CO141*CP139+CO142*CP138+CO143*CP137+CO144*CP136+CO145*CP135+CO146*CP134+CO147*CP133+CO148</f>
        <v>650.55948491081381</v>
      </c>
      <c r="CR148" s="119">
        <f t="shared" si="305"/>
        <v>3.97399564208877E-2</v>
      </c>
      <c r="CS148" s="119"/>
      <c r="CT148" s="177">
        <f t="shared" si="306"/>
        <v>7.9877715235857696E-3</v>
      </c>
      <c r="CU148" s="177">
        <f t="shared" si="314"/>
        <v>7.7806383493340819E-3</v>
      </c>
      <c r="CV148" s="119">
        <f>VLOOKUP($H148,RoR!$E:$F,2,FALSE)</f>
        <v>4.1625000000000002E-2</v>
      </c>
      <c r="CW148" s="177">
        <v>1.841352814597208E-2</v>
      </c>
      <c r="CX148" s="177">
        <f t="shared" si="312"/>
        <v>2.3211471854027922E-2</v>
      </c>
      <c r="CY148" s="177">
        <f t="shared" si="315"/>
        <v>2.3121303259199543E-2</v>
      </c>
      <c r="CZ148" s="177">
        <f t="shared" si="316"/>
        <v>3.9072621432650924E-2</v>
      </c>
      <c r="DA148" s="187">
        <f t="shared" si="307"/>
        <v>0.85290624999999998</v>
      </c>
      <c r="DB148" s="188">
        <f t="shared" si="308"/>
        <v>1.2320012320012319</v>
      </c>
      <c r="DC148" s="188">
        <f t="shared" si="309"/>
        <v>0.37439939939939942</v>
      </c>
      <c r="DD148" s="188">
        <f t="shared" si="310"/>
        <v>0.80432100613819935</v>
      </c>
      <c r="DE148" s="188">
        <f t="shared" si="311"/>
        <v>0.37100152660040037</v>
      </c>
      <c r="DF148" s="189">
        <f>INDEX('State Tax Lookup'!$D$7:$Z$91,MATCH(Calculation!$C148,'State Tax Lookup'!$B$7:$B$91,0),MATCH($H148,'State Tax Lookup'!$D$6:$Z$6,0))</f>
        <v>0.39224999999999999</v>
      </c>
      <c r="DG148" s="189">
        <v>0.375</v>
      </c>
      <c r="DH148" s="190">
        <f t="shared" si="313"/>
        <v>22.154856984365708</v>
      </c>
      <c r="DI148" s="190">
        <v>21.831862197462453</v>
      </c>
      <c r="DJ148" s="177"/>
      <c r="DK148" s="189">
        <f>VLOOKUP($H148,RoR!$E:$F,2,FALSE)</f>
        <v>4.1625000000000002E-2</v>
      </c>
      <c r="DL148" s="191">
        <f>HLOOKUP($H148,'GDP-PI'!$D$8:$CQ$11,3,FALSE)</f>
        <v>1.841352814597208E-2</v>
      </c>
      <c r="DM148" s="189">
        <f>VLOOKUP(H148,'HW Dx Data'!$E:$F,2,FALSE)</f>
        <v>684.46914285042885</v>
      </c>
      <c r="DN148" s="183">
        <f>VLOOKUP(H148,'ECI - Input Price'!$G$17:$H$37,2,FALSE)</f>
        <v>121.2</v>
      </c>
      <c r="DO148" s="177">
        <f t="shared" ref="DO148" si="357">LN(DN148/DN147)</f>
        <v>2.0632179200028689E-2</v>
      </c>
      <c r="DP148" s="183">
        <f>HLOOKUP(H148,'GDP-PI'!$8:$9,2,FALSE)</f>
        <v>103.64700000000001</v>
      </c>
      <c r="DQ148" s="177">
        <f t="shared" ref="DQ148" si="358">LN(DP148/DP147)</f>
        <v>1.8246051898256087E-2</v>
      </c>
      <c r="DW148" s="192"/>
      <c r="DX148" s="192"/>
      <c r="DY148" s="192"/>
      <c r="DZ148" s="192"/>
      <c r="EA148" s="192"/>
      <c r="EB148" s="192"/>
      <c r="EC148" s="192"/>
      <c r="ED148" s="192"/>
      <c r="EE148" s="192"/>
    </row>
    <row r="149" spans="1:135" s="167" customFormat="1" ht="21" x14ac:dyDescent="0.35">
      <c r="A149" s="167" t="s">
        <v>36</v>
      </c>
      <c r="B149" s="168" t="s">
        <v>36</v>
      </c>
      <c r="C149" s="168">
        <v>4058516</v>
      </c>
      <c r="D149" s="168" t="s">
        <v>131</v>
      </c>
      <c r="E149" s="168"/>
      <c r="F149" s="168"/>
      <c r="G149" s="168" t="s">
        <v>21</v>
      </c>
      <c r="H149" s="169">
        <v>2015</v>
      </c>
      <c r="I149" s="170"/>
      <c r="J149" s="166">
        <f>IFERROR(INDEX('Labor Expenditures'!$F$7:$X$91,MATCH($C149,'Labor Expenditures'!$D$7:$D$91,0),MATCH($G149,'Labor Expenditures'!$F$5:$X$5,0)),"NA")</f>
        <v>9892.2026216182639</v>
      </c>
      <c r="K149" s="166">
        <f t="shared" si="319"/>
        <v>79.936990881763748</v>
      </c>
      <c r="L149" s="172">
        <f t="shared" si="326"/>
        <v>-9.7608575073015832E-2</v>
      </c>
      <c r="M149" s="172">
        <f t="shared" si="330"/>
        <v>-3.2564452515202629E-4</v>
      </c>
      <c r="N149" s="196"/>
      <c r="O149" s="172"/>
      <c r="P149" s="166">
        <f>IFERROR(INDEX('Non-Labor Expenditures'!$F$7:$AB$91,MATCH($C149,'Non-Labor Expenditures'!$D$7:$D$91,0),MATCH($G149,'Non-Labor Expenditures'!$F$5:$AB$5,0)),"NA")</f>
        <v>14325.757004694766</v>
      </c>
      <c r="Q149" s="166">
        <f t="shared" si="320"/>
        <v>136.90647850891892</v>
      </c>
      <c r="R149" s="172">
        <f t="shared" si="331"/>
        <v>-8.6312683444873223E-2</v>
      </c>
      <c r="S149" s="172">
        <f t="shared" si="336"/>
        <v>-2.8795884781616108E-4</v>
      </c>
      <c r="T149" s="172"/>
      <c r="U149" s="172"/>
      <c r="V149" s="166">
        <f t="shared" si="301"/>
        <v>14131.115094256573</v>
      </c>
      <c r="W149" s="170"/>
      <c r="X149" s="174">
        <v>692.40618999359947</v>
      </c>
      <c r="Y149" s="175">
        <v>6.2340024495070756E-2</v>
      </c>
      <c r="Z149" s="175">
        <f t="shared" si="337"/>
        <v>2.0798057608644658E-4</v>
      </c>
      <c r="AA149" s="175"/>
      <c r="AB149" s="175"/>
      <c r="AC149" s="170">
        <f t="shared" si="287"/>
        <v>38349.074720569603</v>
      </c>
      <c r="AD149" s="175">
        <f t="shared" si="332"/>
        <v>-4.2208080922080372E-2</v>
      </c>
      <c r="AE149" s="170"/>
      <c r="AF149" s="170"/>
      <c r="AG149" s="121">
        <f t="shared" si="333"/>
        <v>237.73083831166491</v>
      </c>
      <c r="AH149" s="119">
        <f>+AZ149/$BB$53</f>
        <v>4.3672148743235739E-3</v>
      </c>
      <c r="AI149" s="175"/>
      <c r="AJ149" s="176">
        <f t="shared" si="338"/>
        <v>1.0382216531601156</v>
      </c>
      <c r="AK149" s="176">
        <f t="shared" si="339"/>
        <v>0</v>
      </c>
      <c r="AL149" s="120">
        <f t="shared" si="321"/>
        <v>0.25795153321684455</v>
      </c>
      <c r="AM149" s="120">
        <f t="shared" si="322"/>
        <v>0.37356199879865015</v>
      </c>
      <c r="AN149" s="120">
        <f t="shared" si="323"/>
        <v>0.36848646798450529</v>
      </c>
      <c r="AO149" s="120">
        <f t="shared" si="327"/>
        <v>-3.6152693074233744E-2</v>
      </c>
      <c r="AP149" s="173">
        <f t="shared" si="343"/>
        <v>105.35407315071072</v>
      </c>
      <c r="AQ149" s="175">
        <f t="shared" si="344"/>
        <v>-3.6152693074233744E-2</v>
      </c>
      <c r="AR149" s="177">
        <f>+AC149/$AE$53</f>
        <v>3.336228655201951E-3</v>
      </c>
      <c r="AS149" s="177">
        <f t="shared" si="340"/>
        <v>-1.2061365059697972E-4</v>
      </c>
      <c r="AT149" s="177"/>
      <c r="AU149" s="177"/>
      <c r="AV149" s="177"/>
      <c r="AW149" s="190"/>
      <c r="AX149" s="120"/>
      <c r="AY149" s="120"/>
      <c r="AZ149" s="118">
        <f>IFERROR(INDEX('Total Customers'!$F$7:$AB$91,MATCH($C149,'Total Customers'!$D$7:$D$91,0),MATCH($G149,'Total Customers'!$F$5:$AB$5,0)),"NA")</f>
        <v>161313</v>
      </c>
      <c r="BA149" s="119">
        <f t="shared" si="302"/>
        <v>1.79642927765487E-2</v>
      </c>
      <c r="BB149" s="119"/>
      <c r="BC149" s="121"/>
      <c r="BD149" s="119"/>
      <c r="BE149" s="119"/>
      <c r="BF149" s="119"/>
      <c r="BG149" s="173"/>
      <c r="BH149" s="173"/>
      <c r="BI149" s="173"/>
      <c r="BJ149" s="173"/>
      <c r="BK149" s="173"/>
      <c r="BL149" s="173"/>
      <c r="BM149" s="173"/>
      <c r="BN149" s="173"/>
      <c r="BO149" s="173"/>
      <c r="BP149" s="173"/>
      <c r="BQ149" s="118"/>
      <c r="BR149" s="118"/>
      <c r="BS149" s="118">
        <f>INDEX('Dist. Plant Gas Additions'!$F$7:$AE$91,MATCH($C149,'Dist. Plant Gas Additions'!$D$7:$D$91,0),MATCH(Calculation!$G149,'Dist. Plant Gas Additions'!$F$5:$AE$5,0))</f>
        <v>24837</v>
      </c>
      <c r="BT149" s="118">
        <f>INDEX('Gen. Plant Additions'!$F$7:$AE$91,MATCH($C149,'Gen. Plant Additions'!$D$7:$D$91,0),MATCH(Calculation!$G149,'Gen. Plant Additions'!$F$5:$AE$5,0))</f>
        <v>7038</v>
      </c>
      <c r="BU149" s="118"/>
      <c r="BV149" s="118"/>
      <c r="BW149" s="118">
        <f>INDEX('Dist Plant Depreciation'!$E$7:$AD$94,MATCH($C149,'Dist Plant Depreciation'!$D$7:$D$94,0),MATCH(Calculation!$G149,'Dist Plant Depreciation'!$E$5:$AD$5,0))</f>
        <v>73761</v>
      </c>
      <c r="BX149" s="118">
        <f>INDEX('Gen. Plant Depreciation'!$E$7:$AD$94,MATCH($C149,'Gen. Plant Depreciation'!$D$7:$D$94,0),MATCH(Calculation!$G149,'Gen. Plant Depreciation'!$E$5:$AD$5,0))</f>
        <v>15451</v>
      </c>
      <c r="BY149" s="118"/>
      <c r="BZ149" s="118"/>
      <c r="CA149" s="118"/>
      <c r="CB149" s="118"/>
      <c r="CC149" s="118"/>
      <c r="CD149" s="118"/>
      <c r="CE149" s="118">
        <f>INDEX('Gross Dx Plant'!$E$7:$AD$91,MATCH($C149,'Gross Dx Plant'!$D$7:$D$91,0),MATCH(Calculation!$G149,'Gross Dx Plant'!$E$5:$AD$5,0))</f>
        <v>208299</v>
      </c>
      <c r="CF149" s="118">
        <f>INDEX('Gross Gen Plant'!$E$7:$AD$91,MATCH($C149,'Gross Gen Plant'!$D$7:$D$91,0),MATCH(Calculation!$G149,'Gross Gen Plant'!$E$5:$AD$5,0))</f>
        <v>39000</v>
      </c>
      <c r="CG149" s="118">
        <f t="shared" si="215"/>
        <v>158087</v>
      </c>
      <c r="CH149" s="118"/>
      <c r="CI149" s="121">
        <v>2015</v>
      </c>
      <c r="CJ149" s="118"/>
      <c r="CK149" s="118"/>
      <c r="CL149" s="118"/>
      <c r="CM149" s="183"/>
      <c r="CN149" s="118">
        <f t="shared" si="303"/>
        <v>31875</v>
      </c>
      <c r="CO149" s="118">
        <f t="shared" si="304"/>
        <v>47.179262317593334</v>
      </c>
      <c r="CP149" s="186">
        <v>0.88888888888888884</v>
      </c>
      <c r="CQ149" s="118">
        <f>+CQ132*CP149+CO133*CP148+CO134*CP147+CO135*CP146+CO136*CP145+CO137*CP144+CO138*CP143+CO139*CP142+CO140*CP141+CO141*CP140+CO142*CP139+CO143*CP138+CO144*CP137+CO145*CP136+CO146*CP135+CO147*CP134+CO148*CP133+CO149</f>
        <v>692.40618999359947</v>
      </c>
      <c r="CR149" s="119">
        <f t="shared" si="305"/>
        <v>6.2340024495070756E-2</v>
      </c>
      <c r="CS149" s="119"/>
      <c r="CT149" s="177">
        <f t="shared" si="306"/>
        <v>8.1968787766405742E-3</v>
      </c>
      <c r="CU149" s="177">
        <f t="shared" si="314"/>
        <v>7.9873037828886648E-3</v>
      </c>
      <c r="CV149" s="119">
        <f>VLOOKUP($H149,RoR!$E:$F,2,FALSE)</f>
        <v>3.8866666666666674E-2</v>
      </c>
      <c r="CW149" s="177">
        <v>9.5709475431029478E-3</v>
      </c>
      <c r="CX149" s="177">
        <f t="shared" si="312"/>
        <v>2.9295719123563727E-2</v>
      </c>
      <c r="CY149" s="177">
        <f t="shared" si="315"/>
        <v>2.291463782564496E-2</v>
      </c>
      <c r="CZ149" s="177">
        <f t="shared" si="316"/>
        <v>3.5270373279175926E-3</v>
      </c>
      <c r="DA149" s="187">
        <f t="shared" si="307"/>
        <v>0.85290624999999998</v>
      </c>
      <c r="DB149" s="188">
        <f t="shared" si="308"/>
        <v>1.3194352816994324</v>
      </c>
      <c r="DC149" s="188">
        <f t="shared" si="309"/>
        <v>0.33177530017152673</v>
      </c>
      <c r="DD149" s="188">
        <f t="shared" si="310"/>
        <v>0.78242572977668579</v>
      </c>
      <c r="DE149" s="188">
        <f t="shared" si="311"/>
        <v>0.34251158643433932</v>
      </c>
      <c r="DF149" s="189">
        <f>INDEX('State Tax Lookup'!$D$7:$Z$91,MATCH(Calculation!$C149,'State Tax Lookup'!$B$7:$B$91,0),MATCH($H149,'State Tax Lookup'!$D$6:$Z$6,0))</f>
        <v>0.39224999999999999</v>
      </c>
      <c r="DG149" s="189">
        <v>0.375</v>
      </c>
      <c r="DH149" s="190">
        <f t="shared" si="313"/>
        <v>21.721480390365578</v>
      </c>
      <c r="DI149" s="190">
        <v>21.373824487702183</v>
      </c>
      <c r="DJ149" s="177"/>
      <c r="DK149" s="189">
        <f>VLOOKUP($H149,RoR!$E:$F,2,FALSE)</f>
        <v>3.8866666666666674E-2</v>
      </c>
      <c r="DL149" s="191">
        <f>HLOOKUP($H149,'GDP-PI'!$D$8:$CQ$11,3,FALSE)</f>
        <v>9.5709475431029478E-3</v>
      </c>
      <c r="DM149" s="189">
        <f>VLOOKUP(H149,'HW Dx Data'!$E:$F,2,FALSE)</f>
        <v>675.61463308665782</v>
      </c>
      <c r="DN149" s="183">
        <f>VLOOKUP(H149,'ECI - Input Price'!$G$17:$H$37,2,FALSE)</f>
        <v>123.75</v>
      </c>
      <c r="DO149" s="177">
        <f t="shared" ref="DO149" si="359">LN(DN149/DN148)</f>
        <v>2.0821327813585516E-2</v>
      </c>
      <c r="DP149" s="183">
        <f>HLOOKUP(H149,'GDP-PI'!$8:$9,2,FALSE)</f>
        <v>104.639</v>
      </c>
      <c r="DQ149" s="177">
        <f t="shared" ref="DQ149" si="360">LN(DP149/DP148)</f>
        <v>9.5254361854427965E-3</v>
      </c>
      <c r="DW149" s="192"/>
      <c r="DX149" s="192"/>
      <c r="DY149" s="192"/>
      <c r="DZ149" s="192"/>
      <c r="EA149" s="192"/>
      <c r="EB149" s="192"/>
      <c r="EC149" s="192"/>
      <c r="ED149" s="192"/>
      <c r="EE149" s="192"/>
    </row>
    <row r="150" spans="1:135" s="167" customFormat="1" ht="21" x14ac:dyDescent="0.35">
      <c r="A150" s="167" t="s">
        <v>36</v>
      </c>
      <c r="B150" s="168" t="s">
        <v>36</v>
      </c>
      <c r="C150" s="168">
        <v>4058516</v>
      </c>
      <c r="D150" s="168" t="s">
        <v>131</v>
      </c>
      <c r="E150" s="168"/>
      <c r="F150" s="168"/>
      <c r="G150" s="168" t="s">
        <v>22</v>
      </c>
      <c r="H150" s="169">
        <v>2016</v>
      </c>
      <c r="I150" s="170"/>
      <c r="J150" s="166">
        <f>IFERROR(INDEX('Labor Expenditures'!$F$7:$X$91,MATCH($C150,'Labor Expenditures'!$D$7:$D$91,0),MATCH($G150,'Labor Expenditures'!$F$5:$X$5,0)),"NA")</f>
        <v>10902.244467678827</v>
      </c>
      <c r="K150" s="166">
        <f t="shared" si="319"/>
        <v>86.251934079737552</v>
      </c>
      <c r="L150" s="172">
        <f t="shared" si="326"/>
        <v>7.6033769407870377E-2</v>
      </c>
      <c r="M150" s="172">
        <f t="shared" si="330"/>
        <v>2.6531221743965463E-4</v>
      </c>
      <c r="N150" s="196"/>
      <c r="O150" s="172"/>
      <c r="P150" s="166">
        <f>IFERROR(INDEX('Non-Labor Expenditures'!$F$7:$AB$91,MATCH($C150,'Non-Labor Expenditures'!$D$7:$D$91,0),MATCH($G150,'Non-Labor Expenditures'!$F$5:$AB$5,0)),"NA")</f>
        <v>15788.486247585051</v>
      </c>
      <c r="Q150" s="166">
        <f t="shared" si="320"/>
        <v>149.31987447591217</v>
      </c>
      <c r="R150" s="172">
        <f t="shared" si="331"/>
        <v>8.6792759304622852E-2</v>
      </c>
      <c r="S150" s="172">
        <f t="shared" si="336"/>
        <v>3.028546343045321E-4</v>
      </c>
      <c r="T150" s="172"/>
      <c r="U150" s="172"/>
      <c r="V150" s="166">
        <f t="shared" si="301"/>
        <v>14825.749876841905</v>
      </c>
      <c r="W150" s="170"/>
      <c r="X150" s="174">
        <v>753.34468056589003</v>
      </c>
      <c r="Y150" s="175">
        <v>8.4350103010893421E-2</v>
      </c>
      <c r="Z150" s="175">
        <f t="shared" si="337"/>
        <v>2.9433122999642999E-4</v>
      </c>
      <c r="AA150" s="175"/>
      <c r="AB150" s="175"/>
      <c r="AC150" s="170">
        <f t="shared" si="287"/>
        <v>41516.480592105785</v>
      </c>
      <c r="AD150" s="175">
        <f t="shared" si="332"/>
        <v>7.9360070817617645E-2</v>
      </c>
      <c r="AE150" s="170"/>
      <c r="AF150" s="170"/>
      <c r="AG150" s="121">
        <f t="shared" si="333"/>
        <v>252.77473373054428</v>
      </c>
      <c r="AH150" s="119">
        <f>+AZ150/$BB$54</f>
        <v>4.4081195007823594E-3</v>
      </c>
      <c r="AI150" s="175"/>
      <c r="AJ150" s="176">
        <f t="shared" si="338"/>
        <v>1.1142612330626807</v>
      </c>
      <c r="AK150" s="176">
        <f t="shared" si="339"/>
        <v>0</v>
      </c>
      <c r="AL150" s="120">
        <f t="shared" si="321"/>
        <v>0.26260040138739149</v>
      </c>
      <c r="AM150" s="120">
        <f t="shared" si="322"/>
        <v>0.38029442819840509</v>
      </c>
      <c r="AN150" s="120">
        <f t="shared" si="323"/>
        <v>0.35710517041420342</v>
      </c>
      <c r="AO150" s="120">
        <f t="shared" si="327"/>
        <v>8.310626731094585E-2</v>
      </c>
      <c r="AP150" s="173">
        <f t="shared" si="343"/>
        <v>114.48377041513065</v>
      </c>
      <c r="AQ150" s="175">
        <f t="shared" si="344"/>
        <v>8.3106267310945933E-2</v>
      </c>
      <c r="AR150" s="177">
        <f>+AC150/$AE$54</f>
        <v>3.4893997694160316E-3</v>
      </c>
      <c r="AS150" s="177">
        <f t="shared" si="340"/>
        <v>2.8999098999184182E-4</v>
      </c>
      <c r="AT150" s="177"/>
      <c r="AU150" s="177"/>
      <c r="AV150" s="177"/>
      <c r="AW150" s="190"/>
      <c r="AX150" s="120"/>
      <c r="AY150" s="120"/>
      <c r="AZ150" s="118">
        <f>IFERROR(INDEX('Total Customers'!$F$7:$AB$91,MATCH($C150,'Total Customers'!$D$7:$D$91,0),MATCH($G150,'Total Customers'!$F$5:$AB$5,0)),"NA")</f>
        <v>164243</v>
      </c>
      <c r="BA150" s="119">
        <f t="shared" si="302"/>
        <v>1.8000461448285064E-2</v>
      </c>
      <c r="BB150" s="119"/>
      <c r="BC150" s="121"/>
      <c r="BD150" s="119"/>
      <c r="BE150" s="119"/>
      <c r="BF150" s="119"/>
      <c r="BG150" s="173"/>
      <c r="BH150" s="173"/>
      <c r="BI150" s="173"/>
      <c r="BJ150" s="173"/>
      <c r="BK150" s="173"/>
      <c r="BL150" s="173"/>
      <c r="BM150" s="173"/>
      <c r="BN150" s="173"/>
      <c r="BO150" s="173"/>
      <c r="BP150" s="173"/>
      <c r="BQ150" s="118"/>
      <c r="BR150" s="118"/>
      <c r="BS150" s="118">
        <f>INDEX('Dist. Plant Gas Additions'!$F$7:$AE$91,MATCH($C150,'Dist. Plant Gas Additions'!$D$7:$D$91,0),MATCH(Calculation!$G150,'Dist. Plant Gas Additions'!$F$5:$AE$5,0))</f>
        <v>35697</v>
      </c>
      <c r="BT150" s="118">
        <f>INDEX('Gen. Plant Additions'!$F$7:$AE$91,MATCH($C150,'Gen. Plant Additions'!$D$7:$D$91,0),MATCH(Calculation!$G150,'Gen. Plant Additions'!$F$5:$AE$5,0))</f>
        <v>9095</v>
      </c>
      <c r="BU150" s="118"/>
      <c r="BV150" s="118"/>
      <c r="BW150" s="118">
        <f>INDEX('Dist Plant Depreciation'!$E$7:$AD$94,MATCH($C150,'Dist Plant Depreciation'!$D$7:$D$94,0),MATCH(Calculation!$G150,'Dist Plant Depreciation'!$E$5:$AD$5,0))</f>
        <v>68437</v>
      </c>
      <c r="BX150" s="118">
        <f>INDEX('Gen. Plant Depreciation'!$E$7:$AD$94,MATCH($C150,'Gen. Plant Depreciation'!$D$7:$D$94,0),MATCH(Calculation!$G150,'Gen. Plant Depreciation'!$E$5:$AD$5,0))</f>
        <v>17573</v>
      </c>
      <c r="BY150" s="118"/>
      <c r="BZ150" s="118"/>
      <c r="CA150" s="118"/>
      <c r="CB150" s="118"/>
      <c r="CC150" s="118"/>
      <c r="CD150" s="118"/>
      <c r="CE150" s="118">
        <f>INDEX('Gross Dx Plant'!$E$7:$AD$91,MATCH($C150,'Gross Dx Plant'!$D$7:$D$91,0),MATCH(Calculation!$G150,'Gross Dx Plant'!$E$5:$AD$5,0))</f>
        <v>241828</v>
      </c>
      <c r="CF150" s="118">
        <f>INDEX('Gross Gen Plant'!$E$7:$AD$91,MATCH($C150,'Gross Gen Plant'!$D$7:$D$91,0),MATCH(Calculation!$G150,'Gross Gen Plant'!$E$5:$AD$5,0))</f>
        <v>42517</v>
      </c>
      <c r="CG150" s="118">
        <f t="shared" si="215"/>
        <v>198335</v>
      </c>
      <c r="CH150" s="118"/>
      <c r="CI150" s="121">
        <v>2016</v>
      </c>
      <c r="CJ150" s="118"/>
      <c r="CK150" s="118"/>
      <c r="CL150" s="118"/>
      <c r="CM150" s="183"/>
      <c r="CN150" s="118">
        <f t="shared" si="303"/>
        <v>44792</v>
      </c>
      <c r="CO150" s="118">
        <f t="shared" si="304"/>
        <v>66.708725108005183</v>
      </c>
      <c r="CP150" s="186">
        <v>0.88</v>
      </c>
      <c r="CQ150" s="118">
        <f>+CQ132*CP150+CO133*CP149+CO134*CP148+CO135*CP147+CO136*CP146+CO137*CP145+CO138*CP144+CO139*CP143+CO140*CP142+CO141*CP141+CO142*CP140+CO143*CP139+CO144*CP138+CO145*CP137+CO146*CP136+CO147*CP135+CO148*CP134+CO149*CP133+CO150</f>
        <v>753.34468056589003</v>
      </c>
      <c r="CR150" s="119">
        <f t="shared" si="305"/>
        <v>8.4350103010893421E-2</v>
      </c>
      <c r="CS150" s="119"/>
      <c r="CT150" s="177">
        <f t="shared" si="306"/>
        <v>8.3335975603683748E-3</v>
      </c>
      <c r="CU150" s="177">
        <f t="shared" si="314"/>
        <v>8.1727492868649068E-3</v>
      </c>
      <c r="CV150" s="119">
        <f>VLOOKUP($H150,RoR!$E:$F,2,FALSE)</f>
        <v>3.6658333333333334E-2</v>
      </c>
      <c r="CW150" s="177">
        <v>1.0483662879041455E-2</v>
      </c>
      <c r="CX150" s="177">
        <f t="shared" si="312"/>
        <v>2.6174670454291879E-2</v>
      </c>
      <c r="CY150" s="177">
        <f t="shared" si="315"/>
        <v>2.2729192321668718E-2</v>
      </c>
      <c r="CZ150" s="177">
        <f t="shared" si="316"/>
        <v>4.301363574220729E-3</v>
      </c>
      <c r="DA150" s="187">
        <f t="shared" si="307"/>
        <v>0.85290624999999998</v>
      </c>
      <c r="DB150" s="188">
        <f t="shared" si="308"/>
        <v>1.3989193348138562</v>
      </c>
      <c r="DC150" s="188">
        <f t="shared" si="309"/>
        <v>0.29302682427824522</v>
      </c>
      <c r="DD150" s="188">
        <f t="shared" si="310"/>
        <v>0.76309497491941802</v>
      </c>
      <c r="DE150" s="188">
        <f t="shared" si="311"/>
        <v>0.31280857135128509</v>
      </c>
      <c r="DF150" s="189">
        <f>INDEX('State Tax Lookup'!$D$7:$Z$91,MATCH(Calculation!$C150,'State Tax Lookup'!$B$7:$B$91,0),MATCH($H150,'State Tax Lookup'!$D$6:$Z$6,0))</f>
        <v>0.39224999999999999</v>
      </c>
      <c r="DG150" s="189">
        <v>0.375</v>
      </c>
      <c r="DH150" s="190">
        <f t="shared" si="313"/>
        <v>21.411925674695301</v>
      </c>
      <c r="DI150" s="190">
        <v>21.087818461616887</v>
      </c>
      <c r="DJ150" s="177"/>
      <c r="DK150" s="189">
        <f>VLOOKUP($H150,RoR!$E:$F,2,FALSE)</f>
        <v>3.6658333333333334E-2</v>
      </c>
      <c r="DL150" s="191">
        <f>HLOOKUP($H150,'GDP-PI'!$D$8:$CQ$11,3,FALSE)</f>
        <v>1.0483662879041455E-2</v>
      </c>
      <c r="DM150" s="189">
        <f>VLOOKUP(H150,'HW Dx Data'!$E:$F,2,FALSE)</f>
        <v>671.45639385971219</v>
      </c>
      <c r="DN150" s="183">
        <f>VLOOKUP(H150,'ECI - Input Price'!$G$17:$H$37,2,FALSE)</f>
        <v>126.4</v>
      </c>
      <c r="DO150" s="177">
        <f t="shared" ref="DO150" si="361">LN(DN150/DN149)</f>
        <v>2.11880802639575E-2</v>
      </c>
      <c r="DP150" s="183">
        <f>HLOOKUP(H150,'GDP-PI'!$8:$9,2,FALSE)</f>
        <v>105.736</v>
      </c>
      <c r="DQ150" s="177">
        <f t="shared" ref="DQ150" si="362">LN(DP150/DP149)</f>
        <v>1.0429090367205095E-2</v>
      </c>
      <c r="DW150" s="192"/>
      <c r="DX150" s="192"/>
      <c r="DY150" s="192"/>
      <c r="DZ150" s="192"/>
      <c r="EA150" s="192"/>
      <c r="EB150" s="192"/>
      <c r="EC150" s="192"/>
      <c r="ED150" s="192"/>
      <c r="EE150" s="192"/>
    </row>
    <row r="151" spans="1:135" s="167" customFormat="1" ht="21" x14ac:dyDescent="0.35">
      <c r="A151" s="167" t="s">
        <v>36</v>
      </c>
      <c r="B151" s="168" t="s">
        <v>36</v>
      </c>
      <c r="C151" s="168">
        <v>4058516</v>
      </c>
      <c r="D151" s="168" t="s">
        <v>131</v>
      </c>
      <c r="E151" s="168"/>
      <c r="F151" s="168"/>
      <c r="G151" s="168" t="s">
        <v>23</v>
      </c>
      <c r="H151" s="169">
        <v>2017</v>
      </c>
      <c r="I151" s="170"/>
      <c r="J151" s="166">
        <f>IFERROR(INDEX('Labor Expenditures'!$F$7:$X$91,MATCH($C151,'Labor Expenditures'!$D$7:$D$91,0),MATCH($G151,'Labor Expenditures'!$F$5:$X$5,0)),"NA")</f>
        <v>11987.861328271578</v>
      </c>
      <c r="K151" s="166">
        <f t="shared" si="319"/>
        <v>92.570357747270876</v>
      </c>
      <c r="L151" s="172">
        <f t="shared" si="326"/>
        <v>7.0696499912191887E-2</v>
      </c>
      <c r="M151" s="172">
        <f t="shared" si="330"/>
        <v>2.6267042369663204E-4</v>
      </c>
      <c r="N151" s="196"/>
      <c r="O151" s="172"/>
      <c r="P151" s="166">
        <f>IFERROR(INDEX('Non-Labor Expenditures'!$F$7:$AB$91,MATCH($C151,'Non-Labor Expenditures'!$D$7:$D$91,0),MATCH($G151,'Non-Labor Expenditures'!$F$5:$AB$5,0)),"NA")</f>
        <v>17360.662226983575</v>
      </c>
      <c r="Q151" s="166">
        <f t="shared" si="320"/>
        <v>161.11833975539508</v>
      </c>
      <c r="R151" s="172">
        <f t="shared" si="331"/>
        <v>7.6048311111282144E-2</v>
      </c>
      <c r="S151" s="172">
        <f t="shared" si="336"/>
        <v>2.8255489487915788E-4</v>
      </c>
      <c r="T151" s="172"/>
      <c r="U151" s="172"/>
      <c r="V151" s="166">
        <f t="shared" si="301"/>
        <v>14669.979434718705</v>
      </c>
      <c r="W151" s="170"/>
      <c r="X151" s="174">
        <v>794.58326005333674</v>
      </c>
      <c r="Y151" s="175">
        <v>5.3294909839218224E-2</v>
      </c>
      <c r="Z151" s="175">
        <f t="shared" si="337"/>
        <v>1.980154118765231E-4</v>
      </c>
      <c r="AA151" s="175"/>
      <c r="AB151" s="175"/>
      <c r="AC151" s="170">
        <f t="shared" si="287"/>
        <v>44018.502989973858</v>
      </c>
      <c r="AD151" s="175">
        <f t="shared" si="332"/>
        <v>5.8519596917214228E-2</v>
      </c>
      <c r="AE151" s="170"/>
      <c r="AF151" s="170"/>
      <c r="AG151" s="121">
        <f t="shared" si="333"/>
        <v>264.00436017833113</v>
      </c>
      <c r="AH151" s="119">
        <f>+AZ151/$BB$55</f>
        <v>4.4413539094086598E-3</v>
      </c>
      <c r="AI151" s="175"/>
      <c r="AJ151" s="176">
        <f t="shared" si="338"/>
        <v>1.1725367971789629</v>
      </c>
      <c r="AK151" s="176">
        <f t="shared" si="339"/>
        <v>0</v>
      </c>
      <c r="AL151" s="120">
        <f t="shared" si="321"/>
        <v>0.27233687004308316</v>
      </c>
      <c r="AM151" s="120">
        <f t="shared" si="322"/>
        <v>0.39439465333334556</v>
      </c>
      <c r="AN151" s="120">
        <f t="shared" si="323"/>
        <v>0.33326847662357129</v>
      </c>
      <c r="AO151" s="120">
        <f t="shared" si="327"/>
        <v>6.6762695161901586E-2</v>
      </c>
      <c r="AP151" s="173">
        <f t="shared" si="343"/>
        <v>122.38793133472342</v>
      </c>
      <c r="AQ151" s="175">
        <f t="shared" si="344"/>
        <v>6.6762695161901586E-2</v>
      </c>
      <c r="AR151" s="177">
        <f>+AC151/$AE$55</f>
        <v>3.7154657447381425E-3</v>
      </c>
      <c r="AS151" s="177">
        <f t="shared" si="340"/>
        <v>2.4805450690044024E-4</v>
      </c>
      <c r="AT151" s="177"/>
      <c r="AU151" s="177"/>
      <c r="AV151" s="177"/>
      <c r="AW151" s="190"/>
      <c r="AX151" s="120"/>
      <c r="AY151" s="120"/>
      <c r="AZ151" s="118">
        <f>IFERROR(INDEX('Total Customers'!$F$7:$AB$91,MATCH($C151,'Total Customers'!$D$7:$D$91,0),MATCH($G151,'Total Customers'!$F$5:$AB$5,0)),"NA")</f>
        <v>166734</v>
      </c>
      <c r="BA151" s="119">
        <f t="shared" si="302"/>
        <v>1.5052689671932495E-2</v>
      </c>
      <c r="BB151" s="119"/>
      <c r="BC151" s="121"/>
      <c r="BD151" s="119"/>
      <c r="BE151" s="119"/>
      <c r="BF151" s="119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  <c r="BQ151" s="118"/>
      <c r="BR151" s="118"/>
      <c r="BS151" s="118">
        <f>INDEX('Dist. Plant Gas Additions'!$F$7:$AE$91,MATCH($C151,'Dist. Plant Gas Additions'!$D$7:$D$91,0),MATCH(Calculation!$G151,'Dist. Plant Gas Additions'!$F$5:$AE$5,0))</f>
        <v>32070</v>
      </c>
      <c r="BT151" s="118">
        <f>INDEX('Gen. Plant Additions'!$F$7:$AE$91,MATCH($C151,'Gen. Plant Additions'!$D$7:$D$91,0),MATCH(Calculation!$G151,'Gen. Plant Additions'!$F$5:$AE$5,0))</f>
        <v>1815</v>
      </c>
      <c r="BU151" s="118"/>
      <c r="BV151" s="118"/>
      <c r="BW151" s="118">
        <f>INDEX('Dist Plant Depreciation'!$E$7:$AD$94,MATCH($C151,'Dist Plant Depreciation'!$D$7:$D$94,0),MATCH(Calculation!$G151,'Dist Plant Depreciation'!$E$5:$AD$5,0))</f>
        <v>79851</v>
      </c>
      <c r="BX151" s="118">
        <f>INDEX('Gen. Plant Depreciation'!$E$7:$AD$94,MATCH($C151,'Gen. Plant Depreciation'!$D$7:$D$94,0),MATCH(Calculation!$G151,'Gen. Plant Depreciation'!$E$5:$AD$5,0))</f>
        <v>15693</v>
      </c>
      <c r="BY151" s="118"/>
      <c r="BZ151" s="118"/>
      <c r="CA151" s="118"/>
      <c r="CB151" s="118"/>
      <c r="CC151" s="118"/>
      <c r="CD151" s="118"/>
      <c r="CE151" s="118">
        <f>INDEX('Gross Dx Plant'!$E$7:$AD$91,MATCH($C151,'Gross Dx Plant'!$D$7:$D$91,0),MATCH(Calculation!$G151,'Gross Dx Plant'!$E$5:$AD$5,0))</f>
        <v>272328</v>
      </c>
      <c r="CF151" s="118">
        <f>INDEX('Gross Gen Plant'!$E$7:$AD$91,MATCH($C151,'Gross Gen Plant'!$D$7:$D$91,0),MATCH(Calculation!$G151,'Gross Gen Plant'!$E$5:$AD$5,0))</f>
        <v>41697</v>
      </c>
      <c r="CG151" s="118">
        <f t="shared" si="215"/>
        <v>218481</v>
      </c>
      <c r="CH151" s="118"/>
      <c r="CI151" s="121">
        <v>2017</v>
      </c>
      <c r="CJ151" s="118"/>
      <c r="CK151" s="118"/>
      <c r="CL151" s="118"/>
      <c r="CM151" s="183"/>
      <c r="CN151" s="118">
        <f t="shared" si="303"/>
        <v>33885</v>
      </c>
      <c r="CO151" s="118">
        <f t="shared" si="304"/>
        <v>47.562662104191396</v>
      </c>
      <c r="CP151" s="186">
        <v>0.87074829931972786</v>
      </c>
      <c r="CQ151" s="118">
        <f>+CQ132*CP151+CO133*CP150+CO134*CP149+CO135*CP148+CO136*CP147+CO137*CP146+CO138*CP145+CO139*CP144+CO140*CP143+CO141*CP142+CO142*CP141+CO143*CP140+CO144*CP139+CO145*CP138+CO146*CP137+CO147*CP136+CO148*CP135+CO149*CP134+CO150*CP133+CO151</f>
        <v>794.58326005333674</v>
      </c>
      <c r="CR151" s="119">
        <f t="shared" si="305"/>
        <v>5.3294909839218224E-2</v>
      </c>
      <c r="CS151" s="119"/>
      <c r="CT151" s="177">
        <f t="shared" si="306"/>
        <v>8.3946734872996261E-3</v>
      </c>
      <c r="CU151" s="177">
        <f t="shared" si="314"/>
        <v>8.3083832747695239E-3</v>
      </c>
      <c r="CV151" s="119">
        <f>VLOOKUP($H151,RoR!$E:$F,2,FALSE)</f>
        <v>3.7433333333333339E-2</v>
      </c>
      <c r="CW151" s="177">
        <v>1.9056896421275615E-2</v>
      </c>
      <c r="CX151" s="177">
        <f t="shared" si="312"/>
        <v>1.8376436912057724E-2</v>
      </c>
      <c r="CY151" s="177">
        <f t="shared" si="315"/>
        <v>2.2593558333764099E-2</v>
      </c>
      <c r="CZ151" s="177">
        <f t="shared" si="316"/>
        <v>1.3976271617800498E-2</v>
      </c>
      <c r="DA151" s="187">
        <f t="shared" si="307"/>
        <v>0.90540624999999997</v>
      </c>
      <c r="DB151" s="188">
        <f t="shared" si="308"/>
        <v>1.3699568463593395</v>
      </c>
      <c r="DC151" s="188">
        <f t="shared" si="309"/>
        <v>0.30714603739982199</v>
      </c>
      <c r="DD151" s="188">
        <f t="shared" si="310"/>
        <v>0.77007188472689425</v>
      </c>
      <c r="DE151" s="188">
        <f t="shared" si="311"/>
        <v>0.32402839633793828</v>
      </c>
      <c r="DF151" s="189">
        <f>INDEX('State Tax Lookup'!$D$7:$Z$91,MATCH(Calculation!$C151,'State Tax Lookup'!$B$7:$B$91,0),MATCH($H151,'State Tax Lookup'!$D$6:$Z$6,0))</f>
        <v>0.25224999999999997</v>
      </c>
      <c r="DG151" s="189">
        <v>0.375</v>
      </c>
      <c r="DH151" s="190">
        <f t="shared" si="313"/>
        <v>19.473130710499017</v>
      </c>
      <c r="DI151" s="190">
        <v>19.27600434772269</v>
      </c>
      <c r="DJ151" s="177"/>
      <c r="DK151" s="189">
        <f>VLOOKUP($H151,RoR!$E:$F,2,FALSE)</f>
        <v>3.7433333333333339E-2</v>
      </c>
      <c r="DL151" s="191">
        <f>HLOOKUP($H151,'GDP-PI'!$D$8:$CQ$11,3,FALSE)</f>
        <v>1.9056896421275615E-2</v>
      </c>
      <c r="DM151" s="189">
        <f>VLOOKUP(H151,'HW Dx Data'!$E:$F,2,FALSE)</f>
        <v>712.42858370229726</v>
      </c>
      <c r="DN151" s="183">
        <f>VLOOKUP(H151,'ECI - Input Price'!$G$17:$H$37,2,FALSE)</f>
        <v>129.5</v>
      </c>
      <c r="DO151" s="177">
        <f t="shared" ref="DO151" si="363">LN(DN151/DN150)</f>
        <v>2.4229399426835413E-2</v>
      </c>
      <c r="DP151" s="183">
        <f>HLOOKUP(H151,'GDP-PI'!$8:$9,2,FALSE)</f>
        <v>107.751</v>
      </c>
      <c r="DQ151" s="177">
        <f t="shared" ref="DQ151" si="364">LN(DP151/DP150)</f>
        <v>1.8877588227745139E-2</v>
      </c>
      <c r="DW151" s="192"/>
      <c r="DX151" s="192"/>
      <c r="DY151" s="192"/>
      <c r="DZ151" s="192"/>
      <c r="EA151" s="192"/>
      <c r="EB151" s="192"/>
      <c r="EC151" s="192"/>
      <c r="ED151" s="192"/>
      <c r="EE151" s="192"/>
    </row>
    <row r="152" spans="1:135" s="167" customFormat="1" ht="21" x14ac:dyDescent="0.35">
      <c r="A152" s="167" t="s">
        <v>36</v>
      </c>
      <c r="B152" s="168" t="s">
        <v>36</v>
      </c>
      <c r="C152" s="168">
        <v>4058516</v>
      </c>
      <c r="D152" s="168" t="s">
        <v>131</v>
      </c>
      <c r="E152" s="168"/>
      <c r="F152" s="168"/>
      <c r="G152" s="168" t="s">
        <v>24</v>
      </c>
      <c r="H152" s="169">
        <v>2018</v>
      </c>
      <c r="I152" s="170"/>
      <c r="J152" s="166">
        <f>IFERROR(INDEX('Labor Expenditures'!$F$7:$X$91,MATCH($C152,'Labor Expenditures'!$D$7:$D$91,0),MATCH($G152,'Labor Expenditures'!$F$5:$X$5,0)),"NA")</f>
        <v>14418.510979358207</v>
      </c>
      <c r="K152" s="166">
        <f t="shared" si="319"/>
        <v>108.20646138355127</v>
      </c>
      <c r="L152" s="172">
        <f t="shared" si="326"/>
        <v>0.15607210198261295</v>
      </c>
      <c r="M152" s="172">
        <f t="shared" si="330"/>
        <v>6.250111536575374E-4</v>
      </c>
      <c r="N152" s="196"/>
      <c r="O152" s="172"/>
      <c r="P152" s="166">
        <f>IFERROR(INDEX('Non-Labor Expenditures'!$F$7:$AB$91,MATCH($C152,'Non-Labor Expenditures'!$D$7:$D$91,0),MATCH($G152,'Non-Labor Expenditures'!$F$5:$AB$5,0)),"NA")</f>
        <v>20880.696904489683</v>
      </c>
      <c r="Q152" s="166">
        <f t="shared" si="320"/>
        <v>189.27047102563117</v>
      </c>
      <c r="R152" s="172">
        <f t="shared" si="331"/>
        <v>0.16103793117246559</v>
      </c>
      <c r="S152" s="172">
        <f t="shared" si="336"/>
        <v>6.4489746640266743E-4</v>
      </c>
      <c r="T152" s="172"/>
      <c r="U152" s="172"/>
      <c r="V152" s="166">
        <f t="shared" si="301"/>
        <v>16288.777091101398</v>
      </c>
      <c r="W152" s="170"/>
      <c r="X152" s="174">
        <v>815.43856342494644</v>
      </c>
      <c r="Y152" s="175">
        <v>2.5908307118856663E-2</v>
      </c>
      <c r="Z152" s="175">
        <f t="shared" si="337"/>
        <v>1.0375320583222717E-4</v>
      </c>
      <c r="AA152" s="175"/>
      <c r="AB152" s="175"/>
      <c r="AC152" s="170">
        <f t="shared" si="287"/>
        <v>51587.984974949286</v>
      </c>
      <c r="AD152" s="175">
        <f t="shared" si="332"/>
        <v>0.15867872802835492</v>
      </c>
      <c r="AE152" s="170"/>
      <c r="AF152" s="170"/>
      <c r="AG152" s="121">
        <f t="shared" si="333"/>
        <v>306.38016008498261</v>
      </c>
      <c r="AH152" s="119">
        <f>+AZ152/$BB$56</f>
        <v>4.4462129411178804E-3</v>
      </c>
      <c r="AI152" s="175"/>
      <c r="AJ152" s="176">
        <f t="shared" si="338"/>
        <v>1.3622314326716176</v>
      </c>
      <c r="AK152" s="176">
        <f t="shared" si="339"/>
        <v>0</v>
      </c>
      <c r="AL152" s="120">
        <f t="shared" si="321"/>
        <v>0.27949358724438877</v>
      </c>
      <c r="AM152" s="120">
        <f t="shared" si="322"/>
        <v>0.40475891653122686</v>
      </c>
      <c r="AN152" s="120">
        <f t="shared" si="323"/>
        <v>0.31574749622438436</v>
      </c>
      <c r="AO152" s="120">
        <f t="shared" si="327"/>
        <v>0.11581714106827591</v>
      </c>
      <c r="AP152" s="173">
        <f t="shared" si="343"/>
        <v>137.41601164517505</v>
      </c>
      <c r="AQ152" s="175">
        <f t="shared" si="344"/>
        <v>0.11581714106827586</v>
      </c>
      <c r="AR152" s="177">
        <f>+AC152/$AE$56</f>
        <v>4.0046308450895733E-3</v>
      </c>
      <c r="AS152" s="177">
        <f t="shared" si="340"/>
        <v>4.6380489551210789E-4</v>
      </c>
      <c r="AT152" s="177"/>
      <c r="AU152" s="177"/>
      <c r="AV152" s="177"/>
      <c r="AW152" s="190"/>
      <c r="AX152" s="120"/>
      <c r="AY152" s="120"/>
      <c r="AZ152" s="118">
        <f>IFERROR(INDEX('Total Customers'!$F$7:$AB$91,MATCH($C152,'Total Customers'!$D$7:$D$91,0),MATCH($G152,'Total Customers'!$F$5:$AB$5,0)),"NA")</f>
        <v>168379</v>
      </c>
      <c r="BA152" s="119">
        <f t="shared" si="302"/>
        <v>9.8176627762086299E-3</v>
      </c>
      <c r="BB152" s="119"/>
      <c r="BC152" s="121"/>
      <c r="BD152" s="119"/>
      <c r="BE152" s="119"/>
      <c r="BF152" s="119"/>
      <c r="BG152" s="173"/>
      <c r="BH152" s="173"/>
      <c r="BI152" s="173"/>
      <c r="BJ152" s="173"/>
      <c r="BK152" s="173"/>
      <c r="BL152" s="173"/>
      <c r="BM152" s="173"/>
      <c r="BN152" s="173"/>
      <c r="BO152" s="173"/>
      <c r="BP152" s="173"/>
      <c r="BQ152" s="118"/>
      <c r="BR152" s="118"/>
      <c r="BS152" s="118">
        <f>INDEX('Dist. Plant Gas Additions'!$F$7:$AE$91,MATCH($C152,'Dist. Plant Gas Additions'!$D$7:$D$91,0),MATCH(Calculation!$G152,'Dist. Plant Gas Additions'!$F$5:$AE$5,0))</f>
        <v>17938</v>
      </c>
      <c r="BT152" s="118">
        <f>INDEX('Gen. Plant Additions'!$F$7:$AE$91,MATCH($C152,'Gen. Plant Additions'!$D$7:$D$91,0),MATCH(Calculation!$G152,'Gen. Plant Additions'!$F$5:$AE$5,0))</f>
        <v>2950</v>
      </c>
      <c r="BU152" s="118"/>
      <c r="BV152" s="118"/>
      <c r="BW152" s="118">
        <f>INDEX('Dist Plant Depreciation'!$E$7:$AD$94,MATCH($C152,'Dist Plant Depreciation'!$D$7:$D$94,0),MATCH(Calculation!$G152,'Dist Plant Depreciation'!$E$5:$AD$5,0))</f>
        <v>83231</v>
      </c>
      <c r="BX152" s="118">
        <f>INDEX('Gen. Plant Depreciation'!$E$7:$AD$94,MATCH($C152,'Gen. Plant Depreciation'!$D$7:$D$94,0),MATCH(Calculation!$G152,'Gen. Plant Depreciation'!$E$5:$AD$5,0))</f>
        <v>13768</v>
      </c>
      <c r="BY152" s="118"/>
      <c r="BZ152" s="118"/>
      <c r="CA152" s="118"/>
      <c r="CB152" s="118"/>
      <c r="CC152" s="118"/>
      <c r="CD152" s="118"/>
      <c r="CE152" s="118">
        <f>INDEX('Gross Dx Plant'!$E$7:$AD$91,MATCH($C152,'Gross Dx Plant'!$D$7:$D$91,0),MATCH(Calculation!$G152,'Gross Dx Plant'!$E$5:$AD$5,0))</f>
        <v>288018</v>
      </c>
      <c r="CF152" s="118">
        <f>INDEX('Gross Gen Plant'!$E$7:$AD$91,MATCH($C152,'Gross Gen Plant'!$D$7:$D$91,0),MATCH(Calculation!$G152,'Gross Gen Plant'!$E$5:$AD$5,0))</f>
        <v>41833</v>
      </c>
      <c r="CG152" s="118">
        <f t="shared" si="215"/>
        <v>232852</v>
      </c>
      <c r="CH152" s="118"/>
      <c r="CI152" s="121">
        <v>2018</v>
      </c>
      <c r="CJ152" s="118"/>
      <c r="CK152" s="118"/>
      <c r="CL152" s="118"/>
      <c r="CM152" s="183"/>
      <c r="CN152" s="118">
        <f t="shared" si="303"/>
        <v>20888</v>
      </c>
      <c r="CO152" s="118">
        <f t="shared" si="304"/>
        <v>27.661216311284825</v>
      </c>
      <c r="CP152" s="186">
        <v>0.86111111111111116</v>
      </c>
      <c r="CQ152" s="118">
        <f>+CQ132*CP152++CO133*CP151+CO134*CP150+CO135*CP149+CO136*CP148+CO137*CP147+CO138*CP146+CO139*CP145+CO140*CP144+CO141*CP143+CO142*CP142+CO143*CP141+CO144*CP140+CO145*CP139+CO146*CP138+CO147*CP137+CO148*CP136+CO149*CP135+CO150*CP134+CO151*CP133+CO152</f>
        <v>815.43856342494644</v>
      </c>
      <c r="CR152" s="119">
        <f t="shared" si="305"/>
        <v>2.5908307118856663E-2</v>
      </c>
      <c r="CS152" s="119"/>
      <c r="CT152" s="177">
        <f t="shared" si="306"/>
        <v>8.5653867654074192E-3</v>
      </c>
      <c r="CU152" s="177">
        <f t="shared" si="314"/>
        <v>8.43121927102514E-3</v>
      </c>
      <c r="CV152" s="119">
        <f>VLOOKUP($H152,RoR!$E:$F,2,FALSE)</f>
        <v>3.9299999999999995E-2</v>
      </c>
      <c r="CW152" s="177">
        <v>2.386056741932796E-2</v>
      </c>
      <c r="CX152" s="177">
        <f t="shared" si="312"/>
        <v>1.5439432580672034E-2</v>
      </c>
      <c r="CY152" s="177">
        <f t="shared" si="315"/>
        <v>2.2470722337508485E-2</v>
      </c>
      <c r="CZ152" s="177">
        <f t="shared" si="316"/>
        <v>3.8270792163076606E-2</v>
      </c>
      <c r="DA152" s="187">
        <f t="shared" si="307"/>
        <v>0.90540624999999997</v>
      </c>
      <c r="DB152" s="188">
        <f t="shared" si="308"/>
        <v>1.3048868010700074</v>
      </c>
      <c r="DC152" s="188">
        <f t="shared" si="309"/>
        <v>0.33886768447837151</v>
      </c>
      <c r="DD152" s="188">
        <f t="shared" si="310"/>
        <v>0.78602506232557801</v>
      </c>
      <c r="DE152" s="188">
        <f t="shared" si="311"/>
        <v>0.34756768162358759</v>
      </c>
      <c r="DF152" s="189">
        <f>INDEX('State Tax Lookup'!$D$7:$Z$91,MATCH(Calculation!$C152,'State Tax Lookup'!$B$7:$B$91,0),MATCH($H152,'State Tax Lookup'!$D$6:$Z$6,0))</f>
        <v>0.25224999999999997</v>
      </c>
      <c r="DG152" s="189">
        <v>0.375</v>
      </c>
      <c r="DH152" s="190">
        <f t="shared" si="313"/>
        <v>20.499773793381962</v>
      </c>
      <c r="DI152" s="190">
        <v>20.263307222547482</v>
      </c>
      <c r="DJ152" s="177"/>
      <c r="DK152" s="189">
        <f>VLOOKUP($H152,RoR!$E:$F,2,FALSE)</f>
        <v>3.9299999999999995E-2</v>
      </c>
      <c r="DL152" s="191">
        <f>HLOOKUP($H152,'GDP-PI'!$D$8:$CQ$11,3,FALSE)</f>
        <v>2.386056741932796E-2</v>
      </c>
      <c r="DM152" s="189">
        <f>VLOOKUP(H152,'HW Dx Data'!$E:$F,2,FALSE)</f>
        <v>755.13671434174842</v>
      </c>
      <c r="DN152" s="183">
        <f>VLOOKUP(H152,'ECI - Input Price'!$G$17:$H$37,2,FALSE)</f>
        <v>133.25</v>
      </c>
      <c r="DO152" s="177">
        <f t="shared" ref="DO152" si="365">LN(DN152/DN151)</f>
        <v>2.8546181906361531E-2</v>
      </c>
      <c r="DP152" s="183">
        <f>HLOOKUP(H152,'GDP-PI'!$8:$9,2,FALSE)</f>
        <v>110.322</v>
      </c>
      <c r="DQ152" s="177">
        <f t="shared" ref="DQ152" si="366">LN(DP152/DP151)</f>
        <v>2.3580352716508712E-2</v>
      </c>
      <c r="DW152" s="192"/>
      <c r="DX152" s="192"/>
      <c r="DY152" s="192"/>
      <c r="DZ152" s="192"/>
      <c r="EA152" s="192"/>
      <c r="EB152" s="192"/>
      <c r="EC152" s="192"/>
      <c r="ED152" s="192"/>
      <c r="EE152" s="192"/>
    </row>
    <row r="153" spans="1:135" s="167" customFormat="1" ht="21" x14ac:dyDescent="0.35">
      <c r="A153" s="167" t="s">
        <v>36</v>
      </c>
      <c r="B153" s="168" t="s">
        <v>36</v>
      </c>
      <c r="C153" s="168">
        <v>4058516</v>
      </c>
      <c r="D153" s="168" t="s">
        <v>131</v>
      </c>
      <c r="E153" s="168"/>
      <c r="F153" s="168"/>
      <c r="G153" s="168" t="s">
        <v>25</v>
      </c>
      <c r="H153" s="169">
        <v>2019</v>
      </c>
      <c r="I153" s="170"/>
      <c r="J153" s="166">
        <f>IFERROR(INDEX('Labor Expenditures'!$F$7:$X$91,MATCH($C153,'Labor Expenditures'!$D$7:$D$91,0),MATCH($G153,'Labor Expenditures'!$F$5:$X$5,0)),"NA")</f>
        <v>13706.657012895954</v>
      </c>
      <c r="K153" s="166">
        <f t="shared" si="319"/>
        <v>100.15825365652871</v>
      </c>
      <c r="L153" s="172">
        <f t="shared" si="326"/>
        <v>-7.7289610005821102E-2</v>
      </c>
      <c r="M153" s="172">
        <f t="shared" si="330"/>
        <v>-2.9403513639629796E-4</v>
      </c>
      <c r="N153" s="196"/>
      <c r="O153" s="172"/>
      <c r="P153" s="166">
        <f>IFERROR(INDEX('Non-Labor Expenditures'!$F$7:$AB$91,MATCH($C153,'Non-Labor Expenditures'!$D$7:$D$91,0),MATCH($G153,'Non-Labor Expenditures'!$F$5:$AB$5,0)),"NA")</f>
        <v>19849.799405071291</v>
      </c>
      <c r="Q153" s="166">
        <f t="shared" si="320"/>
        <v>176.72856892992479</v>
      </c>
      <c r="R153" s="172">
        <f t="shared" si="331"/>
        <v>-6.8562009016488526E-2</v>
      </c>
      <c r="S153" s="172">
        <f t="shared" si="336"/>
        <v>-2.6083246727793142E-4</v>
      </c>
      <c r="T153" s="172"/>
      <c r="U153" s="172"/>
      <c r="V153" s="166">
        <f t="shared" si="301"/>
        <v>16984.961853073266</v>
      </c>
      <c r="W153" s="170"/>
      <c r="X153" s="174">
        <v>849.72680641251361</v>
      </c>
      <c r="Y153" s="175">
        <v>4.1188810461444125E-2</v>
      </c>
      <c r="Z153" s="175">
        <f t="shared" si="337"/>
        <v>1.566958029820547E-4</v>
      </c>
      <c r="AA153" s="175"/>
      <c r="AB153" s="175"/>
      <c r="AC153" s="170">
        <f t="shared" si="287"/>
        <v>50541.418271040515</v>
      </c>
      <c r="AD153" s="175">
        <f t="shared" si="332"/>
        <v>-2.0495632137450592E-2</v>
      </c>
      <c r="AE153" s="170"/>
      <c r="AF153" s="170"/>
      <c r="AG153" s="121">
        <f t="shared" si="333"/>
        <v>295.36348600388339</v>
      </c>
      <c r="AH153" s="119">
        <f>+AZ153/$BB$57</f>
        <v>4.4815191678468733E-3</v>
      </c>
      <c r="AI153" s="175"/>
      <c r="AJ153" s="176">
        <f t="shared" si="338"/>
        <v>1.323677124008475</v>
      </c>
      <c r="AK153" s="176">
        <f t="shared" si="339"/>
        <v>0</v>
      </c>
      <c r="AL153" s="120">
        <f t="shared" si="321"/>
        <v>0.27119652518239018</v>
      </c>
      <c r="AM153" s="120">
        <f t="shared" si="322"/>
        <v>0.3927432209880215</v>
      </c>
      <c r="AN153" s="120">
        <f t="shared" si="323"/>
        <v>0.33606025382958826</v>
      </c>
      <c r="AO153" s="120">
        <f t="shared" si="327"/>
        <v>-3.5196893446258835E-2</v>
      </c>
      <c r="AP153" s="173">
        <f t="shared" si="343"/>
        <v>132.66352197540519</v>
      </c>
      <c r="AQ153" s="175">
        <f t="shared" si="344"/>
        <v>-3.5196893446258863E-2</v>
      </c>
      <c r="AR153" s="177">
        <f>+AC153/$AE$57</f>
        <v>3.8043294095306286E-3</v>
      </c>
      <c r="AS153" s="177">
        <f t="shared" si="340"/>
        <v>-1.3390057686171844E-4</v>
      </c>
      <c r="AT153" s="177"/>
      <c r="AU153" s="177"/>
      <c r="AV153" s="177"/>
      <c r="AW153" s="190"/>
      <c r="AX153" s="120"/>
      <c r="AY153" s="120"/>
      <c r="AZ153" s="118">
        <f>IFERROR(INDEX('Total Customers'!$F$7:$AB$91,MATCH($C153,'Total Customers'!$D$7:$D$91,0),MATCH($G153,'Total Customers'!$F$5:$AB$5,0)),"NA")</f>
        <v>171116</v>
      </c>
      <c r="BA153" s="119">
        <f t="shared" si="302"/>
        <v>1.6124298147607637E-2</v>
      </c>
      <c r="BB153" s="119"/>
      <c r="BC153" s="121"/>
      <c r="BD153" s="119"/>
      <c r="BE153" s="119"/>
      <c r="BF153" s="119"/>
      <c r="BG153" s="173"/>
      <c r="BH153" s="173"/>
      <c r="BI153" s="173"/>
      <c r="BJ153" s="173"/>
      <c r="BK153" s="173"/>
      <c r="BL153" s="173"/>
      <c r="BM153" s="173"/>
      <c r="BN153" s="173"/>
      <c r="BO153" s="173"/>
      <c r="BP153" s="173"/>
      <c r="BQ153" s="118"/>
      <c r="BR153" s="118"/>
      <c r="BS153" s="118">
        <f>INDEX('Dist. Plant Gas Additions'!$F$7:$AE$91,MATCH($C153,'Dist. Plant Gas Additions'!$D$7:$D$91,0),MATCH(Calculation!$G153,'Dist. Plant Gas Additions'!$F$5:$AE$5,0))</f>
        <v>22039</v>
      </c>
      <c r="BT153" s="118">
        <f>INDEX('Gen. Plant Additions'!$F$7:$AE$91,MATCH($C153,'Gen. Plant Additions'!$D$7:$D$91,0),MATCH(Calculation!$G153,'Gen. Plant Additions'!$F$5:$AE$5,0))</f>
        <v>10062</v>
      </c>
      <c r="BU153" s="118"/>
      <c r="BV153" s="118"/>
      <c r="BW153" s="118">
        <f>INDEX('Dist Plant Depreciation'!$E$7:$AD$94,MATCH($C153,'Dist Plant Depreciation'!$D$7:$D$94,0),MATCH(Calculation!$G153,'Dist Plant Depreciation'!$E$5:$AD$5,0))</f>
        <v>83109</v>
      </c>
      <c r="BX153" s="118">
        <f>INDEX('Gen. Plant Depreciation'!$E$7:$AD$94,MATCH($C153,'Gen. Plant Depreciation'!$D$7:$D$94,0),MATCH(Calculation!$G153,'Gen. Plant Depreciation'!$E$5:$AD$5,0))</f>
        <v>9052</v>
      </c>
      <c r="BY153" s="118"/>
      <c r="BZ153" s="118"/>
      <c r="CA153" s="118"/>
      <c r="CB153" s="118"/>
      <c r="CC153" s="118"/>
      <c r="CD153" s="118"/>
      <c r="CE153" s="118">
        <f>INDEX('Gross Dx Plant'!$E$7:$AD$91,MATCH($C153,'Gross Dx Plant'!$D$7:$D$91,0),MATCH(Calculation!$G153,'Gross Dx Plant'!$E$5:$AD$5,0))</f>
        <v>305091</v>
      </c>
      <c r="CF153" s="118">
        <f>INDEX('Gross Gen Plant'!$E$7:$AD$91,MATCH($C153,'Gross Gen Plant'!$D$7:$D$91,0),MATCH(Calculation!$G153,'Gross Gen Plant'!$E$5:$AD$5,0))</f>
        <v>43679</v>
      </c>
      <c r="CG153" s="118">
        <f t="shared" si="215"/>
        <v>256609</v>
      </c>
      <c r="CH153" s="118"/>
      <c r="CI153" s="121">
        <v>2019</v>
      </c>
      <c r="CJ153" s="118"/>
      <c r="CK153" s="118"/>
      <c r="CL153" s="118"/>
      <c r="CM153" s="183"/>
      <c r="CN153" s="118">
        <f t="shared" si="303"/>
        <v>32101</v>
      </c>
      <c r="CO153" s="118">
        <f t="shared" si="304"/>
        <v>41.498861254383691</v>
      </c>
      <c r="CP153" s="186">
        <v>0.85106382978723405</v>
      </c>
      <c r="CQ153" s="118">
        <f>CQ132*CP153+CO133*CP152+CO134*CP151+CO135*CP150+CO136*CP149+CO137*CP148+CO138*CP147+CO139*CP146+CO140*CP145+CO141*CP144+CO142*CP143+CO143*CP142+CO144*CP141+CO145*CP140+CO146*CP139+CO147*CP138+CO148*CP137+CO149*CP136+CO150*CP135+CO151*CP134+CO152*CP133+CO153</f>
        <v>849.72680641251361</v>
      </c>
      <c r="CR153" s="119">
        <f t="shared" si="305"/>
        <v>4.1188810461444125E-2</v>
      </c>
      <c r="CS153" s="119"/>
      <c r="CT153" s="177">
        <f t="shared" si="306"/>
        <v>8.8426260300113798E-3</v>
      </c>
      <c r="CU153" s="177">
        <f t="shared" si="314"/>
        <v>8.6008954275728095E-3</v>
      </c>
      <c r="CV153" s="119">
        <f>VLOOKUP($H153,RoR!$E:$F,2,FALSE)</f>
        <v>3.3875000000000009E-2</v>
      </c>
      <c r="CW153" s="177">
        <v>1.8092492884465461E-2</v>
      </c>
      <c r="CX153" s="177">
        <f t="shared" si="312"/>
        <v>1.5782507115534548E-2</v>
      </c>
      <c r="CY153" s="177">
        <f t="shared" si="315"/>
        <v>2.2301046180960814E-2</v>
      </c>
      <c r="CZ153" s="177">
        <f t="shared" si="316"/>
        <v>4.8445665544254078E-2</v>
      </c>
      <c r="DA153" s="187">
        <f t="shared" si="307"/>
        <v>0.90540624999999997</v>
      </c>
      <c r="DB153" s="188">
        <f t="shared" si="308"/>
        <v>1.513861292459078</v>
      </c>
      <c r="DC153" s="188">
        <f t="shared" si="309"/>
        <v>0.23699261992619944</v>
      </c>
      <c r="DD153" s="188">
        <f t="shared" si="310"/>
        <v>0.73619765810468829</v>
      </c>
      <c r="DE153" s="188">
        <f t="shared" si="311"/>
        <v>0.26412854465362851</v>
      </c>
      <c r="DF153" s="189">
        <f>INDEX('State Tax Lookup'!$D$7:$Z$91,MATCH(Calculation!$C153,'State Tax Lookup'!$B$7:$B$91,0),MATCH($H153,'State Tax Lookup'!$D$6:$Z$6,0))</f>
        <v>0.25224999999999997</v>
      </c>
      <c r="DG153" s="189">
        <v>0.375</v>
      </c>
      <c r="DH153" s="190">
        <f t="shared" si="313"/>
        <v>20.829235475121816</v>
      </c>
      <c r="DI153" s="190">
        <v>20.497615039095624</v>
      </c>
      <c r="DJ153" s="177"/>
      <c r="DK153" s="189">
        <f>VLOOKUP($H153,RoR!$E:$F,2,FALSE)</f>
        <v>3.3875000000000009E-2</v>
      </c>
      <c r="DL153" s="191">
        <f>HLOOKUP($H153,'GDP-PI'!$D$8:$CQ$11,3,FALSE)</f>
        <v>1.8092492884465461E-2</v>
      </c>
      <c r="DM153" s="189">
        <f>VLOOKUP(H153,'HW Dx Data'!$E:$F,2,FALSE)</f>
        <v>773.53929793938721</v>
      </c>
      <c r="DN153" s="183">
        <f>VLOOKUP(H153,'ECI - Input Price'!$G$17:$H$37,2,FALSE)</f>
        <v>136.85</v>
      </c>
      <c r="DO153" s="177">
        <f t="shared" ref="DO153" si="367">LN(DN153/DN152)</f>
        <v>2.6658372440734168E-2</v>
      </c>
      <c r="DP153" s="183">
        <f>HLOOKUP(H153,'GDP-PI'!$8:$9,2,FALSE)</f>
        <v>112.318</v>
      </c>
      <c r="DQ153" s="177">
        <f t="shared" ref="DQ153" si="368">LN(DP153/DP152)</f>
        <v>1.7930771451401852E-2</v>
      </c>
      <c r="DW153" s="192"/>
      <c r="DX153" s="192"/>
      <c r="DY153" s="192"/>
      <c r="DZ153" s="192"/>
      <c r="EA153" s="192"/>
      <c r="EB153" s="192"/>
      <c r="EC153" s="192"/>
      <c r="ED153" s="192"/>
      <c r="EE153" s="192"/>
    </row>
    <row r="154" spans="1:135" s="167" customFormat="1" ht="21" x14ac:dyDescent="0.35">
      <c r="A154" s="167" t="s">
        <v>36</v>
      </c>
      <c r="B154" s="167" t="s">
        <v>36</v>
      </c>
      <c r="C154" s="167">
        <v>4058516</v>
      </c>
      <c r="D154" s="167" t="s">
        <v>131</v>
      </c>
      <c r="G154" s="168" t="s">
        <v>26</v>
      </c>
      <c r="H154" s="169">
        <v>2020</v>
      </c>
      <c r="I154" s="170"/>
      <c r="J154" s="166">
        <f>IFERROR(INDEX('Labor Expenditures'!$F$7:$X$91,MATCH($C154,'Labor Expenditures'!$D$7:$D$91,0),MATCH($G154,'Labor Expenditures'!$F$5:$X$5,0)),"NA")</f>
        <v>13876.030263034538</v>
      </c>
      <c r="K154" s="166">
        <f t="shared" si="319"/>
        <v>98.796940285044769</v>
      </c>
      <c r="L154" s="172">
        <f t="shared" si="326"/>
        <v>-1.3684836162506177E-2</v>
      </c>
      <c r="M154" s="172">
        <f t="shared" si="330"/>
        <v>-5.2348154564663912E-5</v>
      </c>
      <c r="N154" s="196"/>
      <c r="O154" s="172"/>
      <c r="P154" s="166">
        <f>IFERROR(INDEX('Non-Labor Expenditures'!$F$7:$AB$91,MATCH($C154,'Non-Labor Expenditures'!$D$7:$D$91,0),MATCH($G154,'Non-Labor Expenditures'!$F$5:$AB$5,0)),"NA")</f>
        <v>20095.083505831426</v>
      </c>
      <c r="Q154" s="166">
        <f t="shared" si="320"/>
        <v>176.85753329723229</v>
      </c>
      <c r="R154" s="172">
        <f t="shared" si="331"/>
        <v>7.2946516966526729E-4</v>
      </c>
      <c r="S154" s="172">
        <f t="shared" si="336"/>
        <v>2.7903991686651631E-6</v>
      </c>
      <c r="T154" s="172"/>
      <c r="U154" s="172"/>
      <c r="V154" s="166">
        <f t="shared" si="301"/>
        <v>18422.305394468302</v>
      </c>
      <c r="W154" s="170"/>
      <c r="X154" s="174">
        <v>894.9997627286549</v>
      </c>
      <c r="Y154" s="175">
        <v>5.1908559564788515E-2</v>
      </c>
      <c r="Z154" s="175">
        <f t="shared" si="337"/>
        <v>1.9856410899324759E-4</v>
      </c>
      <c r="AA154" s="175"/>
      <c r="AB154" s="175"/>
      <c r="AC154" s="170">
        <f t="shared" si="287"/>
        <v>52393.419163334271</v>
      </c>
      <c r="AD154" s="175">
        <f t="shared" si="332"/>
        <v>3.5987831040349402E-2</v>
      </c>
      <c r="AE154" s="170"/>
      <c r="AF154" s="170"/>
      <c r="AG154" s="121">
        <f t="shared" si="333"/>
        <v>306.18655861131788</v>
      </c>
      <c r="AH154" s="119">
        <f>+AZ154/$BB$58</f>
        <v>4.4500113073290427E-3</v>
      </c>
      <c r="AI154" s="175"/>
      <c r="AJ154" s="176">
        <f t="shared" si="338"/>
        <v>1.3625336479725312</v>
      </c>
      <c r="AK154" s="176">
        <f t="shared" si="339"/>
        <v>0</v>
      </c>
      <c r="AL154" s="120">
        <f t="shared" si="321"/>
        <v>0.26484299907544878</v>
      </c>
      <c r="AM154" s="120">
        <f t="shared" si="322"/>
        <v>0.38354212851018277</v>
      </c>
      <c r="AN154" s="120">
        <f t="shared" si="323"/>
        <v>0.35161487241436834</v>
      </c>
      <c r="AO154" s="120">
        <f t="shared" si="327"/>
        <v>1.4463442654970987E-2</v>
      </c>
      <c r="AP154" s="173">
        <f t="shared" si="343"/>
        <v>134.59623637775098</v>
      </c>
      <c r="AQ154" s="175">
        <f t="shared" si="344"/>
        <v>1.4463442654970937E-2</v>
      </c>
      <c r="AR154" s="177">
        <f>+AC154/$AE$58</f>
        <v>3.8252671747790305E-3</v>
      </c>
      <c r="AS154" s="177">
        <f t="shared" si="340"/>
        <v>5.5326532422359197E-5</v>
      </c>
      <c r="AT154" s="177"/>
      <c r="AU154" s="177"/>
      <c r="AV154" s="177"/>
      <c r="AW154" s="190"/>
      <c r="AX154" s="120"/>
      <c r="AY154" s="120"/>
      <c r="AZ154" s="118">
        <v>171116</v>
      </c>
      <c r="BA154" s="119">
        <f t="shared" si="302"/>
        <v>0</v>
      </c>
      <c r="BB154" s="119"/>
      <c r="BC154" s="121"/>
      <c r="BD154" s="119"/>
      <c r="BE154" s="119"/>
      <c r="BF154" s="119"/>
      <c r="BG154" s="173"/>
      <c r="BH154" s="173"/>
      <c r="BI154" s="173"/>
      <c r="BJ154" s="173"/>
      <c r="BK154" s="173"/>
      <c r="BL154" s="173"/>
      <c r="BM154" s="173"/>
      <c r="BN154" s="173"/>
      <c r="BO154" s="173"/>
      <c r="BP154" s="173"/>
      <c r="BQ154" s="118"/>
      <c r="BR154" s="118"/>
      <c r="BS154" s="118">
        <f>INDEX('Dist. Plant Gas Additions'!$F$7:$AE$91,MATCH($C154,'Dist. Plant Gas Additions'!$D$7:$D$91,0),MATCH(Calculation!$G154,'Dist. Plant Gas Additions'!$F$5:$AE$5,0))</f>
        <v>23450</v>
      </c>
      <c r="BT154" s="118">
        <f>INDEX('Gen. Plant Additions'!$F$7:$AE$91,MATCH($C154,'Gen. Plant Additions'!$D$7:$D$91,0),MATCH(Calculation!$G154,'Gen. Plant Additions'!$F$5:$AE$5,0))</f>
        <v>19625</v>
      </c>
      <c r="BU154" s="118"/>
      <c r="BV154" s="118"/>
      <c r="BW154" s="118">
        <f>INDEX('Dist Plant Depreciation'!$E$7:$AD$94,MATCH($C154,'Dist Plant Depreciation'!$D$7:$D$94,0),MATCH(Calculation!$G154,'Dist Plant Depreciation'!$E$5:$AD$5,0))</f>
        <v>90953</v>
      </c>
      <c r="BX154" s="118">
        <f>INDEX('Gen. Plant Depreciation'!$E$7:$AD$94,MATCH($C154,'Gen. Plant Depreciation'!$D$7:$D$94,0),MATCH(Calculation!$G154,'Gen. Plant Depreciation'!$E$5:$AD$5,0))</f>
        <v>8181</v>
      </c>
      <c r="BY154" s="118"/>
      <c r="BZ154" s="118"/>
      <c r="CA154" s="118"/>
      <c r="CB154" s="118"/>
      <c r="CC154" s="118"/>
      <c r="CD154" s="118"/>
      <c r="CE154" s="118">
        <f>INDEX('Gross Dx Plant'!$E$7:$AD$91,MATCH($C154,'Gross Dx Plant'!$D$7:$D$91,0),MATCH(Calculation!$G154,'Gross Dx Plant'!$E$5:$AD$5,0))</f>
        <v>329788</v>
      </c>
      <c r="CF154" s="118">
        <f>INDEX('Gross Gen Plant'!$E$7:$AD$91,MATCH($C154,'Gross Gen Plant'!$D$7:$D$91,0),MATCH(Calculation!$G154,'Gross Gen Plant'!$E$5:$AD$5,0))</f>
        <v>57947</v>
      </c>
      <c r="CG154" s="118">
        <f t="shared" si="215"/>
        <v>288601</v>
      </c>
      <c r="CH154" s="118"/>
      <c r="CI154" s="121">
        <v>2020</v>
      </c>
      <c r="CJ154" s="118"/>
      <c r="CK154" s="118"/>
      <c r="CL154" s="118"/>
      <c r="CM154" s="183"/>
      <c r="CN154" s="118">
        <f t="shared" si="303"/>
        <v>43075</v>
      </c>
      <c r="CO154" s="118">
        <f t="shared" si="304"/>
        <v>52.977556197825606</v>
      </c>
      <c r="CP154" s="186">
        <v>0.84057971014492749</v>
      </c>
      <c r="CQ154" s="118">
        <f>CQ132*CP154+CO133*CP153+CO134*CP152+CO135*CP151+CO136*CP150+CO137*CP149+CO138*CP148+CO139*CP147+CO140*CP146+CO141*CP145+CO142*CP144+CO143*CP143+CO144*CP142+CO145*CP141+CO146*CP140+CO147*CP139+CO148*CP138+CO149*CP137+CO150*CP136+CO151*CP135+CO152*CP134+CO153*CP133+CO154</f>
        <v>894.9997627286549</v>
      </c>
      <c r="CR154" s="119">
        <f t="shared" si="305"/>
        <v>5.1908559564788515E-2</v>
      </c>
      <c r="CS154" s="119"/>
      <c r="CT154" s="177">
        <f t="shared" si="306"/>
        <v>9.0671493750004092E-3</v>
      </c>
      <c r="CU154" s="177">
        <f t="shared" si="314"/>
        <v>8.8250540568064039E-3</v>
      </c>
      <c r="CV154" s="119">
        <f>VLOOKUP($H154,RoR!$E:$F,2,FALSE)</f>
        <v>2.4766666666666666E-2</v>
      </c>
      <c r="CW154" s="177">
        <v>1.1618796630994188E-2</v>
      </c>
      <c r="CX154" s="177">
        <f t="shared" si="312"/>
        <v>1.3147870035672478E-2</v>
      </c>
      <c r="CY154" s="177">
        <f t="shared" si="315"/>
        <v>2.2076887551727223E-2</v>
      </c>
      <c r="CZ154" s="177">
        <f t="shared" si="316"/>
        <v>4.5144642961987357E-2</v>
      </c>
      <c r="DA154" s="187">
        <f t="shared" si="307"/>
        <v>0.90540624999999997</v>
      </c>
      <c r="DB154" s="188">
        <f t="shared" si="308"/>
        <v>2.0706077233668081</v>
      </c>
      <c r="DC154" s="188">
        <f t="shared" si="309"/>
        <v>-3.4421265141318998E-2</v>
      </c>
      <c r="DD154" s="188">
        <f t="shared" si="310"/>
        <v>0.62416226176410472</v>
      </c>
      <c r="DE154" s="188">
        <f t="shared" si="311"/>
        <v>-4.4485877841158712E-2</v>
      </c>
      <c r="DF154" s="189">
        <f>INDEX('State Tax Lookup'!$D$7:$Z$91,MATCH(Calculation!$C154,'State Tax Lookup'!$B$7:$B$91,0),MATCH($H154,'State Tax Lookup'!$D$6:$Z$6,0))</f>
        <v>0.25224999999999997</v>
      </c>
      <c r="DG154" s="189">
        <v>0.375</v>
      </c>
      <c r="DH154" s="190">
        <f t="shared" si="313"/>
        <v>21.680268593909577</v>
      </c>
      <c r="DI154" s="190">
        <v>21.370543503281027</v>
      </c>
      <c r="DJ154" s="177"/>
      <c r="DK154" s="189">
        <f>VLOOKUP($H154,RoR!$E:$F,2,FALSE)</f>
        <v>2.4766666666666666E-2</v>
      </c>
      <c r="DL154" s="191">
        <f>HLOOKUP($H154,'GDP-PI'!$D$8:$CQ$11,3,FALSE)</f>
        <v>1.1618796630994188E-2</v>
      </c>
      <c r="DM154" s="189">
        <f>VLOOKUP(H154,'HW Dx Data'!$E:$F,2,FALSE)</f>
        <v>813.080162458833</v>
      </c>
      <c r="DN154" s="183">
        <f>VLOOKUP(H154,'ECI - Input Price'!$G$17:$H$37,2,FALSE)</f>
        <v>140.44999999999999</v>
      </c>
      <c r="DO154" s="177">
        <f t="shared" ref="DO154" si="369">LN(DN154/DN153)</f>
        <v>2.5966118063564539E-2</v>
      </c>
      <c r="DP154" s="183">
        <f>HLOOKUP(H154,'GDP-PI'!$8:$9,2,FALSE)</f>
        <v>113.623</v>
      </c>
      <c r="DQ154" s="177">
        <f t="shared" ref="DQ154" si="370">LN(DP154/DP153)</f>
        <v>1.1551816731392881E-2</v>
      </c>
      <c r="DW154" s="192"/>
      <c r="DX154" s="192"/>
      <c r="DY154" s="192"/>
      <c r="DZ154" s="192"/>
      <c r="EA154" s="192"/>
      <c r="EB154" s="192"/>
      <c r="EC154" s="192"/>
      <c r="ED154" s="192"/>
      <c r="EE154" s="192"/>
    </row>
    <row r="155" spans="1:135" s="167" customFormat="1" ht="21" x14ac:dyDescent="0.35">
      <c r="A155" s="167" t="s">
        <v>36</v>
      </c>
      <c r="B155" s="167" t="s">
        <v>36</v>
      </c>
      <c r="C155" s="167">
        <v>4058516</v>
      </c>
      <c r="D155" s="167" t="s">
        <v>131</v>
      </c>
      <c r="G155" s="168" t="s">
        <v>462</v>
      </c>
      <c r="H155" s="169">
        <v>2021</v>
      </c>
      <c r="I155" s="170"/>
      <c r="J155" s="166">
        <f>IFERROR(INDEX('Labor Expenditures'!$E$7:$X$91,MATCH($C155,'Labor Expenditures'!$D$7:$D$91,0),MATCH($G155,'Labor Expenditures'!$E$5:$X$5,0)),"NA")</f>
        <v>14319.025296046017</v>
      </c>
      <c r="K155" s="166">
        <f t="shared" si="319"/>
        <v>98.429457267888054</v>
      </c>
      <c r="L155" s="171">
        <f t="shared" si="326"/>
        <v>-3.7265137626903526E-3</v>
      </c>
      <c r="M155" s="172">
        <f t="shared" si="330"/>
        <v>-1.334288196711339E-5</v>
      </c>
      <c r="N155" s="196"/>
      <c r="O155" s="172"/>
      <c r="P155" s="166">
        <f>IFERROR(INDEX('Non-Labor Expenditures'!$E$7:$AB$91,MATCH($C155,'Non-Labor Expenditures'!$D$7:$D$91,0),MATCH($G155,'Non-Labor Expenditures'!$E$5:$AB$5,0)),"NA")</f>
        <v>20184.650116113062</v>
      </c>
      <c r="Q155" s="166">
        <f t="shared" si="320"/>
        <v>170.34897557695217</v>
      </c>
      <c r="R155" s="172">
        <f t="shared" si="331"/>
        <v>-3.7495381392826668E-2</v>
      </c>
      <c r="S155" s="172">
        <f t="shared" si="336"/>
        <v>-1.3425321361893949E-4</v>
      </c>
      <c r="T155" s="172"/>
      <c r="U155" s="172"/>
      <c r="V155" s="166">
        <f t="shared" si="301"/>
        <v>18303.461766732245</v>
      </c>
      <c r="W155" s="170"/>
      <c r="X155" s="174">
        <v>955.05270720709757</v>
      </c>
      <c r="Y155" s="175"/>
      <c r="Z155" s="175">
        <f t="shared" si="337"/>
        <v>0</v>
      </c>
      <c r="AA155" s="175"/>
      <c r="AB155" s="175"/>
      <c r="AC155" s="170">
        <f t="shared" si="287"/>
        <v>52807.137178891324</v>
      </c>
      <c r="AD155" s="175">
        <f t="shared" si="332"/>
        <v>7.8653604655787822E-3</v>
      </c>
      <c r="AE155" s="118"/>
      <c r="AF155" s="119"/>
      <c r="AG155" s="121">
        <f t="shared" si="333"/>
        <v>295.26101448088235</v>
      </c>
      <c r="AH155" s="119">
        <f>+AZ155/$BB$59</f>
        <v>4.5886750528839719E-3</v>
      </c>
      <c r="AI155" s="119"/>
      <c r="AJ155" s="176">
        <f t="shared" si="338"/>
        <v>1.354856851237638</v>
      </c>
      <c r="AK155" s="176">
        <f t="shared" si="339"/>
        <v>0</v>
      </c>
      <c r="AL155" s="120">
        <f t="shared" si="321"/>
        <v>0.27115700757529004</v>
      </c>
      <c r="AM155" s="120">
        <f t="shared" si="322"/>
        <v>0.38223337212420411</v>
      </c>
      <c r="AN155" s="120">
        <f t="shared" si="323"/>
        <v>0.34660962030050579</v>
      </c>
      <c r="AO155" s="120">
        <f t="shared" si="327"/>
        <v>-1.5355227929577608E-2</v>
      </c>
      <c r="AP155" s="173">
        <f t="shared" si="343"/>
        <v>132.54526733673993</v>
      </c>
      <c r="AQ155" s="175">
        <f t="shared" si="344"/>
        <v>-1.5355227929577595E-2</v>
      </c>
      <c r="AR155" s="177">
        <f>+AC155/$AE$59</f>
        <v>3.5805266844044902E-3</v>
      </c>
      <c r="AS155" s="177">
        <f t="shared" si="340"/>
        <v>-5.4979803346965688E-5</v>
      </c>
      <c r="AT155" s="177"/>
      <c r="AU155" s="177"/>
      <c r="AV155" s="177"/>
      <c r="AW155" s="190"/>
      <c r="AX155" s="120"/>
      <c r="AY155" s="120"/>
      <c r="AZ155" s="118">
        <f>INDEX('Total Customers'!$E$7:$E$91,MATCH(Calculation!$C155,'Total Customers'!$D$7:$D$91,0))</f>
        <v>178849</v>
      </c>
      <c r="BA155" s="119">
        <f t="shared" si="302"/>
        <v>4.4200185319917158E-2</v>
      </c>
      <c r="BB155" s="118"/>
      <c r="BC155" s="121"/>
      <c r="BD155" s="118"/>
      <c r="BE155" s="119"/>
      <c r="BF155" s="119"/>
      <c r="BG155" s="173"/>
      <c r="BH155" s="173"/>
      <c r="BI155" s="173"/>
      <c r="BJ155" s="173"/>
      <c r="BK155" s="173"/>
      <c r="BL155" s="173"/>
      <c r="BM155" s="173"/>
      <c r="BN155" s="173"/>
      <c r="BO155" s="173"/>
      <c r="BP155" s="173"/>
      <c r="BQ155" s="118"/>
      <c r="BR155" s="118"/>
      <c r="BS155" s="118">
        <f>INDEX('Dist. Plant Gas Additions'!$E$7:$AE$91,MATCH($C155,'Dist. Plant Gas Additions'!$D$7:$D$91,0),MATCH(Calculation!$G155,'Dist. Plant Gas Additions'!$E$5:$AE$5,0))</f>
        <v>58721</v>
      </c>
      <c r="BT155" s="118">
        <f>INDEX('Gen. Plant Additions'!$E$7:$AE$91,MATCH($C155,'Gen. Plant Additions'!$D$7:$D$91,0),MATCH(Calculation!$G155,'Gen. Plant Additions'!$E$5:$AE$5,0))</f>
        <v>14220</v>
      </c>
      <c r="BU155" s="118"/>
      <c r="BV155" s="118"/>
      <c r="BW155" s="118"/>
      <c r="BX155" s="118"/>
      <c r="BY155" s="183"/>
      <c r="BZ155" s="183"/>
      <c r="CA155" s="178"/>
      <c r="CB155" s="184"/>
      <c r="CC155" s="185"/>
      <c r="CD155" s="185"/>
      <c r="CE155" s="118"/>
      <c r="CF155" s="118"/>
      <c r="CG155" s="118"/>
      <c r="CH155" s="118"/>
      <c r="CI155" s="121">
        <v>2021</v>
      </c>
      <c r="CJ155" s="118"/>
      <c r="CK155" s="118"/>
      <c r="CL155" s="118"/>
      <c r="CM155" s="183"/>
      <c r="CN155" s="118">
        <f t="shared" si="303"/>
        <v>72941</v>
      </c>
      <c r="CO155" s="118">
        <f t="shared" si="304"/>
        <v>78.177107262945896</v>
      </c>
      <c r="CP155" s="186">
        <f>+(51-23)/(51-23*0.75)</f>
        <v>0.82962962962962961</v>
      </c>
      <c r="CQ155" s="118">
        <f>CQ132*CP155+CO133*CP154+CO134*CP153+CO135*CP152+CO136*CP151+CO137*CP150+CO138*CP149+CO139*CP148+CO140*CP147+CO141*CP146+CO142*CP145+CO143*CP144+CO144*CP143+CO145*CP142+CO146*CP141+CO137*CP140+CO148*CP139+CO149*CP138+CO150*CP137+CO151*CP136+CO152*CP135+CO153*CP134+CO155+CO154*CP133</f>
        <v>955.05270720709757</v>
      </c>
      <c r="CR155" s="119"/>
      <c r="CS155" s="118"/>
      <c r="CT155" s="177">
        <f t="shared" si="306"/>
        <v>2.025046658028902E-2</v>
      </c>
      <c r="CU155" s="177">
        <f t="shared" si="314"/>
        <v>1.2720080661766936E-2</v>
      </c>
      <c r="CV155" s="119">
        <f>VLOOKUP($H155,RoR!$E:$F,2,FALSE)</f>
        <v>2.7033333333333336E-2</v>
      </c>
      <c r="CW155" s="177"/>
      <c r="CX155" s="177"/>
      <c r="CY155" s="177">
        <f t="shared" si="315"/>
        <v>1.8181860946766687E-2</v>
      </c>
      <c r="CZ155" s="177">
        <f t="shared" si="316"/>
        <v>7.433422950153494E-2</v>
      </c>
      <c r="DA155" s="187">
        <f t="shared" si="307"/>
        <v>0.90540624999999997</v>
      </c>
      <c r="DB155" s="188">
        <f t="shared" si="308"/>
        <v>1.8969932656739068</v>
      </c>
      <c r="DC155" s="188">
        <f t="shared" si="309"/>
        <v>5.0215782983970621E-2</v>
      </c>
      <c r="DD155" s="188">
        <f t="shared" si="310"/>
        <v>0.655952481704143</v>
      </c>
      <c r="DE155" s="188">
        <f t="shared" si="311"/>
        <v>6.2485378865697057E-2</v>
      </c>
      <c r="DF155" s="189">
        <f>DF154</f>
        <v>0.25224999999999997</v>
      </c>
      <c r="DG155" s="189">
        <v>0.375</v>
      </c>
      <c r="DH155" s="190">
        <f t="shared" si="313"/>
        <v>20.450800691755568</v>
      </c>
      <c r="DI155" s="190"/>
      <c r="DJ155" s="177">
        <f t="shared" ref="DJ155" si="371">LN(DH155/DH154)</f>
        <v>-5.8380530159265143E-2</v>
      </c>
      <c r="DK155" s="189">
        <f>VLOOKUP($H155,RoR!$E:$F,2,FALSE)</f>
        <v>2.7033333333333336E-2</v>
      </c>
      <c r="DL155" s="191">
        <f>HLOOKUP($H155,'GDP-PI'!$D$8:$CR$11,3,FALSE)</f>
        <v>4.2834637353352578E-2</v>
      </c>
      <c r="DM155" s="189">
        <f>VLOOKUP(H155,'HW Dx Data'!$E:$F,2,FALSE)</f>
        <v>933.02249921662576</v>
      </c>
      <c r="DN155" s="183">
        <f>VLOOKUP(H155,'ECI - Input Price'!$G$17:$H$37,2,FALSE)</f>
        <v>145.47500000000002</v>
      </c>
      <c r="DO155" s="177">
        <f t="shared" ref="DO155" si="372">LN(DN155/DN154)</f>
        <v>3.5152696992481205E-2</v>
      </c>
      <c r="DP155" s="183">
        <f>HLOOKUP(H155,'GDP-PI'!$8:$9,2,FALSE)</f>
        <v>118.49</v>
      </c>
      <c r="DQ155" s="177">
        <f t="shared" ref="DQ155" si="373">LN(DP155/DP154)</f>
        <v>4.194261824609434E-2</v>
      </c>
      <c r="DW155" s="192"/>
      <c r="DX155" s="192"/>
      <c r="DY155" s="192"/>
      <c r="DZ155" s="192"/>
      <c r="EA155" s="192"/>
      <c r="EB155" s="192"/>
      <c r="EC155" s="192"/>
      <c r="ED155" s="192"/>
      <c r="EE155" s="192"/>
    </row>
    <row r="156" spans="1:135" s="167" customFormat="1" ht="21" x14ac:dyDescent="0.35">
      <c r="A156" s="167" t="s">
        <v>37</v>
      </c>
      <c r="B156" s="168" t="s">
        <v>37</v>
      </c>
      <c r="C156" s="168">
        <v>4058793</v>
      </c>
      <c r="D156" s="168" t="s">
        <v>135</v>
      </c>
      <c r="E156" s="168"/>
      <c r="F156" s="168"/>
      <c r="G156" s="168" t="s">
        <v>4</v>
      </c>
      <c r="H156" s="169">
        <v>1998</v>
      </c>
      <c r="I156" s="170"/>
      <c r="J156" s="166"/>
      <c r="K156" s="166"/>
      <c r="L156" s="166"/>
      <c r="M156" s="166"/>
      <c r="N156" s="196"/>
      <c r="O156" s="166"/>
      <c r="P156" s="172"/>
      <c r="Q156" s="172"/>
      <c r="R156" s="172"/>
      <c r="S156" s="166"/>
      <c r="T156" s="172"/>
      <c r="U156" s="172"/>
      <c r="V156" s="166"/>
      <c r="W156" s="170"/>
      <c r="X156" s="174">
        <v>15.486856498899712</v>
      </c>
      <c r="Y156" s="175"/>
      <c r="Z156" s="166"/>
      <c r="AA156" s="175"/>
      <c r="AB156" s="175"/>
      <c r="AC156" s="170">
        <f t="shared" si="287"/>
        <v>0</v>
      </c>
      <c r="AD156" s="170"/>
      <c r="AE156" s="170"/>
      <c r="AF156" s="119"/>
      <c r="AG156" s="174"/>
      <c r="AH156" s="175"/>
      <c r="AI156" s="175"/>
      <c r="AJ156" s="174"/>
      <c r="AK156" s="174"/>
      <c r="AL156" s="120"/>
      <c r="AM156" s="120"/>
      <c r="AN156" s="120"/>
      <c r="AO156" s="120"/>
      <c r="AP156" s="120"/>
      <c r="AQ156" s="175">
        <f>AVERAGE(AQ165:AQ179)</f>
        <v>-6.1222758946496035E-3</v>
      </c>
      <c r="AR156" s="120"/>
      <c r="AS156" s="120"/>
      <c r="AT156" s="120"/>
      <c r="AU156" s="120"/>
      <c r="AV156" s="120"/>
      <c r="AW156" s="120"/>
      <c r="AX156" s="120"/>
      <c r="AY156" s="120"/>
      <c r="AZ156" s="118">
        <f>IFERROR(INDEX('Total Customers'!$F$7:$AB$91,MATCH($C156,'Total Customers'!$D$7:$D$91,0),MATCH($G156,'Total Customers'!$F$5:$AB$5,0)),"NA")</f>
        <v>4192</v>
      </c>
      <c r="BA156" s="119"/>
      <c r="BB156" s="119"/>
      <c r="BC156" s="121"/>
      <c r="BD156" s="119"/>
      <c r="BE156" s="119"/>
      <c r="BF156" s="119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18">
        <f>INDEX('Gross Dx Plant'!$E$7:$AD$91,MATCH($C156,'Gross Dx Plant'!$D$7:$D$91,0),MATCH(Calculation!$G156,'Gross Dx Plant'!$E$5:$AD$5,0))</f>
        <v>3722</v>
      </c>
      <c r="BR156" s="118">
        <f>INDEX('Gross Gen Plant'!$E$7:$AD$91,MATCH($C156,'Gross Gen Plant'!$D$7:$D$91,0),MATCH(Calculation!$G156,'Gross Gen Plant'!$E$5:$AD$5,0))</f>
        <v>803</v>
      </c>
      <c r="BS156" s="118">
        <f>INDEX('Dist. Plant Gas Additions'!$F$7:$AE$91,MATCH($C156,'Dist. Plant Gas Additions'!$D$7:$D$91,0),MATCH(Calculation!$G156,'Dist. Plant Gas Additions'!$F$5:$AE$5,0))</f>
        <v>440</v>
      </c>
      <c r="BT156" s="118">
        <f>INDEX('Gen. Plant Additions'!$F$7:$AE$91,MATCH($C156,'Gen. Plant Additions'!$D$7:$D$91,0),MATCH(Calculation!$G156,'Gen. Plant Additions'!$F$5:$AE$5,0))</f>
        <v>83</v>
      </c>
      <c r="BU156" s="118" t="e">
        <f>INDEX('Dist Plant Depreciation'!$E$7:$AA$94,MATCH($C156,'Dist Plant Depreciation'!$D$7:$D$94,0),MATCH(#REF!,'Dist Plant Depreciation'!$E$5:$AA$5,0))</f>
        <v>#REF!</v>
      </c>
      <c r="BV156" s="118" t="e">
        <f>INDEX('Gen. Plant Depreciation'!$E$7:$AA$94,MATCH($C156,'Gen. Plant Depreciation'!$D$7:$D$94,0),MATCH(#REF!,'Gen. Plant Depreciation'!$E$5:$AA$5,0))</f>
        <v>#REF!</v>
      </c>
      <c r="BW156" s="118">
        <f>INDEX('Dist Plant Depreciation'!$E$7:$AD$94,MATCH($C156,'Dist Plant Depreciation'!$D$7:$D$94,0),MATCH(Calculation!$G156,'Dist Plant Depreciation'!$E$5:$AD$5,0))</f>
        <v>1227</v>
      </c>
      <c r="BX156" s="118">
        <f>INDEX('Gen. Plant Depreciation'!$E$7:$AD$94,MATCH($C156,'Gen. Plant Depreciation'!$D$7:$D$94,0),MATCH(Calculation!$G156,'Gen. Plant Depreciation'!$E$5:$AD$5,0))</f>
        <v>174</v>
      </c>
      <c r="BY156" s="118"/>
      <c r="BZ156" s="118"/>
      <c r="CA156" s="118"/>
      <c r="CB156" s="118"/>
      <c r="CC156" s="118"/>
      <c r="CD156" s="118"/>
      <c r="CE156" s="118">
        <f>INDEX('Gross Dx Plant'!$E$7:$AD$91,MATCH($C156,'Gross Dx Plant'!$D$7:$D$91,0),MATCH(Calculation!$G156,'Gross Dx Plant'!$E$5:$AD$5,0))</f>
        <v>3722</v>
      </c>
      <c r="CF156" s="118">
        <f>INDEX('Gross Gen Plant'!$E$7:$AD$91,MATCH($C156,'Gross Gen Plant'!$D$7:$D$91,0),MATCH(Calculation!$G156,'Gross Gen Plant'!$E$5:$AD$5,0))</f>
        <v>803</v>
      </c>
      <c r="CG156" s="118">
        <f t="shared" si="215"/>
        <v>3124</v>
      </c>
      <c r="CH156" s="118"/>
      <c r="CI156" s="121">
        <v>1998</v>
      </c>
      <c r="CJ156" s="118">
        <f>BQ156+BR156</f>
        <v>4525</v>
      </c>
      <c r="CK156" s="118">
        <f>1227+174</f>
        <v>1401</v>
      </c>
      <c r="CL156" s="118">
        <f>+CJ156-CK156</f>
        <v>3124</v>
      </c>
      <c r="CM156" s="118">
        <f>CL156/$CD$36</f>
        <v>15.486856498899712</v>
      </c>
      <c r="CN156" s="183"/>
      <c r="CO156" s="183"/>
      <c r="CP156" s="186">
        <v>1</v>
      </c>
      <c r="CQ156" s="118">
        <f>+CM156</f>
        <v>15.486856498899712</v>
      </c>
      <c r="CR156" s="119"/>
      <c r="CS156" s="119"/>
      <c r="CT156" s="177"/>
      <c r="CU156" s="177"/>
      <c r="CV156" s="119" t="e">
        <f>VLOOKUP($H156,RoR!$E:$F,2,FALSE)</f>
        <v>#N/A</v>
      </c>
      <c r="CW156" s="177">
        <v>1.1028127770464469E-2</v>
      </c>
      <c r="CX156" s="177"/>
      <c r="CY156" s="177"/>
      <c r="CZ156" s="177"/>
      <c r="DA156" s="187"/>
      <c r="DB156" s="190" t="e">
        <f>2/(DK156*39)</f>
        <v>#N/A</v>
      </c>
      <c r="DC156" s="188" t="e">
        <f>+(DK156*40-(1+DK156))/(DK156*40)</f>
        <v>#N/A</v>
      </c>
      <c r="DD156" s="188" t="e">
        <f>+(1-(1/(1+DK156)^40))</f>
        <v>#N/A</v>
      </c>
      <c r="DE156" s="188" t="e">
        <f>+DD156*DC156*DB156</f>
        <v>#N/A</v>
      </c>
      <c r="DF156" s="189">
        <f>INDEX('State Tax Lookup'!$D$7:$Z$91,MATCH(Calculation!$C156,'State Tax Lookup'!$B$7:$B$91,0),MATCH($H156,'State Tax Lookup'!$D$6:$Z$6,0))</f>
        <v>0.40200000000000002</v>
      </c>
      <c r="DG156" s="189">
        <v>0.375</v>
      </c>
      <c r="DH156" s="183"/>
      <c r="DI156" s="183"/>
      <c r="DJ156" s="177"/>
      <c r="DK156" s="189" t="e">
        <f>VLOOKUP($H156,RoR!$E:$F,2,FALSE)</f>
        <v>#N/A</v>
      </c>
      <c r="DL156" s="191">
        <f>HLOOKUP($H156,'GDP-PI'!$D$8:$CQ$11,3,FALSE)</f>
        <v>1.1028127770464469E-2</v>
      </c>
      <c r="DM156" s="189">
        <f>VLOOKUP(H156,'HW Dx Data'!$E:$F,2,FALSE)</f>
        <v>329.24564746449528</v>
      </c>
      <c r="DN156" s="183" t="e">
        <f>VLOOKUP(H156,'ECI - Input Price'!$G$17:$H$37,2,FALSE)</f>
        <v>#N/A</v>
      </c>
      <c r="DO156" s="177"/>
      <c r="DP156" s="183">
        <f>HLOOKUP(H156,'GDP-PI'!$8:$9,2,FALSE)</f>
        <v>75.266999999999996</v>
      </c>
      <c r="DW156" s="192"/>
      <c r="DX156" s="192"/>
      <c r="DY156" s="192"/>
      <c r="DZ156" s="192"/>
      <c r="EA156" s="192"/>
      <c r="EB156" s="192"/>
      <c r="EC156" s="192"/>
      <c r="ED156" s="192"/>
      <c r="EE156" s="192"/>
    </row>
    <row r="157" spans="1:135" s="167" customFormat="1" ht="21" x14ac:dyDescent="0.35">
      <c r="A157" s="167" t="s">
        <v>37</v>
      </c>
      <c r="B157" s="168" t="s">
        <v>37</v>
      </c>
      <c r="C157" s="168">
        <v>4058793</v>
      </c>
      <c r="D157" s="168" t="s">
        <v>135</v>
      </c>
      <c r="E157" s="168"/>
      <c r="F157" s="168"/>
      <c r="G157" s="168" t="s">
        <v>5</v>
      </c>
      <c r="H157" s="169">
        <v>1999</v>
      </c>
      <c r="I157" s="170"/>
      <c r="J157" s="166"/>
      <c r="K157" s="166"/>
      <c r="L157" s="166"/>
      <c r="M157" s="166"/>
      <c r="N157" s="173"/>
      <c r="O157" s="170"/>
      <c r="P157" s="177"/>
      <c r="Q157" s="177"/>
      <c r="R157" s="177"/>
      <c r="S157" s="195"/>
      <c r="T157" s="177"/>
      <c r="U157" s="177"/>
      <c r="V157" s="166">
        <f t="shared" ref="V157:V179" si="374">+CQ156*DH157</f>
        <v>0</v>
      </c>
      <c r="W157" s="170"/>
      <c r="X157" s="174">
        <v>17.10965094032149</v>
      </c>
      <c r="Y157" s="175">
        <v>9.965099039546424E-2</v>
      </c>
      <c r="Z157" s="175"/>
      <c r="AA157" s="175"/>
      <c r="AB157" s="175"/>
      <c r="AC157" s="170">
        <f t="shared" si="287"/>
        <v>0</v>
      </c>
      <c r="AD157" s="175"/>
      <c r="AE157" s="170"/>
      <c r="AF157" s="119"/>
      <c r="AG157" s="174"/>
      <c r="AH157" s="175"/>
      <c r="AI157" s="175"/>
      <c r="AJ157" s="174"/>
      <c r="AK157" s="174"/>
      <c r="AL157" s="120"/>
      <c r="AM157" s="120"/>
      <c r="AN157" s="120"/>
      <c r="AO157" s="120"/>
      <c r="AP157" s="120"/>
      <c r="AQ157" s="175"/>
      <c r="AR157" s="120"/>
      <c r="AS157" s="120"/>
      <c r="AT157" s="120"/>
      <c r="AU157" s="120"/>
      <c r="AV157" s="120"/>
      <c r="AW157" s="120"/>
      <c r="AX157" s="120"/>
      <c r="AY157" s="120"/>
      <c r="AZ157" s="118">
        <f>IFERROR(INDEX('Total Customers'!$F$7:$AB$91,MATCH($C157,'Total Customers'!$D$7:$D$91,0),MATCH($G157,'Total Customers'!$F$5:$AB$5,0)),"NA")</f>
        <v>4194</v>
      </c>
      <c r="BA157" s="119">
        <f t="shared" ref="BA157:BA179" si="375">LN(AZ157/AZ156)</f>
        <v>4.7698546098713239E-4</v>
      </c>
      <c r="BB157" s="119"/>
      <c r="BC157" s="121"/>
      <c r="BD157" s="119"/>
      <c r="BE157" s="119"/>
      <c r="BF157" s="119"/>
      <c r="BG157" s="173"/>
      <c r="BH157" s="173"/>
      <c r="BI157" s="173"/>
      <c r="BJ157" s="173"/>
      <c r="BK157" s="173"/>
      <c r="BL157" s="173"/>
      <c r="BM157" s="173"/>
      <c r="BN157" s="173"/>
      <c r="BO157" s="173"/>
      <c r="BP157" s="173"/>
      <c r="BQ157" s="118"/>
      <c r="BR157" s="118"/>
      <c r="BS157" s="118">
        <f>INDEX('Dist. Plant Gas Additions'!$F$7:$AE$91,MATCH($C157,'Dist. Plant Gas Additions'!$D$7:$D$91,0),MATCH(Calculation!$G157,'Dist. Plant Gas Additions'!$F$5:$AE$5,0))</f>
        <v>483</v>
      </c>
      <c r="BT157" s="118">
        <f>INDEX('Gen. Plant Additions'!$F$7:$AE$91,MATCH($C157,'Gen. Plant Additions'!$D$7:$D$91,0),MATCH(Calculation!$G157,'Gen. Plant Additions'!$F$5:$AE$5,0))</f>
        <v>87</v>
      </c>
      <c r="BU157" s="118"/>
      <c r="BV157" s="118"/>
      <c r="BW157" s="118">
        <f>INDEX('Dist Plant Depreciation'!$E$7:$AD$94,MATCH($C157,'Dist Plant Depreciation'!$D$7:$D$94,0),MATCH(Calculation!$G157,'Dist Plant Depreciation'!$E$5:$AD$5,0))</f>
        <v>1315</v>
      </c>
      <c r="BX157" s="118">
        <f>INDEX('Gen. Plant Depreciation'!$E$7:$AD$94,MATCH($C157,'Gen. Plant Depreciation'!$D$7:$D$94,0),MATCH(Calculation!$G157,'Gen. Plant Depreciation'!$E$5:$AD$5,0))</f>
        <v>191</v>
      </c>
      <c r="BY157" s="118"/>
      <c r="BZ157" s="118"/>
      <c r="CA157" s="118"/>
      <c r="CB157" s="118"/>
      <c r="CC157" s="118"/>
      <c r="CD157" s="118"/>
      <c r="CE157" s="118">
        <f>INDEX('Gross Dx Plant'!$E$7:$AD$91,MATCH($C157,'Gross Dx Plant'!$D$7:$D$91,0),MATCH(Calculation!$G157,'Gross Dx Plant'!$E$5:$AD$5,0))</f>
        <v>4141</v>
      </c>
      <c r="CF157" s="118">
        <f>INDEX('Gross Gen Plant'!$E$7:$AD$91,MATCH($C157,'Gross Gen Plant'!$D$7:$D$91,0),MATCH(Calculation!$G157,'Gross Gen Plant'!$E$5:$AD$5,0))</f>
        <v>819</v>
      </c>
      <c r="CG157" s="118">
        <f t="shared" si="215"/>
        <v>3454</v>
      </c>
      <c r="CH157" s="118"/>
      <c r="CI157" s="121">
        <v>1999</v>
      </c>
      <c r="CJ157" s="118"/>
      <c r="CK157" s="118"/>
      <c r="CL157" s="118"/>
      <c r="CM157" s="183"/>
      <c r="CN157" s="118">
        <f t="shared" ref="CN157:CN179" si="376">+BT157+BS157</f>
        <v>570</v>
      </c>
      <c r="CO157" s="118">
        <f t="shared" ref="CO157:CO179" si="377">+CN157/$DM157</f>
        <v>1.6998434787297378</v>
      </c>
      <c r="CP157" s="186">
        <v>0.99502487562189057</v>
      </c>
      <c r="CQ157" s="118">
        <f>+CQ156*CP157+CO157</f>
        <v>17.10965094032149</v>
      </c>
      <c r="CR157" s="119">
        <f t="shared" ref="CR157:CR178" si="378">LN(CQ157/CQ156)</f>
        <v>9.965099039546424E-2</v>
      </c>
      <c r="CS157" s="119"/>
      <c r="CT157" s="177">
        <f t="shared" ref="CT157:CT179" si="379">+(CQ156-CQ157+CO157)/CQ156</f>
        <v>4.9751243781095168E-3</v>
      </c>
      <c r="CU157" s="177"/>
      <c r="CV157" s="119">
        <f>VLOOKUP($H157,RoR!$E:$F,2,FALSE)</f>
        <v>7.0416666666666669E-2</v>
      </c>
      <c r="CW157" s="177">
        <v>1.4335631817396832E-2</v>
      </c>
      <c r="CX157" s="177">
        <f>+CV157-CW157</f>
        <v>5.6081034849269837E-2</v>
      </c>
      <c r="CY157" s="177"/>
      <c r="CZ157" s="177"/>
      <c r="DA157" s="187">
        <f t="shared" ref="DA157:DA179" si="380">1-DF157*DG157</f>
        <v>0.84925000000000006</v>
      </c>
      <c r="DB157" s="188">
        <f t="shared" ref="DB157:DB179" si="381">2/(DK157*39)</f>
        <v>0.72826581702321336</v>
      </c>
      <c r="DC157" s="188">
        <f t="shared" ref="DC157:DC179" si="382">+(DK157*40-(1+DK157))/(DK157*40)</f>
        <v>0.61997041420118348</v>
      </c>
      <c r="DD157" s="188">
        <f t="shared" ref="DD157:DD179" si="383">+(1-(1/(1+DK157)^40))</f>
        <v>0.93425155319585029</v>
      </c>
      <c r="DE157" s="188">
        <f t="shared" ref="DE157:DE179" si="384">+DD157*DC157*DB157</f>
        <v>0.42181762214141483</v>
      </c>
      <c r="DF157" s="189">
        <f>INDEX('State Tax Lookup'!$D$7:$Z$91,MATCH(Calculation!$C157,'State Tax Lookup'!$B$7:$B$91,0),MATCH($H157,'State Tax Lookup'!$D$6:$Z$6,0))</f>
        <v>0.40200000000000002</v>
      </c>
      <c r="DG157" s="189">
        <v>0.375</v>
      </c>
      <c r="DH157" s="190"/>
      <c r="DI157" s="190"/>
      <c r="DJ157" s="177"/>
      <c r="DK157" s="189">
        <f>VLOOKUP($H157,RoR!$E:$F,2,FALSE)</f>
        <v>7.0416666666666669E-2</v>
      </c>
      <c r="DL157" s="191">
        <f>HLOOKUP($H157,'GDP-PI'!$D$8:$CQ$11,3,FALSE)</f>
        <v>1.4335631817396832E-2</v>
      </c>
      <c r="DM157" s="189">
        <f>VLOOKUP(H157,'HW Dx Data'!$E:$F,2,FALSE)</f>
        <v>335.32499146683239</v>
      </c>
      <c r="DN157" s="183" t="e">
        <f>VLOOKUP(H157,'ECI - Input Price'!$G$17:$H$37,2,FALSE)</f>
        <v>#N/A</v>
      </c>
      <c r="DO157" s="177"/>
      <c r="DP157" s="183">
        <f>HLOOKUP(H157,'GDP-PI'!$8:$9,2,FALSE)</f>
        <v>76.346000000000004</v>
      </c>
      <c r="DW157" s="192"/>
      <c r="DX157" s="192"/>
      <c r="DY157" s="192"/>
      <c r="DZ157" s="192"/>
      <c r="EA157" s="192"/>
      <c r="EB157" s="192"/>
      <c r="EC157" s="192"/>
      <c r="ED157" s="192"/>
      <c r="EE157" s="192"/>
    </row>
    <row r="158" spans="1:135" s="167" customFormat="1" ht="21" x14ac:dyDescent="0.35">
      <c r="A158" s="167" t="s">
        <v>37</v>
      </c>
      <c r="B158" s="168" t="s">
        <v>37</v>
      </c>
      <c r="C158" s="168">
        <v>4058793</v>
      </c>
      <c r="D158" s="168" t="s">
        <v>135</v>
      </c>
      <c r="E158" s="168"/>
      <c r="F158" s="168"/>
      <c r="G158" s="168" t="s">
        <v>6</v>
      </c>
      <c r="H158" s="169">
        <v>2000</v>
      </c>
      <c r="I158" s="170"/>
      <c r="J158" s="166"/>
      <c r="K158" s="166"/>
      <c r="L158" s="166"/>
      <c r="M158" s="166"/>
      <c r="N158" s="196"/>
      <c r="O158" s="166"/>
      <c r="P158" s="166"/>
      <c r="Q158" s="166"/>
      <c r="R158" s="166"/>
      <c r="S158" s="166"/>
      <c r="T158" s="166"/>
      <c r="U158" s="166"/>
      <c r="V158" s="166">
        <f t="shared" si="374"/>
        <v>0</v>
      </c>
      <c r="W158" s="170"/>
      <c r="X158" s="174">
        <v>18.554128573946432</v>
      </c>
      <c r="Y158" s="175">
        <v>8.1049642143176781E-2</v>
      </c>
      <c r="Z158" s="175"/>
      <c r="AA158" s="175"/>
      <c r="AB158" s="175"/>
      <c r="AC158" s="170">
        <f t="shared" si="287"/>
        <v>0</v>
      </c>
      <c r="AD158" s="175"/>
      <c r="AE158" s="170"/>
      <c r="AF158" s="170"/>
      <c r="AG158" s="174"/>
      <c r="AH158" s="175"/>
      <c r="AI158" s="175"/>
      <c r="AJ158" s="174"/>
      <c r="AK158" s="174"/>
      <c r="AL158" s="120"/>
      <c r="AM158" s="120"/>
      <c r="AN158" s="120"/>
      <c r="AO158" s="120"/>
      <c r="AP158" s="120"/>
      <c r="AQ158" s="175"/>
      <c r="AR158" s="120"/>
      <c r="AS158" s="120"/>
      <c r="AT158" s="120"/>
      <c r="AU158" s="120"/>
      <c r="AV158" s="120"/>
      <c r="AW158" s="120"/>
      <c r="AX158" s="120"/>
      <c r="AY158" s="120"/>
      <c r="AZ158" s="118">
        <f>IFERROR(INDEX('Total Customers'!$F$7:$AB$91,MATCH($C158,'Total Customers'!$D$7:$D$91,0),MATCH($G158,'Total Customers'!$F$5:$AB$5,0)),"NA")</f>
        <v>4288</v>
      </c>
      <c r="BA158" s="119">
        <f t="shared" si="375"/>
        <v>2.2165491288772619E-2</v>
      </c>
      <c r="BB158" s="119"/>
      <c r="BC158" s="121"/>
      <c r="BD158" s="119"/>
      <c r="BE158" s="119"/>
      <c r="BF158" s="119"/>
      <c r="BG158" s="173"/>
      <c r="BH158" s="173"/>
      <c r="BI158" s="173"/>
      <c r="BJ158" s="173"/>
      <c r="BK158" s="173"/>
      <c r="BL158" s="173"/>
      <c r="BM158" s="173"/>
      <c r="BN158" s="173"/>
      <c r="BO158" s="173"/>
      <c r="BP158" s="173"/>
      <c r="BQ158" s="118"/>
      <c r="BR158" s="118"/>
      <c r="BS158" s="118">
        <f>INDEX('Dist. Plant Gas Additions'!$F$7:$AE$91,MATCH($C158,'Dist. Plant Gas Additions'!$D$7:$D$91,0),MATCH(Calculation!$G158,'Dist. Plant Gas Additions'!$F$5:$AE$5,0))</f>
        <v>409</v>
      </c>
      <c r="BT158" s="118">
        <f>INDEX('Gen. Plant Additions'!$F$7:$AE$91,MATCH($C158,'Gen. Plant Additions'!$D$7:$D$91,0),MATCH(Calculation!$G158,'Gen. Plant Additions'!$F$5:$AE$5,0))</f>
        <v>122</v>
      </c>
      <c r="BU158" s="118"/>
      <c r="BV158" s="118"/>
      <c r="BW158" s="118" t="str">
        <f>INDEX('Dist Plant Depreciation'!$E$7:$AD$94,MATCH($C158,'Dist Plant Depreciation'!$D$7:$D$94,0),MATCH(Calculation!$G158,'Dist Plant Depreciation'!$E$5:$AD$5,0))</f>
        <v>NA</v>
      </c>
      <c r="BX158" s="118" t="str">
        <f>INDEX('Gen. Plant Depreciation'!$E$7:$AD$94,MATCH($C158,'Gen. Plant Depreciation'!$D$7:$D$94,0),MATCH(Calculation!$G158,'Gen. Plant Depreciation'!$E$5:$AD$5,0))</f>
        <v>NA</v>
      </c>
      <c r="BY158" s="118"/>
      <c r="BZ158" s="118"/>
      <c r="CA158" s="118"/>
      <c r="CB158" s="118"/>
      <c r="CC158" s="118"/>
      <c r="CD158" s="118"/>
      <c r="CE158" s="118">
        <f>INDEX('Gross Dx Plant'!$E$7:$AD$91,MATCH($C158,'Gross Dx Plant'!$D$7:$D$91,0),MATCH(Calculation!$G158,'Gross Dx Plant'!$E$5:$AD$5,0))</f>
        <v>4437</v>
      </c>
      <c r="CF158" s="118">
        <f>INDEX('Gross Gen Plant'!$E$7:$AD$91,MATCH($C158,'Gross Gen Plant'!$D$7:$D$91,0),MATCH(Calculation!$G158,'Gross Gen Plant'!$E$5:$AD$5,0))</f>
        <v>925</v>
      </c>
      <c r="CG158" s="118" t="str">
        <f t="shared" si="215"/>
        <v>NA</v>
      </c>
      <c r="CH158" s="118"/>
      <c r="CI158" s="121">
        <v>2000</v>
      </c>
      <c r="CJ158" s="118"/>
      <c r="CK158" s="118"/>
      <c r="CL158" s="118"/>
      <c r="CM158" s="183"/>
      <c r="CN158" s="118">
        <f t="shared" si="376"/>
        <v>531</v>
      </c>
      <c r="CO158" s="118">
        <f t="shared" si="377"/>
        <v>1.5323184229752604</v>
      </c>
      <c r="CP158" s="186">
        <v>0.98989898989898994</v>
      </c>
      <c r="CQ158" s="118">
        <f>+CQ156*CP158+CO157*CP157+CO158</f>
        <v>18.554128573946432</v>
      </c>
      <c r="CR158" s="119">
        <f t="shared" si="378"/>
        <v>8.1049642143176781E-2</v>
      </c>
      <c r="CS158" s="119"/>
      <c r="CT158" s="177">
        <f t="shared" si="379"/>
        <v>5.1339907317050184E-3</v>
      </c>
      <c r="CU158" s="177"/>
      <c r="CV158" s="119">
        <f>VLOOKUP($H158,RoR!$E:$F,2,FALSE)</f>
        <v>7.6225000000000001E-2</v>
      </c>
      <c r="CW158" s="177">
        <v>2.2568307442433211E-2</v>
      </c>
      <c r="CX158" s="177">
        <f t="shared" ref="CX158:CX178" si="385">+CV158-CW158</f>
        <v>5.365669255756679E-2</v>
      </c>
      <c r="CY158" s="177"/>
      <c r="CZ158" s="177"/>
      <c r="DA158" s="187">
        <f t="shared" si="380"/>
        <v>0.84925000000000006</v>
      </c>
      <c r="DB158" s="188">
        <f t="shared" si="381"/>
        <v>0.67277207323124022</v>
      </c>
      <c r="DC158" s="188">
        <f t="shared" si="382"/>
        <v>0.6470236142997704</v>
      </c>
      <c r="DD158" s="188">
        <f t="shared" si="383"/>
        <v>0.94704866037543145</v>
      </c>
      <c r="DE158" s="188">
        <f t="shared" si="384"/>
        <v>0.41224973107878493</v>
      </c>
      <c r="DF158" s="189">
        <f>INDEX('State Tax Lookup'!$D$7:$Z$91,MATCH(Calculation!$C158,'State Tax Lookup'!$B$7:$B$91,0),MATCH($H158,'State Tax Lookup'!$D$6:$Z$6,0))</f>
        <v>0.40200000000000002</v>
      </c>
      <c r="DG158" s="189">
        <v>0.375</v>
      </c>
      <c r="DH158" s="190"/>
      <c r="DI158" s="190"/>
      <c r="DJ158" s="177"/>
      <c r="DK158" s="189">
        <f>VLOOKUP($H158,RoR!$E:$F,2,FALSE)</f>
        <v>7.6225000000000001E-2</v>
      </c>
      <c r="DL158" s="191">
        <f>HLOOKUP($H158,'GDP-PI'!$D$8:$CQ$11,3,FALSE)</f>
        <v>2.2568307442433211E-2</v>
      </c>
      <c r="DM158" s="189">
        <f>VLOOKUP(H158,'HW Dx Data'!$E:$F,2,FALSE)</f>
        <v>346.53371782150339</v>
      </c>
      <c r="DN158" s="183" t="e">
        <f>VLOOKUP(H158,'ECI - Input Price'!$G$17:$H$37,2,FALSE)</f>
        <v>#N/A</v>
      </c>
      <c r="DO158" s="177"/>
      <c r="DP158" s="183">
        <f>HLOOKUP(H158,'GDP-PI'!$8:$9,2,FALSE)</f>
        <v>78.069000000000003</v>
      </c>
      <c r="DW158" s="192"/>
      <c r="DX158" s="192"/>
      <c r="DY158" s="192"/>
      <c r="DZ158" s="192"/>
      <c r="EA158" s="192"/>
      <c r="EB158" s="192"/>
      <c r="EC158" s="192"/>
      <c r="ED158" s="192"/>
      <c r="EE158" s="192"/>
    </row>
    <row r="159" spans="1:135" s="167" customFormat="1" ht="21" x14ac:dyDescent="0.35">
      <c r="A159" s="167" t="s">
        <v>37</v>
      </c>
      <c r="B159" s="168" t="s">
        <v>37</v>
      </c>
      <c r="C159" s="168">
        <v>4058793</v>
      </c>
      <c r="D159" s="168" t="s">
        <v>135</v>
      </c>
      <c r="E159" s="168"/>
      <c r="F159" s="168"/>
      <c r="G159" s="168" t="s">
        <v>7</v>
      </c>
      <c r="H159" s="169">
        <v>2001</v>
      </c>
      <c r="I159" s="170"/>
      <c r="J159" s="166"/>
      <c r="K159" s="166"/>
      <c r="L159" s="166"/>
      <c r="M159" s="166"/>
      <c r="N159" s="196"/>
      <c r="O159" s="166"/>
      <c r="P159" s="166"/>
      <c r="Q159" s="166"/>
      <c r="R159" s="166"/>
      <c r="S159" s="166"/>
      <c r="T159" s="166"/>
      <c r="U159" s="166"/>
      <c r="V159" s="166">
        <f t="shared" si="374"/>
        <v>240.63393350630875</v>
      </c>
      <c r="W159" s="170"/>
      <c r="X159" s="174">
        <v>20.291300882453839</v>
      </c>
      <c r="Y159" s="175">
        <v>8.9499937322616532E-2</v>
      </c>
      <c r="Z159" s="175"/>
      <c r="AA159" s="175"/>
      <c r="AB159" s="175"/>
      <c r="AC159" s="170">
        <f t="shared" si="287"/>
        <v>240.63393350630875</v>
      </c>
      <c r="AD159" s="175"/>
      <c r="AE159" s="170"/>
      <c r="AF159" s="170"/>
      <c r="AG159" s="174"/>
      <c r="AH159" s="175"/>
      <c r="AI159" s="175"/>
      <c r="AJ159" s="174"/>
      <c r="AK159" s="174"/>
      <c r="AL159" s="120"/>
      <c r="AM159" s="120"/>
      <c r="AN159" s="120"/>
      <c r="AO159" s="120"/>
      <c r="AP159" s="120"/>
      <c r="AQ159" s="175"/>
      <c r="AR159" s="120"/>
      <c r="AS159" s="120"/>
      <c r="AT159" s="120"/>
      <c r="AU159" s="120"/>
      <c r="AV159" s="120"/>
      <c r="AW159" s="120"/>
      <c r="AX159" s="120"/>
      <c r="AY159" s="120"/>
      <c r="AZ159" s="118">
        <f>IFERROR(INDEX('Total Customers'!$F$7:$AB$91,MATCH($C159,'Total Customers'!$D$7:$D$91,0),MATCH($G159,'Total Customers'!$F$5:$AB$5,0)),"NA")</f>
        <v>4236</v>
      </c>
      <c r="BA159" s="119">
        <f t="shared" si="375"/>
        <v>-1.2200996029340832E-2</v>
      </c>
      <c r="BB159" s="119"/>
      <c r="BC159" s="121"/>
      <c r="BD159" s="119"/>
      <c r="BE159" s="119"/>
      <c r="BF159" s="119"/>
      <c r="BG159" s="173"/>
      <c r="BH159" s="173"/>
      <c r="BI159" s="173"/>
      <c r="BJ159" s="173"/>
      <c r="BK159" s="173"/>
      <c r="BL159" s="173"/>
      <c r="BM159" s="173"/>
      <c r="BN159" s="173"/>
      <c r="BO159" s="173"/>
      <c r="BP159" s="173"/>
      <c r="BQ159" s="118"/>
      <c r="BR159" s="118"/>
      <c r="BS159" s="118">
        <f>INDEX('Dist. Plant Gas Additions'!$F$7:$AE$91,MATCH($C159,'Dist. Plant Gas Additions'!$D$7:$D$91,0),MATCH(Calculation!$G159,'Dist. Plant Gas Additions'!$F$5:$AE$5,0))</f>
        <v>613</v>
      </c>
      <c r="BT159" s="118">
        <f>INDEX('Gen. Plant Additions'!$F$7:$AE$91,MATCH($C159,'Gen. Plant Additions'!$D$7:$D$91,0),MATCH(Calculation!$G159,'Gen. Plant Additions'!$F$5:$AE$5,0))</f>
        <v>33</v>
      </c>
      <c r="BU159" s="118"/>
      <c r="BV159" s="118"/>
      <c r="BW159" s="118" t="str">
        <f>INDEX('Dist Plant Depreciation'!$E$7:$AD$94,MATCH($C159,'Dist Plant Depreciation'!$D$7:$D$94,0),MATCH(Calculation!$G159,'Dist Plant Depreciation'!$E$5:$AD$5,0))</f>
        <v>NA</v>
      </c>
      <c r="BX159" s="118" t="str">
        <f>INDEX('Gen. Plant Depreciation'!$E$7:$AD$94,MATCH($C159,'Gen. Plant Depreciation'!$D$7:$D$94,0),MATCH(Calculation!$G159,'Gen. Plant Depreciation'!$E$5:$AD$5,0))</f>
        <v>NA</v>
      </c>
      <c r="BY159" s="118"/>
      <c r="BZ159" s="118"/>
      <c r="CA159" s="118"/>
      <c r="CB159" s="118"/>
      <c r="CC159" s="118"/>
      <c r="CD159" s="118"/>
      <c r="CE159" s="118">
        <f>INDEX('Gross Dx Plant'!$E$7:$AD$91,MATCH($C159,'Gross Dx Plant'!$D$7:$D$91,0),MATCH(Calculation!$G159,'Gross Dx Plant'!$E$5:$AD$5,0))</f>
        <v>4913</v>
      </c>
      <c r="CF159" s="118">
        <f>INDEX('Gross Gen Plant'!$E$7:$AD$91,MATCH($C159,'Gross Gen Plant'!$D$7:$D$91,0),MATCH(Calculation!$G159,'Gross Gen Plant'!$E$5:$AD$5,0))</f>
        <v>957</v>
      </c>
      <c r="CG159" s="118" t="str">
        <f t="shared" si="215"/>
        <v>NA</v>
      </c>
      <c r="CH159" s="118"/>
      <c r="CI159" s="121">
        <v>2001</v>
      </c>
      <c r="CJ159" s="118"/>
      <c r="CK159" s="118"/>
      <c r="CL159" s="118"/>
      <c r="CM159" s="183"/>
      <c r="CN159" s="118">
        <f t="shared" si="376"/>
        <v>646</v>
      </c>
      <c r="CO159" s="118">
        <f t="shared" si="377"/>
        <v>1.8277119487502174</v>
      </c>
      <c r="CP159" s="186">
        <v>0.98461538461538467</v>
      </c>
      <c r="CQ159" s="118">
        <f>+CQ156*CP159+CO157*CP158+CO158*CP156+CO159</f>
        <v>20.291300882453839</v>
      </c>
      <c r="CR159" s="119">
        <f t="shared" si="378"/>
        <v>8.9499937322616532E-2</v>
      </c>
      <c r="CS159" s="119"/>
      <c r="CT159" s="177">
        <f t="shared" si="379"/>
        <v>4.8797570784297091E-3</v>
      </c>
      <c r="CU159" s="177">
        <f>+(CT159+CT158+CT157)/3</f>
        <v>4.9962907294147478E-3</v>
      </c>
      <c r="CV159" s="119">
        <f>VLOOKUP($H159,RoR!$E:$F,2,FALSE)</f>
        <v>7.0824999999999999E-2</v>
      </c>
      <c r="CW159" s="177">
        <v>2.2454495382290052E-2</v>
      </c>
      <c r="CX159" s="177">
        <f t="shared" si="385"/>
        <v>4.8370504617709947E-2</v>
      </c>
      <c r="CY159" s="177">
        <f>+$CX$35-CU159</f>
        <v>2.5905650879118877E-2</v>
      </c>
      <c r="CZ159" s="177">
        <f>+((DM157/DM156-1)+(DM158/DM157-1)+(DM159/DM158-1))/3</f>
        <v>2.3947275901631187E-2</v>
      </c>
      <c r="DA159" s="187">
        <f t="shared" si="380"/>
        <v>0.84925000000000006</v>
      </c>
      <c r="DB159" s="188">
        <f t="shared" si="381"/>
        <v>0.72406708481540816</v>
      </c>
      <c r="DC159" s="188">
        <f t="shared" si="382"/>
        <v>0.62201729615248857</v>
      </c>
      <c r="DD159" s="188">
        <f t="shared" si="383"/>
        <v>0.9352469954311422</v>
      </c>
      <c r="DE159" s="188">
        <f t="shared" si="384"/>
        <v>0.42121864641655071</v>
      </c>
      <c r="DF159" s="189">
        <f>INDEX('State Tax Lookup'!$D$7:$Z$91,MATCH(Calculation!$C159,'State Tax Lookup'!$B$7:$B$91,0),MATCH($H159,'State Tax Lookup'!$D$6:$Z$6,0))</f>
        <v>0.40200000000000002</v>
      </c>
      <c r="DG159" s="189">
        <v>0.375</v>
      </c>
      <c r="DH159" s="190">
        <f t="shared" ref="DH159:DH179" si="386">+(DM159*CY159-CZ159)*DA159/(1-DF159)</f>
        <v>12.969293197860292</v>
      </c>
      <c r="DI159" s="190"/>
      <c r="DJ159" s="177"/>
      <c r="DK159" s="189">
        <f>VLOOKUP($H159,RoR!$E:$F,2,FALSE)</f>
        <v>7.0824999999999999E-2</v>
      </c>
      <c r="DL159" s="191">
        <f>HLOOKUP($H159,'GDP-PI'!$D$8:$CQ$11,3,FALSE)</f>
        <v>2.2454495382290052E-2</v>
      </c>
      <c r="DM159" s="189">
        <f>VLOOKUP(H159,'HW Dx Data'!$E:$F,2,FALSE)</f>
        <v>353.44738017483138</v>
      </c>
      <c r="DN159" s="183">
        <f>VLOOKUP(H159,'ECI - Input Price'!$G$17:$H$37,2,FALSE)</f>
        <v>86.2</v>
      </c>
      <c r="DO159" s="177"/>
      <c r="DP159" s="183">
        <f>HLOOKUP(H159,'GDP-PI'!$8:$9,2,FALSE)</f>
        <v>79.822000000000003</v>
      </c>
      <c r="DW159" s="192"/>
      <c r="DX159" s="192"/>
      <c r="DY159" s="192"/>
      <c r="DZ159" s="192"/>
      <c r="EA159" s="192"/>
      <c r="EB159" s="192"/>
      <c r="EC159" s="192"/>
      <c r="ED159" s="192"/>
      <c r="EE159" s="192"/>
    </row>
    <row r="160" spans="1:135" s="167" customFormat="1" ht="21" x14ac:dyDescent="0.35">
      <c r="A160" s="167" t="s">
        <v>37</v>
      </c>
      <c r="B160" s="168" t="s">
        <v>37</v>
      </c>
      <c r="C160" s="168">
        <v>4058793</v>
      </c>
      <c r="D160" s="168" t="s">
        <v>135</v>
      </c>
      <c r="E160" s="168"/>
      <c r="F160" s="168"/>
      <c r="G160" s="168" t="s">
        <v>8</v>
      </c>
      <c r="H160" s="169">
        <v>2002</v>
      </c>
      <c r="I160" s="170"/>
      <c r="J160" s="166"/>
      <c r="K160" s="166"/>
      <c r="L160" s="166"/>
      <c r="M160" s="166"/>
      <c r="N160" s="196"/>
      <c r="O160" s="166"/>
      <c r="P160" s="166"/>
      <c r="Q160" s="166"/>
      <c r="R160" s="166"/>
      <c r="S160" s="166"/>
      <c r="T160" s="166"/>
      <c r="U160" s="166"/>
      <c r="V160" s="166">
        <f t="shared" si="374"/>
        <v>266.11929088973665</v>
      </c>
      <c r="W160" s="170"/>
      <c r="X160" s="174">
        <v>21.645629297505831</v>
      </c>
      <c r="Y160" s="175">
        <v>6.4611287799700781E-2</v>
      </c>
      <c r="Z160" s="175"/>
      <c r="AA160" s="175"/>
      <c r="AB160" s="175"/>
      <c r="AC160" s="170">
        <f t="shared" si="287"/>
        <v>266.11929088973665</v>
      </c>
      <c r="AD160" s="175"/>
      <c r="AE160" s="170"/>
      <c r="AF160" s="170"/>
      <c r="AG160" s="174"/>
      <c r="AH160" s="175"/>
      <c r="AI160" s="175"/>
      <c r="AJ160" s="174"/>
      <c r="AK160" s="174"/>
      <c r="AL160" s="120"/>
      <c r="AM160" s="120"/>
      <c r="AN160" s="120"/>
      <c r="AO160" s="120"/>
      <c r="AP160" s="120"/>
      <c r="AQ160" s="175"/>
      <c r="AR160" s="120"/>
      <c r="AS160" s="120"/>
      <c r="AT160" s="120"/>
      <c r="AU160" s="120"/>
      <c r="AV160" s="120"/>
      <c r="AW160" s="120"/>
      <c r="AX160" s="120"/>
      <c r="AY160" s="120"/>
      <c r="AZ160" s="118">
        <f>IFERROR(INDEX('Total Customers'!$F$7:$AB$91,MATCH($C160,'Total Customers'!$D$7:$D$91,0),MATCH($G160,'Total Customers'!$F$5:$AB$5,0)),"NA")</f>
        <v>4175</v>
      </c>
      <c r="BA160" s="119">
        <f t="shared" si="375"/>
        <v>-1.4505069436341188E-2</v>
      </c>
      <c r="BB160" s="119"/>
      <c r="BC160" s="121"/>
      <c r="BD160" s="119"/>
      <c r="BE160" s="119"/>
      <c r="BF160" s="119"/>
      <c r="BG160" s="173"/>
      <c r="BH160" s="173"/>
      <c r="BI160" s="173"/>
      <c r="BJ160" s="173"/>
      <c r="BK160" s="173"/>
      <c r="BL160" s="173"/>
      <c r="BM160" s="173"/>
      <c r="BN160" s="173"/>
      <c r="BO160" s="173"/>
      <c r="BP160" s="173"/>
      <c r="BQ160" s="118"/>
      <c r="BR160" s="118"/>
      <c r="BS160" s="118">
        <f>INDEX('Dist. Plant Gas Additions'!$F$7:$AE$91,MATCH($C160,'Dist. Plant Gas Additions'!$D$7:$D$91,0),MATCH(Calculation!$G160,'Dist. Plant Gas Additions'!$F$5:$AE$5,0))</f>
        <v>475</v>
      </c>
      <c r="BT160" s="118">
        <f>INDEX('Gen. Plant Additions'!$F$7:$AE$91,MATCH($C160,'Gen. Plant Additions'!$D$7:$D$91,0),MATCH(Calculation!$G160,'Gen. Plant Additions'!$F$5:$AE$5,0))</f>
        <v>57</v>
      </c>
      <c r="BU160" s="118"/>
      <c r="BV160" s="118"/>
      <c r="BW160" s="118" t="str">
        <f>INDEX('Dist Plant Depreciation'!$E$7:$AD$94,MATCH($C160,'Dist Plant Depreciation'!$D$7:$D$94,0),MATCH(Calculation!$G160,'Dist Plant Depreciation'!$E$5:$AD$5,0))</f>
        <v>NA</v>
      </c>
      <c r="BX160" s="118" t="str">
        <f>INDEX('Gen. Plant Depreciation'!$E$7:$AD$94,MATCH($C160,'Gen. Plant Depreciation'!$D$7:$D$94,0),MATCH(Calculation!$G160,'Gen. Plant Depreciation'!$E$5:$AD$5,0))</f>
        <v>NA</v>
      </c>
      <c r="BY160" s="118"/>
      <c r="BZ160" s="118"/>
      <c r="CA160" s="118"/>
      <c r="CB160" s="118"/>
      <c r="CC160" s="118"/>
      <c r="CD160" s="118"/>
      <c r="CE160" s="118">
        <f>INDEX('Gross Dx Plant'!$E$7:$AD$91,MATCH($C160,'Gross Dx Plant'!$D$7:$D$91,0),MATCH(Calculation!$G160,'Gross Dx Plant'!$E$5:$AD$5,0))</f>
        <v>5314</v>
      </c>
      <c r="CF160" s="118">
        <f>INDEX('Gross Gen Plant'!$E$7:$AD$91,MATCH($C160,'Gross Gen Plant'!$D$7:$D$91,0),MATCH(Calculation!$G160,'Gross Gen Plant'!$E$5:$AD$5,0))</f>
        <v>1002</v>
      </c>
      <c r="CG160" s="118" t="str">
        <f t="shared" si="215"/>
        <v>NA</v>
      </c>
      <c r="CH160" s="118"/>
      <c r="CI160" s="121">
        <v>2002</v>
      </c>
      <c r="CJ160" s="118"/>
      <c r="CK160" s="118"/>
      <c r="CL160" s="118"/>
      <c r="CM160" s="183"/>
      <c r="CN160" s="118">
        <f t="shared" si="376"/>
        <v>532</v>
      </c>
      <c r="CO160" s="118">
        <f t="shared" si="377"/>
        <v>1.4722642881531107</v>
      </c>
      <c r="CP160" s="186">
        <v>0.97916666666666663</v>
      </c>
      <c r="CQ160" s="118">
        <f>+CQ156*CP160+CO157*CP159+CO158*CP158+CO159*CP157+CO160</f>
        <v>21.645629297505831</v>
      </c>
      <c r="CR160" s="119">
        <f t="shared" si="378"/>
        <v>6.4611287799700781E-2</v>
      </c>
      <c r="CS160" s="119"/>
      <c r="CT160" s="177">
        <f t="shared" si="379"/>
        <v>5.8121395855452434E-3</v>
      </c>
      <c r="CU160" s="177">
        <f t="shared" ref="CU160:CU179" si="387">+(CT160+CT159+CT158)/3</f>
        <v>5.2752957985599909E-3</v>
      </c>
      <c r="CV160" s="119">
        <f>VLOOKUP($H160,RoR!$E:$F,2,FALSE)</f>
        <v>6.4916666666666664E-2</v>
      </c>
      <c r="CW160" s="177">
        <v>1.5246423291824351E-2</v>
      </c>
      <c r="CX160" s="177">
        <f t="shared" si="385"/>
        <v>4.9670243374842313E-2</v>
      </c>
      <c r="CY160" s="177">
        <f t="shared" ref="CY160:CY179" si="388">+$CX$35-CU160</f>
        <v>2.5626645809973633E-2</v>
      </c>
      <c r="CZ160" s="177">
        <f t="shared" ref="CZ160:CZ179" si="389">+((DM158/DM157-1)+(DM159/DM158-1)+(DM160/DM159-1))/3</f>
        <v>2.5243621214759093E-2</v>
      </c>
      <c r="DA160" s="187">
        <f t="shared" si="380"/>
        <v>0.84925000000000006</v>
      </c>
      <c r="DB160" s="188">
        <f t="shared" si="381"/>
        <v>0.78996741384417901</v>
      </c>
      <c r="DC160" s="188">
        <f t="shared" si="382"/>
        <v>0.58989088575096271</v>
      </c>
      <c r="DD160" s="188">
        <f t="shared" si="383"/>
        <v>0.91920675783645744</v>
      </c>
      <c r="DE160" s="188">
        <f t="shared" si="384"/>
        <v>0.42834536472275586</v>
      </c>
      <c r="DF160" s="189">
        <f>INDEX('State Tax Lookup'!$D$7:$Z$91,MATCH(Calculation!$C160,'State Tax Lookup'!$B$7:$B$91,0),MATCH($H160,'State Tax Lookup'!$D$6:$Z$6,0))</f>
        <v>0.40200000000000002</v>
      </c>
      <c r="DG160" s="189">
        <v>0.375</v>
      </c>
      <c r="DH160" s="190">
        <f t="shared" si="386"/>
        <v>13.114944794882698</v>
      </c>
      <c r="DI160" s="190"/>
      <c r="DJ160" s="177"/>
      <c r="DK160" s="189">
        <f>VLOOKUP($H160,RoR!$E:$F,2,FALSE)</f>
        <v>6.4916666666666664E-2</v>
      </c>
      <c r="DL160" s="191">
        <f>HLOOKUP($H160,'GDP-PI'!$D$8:$CQ$11,3,FALSE)</f>
        <v>1.5246423291824351E-2</v>
      </c>
      <c r="DM160" s="189">
        <f>VLOOKUP(H160,'HW Dx Data'!$E:$F,2,FALSE)</f>
        <v>361.34816573413599</v>
      </c>
      <c r="DN160" s="183">
        <f>VLOOKUP(H160,'ECI - Input Price'!$G$17:$H$37,2,FALSE)</f>
        <v>89.275000000000006</v>
      </c>
      <c r="DO160" s="177">
        <f>LN(DN160/DN159)</f>
        <v>3.5051315810864674E-2</v>
      </c>
      <c r="DP160" s="183">
        <f>HLOOKUP(H160,'GDP-PI'!$8:$9,2,FALSE)</f>
        <v>81.039000000000001</v>
      </c>
      <c r="DQ160" s="177">
        <f>LN(DP160/DP159)</f>
        <v>1.513136459537477E-2</v>
      </c>
      <c r="DW160" s="192"/>
      <c r="DX160" s="192"/>
      <c r="DY160" s="192"/>
      <c r="DZ160" s="192"/>
      <c r="EA160" s="192"/>
      <c r="EB160" s="192"/>
      <c r="EC160" s="192"/>
      <c r="ED160" s="192"/>
      <c r="EE160" s="192"/>
    </row>
    <row r="161" spans="1:135" s="167" customFormat="1" ht="21" x14ac:dyDescent="0.35">
      <c r="A161" s="167" t="s">
        <v>37</v>
      </c>
      <c r="B161" s="168" t="s">
        <v>37</v>
      </c>
      <c r="C161" s="168">
        <v>4058793</v>
      </c>
      <c r="D161" s="168" t="s">
        <v>135</v>
      </c>
      <c r="E161" s="168"/>
      <c r="F161" s="168"/>
      <c r="G161" s="168" t="s">
        <v>9</v>
      </c>
      <c r="H161" s="169">
        <v>2003</v>
      </c>
      <c r="I161" s="170"/>
      <c r="J161" s="166"/>
      <c r="K161" s="166"/>
      <c r="L161" s="172"/>
      <c r="M161" s="172"/>
      <c r="N161" s="196"/>
      <c r="O161" s="172"/>
      <c r="P161" s="166"/>
      <c r="Q161" s="166"/>
      <c r="R161" s="166"/>
      <c r="S161" s="166"/>
      <c r="T161" s="166"/>
      <c r="U161" s="166"/>
      <c r="V161" s="166">
        <f t="shared" si="374"/>
        <v>288.46622421834371</v>
      </c>
      <c r="W161" s="170"/>
      <c r="X161" s="174">
        <v>23.152213919952004</v>
      </c>
      <c r="Y161" s="175">
        <v>6.7286855605705825E-2</v>
      </c>
      <c r="Z161" s="175"/>
      <c r="AA161" s="175"/>
      <c r="AB161" s="175"/>
      <c r="AC161" s="170">
        <f t="shared" si="287"/>
        <v>288.46622421834371</v>
      </c>
      <c r="AD161" s="175"/>
      <c r="AE161" s="170"/>
      <c r="AF161" s="170"/>
      <c r="AG161" s="174"/>
      <c r="AH161" s="175"/>
      <c r="AI161" s="175"/>
      <c r="AJ161" s="174"/>
      <c r="AK161" s="174"/>
      <c r="AL161" s="120"/>
      <c r="AM161" s="120"/>
      <c r="AN161" s="120"/>
      <c r="AO161" s="120"/>
      <c r="AP161" s="120"/>
      <c r="AQ161" s="175"/>
      <c r="AR161" s="120"/>
      <c r="AS161" s="120"/>
      <c r="AT161" s="120"/>
      <c r="AU161" s="120"/>
      <c r="AV161" s="120"/>
      <c r="AW161" s="120"/>
      <c r="AX161" s="120"/>
      <c r="AY161" s="120"/>
      <c r="AZ161" s="118">
        <f>IFERROR(INDEX('Total Customers'!$F$7:$AB$91,MATCH($C161,'Total Customers'!$D$7:$D$91,0),MATCH($G161,'Total Customers'!$F$5:$AB$5,0)),"NA")</f>
        <v>4136</v>
      </c>
      <c r="BA161" s="119">
        <f t="shared" si="375"/>
        <v>-9.3852210966907778E-3</v>
      </c>
      <c r="BB161" s="119"/>
      <c r="BC161" s="121"/>
      <c r="BD161" s="119"/>
      <c r="BE161" s="119"/>
      <c r="BF161" s="119"/>
      <c r="BG161" s="173"/>
      <c r="BH161" s="173"/>
      <c r="BI161" s="173"/>
      <c r="BJ161" s="173"/>
      <c r="BK161" s="173"/>
      <c r="BL161" s="173"/>
      <c r="BM161" s="173"/>
      <c r="BN161" s="173"/>
      <c r="BO161" s="173"/>
      <c r="BP161" s="173"/>
      <c r="BQ161" s="118"/>
      <c r="BR161" s="118"/>
      <c r="BS161" s="118">
        <f>INDEX('Dist. Plant Gas Additions'!$F$7:$AE$91,MATCH($C161,'Dist. Plant Gas Additions'!$D$7:$D$91,0),MATCH(Calculation!$G161,'Dist. Plant Gas Additions'!$F$5:$AE$5,0))</f>
        <v>391</v>
      </c>
      <c r="BT161" s="118">
        <f>INDEX('Gen. Plant Additions'!$F$7:$AE$91,MATCH($C161,'Gen. Plant Additions'!$D$7:$D$91,0),MATCH(Calculation!$G161,'Gen. Plant Additions'!$F$5:$AE$5,0))</f>
        <v>210</v>
      </c>
      <c r="BU161" s="118"/>
      <c r="BV161" s="118"/>
      <c r="BW161" s="118">
        <f>INDEX('Dist Plant Depreciation'!$E$7:$AD$94,MATCH($C161,'Dist Plant Depreciation'!$D$7:$D$94,0),MATCH(Calculation!$G161,'Dist Plant Depreciation'!$E$5:$AD$5,0))</f>
        <v>1719</v>
      </c>
      <c r="BX161" s="118">
        <f>INDEX('Gen. Plant Depreciation'!$E$7:$AD$94,MATCH($C161,'Gen. Plant Depreciation'!$D$7:$D$94,0),MATCH(Calculation!$G161,'Gen. Plant Depreciation'!$E$5:$AD$5,0))</f>
        <v>353</v>
      </c>
      <c r="BY161" s="118"/>
      <c r="BZ161" s="118"/>
      <c r="CA161" s="118"/>
      <c r="CB161" s="118"/>
      <c r="CC161" s="118"/>
      <c r="CD161" s="118"/>
      <c r="CE161" s="118">
        <f>INDEX('Gross Dx Plant'!$E$7:$AD$91,MATCH($C161,'Gross Dx Plant'!$D$7:$D$91,0),MATCH(Calculation!$G161,'Gross Dx Plant'!$E$5:$AD$5,0))</f>
        <v>5654</v>
      </c>
      <c r="CF161" s="118">
        <f>INDEX('Gross Gen Plant'!$E$7:$AD$91,MATCH($C161,'Gross Gen Plant'!$D$7:$D$91,0),MATCH(Calculation!$G161,'Gross Gen Plant'!$E$5:$AD$5,0))</f>
        <v>1124</v>
      </c>
      <c r="CG161" s="118">
        <f t="shared" si="215"/>
        <v>4706</v>
      </c>
      <c r="CH161" s="118"/>
      <c r="CI161" s="121">
        <v>2003</v>
      </c>
      <c r="CJ161" s="118"/>
      <c r="CK161" s="118"/>
      <c r="CL161" s="118"/>
      <c r="CM161" s="183"/>
      <c r="CN161" s="118">
        <f t="shared" si="376"/>
        <v>601</v>
      </c>
      <c r="CO161" s="118">
        <f t="shared" si="377"/>
        <v>1.6276984510257311</v>
      </c>
      <c r="CP161" s="186">
        <v>0.97354497354497349</v>
      </c>
      <c r="CQ161" s="118">
        <f>+CQ156*CP161+CO157*CP160+CO158*CP159+CO159*CP158+CO160*CP157+CO161</f>
        <v>23.152213919952004</v>
      </c>
      <c r="CR161" s="119">
        <f t="shared" si="378"/>
        <v>6.7286855605705825E-2</v>
      </c>
      <c r="CS161" s="119"/>
      <c r="CT161" s="177">
        <f t="shared" si="379"/>
        <v>5.595301800419992E-3</v>
      </c>
      <c r="CU161" s="177">
        <f t="shared" si="387"/>
        <v>5.4290661547983154E-3</v>
      </c>
      <c r="CV161" s="119">
        <f>VLOOKUP($H161,RoR!$E:$F,2,FALSE)</f>
        <v>5.6666666666666671E-2</v>
      </c>
      <c r="CW161" s="177">
        <v>1.8855119140166909E-2</v>
      </c>
      <c r="CX161" s="177">
        <f t="shared" si="385"/>
        <v>3.7811547526499761E-2</v>
      </c>
      <c r="CY161" s="177">
        <f t="shared" si="388"/>
        <v>2.5472875453735309E-2</v>
      </c>
      <c r="CZ161" s="177">
        <f t="shared" si="389"/>
        <v>2.1375012817671957E-2</v>
      </c>
      <c r="DA161" s="187">
        <f t="shared" si="380"/>
        <v>0.84925000000000006</v>
      </c>
      <c r="DB161" s="188">
        <f t="shared" si="381"/>
        <v>0.90497737556561086</v>
      </c>
      <c r="DC161" s="188">
        <f t="shared" si="382"/>
        <v>0.5338235294117647</v>
      </c>
      <c r="DD161" s="188">
        <f t="shared" si="383"/>
        <v>0.88972433127405692</v>
      </c>
      <c r="DE161" s="188">
        <f t="shared" si="384"/>
        <v>0.42982423775949252</v>
      </c>
      <c r="DF161" s="189">
        <f>INDEX('State Tax Lookup'!$D$7:$Z$91,MATCH(Calculation!$C161,'State Tax Lookup'!$B$7:$B$91,0),MATCH($H161,'State Tax Lookup'!$D$6:$Z$6,0))</f>
        <v>0.40200000000000002</v>
      </c>
      <c r="DG161" s="189">
        <v>0.375</v>
      </c>
      <c r="DH161" s="190">
        <f t="shared" si="386"/>
        <v>13.326765429341567</v>
      </c>
      <c r="DI161" s="190"/>
      <c r="DJ161" s="177"/>
      <c r="DK161" s="189">
        <f>VLOOKUP($H161,RoR!$E:$F,2,FALSE)</f>
        <v>5.6666666666666671E-2</v>
      </c>
      <c r="DL161" s="191">
        <f>HLOOKUP($H161,'GDP-PI'!$D$8:$CQ$11,3,FALSE)</f>
        <v>1.8855119140166909E-2</v>
      </c>
      <c r="DM161" s="189">
        <f>VLOOKUP(H161,'HW Dx Data'!$E:$F,2,FALSE)</f>
        <v>369.23301095560191</v>
      </c>
      <c r="DN161" s="183">
        <f>VLOOKUP(H161,'ECI - Input Price'!$G$17:$H$37,2,FALSE)</f>
        <v>92.625</v>
      </c>
      <c r="DO161" s="177">
        <f t="shared" ref="DO161" si="390">LN(DN161/DN160)</f>
        <v>3.6837590135738785E-2</v>
      </c>
      <c r="DP161" s="183">
        <f>HLOOKUP(H161,'GDP-PI'!$8:$9,2,FALSE)</f>
        <v>82.566999999999993</v>
      </c>
      <c r="DQ161" s="177">
        <f t="shared" ref="DQ161" si="391">LN(DP161/DP160)</f>
        <v>1.8679564681853753E-2</v>
      </c>
      <c r="DW161" s="192"/>
      <c r="DX161" s="192"/>
      <c r="DY161" s="192"/>
      <c r="DZ161" s="192"/>
      <c r="EA161" s="192"/>
      <c r="EB161" s="192"/>
      <c r="EC161" s="192"/>
      <c r="ED161" s="192"/>
      <c r="EE161" s="192"/>
    </row>
    <row r="162" spans="1:135" s="167" customFormat="1" ht="21" x14ac:dyDescent="0.35">
      <c r="A162" s="167" t="s">
        <v>37</v>
      </c>
      <c r="B162" s="168" t="s">
        <v>37</v>
      </c>
      <c r="C162" s="168">
        <v>4058793</v>
      </c>
      <c r="D162" s="168" t="s">
        <v>135</v>
      </c>
      <c r="E162" s="168"/>
      <c r="F162" s="168"/>
      <c r="G162" s="168" t="s">
        <v>10</v>
      </c>
      <c r="H162" s="169">
        <v>2004</v>
      </c>
      <c r="I162" s="170"/>
      <c r="J162" s="166">
        <f>IFERROR(INDEX('Labor Expenditures'!$F$7:$X$91,MATCH($C162,'Labor Expenditures'!$D$7:$D$91,0),MATCH($G162,'Labor Expenditures'!$F$5:$X$5,0)),"NA")</f>
        <v>389.36101945422627</v>
      </c>
      <c r="K162" s="166">
        <f t="shared" ref="K162:K179" si="392">+J162/DN162</f>
        <v>4.048463940257097</v>
      </c>
      <c r="L162" s="172"/>
      <c r="M162" s="172"/>
      <c r="N162" s="196"/>
      <c r="O162" s="172"/>
      <c r="P162" s="166">
        <f>IFERROR(INDEX('Non-Labor Expenditures'!$F$7:$AB$91,MATCH($C162,'Non-Labor Expenditures'!$D$7:$D$91,0),MATCH($G162,'Non-Labor Expenditures'!$F$5:$AB$5,0)),"NA")</f>
        <v>563.86747877683388</v>
      </c>
      <c r="Q162" s="166">
        <f t="shared" ref="Q162:Q179" si="393">+P162/DP162</f>
        <v>6.6511061687800357</v>
      </c>
      <c r="R162" s="166"/>
      <c r="S162" s="166"/>
      <c r="T162" s="166"/>
      <c r="U162" s="166"/>
      <c r="V162" s="166">
        <f t="shared" si="374"/>
        <v>341.69705155243804</v>
      </c>
      <c r="W162" s="170"/>
      <c r="X162" s="174">
        <v>24.822036081006072</v>
      </c>
      <c r="Y162" s="175">
        <v>6.9641400645210766E-2</v>
      </c>
      <c r="Z162" s="175"/>
      <c r="AA162" s="175"/>
      <c r="AB162" s="175"/>
      <c r="AC162" s="170">
        <f t="shared" si="287"/>
        <v>1294.9255497834981</v>
      </c>
      <c r="AD162" s="175"/>
      <c r="AE162" s="170"/>
      <c r="AF162" s="170"/>
      <c r="AG162" s="174"/>
      <c r="AH162" s="175"/>
      <c r="AI162" s="175"/>
      <c r="AJ162" s="174"/>
      <c r="AK162" s="174"/>
      <c r="AL162" s="120">
        <f t="shared" ref="AL162:AL179" si="394">+J162/AC162</f>
        <v>0.30068216625992478</v>
      </c>
      <c r="AM162" s="120">
        <f t="shared" ref="AM162:AM179" si="395">+P162/AC162</f>
        <v>0.43544393642639018</v>
      </c>
      <c r="AN162" s="120">
        <f t="shared" ref="AN162:AN179" si="396">+V162/AC162</f>
        <v>0.2638738973136851</v>
      </c>
      <c r="AO162" s="120"/>
      <c r="AP162" s="120"/>
      <c r="AQ162" s="175"/>
      <c r="AR162" s="120"/>
      <c r="AS162" s="120"/>
      <c r="AT162" s="120"/>
      <c r="AU162" s="120"/>
      <c r="AV162" s="120"/>
      <c r="AW162" s="120"/>
      <c r="AX162" s="120"/>
      <c r="AY162" s="120"/>
      <c r="AZ162" s="118">
        <f>IFERROR(INDEX('Total Customers'!$F$7:$AB$91,MATCH($C162,'Total Customers'!$D$7:$D$91,0),MATCH($G162,'Total Customers'!$F$5:$AB$5,0)),"NA")</f>
        <v>3980</v>
      </c>
      <c r="BA162" s="119">
        <f t="shared" si="375"/>
        <v>-3.8447317909781682E-2</v>
      </c>
      <c r="BB162" s="119"/>
      <c r="BC162" s="121"/>
      <c r="BD162" s="119"/>
      <c r="BE162" s="119"/>
      <c r="BF162" s="119"/>
      <c r="BG162" s="173"/>
      <c r="BH162" s="173"/>
      <c r="BI162" s="173"/>
      <c r="BJ162" s="173"/>
      <c r="BK162" s="173"/>
      <c r="BL162" s="173"/>
      <c r="BM162" s="173"/>
      <c r="BN162" s="173"/>
      <c r="BO162" s="173"/>
      <c r="BP162" s="173"/>
      <c r="BQ162" s="118"/>
      <c r="BR162" s="118"/>
      <c r="BS162" s="118">
        <f>INDEX('Dist. Plant Gas Additions'!$F$7:$AE$91,MATCH($C162,'Dist. Plant Gas Additions'!$D$7:$D$91,0),MATCH(Calculation!$G162,'Dist. Plant Gas Additions'!$F$5:$AE$5,0))</f>
        <v>748</v>
      </c>
      <c r="BT162" s="118">
        <f>INDEX('Gen. Plant Additions'!$F$7:$AE$91,MATCH($C162,'Gen. Plant Additions'!$D$7:$D$91,0),MATCH(Calculation!$G162,'Gen. Plant Additions'!$F$5:$AE$5,0))</f>
        <v>0</v>
      </c>
      <c r="BU162" s="118"/>
      <c r="BV162" s="118"/>
      <c r="BW162" s="118">
        <f>INDEX('Dist Plant Depreciation'!$E$7:$AD$94,MATCH($C162,'Dist Plant Depreciation'!$D$7:$D$94,0),MATCH(Calculation!$G162,'Dist Plant Depreciation'!$E$5:$AD$5,0))</f>
        <v>1782</v>
      </c>
      <c r="BX162" s="118">
        <f>INDEX('Gen. Plant Depreciation'!$E$7:$AD$94,MATCH($C162,'Gen. Plant Depreciation'!$D$7:$D$94,0),MATCH(Calculation!$G162,'Gen. Plant Depreciation'!$E$5:$AD$5,0))</f>
        <v>347</v>
      </c>
      <c r="BY162" s="118"/>
      <c r="BZ162" s="118"/>
      <c r="CA162" s="118"/>
      <c r="CB162" s="118"/>
      <c r="CC162" s="118"/>
      <c r="CD162" s="118"/>
      <c r="CE162" s="118">
        <f>INDEX('Gross Dx Plant'!$E$7:$AD$91,MATCH($C162,'Gross Dx Plant'!$D$7:$D$91,0),MATCH(Calculation!$G162,'Gross Dx Plant'!$E$5:$AD$5,0))</f>
        <v>6282</v>
      </c>
      <c r="CF162" s="118">
        <f>INDEX('Gross Gen Plant'!$E$7:$AD$91,MATCH($C162,'Gross Gen Plant'!$D$7:$D$91,0),MATCH(Calculation!$G162,'Gross Gen Plant'!$E$5:$AD$5,0))</f>
        <v>1042</v>
      </c>
      <c r="CG162" s="118">
        <f t="shared" si="215"/>
        <v>5195</v>
      </c>
      <c r="CH162" s="118"/>
      <c r="CI162" s="121">
        <v>2004</v>
      </c>
      <c r="CJ162" s="118"/>
      <c r="CK162" s="118"/>
      <c r="CL162" s="118"/>
      <c r="CM162" s="183"/>
      <c r="CN162" s="118">
        <f t="shared" si="376"/>
        <v>748</v>
      </c>
      <c r="CO162" s="118">
        <f t="shared" si="377"/>
        <v>1.80289971729898</v>
      </c>
      <c r="CP162" s="186">
        <v>0.967741935483871</v>
      </c>
      <c r="CQ162" s="118">
        <f>+CQ156*CP162+CO157*CP161+CO158*CP160+CO159*CP159+CO160*CP158+CO161*CP157+CO162</f>
        <v>24.822036081006072</v>
      </c>
      <c r="CR162" s="119">
        <f t="shared" si="378"/>
        <v>6.9641400645210766E-2</v>
      </c>
      <c r="CS162" s="119"/>
      <c r="CT162" s="177">
        <f t="shared" si="379"/>
        <v>5.7479408537353446E-3</v>
      </c>
      <c r="CU162" s="177">
        <f t="shared" si="387"/>
        <v>5.7184607465668611E-3</v>
      </c>
      <c r="CV162" s="119">
        <f>VLOOKUP($H162,RoR!$E:$F,2,FALSE)</f>
        <v>5.6283333333333331E-2</v>
      </c>
      <c r="CW162" s="177">
        <v>2.6778252812867276E-2</v>
      </c>
      <c r="CX162" s="177">
        <f t="shared" si="385"/>
        <v>2.9505080520466055E-2</v>
      </c>
      <c r="CY162" s="177">
        <f t="shared" si="388"/>
        <v>2.5183480861966763E-2</v>
      </c>
      <c r="CZ162" s="177">
        <f t="shared" si="389"/>
        <v>5.5940039414565046E-2</v>
      </c>
      <c r="DA162" s="187">
        <f t="shared" si="380"/>
        <v>0.84925000000000006</v>
      </c>
      <c r="DB162" s="188">
        <f t="shared" si="381"/>
        <v>0.91114097628755619</v>
      </c>
      <c r="DC162" s="188">
        <f t="shared" si="382"/>
        <v>0.53081877405981637</v>
      </c>
      <c r="DD162" s="188">
        <f t="shared" si="383"/>
        <v>0.88811215519385678</v>
      </c>
      <c r="DE162" s="188">
        <f t="shared" si="384"/>
        <v>0.42953609753547711</v>
      </c>
      <c r="DF162" s="189">
        <f>INDEX('State Tax Lookup'!$D$7:$Z$91,MATCH(Calculation!$C162,'State Tax Lookup'!$B$7:$B$91,0),MATCH($H162,'State Tax Lookup'!$D$6:$Z$6,0))</f>
        <v>0.40200000000000002</v>
      </c>
      <c r="DG162" s="189">
        <v>0.375</v>
      </c>
      <c r="DH162" s="190">
        <f t="shared" si="386"/>
        <v>14.758720385611674</v>
      </c>
      <c r="DI162" s="190"/>
      <c r="DJ162" s="177"/>
      <c r="DK162" s="189">
        <f>VLOOKUP($H162,RoR!$E:$F,2,FALSE)</f>
        <v>5.6283333333333331E-2</v>
      </c>
      <c r="DL162" s="191">
        <f>HLOOKUP($H162,'GDP-PI'!$D$8:$CQ$11,3,FALSE)</f>
        <v>2.6778252812867276E-2</v>
      </c>
      <c r="DM162" s="189">
        <f>VLOOKUP(H162,'HW Dx Data'!$E:$F,2,FALSE)</f>
        <v>414.88719135228365</v>
      </c>
      <c r="DN162" s="183">
        <f>VLOOKUP(H162,'ECI - Input Price'!$G$17:$H$37,2,FALSE)</f>
        <v>96.174999999999997</v>
      </c>
      <c r="DO162" s="177">
        <f t="shared" ref="DO162" si="397">LN(DN162/DN161)</f>
        <v>3.7610365022107912E-2</v>
      </c>
      <c r="DP162" s="183">
        <f>HLOOKUP(H162,'GDP-PI'!$8:$9,2,FALSE)</f>
        <v>84.778000000000006</v>
      </c>
      <c r="DQ162" s="177">
        <f t="shared" ref="DQ162" si="398">LN(DP162/DP161)</f>
        <v>2.6425990216022755E-2</v>
      </c>
      <c r="DW162" s="192"/>
      <c r="DX162" s="192"/>
      <c r="DY162" s="192"/>
      <c r="DZ162" s="192"/>
      <c r="EA162" s="192"/>
      <c r="EB162" s="192"/>
      <c r="EC162" s="192"/>
      <c r="ED162" s="192"/>
      <c r="EE162" s="192"/>
    </row>
    <row r="163" spans="1:135" s="167" customFormat="1" ht="21" x14ac:dyDescent="0.35">
      <c r="A163" s="167" t="s">
        <v>37</v>
      </c>
      <c r="B163" s="168" t="s">
        <v>37</v>
      </c>
      <c r="C163" s="168">
        <v>4058793</v>
      </c>
      <c r="D163" s="168" t="s">
        <v>135</v>
      </c>
      <c r="E163" s="168"/>
      <c r="F163" s="168"/>
      <c r="G163" s="168" t="s">
        <v>11</v>
      </c>
      <c r="H163" s="169">
        <v>2005</v>
      </c>
      <c r="I163" s="170"/>
      <c r="J163" s="166">
        <f>IFERROR(INDEX('Labor Expenditures'!$F$7:$X$91,MATCH($C163,'Labor Expenditures'!$D$7:$D$91,0),MATCH($G163,'Labor Expenditures'!$F$5:$X$5,0)),"NA")</f>
        <v>362.92232194645453</v>
      </c>
      <c r="K163" s="166">
        <f t="shared" si="392"/>
        <v>3.6603360761114927</v>
      </c>
      <c r="L163" s="172">
        <f t="shared" ref="L163:L179" si="399">LN(K163/K162)</f>
        <v>-0.10078256789339475</v>
      </c>
      <c r="M163" s="172"/>
      <c r="N163" s="196"/>
      <c r="O163" s="172"/>
      <c r="P163" s="166">
        <f>IFERROR(INDEX('Non-Labor Expenditures'!$F$7:$AB$91,MATCH($C163,'Non-Labor Expenditures'!$D$7:$D$91,0),MATCH($G163,'Non-Labor Expenditures'!$F$5:$AB$5,0)),"NA")</f>
        <v>525.57930671804058</v>
      </c>
      <c r="Q163" s="166">
        <f t="shared" si="393"/>
        <v>6.0130116205571706</v>
      </c>
      <c r="R163" s="172">
        <f>LN(Q163/Q162)</f>
        <v>-0.10085745737668182</v>
      </c>
      <c r="S163" s="172"/>
      <c r="T163" s="172"/>
      <c r="U163" s="172"/>
      <c r="V163" s="166">
        <f t="shared" si="374"/>
        <v>412.82477360987423</v>
      </c>
      <c r="W163" s="170"/>
      <c r="X163" s="174">
        <v>26.101505183343161</v>
      </c>
      <c r="Y163" s="175">
        <v>5.026117222962128E-2</v>
      </c>
      <c r="Z163" s="175"/>
      <c r="AA163" s="175"/>
      <c r="AB163" s="175"/>
      <c r="AC163" s="170">
        <f t="shared" si="287"/>
        <v>1301.3264022743692</v>
      </c>
      <c r="AD163" s="175">
        <f>LN(AC163/AC162)</f>
        <v>4.9308507632374807E-3</v>
      </c>
      <c r="AE163" s="170"/>
      <c r="AF163" s="170"/>
      <c r="AG163" s="121"/>
      <c r="AH163" s="119"/>
      <c r="AI163" s="119"/>
      <c r="AJ163" s="121"/>
      <c r="AK163" s="121"/>
      <c r="AL163" s="120">
        <f t="shared" si="394"/>
        <v>0.2788864663870369</v>
      </c>
      <c r="AM163" s="120">
        <f t="shared" si="395"/>
        <v>0.40387969213524683</v>
      </c>
      <c r="AN163" s="120">
        <f t="shared" si="396"/>
        <v>0.31723384147771638</v>
      </c>
      <c r="AO163" s="120">
        <f t="shared" ref="AO163:AO179" si="400">+(((AL163+AL162)/2)*L163+((AM162+AM163)/2)*R163+((AN162+AN163)/2)*Y163)</f>
        <v>-5.6927653009080599E-2</v>
      </c>
      <c r="AP163" s="173">
        <v>100</v>
      </c>
      <c r="AQ163" s="175"/>
      <c r="AR163" s="120"/>
      <c r="AS163" s="120"/>
      <c r="AT163" s="120"/>
      <c r="AU163" s="120"/>
      <c r="AV163" s="120"/>
      <c r="AW163" s="120"/>
      <c r="AX163" s="120"/>
      <c r="AY163" s="120"/>
      <c r="AZ163" s="118">
        <f>IFERROR(INDEX('Total Customers'!$F$7:$AB$91,MATCH($C163,'Total Customers'!$D$7:$D$91,0),MATCH($G163,'Total Customers'!$F$5:$AB$5,0)),"NA")</f>
        <v>3886</v>
      </c>
      <c r="BA163" s="119">
        <f t="shared" si="375"/>
        <v>-2.3901468341097951E-2</v>
      </c>
      <c r="BB163" s="119"/>
      <c r="BC163" s="121"/>
      <c r="BD163" s="119"/>
      <c r="BE163" s="119"/>
      <c r="BF163" s="119"/>
      <c r="BG163" s="173"/>
      <c r="BH163" s="173"/>
      <c r="BI163" s="173"/>
      <c r="BJ163" s="173"/>
      <c r="BK163" s="173"/>
      <c r="BL163" s="173"/>
      <c r="BM163" s="173"/>
      <c r="BN163" s="173"/>
      <c r="BO163" s="173"/>
      <c r="BP163" s="173"/>
      <c r="BQ163" s="118"/>
      <c r="BR163" s="118"/>
      <c r="BS163" s="118">
        <f>INDEX('Dist. Plant Gas Additions'!$F$7:$AE$91,MATCH($C163,'Dist. Plant Gas Additions'!$D$7:$D$91,0),MATCH(Calculation!$G163,'Dist. Plant Gas Additions'!$F$5:$AE$5,0))</f>
        <v>652</v>
      </c>
      <c r="BT163" s="118">
        <f>INDEX('Gen. Plant Additions'!$F$7:$AE$91,MATCH($C163,'Gen. Plant Additions'!$D$7:$D$91,0),MATCH(Calculation!$G163,'Gen. Plant Additions'!$F$5:$AE$5,0))</f>
        <v>17</v>
      </c>
      <c r="BU163" s="118"/>
      <c r="BV163" s="118"/>
      <c r="BW163" s="118">
        <f>INDEX('Dist Plant Depreciation'!$E$7:$AD$94,MATCH($C163,'Dist Plant Depreciation'!$D$7:$D$94,0),MATCH(Calculation!$G163,'Dist Plant Depreciation'!$E$5:$AD$5,0))</f>
        <v>1749</v>
      </c>
      <c r="BX163" s="118">
        <f>INDEX('Gen. Plant Depreciation'!$E$7:$AD$94,MATCH($C163,'Gen. Plant Depreciation'!$D$7:$D$94,0),MATCH(Calculation!$G163,'Gen. Plant Depreciation'!$E$5:$AD$5,0))</f>
        <v>349</v>
      </c>
      <c r="BY163" s="118"/>
      <c r="BZ163" s="118"/>
      <c r="CA163" s="118"/>
      <c r="CB163" s="118"/>
      <c r="CC163" s="118"/>
      <c r="CD163" s="118"/>
      <c r="CE163" s="118">
        <f>INDEX('Gross Dx Plant'!$E$7:$AD$91,MATCH($C163,'Gross Dx Plant'!$D$7:$D$91,0),MATCH(Calculation!$G163,'Gross Dx Plant'!$E$5:$AD$5,0))</f>
        <v>6731</v>
      </c>
      <c r="CF163" s="118">
        <f>INDEX('Gross Gen Plant'!$E$7:$AD$91,MATCH($C163,'Gross Gen Plant'!$D$7:$D$91,0),MATCH(Calculation!$G163,'Gross Gen Plant'!$E$5:$AD$5,0))</f>
        <v>993</v>
      </c>
      <c r="CG163" s="118">
        <f t="shared" si="215"/>
        <v>5626</v>
      </c>
      <c r="CH163" s="118"/>
      <c r="CI163" s="121">
        <v>2005</v>
      </c>
      <c r="CJ163" s="118"/>
      <c r="CK163" s="118"/>
      <c r="CL163" s="118"/>
      <c r="CM163" s="183"/>
      <c r="CN163" s="118">
        <f t="shared" si="376"/>
        <v>669</v>
      </c>
      <c r="CO163" s="118">
        <f t="shared" si="377"/>
        <v>1.4258155814360289</v>
      </c>
      <c r="CP163" s="186">
        <v>0.96174863387978138</v>
      </c>
      <c r="CQ163" s="118">
        <f>+CQ156*CP163+CO157*CP162+CO158*CP161+CO159*CP160+CO160*CP159+CO161*CP158+CO162*CP157+CO163</f>
        <v>26.101505183343161</v>
      </c>
      <c r="CR163" s="119">
        <f t="shared" si="378"/>
        <v>5.026117222962128E-2</v>
      </c>
      <c r="CS163" s="119"/>
      <c r="CT163" s="177">
        <f t="shared" si="379"/>
        <v>5.8958289570340732E-3</v>
      </c>
      <c r="CU163" s="177">
        <f t="shared" si="387"/>
        <v>5.7463572037298035E-3</v>
      </c>
      <c r="CV163" s="119">
        <f>VLOOKUP($H163,RoR!$E:$F,2,FALSE)</f>
        <v>5.2350000000000001E-2</v>
      </c>
      <c r="CW163" s="177">
        <v>3.1010403642454332E-2</v>
      </c>
      <c r="CX163" s="177">
        <f t="shared" si="385"/>
        <v>2.1339596357545669E-2</v>
      </c>
      <c r="CY163" s="177">
        <f t="shared" si="388"/>
        <v>2.5155584404803821E-2</v>
      </c>
      <c r="CZ163" s="177">
        <f t="shared" si="389"/>
        <v>9.2129610649277341E-2</v>
      </c>
      <c r="DA163" s="187">
        <f t="shared" si="380"/>
        <v>0.84925000000000006</v>
      </c>
      <c r="DB163" s="188">
        <f t="shared" si="381"/>
        <v>0.97959983346802826</v>
      </c>
      <c r="DC163" s="188">
        <f t="shared" si="382"/>
        <v>0.49744508118433622</v>
      </c>
      <c r="DD163" s="188">
        <f t="shared" si="383"/>
        <v>0.87010519444335932</v>
      </c>
      <c r="DE163" s="188">
        <f t="shared" si="384"/>
        <v>0.42399975420741998</v>
      </c>
      <c r="DF163" s="189">
        <f>INDEX('State Tax Lookup'!$D$7:$Z$91,MATCH(Calculation!$C163,'State Tax Lookup'!$B$7:$B$91,0),MATCH($H163,'State Tax Lookup'!$D$6:$Z$6,0))</f>
        <v>0.40200000000000002</v>
      </c>
      <c r="DG163" s="189">
        <v>0.375</v>
      </c>
      <c r="DH163" s="190">
        <f t="shared" si="386"/>
        <v>16.6313823838879</v>
      </c>
      <c r="DI163" s="190"/>
      <c r="DJ163" s="177"/>
      <c r="DK163" s="189">
        <f>VLOOKUP($H163,RoR!$E:$F,2,FALSE)</f>
        <v>5.2350000000000001E-2</v>
      </c>
      <c r="DL163" s="191">
        <f>HLOOKUP($H163,'GDP-PI'!$D$8:$CQ$11,3,FALSE)</f>
        <v>3.1010403642454332E-2</v>
      </c>
      <c r="DM163" s="189">
        <f>VLOOKUP(H163,'HW Dx Data'!$E:$F,2,FALSE)</f>
        <v>469.20514034936258</v>
      </c>
      <c r="DN163" s="183">
        <f>VLOOKUP(H163,'ECI - Input Price'!$G$17:$H$37,2,FALSE)</f>
        <v>99.15</v>
      </c>
      <c r="DO163" s="177">
        <f t="shared" ref="DO163" si="401">LN(DN163/DN162)</f>
        <v>3.046440632744625E-2</v>
      </c>
      <c r="DP163" s="183">
        <f>HLOOKUP(H163,'GDP-PI'!$8:$9,2,FALSE)</f>
        <v>87.406999999999996</v>
      </c>
      <c r="DQ163" s="177">
        <f t="shared" ref="DQ163" si="402">LN(DP163/DP162)</f>
        <v>3.0539295810733648E-2</v>
      </c>
      <c r="DW163" s="192"/>
      <c r="DX163" s="192"/>
      <c r="DY163" s="192"/>
      <c r="DZ163" s="192"/>
      <c r="EA163" s="192"/>
      <c r="EB163" s="192"/>
      <c r="EC163" s="192"/>
      <c r="ED163" s="192"/>
      <c r="EE163" s="192"/>
    </row>
    <row r="164" spans="1:135" s="167" customFormat="1" ht="21" x14ac:dyDescent="0.35">
      <c r="A164" s="167" t="s">
        <v>37</v>
      </c>
      <c r="B164" s="168" t="s">
        <v>37</v>
      </c>
      <c r="C164" s="168">
        <v>4058793</v>
      </c>
      <c r="D164" s="168" t="s">
        <v>135</v>
      </c>
      <c r="E164" s="168"/>
      <c r="F164" s="168"/>
      <c r="G164" s="168" t="s">
        <v>12</v>
      </c>
      <c r="H164" s="169">
        <v>2006</v>
      </c>
      <c r="I164" s="170"/>
      <c r="J164" s="166">
        <f>IFERROR(INDEX('Labor Expenditures'!$F$7:$X$91,MATCH($C164,'Labor Expenditures'!$D$7:$D$91,0),MATCH($G164,'Labor Expenditures'!$F$5:$X$5,0)),"NA")</f>
        <v>391.12473505935804</v>
      </c>
      <c r="K164" s="166">
        <f t="shared" si="392"/>
        <v>3.8326774626100741</v>
      </c>
      <c r="L164" s="172">
        <f t="shared" si="399"/>
        <v>4.6008668080086315E-2</v>
      </c>
      <c r="M164" s="172">
        <f t="shared" ref="M164:M179" si="403">+L164*AR164</f>
        <v>7.992871437722878E-6</v>
      </c>
      <c r="N164" s="196"/>
      <c r="O164" s="172"/>
      <c r="P164" s="166">
        <f>IFERROR(INDEX('Non-Labor Expenditures'!$F$7:$AB$91,MATCH($C164,'Non-Labor Expenditures'!$D$7:$D$91,0),MATCH($G164,'Non-Labor Expenditures'!$F$5:$AB$5,0)),"NA")</f>
        <v>566.42166838970024</v>
      </c>
      <c r="Q164" s="166">
        <f t="shared" si="393"/>
        <v>6.2884036280136364</v>
      </c>
      <c r="R164" s="172">
        <f t="shared" ref="R164:R179" si="404">LN(Q164/Q163)</f>
        <v>4.4781518644680586E-2</v>
      </c>
      <c r="S164" s="172">
        <f>+R164*AR164</f>
        <v>7.7796844866249046E-6</v>
      </c>
      <c r="T164" s="172"/>
      <c r="U164" s="172"/>
      <c r="V164" s="166">
        <f t="shared" si="374"/>
        <v>424.35846061456033</v>
      </c>
      <c r="W164" s="170"/>
      <c r="X164" s="174">
        <v>27.005991348313799</v>
      </c>
      <c r="Y164" s="175">
        <v>3.4065760651471932E-2</v>
      </c>
      <c r="Z164" s="175">
        <f>+Y164*AR164</f>
        <v>5.9180858016036505E-6</v>
      </c>
      <c r="AA164" s="175"/>
      <c r="AB164" s="175"/>
      <c r="AC164" s="170">
        <f t="shared" si="287"/>
        <v>1381.9048640636186</v>
      </c>
      <c r="AD164" s="175">
        <f t="shared" ref="AD164:AD179" si="405">LN(AC164/AC163)</f>
        <v>6.0078829911313213E-2</v>
      </c>
      <c r="AE164" s="170"/>
      <c r="AF164" s="170"/>
      <c r="AG164" s="121">
        <f t="shared" ref="AG164:AG179" si="406">+(AC164*1000)/AZ164</f>
        <v>369.98791541194606</v>
      </c>
      <c r="AH164" s="119">
        <f>+AZ164/$BB$44</f>
        <v>1.0624555763428948E-4</v>
      </c>
      <c r="AI164" s="119"/>
      <c r="AJ164" s="176">
        <f>+AH164*AG164</f>
        <v>3.9309572390890536E-2</v>
      </c>
      <c r="AK164" s="176">
        <f>+AI164*AG164</f>
        <v>0</v>
      </c>
      <c r="AL164" s="120">
        <f t="shared" si="394"/>
        <v>0.2830330402841334</v>
      </c>
      <c r="AM164" s="120">
        <f t="shared" si="395"/>
        <v>0.4098847056114161</v>
      </c>
      <c r="AN164" s="120">
        <f t="shared" si="396"/>
        <v>0.30708225410445056</v>
      </c>
      <c r="AO164" s="120">
        <f t="shared" si="400"/>
        <v>4.1781288151596374E-2</v>
      </c>
      <c r="AP164" s="173">
        <f>+AP163*EXP(AO164)</f>
        <v>104.26664103131695</v>
      </c>
      <c r="AQ164" s="175">
        <f>LN(AP164/AP163)</f>
        <v>4.1781288151596277E-2</v>
      </c>
      <c r="AR164" s="177">
        <f>+AC164/$AE$44</f>
        <v>1.7372533853424871E-4</v>
      </c>
      <c r="AS164" s="177">
        <f>+AR164*AQ164</f>
        <v>7.2584684285330576E-6</v>
      </c>
      <c r="AT164" s="177"/>
      <c r="AU164" s="177"/>
      <c r="AV164" s="177"/>
      <c r="AW164" s="190"/>
      <c r="AX164" s="120"/>
      <c r="AY164" s="120"/>
      <c r="AZ164" s="118">
        <f>IFERROR(INDEX('Total Customers'!$F$7:$AB$91,MATCH($C164,'Total Customers'!$D$7:$D$91,0),MATCH($G164,'Total Customers'!$F$5:$AB$5,0)),"NA")</f>
        <v>3735</v>
      </c>
      <c r="BA164" s="119">
        <f t="shared" si="375"/>
        <v>-3.9632532370467745E-2</v>
      </c>
      <c r="BB164" s="119"/>
      <c r="BC164" s="121"/>
      <c r="BD164" s="119"/>
      <c r="BE164" s="119"/>
      <c r="BF164" s="119"/>
      <c r="BG164" s="173"/>
      <c r="BH164" s="173"/>
      <c r="BI164" s="173"/>
      <c r="BJ164" s="173"/>
      <c r="BK164" s="173"/>
      <c r="BL164" s="173"/>
      <c r="BM164" s="173"/>
      <c r="BN164" s="173"/>
      <c r="BO164" s="173"/>
      <c r="BP164" s="173"/>
      <c r="BQ164" s="118"/>
      <c r="BR164" s="118"/>
      <c r="BS164" s="118">
        <f>INDEX('Dist. Plant Gas Additions'!$F$7:$AE$91,MATCH($C164,'Dist. Plant Gas Additions'!$D$7:$D$91,0),MATCH(Calculation!$G164,'Dist. Plant Gas Additions'!$F$5:$AE$5,0))</f>
        <v>466</v>
      </c>
      <c r="BT164" s="118">
        <f>INDEX('Gen. Plant Additions'!$F$7:$AE$91,MATCH($C164,'Gen. Plant Additions'!$D$7:$D$91,0),MATCH(Calculation!$G164,'Gen. Plant Additions'!$F$5:$AE$5,0))</f>
        <v>24</v>
      </c>
      <c r="BU164" s="118"/>
      <c r="BV164" s="118"/>
      <c r="BW164" s="118">
        <f>INDEX('Dist Plant Depreciation'!$E$7:$AD$94,MATCH($C164,'Dist Plant Depreciation'!$D$7:$D$94,0),MATCH(Calculation!$G164,'Dist Plant Depreciation'!$E$5:$AD$5,0))</f>
        <v>1757</v>
      </c>
      <c r="BX164" s="118">
        <f>INDEX('Gen. Plant Depreciation'!$E$7:$AD$94,MATCH($C164,'Gen. Plant Depreciation'!$D$7:$D$94,0),MATCH(Calculation!$G164,'Gen. Plant Depreciation'!$E$5:$AD$5,0))</f>
        <v>393</v>
      </c>
      <c r="BY164" s="118"/>
      <c r="BZ164" s="118"/>
      <c r="CA164" s="118"/>
      <c r="CB164" s="118"/>
      <c r="CC164" s="118"/>
      <c r="CD164" s="118"/>
      <c r="CE164" s="118">
        <f>INDEX('Gross Dx Plant'!$E$7:$AD$91,MATCH($C164,'Gross Dx Plant'!$D$7:$D$91,0),MATCH(Calculation!$G164,'Gross Dx Plant'!$E$5:$AD$5,0))</f>
        <v>6946</v>
      </c>
      <c r="CF164" s="118">
        <f>INDEX('Gross Gen Plant'!$E$7:$AD$91,MATCH($C164,'Gross Gen Plant'!$D$7:$D$91,0),MATCH(Calculation!$G164,'Gross Gen Plant'!$E$5:$AD$5,0))</f>
        <v>996</v>
      </c>
      <c r="CG164" s="118">
        <f t="shared" si="215"/>
        <v>5792</v>
      </c>
      <c r="CH164" s="119" t="e">
        <f>SUM(#REF!)/15</f>
        <v>#REF!</v>
      </c>
      <c r="CI164" s="121">
        <v>2006</v>
      </c>
      <c r="CJ164" s="118"/>
      <c r="CK164" s="118"/>
      <c r="CL164" s="118"/>
      <c r="CM164" s="183"/>
      <c r="CN164" s="118">
        <f t="shared" si="376"/>
        <v>490</v>
      </c>
      <c r="CO164" s="118">
        <f t="shared" si="377"/>
        <v>1.0627092294998091</v>
      </c>
      <c r="CP164" s="186">
        <v>0.9555555555555556</v>
      </c>
      <c r="CQ164" s="118">
        <f>+CQ156*CP164+CO157*CP163+CO158*CP162+CO159*CP161+CO160*CP160+CO161*CP159+CO162*CP158+CO163*CP157+CO164</f>
        <v>27.005991348313799</v>
      </c>
      <c r="CR164" s="119">
        <f t="shared" si="378"/>
        <v>3.4065760651471932E-2</v>
      </c>
      <c r="CS164" s="119"/>
      <c r="CT164" s="177">
        <f t="shared" si="379"/>
        <v>6.0618367951493354E-3</v>
      </c>
      <c r="CU164" s="177">
        <f t="shared" si="387"/>
        <v>5.9018688686395841E-3</v>
      </c>
      <c r="CV164" s="119">
        <f>VLOOKUP($H164,RoR!$E:$F,2,FALSE)</f>
        <v>5.5874999999999994E-2</v>
      </c>
      <c r="CW164" s="177">
        <v>3.0512430354548314E-2</v>
      </c>
      <c r="CX164" s="177">
        <f t="shared" si="385"/>
        <v>2.536256964545168E-2</v>
      </c>
      <c r="CY164" s="177">
        <f t="shared" si="388"/>
        <v>2.500007273989404E-2</v>
      </c>
      <c r="CZ164" s="177">
        <f t="shared" si="389"/>
        <v>7.9087823893859641E-2</v>
      </c>
      <c r="DA164" s="187">
        <f t="shared" si="380"/>
        <v>0.84925000000000006</v>
      </c>
      <c r="DB164" s="188">
        <f t="shared" si="381"/>
        <v>0.91779957551769631</v>
      </c>
      <c r="DC164" s="188">
        <f t="shared" si="382"/>
        <v>0.52757270693512304</v>
      </c>
      <c r="DD164" s="188">
        <f t="shared" si="383"/>
        <v>0.88636824549024895</v>
      </c>
      <c r="DE164" s="188">
        <f t="shared" si="384"/>
        <v>0.42918482841932087</v>
      </c>
      <c r="DF164" s="189">
        <f>INDEX('State Tax Lookup'!$D$7:$Z$91,MATCH(Calculation!$C164,'State Tax Lookup'!$B$7:$B$91,0),MATCH($H164,'State Tax Lookup'!$D$6:$Z$6,0))</f>
        <v>0.40200000000000002</v>
      </c>
      <c r="DG164" s="189">
        <v>0.375</v>
      </c>
      <c r="DH164" s="190">
        <f t="shared" si="386"/>
        <v>16.258007254132124</v>
      </c>
      <c r="DI164" s="190">
        <v>15.80802839453173</v>
      </c>
      <c r="DJ164" s="177"/>
      <c r="DK164" s="189">
        <f>VLOOKUP($H164,RoR!$E:$F,2,FALSE)</f>
        <v>5.5874999999999994E-2</v>
      </c>
      <c r="DL164" s="191">
        <f>HLOOKUP($H164,'GDP-PI'!$D$8:$CQ$11,3,FALSE)</f>
        <v>3.0512430354548314E-2</v>
      </c>
      <c r="DM164" s="189">
        <f>VLOOKUP(H164,'HW Dx Data'!$E:$F,2,FALSE)</f>
        <v>461.08567272971823</v>
      </c>
      <c r="DN164" s="183">
        <f>VLOOKUP(H164,'ECI - Input Price'!$G$17:$H$37,2,FALSE)</f>
        <v>102.05</v>
      </c>
      <c r="DO164" s="177">
        <f t="shared" ref="DO164" si="407">LN(DN164/DN163)</f>
        <v>2.8829034290048662E-2</v>
      </c>
      <c r="DP164" s="183">
        <f>HLOOKUP(H164,'GDP-PI'!$8:$9,2,FALSE)</f>
        <v>90.073999999999998</v>
      </c>
      <c r="DQ164" s="177">
        <f t="shared" ref="DQ164" si="408">LN(DP164/DP163)</f>
        <v>3.005618372545445E-2</v>
      </c>
      <c r="DW164" s="192"/>
      <c r="DX164" s="192"/>
      <c r="DY164" s="192"/>
      <c r="DZ164" s="192"/>
      <c r="EA164" s="192"/>
      <c r="EB164" s="192"/>
      <c r="EC164" s="192"/>
      <c r="ED164" s="192"/>
      <c r="EE164" s="192"/>
    </row>
    <row r="165" spans="1:135" s="167" customFormat="1" ht="21" x14ac:dyDescent="0.35">
      <c r="A165" s="167" t="s">
        <v>37</v>
      </c>
      <c r="B165" s="168" t="s">
        <v>37</v>
      </c>
      <c r="C165" s="168">
        <v>4058793</v>
      </c>
      <c r="D165" s="168" t="s">
        <v>135</v>
      </c>
      <c r="E165" s="168"/>
      <c r="F165" s="168"/>
      <c r="G165" s="168" t="s">
        <v>13</v>
      </c>
      <c r="H165" s="169">
        <v>2007</v>
      </c>
      <c r="I165" s="170"/>
      <c r="J165" s="166">
        <f>IFERROR(INDEX('Labor Expenditures'!$F$7:$X$91,MATCH($C165,'Labor Expenditures'!$D$7:$D$91,0),MATCH($G165,'Labor Expenditures'!$F$5:$X$5,0)),"NA")</f>
        <v>391.40797931382116</v>
      </c>
      <c r="K165" s="166">
        <f t="shared" si="392"/>
        <v>3.7197242035050713</v>
      </c>
      <c r="L165" s="172">
        <f t="shared" si="399"/>
        <v>-2.9914108658054744E-2</v>
      </c>
      <c r="M165" s="172">
        <f t="shared" si="403"/>
        <v>-5.0916488730197818E-6</v>
      </c>
      <c r="N165" s="196"/>
      <c r="O165" s="172"/>
      <c r="P165" s="166">
        <f>IFERROR(INDEX('Non-Labor Expenditures'!$F$7:$AB$91,MATCH($C165,'Non-Labor Expenditures'!$D$7:$D$91,0),MATCH($G165,'Non-Labor Expenditures'!$F$5:$AB$5,0)),"NA")</f>
        <v>566.83185897289218</v>
      </c>
      <c r="Q165" s="166">
        <f t="shared" si="393"/>
        <v>6.1280444871553135</v>
      </c>
      <c r="R165" s="172">
        <f t="shared" si="404"/>
        <v>-2.5831551207312006E-2</v>
      </c>
      <c r="S165" s="172">
        <f t="shared" ref="S165:S179" si="409">+R165*AR165</f>
        <v>-4.3967610767385566E-6</v>
      </c>
      <c r="T165" s="172"/>
      <c r="U165" s="172"/>
      <c r="V165" s="166">
        <f t="shared" si="374"/>
        <v>471.84877204207419</v>
      </c>
      <c r="W165" s="170"/>
      <c r="X165" s="174">
        <v>27.797040981906356</v>
      </c>
      <c r="Y165" s="175">
        <v>2.8870832354565928E-2</v>
      </c>
      <c r="Z165" s="175">
        <f t="shared" ref="Z165:Z179" si="410">+Y165*AR165</f>
        <v>4.9140739141390745E-6</v>
      </c>
      <c r="AA165" s="175"/>
      <c r="AB165" s="175"/>
      <c r="AC165" s="170">
        <f t="shared" si="287"/>
        <v>1430.0886103287876</v>
      </c>
      <c r="AD165" s="175">
        <f t="shared" si="405"/>
        <v>3.4273523958199041E-2</v>
      </c>
      <c r="AE165" s="170"/>
      <c r="AF165" s="170"/>
      <c r="AG165" s="121">
        <f t="shared" si="406"/>
        <v>389.13975791259526</v>
      </c>
      <c r="AH165" s="119">
        <f>+AZ165/$BB$45</f>
        <v>1.0375499208647482E-4</v>
      </c>
      <c r="AI165" s="119"/>
      <c r="AJ165" s="176">
        <f t="shared" ref="AJ165:AJ179" si="411">+AH165*AG165</f>
        <v>4.0375192502754044E-2</v>
      </c>
      <c r="AK165" s="176">
        <f t="shared" ref="AK165:AK179" si="412">+AI165*AG165</f>
        <v>0</v>
      </c>
      <c r="AL165" s="120">
        <f t="shared" si="394"/>
        <v>0.27369491406818047</v>
      </c>
      <c r="AM165" s="120">
        <f t="shared" si="395"/>
        <v>0.39636135472932232</v>
      </c>
      <c r="AN165" s="120">
        <f t="shared" si="396"/>
        <v>0.32994373120249715</v>
      </c>
      <c r="AO165" s="120">
        <f t="shared" si="400"/>
        <v>-9.5445682427789721E-3</v>
      </c>
      <c r="AP165" s="173">
        <f>+AP164*EXP(AO165)</f>
        <v>103.27619516863476</v>
      </c>
      <c r="AQ165" s="175">
        <f>LN(AP165/AP164)</f>
        <v>-9.5445682427789461E-3</v>
      </c>
      <c r="AR165" s="177">
        <f>+AC165/$AE$45</f>
        <v>1.7020894492367875E-4</v>
      </c>
      <c r="AS165" s="177">
        <f t="shared" ref="AS165:AS179" si="413">+AR165*AQ165</f>
        <v>-1.624570890355455E-6</v>
      </c>
      <c r="AT165" s="177"/>
      <c r="AU165" s="177"/>
      <c r="AV165" s="177"/>
      <c r="AW165" s="190"/>
      <c r="AX165" s="120"/>
      <c r="AY165" s="120"/>
      <c r="AZ165" s="118">
        <f>IFERROR(INDEX('Total Customers'!$F$7:$AB$91,MATCH($C165,'Total Customers'!$D$7:$D$91,0),MATCH($G165,'Total Customers'!$F$5:$AB$5,0)),"NA")</f>
        <v>3675</v>
      </c>
      <c r="BA165" s="119">
        <f t="shared" si="375"/>
        <v>-1.6194685919980606E-2</v>
      </c>
      <c r="BB165" s="119"/>
      <c r="BC165" s="121"/>
      <c r="BD165" s="119"/>
      <c r="BE165" s="119"/>
      <c r="BF165" s="119"/>
      <c r="BG165" s="173"/>
      <c r="BH165" s="173"/>
      <c r="BI165" s="173"/>
      <c r="BJ165" s="173"/>
      <c r="BK165" s="173"/>
      <c r="BL165" s="173"/>
      <c r="BM165" s="173"/>
      <c r="BN165" s="173"/>
      <c r="BO165" s="173"/>
      <c r="BP165" s="173"/>
      <c r="BQ165" s="118"/>
      <c r="BR165" s="118"/>
      <c r="BS165" s="118">
        <f>INDEX('Dist. Plant Gas Additions'!$F$7:$AE$91,MATCH($C165,'Dist. Plant Gas Additions'!$D$7:$D$91,0),MATCH(Calculation!$G165,'Dist. Plant Gas Additions'!$F$5:$AE$5,0))</f>
        <v>374</v>
      </c>
      <c r="BT165" s="118">
        <f>INDEX('Gen. Plant Additions'!$F$7:$AE$91,MATCH($C165,'Gen. Plant Additions'!$D$7:$D$91,0),MATCH(Calculation!$G165,'Gen. Plant Additions'!$F$5:$AE$5,0))</f>
        <v>104</v>
      </c>
      <c r="BU165" s="118"/>
      <c r="BV165" s="118"/>
      <c r="BW165" s="118">
        <f>INDEX('Dist Plant Depreciation'!$E$7:$AD$94,MATCH($C165,'Dist Plant Depreciation'!$D$7:$D$94,0),MATCH(Calculation!$G165,'Dist Plant Depreciation'!$E$5:$AD$5,0))</f>
        <v>1878</v>
      </c>
      <c r="BX165" s="118">
        <f>INDEX('Gen. Plant Depreciation'!$E$7:$AD$94,MATCH($C165,'Gen. Plant Depreciation'!$D$7:$D$94,0),MATCH(Calculation!$G165,'Gen. Plant Depreciation'!$E$5:$AD$5,0))</f>
        <v>498</v>
      </c>
      <c r="BY165" s="118"/>
      <c r="BZ165" s="118"/>
      <c r="CA165" s="118"/>
      <c r="CB165" s="118"/>
      <c r="CC165" s="118"/>
      <c r="CD165" s="118"/>
      <c r="CE165" s="118">
        <f>INDEX('Gross Dx Plant'!$E$7:$AD$91,MATCH($C165,'Gross Dx Plant'!$D$7:$D$91,0),MATCH(Calculation!$G165,'Gross Dx Plant'!$E$5:$AD$5,0))</f>
        <v>7221</v>
      </c>
      <c r="CF165" s="118">
        <f>INDEX('Gross Gen Plant'!$E$7:$AD$91,MATCH($C165,'Gross Gen Plant'!$D$7:$D$91,0),MATCH(Calculation!$G165,'Gross Gen Plant'!$E$5:$AD$5,0))</f>
        <v>1058</v>
      </c>
      <c r="CG165" s="118">
        <f t="shared" si="215"/>
        <v>5903</v>
      </c>
      <c r="CH165" s="118"/>
      <c r="CI165" s="121">
        <v>2007</v>
      </c>
      <c r="CJ165" s="118"/>
      <c r="CK165" s="118"/>
      <c r="CL165" s="118"/>
      <c r="CM165" s="183"/>
      <c r="CN165" s="118">
        <f t="shared" si="376"/>
        <v>478</v>
      </c>
      <c r="CO165" s="118">
        <f t="shared" si="377"/>
        <v>0.95979634876787412</v>
      </c>
      <c r="CP165" s="186">
        <v>0.94915254237288138</v>
      </c>
      <c r="CQ165" s="118">
        <f>+CQ156*CP165+CO157*CP164+CO158*CP163+CO159*CP162+CO160*CP161+CO161*CP160+CO162*CP159+CO163*CP158+CO164*CP157+CO165</f>
        <v>27.797040981906356</v>
      </c>
      <c r="CR165" s="119">
        <f t="shared" si="378"/>
        <v>2.8870832354565928E-2</v>
      </c>
      <c r="CS165" s="119"/>
      <c r="CT165" s="177">
        <f t="shared" si="379"/>
        <v>6.2484917883176743E-3</v>
      </c>
      <c r="CU165" s="177">
        <f t="shared" si="387"/>
        <v>6.0687191801670273E-3</v>
      </c>
      <c r="CV165" s="119">
        <f>VLOOKUP($H165,RoR!$E:$F,2,FALSE)</f>
        <v>5.5558333333333321E-2</v>
      </c>
      <c r="CW165" s="177">
        <v>2.691120634145272E-2</v>
      </c>
      <c r="CX165" s="177">
        <f t="shared" si="385"/>
        <v>2.86471269918806E-2</v>
      </c>
      <c r="CY165" s="177">
        <f t="shared" si="388"/>
        <v>2.4833222428366598E-2</v>
      </c>
      <c r="CZ165" s="177">
        <f t="shared" si="389"/>
        <v>6.4575155250632399E-2</v>
      </c>
      <c r="DA165" s="187">
        <f t="shared" si="380"/>
        <v>0.84925000000000006</v>
      </c>
      <c r="DB165" s="188">
        <f t="shared" si="381"/>
        <v>0.92303077153834634</v>
      </c>
      <c r="DC165" s="188">
        <f t="shared" si="382"/>
        <v>0.52502249887505614</v>
      </c>
      <c r="DD165" s="188">
        <f t="shared" si="383"/>
        <v>0.88499666072084604</v>
      </c>
      <c r="DE165" s="188">
        <f t="shared" si="384"/>
        <v>0.42887993290280618</v>
      </c>
      <c r="DF165" s="189">
        <f>INDEX('State Tax Lookup'!$D$7:$Z$91,MATCH(Calculation!$C165,'State Tax Lookup'!$B$7:$B$91,0),MATCH($H165,'State Tax Lookup'!$D$6:$Z$6,0))</f>
        <v>0.40200000000000002</v>
      </c>
      <c r="DG165" s="189">
        <v>0.375</v>
      </c>
      <c r="DH165" s="190">
        <f t="shared" si="386"/>
        <v>17.472003377188948</v>
      </c>
      <c r="DI165" s="190">
        <v>17.232980790121943</v>
      </c>
      <c r="DJ165" s="177"/>
      <c r="DK165" s="189">
        <f>VLOOKUP($H165,RoR!$E:$F,2,FALSE)</f>
        <v>5.5558333333333321E-2</v>
      </c>
      <c r="DL165" s="191">
        <f>HLOOKUP($H165,'GDP-PI'!$D$8:$CQ$11,3,FALSE)</f>
        <v>2.691120634145272E-2</v>
      </c>
      <c r="DM165" s="189">
        <f>VLOOKUP(H165,'HW Dx Data'!$E:$F,2,FALSE)</f>
        <v>498.0223154772637</v>
      </c>
      <c r="DN165" s="183">
        <f>VLOOKUP(H165,'ECI - Input Price'!$G$17:$H$37,2,FALSE)</f>
        <v>105.22500000000001</v>
      </c>
      <c r="DO165" s="177">
        <f t="shared" ref="DO165" si="414">LN(DN165/DN164)</f>
        <v>3.0638025400780679E-2</v>
      </c>
      <c r="DP165" s="183">
        <f>HLOOKUP(H165,'GDP-PI'!$8:$9,2,FALSE)</f>
        <v>92.498000000000005</v>
      </c>
      <c r="DQ165" s="177">
        <f t="shared" ref="DQ165" si="415">LN(DP165/DP164)</f>
        <v>2.6555467950038037E-2</v>
      </c>
      <c r="DW165" s="192"/>
      <c r="DX165" s="192"/>
      <c r="DY165" s="192"/>
      <c r="DZ165" s="192"/>
      <c r="EA165" s="192"/>
      <c r="EB165" s="192"/>
      <c r="EC165" s="192"/>
      <c r="ED165" s="192"/>
      <c r="EE165" s="192"/>
    </row>
    <row r="166" spans="1:135" s="167" customFormat="1" ht="21" x14ac:dyDescent="0.35">
      <c r="A166" s="167" t="s">
        <v>37</v>
      </c>
      <c r="B166" s="168" t="s">
        <v>37</v>
      </c>
      <c r="C166" s="168">
        <v>4058793</v>
      </c>
      <c r="D166" s="168" t="s">
        <v>135</v>
      </c>
      <c r="E166" s="168"/>
      <c r="F166" s="168"/>
      <c r="G166" s="168" t="s">
        <v>14</v>
      </c>
      <c r="H166" s="169">
        <v>2008</v>
      </c>
      <c r="I166" s="170"/>
      <c r="J166" s="166">
        <f>IFERROR(INDEX('Labor Expenditures'!$F$7:$X$91,MATCH($C166,'Labor Expenditures'!$D$7:$D$91,0),MATCH($G166,'Labor Expenditures'!$F$5:$X$5,0)),"NA")</f>
        <v>314.41990659111622</v>
      </c>
      <c r="K166" s="166">
        <f t="shared" si="392"/>
        <v>2.905242842144756</v>
      </c>
      <c r="L166" s="172">
        <f t="shared" si="399"/>
        <v>-0.24713254534178242</v>
      </c>
      <c r="M166" s="172">
        <f t="shared" si="403"/>
        <v>-3.6361772587392851E-5</v>
      </c>
      <c r="N166" s="196"/>
      <c r="O166" s="172"/>
      <c r="P166" s="166">
        <f>IFERROR(INDEX('Non-Labor Expenditures'!$F$7:$AB$91,MATCH($C166,'Non-Labor Expenditures'!$D$7:$D$91,0),MATCH($G166,'Non-Labor Expenditures'!$F$5:$AB$5,0)),"NA")</f>
        <v>455.33875028191636</v>
      </c>
      <c r="Q166" s="166">
        <f t="shared" si="393"/>
        <v>4.8304628520104851</v>
      </c>
      <c r="R166" s="172">
        <f t="shared" si="404"/>
        <v>-0.23793340041840497</v>
      </c>
      <c r="S166" s="172">
        <f t="shared" si="409"/>
        <v>-3.5008259171182482E-5</v>
      </c>
      <c r="T166" s="172"/>
      <c r="U166" s="172"/>
      <c r="V166" s="166">
        <f t="shared" si="374"/>
        <v>551.81190101105267</v>
      </c>
      <c r="W166" s="170"/>
      <c r="X166" s="174">
        <v>28.418024489231243</v>
      </c>
      <c r="Y166" s="175">
        <v>2.2094033434472485E-2</v>
      </c>
      <c r="Z166" s="175">
        <f t="shared" si="410"/>
        <v>3.2507989515159845E-6</v>
      </c>
      <c r="AA166" s="175"/>
      <c r="AB166" s="175"/>
      <c r="AC166" s="170">
        <f t="shared" si="287"/>
        <v>1321.5705578840852</v>
      </c>
      <c r="AD166" s="175">
        <f t="shared" si="405"/>
        <v>-7.8915561710588902E-2</v>
      </c>
      <c r="AE166" s="170"/>
      <c r="AF166" s="170"/>
      <c r="AG166" s="121">
        <f t="shared" si="406"/>
        <v>370.08416630750077</v>
      </c>
      <c r="AH166" s="119">
        <f>+AZ166/$BB$46</f>
        <v>1.0028124262567636E-4</v>
      </c>
      <c r="AI166" s="119"/>
      <c r="AJ166" s="176">
        <f t="shared" si="411"/>
        <v>3.7112500073403644E-2</v>
      </c>
      <c r="AK166" s="176">
        <f t="shared" si="412"/>
        <v>0</v>
      </c>
      <c r="AL166" s="120">
        <f t="shared" si="394"/>
        <v>0.23791382511919879</v>
      </c>
      <c r="AM166" s="120">
        <f t="shared" si="395"/>
        <v>0.34454365494562877</v>
      </c>
      <c r="AN166" s="120">
        <f t="shared" si="396"/>
        <v>0.4175425199351725</v>
      </c>
      <c r="AO166" s="120">
        <f t="shared" si="400"/>
        <v>-0.14310311602451264</v>
      </c>
      <c r="AP166" s="173">
        <f t="shared" ref="AP166:AP179" si="416">+AP165*EXP(AO166)</f>
        <v>89.505832420978578</v>
      </c>
      <c r="AQ166" s="175">
        <f t="shared" ref="AQ166:AQ179" si="417">LN(AP166/AP165)</f>
        <v>-0.14310311602451267</v>
      </c>
      <c r="AR166" s="177">
        <f>+AC166/$AE$46</f>
        <v>1.4713469865777816E-4</v>
      </c>
      <c r="AS166" s="177">
        <f t="shared" si="413"/>
        <v>-2.1055433853255738E-5</v>
      </c>
      <c r="AT166" s="177"/>
      <c r="AU166" s="177"/>
      <c r="AV166" s="177"/>
      <c r="AW166" s="190"/>
      <c r="AX166" s="120"/>
      <c r="AY166" s="120"/>
      <c r="AZ166" s="118">
        <f>IFERROR(INDEX('Total Customers'!$F$7:$AB$91,MATCH($C166,'Total Customers'!$D$7:$D$91,0),MATCH($G166,'Total Customers'!$F$5:$AB$5,0)),"NA")</f>
        <v>3571</v>
      </c>
      <c r="BA166" s="119">
        <f t="shared" si="375"/>
        <v>-2.8707464052488574E-2</v>
      </c>
      <c r="BB166" s="119"/>
      <c r="BC166" s="121"/>
      <c r="BD166" s="119"/>
      <c r="BE166" s="119"/>
      <c r="BF166" s="119"/>
      <c r="BG166" s="173"/>
      <c r="BH166" s="173"/>
      <c r="BI166" s="173"/>
      <c r="BJ166" s="173"/>
      <c r="BK166" s="173"/>
      <c r="BL166" s="173"/>
      <c r="BM166" s="173"/>
      <c r="BN166" s="173"/>
      <c r="BO166" s="173"/>
      <c r="BP166" s="173"/>
      <c r="BQ166" s="118"/>
      <c r="BR166" s="118"/>
      <c r="BS166" s="118">
        <f>INDEX('Dist. Plant Gas Additions'!$F$7:$AE$91,MATCH($C166,'Dist. Plant Gas Additions'!$D$7:$D$91,0),MATCH(Calculation!$G166,'Dist. Plant Gas Additions'!$F$5:$AE$5,0))</f>
        <v>366</v>
      </c>
      <c r="BT166" s="118">
        <f>INDEX('Gen. Plant Additions'!$F$7:$AE$91,MATCH($C166,'Gen. Plant Additions'!$D$7:$D$91,0),MATCH(Calculation!$G166,'Gen. Plant Additions'!$F$5:$AE$5,0))</f>
        <v>90</v>
      </c>
      <c r="BU166" s="118"/>
      <c r="BV166" s="118"/>
      <c r="BW166" s="118" t="str">
        <f>INDEX('Dist Plant Depreciation'!$E$7:$AD$94,MATCH($C166,'Dist Plant Depreciation'!$D$7:$D$94,0),MATCH(Calculation!$G166,'Dist Plant Depreciation'!$E$5:$AD$5,0))</f>
        <v>NA</v>
      </c>
      <c r="BX166" s="118" t="str">
        <f>INDEX('Gen. Plant Depreciation'!$E$7:$AD$94,MATCH($C166,'Gen. Plant Depreciation'!$D$7:$D$94,0),MATCH(Calculation!$G166,'Gen. Plant Depreciation'!$E$5:$AD$5,0))</f>
        <v>NA</v>
      </c>
      <c r="BY166" s="118"/>
      <c r="BZ166" s="118"/>
      <c r="CA166" s="118"/>
      <c r="CB166" s="118"/>
      <c r="CC166" s="118"/>
      <c r="CD166" s="118"/>
      <c r="CE166" s="118">
        <f>INDEX('Gross Dx Plant'!$E$7:$AD$91,MATCH($C166,'Gross Dx Plant'!$D$7:$D$91,0),MATCH(Calculation!$G166,'Gross Dx Plant'!$E$5:$AD$5,0))</f>
        <v>7510</v>
      </c>
      <c r="CF166" s="118">
        <f>INDEX('Gross Gen Plant'!$E$7:$AD$91,MATCH($C166,'Gross Gen Plant'!$D$7:$D$91,0),MATCH(Calculation!$G166,'Gross Gen Plant'!$E$5:$AD$5,0))</f>
        <v>1148</v>
      </c>
      <c r="CG166" s="118" t="str">
        <f t="shared" si="215"/>
        <v>NA</v>
      </c>
      <c r="CH166" s="118"/>
      <c r="CI166" s="121">
        <v>2008</v>
      </c>
      <c r="CJ166" s="118"/>
      <c r="CK166" s="118"/>
      <c r="CL166" s="118"/>
      <c r="CM166" s="183"/>
      <c r="CN166" s="118">
        <f t="shared" si="376"/>
        <v>456</v>
      </c>
      <c r="CO166" s="118">
        <f t="shared" si="377"/>
        <v>0.80016676691795274</v>
      </c>
      <c r="CP166" s="186">
        <v>0.94252873563218387</v>
      </c>
      <c r="CQ166" s="118">
        <f>+CQ156*CP166+CO157*CP165+CO158*CP164+CO159*CP163+CO160*CP162+CO161*CP161+CO162*CP160+CO163*CP159+CO164*CP158+CO165*CP157+CO166</f>
        <v>28.418024489231243</v>
      </c>
      <c r="CR166" s="119">
        <f t="shared" si="378"/>
        <v>2.2094033434472485E-2</v>
      </c>
      <c r="CS166" s="119"/>
      <c r="CT166" s="177">
        <f t="shared" si="379"/>
        <v>6.4461271151019222E-3</v>
      </c>
      <c r="CU166" s="177">
        <f t="shared" si="387"/>
        <v>6.2521518995229779E-3</v>
      </c>
      <c r="CV166" s="119">
        <f>VLOOKUP($H166,RoR!$E:$F,2,FALSE)</f>
        <v>5.6316666666666668E-2</v>
      </c>
      <c r="CW166" s="177">
        <v>1.9092304698479889E-2</v>
      </c>
      <c r="CX166" s="177">
        <f t="shared" si="385"/>
        <v>3.7224361968186778E-2</v>
      </c>
      <c r="CY166" s="177">
        <f t="shared" si="388"/>
        <v>2.4649789709010647E-2</v>
      </c>
      <c r="CZ166" s="177">
        <f t="shared" si="389"/>
        <v>6.9030581091053131E-2</v>
      </c>
      <c r="DA166" s="187">
        <f t="shared" si="380"/>
        <v>0.84925000000000006</v>
      </c>
      <c r="DB166" s="188">
        <f t="shared" si="381"/>
        <v>0.91060168006009956</v>
      </c>
      <c r="DC166" s="188">
        <f t="shared" si="382"/>
        <v>0.53108168097070152</v>
      </c>
      <c r="DD166" s="188">
        <f t="shared" si="383"/>
        <v>0.88825329850328805</v>
      </c>
      <c r="DE166" s="188">
        <f t="shared" si="384"/>
        <v>0.4295627335323573</v>
      </c>
      <c r="DF166" s="189">
        <f>INDEX('State Tax Lookup'!$D$7:$Z$91,MATCH(Calculation!$C166,'State Tax Lookup'!$B$7:$B$91,0),MATCH($H166,'State Tax Lookup'!$D$6:$Z$6,0))</f>
        <v>0.40200000000000002</v>
      </c>
      <c r="DG166" s="189">
        <v>0.375</v>
      </c>
      <c r="DH166" s="190">
        <f t="shared" si="386"/>
        <v>19.851461936910404</v>
      </c>
      <c r="DI166" s="190">
        <v>19.581799624685527</v>
      </c>
      <c r="DJ166" s="177"/>
      <c r="DK166" s="189">
        <f>VLOOKUP($H166,RoR!$E:$F,2,FALSE)</f>
        <v>5.6316666666666668E-2</v>
      </c>
      <c r="DL166" s="191">
        <f>HLOOKUP($H166,'GDP-PI'!$D$8:$CQ$11,3,FALSE)</f>
        <v>1.9092304698479889E-2</v>
      </c>
      <c r="DM166" s="189">
        <f>VLOOKUP(H166,'HW Dx Data'!$E:$F,2,FALSE)</f>
        <v>569.88120333515076</v>
      </c>
      <c r="DN166" s="183">
        <f>VLOOKUP(H166,'ECI - Input Price'!$G$17:$H$37,2,FALSE)</f>
        <v>108.22499999999999</v>
      </c>
      <c r="DO166" s="177">
        <f t="shared" ref="DO166" si="418">LN(DN166/DN165)</f>
        <v>2.8111478671409691E-2</v>
      </c>
      <c r="DP166" s="183">
        <f>HLOOKUP(H166,'GDP-PI'!$8:$9,2,FALSE)</f>
        <v>94.263999999999996</v>
      </c>
      <c r="DQ166" s="177">
        <f t="shared" ref="DQ166" si="419">LN(DP166/DP165)</f>
        <v>1.8912333748032254E-2</v>
      </c>
      <c r="DW166" s="192"/>
      <c r="DX166" s="192"/>
      <c r="DY166" s="192"/>
      <c r="DZ166" s="192"/>
      <c r="EA166" s="192"/>
      <c r="EB166" s="192"/>
      <c r="EC166" s="192"/>
      <c r="ED166" s="192"/>
      <c r="EE166" s="192"/>
    </row>
    <row r="167" spans="1:135" s="167" customFormat="1" ht="21" x14ac:dyDescent="0.35">
      <c r="A167" s="167" t="s">
        <v>37</v>
      </c>
      <c r="B167" s="168" t="s">
        <v>37</v>
      </c>
      <c r="C167" s="168">
        <v>4058793</v>
      </c>
      <c r="D167" s="168" t="s">
        <v>135</v>
      </c>
      <c r="E167" s="168"/>
      <c r="F167" s="168"/>
      <c r="G167" s="168" t="s">
        <v>15</v>
      </c>
      <c r="H167" s="169">
        <v>2009</v>
      </c>
      <c r="I167" s="170"/>
      <c r="J167" s="166">
        <f>IFERROR(INDEX('Labor Expenditures'!$F$7:$X$91,MATCH($C167,'Labor Expenditures'!$D$7:$D$91,0),MATCH($G167,'Labor Expenditures'!$F$5:$X$5,0)),"NA")</f>
        <v>324.0143888387704</v>
      </c>
      <c r="K167" s="166">
        <f t="shared" si="392"/>
        <v>2.951622763277344</v>
      </c>
      <c r="L167" s="172">
        <f t="shared" si="399"/>
        <v>1.583812700252828E-2</v>
      </c>
      <c r="M167" s="172">
        <f t="shared" si="403"/>
        <v>2.2556828823549477E-6</v>
      </c>
      <c r="N167" s="196"/>
      <c r="O167" s="172"/>
      <c r="P167" s="166">
        <f>IFERROR(INDEX('Non-Labor Expenditures'!$F$7:$AB$91,MATCH($C167,'Non-Labor Expenditures'!$D$7:$D$91,0),MATCH($G167,'Non-Labor Expenditures'!$F$5:$AB$5,0)),"NA")</f>
        <v>469.23335257861572</v>
      </c>
      <c r="Q167" s="166">
        <f t="shared" si="393"/>
        <v>4.9393504413584957</v>
      </c>
      <c r="R167" s="172">
        <f t="shared" si="404"/>
        <v>2.2291541303955612E-2</v>
      </c>
      <c r="S167" s="172">
        <f t="shared" si="409"/>
        <v>3.1747850066244713E-6</v>
      </c>
      <c r="T167" s="172"/>
      <c r="U167" s="172"/>
      <c r="V167" s="166">
        <f t="shared" si="374"/>
        <v>541.07888664489701</v>
      </c>
      <c r="W167" s="170"/>
      <c r="X167" s="174">
        <v>29.031028209874897</v>
      </c>
      <c r="Y167" s="175">
        <v>2.1341587315812371E-2</v>
      </c>
      <c r="Z167" s="175">
        <f t="shared" si="410"/>
        <v>3.0394915499084429E-6</v>
      </c>
      <c r="AA167" s="175"/>
      <c r="AB167" s="175"/>
      <c r="AC167" s="170">
        <f t="shared" si="287"/>
        <v>1334.3266280622831</v>
      </c>
      <c r="AD167" s="175">
        <f t="shared" si="405"/>
        <v>9.6059202389556161E-3</v>
      </c>
      <c r="AE167" s="170"/>
      <c r="AF167" s="170"/>
      <c r="AG167" s="121">
        <f t="shared" si="406"/>
        <v>381.56323364663518</v>
      </c>
      <c r="AH167" s="119">
        <f>+AZ167/$BB$47</f>
        <v>9.8061471960869673E-5</v>
      </c>
      <c r="AI167" s="119"/>
      <c r="AJ167" s="176">
        <f t="shared" si="411"/>
        <v>3.7416652337538277E-2</v>
      </c>
      <c r="AK167" s="176">
        <f t="shared" si="412"/>
        <v>0</v>
      </c>
      <c r="AL167" s="120">
        <f t="shared" si="394"/>
        <v>0.24282989039145983</v>
      </c>
      <c r="AM167" s="120">
        <f t="shared" si="395"/>
        <v>0.35166303565420043</v>
      </c>
      <c r="AN167" s="120">
        <f t="shared" si="396"/>
        <v>0.40550707395433971</v>
      </c>
      <c r="AO167" s="120">
        <f t="shared" si="400"/>
        <v>2.0349392497379205E-2</v>
      </c>
      <c r="AP167" s="173">
        <f t="shared" si="416"/>
        <v>91.345880166409017</v>
      </c>
      <c r="AQ167" s="175">
        <f t="shared" si="417"/>
        <v>2.0349392497379264E-2</v>
      </c>
      <c r="AR167" s="177">
        <f>+AC167/$AE$47</f>
        <v>1.4242106291955276E-4</v>
      </c>
      <c r="AS167" s="177">
        <f t="shared" si="413"/>
        <v>2.8981821092439271E-6</v>
      </c>
      <c r="AT167" s="177"/>
      <c r="AU167" s="177"/>
      <c r="AV167" s="177"/>
      <c r="AW167" s="190"/>
      <c r="AX167" s="120"/>
      <c r="AY167" s="120"/>
      <c r="AZ167" s="118">
        <f>IFERROR(INDEX('Total Customers'!$F$7:$AB$91,MATCH($C167,'Total Customers'!$D$7:$D$91,0),MATCH($G167,'Total Customers'!$F$5:$AB$5,0)),"NA")</f>
        <v>3497</v>
      </c>
      <c r="BA167" s="119">
        <f t="shared" si="375"/>
        <v>-2.0940210531072614E-2</v>
      </c>
      <c r="BB167" s="119"/>
      <c r="BC167" s="121"/>
      <c r="BD167" s="119"/>
      <c r="BE167" s="119"/>
      <c r="BF167" s="119"/>
      <c r="BG167" s="173"/>
      <c r="BH167" s="173"/>
      <c r="BI167" s="173"/>
      <c r="BJ167" s="173"/>
      <c r="BK167" s="173"/>
      <c r="BL167" s="173"/>
      <c r="BM167" s="173"/>
      <c r="BN167" s="173"/>
      <c r="BO167" s="173"/>
      <c r="BP167" s="173"/>
      <c r="BQ167" s="118"/>
      <c r="BR167" s="118"/>
      <c r="BS167" s="118">
        <f>INDEX('Dist. Plant Gas Additions'!$F$7:$AE$91,MATCH($C167,'Dist. Plant Gas Additions'!$D$7:$D$91,0),MATCH(Calculation!$G167,'Dist. Plant Gas Additions'!$F$5:$AE$5,0))</f>
        <v>440</v>
      </c>
      <c r="BT167" s="118">
        <f>INDEX('Gen. Plant Additions'!$F$7:$AE$91,MATCH($C167,'Gen. Plant Additions'!$D$7:$D$91,0),MATCH(Calculation!$G167,'Gen. Plant Additions'!$F$5:$AE$5,0))</f>
        <v>2</v>
      </c>
      <c r="BU167" s="118"/>
      <c r="BV167" s="118"/>
      <c r="BW167" s="118" t="str">
        <f>INDEX('Dist Plant Depreciation'!$E$7:$AD$94,MATCH($C167,'Dist Plant Depreciation'!$D$7:$D$94,0),MATCH(Calculation!$G167,'Dist Plant Depreciation'!$E$5:$AD$5,0))</f>
        <v>NA</v>
      </c>
      <c r="BX167" s="118" t="str">
        <f>INDEX('Gen. Plant Depreciation'!$E$7:$AD$94,MATCH($C167,'Gen. Plant Depreciation'!$D$7:$D$94,0),MATCH(Calculation!$G167,'Gen. Plant Depreciation'!$E$5:$AD$5,0))</f>
        <v>NA</v>
      </c>
      <c r="BY167" s="118"/>
      <c r="BZ167" s="118"/>
      <c r="CA167" s="118"/>
      <c r="CB167" s="118"/>
      <c r="CC167" s="118"/>
      <c r="CD167" s="118"/>
      <c r="CE167" s="118">
        <f>INDEX('Gross Dx Plant'!$E$7:$AD$91,MATCH($C167,'Gross Dx Plant'!$D$7:$D$91,0),MATCH(Calculation!$G167,'Gross Dx Plant'!$E$5:$AD$5,0))</f>
        <v>7950</v>
      </c>
      <c r="CF167" s="118">
        <f>INDEX('Gross Gen Plant'!$E$7:$AD$91,MATCH($C167,'Gross Gen Plant'!$D$7:$D$91,0),MATCH(Calculation!$G167,'Gross Gen Plant'!$E$5:$AD$5,0))</f>
        <v>1140</v>
      </c>
      <c r="CG167" s="118" t="str">
        <f t="shared" si="215"/>
        <v>NA</v>
      </c>
      <c r="CH167" s="118"/>
      <c r="CI167" s="121">
        <v>2009</v>
      </c>
      <c r="CJ167" s="118"/>
      <c r="CK167" s="118"/>
      <c r="CL167" s="118"/>
      <c r="CM167" s="183"/>
      <c r="CN167" s="118">
        <f t="shared" si="376"/>
        <v>442</v>
      </c>
      <c r="CO167" s="118">
        <f t="shared" si="377"/>
        <v>0.80226429215624795</v>
      </c>
      <c r="CP167" s="186">
        <v>0.93567251461988299</v>
      </c>
      <c r="CQ167" s="118">
        <f>+CQ156*CP167+CO157*CP166+CO158*CP165+CO159*CP164+CO160*CP163+CO161*CP162+CO162*CP161+CO163*CP160+CO164*CP159+CO165*CP158+CO166*CP157+CO167</f>
        <v>29.031028209874897</v>
      </c>
      <c r="CR167" s="119">
        <f t="shared" si="378"/>
        <v>2.1341587315812371E-2</v>
      </c>
      <c r="CS167" s="119"/>
      <c r="CT167" s="177">
        <f t="shared" si="379"/>
        <v>6.6598778385989679E-3</v>
      </c>
      <c r="CU167" s="177">
        <f t="shared" si="387"/>
        <v>6.4514989140061875E-3</v>
      </c>
      <c r="CV167" s="119">
        <f>VLOOKUP($H167,RoR!$E:$F,2,FALSE)</f>
        <v>5.3133333333333324E-2</v>
      </c>
      <c r="CW167" s="177">
        <v>7.7972502758210105E-3</v>
      </c>
      <c r="CX167" s="177">
        <f t="shared" si="385"/>
        <v>4.5336083057512314E-2</v>
      </c>
      <c r="CY167" s="177">
        <f t="shared" si="388"/>
        <v>2.4450442694527438E-2</v>
      </c>
      <c r="CZ167" s="177">
        <f t="shared" si="389"/>
        <v>6.3720160300892073E-2</v>
      </c>
      <c r="DA167" s="187">
        <f t="shared" si="380"/>
        <v>0.84925000000000006</v>
      </c>
      <c r="DB167" s="188">
        <f t="shared" si="381"/>
        <v>0.96515780330083989</v>
      </c>
      <c r="DC167" s="188">
        <f t="shared" si="382"/>
        <v>0.50448557089084056</v>
      </c>
      <c r="DD167" s="188">
        <f t="shared" si="383"/>
        <v>0.87391435735465484</v>
      </c>
      <c r="DE167" s="188">
        <f t="shared" si="384"/>
        <v>0.42551605393279146</v>
      </c>
      <c r="DF167" s="189">
        <f>INDEX('State Tax Lookup'!$D$7:$Z$91,MATCH(Calculation!$C167,'State Tax Lookup'!$B$7:$B$91,0),MATCH($H167,'State Tax Lookup'!$D$6:$Z$6,0))</f>
        <v>0.40200000000000002</v>
      </c>
      <c r="DG167" s="189">
        <v>0.375</v>
      </c>
      <c r="DH167" s="190">
        <f t="shared" si="386"/>
        <v>19.039989456337263</v>
      </c>
      <c r="DI167" s="190">
        <v>18.70479600686112</v>
      </c>
      <c r="DJ167" s="177"/>
      <c r="DK167" s="189">
        <f>VLOOKUP($H167,RoR!$E:$F,2,FALSE)</f>
        <v>5.3133333333333324E-2</v>
      </c>
      <c r="DL167" s="191">
        <f>HLOOKUP($H167,'GDP-PI'!$D$8:$CQ$11,3,FALSE)</f>
        <v>7.7972502758210105E-3</v>
      </c>
      <c r="DM167" s="189">
        <f>VLOOKUP(H167,'HW Dx Data'!$E:$F,2,FALSE)</f>
        <v>550.94063679692806</v>
      </c>
      <c r="DN167" s="183">
        <f>VLOOKUP(H167,'ECI - Input Price'!$G$17:$H$37,2,FALSE)</f>
        <v>109.77499999999999</v>
      </c>
      <c r="DO167" s="177">
        <f t="shared" ref="DO167" si="420">LN(DN167/DN166)</f>
        <v>1.4220423119736749E-2</v>
      </c>
      <c r="DP167" s="183">
        <f>HLOOKUP(H167,'GDP-PI'!$8:$9,2,FALSE)</f>
        <v>94.998999999999995</v>
      </c>
      <c r="DQ167" s="177">
        <f t="shared" ref="DQ167" si="421">LN(DP167/DP166)</f>
        <v>7.7670088183096342E-3</v>
      </c>
      <c r="DW167" s="192"/>
      <c r="DX167" s="192"/>
      <c r="DY167" s="192"/>
      <c r="DZ167" s="192"/>
      <c r="EA167" s="192"/>
      <c r="EB167" s="192"/>
      <c r="EC167" s="192"/>
      <c r="ED167" s="192"/>
      <c r="EE167" s="192"/>
    </row>
    <row r="168" spans="1:135" s="167" customFormat="1" ht="21" x14ac:dyDescent="0.35">
      <c r="A168" s="167" t="s">
        <v>37</v>
      </c>
      <c r="B168" s="168" t="s">
        <v>37</v>
      </c>
      <c r="C168" s="168">
        <v>4058793</v>
      </c>
      <c r="D168" s="168" t="s">
        <v>135</v>
      </c>
      <c r="E168" s="168"/>
      <c r="F168" s="168"/>
      <c r="G168" s="168" t="s">
        <v>16</v>
      </c>
      <c r="H168" s="169">
        <v>2010</v>
      </c>
      <c r="I168" s="170"/>
      <c r="J168" s="166">
        <f>IFERROR(INDEX('Labor Expenditures'!$F$7:$X$91,MATCH($C168,'Labor Expenditures'!$D$7:$D$91,0),MATCH($G168,'Labor Expenditures'!$F$5:$X$5,0)),"NA")</f>
        <v>343.59380139919244</v>
      </c>
      <c r="K168" s="166">
        <f t="shared" si="392"/>
        <v>3.0712295097134521</v>
      </c>
      <c r="L168" s="172">
        <f t="shared" si="399"/>
        <v>3.972286483236611E-2</v>
      </c>
      <c r="M168" s="172">
        <f t="shared" si="403"/>
        <v>5.7586165703464686E-6</v>
      </c>
      <c r="N168" s="196"/>
      <c r="O168" s="172"/>
      <c r="P168" s="166">
        <f>IFERROR(INDEX('Non-Labor Expenditures'!$F$7:$AB$91,MATCH($C168,'Non-Labor Expenditures'!$D$7:$D$91,0),MATCH($G168,'Non-Labor Expenditures'!$F$5:$AB$5,0)),"NA")</f>
        <v>497.58799889593797</v>
      </c>
      <c r="Q168" s="166">
        <f t="shared" si="393"/>
        <v>5.1773298951808675</v>
      </c>
      <c r="R168" s="172">
        <f t="shared" si="404"/>
        <v>4.7055626172453943E-2</v>
      </c>
      <c r="S168" s="172">
        <f t="shared" si="409"/>
        <v>6.8216456629767576E-6</v>
      </c>
      <c r="T168" s="172"/>
      <c r="U168" s="172"/>
      <c r="V168" s="166">
        <f t="shared" si="374"/>
        <v>566.64312314173731</v>
      </c>
      <c r="W168" s="170"/>
      <c r="X168" s="174">
        <v>29.217892483788013</v>
      </c>
      <c r="Y168" s="175">
        <v>6.41608162784416E-3</v>
      </c>
      <c r="Z168" s="175">
        <f t="shared" si="410"/>
        <v>9.3013819961681031E-7</v>
      </c>
      <c r="AA168" s="175"/>
      <c r="AB168" s="175"/>
      <c r="AC168" s="170">
        <f t="shared" si="287"/>
        <v>1407.8249234368677</v>
      </c>
      <c r="AD168" s="175">
        <f t="shared" si="405"/>
        <v>5.3619139709222691E-2</v>
      </c>
      <c r="AE168" s="170"/>
      <c r="AF168" s="170"/>
      <c r="AG168" s="121">
        <f t="shared" si="406"/>
        <v>402.58076163479205</v>
      </c>
      <c r="AH168" s="119">
        <f>+AZ168/$BB$48</f>
        <v>9.7521631912628645E-5</v>
      </c>
      <c r="AI168" s="119"/>
      <c r="AJ168" s="176">
        <f t="shared" si="411"/>
        <v>3.9260332851253882E-2</v>
      </c>
      <c r="AK168" s="176">
        <f t="shared" si="412"/>
        <v>0</v>
      </c>
      <c r="AL168" s="120">
        <f t="shared" si="394"/>
        <v>0.24406003593144976</v>
      </c>
      <c r="AM168" s="120">
        <f t="shared" si="395"/>
        <v>0.35344451615559974</v>
      </c>
      <c r="AN168" s="120">
        <f t="shared" si="396"/>
        <v>0.4024954479129505</v>
      </c>
      <c r="AO168" s="120">
        <f t="shared" si="400"/>
        <v>2.8852075118353131E-2</v>
      </c>
      <c r="AP168" s="173">
        <f t="shared" si="416"/>
        <v>94.019786752741211</v>
      </c>
      <c r="AQ168" s="175">
        <f t="shared" si="417"/>
        <v>2.8852075118353158E-2</v>
      </c>
      <c r="AR168" s="177">
        <f>+AC168/$AE$48</f>
        <v>1.449698201438472E-4</v>
      </c>
      <c r="AS168" s="177">
        <f t="shared" si="413"/>
        <v>4.1826801406844265E-6</v>
      </c>
      <c r="AT168" s="177"/>
      <c r="AU168" s="177"/>
      <c r="AV168" s="177"/>
      <c r="AW168" s="190"/>
      <c r="AX168" s="120"/>
      <c r="AY168" s="120"/>
      <c r="AZ168" s="118">
        <f>IFERROR(INDEX('Total Customers'!$F$7:$AB$91,MATCH($C168,'Total Customers'!$D$7:$D$91,0),MATCH($G168,'Total Customers'!$F$5:$AB$5,0)),"NA")</f>
        <v>3497</v>
      </c>
      <c r="BA168" s="119">
        <f t="shared" si="375"/>
        <v>0</v>
      </c>
      <c r="BB168" s="119"/>
      <c r="BC168" s="121"/>
      <c r="BD168" s="119"/>
      <c r="BE168" s="119"/>
      <c r="BF168" s="119"/>
      <c r="BG168" s="173"/>
      <c r="BH168" s="173"/>
      <c r="BI168" s="173"/>
      <c r="BJ168" s="173"/>
      <c r="BK168" s="173"/>
      <c r="BL168" s="173"/>
      <c r="BM168" s="173"/>
      <c r="BN168" s="173"/>
      <c r="BO168" s="173"/>
      <c r="BP168" s="173"/>
      <c r="BQ168" s="118"/>
      <c r="BR168" s="118"/>
      <c r="BS168" s="118">
        <f>INDEX('Dist. Plant Gas Additions'!$F$7:$AE$91,MATCH($C168,'Dist. Plant Gas Additions'!$D$7:$D$91,0),MATCH(Calculation!$G168,'Dist. Plant Gas Additions'!$F$5:$AE$5,0))</f>
        <v>202</v>
      </c>
      <c r="BT168" s="118">
        <f>INDEX('Gen. Plant Additions'!$F$7:$AE$91,MATCH($C168,'Gen. Plant Additions'!$D$7:$D$91,0),MATCH(Calculation!$G168,'Gen. Plant Additions'!$F$5:$AE$5,0))</f>
        <v>18</v>
      </c>
      <c r="BU168" s="118"/>
      <c r="BV168" s="118"/>
      <c r="BW168" s="118" t="str">
        <f>INDEX('Dist Plant Depreciation'!$E$7:$AD$94,MATCH($C168,'Dist Plant Depreciation'!$D$7:$D$94,0),MATCH(Calculation!$G168,'Dist Plant Depreciation'!$E$5:$AD$5,0))</f>
        <v>NA</v>
      </c>
      <c r="BX168" s="118" t="str">
        <f>INDEX('Gen. Plant Depreciation'!$E$7:$AD$94,MATCH($C168,'Gen. Plant Depreciation'!$D$7:$D$94,0),MATCH(Calculation!$G168,'Gen. Plant Depreciation'!$E$5:$AD$5,0))</f>
        <v>NA</v>
      </c>
      <c r="BY168" s="118"/>
      <c r="BZ168" s="118"/>
      <c r="CA168" s="118"/>
      <c r="CB168" s="118"/>
      <c r="CC168" s="118"/>
      <c r="CD168" s="118"/>
      <c r="CE168" s="118">
        <f>INDEX('Gross Dx Plant'!$E$7:$AD$91,MATCH($C168,'Gross Dx Plant'!$D$7:$D$91,0),MATCH(Calculation!$G168,'Gross Dx Plant'!$E$5:$AD$5,0))</f>
        <v>8152</v>
      </c>
      <c r="CF168" s="118">
        <f>INDEX('Gross Gen Plant'!$E$7:$AD$91,MATCH($C168,'Gross Gen Plant'!$D$7:$D$91,0),MATCH(Calculation!$G168,'Gross Gen Plant'!$E$5:$AD$5,0))</f>
        <v>1141</v>
      </c>
      <c r="CG168" s="118" t="str">
        <f t="shared" si="215"/>
        <v>NA</v>
      </c>
      <c r="CH168" s="118"/>
      <c r="CI168" s="121">
        <v>2010</v>
      </c>
      <c r="CJ168" s="118"/>
      <c r="CK168" s="118"/>
      <c r="CL168" s="118"/>
      <c r="CM168" s="183"/>
      <c r="CN168" s="118">
        <f t="shared" si="376"/>
        <v>220</v>
      </c>
      <c r="CO168" s="118">
        <f t="shared" si="377"/>
        <v>0.38665036698079452</v>
      </c>
      <c r="CP168" s="186">
        <v>0.9285714285714286</v>
      </c>
      <c r="CQ168" s="118">
        <f>+CQ156*CP168+CO157*CP167+CO158*CP166+CO159*CP165+CO160*CP164+CO161*CP163+CO162*CP162+CO163*CP161+CO164*CP160+CO165*CP159+CO166*CP158+CO167*CP157+CO168</f>
        <v>29.217892483788013</v>
      </c>
      <c r="CR168" s="119">
        <f t="shared" si="378"/>
        <v>6.41608162784416E-3</v>
      </c>
      <c r="CS168" s="119"/>
      <c r="CT168" s="177">
        <f t="shared" si="379"/>
        <v>6.8818125084429919E-3</v>
      </c>
      <c r="CU168" s="177">
        <f t="shared" si="387"/>
        <v>6.6626058207146276E-3</v>
      </c>
      <c r="CV168" s="119">
        <f>VLOOKUP($H168,RoR!$E:$F,2,FALSE)</f>
        <v>4.9433333333333322E-2</v>
      </c>
      <c r="CW168" s="177">
        <v>1.1684333519300205E-2</v>
      </c>
      <c r="CX168" s="177">
        <f t="shared" si="385"/>
        <v>3.7748999814033117E-2</v>
      </c>
      <c r="CY168" s="177">
        <f t="shared" si="388"/>
        <v>2.4239335787818998E-2</v>
      </c>
      <c r="CZ168" s="177">
        <f t="shared" si="389"/>
        <v>4.7937530248493419E-2</v>
      </c>
      <c r="DA168" s="187">
        <f t="shared" si="380"/>
        <v>0.84925000000000006</v>
      </c>
      <c r="DB168" s="188">
        <f t="shared" si="381"/>
        <v>1.037398205301105</v>
      </c>
      <c r="DC168" s="188">
        <f t="shared" si="382"/>
        <v>0.46926837491571133</v>
      </c>
      <c r="DD168" s="188">
        <f t="shared" si="383"/>
        <v>0.8548537519972772</v>
      </c>
      <c r="DE168" s="188">
        <f t="shared" si="384"/>
        <v>0.41615833911547367</v>
      </c>
      <c r="DF168" s="189">
        <f>INDEX('State Tax Lookup'!$D$7:$Z$91,MATCH(Calculation!$C168,'State Tax Lookup'!$B$7:$B$91,0),MATCH($H168,'State Tax Lookup'!$D$6:$Z$6,0))</f>
        <v>0.40200000000000002</v>
      </c>
      <c r="DG168" s="189">
        <v>0.375</v>
      </c>
      <c r="DH168" s="190">
        <f t="shared" si="386"/>
        <v>19.518534412397898</v>
      </c>
      <c r="DI168" s="190">
        <v>19.196136230486143</v>
      </c>
      <c r="DJ168" s="177"/>
      <c r="DK168" s="189">
        <f>VLOOKUP($H168,RoR!$E:$F,2,FALSE)</f>
        <v>4.9433333333333322E-2</v>
      </c>
      <c r="DL168" s="191">
        <f>HLOOKUP($H168,'GDP-PI'!$D$8:$CQ$11,3,FALSE)</f>
        <v>1.1684333519300205E-2</v>
      </c>
      <c r="DM168" s="189">
        <f>VLOOKUP(H168,'HW Dx Data'!$E:$F,2,FALSE)</f>
        <v>568.98950262971744</v>
      </c>
      <c r="DN168" s="183">
        <f>VLOOKUP(H168,'ECI - Input Price'!$G$17:$H$37,2,FALSE)</f>
        <v>111.875</v>
      </c>
      <c r="DO168" s="177">
        <f t="shared" ref="DO168" si="422">LN(DN168/DN167)</f>
        <v>1.8949360147238387E-2</v>
      </c>
      <c r="DP168" s="183">
        <f>HLOOKUP(H168,'GDP-PI'!$8:$9,2,FALSE)</f>
        <v>96.108999999999995</v>
      </c>
      <c r="DQ168" s="177">
        <f t="shared" ref="DQ168" si="423">LN(DP168/DP167)</f>
        <v>1.1616598807150427E-2</v>
      </c>
      <c r="DW168" s="192"/>
      <c r="DX168" s="192"/>
      <c r="DY168" s="192"/>
      <c r="DZ168" s="192"/>
      <c r="EA168" s="192"/>
      <c r="EB168" s="192"/>
      <c r="EC168" s="192"/>
      <c r="ED168" s="192"/>
      <c r="EE168" s="192"/>
    </row>
    <row r="169" spans="1:135" s="167" customFormat="1" ht="21" x14ac:dyDescent="0.35">
      <c r="A169" s="167" t="s">
        <v>37</v>
      </c>
      <c r="B169" s="168" t="s">
        <v>37</v>
      </c>
      <c r="C169" s="168">
        <v>4058793</v>
      </c>
      <c r="D169" s="168" t="s">
        <v>135</v>
      </c>
      <c r="E169" s="168"/>
      <c r="F169" s="168"/>
      <c r="G169" s="168" t="s">
        <v>17</v>
      </c>
      <c r="H169" s="169">
        <v>2011</v>
      </c>
      <c r="I169" s="170"/>
      <c r="J169" s="166">
        <f>IFERROR(INDEX('Labor Expenditures'!$F$7:$X$91,MATCH($C169,'Labor Expenditures'!$D$7:$D$91,0),MATCH($G169,'Labor Expenditures'!$F$5:$X$5,0)),"NA")</f>
        <v>356.69351114804113</v>
      </c>
      <c r="K169" s="166">
        <f t="shared" si="392"/>
        <v>3.1206781377781376</v>
      </c>
      <c r="L169" s="172">
        <f t="shared" si="399"/>
        <v>1.5972356868841967E-2</v>
      </c>
      <c r="M169" s="172">
        <f t="shared" si="403"/>
        <v>2.3201263923094386E-6</v>
      </c>
      <c r="N169" s="196"/>
      <c r="O169" s="172"/>
      <c r="P169" s="166">
        <f>IFERROR(INDEX('Non-Labor Expenditures'!$F$7:$AB$91,MATCH($C169,'Non-Labor Expenditures'!$D$7:$D$91,0),MATCH($G169,'Non-Labor Expenditures'!$F$5:$AB$5,0)),"NA")</f>
        <v>516.55882530055703</v>
      </c>
      <c r="Q169" s="166">
        <f t="shared" si="393"/>
        <v>5.264991288533075</v>
      </c>
      <c r="R169" s="172">
        <f t="shared" si="404"/>
        <v>1.6790031861738341E-2</v>
      </c>
      <c r="S169" s="172">
        <f t="shared" si="409"/>
        <v>2.4389009317796338E-6</v>
      </c>
      <c r="T169" s="172"/>
      <c r="U169" s="172"/>
      <c r="V169" s="166">
        <f t="shared" si="374"/>
        <v>608.22111226048673</v>
      </c>
      <c r="W169" s="170"/>
      <c r="X169" s="174">
        <v>29.422844072895522</v>
      </c>
      <c r="Y169" s="175">
        <v>6.9901040015011599E-3</v>
      </c>
      <c r="Z169" s="175">
        <f t="shared" si="410"/>
        <v>1.0153745569326547E-6</v>
      </c>
      <c r="AA169" s="175"/>
      <c r="AB169" s="175"/>
      <c r="AC169" s="170">
        <f t="shared" si="287"/>
        <v>1481.473448709085</v>
      </c>
      <c r="AD169" s="175">
        <f t="shared" si="405"/>
        <v>5.0991260119015815E-2</v>
      </c>
      <c r="AE169" s="170"/>
      <c r="AF169" s="170"/>
      <c r="AG169" s="121">
        <f t="shared" si="406"/>
        <v>431.28775799391127</v>
      </c>
      <c r="AH169" s="119">
        <f>+AZ169/$BB$49</f>
        <v>9.5326939370224281E-5</v>
      </c>
      <c r="AI169" s="119"/>
      <c r="AJ169" s="176">
        <f t="shared" si="411"/>
        <v>4.1113341957405541E-2</v>
      </c>
      <c r="AK169" s="176">
        <f t="shared" si="412"/>
        <v>0</v>
      </c>
      <c r="AL169" s="120">
        <f t="shared" si="394"/>
        <v>0.24076942550597447</v>
      </c>
      <c r="AM169" s="120">
        <f t="shared" si="395"/>
        <v>0.34867909765826183</v>
      </c>
      <c r="AN169" s="120">
        <f t="shared" si="396"/>
        <v>0.4105514768357636</v>
      </c>
      <c r="AO169" s="120">
        <f t="shared" si="400"/>
        <v>1.2607914793757398E-2</v>
      </c>
      <c r="AP169" s="173">
        <f t="shared" si="416"/>
        <v>95.212684387085446</v>
      </c>
      <c r="AQ169" s="175">
        <f t="shared" si="417"/>
        <v>1.2607914793757322E-2</v>
      </c>
      <c r="AR169" s="177">
        <f>+AC169/$AE$49</f>
        <v>1.4525886263131393E-4</v>
      </c>
      <c r="AS169" s="177">
        <f t="shared" si="413"/>
        <v>1.8314113630937053E-6</v>
      </c>
      <c r="AT169" s="177"/>
      <c r="AU169" s="177"/>
      <c r="AV169" s="177"/>
      <c r="AW169" s="190"/>
      <c r="AX169" s="120"/>
      <c r="AY169" s="120"/>
      <c r="AZ169" s="118">
        <f>IFERROR(INDEX('Total Customers'!$F$7:$AB$91,MATCH($C169,'Total Customers'!$D$7:$D$91,0),MATCH($G169,'Total Customers'!$F$5:$AB$5,0)),"NA")</f>
        <v>3435</v>
      </c>
      <c r="BA169" s="119">
        <f t="shared" si="375"/>
        <v>-1.7888532406926099E-2</v>
      </c>
      <c r="BB169" s="119"/>
      <c r="BC169" s="121"/>
      <c r="BD169" s="119"/>
      <c r="BE169" s="119"/>
      <c r="BF169" s="119"/>
      <c r="BG169" s="173"/>
      <c r="BH169" s="173"/>
      <c r="BI169" s="173"/>
      <c r="BJ169" s="173"/>
      <c r="BK169" s="173"/>
      <c r="BL169" s="173"/>
      <c r="BM169" s="173"/>
      <c r="BN169" s="173"/>
      <c r="BO169" s="173"/>
      <c r="BP169" s="173"/>
      <c r="BQ169" s="118"/>
      <c r="BR169" s="118"/>
      <c r="BS169" s="118">
        <f>INDEX('Dist. Plant Gas Additions'!$F$7:$AE$91,MATCH($C169,'Dist. Plant Gas Additions'!$D$7:$D$91,0),MATCH(Calculation!$G169,'Dist. Plant Gas Additions'!$F$5:$AE$5,0))</f>
        <v>226</v>
      </c>
      <c r="BT169" s="118">
        <f>INDEX('Gen. Plant Additions'!$F$7:$AE$91,MATCH($C169,'Gen. Plant Additions'!$D$7:$D$91,0),MATCH(Calculation!$G169,'Gen. Plant Additions'!$F$5:$AE$5,0))</f>
        <v>27</v>
      </c>
      <c r="BU169" s="118"/>
      <c r="BV169" s="118"/>
      <c r="BW169" s="118" t="str">
        <f>INDEX('Dist Plant Depreciation'!$E$7:$AD$94,MATCH($C169,'Dist Plant Depreciation'!$D$7:$D$94,0),MATCH(Calculation!$G169,'Dist Plant Depreciation'!$E$5:$AD$5,0))</f>
        <v>NA</v>
      </c>
      <c r="BX169" s="118" t="str">
        <f>INDEX('Gen. Plant Depreciation'!$E$7:$AD$94,MATCH($C169,'Gen. Plant Depreciation'!$D$7:$D$94,0),MATCH(Calculation!$G169,'Gen. Plant Depreciation'!$E$5:$AD$5,0))</f>
        <v>NA</v>
      </c>
      <c r="BY169" s="118"/>
      <c r="BZ169" s="118"/>
      <c r="CA169" s="118"/>
      <c r="CB169" s="118"/>
      <c r="CC169" s="118"/>
      <c r="CD169" s="118"/>
      <c r="CE169" s="118">
        <f>INDEX('Gross Dx Plant'!$E$7:$AD$91,MATCH($C169,'Gross Dx Plant'!$D$7:$D$91,0),MATCH(Calculation!$G169,'Gross Dx Plant'!$E$5:$AD$5,0))</f>
        <v>8379</v>
      </c>
      <c r="CF169" s="118">
        <f>INDEX('Gross Gen Plant'!$E$7:$AD$91,MATCH($C169,'Gross Gen Plant'!$D$7:$D$91,0),MATCH(Calculation!$G169,'Gross Gen Plant'!$E$5:$AD$5,0))</f>
        <v>1167</v>
      </c>
      <c r="CG169" s="118" t="str">
        <f t="shared" si="215"/>
        <v>NA</v>
      </c>
      <c r="CH169" s="118"/>
      <c r="CI169" s="121">
        <v>2011</v>
      </c>
      <c r="CJ169" s="118"/>
      <c r="CK169" s="118"/>
      <c r="CL169" s="118"/>
      <c r="CM169" s="183"/>
      <c r="CN169" s="118">
        <f t="shared" si="376"/>
        <v>253</v>
      </c>
      <c r="CO169" s="118">
        <f t="shared" si="377"/>
        <v>0.41366155977848562</v>
      </c>
      <c r="CP169" s="186">
        <v>0.92121212121212126</v>
      </c>
      <c r="CQ169" s="118">
        <f>+CQ156*CP169+CO157*CP168+CO158*CP167+CO159*CP166+CO160*CP165+CO161*CP164+CO162*CP163+CO163*CP162+CO164*CP161+CO165*CP160+CO166*CP159+CO167*CP158+CO168*CP157+CO169</f>
        <v>29.422844072895522</v>
      </c>
      <c r="CR169" s="119">
        <f t="shared" si="378"/>
        <v>6.9901040015011599E-3</v>
      </c>
      <c r="CS169" s="119"/>
      <c r="CT169" s="177">
        <f t="shared" si="379"/>
        <v>7.1432246794248628E-3</v>
      </c>
      <c r="CU169" s="177">
        <f t="shared" si="387"/>
        <v>6.8949716754889397E-3</v>
      </c>
      <c r="CV169" s="119">
        <f>VLOOKUP($H169,RoR!$E:$F,2,FALSE)</f>
        <v>4.6391666666666664E-2</v>
      </c>
      <c r="CW169" s="177">
        <v>2.0840920205183799E-2</v>
      </c>
      <c r="CX169" s="177">
        <f t="shared" si="385"/>
        <v>2.5550746461482865E-2</v>
      </c>
      <c r="CY169" s="177">
        <f t="shared" si="388"/>
        <v>2.4006969933044686E-2</v>
      </c>
      <c r="CZ169" s="177">
        <f t="shared" si="389"/>
        <v>2.4810540821321614E-2</v>
      </c>
      <c r="DA169" s="187">
        <f t="shared" si="380"/>
        <v>0.84925000000000006</v>
      </c>
      <c r="DB169" s="188">
        <f t="shared" si="381"/>
        <v>1.1054151524782025</v>
      </c>
      <c r="DC169" s="188">
        <f t="shared" si="382"/>
        <v>0.43611011316687626</v>
      </c>
      <c r="DD169" s="188">
        <f t="shared" si="383"/>
        <v>0.83698442246886229</v>
      </c>
      <c r="DE169" s="188">
        <f t="shared" si="384"/>
        <v>0.40349573304423936</v>
      </c>
      <c r="DF169" s="189">
        <f>INDEX('State Tax Lookup'!$D$7:$Z$91,MATCH(Calculation!$C169,'State Tax Lookup'!$B$7:$B$91,0),MATCH($H169,'State Tax Lookup'!$D$6:$Z$6,0))</f>
        <v>0.40200000000000002</v>
      </c>
      <c r="DG169" s="189">
        <v>0.375</v>
      </c>
      <c r="DH169" s="190">
        <f t="shared" si="386"/>
        <v>20.816734560782145</v>
      </c>
      <c r="DI169" s="190">
        <v>20.452025891670541</v>
      </c>
      <c r="DJ169" s="177"/>
      <c r="DK169" s="189">
        <f>VLOOKUP($H169,RoR!$E:$F,2,FALSE)</f>
        <v>4.6391666666666664E-2</v>
      </c>
      <c r="DL169" s="191">
        <f>HLOOKUP($H169,'GDP-PI'!$D$8:$CQ$11,3,FALSE)</f>
        <v>2.0840920205183799E-2</v>
      </c>
      <c r="DM169" s="189">
        <f>VLOOKUP(H169,'HW Dx Data'!$E:$F,2,FALSE)</f>
        <v>611.61109612283201</v>
      </c>
      <c r="DN169" s="183">
        <f>VLOOKUP(H169,'ECI - Input Price'!$G$17:$H$37,2,FALSE)</f>
        <v>114.3</v>
      </c>
      <c r="DO169" s="177">
        <f t="shared" ref="DO169" si="424">LN(DN169/DN168)</f>
        <v>2.1444394205745516E-2</v>
      </c>
      <c r="DP169" s="183">
        <f>HLOOKUP(H169,'GDP-PI'!$8:$9,2,FALSE)</f>
        <v>98.111999999999995</v>
      </c>
      <c r="DQ169" s="177">
        <f t="shared" ref="DQ169" si="425">LN(DP169/DP168)</f>
        <v>2.0626719212849295E-2</v>
      </c>
      <c r="DW169" s="192"/>
      <c r="DX169" s="192"/>
      <c r="DY169" s="192"/>
      <c r="DZ169" s="192"/>
      <c r="EA169" s="192"/>
      <c r="EB169" s="192"/>
      <c r="EC169" s="192"/>
      <c r="ED169" s="192"/>
      <c r="EE169" s="192"/>
    </row>
    <row r="170" spans="1:135" s="167" customFormat="1" ht="21" x14ac:dyDescent="0.35">
      <c r="A170" s="167" t="s">
        <v>37</v>
      </c>
      <c r="B170" s="168" t="s">
        <v>37</v>
      </c>
      <c r="C170" s="168">
        <v>4058793</v>
      </c>
      <c r="D170" s="168" t="s">
        <v>135</v>
      </c>
      <c r="E170" s="168"/>
      <c r="F170" s="168"/>
      <c r="G170" s="168" t="s">
        <v>18</v>
      </c>
      <c r="H170" s="169">
        <v>2012</v>
      </c>
      <c r="I170" s="170"/>
      <c r="J170" s="166">
        <f>IFERROR(INDEX('Labor Expenditures'!$F$7:$X$91,MATCH($C170,'Labor Expenditures'!$D$7:$D$91,0),MATCH($G170,'Labor Expenditures'!$F$5:$X$5,0)),"NA")</f>
        <v>371.48257582712938</v>
      </c>
      <c r="K170" s="166">
        <f t="shared" si="392"/>
        <v>3.1886916380011106</v>
      </c>
      <c r="L170" s="172">
        <f t="shared" si="399"/>
        <v>2.1560357781253828E-2</v>
      </c>
      <c r="M170" s="172">
        <f t="shared" si="403"/>
        <v>3.1687987694395251E-6</v>
      </c>
      <c r="N170" s="196"/>
      <c r="O170" s="172"/>
      <c r="P170" s="166">
        <f>IFERROR(INDEX('Non-Labor Expenditures'!$F$7:$AB$91,MATCH($C170,'Non-Labor Expenditures'!$D$7:$D$91,0),MATCH($G170,'Non-Labor Expenditures'!$F$5:$AB$5,0)),"NA")</f>
        <v>537.97615317214024</v>
      </c>
      <c r="Q170" s="166">
        <f t="shared" si="393"/>
        <v>5.3797615317214023</v>
      </c>
      <c r="R170" s="172">
        <f t="shared" si="404"/>
        <v>2.1564557247501843E-2</v>
      </c>
      <c r="S170" s="172">
        <f t="shared" si="409"/>
        <v>3.169415979210069E-6</v>
      </c>
      <c r="T170" s="172"/>
      <c r="U170" s="172"/>
      <c r="V170" s="166">
        <f t="shared" si="374"/>
        <v>661.16159418206337</v>
      </c>
      <c r="W170" s="170"/>
      <c r="X170" s="174">
        <v>29.899793126747984</v>
      </c>
      <c r="Y170" s="175">
        <v>1.6080179623480795E-2</v>
      </c>
      <c r="Z170" s="175">
        <f t="shared" si="410"/>
        <v>2.363358434040292E-6</v>
      </c>
      <c r="AA170" s="175"/>
      <c r="AB170" s="175"/>
      <c r="AC170" s="170">
        <f t="shared" si="287"/>
        <v>1570.6203231813329</v>
      </c>
      <c r="AD170" s="175">
        <f t="shared" si="405"/>
        <v>5.8433485657735457E-2</v>
      </c>
      <c r="AE170" s="170"/>
      <c r="AF170" s="170"/>
      <c r="AG170" s="121">
        <f t="shared" si="406"/>
        <v>460.05281874087075</v>
      </c>
      <c r="AH170" s="119">
        <f>+AZ170/$BB$50</f>
        <v>9.4288232711499311E-5</v>
      </c>
      <c r="AI170" s="119"/>
      <c r="AJ170" s="176">
        <f t="shared" si="411"/>
        <v>4.3377567233020435E-2</v>
      </c>
      <c r="AK170" s="176">
        <f t="shared" si="412"/>
        <v>0</v>
      </c>
      <c r="AL170" s="120">
        <f t="shared" si="394"/>
        <v>0.23651965426926452</v>
      </c>
      <c r="AM170" s="120">
        <f t="shared" si="395"/>
        <v>0.34252463515972809</v>
      </c>
      <c r="AN170" s="120">
        <f t="shared" si="396"/>
        <v>0.42095571057100745</v>
      </c>
      <c r="AO170" s="120">
        <f t="shared" si="400"/>
        <v>1.9283405361398127E-2</v>
      </c>
      <c r="AP170" s="173">
        <f t="shared" si="416"/>
        <v>97.066525919020975</v>
      </c>
      <c r="AQ170" s="175">
        <f t="shared" si="417"/>
        <v>1.928340536139812E-2</v>
      </c>
      <c r="AR170" s="177">
        <f>+AC170/$AE$50</f>
        <v>1.4697338520953086E-4</v>
      </c>
      <c r="AS170" s="177">
        <f t="shared" si="413"/>
        <v>2.8341473643322986E-6</v>
      </c>
      <c r="AT170" s="177"/>
      <c r="AU170" s="177"/>
      <c r="AV170" s="177"/>
      <c r="AW170" s="190"/>
      <c r="AX170" s="120"/>
      <c r="AY170" s="120"/>
      <c r="AZ170" s="118">
        <f>IFERROR(INDEX('Total Customers'!$F$7:$AB$91,MATCH($C170,'Total Customers'!$D$7:$D$91,0),MATCH($G170,'Total Customers'!$F$5:$AB$5,0)),"NA")</f>
        <v>3414</v>
      </c>
      <c r="BA170" s="119">
        <f t="shared" si="375"/>
        <v>-6.1323013020638294E-3</v>
      </c>
      <c r="BB170" s="119"/>
      <c r="BC170" s="121"/>
      <c r="BD170" s="119"/>
      <c r="BE170" s="119"/>
      <c r="BF170" s="119"/>
      <c r="BG170" s="173"/>
      <c r="BH170" s="173"/>
      <c r="BI170" s="173"/>
      <c r="BJ170" s="173"/>
      <c r="BK170" s="173"/>
      <c r="BL170" s="173"/>
      <c r="BM170" s="173"/>
      <c r="BN170" s="173"/>
      <c r="BO170" s="173"/>
      <c r="BP170" s="173"/>
      <c r="BQ170" s="118"/>
      <c r="BR170" s="118"/>
      <c r="BS170" s="118">
        <f>INDEX('Dist. Plant Gas Additions'!$F$7:$AE$91,MATCH($C170,'Dist. Plant Gas Additions'!$D$7:$D$91,0),MATCH(Calculation!$G170,'Dist. Plant Gas Additions'!$F$5:$AE$5,0))</f>
        <v>420</v>
      </c>
      <c r="BT170" s="118">
        <f>INDEX('Gen. Plant Additions'!$F$7:$AE$91,MATCH($C170,'Gen. Plant Additions'!$D$7:$D$91,0),MATCH(Calculation!$G170,'Gen. Plant Additions'!$F$5:$AE$5,0))</f>
        <v>45</v>
      </c>
      <c r="BU170" s="118"/>
      <c r="BV170" s="118"/>
      <c r="BW170" s="118" t="str">
        <f>INDEX('Dist Plant Depreciation'!$E$7:$AD$94,MATCH($C170,'Dist Plant Depreciation'!$D$7:$D$94,0),MATCH(Calculation!$G170,'Dist Plant Depreciation'!$E$5:$AD$5,0))</f>
        <v>NA</v>
      </c>
      <c r="BX170" s="118" t="str">
        <f>INDEX('Gen. Plant Depreciation'!$E$7:$AD$94,MATCH($C170,'Gen. Plant Depreciation'!$D$7:$D$94,0),MATCH(Calculation!$G170,'Gen. Plant Depreciation'!$E$5:$AD$5,0))</f>
        <v>NA</v>
      </c>
      <c r="BY170" s="118"/>
      <c r="BZ170" s="118"/>
      <c r="CA170" s="118"/>
      <c r="CB170" s="118"/>
      <c r="CC170" s="118"/>
      <c r="CD170" s="118"/>
      <c r="CE170" s="118">
        <f>INDEX('Gross Dx Plant'!$E$7:$AD$91,MATCH($C170,'Gross Dx Plant'!$D$7:$D$91,0),MATCH(Calculation!$G170,'Gross Dx Plant'!$E$5:$AD$5,0))</f>
        <v>8799</v>
      </c>
      <c r="CF170" s="118">
        <f>INDEX('Gross Gen Plant'!$E$7:$AD$91,MATCH($C170,'Gross Gen Plant'!$D$7:$D$91,0),MATCH(Calculation!$G170,'Gross Gen Plant'!$E$5:$AD$5,0))</f>
        <v>1212</v>
      </c>
      <c r="CG170" s="118" t="str">
        <f t="shared" ref="CG170:CG236" si="426">IF(OR(BW170="NA",BX170="NA"),"NA",(SUM(CE170:CF170)-SUM(BW170:BX170)))</f>
        <v>NA</v>
      </c>
      <c r="CH170" s="118"/>
      <c r="CI170" s="121">
        <v>2012</v>
      </c>
      <c r="CJ170" s="118"/>
      <c r="CK170" s="118"/>
      <c r="CL170" s="118"/>
      <c r="CM170" s="183"/>
      <c r="CN170" s="118">
        <f t="shared" si="376"/>
        <v>465</v>
      </c>
      <c r="CO170" s="118">
        <f t="shared" si="377"/>
        <v>0.69515109614625681</v>
      </c>
      <c r="CP170" s="186">
        <v>0.9135802469135802</v>
      </c>
      <c r="CQ170" s="118">
        <f>+CQ156*CP170+CO157*CP169+CO158*CP168+CO159*CP167+CO160*CP166+CO161*CP165+CO162*CP164+CO163*CP163+CO164*CP162+CO165*CP161+CO166*CP160+CO167*CP159+CO168*CP158+CO169*CP157+CO170</f>
        <v>29.899793126747984</v>
      </c>
      <c r="CR170" s="119">
        <f t="shared" si="378"/>
        <v>1.6080179623480795E-2</v>
      </c>
      <c r="CS170" s="119"/>
      <c r="CT170" s="177">
        <f t="shared" si="379"/>
        <v>7.4160758135140385E-3</v>
      </c>
      <c r="CU170" s="177">
        <f t="shared" si="387"/>
        <v>7.1470376671272972E-3</v>
      </c>
      <c r="CV170" s="119">
        <f>VLOOKUP($H170,RoR!$E:$F,2,FALSE)</f>
        <v>3.6733333333333333E-2</v>
      </c>
      <c r="CW170" s="177">
        <v>1.924331376386168E-2</v>
      </c>
      <c r="CX170" s="177">
        <f t="shared" si="385"/>
        <v>1.7490019569471653E-2</v>
      </c>
      <c r="CY170" s="177">
        <f t="shared" si="388"/>
        <v>2.3754903941406329E-2</v>
      </c>
      <c r="CZ170" s="177">
        <f t="shared" si="389"/>
        <v>6.7122682943869583E-2</v>
      </c>
      <c r="DA170" s="187">
        <f t="shared" si="380"/>
        <v>0.84925000000000006</v>
      </c>
      <c r="DB170" s="188">
        <f t="shared" si="381"/>
        <v>1.3960631020522127</v>
      </c>
      <c r="DC170" s="188">
        <f t="shared" si="382"/>
        <v>0.29441923774954631</v>
      </c>
      <c r="DD170" s="188">
        <f t="shared" si="383"/>
        <v>0.76377954189366437</v>
      </c>
      <c r="DE170" s="188">
        <f t="shared" si="384"/>
        <v>0.31393465103033691</v>
      </c>
      <c r="DF170" s="189">
        <f>INDEX('State Tax Lookup'!$D$7:$Z$91,MATCH(Calculation!$C170,'State Tax Lookup'!$B$7:$B$91,0),MATCH($H170,'State Tax Lookup'!$D$6:$Z$6,0))</f>
        <v>0.40200000000000002</v>
      </c>
      <c r="DG170" s="189">
        <v>0.375</v>
      </c>
      <c r="DH170" s="190">
        <f t="shared" si="386"/>
        <v>22.47102939960617</v>
      </c>
      <c r="DI170" s="190">
        <v>22.104379981773803</v>
      </c>
      <c r="DJ170" s="177"/>
      <c r="DK170" s="189">
        <f>VLOOKUP($H170,RoR!$E:$F,2,FALSE)</f>
        <v>3.6733333333333333E-2</v>
      </c>
      <c r="DL170" s="191">
        <f>HLOOKUP($H170,'GDP-PI'!$D$8:$CQ$11,3,FALSE)</f>
        <v>1.924331376386168E-2</v>
      </c>
      <c r="DM170" s="189">
        <f>VLOOKUP(H170,'HW Dx Data'!$E:$F,2,FALSE)</f>
        <v>668.91932211262167</v>
      </c>
      <c r="DN170" s="183">
        <f>VLOOKUP(H170,'ECI - Input Price'!$G$17:$H$37,2,FALSE)</f>
        <v>116.5</v>
      </c>
      <c r="DO170" s="177">
        <f t="shared" ref="DO170" si="427">LN(DN170/DN169)</f>
        <v>1.9064702204990347E-2</v>
      </c>
      <c r="DP170" s="183">
        <f>HLOOKUP(H170,'GDP-PI'!$8:$9,2,FALSE)</f>
        <v>100</v>
      </c>
      <c r="DQ170" s="177">
        <f t="shared" ref="DQ170" si="428">LN(DP170/DP169)</f>
        <v>1.9060502738742411E-2</v>
      </c>
      <c r="DW170" s="192"/>
      <c r="DX170" s="192"/>
      <c r="DY170" s="192"/>
      <c r="DZ170" s="192"/>
      <c r="EA170" s="192"/>
      <c r="EB170" s="192"/>
      <c r="EC170" s="192"/>
      <c r="ED170" s="192"/>
      <c r="EE170" s="192"/>
    </row>
    <row r="171" spans="1:135" s="167" customFormat="1" ht="21" x14ac:dyDescent="0.35">
      <c r="A171" s="167" t="s">
        <v>37</v>
      </c>
      <c r="B171" s="168" t="s">
        <v>37</v>
      </c>
      <c r="C171" s="168">
        <v>4058793</v>
      </c>
      <c r="D171" s="168" t="s">
        <v>135</v>
      </c>
      <c r="E171" s="168"/>
      <c r="F171" s="168"/>
      <c r="G171" s="168" t="s">
        <v>19</v>
      </c>
      <c r="H171" s="169">
        <v>2013</v>
      </c>
      <c r="I171" s="170"/>
      <c r="J171" s="166">
        <f>IFERROR(INDEX('Labor Expenditures'!$F$7:$X$91,MATCH($C171,'Labor Expenditures'!$D$7:$D$91,0),MATCH($G171,'Labor Expenditures'!$F$5:$X$5,0)),"NA")</f>
        <v>349.83340447168922</v>
      </c>
      <c r="K171" s="166">
        <f t="shared" si="392"/>
        <v>2.946585845202689</v>
      </c>
      <c r="L171" s="172">
        <f t="shared" si="399"/>
        <v>-7.8963528330470198E-2</v>
      </c>
      <c r="M171" s="172">
        <f t="shared" si="403"/>
        <v>-1.0797353917203812E-5</v>
      </c>
      <c r="N171" s="196"/>
      <c r="O171" s="172"/>
      <c r="P171" s="166">
        <f>IFERROR(INDEX('Non-Labor Expenditures'!$F$7:$AB$91,MATCH($C171,'Non-Labor Expenditures'!$D$7:$D$91,0),MATCH($G171,'Non-Labor Expenditures'!$F$5:$AB$5,0)),"NA")</f>
        <v>506.62410954201306</v>
      </c>
      <c r="Q171" s="166">
        <f t="shared" si="393"/>
        <v>4.9779814837138838</v>
      </c>
      <c r="R171" s="172">
        <f t="shared" si="404"/>
        <v>-7.7619563917550385E-2</v>
      </c>
      <c r="S171" s="172">
        <f t="shared" si="409"/>
        <v>-1.0613582247861844E-5</v>
      </c>
      <c r="T171" s="172"/>
      <c r="U171" s="172"/>
      <c r="V171" s="166">
        <f t="shared" si="374"/>
        <v>659.2708310880281</v>
      </c>
      <c r="W171" s="170"/>
      <c r="X171" s="174">
        <v>29.926544797024413</v>
      </c>
      <c r="Y171" s="175">
        <v>8.94310866678646E-4</v>
      </c>
      <c r="Z171" s="175">
        <f t="shared" si="410"/>
        <v>1.2228672076453443E-7</v>
      </c>
      <c r="AA171" s="175"/>
      <c r="AB171" s="175"/>
      <c r="AC171" s="170">
        <f t="shared" si="287"/>
        <v>1515.7283451017304</v>
      </c>
      <c r="AD171" s="175">
        <f t="shared" si="405"/>
        <v>-3.5574572353281632E-2</v>
      </c>
      <c r="AE171" s="170"/>
      <c r="AF171" s="170"/>
      <c r="AG171" s="121">
        <f t="shared" si="406"/>
        <v>442.54842192751255</v>
      </c>
      <c r="AH171" s="119">
        <f>+AZ171/$BB$51</f>
        <v>9.3987275256476974E-5</v>
      </c>
      <c r="AI171" s="119"/>
      <c r="AJ171" s="176">
        <f t="shared" si="411"/>
        <v>4.1593920346020635E-2</v>
      </c>
      <c r="AK171" s="176">
        <f t="shared" si="412"/>
        <v>0</v>
      </c>
      <c r="AL171" s="120">
        <f t="shared" si="394"/>
        <v>0.23080217876918416</v>
      </c>
      <c r="AM171" s="120">
        <f t="shared" si="395"/>
        <v>0.33424466275849068</v>
      </c>
      <c r="AN171" s="120">
        <f t="shared" si="396"/>
        <v>0.43495315847232519</v>
      </c>
      <c r="AO171" s="120">
        <f t="shared" si="400"/>
        <v>-4.4333234988652798E-2</v>
      </c>
      <c r="AP171" s="173">
        <f t="shared" si="416"/>
        <v>92.857247676226308</v>
      </c>
      <c r="AQ171" s="175">
        <f t="shared" si="417"/>
        <v>-4.4333234988652805E-2</v>
      </c>
      <c r="AR171" s="177">
        <f>+AC171/$AE$51</f>
        <v>1.3673849365007873E-4</v>
      </c>
      <c r="AS171" s="177">
        <f t="shared" si="413"/>
        <v>-6.0620597709833497E-6</v>
      </c>
      <c r="AT171" s="177"/>
      <c r="AU171" s="177"/>
      <c r="AV171" s="177"/>
      <c r="AW171" s="190"/>
      <c r="AX171" s="120"/>
      <c r="AY171" s="120"/>
      <c r="AZ171" s="118">
        <f>IFERROR(INDEX('Total Customers'!$F$7:$AB$91,MATCH($C171,'Total Customers'!$D$7:$D$91,0),MATCH($G171,'Total Customers'!$F$5:$AB$5,0)),"NA")</f>
        <v>3425</v>
      </c>
      <c r="BA171" s="119">
        <f t="shared" si="375"/>
        <v>3.2168473419397748E-3</v>
      </c>
      <c r="BB171" s="119"/>
      <c r="BC171" s="121"/>
      <c r="BD171" s="119"/>
      <c r="BE171" s="119"/>
      <c r="BF171" s="119"/>
      <c r="BG171" s="173"/>
      <c r="BH171" s="173"/>
      <c r="BI171" s="173"/>
      <c r="BJ171" s="173"/>
      <c r="BK171" s="173"/>
      <c r="BL171" s="173"/>
      <c r="BM171" s="173"/>
      <c r="BN171" s="173"/>
      <c r="BO171" s="173"/>
      <c r="BP171" s="173"/>
      <c r="BQ171" s="118"/>
      <c r="BR171" s="118"/>
      <c r="BS171" s="118">
        <f>INDEX('Dist. Plant Gas Additions'!$F$7:$AE$91,MATCH($C171,'Dist. Plant Gas Additions'!$D$7:$D$91,0),MATCH(Calculation!$G171,'Dist. Plant Gas Additions'!$F$5:$AE$5,0))</f>
        <v>56</v>
      </c>
      <c r="BT171" s="118">
        <f>INDEX('Gen. Plant Additions'!$F$7:$AE$91,MATCH($C171,'Gen. Plant Additions'!$D$7:$D$91,0),MATCH(Calculation!$G171,'Gen. Plant Additions'!$F$5:$AE$5,0))</f>
        <v>114</v>
      </c>
      <c r="BU171" s="118"/>
      <c r="BV171" s="118"/>
      <c r="BW171" s="118" t="str">
        <f>INDEX('Dist Plant Depreciation'!$E$7:$AD$94,MATCH($C171,'Dist Plant Depreciation'!$D$7:$D$94,0),MATCH(Calculation!$G171,'Dist Plant Depreciation'!$E$5:$AD$5,0))</f>
        <v>NA</v>
      </c>
      <c r="BX171" s="118" t="str">
        <f>INDEX('Gen. Plant Depreciation'!$E$7:$AD$94,MATCH($C171,'Gen. Plant Depreciation'!$D$7:$D$94,0),MATCH(Calculation!$G171,'Gen. Plant Depreciation'!$E$5:$AD$5,0))</f>
        <v>NA</v>
      </c>
      <c r="BY171" s="118"/>
      <c r="BZ171" s="118"/>
      <c r="CA171" s="118"/>
      <c r="CB171" s="118"/>
      <c r="CC171" s="118"/>
      <c r="CD171" s="118"/>
      <c r="CE171" s="118">
        <f>INDEX('Gross Dx Plant'!$E$7:$AD$91,MATCH($C171,'Gross Dx Plant'!$D$7:$D$91,0),MATCH(Calculation!$G171,'Gross Dx Plant'!$E$5:$AD$5,0))</f>
        <v>8841</v>
      </c>
      <c r="CF171" s="118">
        <f>INDEX('Gross Gen Plant'!$E$7:$AD$91,MATCH($C171,'Gross Gen Plant'!$D$7:$D$91,0),MATCH(Calculation!$G171,'Gross Gen Plant'!$E$5:$AD$5,0))</f>
        <v>1326</v>
      </c>
      <c r="CG171" s="118" t="str">
        <f t="shared" si="426"/>
        <v>NA</v>
      </c>
      <c r="CH171" s="118"/>
      <c r="CI171" s="121">
        <v>2013</v>
      </c>
      <c r="CJ171" s="118"/>
      <c r="CK171" s="118"/>
      <c r="CL171" s="118"/>
      <c r="CM171" s="183"/>
      <c r="CN171" s="118">
        <f t="shared" si="376"/>
        <v>170</v>
      </c>
      <c r="CO171" s="118">
        <f t="shared" si="377"/>
        <v>0.25631422343920118</v>
      </c>
      <c r="CP171" s="186">
        <v>0.90566037735849059</v>
      </c>
      <c r="CQ171" s="118">
        <f>+CQ156*CP171+CO157*CP170+CO158*CP169+CO159*CP168+CO160*CP167+CO161*CP166+CO162*CP165+CO163*CP164+CO164*CP163+CO165*CP162+CO166*CP161+CO167*CP160+CO168*CP159+CO169*CP158+CO170*CP157+CO171</f>
        <v>29.926544797024413</v>
      </c>
      <c r="CR171" s="119">
        <f t="shared" si="378"/>
        <v>8.94310866678646E-4</v>
      </c>
      <c r="CS171" s="119"/>
      <c r="CT171" s="177">
        <f t="shared" si="379"/>
        <v>7.6777304842757721E-3</v>
      </c>
      <c r="CU171" s="177">
        <f t="shared" si="387"/>
        <v>7.4123436590715587E-3</v>
      </c>
      <c r="CV171" s="119">
        <f>VLOOKUP($H171,RoR!$E:$F,2,FALSE)</f>
        <v>4.2350000000000006E-2</v>
      </c>
      <c r="CW171" s="177">
        <v>1.7730000000000024E-2</v>
      </c>
      <c r="CX171" s="177">
        <f t="shared" si="385"/>
        <v>2.4619999999999982E-2</v>
      </c>
      <c r="CY171" s="177">
        <f t="shared" si="388"/>
        <v>2.3489597949462065E-2</v>
      </c>
      <c r="CZ171" s="177">
        <f t="shared" si="389"/>
        <v>5.3376742735721204E-2</v>
      </c>
      <c r="DA171" s="187">
        <f t="shared" si="380"/>
        <v>0.84925000000000006</v>
      </c>
      <c r="DB171" s="188">
        <f t="shared" si="381"/>
        <v>1.2109103018193925</v>
      </c>
      <c r="DC171" s="188">
        <f t="shared" si="382"/>
        <v>0.38468122786304604</v>
      </c>
      <c r="DD171" s="188">
        <f t="shared" si="383"/>
        <v>0.80969194503422559</v>
      </c>
      <c r="DE171" s="188">
        <f t="shared" si="384"/>
        <v>0.37716621754800816</v>
      </c>
      <c r="DF171" s="189">
        <f>INDEX('State Tax Lookup'!$D$7:$Z$91,MATCH(Calculation!$C171,'State Tax Lookup'!$B$7:$B$91,0),MATCH($H171,'State Tax Lookup'!$D$6:$Z$6,0))</f>
        <v>0.40200000000000002</v>
      </c>
      <c r="DG171" s="189">
        <v>0.375</v>
      </c>
      <c r="DH171" s="190">
        <f t="shared" si="386"/>
        <v>22.049344231022541</v>
      </c>
      <c r="DI171" s="190">
        <v>21.68713154074451</v>
      </c>
      <c r="DJ171" s="177"/>
      <c r="DK171" s="189">
        <f>VLOOKUP($H171,RoR!$E:$F,2,FALSE)</f>
        <v>4.2350000000000006E-2</v>
      </c>
      <c r="DL171" s="191">
        <f>HLOOKUP($H171,'GDP-PI'!$D$8:$CQ$11,3,FALSE)</f>
        <v>1.7730000000000024E-2</v>
      </c>
      <c r="DM171" s="189">
        <f>VLOOKUP(H171,'HW Dx Data'!$E:$F,2,FALSE)</f>
        <v>663.24840548821396</v>
      </c>
      <c r="DN171" s="183">
        <f>VLOOKUP(H171,'ECI - Input Price'!$G$17:$H$37,2,FALSE)</f>
        <v>118.72499999999999</v>
      </c>
      <c r="DO171" s="177">
        <f t="shared" ref="DO171" si="429">LN(DN171/DN170)</f>
        <v>1.8918621429430321E-2</v>
      </c>
      <c r="DP171" s="183">
        <f>HLOOKUP(H171,'GDP-PI'!$8:$9,2,FALSE)</f>
        <v>101.773</v>
      </c>
      <c r="DQ171" s="177">
        <f t="shared" ref="DQ171" si="430">LN(DP171/DP170)</f>
        <v>1.7574657016510519E-2</v>
      </c>
      <c r="DW171" s="192"/>
      <c r="DX171" s="192"/>
      <c r="DY171" s="192"/>
      <c r="DZ171" s="192"/>
      <c r="EA171" s="192"/>
      <c r="EB171" s="192"/>
      <c r="EC171" s="192"/>
      <c r="ED171" s="192"/>
      <c r="EE171" s="192"/>
    </row>
    <row r="172" spans="1:135" s="167" customFormat="1" ht="21" x14ac:dyDescent="0.35">
      <c r="A172" s="167" t="s">
        <v>37</v>
      </c>
      <c r="B172" s="168" t="s">
        <v>37</v>
      </c>
      <c r="C172" s="168">
        <v>4058793</v>
      </c>
      <c r="D172" s="168" t="s">
        <v>135</v>
      </c>
      <c r="E172" s="168"/>
      <c r="F172" s="168"/>
      <c r="G172" s="168" t="s">
        <v>20</v>
      </c>
      <c r="H172" s="169">
        <v>2014</v>
      </c>
      <c r="I172" s="170"/>
      <c r="J172" s="166">
        <f>IFERROR(INDEX('Labor Expenditures'!$F$7:$X$91,MATCH($C172,'Labor Expenditures'!$D$7:$D$91,0),MATCH($G172,'Labor Expenditures'!$F$5:$X$5,0)),"NA")</f>
        <v>319.63122605974127</v>
      </c>
      <c r="K172" s="166">
        <f t="shared" si="392"/>
        <v>2.637221337126578</v>
      </c>
      <c r="L172" s="172">
        <f t="shared" si="399"/>
        <v>-0.1109213204562782</v>
      </c>
      <c r="M172" s="172">
        <f t="shared" si="403"/>
        <v>-1.4191002065271435E-5</v>
      </c>
      <c r="N172" s="196"/>
      <c r="O172" s="172"/>
      <c r="P172" s="166">
        <f>IFERROR(INDEX('Non-Labor Expenditures'!$F$7:$AB$91,MATCH($C172,'Non-Labor Expenditures'!$D$7:$D$91,0),MATCH($G172,'Non-Labor Expenditures'!$F$5:$AB$5,0)),"NA")</f>
        <v>462.88571421270024</v>
      </c>
      <c r="Q172" s="166">
        <f t="shared" si="393"/>
        <v>4.4659827511910644</v>
      </c>
      <c r="R172" s="172">
        <f t="shared" si="404"/>
        <v>-0.10853519315450544</v>
      </c>
      <c r="S172" s="172">
        <f t="shared" si="409"/>
        <v>-1.3885726782501923E-5</v>
      </c>
      <c r="T172" s="172"/>
      <c r="U172" s="172"/>
      <c r="V172" s="166">
        <f t="shared" si="374"/>
        <v>673.38749142027177</v>
      </c>
      <c r="W172" s="170"/>
      <c r="X172" s="174">
        <v>29.906409481867019</v>
      </c>
      <c r="Y172" s="175">
        <v>-6.7305103550941196E-4</v>
      </c>
      <c r="Z172" s="175">
        <f t="shared" si="410"/>
        <v>-8.610850101367087E-8</v>
      </c>
      <c r="AA172" s="175"/>
      <c r="AB172" s="175"/>
      <c r="AC172" s="170">
        <f t="shared" si="287"/>
        <v>1455.9044316927134</v>
      </c>
      <c r="AD172" s="175">
        <f t="shared" si="405"/>
        <v>-4.0268769231425125E-2</v>
      </c>
      <c r="AE172" s="170"/>
      <c r="AF172" s="170"/>
      <c r="AG172" s="121">
        <f t="shared" si="406"/>
        <v>429.47033383265881</v>
      </c>
      <c r="AH172" s="119">
        <f>+AZ172/$BB$52</f>
        <v>9.2527446082291972E-5</v>
      </c>
      <c r="AI172" s="119"/>
      <c r="AJ172" s="176">
        <f t="shared" si="411"/>
        <v>3.9737793157645272E-2</v>
      </c>
      <c r="AK172" s="176">
        <f t="shared" si="412"/>
        <v>0</v>
      </c>
      <c r="AL172" s="120">
        <f t="shared" si="394"/>
        <v>0.21954135113670936</v>
      </c>
      <c r="AM172" s="120">
        <f t="shared" si="395"/>
        <v>0.31793688111418428</v>
      </c>
      <c r="AN172" s="120">
        <f t="shared" si="396"/>
        <v>0.46252176774910631</v>
      </c>
      <c r="AO172" s="120">
        <f t="shared" si="400"/>
        <v>-6.0670697630282266E-2</v>
      </c>
      <c r="AP172" s="173">
        <f t="shared" si="416"/>
        <v>87.391029930855098</v>
      </c>
      <c r="AQ172" s="175">
        <f t="shared" si="417"/>
        <v>-6.0670697630282294E-2</v>
      </c>
      <c r="AR172" s="177">
        <f>+AC172/$AE$52</f>
        <v>1.279375507512561E-4</v>
      </c>
      <c r="AS172" s="177">
        <f t="shared" si="413"/>
        <v>-7.7620604571883545E-6</v>
      </c>
      <c r="AT172" s="177"/>
      <c r="AU172" s="177"/>
      <c r="AV172" s="177"/>
      <c r="AW172" s="190"/>
      <c r="AX172" s="120"/>
      <c r="AY172" s="120"/>
      <c r="AZ172" s="118">
        <f>IFERROR(INDEX('Total Customers'!$F$7:$AB$91,MATCH($C172,'Total Customers'!$D$7:$D$91,0),MATCH($G172,'Total Customers'!$F$5:$AB$5,0)),"NA")</f>
        <v>3390</v>
      </c>
      <c r="BA172" s="119">
        <f t="shared" si="375"/>
        <v>-1.0271550321829685E-2</v>
      </c>
      <c r="BB172" s="119"/>
      <c r="BC172" s="121"/>
      <c r="BD172" s="119"/>
      <c r="BE172" s="119"/>
      <c r="BF172" s="119"/>
      <c r="BG172" s="173"/>
      <c r="BH172" s="173"/>
      <c r="BI172" s="173"/>
      <c r="BJ172" s="173"/>
      <c r="BK172" s="173"/>
      <c r="BL172" s="173"/>
      <c r="BM172" s="173"/>
      <c r="BN172" s="173"/>
      <c r="BO172" s="173"/>
      <c r="BP172" s="173"/>
      <c r="BQ172" s="118"/>
      <c r="BR172" s="118"/>
      <c r="BS172" s="118">
        <f>INDEX('Dist. Plant Gas Additions'!$F$7:$AE$91,MATCH($C172,'Dist. Plant Gas Additions'!$D$7:$D$91,0),MATCH(Calculation!$G172,'Dist. Plant Gas Additions'!$F$5:$AE$5,0))</f>
        <v>103</v>
      </c>
      <c r="BT172" s="118">
        <f>INDEX('Gen. Plant Additions'!$F$7:$AE$91,MATCH($C172,'Gen. Plant Additions'!$D$7:$D$91,0),MATCH(Calculation!$G172,'Gen. Plant Additions'!$F$5:$AE$5,0))</f>
        <v>47</v>
      </c>
      <c r="BU172" s="118"/>
      <c r="BV172" s="118"/>
      <c r="BW172" s="118" t="str">
        <f>INDEX('Dist Plant Depreciation'!$E$7:$AD$94,MATCH($C172,'Dist Plant Depreciation'!$D$7:$D$94,0),MATCH(Calculation!$G172,'Dist Plant Depreciation'!$E$5:$AD$5,0))</f>
        <v>NA</v>
      </c>
      <c r="BX172" s="118" t="str">
        <f>INDEX('Gen. Plant Depreciation'!$E$7:$AD$94,MATCH($C172,'Gen. Plant Depreciation'!$D$7:$D$94,0),MATCH(Calculation!$G172,'Gen. Plant Depreciation'!$E$5:$AD$5,0))</f>
        <v>NA</v>
      </c>
      <c r="BY172" s="118"/>
      <c r="BZ172" s="118"/>
      <c r="CA172" s="118"/>
      <c r="CB172" s="118"/>
      <c r="CC172" s="118"/>
      <c r="CD172" s="118"/>
      <c r="CE172" s="118">
        <f>INDEX('Gross Dx Plant'!$E$7:$AD$91,MATCH($C172,'Gross Dx Plant'!$D$7:$D$91,0),MATCH(Calculation!$G172,'Gross Dx Plant'!$E$5:$AD$5,0))</f>
        <v>8945</v>
      </c>
      <c r="CF172" s="118">
        <f>INDEX('Gross Gen Plant'!$E$7:$AD$91,MATCH($C172,'Gross Gen Plant'!$D$7:$D$91,0),MATCH(Calculation!$G172,'Gross Gen Plant'!$E$5:$AD$5,0))</f>
        <v>1326</v>
      </c>
      <c r="CG172" s="118" t="str">
        <f t="shared" si="426"/>
        <v>NA</v>
      </c>
      <c r="CH172" s="118"/>
      <c r="CI172" s="121">
        <v>2014</v>
      </c>
      <c r="CJ172" s="118"/>
      <c r="CK172" s="118"/>
      <c r="CL172" s="118"/>
      <c r="CM172" s="183"/>
      <c r="CN172" s="118">
        <f t="shared" si="376"/>
        <v>150</v>
      </c>
      <c r="CO172" s="118">
        <f t="shared" si="377"/>
        <v>0.2191479361295009</v>
      </c>
      <c r="CP172" s="186">
        <v>0.89743589743589747</v>
      </c>
      <c r="CQ172" s="118">
        <f>+CQ156*CP172+CO157*CP171+CO158*CP170+CO159*CP169+CO160*CP168+CO161*CP167+CO162*CP166+CO163*CP165+CO164*CP164+CO165*CP163+CO166*CP162+CO167*CP161+CO168*CP160+CO169*CP159+CO170*CP158+CO171*CP157+CO172</f>
        <v>29.906409481867019</v>
      </c>
      <c r="CR172" s="119">
        <f t="shared" si="378"/>
        <v>-6.7305103550941196E-4</v>
      </c>
      <c r="CS172" s="119"/>
      <c r="CT172" s="177">
        <f t="shared" si="379"/>
        <v>7.9956858671732158E-3</v>
      </c>
      <c r="CU172" s="177">
        <f t="shared" si="387"/>
        <v>7.6964973883210082E-3</v>
      </c>
      <c r="CV172" s="119">
        <f>VLOOKUP($H172,RoR!$E:$F,2,FALSE)</f>
        <v>4.1625000000000002E-2</v>
      </c>
      <c r="CW172" s="177">
        <v>1.841352814597208E-2</v>
      </c>
      <c r="CX172" s="177">
        <f t="shared" si="385"/>
        <v>2.3211471854027922E-2</v>
      </c>
      <c r="CY172" s="177">
        <f t="shared" si="388"/>
        <v>2.3205444220212618E-2</v>
      </c>
      <c r="CZ172" s="177">
        <f t="shared" si="389"/>
        <v>3.9072621432650924E-2</v>
      </c>
      <c r="DA172" s="187">
        <f t="shared" si="380"/>
        <v>0.84925000000000006</v>
      </c>
      <c r="DB172" s="188">
        <f t="shared" si="381"/>
        <v>1.2320012320012319</v>
      </c>
      <c r="DC172" s="188">
        <f t="shared" si="382"/>
        <v>0.37439939939939942</v>
      </c>
      <c r="DD172" s="188">
        <f t="shared" si="383"/>
        <v>0.80432100613819935</v>
      </c>
      <c r="DE172" s="188">
        <f t="shared" si="384"/>
        <v>0.37100152660040037</v>
      </c>
      <c r="DF172" s="189">
        <f>INDEX('State Tax Lookup'!$D$7:$Z$91,MATCH(Calculation!$C172,'State Tax Lookup'!$B$7:$B$91,0),MATCH($H172,'State Tax Lookup'!$D$6:$Z$6,0))</f>
        <v>0.40200000000000002</v>
      </c>
      <c r="DG172" s="189">
        <v>0.375</v>
      </c>
      <c r="DH172" s="190">
        <f t="shared" si="386"/>
        <v>22.501344408032914</v>
      </c>
      <c r="DI172" s="190">
        <v>22.083837008791658</v>
      </c>
      <c r="DJ172" s="177"/>
      <c r="DK172" s="189">
        <f>VLOOKUP($H172,RoR!$E:$F,2,FALSE)</f>
        <v>4.1625000000000002E-2</v>
      </c>
      <c r="DL172" s="191">
        <f>HLOOKUP($H172,'GDP-PI'!$D$8:$CQ$11,3,FALSE)</f>
        <v>1.841352814597208E-2</v>
      </c>
      <c r="DM172" s="189">
        <f>VLOOKUP(H172,'HW Dx Data'!$E:$F,2,FALSE)</f>
        <v>684.46914285042885</v>
      </c>
      <c r="DN172" s="183">
        <f>VLOOKUP(H172,'ECI - Input Price'!$G$17:$H$37,2,FALSE)</f>
        <v>121.2</v>
      </c>
      <c r="DO172" s="177">
        <f t="shared" ref="DO172" si="431">LN(DN172/DN171)</f>
        <v>2.0632179200028689E-2</v>
      </c>
      <c r="DP172" s="183">
        <f>HLOOKUP(H172,'GDP-PI'!$8:$9,2,FALSE)</f>
        <v>103.64700000000001</v>
      </c>
      <c r="DQ172" s="177">
        <f t="shared" ref="DQ172" si="432">LN(DP172/DP171)</f>
        <v>1.8246051898256087E-2</v>
      </c>
      <c r="DW172" s="192"/>
      <c r="DX172" s="192"/>
      <c r="DY172" s="192"/>
      <c r="DZ172" s="192"/>
      <c r="EA172" s="192"/>
      <c r="EB172" s="192"/>
      <c r="EC172" s="192"/>
      <c r="ED172" s="192"/>
      <c r="EE172" s="192"/>
    </row>
    <row r="173" spans="1:135" s="167" customFormat="1" ht="21" x14ac:dyDescent="0.35">
      <c r="A173" s="167" t="s">
        <v>37</v>
      </c>
      <c r="B173" s="168" t="s">
        <v>37</v>
      </c>
      <c r="C173" s="168">
        <v>4058793</v>
      </c>
      <c r="D173" s="168" t="s">
        <v>135</v>
      </c>
      <c r="E173" s="168"/>
      <c r="F173" s="168"/>
      <c r="G173" s="168" t="s">
        <v>21</v>
      </c>
      <c r="H173" s="169">
        <v>2015</v>
      </c>
      <c r="I173" s="170"/>
      <c r="J173" s="166">
        <f>IFERROR(INDEX('Labor Expenditures'!$F$7:$X$91,MATCH($C173,'Labor Expenditures'!$D$7:$D$91,0),MATCH($G173,'Labor Expenditures'!$F$5:$X$5,0)),"NA")</f>
        <v>310.39871495196576</v>
      </c>
      <c r="K173" s="166">
        <f t="shared" si="392"/>
        <v>2.5082724440562889</v>
      </c>
      <c r="L173" s="172">
        <f t="shared" si="399"/>
        <v>-5.0131592173014959E-2</v>
      </c>
      <c r="M173" s="172">
        <f t="shared" si="403"/>
        <v>-6.1791328181110402E-6</v>
      </c>
      <c r="N173" s="196"/>
      <c r="O173" s="172"/>
      <c r="P173" s="166">
        <f>IFERROR(INDEX('Non-Labor Expenditures'!$F$7:$AB$91,MATCH($C173,'Non-Labor Expenditures'!$D$7:$D$91,0),MATCH($G173,'Non-Labor Expenditures'!$F$5:$AB$5,0)),"NA")</f>
        <v>449.51531373342846</v>
      </c>
      <c r="Q173" s="166">
        <f t="shared" si="393"/>
        <v>4.2958678287581922</v>
      </c>
      <c r="R173" s="172">
        <f t="shared" si="404"/>
        <v>-3.8835700544872474E-2</v>
      </c>
      <c r="S173" s="172">
        <f t="shared" si="409"/>
        <v>-4.7868208718159736E-6</v>
      </c>
      <c r="T173" s="172"/>
      <c r="U173" s="172"/>
      <c r="V173" s="166">
        <f t="shared" si="374"/>
        <v>656.90739094707749</v>
      </c>
      <c r="W173" s="170"/>
      <c r="X173" s="174">
        <v>30.146999381159588</v>
      </c>
      <c r="Y173" s="175">
        <v>8.0125738414871528E-3</v>
      </c>
      <c r="Z173" s="175">
        <f t="shared" si="410"/>
        <v>9.8761590915762233E-7</v>
      </c>
      <c r="AA173" s="175"/>
      <c r="AB173" s="175"/>
      <c r="AC173" s="170">
        <f t="shared" si="287"/>
        <v>1416.8214196324716</v>
      </c>
      <c r="AD173" s="175">
        <f t="shared" si="405"/>
        <v>-2.7211384356694696E-2</v>
      </c>
      <c r="AE173" s="170"/>
      <c r="AF173" s="170"/>
      <c r="AG173" s="121">
        <f t="shared" si="406"/>
        <v>407.13259184841138</v>
      </c>
      <c r="AH173" s="119">
        <f>+AZ173/$BB$53</f>
        <v>9.4213781670702531E-5</v>
      </c>
      <c r="AI173" s="119"/>
      <c r="AJ173" s="176">
        <f t="shared" si="411"/>
        <v>3.8357501119433472E-2</v>
      </c>
      <c r="AK173" s="176">
        <f t="shared" si="412"/>
        <v>0</v>
      </c>
      <c r="AL173" s="120">
        <f t="shared" si="394"/>
        <v>0.21908104341934939</v>
      </c>
      <c r="AM173" s="120">
        <f t="shared" si="395"/>
        <v>0.31727026956582455</v>
      </c>
      <c r="AN173" s="120">
        <f t="shared" si="396"/>
        <v>0.46364868701482614</v>
      </c>
      <c r="AO173" s="120">
        <f t="shared" si="400"/>
        <v>-1.9618272265503181E-2</v>
      </c>
      <c r="AP173" s="173">
        <f t="shared" si="416"/>
        <v>85.693276854921422</v>
      </c>
      <c r="AQ173" s="175">
        <f t="shared" si="417"/>
        <v>-1.9618272265503198E-2</v>
      </c>
      <c r="AR173" s="177">
        <f>+AC173/$AE$53</f>
        <v>1.2325825991693057E-4</v>
      </c>
      <c r="AS173" s="177">
        <f t="shared" si="413"/>
        <v>-2.4181141020225034E-6</v>
      </c>
      <c r="AT173" s="177"/>
      <c r="AU173" s="177"/>
      <c r="AV173" s="177"/>
      <c r="AW173" s="190"/>
      <c r="AX173" s="120"/>
      <c r="AY173" s="120"/>
      <c r="AZ173" s="118">
        <f>IFERROR(INDEX('Total Customers'!$F$7:$AB$91,MATCH($C173,'Total Customers'!$D$7:$D$91,0),MATCH($G173,'Total Customers'!$F$5:$AB$5,0)),"NA")</f>
        <v>3480</v>
      </c>
      <c r="BA173" s="119">
        <f t="shared" si="375"/>
        <v>2.6202372394024117E-2</v>
      </c>
      <c r="BB173" s="119"/>
      <c r="BC173" s="121"/>
      <c r="BD173" s="119"/>
      <c r="BE173" s="119"/>
      <c r="BF173" s="119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18"/>
      <c r="BR173" s="118"/>
      <c r="BS173" s="118">
        <f>INDEX('Dist. Plant Gas Additions'!$F$7:$AE$91,MATCH($C173,'Dist. Plant Gas Additions'!$D$7:$D$91,0),MATCH(Calculation!$G173,'Dist. Plant Gas Additions'!$F$5:$AE$5,0))</f>
        <v>270</v>
      </c>
      <c r="BT173" s="118">
        <f>INDEX('Gen. Plant Additions'!$F$7:$AE$91,MATCH($C173,'Gen. Plant Additions'!$D$7:$D$91,0),MATCH(Calculation!$G173,'Gen. Plant Additions'!$F$5:$AE$5,0))</f>
        <v>61</v>
      </c>
      <c r="BU173" s="118"/>
      <c r="BV173" s="118"/>
      <c r="BW173" s="118" t="str">
        <f>INDEX('Dist Plant Depreciation'!$E$7:$AD$94,MATCH($C173,'Dist Plant Depreciation'!$D$7:$D$94,0),MATCH(Calculation!$G173,'Dist Plant Depreciation'!$E$5:$AD$5,0))</f>
        <v>NA</v>
      </c>
      <c r="BX173" s="118" t="str">
        <f>INDEX('Gen. Plant Depreciation'!$E$7:$AD$94,MATCH($C173,'Gen. Plant Depreciation'!$D$7:$D$94,0),MATCH(Calculation!$G173,'Gen. Plant Depreciation'!$E$5:$AD$5,0))</f>
        <v>NA</v>
      </c>
      <c r="BY173" s="118"/>
      <c r="BZ173" s="118"/>
      <c r="CA173" s="118"/>
      <c r="CB173" s="118"/>
      <c r="CC173" s="118"/>
      <c r="CD173" s="118"/>
      <c r="CE173" s="118">
        <f>INDEX('Gross Dx Plant'!$E$7:$AD$91,MATCH($C173,'Gross Dx Plant'!$D$7:$D$91,0),MATCH(Calculation!$G173,'Gross Dx Plant'!$E$5:$AD$5,0))</f>
        <v>9214</v>
      </c>
      <c r="CF173" s="118">
        <f>INDEX('Gross Gen Plant'!$E$7:$AD$91,MATCH($C173,'Gross Gen Plant'!$D$7:$D$91,0),MATCH(Calculation!$G173,'Gross Gen Plant'!$E$5:$AD$5,0))</f>
        <v>1386</v>
      </c>
      <c r="CG173" s="118" t="str">
        <f t="shared" si="426"/>
        <v>NA</v>
      </c>
      <c r="CH173" s="118"/>
      <c r="CI173" s="121">
        <v>2015</v>
      </c>
      <c r="CJ173" s="118"/>
      <c r="CK173" s="118"/>
      <c r="CL173" s="118"/>
      <c r="CM173" s="183"/>
      <c r="CN173" s="118">
        <f t="shared" si="376"/>
        <v>331</v>
      </c>
      <c r="CO173" s="118">
        <f t="shared" si="377"/>
        <v>0.48992426124308686</v>
      </c>
      <c r="CP173" s="186">
        <v>0.88888888888888884</v>
      </c>
      <c r="CQ173" s="118">
        <f>+CQ156*CP173+CO157*CP172+CO158*CP171+CO159*CP170+CO160*CP169+CO161*CP168+CO162*CP167+CO163*CP166+CO164*CP165+CO165*CP164+CO166*CP163+CO167*CP162+CO168*CP161+CO169*CP160+CO170*CP159+CO171*CP158+CO172*CP157+CO173</f>
        <v>30.146999381159588</v>
      </c>
      <c r="CR173" s="119">
        <f t="shared" si="378"/>
        <v>8.0125738414871528E-3</v>
      </c>
      <c r="CS173" s="119"/>
      <c r="CT173" s="177">
        <f t="shared" si="379"/>
        <v>8.3371546859108935E-3</v>
      </c>
      <c r="CU173" s="177">
        <f t="shared" si="387"/>
        <v>8.0035236791199602E-3</v>
      </c>
      <c r="CV173" s="119">
        <f>VLOOKUP($H173,RoR!$E:$F,2,FALSE)</f>
        <v>3.8866666666666674E-2</v>
      </c>
      <c r="CW173" s="177">
        <v>9.5709475431029478E-3</v>
      </c>
      <c r="CX173" s="177">
        <f t="shared" si="385"/>
        <v>2.9295719123563727E-2</v>
      </c>
      <c r="CY173" s="177">
        <f t="shared" si="388"/>
        <v>2.2898417929413665E-2</v>
      </c>
      <c r="CZ173" s="177">
        <f t="shared" si="389"/>
        <v>3.5270373279175926E-3</v>
      </c>
      <c r="DA173" s="187">
        <f t="shared" si="380"/>
        <v>0.84925000000000006</v>
      </c>
      <c r="DB173" s="188">
        <f t="shared" si="381"/>
        <v>1.3194352816994324</v>
      </c>
      <c r="DC173" s="188">
        <f t="shared" si="382"/>
        <v>0.33177530017152673</v>
      </c>
      <c r="DD173" s="188">
        <f t="shared" si="383"/>
        <v>0.78242572977668579</v>
      </c>
      <c r="DE173" s="188">
        <f t="shared" si="384"/>
        <v>0.34251158643433932</v>
      </c>
      <c r="DF173" s="189">
        <f>INDEX('State Tax Lookup'!$D$7:$Z$91,MATCH(Calculation!$C173,'State Tax Lookup'!$B$7:$B$91,0),MATCH($H173,'State Tax Lookup'!$D$6:$Z$6,0))</f>
        <v>0.40200000000000002</v>
      </c>
      <c r="DG173" s="189">
        <v>0.375</v>
      </c>
      <c r="DH173" s="190">
        <f t="shared" si="386"/>
        <v>21.965438256483996</v>
      </c>
      <c r="DI173" s="190">
        <v>21.494508435459014</v>
      </c>
      <c r="DJ173" s="177"/>
      <c r="DK173" s="189">
        <f>VLOOKUP($H173,RoR!$E:$F,2,FALSE)</f>
        <v>3.8866666666666674E-2</v>
      </c>
      <c r="DL173" s="191">
        <f>HLOOKUP($H173,'GDP-PI'!$D$8:$CQ$11,3,FALSE)</f>
        <v>9.5709475431029478E-3</v>
      </c>
      <c r="DM173" s="189">
        <f>VLOOKUP(H173,'HW Dx Data'!$E:$F,2,FALSE)</f>
        <v>675.61463308665782</v>
      </c>
      <c r="DN173" s="183">
        <f>VLOOKUP(H173,'ECI - Input Price'!$G$17:$H$37,2,FALSE)</f>
        <v>123.75</v>
      </c>
      <c r="DO173" s="177">
        <f t="shared" ref="DO173" si="433">LN(DN173/DN172)</f>
        <v>2.0821327813585516E-2</v>
      </c>
      <c r="DP173" s="183">
        <f>HLOOKUP(H173,'GDP-PI'!$8:$9,2,FALSE)</f>
        <v>104.639</v>
      </c>
      <c r="DQ173" s="177">
        <f t="shared" ref="DQ173" si="434">LN(DP173/DP172)</f>
        <v>9.5254361854427965E-3</v>
      </c>
      <c r="DW173" s="192"/>
      <c r="DX173" s="192"/>
      <c r="DY173" s="192"/>
      <c r="DZ173" s="192"/>
      <c r="EA173" s="192"/>
      <c r="EB173" s="192"/>
      <c r="EC173" s="192"/>
      <c r="ED173" s="192"/>
      <c r="EE173" s="192"/>
    </row>
    <row r="174" spans="1:135" s="167" customFormat="1" ht="21" x14ac:dyDescent="0.35">
      <c r="A174" s="167" t="s">
        <v>37</v>
      </c>
      <c r="B174" s="168" t="s">
        <v>37</v>
      </c>
      <c r="C174" s="168">
        <v>4058793</v>
      </c>
      <c r="D174" s="168" t="s">
        <v>135</v>
      </c>
      <c r="E174" s="168"/>
      <c r="F174" s="168"/>
      <c r="G174" s="168" t="s">
        <v>22</v>
      </c>
      <c r="H174" s="169">
        <v>2016</v>
      </c>
      <c r="I174" s="170"/>
      <c r="J174" s="166">
        <f>IFERROR(INDEX('Labor Expenditures'!$F$7:$X$91,MATCH($C174,'Labor Expenditures'!$D$7:$D$91,0),MATCH($G174,'Labor Expenditures'!$F$5:$X$5,0)),"NA")</f>
        <v>379.30064563295048</v>
      </c>
      <c r="K174" s="166">
        <f t="shared" si="392"/>
        <v>3.0007962470961269</v>
      </c>
      <c r="L174" s="172">
        <f t="shared" si="399"/>
        <v>0.17928342227294614</v>
      </c>
      <c r="M174" s="172">
        <f t="shared" si="403"/>
        <v>2.3766094325717273E-5</v>
      </c>
      <c r="N174" s="196"/>
      <c r="O174" s="172"/>
      <c r="P174" s="166">
        <f>IFERROR(INDEX('Non-Labor Expenditures'!$F$7:$AB$91,MATCH($C174,'Non-Labor Expenditures'!$D$7:$D$91,0),MATCH($G174,'Non-Labor Expenditures'!$F$5:$AB$5,0)),"NA")</f>
        <v>549.2981784649877</v>
      </c>
      <c r="Q174" s="166">
        <f t="shared" si="393"/>
        <v>5.1949967699268713</v>
      </c>
      <c r="R174" s="172">
        <f t="shared" si="404"/>
        <v>0.19004241216969867</v>
      </c>
      <c r="S174" s="172">
        <f t="shared" si="409"/>
        <v>2.5192323061725983E-5</v>
      </c>
      <c r="T174" s="172"/>
      <c r="U174" s="172"/>
      <c r="V174" s="166">
        <f t="shared" si="374"/>
        <v>648.60377986665048</v>
      </c>
      <c r="W174" s="170"/>
      <c r="X174" s="174">
        <v>30.829934757970936</v>
      </c>
      <c r="Y174" s="175">
        <v>2.2400730501841694E-2</v>
      </c>
      <c r="Z174" s="175">
        <f t="shared" si="410"/>
        <v>2.969476303621841E-6</v>
      </c>
      <c r="AA174" s="175"/>
      <c r="AB174" s="175"/>
      <c r="AC174" s="170">
        <f t="shared" si="287"/>
        <v>1577.2026039645887</v>
      </c>
      <c r="AD174" s="175">
        <f t="shared" si="405"/>
        <v>0.10723684833478293</v>
      </c>
      <c r="AE174" s="170"/>
      <c r="AF174" s="170"/>
      <c r="AG174" s="121">
        <f t="shared" si="406"/>
        <v>479.97644673298498</v>
      </c>
      <c r="AH174" s="119">
        <f>+AZ174/$BB$54</f>
        <v>8.8192986486917746E-5</v>
      </c>
      <c r="AI174" s="119"/>
      <c r="AJ174" s="176">
        <f t="shared" si="411"/>
        <v>4.2330556280760941E-2</v>
      </c>
      <c r="AK174" s="176">
        <f t="shared" si="412"/>
        <v>0</v>
      </c>
      <c r="AL174" s="120">
        <f t="shared" si="394"/>
        <v>0.24048948732363781</v>
      </c>
      <c r="AM174" s="120">
        <f t="shared" si="395"/>
        <v>0.34827369488499815</v>
      </c>
      <c r="AN174" s="120">
        <f t="shared" si="396"/>
        <v>0.41123681779136406</v>
      </c>
      <c r="AO174" s="120">
        <f t="shared" si="400"/>
        <v>0.11423651617487333</v>
      </c>
      <c r="AP174" s="173">
        <f t="shared" si="416"/>
        <v>96.063640041442781</v>
      </c>
      <c r="AQ174" s="175">
        <f t="shared" si="417"/>
        <v>0.1142365161748734</v>
      </c>
      <c r="AR174" s="177">
        <f>+AC174/$AE$54</f>
        <v>1.3256158335451173E-4</v>
      </c>
      <c r="AS174" s="177">
        <f t="shared" si="413"/>
        <v>1.5143373461044508E-5</v>
      </c>
      <c r="AT174" s="177"/>
      <c r="AU174" s="177"/>
      <c r="AV174" s="177"/>
      <c r="AW174" s="190"/>
      <c r="AX174" s="120"/>
      <c r="AY174" s="120"/>
      <c r="AZ174" s="118">
        <f>IFERROR(INDEX('Total Customers'!$F$7:$AB$91,MATCH($C174,'Total Customers'!$D$7:$D$91,0),MATCH($G174,'Total Customers'!$F$5:$AB$5,0)),"NA")</f>
        <v>3286</v>
      </c>
      <c r="BA174" s="119">
        <f t="shared" si="375"/>
        <v>-5.7361274171306612E-2</v>
      </c>
      <c r="BB174" s="119"/>
      <c r="BC174" s="121"/>
      <c r="BD174" s="119"/>
      <c r="BE174" s="119"/>
      <c r="BF174" s="119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18"/>
      <c r="BR174" s="118"/>
      <c r="BS174" s="118">
        <f>INDEX('Dist. Plant Gas Additions'!$F$7:$AE$91,MATCH($C174,'Dist. Plant Gas Additions'!$D$7:$D$91,0),MATCH(Calculation!$G174,'Dist. Plant Gas Additions'!$F$5:$AE$5,0))</f>
        <v>465</v>
      </c>
      <c r="BT174" s="118">
        <f>INDEX('Gen. Plant Additions'!$F$7:$AE$91,MATCH($C174,'Gen. Plant Additions'!$D$7:$D$91,0),MATCH(Calculation!$G174,'Gen. Plant Additions'!$F$5:$AE$5,0))</f>
        <v>169</v>
      </c>
      <c r="BU174" s="118"/>
      <c r="BV174" s="118"/>
      <c r="BW174" s="118" t="str">
        <f>INDEX('Dist Plant Depreciation'!$E$7:$AD$94,MATCH($C174,'Dist Plant Depreciation'!$D$7:$D$94,0),MATCH(Calculation!$G174,'Dist Plant Depreciation'!$E$5:$AD$5,0))</f>
        <v>NA</v>
      </c>
      <c r="BX174" s="118" t="str">
        <f>INDEX('Gen. Plant Depreciation'!$E$7:$AD$94,MATCH($C174,'Gen. Plant Depreciation'!$D$7:$D$94,0),MATCH(Calculation!$G174,'Gen. Plant Depreciation'!$E$5:$AD$5,0))</f>
        <v>NA</v>
      </c>
      <c r="BY174" s="118"/>
      <c r="BZ174" s="118"/>
      <c r="CA174" s="118"/>
      <c r="CB174" s="118"/>
      <c r="CC174" s="118"/>
      <c r="CD174" s="118"/>
      <c r="CE174" s="118">
        <f>INDEX('Gross Dx Plant'!$E$7:$AD$91,MATCH($C174,'Gross Dx Plant'!$D$7:$D$91,0),MATCH(Calculation!$G174,'Gross Dx Plant'!$E$5:$AD$5,0))</f>
        <v>9679</v>
      </c>
      <c r="CF174" s="118">
        <f>INDEX('Gross Gen Plant'!$E$7:$AD$91,MATCH($C174,'Gross Gen Plant'!$D$7:$D$91,0),MATCH(Calculation!$G174,'Gross Gen Plant'!$E$5:$AD$5,0))</f>
        <v>1555</v>
      </c>
      <c r="CG174" s="118" t="str">
        <f t="shared" si="426"/>
        <v>NA</v>
      </c>
      <c r="CH174" s="118"/>
      <c r="CI174" s="121">
        <v>2016</v>
      </c>
      <c r="CJ174" s="118"/>
      <c r="CK174" s="118"/>
      <c r="CL174" s="118"/>
      <c r="CM174" s="183"/>
      <c r="CN174" s="118">
        <f t="shared" si="376"/>
        <v>634</v>
      </c>
      <c r="CO174" s="118">
        <f t="shared" si="377"/>
        <v>0.94421619303615123</v>
      </c>
      <c r="CP174" s="186">
        <v>0.88</v>
      </c>
      <c r="CQ174" s="118">
        <f>+CQ156*CP174+CO157*CP173+CO158*CP172+CO159*CP171+CO160*CP170+CO161*CP169+CO162*CP168+CO163*CP167+CO164*CP166+CO165*CP165+CO166*CP164+CO167*CP163+CO168*CP162+CO169*CP161+CO170*CP160+CO171*CP159+CO172*CP158+CO173*CP157+CO174</f>
        <v>30.829934757970936</v>
      </c>
      <c r="CR174" s="119">
        <f t="shared" si="378"/>
        <v>2.2400730501841694E-2</v>
      </c>
      <c r="CS174" s="119"/>
      <c r="CT174" s="177">
        <f t="shared" si="379"/>
        <v>8.6668929441811038E-3</v>
      </c>
      <c r="CU174" s="177">
        <f t="shared" si="387"/>
        <v>8.3332444990884044E-3</v>
      </c>
      <c r="CV174" s="119">
        <f>VLOOKUP($H174,RoR!$E:$F,2,FALSE)</f>
        <v>3.6658333333333334E-2</v>
      </c>
      <c r="CW174" s="177">
        <v>1.0483662879041455E-2</v>
      </c>
      <c r="CX174" s="177">
        <f t="shared" si="385"/>
        <v>2.6174670454291879E-2</v>
      </c>
      <c r="CY174" s="177">
        <f t="shared" si="388"/>
        <v>2.2568697109445222E-2</v>
      </c>
      <c r="CZ174" s="177">
        <f t="shared" si="389"/>
        <v>4.301363574220729E-3</v>
      </c>
      <c r="DA174" s="187">
        <f t="shared" si="380"/>
        <v>0.84925000000000006</v>
      </c>
      <c r="DB174" s="188">
        <f t="shared" si="381"/>
        <v>1.3989193348138562</v>
      </c>
      <c r="DC174" s="188">
        <f t="shared" si="382"/>
        <v>0.29302682427824522</v>
      </c>
      <c r="DD174" s="188">
        <f t="shared" si="383"/>
        <v>0.76309497491941802</v>
      </c>
      <c r="DE174" s="188">
        <f t="shared" si="384"/>
        <v>0.31280857135128509</v>
      </c>
      <c r="DF174" s="189">
        <f>INDEX('State Tax Lookup'!$D$7:$Z$91,MATCH(Calculation!$C174,'State Tax Lookup'!$B$7:$B$91,0),MATCH($H174,'State Tax Lookup'!$D$6:$Z$6,0))</f>
        <v>0.40200000000000002</v>
      </c>
      <c r="DG174" s="189">
        <v>0.375</v>
      </c>
      <c r="DH174" s="190">
        <f t="shared" si="386"/>
        <v>21.514704387860117</v>
      </c>
      <c r="DI174" s="190">
        <v>21.023677055248683</v>
      </c>
      <c r="DJ174" s="177"/>
      <c r="DK174" s="189">
        <f>VLOOKUP($H174,RoR!$E:$F,2,FALSE)</f>
        <v>3.6658333333333334E-2</v>
      </c>
      <c r="DL174" s="191">
        <f>HLOOKUP($H174,'GDP-PI'!$D$8:$CQ$11,3,FALSE)</f>
        <v>1.0483662879041455E-2</v>
      </c>
      <c r="DM174" s="189">
        <f>VLOOKUP(H174,'HW Dx Data'!$E:$F,2,FALSE)</f>
        <v>671.45639385971219</v>
      </c>
      <c r="DN174" s="183">
        <f>VLOOKUP(H174,'ECI - Input Price'!$G$17:$H$37,2,FALSE)</f>
        <v>126.4</v>
      </c>
      <c r="DO174" s="177">
        <f t="shared" ref="DO174" si="435">LN(DN174/DN173)</f>
        <v>2.11880802639575E-2</v>
      </c>
      <c r="DP174" s="183">
        <f>HLOOKUP(H174,'GDP-PI'!$8:$9,2,FALSE)</f>
        <v>105.736</v>
      </c>
      <c r="DQ174" s="177">
        <f t="shared" ref="DQ174" si="436">LN(DP174/DP173)</f>
        <v>1.0429090367205095E-2</v>
      </c>
      <c r="DW174" s="192"/>
      <c r="DX174" s="192"/>
      <c r="DY174" s="192"/>
      <c r="DZ174" s="192"/>
      <c r="EA174" s="192"/>
      <c r="EB174" s="192"/>
      <c r="EC174" s="192"/>
      <c r="ED174" s="192"/>
      <c r="EE174" s="192"/>
    </row>
    <row r="175" spans="1:135" s="167" customFormat="1" ht="21" x14ac:dyDescent="0.35">
      <c r="A175" s="167" t="s">
        <v>37</v>
      </c>
      <c r="B175" s="168" t="s">
        <v>37</v>
      </c>
      <c r="C175" s="168">
        <v>4058793</v>
      </c>
      <c r="D175" s="168" t="s">
        <v>135</v>
      </c>
      <c r="E175" s="168"/>
      <c r="F175" s="168"/>
      <c r="G175" s="168" t="s">
        <v>23</v>
      </c>
      <c r="H175" s="169">
        <v>2017</v>
      </c>
      <c r="I175" s="170"/>
      <c r="J175" s="166">
        <f>IFERROR(INDEX('Labor Expenditures'!$F$7:$X$91,MATCH($C175,'Labor Expenditures'!$D$7:$D$91,0),MATCH($G175,'Labor Expenditures'!$F$5:$X$5,0)),"NA")</f>
        <v>335.69612530334604</v>
      </c>
      <c r="K175" s="166">
        <f t="shared" si="392"/>
        <v>2.5922480718405101</v>
      </c>
      <c r="L175" s="172">
        <f t="shared" si="399"/>
        <v>-0.14635218851127993</v>
      </c>
      <c r="M175" s="172">
        <f t="shared" si="403"/>
        <v>-1.7521905439178749E-5</v>
      </c>
      <c r="N175" s="196"/>
      <c r="O175" s="172"/>
      <c r="P175" s="166">
        <f>IFERROR(INDEX('Non-Labor Expenditures'!$F$7:$AB$91,MATCH($C175,'Non-Labor Expenditures'!$D$7:$D$91,0),MATCH($G175,'Non-Labor Expenditures'!$F$5:$AB$5,0)),"NA")</f>
        <v>486.15068882672989</v>
      </c>
      <c r="Q175" s="166">
        <f t="shared" si="393"/>
        <v>4.5117974666288934</v>
      </c>
      <c r="R175" s="172">
        <f t="shared" si="404"/>
        <v>-0.14100037731218976</v>
      </c>
      <c r="S175" s="172">
        <f t="shared" si="409"/>
        <v>-1.6881163877930635E-5</v>
      </c>
      <c r="T175" s="172"/>
      <c r="U175" s="172"/>
      <c r="V175" s="166">
        <f t="shared" si="374"/>
        <v>596.57080787773361</v>
      </c>
      <c r="W175" s="170"/>
      <c r="X175" s="174">
        <v>30.712428749694521</v>
      </c>
      <c r="Y175" s="175">
        <v>-3.8187077770033876E-3</v>
      </c>
      <c r="Z175" s="175">
        <f t="shared" si="410"/>
        <v>-4.5719190979745925E-7</v>
      </c>
      <c r="AA175" s="175"/>
      <c r="AB175" s="175"/>
      <c r="AC175" s="170">
        <f t="shared" si="287"/>
        <v>1418.4176220078095</v>
      </c>
      <c r="AD175" s="175">
        <f t="shared" si="405"/>
        <v>-0.10611087446059737</v>
      </c>
      <c r="AE175" s="170"/>
      <c r="AF175" s="170"/>
      <c r="AG175" s="121">
        <f t="shared" si="406"/>
        <v>428.26619021974926</v>
      </c>
      <c r="AH175" s="119">
        <f>+AZ175/$BB$55</f>
        <v>8.8222942818870078E-5</v>
      </c>
      <c r="AI175" s="119"/>
      <c r="AJ175" s="176">
        <f t="shared" si="411"/>
        <v>3.7782903611012275E-2</v>
      </c>
      <c r="AK175" s="176">
        <f t="shared" si="412"/>
        <v>0</v>
      </c>
      <c r="AL175" s="120">
        <f t="shared" si="394"/>
        <v>0.23666945481695217</v>
      </c>
      <c r="AM175" s="120">
        <f t="shared" si="395"/>
        <v>0.34274157433166269</v>
      </c>
      <c r="AN175" s="120">
        <f t="shared" si="396"/>
        <v>0.42058897085138514</v>
      </c>
      <c r="AO175" s="120">
        <f t="shared" si="400"/>
        <v>-8.522158437311908E-2</v>
      </c>
      <c r="AP175" s="173">
        <f t="shared" si="416"/>
        <v>88.216083990866082</v>
      </c>
      <c r="AQ175" s="175">
        <f t="shared" si="417"/>
        <v>-8.5221584373119066E-2</v>
      </c>
      <c r="AR175" s="177">
        <f>+AC175/$AE$55</f>
        <v>1.1972424613129901E-4</v>
      </c>
      <c r="AS175" s="177">
        <f t="shared" si="413"/>
        <v>-1.0203089943186573E-5</v>
      </c>
      <c r="AT175" s="177"/>
      <c r="AU175" s="177"/>
      <c r="AV175" s="177"/>
      <c r="AW175" s="190"/>
      <c r="AX175" s="120"/>
      <c r="AY175" s="120"/>
      <c r="AZ175" s="118">
        <f>IFERROR(INDEX('Total Customers'!$F$7:$AB$91,MATCH($C175,'Total Customers'!$D$7:$D$91,0),MATCH($G175,'Total Customers'!$F$5:$AB$5,0)),"NA")</f>
        <v>3312</v>
      </c>
      <c r="BA175" s="119">
        <f t="shared" si="375"/>
        <v>7.8812169079368766E-3</v>
      </c>
      <c r="BB175" s="119"/>
      <c r="BC175" s="121"/>
      <c r="BD175" s="119"/>
      <c r="BE175" s="119"/>
      <c r="BF175" s="119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18"/>
      <c r="BR175" s="118"/>
      <c r="BS175" s="118">
        <f>INDEX('Dist. Plant Gas Additions'!$F$7:$AE$91,MATCH($C175,'Dist. Plant Gas Additions'!$D$7:$D$91,0),MATCH(Calculation!$G175,'Dist. Plant Gas Additions'!$F$5:$AE$5,0))</f>
        <v>68</v>
      </c>
      <c r="BT175" s="118">
        <f>INDEX('Gen. Plant Additions'!$F$7:$AE$91,MATCH($C175,'Gen. Plant Additions'!$D$7:$D$91,0),MATCH(Calculation!$G175,'Gen. Plant Additions'!$F$5:$AE$5,0))</f>
        <v>45</v>
      </c>
      <c r="BU175" s="118"/>
      <c r="BV175" s="118"/>
      <c r="BW175" s="118" t="str">
        <f>INDEX('Dist Plant Depreciation'!$E$7:$AD$94,MATCH($C175,'Dist Plant Depreciation'!$D$7:$D$94,0),MATCH(Calculation!$G175,'Dist Plant Depreciation'!$E$5:$AD$5,0))</f>
        <v>NA</v>
      </c>
      <c r="BX175" s="118" t="str">
        <f>INDEX('Gen. Plant Depreciation'!$E$7:$AD$94,MATCH($C175,'Gen. Plant Depreciation'!$D$7:$D$94,0),MATCH(Calculation!$G175,'Gen. Plant Depreciation'!$E$5:$AD$5,0))</f>
        <v>NA</v>
      </c>
      <c r="BY175" s="118"/>
      <c r="BZ175" s="118"/>
      <c r="CA175" s="118"/>
      <c r="CB175" s="118"/>
      <c r="CC175" s="118"/>
      <c r="CD175" s="118"/>
      <c r="CE175" s="118">
        <f>INDEX('Gross Dx Plant'!$E$7:$AD$91,MATCH($C175,'Gross Dx Plant'!$D$7:$D$91,0),MATCH(Calculation!$G175,'Gross Dx Plant'!$E$5:$AD$5,0))</f>
        <v>9326</v>
      </c>
      <c r="CF175" s="118">
        <f>INDEX('Gross Gen Plant'!$E$7:$AD$91,MATCH($C175,'Gross Gen Plant'!$D$7:$D$91,0),MATCH(Calculation!$G175,'Gross Gen Plant'!$E$5:$AD$5,0))</f>
        <v>1608</v>
      </c>
      <c r="CG175" s="118" t="str">
        <f t="shared" si="426"/>
        <v>NA</v>
      </c>
      <c r="CH175" s="118"/>
      <c r="CI175" s="121">
        <v>2017</v>
      </c>
      <c r="CJ175" s="118"/>
      <c r="CK175" s="118"/>
      <c r="CL175" s="118"/>
      <c r="CM175" s="183"/>
      <c r="CN175" s="118">
        <f t="shared" si="376"/>
        <v>113</v>
      </c>
      <c r="CO175" s="118">
        <f t="shared" si="377"/>
        <v>0.15861238948719572</v>
      </c>
      <c r="CP175" s="186">
        <v>0.87074829931972786</v>
      </c>
      <c r="CQ175" s="118">
        <f>+CQ156*CP175+CO157*CP174+CO158*CP173+CO159*CP172+CO160*CP171+CO161*CP170+CO162*CP169+CO163*CP168+CO164*CP167+CO165*CP166+CO166*CP165+CO167*CP164+CO168*CP163+CO169*CP162+CO170*CP161+CO171*CP160+CO172*CP159+CO173*CP158+CO174*CP157+CO175</f>
        <v>30.712428749694521</v>
      </c>
      <c r="CR175" s="119">
        <f t="shared" si="378"/>
        <v>-3.8187077770033876E-3</v>
      </c>
      <c r="CS175" s="119"/>
      <c r="CT175" s="177">
        <f t="shared" si="379"/>
        <v>8.9561784652243334E-3</v>
      </c>
      <c r="CU175" s="177">
        <f t="shared" si="387"/>
        <v>8.6534086984387769E-3</v>
      </c>
      <c r="CV175" s="119">
        <f>VLOOKUP($H175,RoR!$E:$F,2,FALSE)</f>
        <v>3.7433333333333339E-2</v>
      </c>
      <c r="CW175" s="177">
        <v>1.9056896421275615E-2</v>
      </c>
      <c r="CX175" s="177">
        <f t="shared" si="385"/>
        <v>1.8376436912057724E-2</v>
      </c>
      <c r="CY175" s="177">
        <f t="shared" si="388"/>
        <v>2.2248532910094848E-2</v>
      </c>
      <c r="CZ175" s="177">
        <f t="shared" si="389"/>
        <v>1.3976271617800498E-2</v>
      </c>
      <c r="DA175" s="187">
        <f t="shared" si="380"/>
        <v>0.90175000000000005</v>
      </c>
      <c r="DB175" s="188">
        <f t="shared" si="381"/>
        <v>1.3699568463593395</v>
      </c>
      <c r="DC175" s="188">
        <f t="shared" si="382"/>
        <v>0.30714603739982199</v>
      </c>
      <c r="DD175" s="188">
        <f t="shared" si="383"/>
        <v>0.77007188472689425</v>
      </c>
      <c r="DE175" s="188">
        <f t="shared" si="384"/>
        <v>0.32402839633793828</v>
      </c>
      <c r="DF175" s="189">
        <f>INDEX('State Tax Lookup'!$D$7:$Z$91,MATCH(Calculation!$C175,'State Tax Lookup'!$B$7:$B$91,0),MATCH($H175,'State Tax Lookup'!$D$6:$Z$6,0))</f>
        <v>0.26200000000000001</v>
      </c>
      <c r="DG175" s="189">
        <v>0.375</v>
      </c>
      <c r="DH175" s="190">
        <f t="shared" si="386"/>
        <v>19.350375294696107</v>
      </c>
      <c r="DI175" s="190">
        <v>18.965500457766321</v>
      </c>
      <c r="DJ175" s="177"/>
      <c r="DK175" s="189">
        <f>VLOOKUP($H175,RoR!$E:$F,2,FALSE)</f>
        <v>3.7433333333333339E-2</v>
      </c>
      <c r="DL175" s="191">
        <f>HLOOKUP($H175,'GDP-PI'!$D$8:$CQ$11,3,FALSE)</f>
        <v>1.9056896421275615E-2</v>
      </c>
      <c r="DM175" s="189">
        <f>VLOOKUP(H175,'HW Dx Data'!$E:$F,2,FALSE)</f>
        <v>712.42858370229726</v>
      </c>
      <c r="DN175" s="183">
        <f>VLOOKUP(H175,'ECI - Input Price'!$G$17:$H$37,2,FALSE)</f>
        <v>129.5</v>
      </c>
      <c r="DO175" s="177">
        <f t="shared" ref="DO175" si="437">LN(DN175/DN174)</f>
        <v>2.4229399426835413E-2</v>
      </c>
      <c r="DP175" s="183">
        <f>HLOOKUP(H175,'GDP-PI'!$8:$9,2,FALSE)</f>
        <v>107.751</v>
      </c>
      <c r="DQ175" s="177">
        <f t="shared" ref="DQ175" si="438">LN(DP175/DP174)</f>
        <v>1.8877588227745139E-2</v>
      </c>
      <c r="DW175" s="192"/>
      <c r="DX175" s="192"/>
      <c r="DY175" s="192"/>
      <c r="DZ175" s="192"/>
      <c r="EA175" s="192"/>
      <c r="EB175" s="192"/>
      <c r="EC175" s="192"/>
      <c r="ED175" s="192"/>
      <c r="EE175" s="192"/>
    </row>
    <row r="176" spans="1:135" s="167" customFormat="1" ht="21" x14ac:dyDescent="0.35">
      <c r="A176" s="167" t="s">
        <v>37</v>
      </c>
      <c r="B176" s="168" t="s">
        <v>37</v>
      </c>
      <c r="C176" s="168">
        <v>4058793</v>
      </c>
      <c r="D176" s="168" t="s">
        <v>135</v>
      </c>
      <c r="E176" s="168"/>
      <c r="F176" s="168"/>
      <c r="G176" s="168" t="s">
        <v>24</v>
      </c>
      <c r="H176" s="169">
        <v>2018</v>
      </c>
      <c r="I176" s="170"/>
      <c r="J176" s="166">
        <f>IFERROR(INDEX('Labor Expenditures'!$F$7:$X$91,MATCH($C176,'Labor Expenditures'!$D$7:$D$91,0),MATCH($G176,'Labor Expenditures'!$F$5:$X$5,0)),"NA")</f>
        <v>336.69365941473939</v>
      </c>
      <c r="K176" s="166">
        <f t="shared" si="392"/>
        <v>2.5267816841631472</v>
      </c>
      <c r="L176" s="172">
        <f t="shared" si="399"/>
        <v>-2.5579049252320185E-2</v>
      </c>
      <c r="M176" s="172">
        <f t="shared" si="403"/>
        <v>-2.8663957472317479E-6</v>
      </c>
      <c r="N176" s="196"/>
      <c r="O176" s="172"/>
      <c r="P176" s="166">
        <f>IFERROR(INDEX('Non-Labor Expenditures'!$F$7:$AB$91,MATCH($C176,'Non-Labor Expenditures'!$D$7:$D$91,0),MATCH($G176,'Non-Labor Expenditures'!$F$5:$AB$5,0)),"NA")</f>
        <v>487.59530453369939</v>
      </c>
      <c r="Q176" s="166">
        <f t="shared" si="393"/>
        <v>4.41974678245227</v>
      </c>
      <c r="R176" s="172">
        <f t="shared" si="404"/>
        <v>-2.0613220062467436E-2</v>
      </c>
      <c r="S176" s="172">
        <f t="shared" si="409"/>
        <v>-2.309923474518872E-6</v>
      </c>
      <c r="T176" s="172"/>
      <c r="U176" s="172"/>
      <c r="V176" s="166">
        <f t="shared" si="374"/>
        <v>619.28097340544286</v>
      </c>
      <c r="W176" s="170"/>
      <c r="X176" s="174">
        <v>32.646747980812613</v>
      </c>
      <c r="Y176" s="175">
        <v>6.1077830404107851E-2</v>
      </c>
      <c r="Z176" s="175">
        <f t="shared" si="410"/>
        <v>6.8443995550224136E-6</v>
      </c>
      <c r="AA176" s="175"/>
      <c r="AB176" s="175"/>
      <c r="AC176" s="170">
        <f t="shared" si="287"/>
        <v>1443.5699373538816</v>
      </c>
      <c r="AD176" s="175">
        <f t="shared" si="405"/>
        <v>1.7577269229955238E-2</v>
      </c>
      <c r="AE176" s="170"/>
      <c r="AF176" s="170"/>
      <c r="AG176" s="121">
        <f t="shared" si="406"/>
        <v>437.04811908988239</v>
      </c>
      <c r="AH176" s="119">
        <f>+AZ176/$BB$56</f>
        <v>8.7218960467233799E-5</v>
      </c>
      <c r="AI176" s="119"/>
      <c r="AJ176" s="176">
        <f t="shared" si="411"/>
        <v>3.8118882621179344E-2</v>
      </c>
      <c r="AK176" s="176">
        <f t="shared" si="412"/>
        <v>0</v>
      </c>
      <c r="AL176" s="120">
        <f t="shared" si="394"/>
        <v>0.23323681846125974</v>
      </c>
      <c r="AM176" s="120">
        <f t="shared" si="395"/>
        <v>0.33777047576058561</v>
      </c>
      <c r="AN176" s="120">
        <f t="shared" si="396"/>
        <v>0.42899270577815463</v>
      </c>
      <c r="AO176" s="120">
        <f t="shared" si="400"/>
        <v>1.2921652603873322E-2</v>
      </c>
      <c r="AP176" s="173">
        <f t="shared" si="416"/>
        <v>89.363378086628757</v>
      </c>
      <c r="AQ176" s="175">
        <f t="shared" si="417"/>
        <v>1.2921652603873316E-2</v>
      </c>
      <c r="AR176" s="177">
        <f>+AC176/$AE$56</f>
        <v>1.1206029274022947E-4</v>
      </c>
      <c r="AS176" s="177">
        <f t="shared" si="413"/>
        <v>1.4480041734775923E-6</v>
      </c>
      <c r="AT176" s="177"/>
      <c r="AU176" s="177"/>
      <c r="AV176" s="177"/>
      <c r="AW176" s="190"/>
      <c r="AX176" s="120"/>
      <c r="AY176" s="120"/>
      <c r="AZ176" s="118">
        <f>IFERROR(INDEX('Total Customers'!$F$7:$AB$91,MATCH($C176,'Total Customers'!$D$7:$D$91,0),MATCH($G176,'Total Customers'!$F$5:$AB$5,0)),"NA")</f>
        <v>3303</v>
      </c>
      <c r="BA176" s="119">
        <f t="shared" si="375"/>
        <v>-2.7210901143606132E-3</v>
      </c>
      <c r="BB176" s="119"/>
      <c r="BC176" s="121"/>
      <c r="BD176" s="119"/>
      <c r="BE176" s="119"/>
      <c r="BF176" s="119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18"/>
      <c r="BR176" s="118"/>
      <c r="BS176" s="118">
        <f>INDEX('Dist. Plant Gas Additions'!$F$7:$AE$91,MATCH($C176,'Dist. Plant Gas Additions'!$D$7:$D$91,0),MATCH(Calculation!$G176,'Dist. Plant Gas Additions'!$F$5:$AE$5,0))</f>
        <v>1603</v>
      </c>
      <c r="BT176" s="118">
        <f>INDEX('Gen. Plant Additions'!$F$7:$AE$91,MATCH($C176,'Gen. Plant Additions'!$D$7:$D$91,0),MATCH(Calculation!$G176,'Gen. Plant Additions'!$F$5:$AE$5,0))</f>
        <v>75</v>
      </c>
      <c r="BU176" s="118"/>
      <c r="BV176" s="118"/>
      <c r="BW176" s="118" t="str">
        <f>INDEX('Dist Plant Depreciation'!$E$7:$AD$94,MATCH($C176,'Dist Plant Depreciation'!$D$7:$D$94,0),MATCH(Calculation!$G176,'Dist Plant Depreciation'!$E$5:$AD$5,0))</f>
        <v>NA</v>
      </c>
      <c r="BX176" s="118" t="str">
        <f>INDEX('Gen. Plant Depreciation'!$E$7:$AD$94,MATCH($C176,'Gen. Plant Depreciation'!$D$7:$D$94,0),MATCH(Calculation!$G176,'Gen. Plant Depreciation'!$E$5:$AD$5,0))</f>
        <v>NA</v>
      </c>
      <c r="BY176" s="118"/>
      <c r="BZ176" s="118"/>
      <c r="CA176" s="118"/>
      <c r="CB176" s="118"/>
      <c r="CC176" s="118"/>
      <c r="CD176" s="118"/>
      <c r="CE176" s="118">
        <f>INDEX('Gross Dx Plant'!$E$7:$AD$91,MATCH($C176,'Gross Dx Plant'!$D$7:$D$91,0),MATCH(Calculation!$G176,'Gross Dx Plant'!$E$5:$AD$5,0))</f>
        <v>11697</v>
      </c>
      <c r="CF176" s="118">
        <f>INDEX('Gross Gen Plant'!$E$7:$AD$91,MATCH($C176,'Gross Gen Plant'!$D$7:$D$91,0),MATCH(Calculation!$G176,'Gross Gen Plant'!$E$5:$AD$5,0))</f>
        <v>1628</v>
      </c>
      <c r="CG176" s="118" t="str">
        <f t="shared" si="426"/>
        <v>NA</v>
      </c>
      <c r="CH176" s="118"/>
      <c r="CI176" s="121">
        <v>2018</v>
      </c>
      <c r="CJ176" s="118"/>
      <c r="CK176" s="118"/>
      <c r="CL176" s="118"/>
      <c r="CM176" s="183"/>
      <c r="CN176" s="118">
        <f t="shared" si="376"/>
        <v>1678</v>
      </c>
      <c r="CO176" s="118">
        <f t="shared" si="377"/>
        <v>2.2221141789705063</v>
      </c>
      <c r="CP176" s="186">
        <v>0.86111111111111116</v>
      </c>
      <c r="CQ176" s="118">
        <f>+CQ156*CP176++CO157*CP175+CO158*CP174+CO159*CP173+CO160*CP172+CO161*CP171+CO162*CP170+CO163*CP169+CO164*CP168+CO165*CP167+CO166*CP166+CO167*CP165+CO168*CP164+CO169*CP163+CO170*CP162+CO171*CP161+CO172*CP160+CO173*CP159+CO174*CP158+CO175*CP157+CO176</f>
        <v>32.646747980812613</v>
      </c>
      <c r="CR176" s="119">
        <f t="shared" si="378"/>
        <v>6.1077830404107851E-2</v>
      </c>
      <c r="CS176" s="119"/>
      <c r="CT176" s="177">
        <f t="shared" si="379"/>
        <v>9.370634611737658E-3</v>
      </c>
      <c r="CU176" s="177">
        <f t="shared" si="387"/>
        <v>8.9979020070476978E-3</v>
      </c>
      <c r="CV176" s="119">
        <f>VLOOKUP($H176,RoR!$E:$F,2,FALSE)</f>
        <v>3.9299999999999995E-2</v>
      </c>
      <c r="CW176" s="177">
        <v>2.386056741932796E-2</v>
      </c>
      <c r="CX176" s="177">
        <f t="shared" si="385"/>
        <v>1.5439432580672034E-2</v>
      </c>
      <c r="CY176" s="177">
        <f t="shared" si="388"/>
        <v>2.1904039601485927E-2</v>
      </c>
      <c r="CZ176" s="177">
        <f t="shared" si="389"/>
        <v>3.8270792163076606E-2</v>
      </c>
      <c r="DA176" s="187">
        <f t="shared" si="380"/>
        <v>0.90175000000000005</v>
      </c>
      <c r="DB176" s="188">
        <f t="shared" si="381"/>
        <v>1.3048868010700074</v>
      </c>
      <c r="DC176" s="188">
        <f t="shared" si="382"/>
        <v>0.33886768447837151</v>
      </c>
      <c r="DD176" s="188">
        <f t="shared" si="383"/>
        <v>0.78602506232557801</v>
      </c>
      <c r="DE176" s="188">
        <f t="shared" si="384"/>
        <v>0.34756768162358759</v>
      </c>
      <c r="DF176" s="189">
        <f>INDEX('State Tax Lookup'!$D$7:$Z$91,MATCH(Calculation!$C176,'State Tax Lookup'!$B$7:$B$91,0),MATCH($H176,'State Tax Lookup'!$D$6:$Z$6,0))</f>
        <v>0.26200000000000001</v>
      </c>
      <c r="DG176" s="189">
        <v>0.375</v>
      </c>
      <c r="DH176" s="190">
        <f t="shared" si="386"/>
        <v>20.16385543626544</v>
      </c>
      <c r="DI176" s="190">
        <v>19.709320856449704</v>
      </c>
      <c r="DJ176" s="177"/>
      <c r="DK176" s="189">
        <f>VLOOKUP($H176,RoR!$E:$F,2,FALSE)</f>
        <v>3.9299999999999995E-2</v>
      </c>
      <c r="DL176" s="191">
        <f>HLOOKUP($H176,'GDP-PI'!$D$8:$CQ$11,3,FALSE)</f>
        <v>2.386056741932796E-2</v>
      </c>
      <c r="DM176" s="189">
        <f>VLOOKUP(H176,'HW Dx Data'!$E:$F,2,FALSE)</f>
        <v>755.13671434174842</v>
      </c>
      <c r="DN176" s="183">
        <f>VLOOKUP(H176,'ECI - Input Price'!$G$17:$H$37,2,FALSE)</f>
        <v>133.25</v>
      </c>
      <c r="DO176" s="177">
        <f t="shared" ref="DO176" si="439">LN(DN176/DN175)</f>
        <v>2.8546181906361531E-2</v>
      </c>
      <c r="DP176" s="183">
        <f>HLOOKUP(H176,'GDP-PI'!$8:$9,2,FALSE)</f>
        <v>110.322</v>
      </c>
      <c r="DQ176" s="177">
        <f t="shared" ref="DQ176" si="440">LN(DP176/DP175)</f>
        <v>2.3580352716508712E-2</v>
      </c>
      <c r="DW176" s="192"/>
      <c r="DX176" s="192"/>
      <c r="DY176" s="192"/>
      <c r="DZ176" s="192"/>
      <c r="EA176" s="192"/>
      <c r="EB176" s="192"/>
      <c r="EC176" s="192"/>
      <c r="ED176" s="192"/>
      <c r="EE176" s="192"/>
    </row>
    <row r="177" spans="1:135" s="167" customFormat="1" ht="21" x14ac:dyDescent="0.35">
      <c r="A177" s="167" t="s">
        <v>37</v>
      </c>
      <c r="B177" s="168" t="s">
        <v>37</v>
      </c>
      <c r="C177" s="168">
        <v>4058793</v>
      </c>
      <c r="D177" s="168" t="s">
        <v>135</v>
      </c>
      <c r="E177" s="168"/>
      <c r="F177" s="168"/>
      <c r="G177" s="168" t="s">
        <v>25</v>
      </c>
      <c r="H177" s="169">
        <v>2019</v>
      </c>
      <c r="I177" s="170"/>
      <c r="J177" s="166">
        <f>IFERROR(INDEX('Labor Expenditures'!$F$7:$X$91,MATCH($C177,'Labor Expenditures'!$D$7:$D$91,0),MATCH($G177,'Labor Expenditures'!$F$5:$X$5,0)),"NA")</f>
        <v>388.22007731561581</v>
      </c>
      <c r="K177" s="166">
        <f t="shared" si="392"/>
        <v>2.8368292094674157</v>
      </c>
      <c r="L177" s="172">
        <f t="shared" si="399"/>
        <v>0.11574052152366276</v>
      </c>
      <c r="M177" s="172">
        <f t="shared" si="403"/>
        <v>1.4076239198076587E-5</v>
      </c>
      <c r="N177" s="196"/>
      <c r="O177" s="172"/>
      <c r="P177" s="166">
        <f>IFERROR(INDEX('Non-Labor Expenditures'!$F$7:$AB$91,MATCH($C177,'Non-Labor Expenditures'!$D$7:$D$91,0),MATCH($G177,'Non-Labor Expenditures'!$F$5:$AB$5,0)),"NA")</f>
        <v>562.21518146152926</v>
      </c>
      <c r="Q177" s="166">
        <f t="shared" si="393"/>
        <v>5.0055661733785257</v>
      </c>
      <c r="R177" s="172">
        <f t="shared" si="404"/>
        <v>0.12446812251299511</v>
      </c>
      <c r="S177" s="172">
        <f t="shared" si="409"/>
        <v>1.5137680753151101E-5</v>
      </c>
      <c r="T177" s="172"/>
      <c r="U177" s="172"/>
      <c r="V177" s="166">
        <f t="shared" si="374"/>
        <v>665.30115729341378</v>
      </c>
      <c r="W177" s="170"/>
      <c r="X177" s="174">
        <v>34.365957223596006</v>
      </c>
      <c r="Y177" s="175">
        <v>5.1321210456957769E-2</v>
      </c>
      <c r="Z177" s="175">
        <f t="shared" si="410"/>
        <v>6.2416310624561398E-6</v>
      </c>
      <c r="AA177" s="175"/>
      <c r="AB177" s="175"/>
      <c r="AC177" s="170">
        <f t="shared" si="287"/>
        <v>1615.7364160705588</v>
      </c>
      <c r="AD177" s="175">
        <f t="shared" si="405"/>
        <v>0.11267166913396248</v>
      </c>
      <c r="AE177" s="170"/>
      <c r="AF177" s="170"/>
      <c r="AG177" s="121">
        <f t="shared" si="406"/>
        <v>488.28540830177059</v>
      </c>
      <c r="AH177" s="119">
        <f>+AZ177/$BB$57</f>
        <v>8.6662538432439413E-5</v>
      </c>
      <c r="AI177" s="119"/>
      <c r="AJ177" s="176">
        <f t="shared" si="411"/>
        <v>4.2316052962951566E-2</v>
      </c>
      <c r="AK177" s="176">
        <f t="shared" si="412"/>
        <v>0</v>
      </c>
      <c r="AL177" s="120">
        <f t="shared" si="394"/>
        <v>0.24027438724180017</v>
      </c>
      <c r="AM177" s="120">
        <f t="shared" si="395"/>
        <v>0.34796218979134369</v>
      </c>
      <c r="AN177" s="120">
        <f t="shared" si="396"/>
        <v>0.41176342296685614</v>
      </c>
      <c r="AO177" s="120">
        <f t="shared" si="400"/>
        <v>9.1652456774375266E-2</v>
      </c>
      <c r="AP177" s="173">
        <f t="shared" si="416"/>
        <v>97.940819532507263</v>
      </c>
      <c r="AQ177" s="175">
        <f t="shared" si="417"/>
        <v>9.1652456774375196E-2</v>
      </c>
      <c r="AR177" s="177">
        <f>+AC177/$AE$57</f>
        <v>1.2161893702197244E-4</v>
      </c>
      <c r="AS177" s="177">
        <f t="shared" si="413"/>
        <v>1.1146674368351788E-5</v>
      </c>
      <c r="AT177" s="177"/>
      <c r="AU177" s="177"/>
      <c r="AV177" s="177"/>
      <c r="AW177" s="190"/>
      <c r="AX177" s="120"/>
      <c r="AY177" s="120"/>
      <c r="AZ177" s="118">
        <f>IFERROR(INDEX('Total Customers'!$F$7:$AB$91,MATCH($C177,'Total Customers'!$D$7:$D$91,0),MATCH($G177,'Total Customers'!$F$5:$AB$5,0)),"NA")</f>
        <v>3309</v>
      </c>
      <c r="BA177" s="119">
        <f t="shared" si="375"/>
        <v>1.8148825308225342E-3</v>
      </c>
      <c r="BB177" s="119"/>
      <c r="BC177" s="121"/>
      <c r="BD177" s="119"/>
      <c r="BE177" s="119"/>
      <c r="BF177" s="119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18"/>
      <c r="BR177" s="118"/>
      <c r="BS177" s="118">
        <f>INDEX('Dist. Plant Gas Additions'!$F$7:$AE$91,MATCH($C177,'Dist. Plant Gas Additions'!$D$7:$D$91,0),MATCH(Calculation!$G177,'Dist. Plant Gas Additions'!$F$5:$AE$5,0))</f>
        <v>1570</v>
      </c>
      <c r="BT177" s="118">
        <f>INDEX('Gen. Plant Additions'!$F$7:$AE$91,MATCH($C177,'Gen. Plant Additions'!$D$7:$D$91,0),MATCH(Calculation!$G177,'Gen. Plant Additions'!$F$5:$AE$5,0))</f>
        <v>0</v>
      </c>
      <c r="BU177" s="118"/>
      <c r="BV177" s="118"/>
      <c r="BW177" s="118" t="str">
        <f>INDEX('Dist Plant Depreciation'!$E$7:$AD$94,MATCH($C177,'Dist Plant Depreciation'!$D$7:$D$94,0),MATCH(Calculation!$G177,'Dist Plant Depreciation'!$E$5:$AD$5,0))</f>
        <v>NA</v>
      </c>
      <c r="BX177" s="118" t="str">
        <f>INDEX('Gen. Plant Depreciation'!$E$7:$AD$94,MATCH($C177,'Gen. Plant Depreciation'!$D$7:$D$94,0),MATCH(Calculation!$G177,'Gen. Plant Depreciation'!$E$5:$AD$5,0))</f>
        <v>NA</v>
      </c>
      <c r="BY177" s="118"/>
      <c r="BZ177" s="118"/>
      <c r="CA177" s="118"/>
      <c r="CB177" s="118"/>
      <c r="CC177" s="118"/>
      <c r="CD177" s="118"/>
      <c r="CE177" s="118">
        <f>INDEX('Gross Dx Plant'!$E$7:$AD$91,MATCH($C177,'Gross Dx Plant'!$D$7:$D$91,0),MATCH(Calculation!$G177,'Gross Dx Plant'!$E$5:$AD$5,0))</f>
        <v>13055</v>
      </c>
      <c r="CF177" s="118">
        <f>INDEX('Gross Gen Plant'!$E$7:$AD$91,MATCH($C177,'Gross Gen Plant'!$D$7:$D$91,0),MATCH(Calculation!$G177,'Gross Gen Plant'!$E$5:$AD$5,0))</f>
        <v>1742</v>
      </c>
      <c r="CG177" s="118" t="str">
        <f t="shared" si="426"/>
        <v>NA</v>
      </c>
      <c r="CH177" s="118"/>
      <c r="CI177" s="121">
        <v>2019</v>
      </c>
      <c r="CJ177" s="118"/>
      <c r="CK177" s="118"/>
      <c r="CL177" s="118"/>
      <c r="CM177" s="183"/>
      <c r="CN177" s="118">
        <f t="shared" si="376"/>
        <v>1570</v>
      </c>
      <c r="CO177" s="118">
        <f t="shared" si="377"/>
        <v>2.0296318547516403</v>
      </c>
      <c r="CP177" s="186">
        <v>0.85106382978723405</v>
      </c>
      <c r="CQ177" s="118">
        <f>CQ156*CP177+CO157*CP176+CO158*CP175+CO159*CP174+CO160*CP173+CO161*CP172+CO162*CP171+CO163*CP170+CO164*CP169+CO165*CP168+CO166*CP167+CO167*CP166+CO168*CP165+CO169*CP164+CO170*CP163+CO171*CP162+CO172*CP161+CO173*CP160+CO174*CP159+CO175*CP158+CO176*CP157+CO177</f>
        <v>34.365957223596006</v>
      </c>
      <c r="CR177" s="119">
        <f t="shared" si="378"/>
        <v>5.1321210456957769E-2</v>
      </c>
      <c r="CS177" s="119"/>
      <c r="CT177" s="177">
        <f t="shared" si="379"/>
        <v>9.5085309002505072E-3</v>
      </c>
      <c r="CU177" s="177">
        <f t="shared" si="387"/>
        <v>9.2784479924041662E-3</v>
      </c>
      <c r="CV177" s="119">
        <f>VLOOKUP($H177,RoR!$E:$F,2,FALSE)</f>
        <v>3.3875000000000009E-2</v>
      </c>
      <c r="CW177" s="177">
        <v>1.8092492884465461E-2</v>
      </c>
      <c r="CX177" s="177">
        <f t="shared" si="385"/>
        <v>1.5782507115534548E-2</v>
      </c>
      <c r="CY177" s="177">
        <f t="shared" si="388"/>
        <v>2.1623493616129461E-2</v>
      </c>
      <c r="CZ177" s="177">
        <f t="shared" si="389"/>
        <v>4.8445665544254078E-2</v>
      </c>
      <c r="DA177" s="187">
        <f t="shared" si="380"/>
        <v>0.90175000000000005</v>
      </c>
      <c r="DB177" s="188">
        <f t="shared" si="381"/>
        <v>1.513861292459078</v>
      </c>
      <c r="DC177" s="188">
        <f t="shared" si="382"/>
        <v>0.23699261992619944</v>
      </c>
      <c r="DD177" s="188">
        <f t="shared" si="383"/>
        <v>0.73619765810468829</v>
      </c>
      <c r="DE177" s="188">
        <f t="shared" si="384"/>
        <v>0.26412854465362851</v>
      </c>
      <c r="DF177" s="189">
        <f>INDEX('State Tax Lookup'!$D$7:$Z$91,MATCH(Calculation!$C177,'State Tax Lookup'!$B$7:$B$91,0),MATCH($H177,'State Tax Lookup'!$D$6:$Z$6,0))</f>
        <v>0.26200000000000001</v>
      </c>
      <c r="DG177" s="189">
        <v>0.375</v>
      </c>
      <c r="DH177" s="190">
        <f t="shared" si="386"/>
        <v>20.378788039912259</v>
      </c>
      <c r="DI177" s="190">
        <v>20.057947871168391</v>
      </c>
      <c r="DJ177" s="177"/>
      <c r="DK177" s="189">
        <f>VLOOKUP($H177,RoR!$E:$F,2,FALSE)</f>
        <v>3.3875000000000009E-2</v>
      </c>
      <c r="DL177" s="191">
        <f>HLOOKUP($H177,'GDP-PI'!$D$8:$CQ$11,3,FALSE)</f>
        <v>1.8092492884465461E-2</v>
      </c>
      <c r="DM177" s="189">
        <f>VLOOKUP(H177,'HW Dx Data'!$E:$F,2,FALSE)</f>
        <v>773.53929793938721</v>
      </c>
      <c r="DN177" s="183">
        <f>VLOOKUP(H177,'ECI - Input Price'!$G$17:$H$37,2,FALSE)</f>
        <v>136.85</v>
      </c>
      <c r="DO177" s="177">
        <f t="shared" ref="DO177" si="441">LN(DN177/DN176)</f>
        <v>2.6658372440734168E-2</v>
      </c>
      <c r="DP177" s="183">
        <f>HLOOKUP(H177,'GDP-PI'!$8:$9,2,FALSE)</f>
        <v>112.318</v>
      </c>
      <c r="DQ177" s="177">
        <f t="shared" ref="DQ177" si="442">LN(DP177/DP176)</f>
        <v>1.7930771451401852E-2</v>
      </c>
      <c r="DW177" s="192"/>
      <c r="DX177" s="192"/>
      <c r="DY177" s="192"/>
      <c r="DZ177" s="192"/>
      <c r="EA177" s="192"/>
      <c r="EB177" s="192"/>
      <c r="EC177" s="192"/>
      <c r="ED177" s="192"/>
      <c r="EE177" s="192"/>
    </row>
    <row r="178" spans="1:135" s="167" customFormat="1" ht="21" x14ac:dyDescent="0.35">
      <c r="A178" s="167" t="s">
        <v>37</v>
      </c>
      <c r="B178" s="167" t="s">
        <v>37</v>
      </c>
      <c r="C178" s="167">
        <v>4058793</v>
      </c>
      <c r="D178" s="167" t="s">
        <v>135</v>
      </c>
      <c r="G178" s="168" t="s">
        <v>26</v>
      </c>
      <c r="H178" s="169">
        <v>2020</v>
      </c>
      <c r="I178" s="170"/>
      <c r="J178" s="166">
        <v>368</v>
      </c>
      <c r="K178" s="166">
        <f t="shared" si="392"/>
        <v>2.6201495194019224</v>
      </c>
      <c r="L178" s="172">
        <f t="shared" si="399"/>
        <v>-7.9455568291687817E-2</v>
      </c>
      <c r="M178" s="172">
        <f t="shared" si="403"/>
        <v>-9.6180907232663256E-6</v>
      </c>
      <c r="N178" s="196"/>
      <c r="O178" s="172"/>
      <c r="P178" s="166">
        <v>562</v>
      </c>
      <c r="Q178" s="166">
        <f t="shared" si="393"/>
        <v>4.9461816709645055</v>
      </c>
      <c r="R178" s="172">
        <f t="shared" si="404"/>
        <v>-1.1934628612437333E-2</v>
      </c>
      <c r="S178" s="172">
        <f t="shared" si="409"/>
        <v>-1.4446859195760211E-6</v>
      </c>
      <c r="T178" s="172"/>
      <c r="U178" s="172"/>
      <c r="V178" s="166">
        <f t="shared" si="374"/>
        <v>727.98080584434842</v>
      </c>
      <c r="W178" s="170"/>
      <c r="X178" s="174">
        <v>37.098930846674051</v>
      </c>
      <c r="Y178" s="175">
        <v>7.652169225578527E-2</v>
      </c>
      <c r="Z178" s="175">
        <f t="shared" si="410"/>
        <v>9.2629452439647864E-6</v>
      </c>
      <c r="AA178" s="175"/>
      <c r="AB178" s="175"/>
      <c r="AC178" s="170">
        <f t="shared" si="287"/>
        <v>1657.9808058443484</v>
      </c>
      <c r="AD178" s="175">
        <f t="shared" si="405"/>
        <v>2.5809642025925145E-2</v>
      </c>
      <c r="AE178" s="170"/>
      <c r="AF178" s="170"/>
      <c r="AG178" s="121">
        <f t="shared" si="406"/>
        <v>486.06883783182303</v>
      </c>
      <c r="AH178" s="119">
        <f>+AZ178/$BB$58</f>
        <v>8.8705840303065546E-5</v>
      </c>
      <c r="AI178" s="119"/>
      <c r="AJ178" s="176">
        <f t="shared" si="411"/>
        <v>4.3117144705006355E-2</v>
      </c>
      <c r="AK178" s="176">
        <f t="shared" si="412"/>
        <v>0</v>
      </c>
      <c r="AL178" s="120">
        <f t="shared" si="394"/>
        <v>0.22195673116528702</v>
      </c>
      <c r="AM178" s="120">
        <f t="shared" si="395"/>
        <v>0.33896652966003077</v>
      </c>
      <c r="AN178" s="120">
        <f t="shared" si="396"/>
        <v>0.43907673917468221</v>
      </c>
      <c r="AO178" s="120">
        <f t="shared" si="400"/>
        <v>1.0091326850625186E-2</v>
      </c>
      <c r="AP178" s="173">
        <f t="shared" si="416"/>
        <v>98.934176067316415</v>
      </c>
      <c r="AQ178" s="175">
        <f t="shared" si="417"/>
        <v>1.0091326850625184E-2</v>
      </c>
      <c r="AR178" s="177">
        <f>+AC178/$AE$58</f>
        <v>1.2104992677111737E-4</v>
      </c>
      <c r="AS178" s="177">
        <f t="shared" si="413"/>
        <v>1.2215543762915889E-6</v>
      </c>
      <c r="AT178" s="177"/>
      <c r="AU178" s="177"/>
      <c r="AV178" s="177"/>
      <c r="AW178" s="190"/>
      <c r="AX178" s="120"/>
      <c r="AY178" s="120"/>
      <c r="AZ178" s="118">
        <f>IFERROR(INDEX('Total Customers'!$F$7:$AB$91,MATCH($C178,'Total Customers'!$D$7:$D$91,0),MATCH($G178,'Total Customers'!$F$5:$AB$5,0)),"NA")</f>
        <v>3411</v>
      </c>
      <c r="BA178" s="119">
        <f t="shared" si="375"/>
        <v>3.0359474497033561E-2</v>
      </c>
      <c r="BB178" s="119"/>
      <c r="BC178" s="121"/>
      <c r="BD178" s="119"/>
      <c r="BE178" s="119"/>
      <c r="BF178" s="119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18"/>
      <c r="BR178" s="118"/>
      <c r="BS178" s="118">
        <f>INDEX('Dist. Plant Gas Additions'!$F$7:$AE$91,MATCH($C178,'Dist. Plant Gas Additions'!$D$7:$D$91,0),MATCH(Calculation!$G178,'Dist. Plant Gas Additions'!$F$5:$AE$5,0))</f>
        <v>2423</v>
      </c>
      <c r="BT178" s="118">
        <f>INDEX('Gen. Plant Additions'!$F$7:$AE$91,MATCH($C178,'Gen. Plant Additions'!$D$7:$D$91,0),MATCH(Calculation!$G178,'Gen. Plant Additions'!$F$5:$AE$5,0))</f>
        <v>70</v>
      </c>
      <c r="BU178" s="118"/>
      <c r="BV178" s="118"/>
      <c r="BW178" s="118" t="str">
        <f>INDEX('Dist Plant Depreciation'!$E$7:$AD$94,MATCH($C178,'Dist Plant Depreciation'!$D$7:$D$94,0),MATCH(Calculation!$G178,'Dist Plant Depreciation'!$E$5:$AD$5,0))</f>
        <v>NA</v>
      </c>
      <c r="BX178" s="118" t="str">
        <f>INDEX('Gen. Plant Depreciation'!$E$7:$AD$94,MATCH($C178,'Gen. Plant Depreciation'!$D$7:$D$94,0),MATCH(Calculation!$G178,'Gen. Plant Depreciation'!$E$5:$AD$5,0))</f>
        <v>NA</v>
      </c>
      <c r="BY178" s="118"/>
      <c r="BZ178" s="118"/>
      <c r="CA178" s="118"/>
      <c r="CB178" s="118"/>
      <c r="CC178" s="118"/>
      <c r="CD178" s="118"/>
      <c r="CE178" s="118">
        <f>INDEX('Gross Dx Plant'!$E$7:$AD$91,MATCH($C178,'Gross Dx Plant'!$D$7:$D$91,0),MATCH(Calculation!$G178,'Gross Dx Plant'!$E$5:$AD$5,0))</f>
        <v>15209</v>
      </c>
      <c r="CF178" s="118">
        <f>INDEX('Gross Gen Plant'!$E$7:$AD$91,MATCH($C178,'Gross Gen Plant'!$D$7:$D$91,0),MATCH(Calculation!$G178,'Gross Gen Plant'!$E$5:$AD$5,0))</f>
        <v>1788</v>
      </c>
      <c r="CG178" s="118" t="str">
        <f t="shared" si="426"/>
        <v>NA</v>
      </c>
      <c r="CH178" s="118"/>
      <c r="CI178" s="121">
        <v>2020</v>
      </c>
      <c r="CJ178" s="118"/>
      <c r="CK178" s="118"/>
      <c r="CL178" s="118"/>
      <c r="CM178" s="183"/>
      <c r="CN178" s="118">
        <f t="shared" si="376"/>
        <v>2493</v>
      </c>
      <c r="CO178" s="118">
        <f t="shared" si="377"/>
        <v>3.0661183424533776</v>
      </c>
      <c r="CP178" s="186">
        <v>0.84057971014492749</v>
      </c>
      <c r="CQ178" s="118">
        <f>CQ156*CP178+CO157*CP177+CO158*CP176+CO159*CP175+CO160*CP174+CO161*CP173+CO162*CP172+CO163*CP171+CO164*CP170+CO165*CP169+CO166*CP168+CO167*CP167+CO168*CP166+CO169*CP165+CO170*CP164+CO171*CP163+CO172*CP162+CO173*CP161+CO174*CP160+CO175*CP159+CO176*CP158+CO177*CP157+CO178</f>
        <v>37.098930846674051</v>
      </c>
      <c r="CR178" s="119">
        <f t="shared" si="378"/>
        <v>7.652169225578527E-2</v>
      </c>
      <c r="CS178" s="119"/>
      <c r="CT178" s="177">
        <f t="shared" si="379"/>
        <v>9.6940328828260206E-3</v>
      </c>
      <c r="CU178" s="177">
        <f t="shared" si="387"/>
        <v>9.5243994649380614E-3</v>
      </c>
      <c r="CV178" s="119">
        <f>VLOOKUP($H178,RoR!$E:$F,2,FALSE)</f>
        <v>2.4766666666666666E-2</v>
      </c>
      <c r="CW178" s="177">
        <v>1.1618796630994188E-2</v>
      </c>
      <c r="CX178" s="177">
        <f t="shared" si="385"/>
        <v>1.3147870035672478E-2</v>
      </c>
      <c r="CY178" s="177">
        <f t="shared" si="388"/>
        <v>2.1377542143595565E-2</v>
      </c>
      <c r="CZ178" s="177">
        <f t="shared" si="389"/>
        <v>4.5144642961987357E-2</v>
      </c>
      <c r="DA178" s="187">
        <f t="shared" si="380"/>
        <v>0.90175000000000005</v>
      </c>
      <c r="DB178" s="188">
        <f t="shared" si="381"/>
        <v>2.0706077233668081</v>
      </c>
      <c r="DC178" s="188">
        <f t="shared" si="382"/>
        <v>-3.4421265141318998E-2</v>
      </c>
      <c r="DD178" s="188">
        <f t="shared" si="383"/>
        <v>0.62416226176410472</v>
      </c>
      <c r="DE178" s="188">
        <f t="shared" si="384"/>
        <v>-4.4485877841158712E-2</v>
      </c>
      <c r="DF178" s="189">
        <f>INDEX('State Tax Lookup'!$D$7:$Z$91,MATCH(Calculation!$C178,'State Tax Lookup'!$B$7:$B$91,0),MATCH($H178,'State Tax Lookup'!$D$6:$Z$6,0))</f>
        <v>0.26200000000000001</v>
      </c>
      <c r="DG178" s="189">
        <v>0.375</v>
      </c>
      <c r="DH178" s="190">
        <f t="shared" si="386"/>
        <v>21.183195949057097</v>
      </c>
      <c r="DI178" s="190">
        <v>20.944105972367087</v>
      </c>
      <c r="DJ178" s="177"/>
      <c r="DK178" s="189">
        <f>VLOOKUP($H178,RoR!$E:$F,2,FALSE)</f>
        <v>2.4766666666666666E-2</v>
      </c>
      <c r="DL178" s="191">
        <f>HLOOKUP($H178,'GDP-PI'!$D$8:$CQ$11,3,FALSE)</f>
        <v>1.1618796630994188E-2</v>
      </c>
      <c r="DM178" s="189">
        <f>VLOOKUP(H178,'HW Dx Data'!$E:$F,2,FALSE)</f>
        <v>813.080162458833</v>
      </c>
      <c r="DN178" s="183">
        <f>VLOOKUP(H178,'ECI - Input Price'!$G$17:$H$37,2,FALSE)</f>
        <v>140.44999999999999</v>
      </c>
      <c r="DO178" s="177">
        <f t="shared" ref="DO178" si="443">LN(DN178/DN177)</f>
        <v>2.5966118063564539E-2</v>
      </c>
      <c r="DP178" s="183">
        <f>HLOOKUP(H178,'GDP-PI'!$8:$9,2,FALSE)</f>
        <v>113.623</v>
      </c>
      <c r="DQ178" s="177">
        <f t="shared" ref="DQ178" si="444">LN(DP178/DP177)</f>
        <v>1.1551816731392881E-2</v>
      </c>
      <c r="DW178" s="192"/>
      <c r="DX178" s="192"/>
      <c r="DY178" s="192"/>
      <c r="DZ178" s="192"/>
      <c r="EA178" s="192"/>
      <c r="EB178" s="192"/>
      <c r="EC178" s="192"/>
      <c r="ED178" s="192"/>
      <c r="EE178" s="192"/>
    </row>
    <row r="179" spans="1:135" s="167" customFormat="1" ht="21" x14ac:dyDescent="0.35">
      <c r="A179" s="167" t="s">
        <v>37</v>
      </c>
      <c r="B179" s="167" t="s">
        <v>37</v>
      </c>
      <c r="C179" s="167">
        <v>4058793</v>
      </c>
      <c r="D179" s="167" t="s">
        <v>135</v>
      </c>
      <c r="G179" s="168" t="s">
        <v>462</v>
      </c>
      <c r="H179" s="169">
        <v>2021</v>
      </c>
      <c r="I179" s="170"/>
      <c r="J179" s="166">
        <f>IFERROR(INDEX('Labor Expenditures'!$E$7:$X$91,MATCH($C179,'Labor Expenditures'!$D$7:$D$91,0),MATCH($G179,'Labor Expenditures'!$E$5:$X$5,0)),"NA")</f>
        <v>369.55714928415188</v>
      </c>
      <c r="K179" s="166">
        <f t="shared" si="392"/>
        <v>2.5403481648678592</v>
      </c>
      <c r="L179" s="171">
        <f t="shared" si="399"/>
        <v>-3.093024019922681E-2</v>
      </c>
      <c r="M179" s="172">
        <f t="shared" si="403"/>
        <v>-4.7894799843284233E-6</v>
      </c>
      <c r="N179" s="196"/>
      <c r="O179" s="172"/>
      <c r="P179" s="166">
        <f>IFERROR(INDEX('Non-Labor Expenditures'!$E$7:$AB$91,MATCH($C179,'Non-Labor Expenditures'!$D$7:$D$91,0),MATCH($G179,'Non-Labor Expenditures'!$E$5:$AB$5,0)),"NA")</f>
        <v>520.942005617419</v>
      </c>
      <c r="Q179" s="166">
        <f t="shared" si="393"/>
        <v>4.3965060816728752</v>
      </c>
      <c r="R179" s="172">
        <f t="shared" si="404"/>
        <v>-0.11780574617644199</v>
      </c>
      <c r="S179" s="172">
        <f t="shared" si="409"/>
        <v>-1.8241961902547662E-5</v>
      </c>
      <c r="T179" s="172"/>
      <c r="U179" s="172"/>
      <c r="V179" s="166">
        <f t="shared" si="374"/>
        <v>1393.2625122658144</v>
      </c>
      <c r="W179" s="170"/>
      <c r="X179" s="174">
        <v>40.60130670366874</v>
      </c>
      <c r="Y179" s="175"/>
      <c r="Z179" s="175">
        <f t="shared" si="410"/>
        <v>0</v>
      </c>
      <c r="AA179" s="175"/>
      <c r="AB179" s="175"/>
      <c r="AC179" s="170">
        <f t="shared" si="287"/>
        <v>2283.761667167385</v>
      </c>
      <c r="AD179" s="175">
        <f t="shared" si="405"/>
        <v>0.32022345751921261</v>
      </c>
      <c r="AE179" s="118"/>
      <c r="AF179" s="119"/>
      <c r="AG179" s="121">
        <f t="shared" si="406"/>
        <v>661.57638098707559</v>
      </c>
      <c r="AH179" s="119">
        <f>+AZ179/$BB$59</f>
        <v>8.856692675136832E-5</v>
      </c>
      <c r="AI179" s="119"/>
      <c r="AJ179" s="176">
        <f t="shared" si="411"/>
        <v>5.8593786875317667E-2</v>
      </c>
      <c r="AK179" s="176">
        <f t="shared" si="412"/>
        <v>0</v>
      </c>
      <c r="AL179" s="120">
        <f t="shared" si="394"/>
        <v>0.16181949044732158</v>
      </c>
      <c r="AM179" s="120">
        <f t="shared" si="395"/>
        <v>0.22810699255827263</v>
      </c>
      <c r="AN179" s="120">
        <f t="shared" si="396"/>
        <v>0.61007351699440593</v>
      </c>
      <c r="AO179" s="120">
        <f t="shared" si="400"/>
        <v>-3.933740506953004E-2</v>
      </c>
      <c r="AP179" s="173">
        <f t="shared" si="416"/>
        <v>95.117915309899928</v>
      </c>
      <c r="AQ179" s="175">
        <f t="shared" si="417"/>
        <v>-3.9337405069530068E-2</v>
      </c>
      <c r="AR179" s="177">
        <f>+AC179/$AE$59</f>
        <v>1.5484781086336829E-4</v>
      </c>
      <c r="AS179" s="177">
        <f t="shared" si="413"/>
        <v>-6.0913110600622971E-6</v>
      </c>
      <c r="AT179" s="177"/>
      <c r="AU179" s="177"/>
      <c r="AV179" s="177"/>
      <c r="AW179" s="190"/>
      <c r="AX179" s="120"/>
      <c r="AY179" s="120"/>
      <c r="AZ179" s="118">
        <f>INDEX('Total Customers'!$E$7:$E$91,MATCH(Calculation!$C179,'Total Customers'!$D$7:$D$91,0))</f>
        <v>3452</v>
      </c>
      <c r="BA179" s="119">
        <f t="shared" si="375"/>
        <v>1.1948269784672744E-2</v>
      </c>
      <c r="BB179" s="118"/>
      <c r="BC179" s="121"/>
      <c r="BD179" s="118"/>
      <c r="BE179" s="119"/>
      <c r="BF179" s="119"/>
      <c r="BG179" s="173"/>
      <c r="BH179" s="173"/>
      <c r="BI179" s="173"/>
      <c r="BJ179" s="173"/>
      <c r="BK179" s="173"/>
      <c r="BL179" s="173"/>
      <c r="BM179" s="173"/>
      <c r="BN179" s="173"/>
      <c r="BO179" s="173"/>
      <c r="BP179" s="173"/>
      <c r="BQ179" s="118"/>
      <c r="BR179" s="118"/>
      <c r="BS179" s="118">
        <f>INDEX('Dist. Plant Gas Additions'!$E$7:$AE$91,MATCH($C179,'Dist. Plant Gas Additions'!$D$7:$D$91,0),MATCH(Calculation!$G179,'Dist. Plant Gas Additions'!$E$5:$AE$5,0))</f>
        <v>2314</v>
      </c>
      <c r="BT179" s="118">
        <f>INDEX('Gen. Plant Additions'!$E$7:$AE$91,MATCH($C179,'Gen. Plant Additions'!$D$7:$D$91,0),MATCH(Calculation!$G179,'Gen. Plant Additions'!$E$5:$AE$5,0))</f>
        <v>69</v>
      </c>
      <c r="BU179" s="118"/>
      <c r="BV179" s="118"/>
      <c r="BW179" s="118"/>
      <c r="BX179" s="118"/>
      <c r="BY179" s="183"/>
      <c r="BZ179" s="183"/>
      <c r="CA179" s="178"/>
      <c r="CB179" s="184"/>
      <c r="CC179" s="185"/>
      <c r="CD179" s="185"/>
      <c r="CE179" s="118"/>
      <c r="CF179" s="118"/>
      <c r="CG179" s="118"/>
      <c r="CH179" s="118"/>
      <c r="CI179" s="121">
        <v>2021</v>
      </c>
      <c r="CJ179" s="118"/>
      <c r="CK179" s="118"/>
      <c r="CL179" s="118"/>
      <c r="CM179" s="183"/>
      <c r="CN179" s="118">
        <f t="shared" si="376"/>
        <v>2383</v>
      </c>
      <c r="CO179" s="118">
        <f t="shared" si="377"/>
        <v>2.5540648826805232</v>
      </c>
      <c r="CP179" s="186">
        <f>+(51-23)/(51-23*0.75)</f>
        <v>0.82962962962962961</v>
      </c>
      <c r="CQ179" s="118">
        <f>CQ156*CP179+CO157*CP178+CO158*CP177+CO159*CP176+CO160*CP175+CO161*CP174+CO162*CP173+CO163*CP172+CO164*CP171+CO165*CP170+CO166*CP169+CO167*CP168+CO168*CP167+CO169*CP166+CO170*CP165+CO161*CP164+CO172*CP163+CO173*CP162+CO174*CP161+CO175*CP160+CO176*CP159+CO177*CP158+CO179+CO178*CP157</f>
        <v>40.60130670366874</v>
      </c>
      <c r="CR179" s="119"/>
      <c r="CS179" s="118"/>
      <c r="CT179" s="177">
        <f t="shared" si="379"/>
        <v>-2.5561679344168562E-2</v>
      </c>
      <c r="CU179" s="177">
        <f t="shared" si="387"/>
        <v>-2.1197051870306773E-3</v>
      </c>
      <c r="CV179" s="119">
        <f>VLOOKUP($H179,RoR!$E:$F,2,FALSE)</f>
        <v>2.7033333333333336E-2</v>
      </c>
      <c r="CW179" s="177"/>
      <c r="CX179" s="177"/>
      <c r="CY179" s="177">
        <f t="shared" si="388"/>
        <v>3.3021646795564304E-2</v>
      </c>
      <c r="CZ179" s="177">
        <f t="shared" si="389"/>
        <v>7.433422950153494E-2</v>
      </c>
      <c r="DA179" s="187">
        <f t="shared" si="380"/>
        <v>0.90175000000000005</v>
      </c>
      <c r="DB179" s="188">
        <f t="shared" si="381"/>
        <v>1.8969932656739068</v>
      </c>
      <c r="DC179" s="188">
        <f t="shared" si="382"/>
        <v>5.0215782983970621E-2</v>
      </c>
      <c r="DD179" s="188">
        <f t="shared" si="383"/>
        <v>0.655952481704143</v>
      </c>
      <c r="DE179" s="188">
        <f t="shared" si="384"/>
        <v>6.2485378865697057E-2</v>
      </c>
      <c r="DF179" s="189">
        <f>DF178</f>
        <v>0.26200000000000001</v>
      </c>
      <c r="DG179" s="189">
        <v>0.375</v>
      </c>
      <c r="DH179" s="190">
        <f t="shared" si="386"/>
        <v>37.555327888666675</v>
      </c>
      <c r="DI179" s="190"/>
      <c r="DJ179" s="177">
        <f t="shared" ref="DJ179" si="445">LN(DH179/DH178)</f>
        <v>0.57260703253505096</v>
      </c>
      <c r="DK179" s="189">
        <f>VLOOKUP($H179,RoR!$E:$F,2,FALSE)</f>
        <v>2.7033333333333336E-2</v>
      </c>
      <c r="DL179" s="191">
        <f>HLOOKUP($H179,'GDP-PI'!$D$8:$CR$11,3,FALSE)</f>
        <v>4.2834637353352578E-2</v>
      </c>
      <c r="DM179" s="189">
        <f>VLOOKUP(H179,'HW Dx Data'!$E:$F,2,FALSE)</f>
        <v>933.02249921662576</v>
      </c>
      <c r="DN179" s="183">
        <f>VLOOKUP(H179,'ECI - Input Price'!$G$17:$H$37,2,FALSE)</f>
        <v>145.47500000000002</v>
      </c>
      <c r="DO179" s="177">
        <f t="shared" ref="DO179" si="446">LN(DN179/DN178)</f>
        <v>3.5152696992481205E-2</v>
      </c>
      <c r="DP179" s="183">
        <f>HLOOKUP(H179,'GDP-PI'!$8:$9,2,FALSE)</f>
        <v>118.49</v>
      </c>
      <c r="DQ179" s="177">
        <f t="shared" ref="DQ179" si="447">LN(DP179/DP178)</f>
        <v>4.194261824609434E-2</v>
      </c>
      <c r="DW179" s="192"/>
      <c r="DX179" s="192"/>
      <c r="DY179" s="192"/>
      <c r="DZ179" s="192"/>
      <c r="EA179" s="192"/>
      <c r="EB179" s="192"/>
      <c r="EC179" s="192"/>
      <c r="ED179" s="192"/>
      <c r="EE179" s="192"/>
    </row>
    <row r="180" spans="1:135" s="167" customFormat="1" ht="21" x14ac:dyDescent="0.35">
      <c r="A180" s="167" t="s">
        <v>38</v>
      </c>
      <c r="B180" s="168" t="s">
        <v>38</v>
      </c>
      <c r="C180" s="168">
        <v>4057111</v>
      </c>
      <c r="D180" s="168" t="s">
        <v>333</v>
      </c>
      <c r="E180" s="168" t="s">
        <v>126</v>
      </c>
      <c r="F180" s="168"/>
      <c r="G180" s="168" t="s">
        <v>4</v>
      </c>
      <c r="H180" s="169">
        <v>1998</v>
      </c>
      <c r="I180" s="170"/>
      <c r="J180" s="166"/>
      <c r="K180" s="166"/>
      <c r="L180" s="166"/>
      <c r="M180" s="166"/>
      <c r="N180" s="196"/>
      <c r="O180" s="166"/>
      <c r="P180" s="166"/>
      <c r="Q180" s="166"/>
      <c r="R180" s="166"/>
      <c r="S180" s="166"/>
      <c r="T180" s="166"/>
      <c r="U180" s="166"/>
      <c r="V180" s="166"/>
      <c r="W180" s="170"/>
      <c r="X180" s="174">
        <v>2515.325262156442</v>
      </c>
      <c r="Y180" s="175"/>
      <c r="Z180" s="166"/>
      <c r="AA180" s="175"/>
      <c r="AB180" s="175"/>
      <c r="AC180" s="170">
        <f t="shared" si="287"/>
        <v>0</v>
      </c>
      <c r="AD180" s="170"/>
      <c r="AE180" s="170"/>
      <c r="AF180" s="119"/>
      <c r="AG180" s="174"/>
      <c r="AH180" s="175"/>
      <c r="AI180" s="175"/>
      <c r="AJ180" s="174"/>
      <c r="AK180" s="174"/>
      <c r="AL180" s="120"/>
      <c r="AM180" s="120"/>
      <c r="AN180" s="120"/>
      <c r="AO180" s="120"/>
      <c r="AP180" s="120"/>
      <c r="AQ180" s="175">
        <f>AVERAGE(AQ189:AQ203)</f>
        <v>2.3212943963382447E-2</v>
      </c>
      <c r="AR180" s="120"/>
      <c r="AS180" s="120"/>
      <c r="AT180" s="120"/>
      <c r="AU180" s="120"/>
      <c r="AV180" s="120"/>
      <c r="AW180" s="120"/>
      <c r="AX180" s="120"/>
      <c r="AY180" s="120"/>
      <c r="AZ180" s="118">
        <f>IFERROR(INDEX('Total Customers'!$F$7:$AB$91,MATCH($C180,'Total Customers'!$D$7:$D$91,0),MATCH($G180,'Total Customers'!$F$5:$AB$5,0)),"NA")</f>
        <v>535211</v>
      </c>
      <c r="BA180" s="119"/>
      <c r="BB180" s="119"/>
      <c r="BC180" s="121"/>
      <c r="BD180" s="119"/>
      <c r="BE180" s="119"/>
      <c r="BF180" s="119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18">
        <f>INDEX('Gross Dx Plant'!$E$7:$AD$91,MATCH($C180,'Gross Dx Plant'!$D$7:$D$91,0),MATCH(Calculation!$G180,'Gross Dx Plant'!$E$5:$AD$5,0))</f>
        <v>770899</v>
      </c>
      <c r="BR180" s="118">
        <f>INDEX('Gross Gen Plant'!$E$7:$AD$91,MATCH($C180,'Gross Gen Plant'!$D$7:$D$91,0),MATCH(Calculation!$G180,'Gross Gen Plant'!$E$5:$AD$5,0))</f>
        <v>40673</v>
      </c>
      <c r="BS180" s="118">
        <f>INDEX('Dist. Plant Gas Additions'!$F$7:$AE$91,MATCH($C180,'Dist. Plant Gas Additions'!$D$7:$D$91,0),MATCH(Calculation!$G180,'Dist. Plant Gas Additions'!$F$5:$AE$5,0))</f>
        <v>49200</v>
      </c>
      <c r="BT180" s="118">
        <f>INDEX('Gen. Plant Additions'!$F$7:$AE$91,MATCH($C180,'Gen. Plant Additions'!$D$7:$D$91,0),MATCH(Calculation!$G180,'Gen. Plant Additions'!$F$5:$AE$5,0))</f>
        <v>801</v>
      </c>
      <c r="BU180" s="118">
        <v>304182</v>
      </c>
      <c r="BV180" s="118"/>
      <c r="BW180" s="118" t="str">
        <f>INDEX('Dist Plant Depreciation'!$E$7:$AD$94,MATCH($C180,'Dist Plant Depreciation'!$D$7:$D$94,0),MATCH(Calculation!$G180,'Dist Plant Depreciation'!$E$5:$AD$5,0))</f>
        <v>NA</v>
      </c>
      <c r="BX180" s="118" t="str">
        <f>INDEX('Gen. Plant Depreciation'!$E$7:$AD$94,MATCH($C180,'Gen. Plant Depreciation'!$D$7:$D$94,0),MATCH(Calculation!$G180,'Gen. Plant Depreciation'!$E$5:$AD$5,0))</f>
        <v>NA</v>
      </c>
      <c r="BY180" s="118"/>
      <c r="BZ180" s="118"/>
      <c r="CA180" s="118"/>
      <c r="CB180" s="118"/>
      <c r="CC180" s="118"/>
      <c r="CD180" s="118"/>
      <c r="CE180" s="118">
        <f>INDEX('Gross Dx Plant'!$E$7:$AD$91,MATCH($C180,'Gross Dx Plant'!$D$7:$D$91,0),MATCH(Calculation!$G180,'Gross Dx Plant'!$E$5:$AD$5,0))</f>
        <v>770899</v>
      </c>
      <c r="CF180" s="118">
        <f>INDEX('Gross Gen Plant'!$E$7:$AD$91,MATCH($C180,'Gross Gen Plant'!$D$7:$D$91,0),MATCH(Calculation!$G180,'Gross Gen Plant'!$E$5:$AD$5,0))</f>
        <v>40673</v>
      </c>
      <c r="CG180" s="118" t="str">
        <f t="shared" si="426"/>
        <v>NA</v>
      </c>
      <c r="CH180" s="118"/>
      <c r="CI180" s="121">
        <v>1998</v>
      </c>
      <c r="CJ180" s="118">
        <f>BQ180+BR180</f>
        <v>811572</v>
      </c>
      <c r="CK180" s="118">
        <v>304182</v>
      </c>
      <c r="CL180" s="118">
        <f>+CJ180-CK180</f>
        <v>507390</v>
      </c>
      <c r="CM180" s="118">
        <f>CL180/$CD$36</f>
        <v>2515.325262156442</v>
      </c>
      <c r="CN180" s="183"/>
      <c r="CO180" s="183"/>
      <c r="CP180" s="186">
        <v>1</v>
      </c>
      <c r="CQ180" s="118">
        <f>+CM180</f>
        <v>2515.325262156442</v>
      </c>
      <c r="CR180" s="119"/>
      <c r="CS180" s="119"/>
      <c r="CT180" s="177"/>
      <c r="CU180" s="177"/>
      <c r="CV180" s="119" t="e">
        <f>VLOOKUP($H180,RoR!$E:$F,2,FALSE)</f>
        <v>#N/A</v>
      </c>
      <c r="CW180" s="177">
        <v>1.1028127770464469E-2</v>
      </c>
      <c r="CX180" s="177"/>
      <c r="CY180" s="177"/>
      <c r="CZ180" s="177"/>
      <c r="DA180" s="187"/>
      <c r="DB180" s="190" t="e">
        <f>2/(DK180*39)</f>
        <v>#N/A</v>
      </c>
      <c r="DC180" s="188" t="e">
        <f>+(DK180*40-(1+DK180))/(DK180*40)</f>
        <v>#N/A</v>
      </c>
      <c r="DD180" s="188" t="e">
        <f>+(1-(1/(1+DK180)^40))</f>
        <v>#N/A</v>
      </c>
      <c r="DE180" s="188" t="e">
        <f>+DD180*DC180*DB180</f>
        <v>#N/A</v>
      </c>
      <c r="DF180" s="189">
        <f>INDEX('State Tax Lookup'!$D$7:$Z$91,MATCH(Calculation!$C180,'State Tax Lookup'!$B$7:$B$91,0),MATCH($H180,'State Tax Lookup'!$D$6:$Z$6,0))</f>
        <v>0.40700500000000001</v>
      </c>
      <c r="DG180" s="189">
        <v>0.375</v>
      </c>
      <c r="DH180" s="183"/>
      <c r="DI180" s="183"/>
      <c r="DJ180" s="177"/>
      <c r="DK180" s="189" t="e">
        <f>VLOOKUP($H180,RoR!$E:$F,2,FALSE)</f>
        <v>#N/A</v>
      </c>
      <c r="DL180" s="191">
        <f>HLOOKUP($H180,'GDP-PI'!$D$8:$CQ$11,3,FALSE)</f>
        <v>1.1028127770464469E-2</v>
      </c>
      <c r="DM180" s="189">
        <f>VLOOKUP(H180,'HW Dx Data'!$E:$F,2,FALSE)</f>
        <v>329.24564746449528</v>
      </c>
      <c r="DN180" s="183" t="e">
        <f>VLOOKUP(H180,'ECI - Input Price'!$G$17:$H$37,2,FALSE)</f>
        <v>#N/A</v>
      </c>
      <c r="DO180" s="177"/>
      <c r="DP180" s="183">
        <f>HLOOKUP(H180,'GDP-PI'!$8:$9,2,FALSE)</f>
        <v>75.266999999999996</v>
      </c>
      <c r="DW180" s="192"/>
      <c r="DX180" s="192"/>
      <c r="DY180" s="192"/>
      <c r="DZ180" s="192"/>
      <c r="EA180" s="192"/>
      <c r="EB180" s="192"/>
      <c r="EC180" s="192"/>
      <c r="ED180" s="192"/>
      <c r="EE180" s="192"/>
    </row>
    <row r="181" spans="1:135" s="167" customFormat="1" ht="21" x14ac:dyDescent="0.35">
      <c r="A181" s="167" t="s">
        <v>38</v>
      </c>
      <c r="B181" s="168" t="s">
        <v>38</v>
      </c>
      <c r="C181" s="168">
        <v>4057111</v>
      </c>
      <c r="D181" s="168" t="s">
        <v>333</v>
      </c>
      <c r="E181" s="168" t="s">
        <v>126</v>
      </c>
      <c r="F181" s="168"/>
      <c r="G181" s="168" t="s">
        <v>5</v>
      </c>
      <c r="H181" s="169">
        <v>1999</v>
      </c>
      <c r="I181" s="170"/>
      <c r="J181" s="166"/>
      <c r="K181" s="166"/>
      <c r="L181" s="166"/>
      <c r="M181" s="166"/>
      <c r="N181" s="196"/>
      <c r="O181" s="166"/>
      <c r="P181" s="166"/>
      <c r="Q181" s="166"/>
      <c r="R181" s="166"/>
      <c r="S181" s="195"/>
      <c r="T181" s="166"/>
      <c r="U181" s="166"/>
      <c r="V181" s="166">
        <f t="shared" ref="V181:V203" si="448">+CQ180*DH181</f>
        <v>0</v>
      </c>
      <c r="W181" s="170"/>
      <c r="X181" s="174">
        <v>2638.4587157284459</v>
      </c>
      <c r="Y181" s="175">
        <v>4.7792802790570472E-2</v>
      </c>
      <c r="Z181" s="175"/>
      <c r="AA181" s="175"/>
      <c r="AB181" s="175"/>
      <c r="AC181" s="170">
        <f t="shared" si="287"/>
        <v>0</v>
      </c>
      <c r="AD181" s="175"/>
      <c r="AE181" s="170"/>
      <c r="AF181" s="119"/>
      <c r="AG181" s="174"/>
      <c r="AH181" s="175"/>
      <c r="AI181" s="175"/>
      <c r="AJ181" s="174"/>
      <c r="AK181" s="174"/>
      <c r="AL181" s="120"/>
      <c r="AM181" s="120"/>
      <c r="AN181" s="120"/>
      <c r="AO181" s="120"/>
      <c r="AP181" s="120"/>
      <c r="AQ181" s="175"/>
      <c r="AR181" s="120"/>
      <c r="AS181" s="120"/>
      <c r="AT181" s="120"/>
      <c r="AU181" s="120"/>
      <c r="AV181" s="120"/>
      <c r="AW181" s="120"/>
      <c r="AX181" s="120"/>
      <c r="AY181" s="120"/>
      <c r="AZ181" s="118">
        <f>IFERROR(INDEX('Total Customers'!$F$7:$AB$91,MATCH($C181,'Total Customers'!$D$7:$D$91,0),MATCH($G181,'Total Customers'!$F$5:$AB$5,0)),"NA")</f>
        <v>536252</v>
      </c>
      <c r="BA181" s="119">
        <f t="shared" ref="BA181:BA203" si="449">LN(AZ181/AZ180)</f>
        <v>1.9431381719188948E-3</v>
      </c>
      <c r="BB181" s="119"/>
      <c r="BC181" s="121"/>
      <c r="BD181" s="119"/>
      <c r="BE181" s="119"/>
      <c r="BF181" s="119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18"/>
      <c r="BR181" s="118"/>
      <c r="BS181" s="118">
        <f>INDEX('Dist. Plant Gas Additions'!$F$7:$AE$91,MATCH($C181,'Dist. Plant Gas Additions'!$D$7:$D$91,0),MATCH(Calculation!$G181,'Dist. Plant Gas Additions'!$F$5:$AE$5,0))</f>
        <v>44686</v>
      </c>
      <c r="BT181" s="118">
        <f>INDEX('Gen. Plant Additions'!$F$7:$AE$91,MATCH($C181,'Gen. Plant Additions'!$D$7:$D$91,0),MATCH(Calculation!$G181,'Gen. Plant Additions'!$F$5:$AE$5,0))</f>
        <v>800</v>
      </c>
      <c r="BU181" s="118"/>
      <c r="BV181" s="118"/>
      <c r="BW181" s="118" t="str">
        <f>INDEX('Dist Plant Depreciation'!$E$7:$AD$94,MATCH($C181,'Dist Plant Depreciation'!$D$7:$D$94,0),MATCH(Calculation!$G181,'Dist Plant Depreciation'!$E$5:$AD$5,0))</f>
        <v>NA</v>
      </c>
      <c r="BX181" s="118" t="str">
        <f>INDEX('Gen. Plant Depreciation'!$E$7:$AD$94,MATCH($C181,'Gen. Plant Depreciation'!$D$7:$D$94,0),MATCH(Calculation!$G181,'Gen. Plant Depreciation'!$E$5:$AD$5,0))</f>
        <v>NA</v>
      </c>
      <c r="BY181" s="118"/>
      <c r="BZ181" s="118"/>
      <c r="CA181" s="118"/>
      <c r="CB181" s="118"/>
      <c r="CC181" s="118"/>
      <c r="CD181" s="118"/>
      <c r="CE181" s="118">
        <f>INDEX('Gross Dx Plant'!$E$7:$AD$91,MATCH($C181,'Gross Dx Plant'!$D$7:$D$91,0),MATCH(Calculation!$G181,'Gross Dx Plant'!$E$5:$AD$5,0))</f>
        <v>814117</v>
      </c>
      <c r="CF181" s="118">
        <f>INDEX('Gross Gen Plant'!$E$7:$AD$91,MATCH($C181,'Gross Gen Plant'!$D$7:$D$91,0),MATCH(Calculation!$G181,'Gross Gen Plant'!$E$5:$AD$5,0))</f>
        <v>34901</v>
      </c>
      <c r="CG181" s="118" t="str">
        <f t="shared" si="426"/>
        <v>NA</v>
      </c>
      <c r="CH181" s="118"/>
      <c r="CI181" s="121">
        <v>1999</v>
      </c>
      <c r="CJ181" s="118"/>
      <c r="CK181" s="118"/>
      <c r="CL181" s="118"/>
      <c r="CM181" s="183"/>
      <c r="CN181" s="118">
        <f t="shared" ref="CN181:CN203" si="450">+BT181+BS181</f>
        <v>45486</v>
      </c>
      <c r="CO181" s="118">
        <f t="shared" ref="CO181:CO203" si="451">+CN181/$DM181</f>
        <v>135.64750960263308</v>
      </c>
      <c r="CP181" s="186">
        <v>0.99502487562189057</v>
      </c>
      <c r="CQ181" s="118">
        <f>+CQ180*CP181+CO181</f>
        <v>2638.4587157284459</v>
      </c>
      <c r="CR181" s="119">
        <f t="shared" ref="CR181:CR202" si="452">LN(CQ181/CQ180)</f>
        <v>4.7792802790570472E-2</v>
      </c>
      <c r="CS181" s="119"/>
      <c r="CT181" s="177">
        <f t="shared" ref="CT181:CT203" si="453">+(CQ180-CQ181+CO181)/CQ180</f>
        <v>4.975124378109509E-3</v>
      </c>
      <c r="CU181" s="177"/>
      <c r="CV181" s="119">
        <f>VLOOKUP($H181,RoR!$E:$F,2,FALSE)</f>
        <v>7.0416666666666669E-2</v>
      </c>
      <c r="CW181" s="177">
        <v>1.4335631817396832E-2</v>
      </c>
      <c r="CX181" s="177">
        <f>+CV181-CW181</f>
        <v>5.6081034849269837E-2</v>
      </c>
      <c r="CY181" s="177"/>
      <c r="CZ181" s="177"/>
      <c r="DA181" s="187">
        <f t="shared" ref="DA181:DA203" si="454">1-DF181*DG181</f>
        <v>0.84737312500000006</v>
      </c>
      <c r="DB181" s="188">
        <f t="shared" ref="DB181:DB203" si="455">2/(DK181*39)</f>
        <v>0.72826581702321336</v>
      </c>
      <c r="DC181" s="188">
        <f t="shared" ref="DC181:DC203" si="456">+(DK181*40-(1+DK181))/(DK181*40)</f>
        <v>0.61997041420118348</v>
      </c>
      <c r="DD181" s="188">
        <f t="shared" ref="DD181:DD203" si="457">+(1-(1/(1+DK181)^40))</f>
        <v>0.93425155319585029</v>
      </c>
      <c r="DE181" s="188">
        <f t="shared" ref="DE181:DE203" si="458">+DD181*DC181*DB181</f>
        <v>0.42181762214141483</v>
      </c>
      <c r="DF181" s="189">
        <f>INDEX('State Tax Lookup'!$D$7:$Z$91,MATCH(Calculation!$C181,'State Tax Lookup'!$B$7:$B$91,0),MATCH($H181,'State Tax Lookup'!$D$6:$Z$6,0))</f>
        <v>0.40700500000000001</v>
      </c>
      <c r="DG181" s="189">
        <v>0.375</v>
      </c>
      <c r="DH181" s="190"/>
      <c r="DI181" s="190"/>
      <c r="DJ181" s="177"/>
      <c r="DK181" s="189">
        <f>VLOOKUP($H181,RoR!$E:$F,2,FALSE)</f>
        <v>7.0416666666666669E-2</v>
      </c>
      <c r="DL181" s="191">
        <f>HLOOKUP($H181,'GDP-PI'!$D$8:$CQ$11,3,FALSE)</f>
        <v>1.4335631817396832E-2</v>
      </c>
      <c r="DM181" s="189">
        <f>VLOOKUP(H181,'HW Dx Data'!$E:$F,2,FALSE)</f>
        <v>335.32499146683239</v>
      </c>
      <c r="DN181" s="183" t="e">
        <f>VLOOKUP(H181,'ECI - Input Price'!$G$17:$H$37,2,FALSE)</f>
        <v>#N/A</v>
      </c>
      <c r="DO181" s="177"/>
      <c r="DP181" s="183">
        <f>HLOOKUP(H181,'GDP-PI'!$8:$9,2,FALSE)</f>
        <v>76.346000000000004</v>
      </c>
      <c r="DW181" s="192"/>
      <c r="DX181" s="192"/>
      <c r="DY181" s="192"/>
      <c r="DZ181" s="192"/>
      <c r="EA181" s="192"/>
      <c r="EB181" s="192"/>
      <c r="EC181" s="192"/>
      <c r="ED181" s="192"/>
      <c r="EE181" s="192"/>
    </row>
    <row r="182" spans="1:135" s="167" customFormat="1" ht="21" x14ac:dyDescent="0.35">
      <c r="A182" s="167" t="s">
        <v>38</v>
      </c>
      <c r="B182" s="168" t="s">
        <v>38</v>
      </c>
      <c r="C182" s="168">
        <v>4057111</v>
      </c>
      <c r="D182" s="168" t="s">
        <v>333</v>
      </c>
      <c r="E182" s="168" t="s">
        <v>126</v>
      </c>
      <c r="F182" s="168"/>
      <c r="G182" s="168" t="s">
        <v>6</v>
      </c>
      <c r="H182" s="169">
        <v>2000</v>
      </c>
      <c r="I182" s="170"/>
      <c r="J182" s="166"/>
      <c r="K182" s="166"/>
      <c r="L182" s="166"/>
      <c r="M182" s="166"/>
      <c r="N182" s="196"/>
      <c r="O182" s="166"/>
      <c r="P182" s="166"/>
      <c r="Q182" s="166"/>
      <c r="R182" s="166"/>
      <c r="S182" s="166"/>
      <c r="T182" s="166"/>
      <c r="U182" s="166"/>
      <c r="V182" s="166">
        <f t="shared" si="448"/>
        <v>0</v>
      </c>
      <c r="W182" s="170"/>
      <c r="X182" s="174">
        <v>2799.0063956168315</v>
      </c>
      <c r="Y182" s="175">
        <v>5.9069568626378778E-2</v>
      </c>
      <c r="Z182" s="175"/>
      <c r="AA182" s="175"/>
      <c r="AB182" s="175"/>
      <c r="AC182" s="170">
        <f t="shared" si="287"/>
        <v>0</v>
      </c>
      <c r="AD182" s="175"/>
      <c r="AE182" s="170"/>
      <c r="AF182" s="170"/>
      <c r="AG182" s="174"/>
      <c r="AH182" s="175"/>
      <c r="AI182" s="175"/>
      <c r="AJ182" s="174"/>
      <c r="AK182" s="174"/>
      <c r="AL182" s="120"/>
      <c r="AM182" s="120"/>
      <c r="AN182" s="120"/>
      <c r="AO182" s="120"/>
      <c r="AP182" s="120"/>
      <c r="AQ182" s="175"/>
      <c r="AR182" s="120"/>
      <c r="AS182" s="120"/>
      <c r="AT182" s="120"/>
      <c r="AU182" s="120"/>
      <c r="AV182" s="120"/>
      <c r="AW182" s="120"/>
      <c r="AX182" s="120"/>
      <c r="AY182" s="120"/>
      <c r="AZ182" s="118">
        <f>IFERROR(INDEX('Total Customers'!$F$7:$AB$91,MATCH($C182,'Total Customers'!$D$7:$D$91,0),MATCH($G182,'Total Customers'!$F$5:$AB$5,0)),"NA")</f>
        <v>542792</v>
      </c>
      <c r="BA182" s="119">
        <f t="shared" si="449"/>
        <v>1.2121989619586463E-2</v>
      </c>
      <c r="BB182" s="119"/>
      <c r="BC182" s="121"/>
      <c r="BD182" s="119"/>
      <c r="BE182" s="119"/>
      <c r="BF182" s="119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18"/>
      <c r="BR182" s="118"/>
      <c r="BS182" s="118">
        <f>INDEX('Dist. Plant Gas Additions'!$F$7:$AE$91,MATCH($C182,'Dist. Plant Gas Additions'!$D$7:$D$91,0),MATCH(Calculation!$G182,'Dist. Plant Gas Additions'!$F$5:$AE$5,0))</f>
        <v>59222</v>
      </c>
      <c r="BT182" s="118">
        <f>INDEX('Gen. Plant Additions'!$F$7:$AE$91,MATCH($C182,'Gen. Plant Additions'!$D$7:$D$91,0),MATCH(Calculation!$G182,'Gen. Plant Additions'!$F$5:$AE$5,0))</f>
        <v>1115</v>
      </c>
      <c r="BU182" s="118"/>
      <c r="BV182" s="118"/>
      <c r="BW182" s="118" t="str">
        <f>INDEX('Dist Plant Depreciation'!$E$7:$AD$94,MATCH($C182,'Dist Plant Depreciation'!$D$7:$D$94,0),MATCH(Calculation!$G182,'Dist Plant Depreciation'!$E$5:$AD$5,0))</f>
        <v>NA</v>
      </c>
      <c r="BX182" s="118" t="str">
        <f>INDEX('Gen. Plant Depreciation'!$E$7:$AD$94,MATCH($C182,'Gen. Plant Depreciation'!$D$7:$D$94,0),MATCH(Calculation!$G182,'Gen. Plant Depreciation'!$E$5:$AD$5,0))</f>
        <v>NA</v>
      </c>
      <c r="BY182" s="118"/>
      <c r="BZ182" s="118"/>
      <c r="CA182" s="118"/>
      <c r="CB182" s="118"/>
      <c r="CC182" s="118"/>
      <c r="CD182" s="118"/>
      <c r="CE182" s="118">
        <f>INDEX('Gross Dx Plant'!$E$7:$AD$91,MATCH($C182,'Gross Dx Plant'!$D$7:$D$91,0),MATCH(Calculation!$G182,'Gross Dx Plant'!$E$5:$AD$5,0))</f>
        <v>869935</v>
      </c>
      <c r="CF182" s="118">
        <f>INDEX('Gross Gen Plant'!$E$7:$AD$91,MATCH($C182,'Gross Gen Plant'!$D$7:$D$91,0),MATCH(Calculation!$G182,'Gross Gen Plant'!$E$5:$AD$5,0))</f>
        <v>24433</v>
      </c>
      <c r="CG182" s="118" t="str">
        <f t="shared" si="426"/>
        <v>NA</v>
      </c>
      <c r="CH182" s="118"/>
      <c r="CI182" s="121">
        <v>2000</v>
      </c>
      <c r="CJ182" s="118"/>
      <c r="CK182" s="118"/>
      <c r="CL182" s="118"/>
      <c r="CM182" s="183"/>
      <c r="CN182" s="118">
        <f t="shared" si="450"/>
        <v>60337</v>
      </c>
      <c r="CO182" s="118">
        <f t="shared" si="451"/>
        <v>174.11581296997795</v>
      </c>
      <c r="CP182" s="186">
        <v>0.98989898989898994</v>
      </c>
      <c r="CQ182" s="118">
        <f>+CQ180*CP182+CO181*CP181+CO182</f>
        <v>2799.0063956168315</v>
      </c>
      <c r="CR182" s="119">
        <f t="shared" si="452"/>
        <v>5.9069568626378778E-2</v>
      </c>
      <c r="CS182" s="119"/>
      <c r="CT182" s="177">
        <f t="shared" si="453"/>
        <v>5.1424466112392382E-3</v>
      </c>
      <c r="CU182" s="177"/>
      <c r="CV182" s="119">
        <f>VLOOKUP($H182,RoR!$E:$F,2,FALSE)</f>
        <v>7.6225000000000001E-2</v>
      </c>
      <c r="CW182" s="177">
        <v>2.2568307442433211E-2</v>
      </c>
      <c r="CX182" s="177">
        <f t="shared" ref="CX182:CX202" si="459">+CV182-CW182</f>
        <v>5.365669255756679E-2</v>
      </c>
      <c r="CY182" s="177"/>
      <c r="CZ182" s="177"/>
      <c r="DA182" s="187">
        <f t="shared" si="454"/>
        <v>0.84737312500000006</v>
      </c>
      <c r="DB182" s="188">
        <f t="shared" si="455"/>
        <v>0.67277207323124022</v>
      </c>
      <c r="DC182" s="188">
        <f t="shared" si="456"/>
        <v>0.6470236142997704</v>
      </c>
      <c r="DD182" s="188">
        <f t="shared" si="457"/>
        <v>0.94704866037543145</v>
      </c>
      <c r="DE182" s="188">
        <f t="shared" si="458"/>
        <v>0.41224973107878493</v>
      </c>
      <c r="DF182" s="189">
        <f>INDEX('State Tax Lookup'!$D$7:$Z$91,MATCH(Calculation!$C182,'State Tax Lookup'!$B$7:$B$91,0),MATCH($H182,'State Tax Lookup'!$D$6:$Z$6,0))</f>
        <v>0.40700500000000001</v>
      </c>
      <c r="DG182" s="189">
        <v>0.375</v>
      </c>
      <c r="DH182" s="190"/>
      <c r="DI182" s="190"/>
      <c r="DJ182" s="177"/>
      <c r="DK182" s="189">
        <f>VLOOKUP($H182,RoR!$E:$F,2,FALSE)</f>
        <v>7.6225000000000001E-2</v>
      </c>
      <c r="DL182" s="191">
        <f>HLOOKUP($H182,'GDP-PI'!$D$8:$CQ$11,3,FALSE)</f>
        <v>2.2568307442433211E-2</v>
      </c>
      <c r="DM182" s="189">
        <f>VLOOKUP(H182,'HW Dx Data'!$E:$F,2,FALSE)</f>
        <v>346.53371782150339</v>
      </c>
      <c r="DN182" s="183" t="e">
        <f>VLOOKUP(H182,'ECI - Input Price'!$G$17:$H$37,2,FALSE)</f>
        <v>#N/A</v>
      </c>
      <c r="DO182" s="177"/>
      <c r="DP182" s="183">
        <f>HLOOKUP(H182,'GDP-PI'!$8:$9,2,FALSE)</f>
        <v>78.069000000000003</v>
      </c>
      <c r="DW182" s="192"/>
      <c r="DX182" s="192"/>
      <c r="DY182" s="192"/>
      <c r="DZ182" s="192"/>
      <c r="EA182" s="192"/>
      <c r="EB182" s="192"/>
      <c r="EC182" s="192"/>
      <c r="ED182" s="192"/>
      <c r="EE182" s="192"/>
    </row>
    <row r="183" spans="1:135" s="167" customFormat="1" ht="21" x14ac:dyDescent="0.35">
      <c r="A183" s="167" t="s">
        <v>38</v>
      </c>
      <c r="B183" s="168" t="s">
        <v>38</v>
      </c>
      <c r="C183" s="168">
        <v>4057111</v>
      </c>
      <c r="D183" s="168" t="s">
        <v>333</v>
      </c>
      <c r="E183" s="168" t="s">
        <v>126</v>
      </c>
      <c r="F183" s="168"/>
      <c r="G183" s="168" t="s">
        <v>7</v>
      </c>
      <c r="H183" s="169">
        <v>2001</v>
      </c>
      <c r="I183" s="170"/>
      <c r="J183" s="166"/>
      <c r="K183" s="166"/>
      <c r="L183" s="166"/>
      <c r="M183" s="166"/>
      <c r="N183" s="196"/>
      <c r="O183" s="166"/>
      <c r="P183" s="166"/>
      <c r="Q183" s="166"/>
      <c r="R183" s="166"/>
      <c r="S183" s="166"/>
      <c r="T183" s="166"/>
      <c r="U183" s="166"/>
      <c r="V183" s="166">
        <f t="shared" si="448"/>
        <v>36467.611680969851</v>
      </c>
      <c r="W183" s="170"/>
      <c r="X183" s="174">
        <v>3076.6911035640669</v>
      </c>
      <c r="Y183" s="175">
        <v>9.4590206973018121E-2</v>
      </c>
      <c r="Z183" s="175"/>
      <c r="AA183" s="175"/>
      <c r="AB183" s="175"/>
      <c r="AC183" s="170">
        <f t="shared" si="287"/>
        <v>36467.611680969851</v>
      </c>
      <c r="AD183" s="175"/>
      <c r="AE183" s="170"/>
      <c r="AF183" s="170"/>
      <c r="AG183" s="174"/>
      <c r="AH183" s="175"/>
      <c r="AI183" s="175"/>
      <c r="AJ183" s="174"/>
      <c r="AK183" s="174"/>
      <c r="AL183" s="120"/>
      <c r="AM183" s="120"/>
      <c r="AN183" s="120"/>
      <c r="AO183" s="120"/>
      <c r="AP183" s="120"/>
      <c r="AQ183" s="175"/>
      <c r="AR183" s="120"/>
      <c r="AS183" s="120"/>
      <c r="AT183" s="120"/>
      <c r="AU183" s="120"/>
      <c r="AV183" s="120"/>
      <c r="AW183" s="120"/>
      <c r="AX183" s="120"/>
      <c r="AY183" s="120"/>
      <c r="AZ183" s="118">
        <f>IFERROR(INDEX('Total Customers'!$F$7:$AB$91,MATCH($C183,'Total Customers'!$D$7:$D$91,0),MATCH($G183,'Total Customers'!$F$5:$AB$5,0)),"NA")</f>
        <v>549389</v>
      </c>
      <c r="BA183" s="119">
        <f t="shared" si="449"/>
        <v>1.2080562160136553E-2</v>
      </c>
      <c r="BB183" s="119"/>
      <c r="BC183" s="121"/>
      <c r="BD183" s="119"/>
      <c r="BE183" s="119"/>
      <c r="BF183" s="119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18"/>
      <c r="BR183" s="118"/>
      <c r="BS183" s="118">
        <f>INDEX('Dist. Plant Gas Additions'!$F$7:$AE$91,MATCH($C183,'Dist. Plant Gas Additions'!$D$7:$D$91,0),MATCH(Calculation!$G183,'Dist. Plant Gas Additions'!$F$5:$AE$5,0))</f>
        <v>95946</v>
      </c>
      <c r="BT183" s="118">
        <f>INDEX('Gen. Plant Additions'!$F$7:$AE$91,MATCH($C183,'Gen. Plant Additions'!$D$7:$D$91,0),MATCH(Calculation!$G183,'Gen. Plant Additions'!$F$5:$AE$5,0))</f>
        <v>7144</v>
      </c>
      <c r="BU183" s="118"/>
      <c r="BV183" s="118"/>
      <c r="BW183" s="118" t="str">
        <f>INDEX('Dist Plant Depreciation'!$E$7:$AD$94,MATCH($C183,'Dist Plant Depreciation'!$D$7:$D$94,0),MATCH(Calculation!$G183,'Dist Plant Depreciation'!$E$5:$AD$5,0))</f>
        <v>NA</v>
      </c>
      <c r="BX183" s="118" t="str">
        <f>INDEX('Gen. Plant Depreciation'!$E$7:$AD$94,MATCH($C183,'Gen. Plant Depreciation'!$D$7:$D$94,0),MATCH(Calculation!$G183,'Gen. Plant Depreciation'!$E$5:$AD$5,0))</f>
        <v>NA</v>
      </c>
      <c r="BY183" s="118"/>
      <c r="BZ183" s="118"/>
      <c r="CA183" s="118"/>
      <c r="CB183" s="118"/>
      <c r="CC183" s="118"/>
      <c r="CD183" s="118"/>
      <c r="CE183" s="118">
        <f>INDEX('Gross Dx Plant'!$E$7:$AD$91,MATCH($C183,'Gross Dx Plant'!$D$7:$D$91,0),MATCH(Calculation!$G183,'Gross Dx Plant'!$E$5:$AD$5,0))</f>
        <v>963728</v>
      </c>
      <c r="CF183" s="118">
        <f>INDEX('Gross Gen Plant'!$E$7:$AD$91,MATCH($C183,'Gross Gen Plant'!$D$7:$D$91,0),MATCH(Calculation!$G183,'Gross Gen Plant'!$E$5:$AD$5,0))</f>
        <v>30363</v>
      </c>
      <c r="CG183" s="118" t="str">
        <f t="shared" si="426"/>
        <v>NA</v>
      </c>
      <c r="CH183" s="118"/>
      <c r="CI183" s="121">
        <v>2001</v>
      </c>
      <c r="CJ183" s="118"/>
      <c r="CK183" s="118"/>
      <c r="CL183" s="118"/>
      <c r="CM183" s="183"/>
      <c r="CN183" s="118">
        <f t="shared" si="450"/>
        <v>103090</v>
      </c>
      <c r="CO183" s="118">
        <f t="shared" si="451"/>
        <v>291.67000742517013</v>
      </c>
      <c r="CP183" s="186">
        <v>0.98461538461538467</v>
      </c>
      <c r="CQ183" s="118">
        <f>+CQ180*CP183+CO181*CP182+CO182*CP180+CO183</f>
        <v>3076.6911035640669</v>
      </c>
      <c r="CR183" s="119">
        <f t="shared" si="452"/>
        <v>9.4590206973018121E-2</v>
      </c>
      <c r="CS183" s="119"/>
      <c r="CT183" s="177">
        <f t="shared" si="453"/>
        <v>4.9965228732007511E-3</v>
      </c>
      <c r="CU183" s="177">
        <f>+(CT183+CT182+CT181)/3</f>
        <v>5.0380312875164994E-3</v>
      </c>
      <c r="CV183" s="119">
        <f>VLOOKUP($H183,RoR!$E:$F,2,FALSE)</f>
        <v>7.0824999999999999E-2</v>
      </c>
      <c r="CW183" s="177">
        <v>2.2454495382290052E-2</v>
      </c>
      <c r="CX183" s="177">
        <f t="shared" si="459"/>
        <v>4.8370504617709947E-2</v>
      </c>
      <c r="CY183" s="177">
        <f>+$CX$35-CU183</f>
        <v>2.5863910321017126E-2</v>
      </c>
      <c r="CZ183" s="177">
        <f>+((DM181/DM180-1)+(DM182/DM181-1)+(DM183/DM182-1))/3</f>
        <v>2.3947275901631187E-2</v>
      </c>
      <c r="DA183" s="187">
        <f t="shared" si="454"/>
        <v>0.84737312500000006</v>
      </c>
      <c r="DB183" s="188">
        <f t="shared" si="455"/>
        <v>0.72406708481540816</v>
      </c>
      <c r="DC183" s="188">
        <f t="shared" si="456"/>
        <v>0.62201729615248857</v>
      </c>
      <c r="DD183" s="188">
        <f t="shared" si="457"/>
        <v>0.9352469954311422</v>
      </c>
      <c r="DE183" s="188">
        <f t="shared" si="458"/>
        <v>0.42121864641655071</v>
      </c>
      <c r="DF183" s="189">
        <f>INDEX('State Tax Lookup'!$D$7:$Z$91,MATCH(Calculation!$C183,'State Tax Lookup'!$B$7:$B$91,0),MATCH($H183,'State Tax Lookup'!$D$6:$Z$6,0))</f>
        <v>0.40700500000000001</v>
      </c>
      <c r="DG183" s="189">
        <v>0.375</v>
      </c>
      <c r="DH183" s="190">
        <f t="shared" ref="DH183:DH203" si="460">+(DM183*CY183-CZ183)*DA183/(1-DF183)</f>
        <v>13.028770401552904</v>
      </c>
      <c r="DI183" s="190"/>
      <c r="DJ183" s="177"/>
      <c r="DK183" s="189">
        <f>VLOOKUP($H183,RoR!$E:$F,2,FALSE)</f>
        <v>7.0824999999999999E-2</v>
      </c>
      <c r="DL183" s="191">
        <f>HLOOKUP($H183,'GDP-PI'!$D$8:$CQ$11,3,FALSE)</f>
        <v>2.2454495382290052E-2</v>
      </c>
      <c r="DM183" s="189">
        <f>VLOOKUP(H183,'HW Dx Data'!$E:$F,2,FALSE)</f>
        <v>353.44738017483138</v>
      </c>
      <c r="DN183" s="183">
        <f>VLOOKUP(H183,'ECI - Input Price'!$G$17:$H$37,2,FALSE)</f>
        <v>86.2</v>
      </c>
      <c r="DO183" s="177"/>
      <c r="DP183" s="183">
        <f>HLOOKUP(H183,'GDP-PI'!$8:$9,2,FALSE)</f>
        <v>79.822000000000003</v>
      </c>
      <c r="DW183" s="192"/>
      <c r="DX183" s="192"/>
      <c r="DY183" s="192"/>
      <c r="DZ183" s="192"/>
      <c r="EA183" s="192"/>
      <c r="EB183" s="192"/>
      <c r="EC183" s="192"/>
      <c r="ED183" s="192"/>
      <c r="EE183" s="192"/>
    </row>
    <row r="184" spans="1:135" s="167" customFormat="1" ht="21" x14ac:dyDescent="0.35">
      <c r="A184" s="167" t="s">
        <v>38</v>
      </c>
      <c r="B184" s="168" t="s">
        <v>38</v>
      </c>
      <c r="C184" s="168">
        <v>4057111</v>
      </c>
      <c r="D184" s="168" t="s">
        <v>333</v>
      </c>
      <c r="E184" s="168" t="s">
        <v>126</v>
      </c>
      <c r="F184" s="168"/>
      <c r="G184" s="168" t="s">
        <v>8</v>
      </c>
      <c r="H184" s="169">
        <v>2002</v>
      </c>
      <c r="I184" s="170"/>
      <c r="J184" s="166"/>
      <c r="K184" s="166"/>
      <c r="L184" s="166"/>
      <c r="M184" s="166"/>
      <c r="N184" s="196"/>
      <c r="O184" s="166"/>
      <c r="P184" s="166"/>
      <c r="Q184" s="166"/>
      <c r="R184" s="166"/>
      <c r="S184" s="166"/>
      <c r="T184" s="166"/>
      <c r="U184" s="166"/>
      <c r="V184" s="166">
        <f t="shared" si="448"/>
        <v>40578.044029791614</v>
      </c>
      <c r="W184" s="170"/>
      <c r="X184" s="174">
        <v>3335.5017844404128</v>
      </c>
      <c r="Y184" s="175">
        <v>8.076842568302274E-2</v>
      </c>
      <c r="Z184" s="175"/>
      <c r="AA184" s="175"/>
      <c r="AB184" s="175"/>
      <c r="AC184" s="170">
        <f t="shared" si="287"/>
        <v>40578.044029791614</v>
      </c>
      <c r="AD184" s="175"/>
      <c r="AE184" s="170"/>
      <c r="AF184" s="170"/>
      <c r="AG184" s="174"/>
      <c r="AH184" s="175"/>
      <c r="AI184" s="175"/>
      <c r="AJ184" s="174"/>
      <c r="AK184" s="174"/>
      <c r="AL184" s="120"/>
      <c r="AM184" s="120"/>
      <c r="AN184" s="120"/>
      <c r="AO184" s="120"/>
      <c r="AP184" s="120"/>
      <c r="AQ184" s="175"/>
      <c r="AR184" s="120"/>
      <c r="AS184" s="120"/>
      <c r="AT184" s="120"/>
      <c r="AU184" s="120"/>
      <c r="AV184" s="120"/>
      <c r="AW184" s="120"/>
      <c r="AX184" s="120"/>
      <c r="AY184" s="120"/>
      <c r="AZ184" s="118">
        <f>IFERROR(INDEX('Total Customers'!$F$7:$AB$91,MATCH($C184,'Total Customers'!$D$7:$D$91,0),MATCH($G184,'Total Customers'!$F$5:$AB$5,0)),"NA")</f>
        <v>553551</v>
      </c>
      <c r="BA184" s="119">
        <f t="shared" si="449"/>
        <v>7.5471372066625931E-3</v>
      </c>
      <c r="BB184" s="119"/>
      <c r="BC184" s="121"/>
      <c r="BD184" s="119"/>
      <c r="BE184" s="119"/>
      <c r="BF184" s="119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18"/>
      <c r="BR184" s="118"/>
      <c r="BS184" s="118">
        <f>INDEX('Dist. Plant Gas Additions'!$F$7:$AE$91,MATCH($C184,'Dist. Plant Gas Additions'!$D$7:$D$91,0),MATCH(Calculation!$G184,'Dist. Plant Gas Additions'!$F$5:$AE$5,0))</f>
        <v>96693</v>
      </c>
      <c r="BT184" s="118">
        <f>INDEX('Gen. Plant Additions'!$F$7:$AE$91,MATCH($C184,'Gen. Plant Additions'!$D$7:$D$91,0),MATCH(Calculation!$G184,'Gen. Plant Additions'!$F$5:$AE$5,0))</f>
        <v>3199</v>
      </c>
      <c r="BU184" s="118"/>
      <c r="BV184" s="118"/>
      <c r="BW184" s="118" t="str">
        <f>INDEX('Dist Plant Depreciation'!$E$7:$AD$94,MATCH($C184,'Dist Plant Depreciation'!$D$7:$D$94,0),MATCH(Calculation!$G184,'Dist Plant Depreciation'!$E$5:$AD$5,0))</f>
        <v>NA</v>
      </c>
      <c r="BX184" s="118" t="str">
        <f>INDEX('Gen. Plant Depreciation'!$E$7:$AD$94,MATCH($C184,'Gen. Plant Depreciation'!$D$7:$D$94,0),MATCH(Calculation!$G184,'Gen. Plant Depreciation'!$E$5:$AD$5,0))</f>
        <v>NA</v>
      </c>
      <c r="BY184" s="118"/>
      <c r="BZ184" s="118"/>
      <c r="CA184" s="118"/>
      <c r="CB184" s="118"/>
      <c r="CC184" s="118"/>
      <c r="CD184" s="118"/>
      <c r="CE184" s="118">
        <f>INDEX('Gross Dx Plant'!$E$7:$AD$91,MATCH($C184,'Gross Dx Plant'!$D$7:$D$91,0),MATCH(Calculation!$G184,'Gross Dx Plant'!$E$5:$AD$5,0))</f>
        <v>1056834</v>
      </c>
      <c r="CF184" s="118">
        <f>INDEX('Gross Gen Plant'!$E$7:$AD$91,MATCH($C184,'Gross Gen Plant'!$D$7:$D$91,0),MATCH(Calculation!$G184,'Gross Gen Plant'!$E$5:$AD$5,0))</f>
        <v>33562</v>
      </c>
      <c r="CG184" s="118" t="str">
        <f t="shared" si="426"/>
        <v>NA</v>
      </c>
      <c r="CH184" s="118"/>
      <c r="CI184" s="121">
        <v>2002</v>
      </c>
      <c r="CJ184" s="118"/>
      <c r="CK184" s="118"/>
      <c r="CL184" s="118"/>
      <c r="CM184" s="183"/>
      <c r="CN184" s="118">
        <f t="shared" si="450"/>
        <v>99892</v>
      </c>
      <c r="CO184" s="118">
        <f t="shared" si="451"/>
        <v>276.44252682742581</v>
      </c>
      <c r="CP184" s="186">
        <v>0.97916666666666663</v>
      </c>
      <c r="CQ184" s="118">
        <f>+CQ180*CP184+CO181*CP183+CO182*CP182+CO183*CP181+CO184</f>
        <v>3335.5017844404128</v>
      </c>
      <c r="CR184" s="119">
        <f t="shared" si="452"/>
        <v>8.076842568302274E-2</v>
      </c>
      <c r="CS184" s="119"/>
      <c r="CT184" s="177">
        <f t="shared" si="453"/>
        <v>5.7307819854437048E-3</v>
      </c>
      <c r="CU184" s="177">
        <f t="shared" ref="CU184:CU203" si="461">+(CT184+CT183+CT182)/3</f>
        <v>5.2899171566278989E-3</v>
      </c>
      <c r="CV184" s="119">
        <f>VLOOKUP($H184,RoR!$E:$F,2,FALSE)</f>
        <v>6.4916666666666664E-2</v>
      </c>
      <c r="CW184" s="177">
        <v>1.5246423291824351E-2</v>
      </c>
      <c r="CX184" s="177">
        <f t="shared" si="459"/>
        <v>4.9670243374842313E-2</v>
      </c>
      <c r="CY184" s="177">
        <f t="shared" ref="CY184:CY203" si="462">+$CX$35-CU184</f>
        <v>2.5612024451905725E-2</v>
      </c>
      <c r="CZ184" s="177">
        <f t="shared" ref="CZ184:CZ203" si="463">+((DM182/DM181-1)+(DM183/DM182-1)+(DM184/DM183-1))/3</f>
        <v>2.5243621214759093E-2</v>
      </c>
      <c r="DA184" s="187">
        <f t="shared" si="454"/>
        <v>0.84737312500000006</v>
      </c>
      <c r="DB184" s="188">
        <f t="shared" si="455"/>
        <v>0.78996741384417901</v>
      </c>
      <c r="DC184" s="188">
        <f t="shared" si="456"/>
        <v>0.58989088575096271</v>
      </c>
      <c r="DD184" s="188">
        <f t="shared" si="457"/>
        <v>0.91920675783645744</v>
      </c>
      <c r="DE184" s="188">
        <f t="shared" si="458"/>
        <v>0.42834536472275586</v>
      </c>
      <c r="DF184" s="189">
        <f>INDEX('State Tax Lookup'!$D$7:$Z$91,MATCH(Calculation!$C184,'State Tax Lookup'!$B$7:$B$91,0),MATCH($H184,'State Tax Lookup'!$D$6:$Z$6,0))</f>
        <v>0.40700500000000001</v>
      </c>
      <c r="DG184" s="189">
        <v>0.375</v>
      </c>
      <c r="DH184" s="190">
        <f t="shared" si="460"/>
        <v>13.188858635430005</v>
      </c>
      <c r="DI184" s="190"/>
      <c r="DJ184" s="177"/>
      <c r="DK184" s="189">
        <f>VLOOKUP($H184,RoR!$E:$F,2,FALSE)</f>
        <v>6.4916666666666664E-2</v>
      </c>
      <c r="DL184" s="191">
        <f>HLOOKUP($H184,'GDP-PI'!$D$8:$CQ$11,3,FALSE)</f>
        <v>1.5246423291824351E-2</v>
      </c>
      <c r="DM184" s="189">
        <f>VLOOKUP(H184,'HW Dx Data'!$E:$F,2,FALSE)</f>
        <v>361.34816573413599</v>
      </c>
      <c r="DN184" s="183">
        <f>VLOOKUP(H184,'ECI - Input Price'!$G$17:$H$37,2,FALSE)</f>
        <v>89.275000000000006</v>
      </c>
      <c r="DO184" s="177">
        <f>LN(DN184/DN183)</f>
        <v>3.5051315810864674E-2</v>
      </c>
      <c r="DP184" s="183">
        <f>HLOOKUP(H184,'GDP-PI'!$8:$9,2,FALSE)</f>
        <v>81.039000000000001</v>
      </c>
      <c r="DQ184" s="177">
        <f>LN(DP184/DP183)</f>
        <v>1.513136459537477E-2</v>
      </c>
      <c r="DW184" s="192"/>
      <c r="DX184" s="192"/>
      <c r="DY184" s="192"/>
      <c r="DZ184" s="192"/>
      <c r="EA184" s="192"/>
      <c r="EB184" s="192"/>
      <c r="EC184" s="192"/>
      <c r="ED184" s="192"/>
      <c r="EE184" s="192"/>
    </row>
    <row r="185" spans="1:135" s="167" customFormat="1" ht="21" x14ac:dyDescent="0.35">
      <c r="A185" s="167" t="s">
        <v>38</v>
      </c>
      <c r="B185" s="168" t="s">
        <v>38</v>
      </c>
      <c r="C185" s="168">
        <v>4057111</v>
      </c>
      <c r="D185" s="168" t="s">
        <v>333</v>
      </c>
      <c r="E185" s="168" t="s">
        <v>126</v>
      </c>
      <c r="F185" s="168"/>
      <c r="G185" s="168" t="s">
        <v>9</v>
      </c>
      <c r="H185" s="169">
        <v>2003</v>
      </c>
      <c r="I185" s="170"/>
      <c r="J185" s="166"/>
      <c r="K185" s="166"/>
      <c r="L185" s="172"/>
      <c r="M185" s="172"/>
      <c r="N185" s="196"/>
      <c r="O185" s="172"/>
      <c r="P185" s="166"/>
      <c r="Q185" s="166"/>
      <c r="R185" s="166"/>
      <c r="S185" s="166"/>
      <c r="T185" s="166"/>
      <c r="U185" s="166"/>
      <c r="V185" s="166">
        <f t="shared" si="448"/>
        <v>44705.60821760715</v>
      </c>
      <c r="W185" s="170"/>
      <c r="X185" s="174">
        <v>3433.9016362813663</v>
      </c>
      <c r="Y185" s="175">
        <v>2.9073989848528627E-2</v>
      </c>
      <c r="Z185" s="175"/>
      <c r="AA185" s="175"/>
      <c r="AB185" s="175"/>
      <c r="AC185" s="170">
        <f t="shared" si="287"/>
        <v>44705.60821760715</v>
      </c>
      <c r="AD185" s="175"/>
      <c r="AE185" s="170"/>
      <c r="AF185" s="170"/>
      <c r="AG185" s="174"/>
      <c r="AH185" s="175"/>
      <c r="AI185" s="175"/>
      <c r="AJ185" s="174"/>
      <c r="AK185" s="174"/>
      <c r="AL185" s="120"/>
      <c r="AM185" s="120"/>
      <c r="AN185" s="120"/>
      <c r="AO185" s="120"/>
      <c r="AP185" s="120"/>
      <c r="AQ185" s="175"/>
      <c r="AR185" s="120"/>
      <c r="AS185" s="120"/>
      <c r="AT185" s="120"/>
      <c r="AU185" s="120"/>
      <c r="AV185" s="120"/>
      <c r="AW185" s="120"/>
      <c r="AX185" s="120"/>
      <c r="AY185" s="120"/>
      <c r="AZ185" s="118">
        <f>IFERROR(INDEX('Total Customers'!$F$7:$AB$91,MATCH($C185,'Total Customers'!$D$7:$D$91,0),MATCH($G185,'Total Customers'!$F$5:$AB$5,0)),"NA")</f>
        <v>565136</v>
      </c>
      <c r="BA185" s="119">
        <f t="shared" si="449"/>
        <v>2.0712521320141862E-2</v>
      </c>
      <c r="BB185" s="119"/>
      <c r="BC185" s="121"/>
      <c r="BD185" s="119"/>
      <c r="BE185" s="119"/>
      <c r="BF185" s="119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18"/>
      <c r="BR185" s="118"/>
      <c r="BS185" s="118">
        <f>INDEX('Dist. Plant Gas Additions'!$F$7:$AE$91,MATCH($C185,'Dist. Plant Gas Additions'!$D$7:$D$91,0),MATCH(Calculation!$G185,'Dist. Plant Gas Additions'!$F$5:$AE$5,0))</f>
        <v>42717</v>
      </c>
      <c r="BT185" s="118">
        <f>INDEX('Gen. Plant Additions'!$F$7:$AE$91,MATCH($C185,'Gen. Plant Additions'!$D$7:$D$91,0),MATCH(Calculation!$G185,'Gen. Plant Additions'!$F$5:$AE$5,0))</f>
        <v>509</v>
      </c>
      <c r="BU185" s="118"/>
      <c r="BV185" s="118"/>
      <c r="BW185" s="118" t="str">
        <f>INDEX('Dist Plant Depreciation'!$E$7:$AD$94,MATCH($C185,'Dist Plant Depreciation'!$D$7:$D$94,0),MATCH(Calculation!$G185,'Dist Plant Depreciation'!$E$5:$AD$5,0))</f>
        <v>NA</v>
      </c>
      <c r="BX185" s="118" t="str">
        <f>INDEX('Gen. Plant Depreciation'!$E$7:$AD$94,MATCH($C185,'Gen. Plant Depreciation'!$D$7:$D$94,0),MATCH(Calculation!$G185,'Gen. Plant Depreciation'!$E$5:$AD$5,0))</f>
        <v>NA</v>
      </c>
      <c r="BY185" s="118"/>
      <c r="BZ185" s="118"/>
      <c r="CA185" s="118"/>
      <c r="CB185" s="118"/>
      <c r="CC185" s="118"/>
      <c r="CD185" s="118"/>
      <c r="CE185" s="118">
        <f>INDEX('Gross Dx Plant'!$E$7:$AD$91,MATCH($C185,'Gross Dx Plant'!$D$7:$D$91,0),MATCH(Calculation!$G185,'Gross Dx Plant'!$E$5:$AD$5,0))</f>
        <v>535858</v>
      </c>
      <c r="CF185" s="118">
        <f>INDEX('Gross Gen Plant'!$E$7:$AD$91,MATCH($C185,'Gross Gen Plant'!$D$7:$D$91,0),MATCH(Calculation!$G185,'Gross Gen Plant'!$E$5:$AD$5,0))</f>
        <v>33940</v>
      </c>
      <c r="CG185" s="118" t="str">
        <f t="shared" si="426"/>
        <v>NA</v>
      </c>
      <c r="CH185" s="118"/>
      <c r="CI185" s="121">
        <v>2003</v>
      </c>
      <c r="CJ185" s="118"/>
      <c r="CK185" s="118"/>
      <c r="CL185" s="118"/>
      <c r="CM185" s="183"/>
      <c r="CN185" s="118">
        <f t="shared" si="450"/>
        <v>43226</v>
      </c>
      <c r="CO185" s="118">
        <f t="shared" si="451"/>
        <v>117.06970589690225</v>
      </c>
      <c r="CP185" s="186">
        <v>0.97354497354497349</v>
      </c>
      <c r="CQ185" s="118">
        <f>+CQ180*CP185+CO181*CP184+CO182*CP183+CO183*CP182+CO184*CP181+CO185</f>
        <v>3433.9016362813663</v>
      </c>
      <c r="CR185" s="119">
        <f t="shared" si="452"/>
        <v>2.9073989848528627E-2</v>
      </c>
      <c r="CS185" s="119"/>
      <c r="CT185" s="177">
        <f t="shared" si="453"/>
        <v>5.5973149656344577E-3</v>
      </c>
      <c r="CU185" s="177">
        <f t="shared" si="461"/>
        <v>5.4415399414263045E-3</v>
      </c>
      <c r="CV185" s="119">
        <f>VLOOKUP($H185,RoR!$E:$F,2,FALSE)</f>
        <v>5.6666666666666671E-2</v>
      </c>
      <c r="CW185" s="177">
        <v>1.8855119140166909E-2</v>
      </c>
      <c r="CX185" s="177">
        <f t="shared" si="459"/>
        <v>3.7811547526499761E-2</v>
      </c>
      <c r="CY185" s="177">
        <f t="shared" si="462"/>
        <v>2.5460401667107321E-2</v>
      </c>
      <c r="CZ185" s="177">
        <f t="shared" si="463"/>
        <v>2.1375012817671957E-2</v>
      </c>
      <c r="DA185" s="187">
        <f t="shared" si="454"/>
        <v>0.84737312500000006</v>
      </c>
      <c r="DB185" s="188">
        <f t="shared" si="455"/>
        <v>0.90497737556561086</v>
      </c>
      <c r="DC185" s="188">
        <f t="shared" si="456"/>
        <v>0.5338235294117647</v>
      </c>
      <c r="DD185" s="188">
        <f t="shared" si="457"/>
        <v>0.88972433127405692</v>
      </c>
      <c r="DE185" s="188">
        <f t="shared" si="458"/>
        <v>0.42982423775949252</v>
      </c>
      <c r="DF185" s="189">
        <f>INDEX('State Tax Lookup'!$D$7:$Z$91,MATCH(Calculation!$C185,'State Tax Lookup'!$B$7:$B$91,0),MATCH($H185,'State Tax Lookup'!$D$6:$Z$6,0))</f>
        <v>0.40700500000000001</v>
      </c>
      <c r="DG185" s="189">
        <v>0.375</v>
      </c>
      <c r="DH185" s="190">
        <f t="shared" si="460"/>
        <v>13.402963364058664</v>
      </c>
      <c r="DI185" s="190"/>
      <c r="DJ185" s="177"/>
      <c r="DK185" s="189">
        <f>VLOOKUP($H185,RoR!$E:$F,2,FALSE)</f>
        <v>5.6666666666666671E-2</v>
      </c>
      <c r="DL185" s="191">
        <f>HLOOKUP($H185,'GDP-PI'!$D$8:$CQ$11,3,FALSE)</f>
        <v>1.8855119140166909E-2</v>
      </c>
      <c r="DM185" s="189">
        <f>VLOOKUP(H185,'HW Dx Data'!$E:$F,2,FALSE)</f>
        <v>369.23301095560191</v>
      </c>
      <c r="DN185" s="183">
        <f>VLOOKUP(H185,'ECI - Input Price'!$G$17:$H$37,2,FALSE)</f>
        <v>92.625</v>
      </c>
      <c r="DO185" s="177">
        <f t="shared" ref="DO185" si="464">LN(DN185/DN184)</f>
        <v>3.6837590135738785E-2</v>
      </c>
      <c r="DP185" s="183">
        <f>HLOOKUP(H185,'GDP-PI'!$8:$9,2,FALSE)</f>
        <v>82.566999999999993</v>
      </c>
      <c r="DQ185" s="177">
        <f t="shared" ref="DQ185" si="465">LN(DP185/DP184)</f>
        <v>1.8679564681853753E-2</v>
      </c>
      <c r="DW185" s="192"/>
      <c r="DX185" s="192"/>
      <c r="DY185" s="192"/>
      <c r="DZ185" s="192"/>
      <c r="EA185" s="192"/>
      <c r="EB185" s="192"/>
      <c r="EC185" s="192"/>
      <c r="ED185" s="192"/>
      <c r="EE185" s="192"/>
    </row>
    <row r="186" spans="1:135" s="167" customFormat="1" ht="21" x14ac:dyDescent="0.35">
      <c r="A186" s="167" t="s">
        <v>38</v>
      </c>
      <c r="B186" s="168" t="s">
        <v>38</v>
      </c>
      <c r="C186" s="168">
        <v>4057111</v>
      </c>
      <c r="D186" s="168" t="s">
        <v>333</v>
      </c>
      <c r="E186" s="168" t="s">
        <v>126</v>
      </c>
      <c r="F186" s="168"/>
      <c r="G186" s="168" t="s">
        <v>10</v>
      </c>
      <c r="H186" s="169">
        <v>2004</v>
      </c>
      <c r="I186" s="170"/>
      <c r="J186" s="166"/>
      <c r="K186" s="166">
        <f t="shared" ref="K186:K203" si="466">+J186/DN186</f>
        <v>0</v>
      </c>
      <c r="L186" s="172"/>
      <c r="M186" s="172"/>
      <c r="N186" s="196"/>
      <c r="O186" s="172"/>
      <c r="P186" s="166"/>
      <c r="Q186" s="166">
        <f t="shared" ref="Q186:Q203" si="467">+P186/DP186</f>
        <v>0</v>
      </c>
      <c r="R186" s="166"/>
      <c r="S186" s="166"/>
      <c r="T186" s="166"/>
      <c r="U186" s="166"/>
      <c r="V186" s="166">
        <f t="shared" si="448"/>
        <v>51026.808413244056</v>
      </c>
      <c r="W186" s="170"/>
      <c r="X186" s="174">
        <v>3565.8921775069389</v>
      </c>
      <c r="Y186" s="175">
        <v>3.7717164726453284E-2</v>
      </c>
      <c r="Z186" s="175"/>
      <c r="AA186" s="175"/>
      <c r="AB186" s="175"/>
      <c r="AC186" s="170">
        <f t="shared" si="287"/>
        <v>51026.808413244056</v>
      </c>
      <c r="AD186" s="175"/>
      <c r="AE186" s="170"/>
      <c r="AF186" s="170"/>
      <c r="AG186" s="174"/>
      <c r="AH186" s="175"/>
      <c r="AI186" s="175"/>
      <c r="AJ186" s="174"/>
      <c r="AK186" s="174"/>
      <c r="AL186" s="120">
        <f t="shared" ref="AL186:AL203" si="468">+J186/AC186</f>
        <v>0</v>
      </c>
      <c r="AM186" s="120">
        <f t="shared" ref="AM186:AM203" si="469">+P186/AC186</f>
        <v>0</v>
      </c>
      <c r="AN186" s="120">
        <f t="shared" ref="AN186:AN203" si="470">+V186/AC186</f>
        <v>1</v>
      </c>
      <c r="AO186" s="120"/>
      <c r="AP186" s="120"/>
      <c r="AQ186" s="175"/>
      <c r="AR186" s="120"/>
      <c r="AS186" s="120"/>
      <c r="AT186" s="120"/>
      <c r="AU186" s="120"/>
      <c r="AV186" s="120"/>
      <c r="AW186" s="120"/>
      <c r="AX186" s="120"/>
      <c r="AY186" s="120"/>
      <c r="AZ186" s="118">
        <f>IFERROR(INDEX('Total Customers'!$F$7:$AB$91,MATCH($C186,'Total Customers'!$D$7:$D$91,0),MATCH($G186,'Total Customers'!$F$5:$AB$5,0)),"NA")</f>
        <v>587513</v>
      </c>
      <c r="BA186" s="119">
        <f t="shared" si="449"/>
        <v>3.8831963287546789E-2</v>
      </c>
      <c r="BB186" s="119"/>
      <c r="BC186" s="121"/>
      <c r="BD186" s="119"/>
      <c r="BE186" s="119"/>
      <c r="BF186" s="119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18"/>
      <c r="BR186" s="118"/>
      <c r="BS186" s="118">
        <f>INDEX('Dist. Plant Gas Additions'!$F$7:$AE$91,MATCH($C186,'Dist. Plant Gas Additions'!$D$7:$D$91,0),MATCH(Calculation!$G186,'Dist. Plant Gas Additions'!$F$5:$AE$5,0))</f>
        <v>57010</v>
      </c>
      <c r="BT186" s="118">
        <f>INDEX('Gen. Plant Additions'!$F$7:$AE$91,MATCH($C186,'Gen. Plant Additions'!$D$7:$D$91,0),MATCH(Calculation!$G186,'Gen. Plant Additions'!$F$5:$AE$5,0))</f>
        <v>5986</v>
      </c>
      <c r="BU186" s="118"/>
      <c r="BV186" s="118"/>
      <c r="BW186" s="118" t="str">
        <f>INDEX('Dist Plant Depreciation'!$E$7:$AD$94,MATCH($C186,'Dist Plant Depreciation'!$D$7:$D$94,0),MATCH(Calculation!$G186,'Dist Plant Depreciation'!$E$5:$AD$5,0))</f>
        <v>NA</v>
      </c>
      <c r="BX186" s="118" t="str">
        <f>INDEX('Gen. Plant Depreciation'!$E$7:$AD$94,MATCH($C186,'Gen. Plant Depreciation'!$D$7:$D$94,0),MATCH(Calculation!$G186,'Gen. Plant Depreciation'!$E$5:$AD$5,0))</f>
        <v>NA</v>
      </c>
      <c r="BY186" s="118"/>
      <c r="BZ186" s="118"/>
      <c r="CA186" s="118"/>
      <c r="CB186" s="118"/>
      <c r="CC186" s="118"/>
      <c r="CD186" s="118"/>
      <c r="CE186" s="118">
        <f>INDEX('Gross Dx Plant'!$E$7:$AD$91,MATCH($C186,'Gross Dx Plant'!$D$7:$D$91,0),MATCH(Calculation!$G186,'Gross Dx Plant'!$E$5:$AD$5,0))</f>
        <v>591516</v>
      </c>
      <c r="CF186" s="118">
        <f>INDEX('Gross Gen Plant'!$E$7:$AD$91,MATCH($C186,'Gross Gen Plant'!$D$7:$D$91,0),MATCH(Calculation!$G186,'Gross Gen Plant'!$E$5:$AD$5,0))</f>
        <v>27572</v>
      </c>
      <c r="CG186" s="118" t="str">
        <f t="shared" si="426"/>
        <v>NA</v>
      </c>
      <c r="CH186" s="118"/>
      <c r="CI186" s="121">
        <v>2004</v>
      </c>
      <c r="CJ186" s="118"/>
      <c r="CK186" s="118"/>
      <c r="CL186" s="118"/>
      <c r="CM186" s="183"/>
      <c r="CN186" s="118">
        <f t="shared" si="450"/>
        <v>62996</v>
      </c>
      <c r="CO186" s="118">
        <f t="shared" si="451"/>
        <v>151.83886442642586</v>
      </c>
      <c r="CP186" s="186">
        <v>0.967741935483871</v>
      </c>
      <c r="CQ186" s="118">
        <f>+CQ180*CP186+CO181*CP185+CO182*CP184+CO183*CP183+CO184*CP182+CO185*CP181+CO186</f>
        <v>3565.8921775069389</v>
      </c>
      <c r="CR186" s="119">
        <f t="shared" si="452"/>
        <v>3.7717164726453284E-2</v>
      </c>
      <c r="CS186" s="119"/>
      <c r="CT186" s="177">
        <f t="shared" si="453"/>
        <v>5.7801082567837964E-3</v>
      </c>
      <c r="CU186" s="177">
        <f t="shared" si="461"/>
        <v>5.7027350692873194E-3</v>
      </c>
      <c r="CV186" s="119">
        <f>VLOOKUP($H186,RoR!$E:$F,2,FALSE)</f>
        <v>5.6283333333333331E-2</v>
      </c>
      <c r="CW186" s="177">
        <v>2.6778252812867276E-2</v>
      </c>
      <c r="CX186" s="177">
        <f t="shared" si="459"/>
        <v>2.9505080520466055E-2</v>
      </c>
      <c r="CY186" s="177">
        <f t="shared" si="462"/>
        <v>2.5199206539246306E-2</v>
      </c>
      <c r="CZ186" s="177">
        <f t="shared" si="463"/>
        <v>5.5940039414565046E-2</v>
      </c>
      <c r="DA186" s="187">
        <f t="shared" si="454"/>
        <v>0.84737312500000006</v>
      </c>
      <c r="DB186" s="188">
        <f t="shared" si="455"/>
        <v>0.91114097628755619</v>
      </c>
      <c r="DC186" s="188">
        <f t="shared" si="456"/>
        <v>0.53081877405981637</v>
      </c>
      <c r="DD186" s="188">
        <f t="shared" si="457"/>
        <v>0.88811215519385678</v>
      </c>
      <c r="DE186" s="188">
        <f t="shared" si="458"/>
        <v>0.42953609753547711</v>
      </c>
      <c r="DF186" s="189">
        <f>INDEX('State Tax Lookup'!$D$7:$Z$91,MATCH(Calculation!$C186,'State Tax Lookup'!$B$7:$B$91,0),MATCH($H186,'State Tax Lookup'!$D$6:$Z$6,0))</f>
        <v>0.40700500000000001</v>
      </c>
      <c r="DG186" s="189">
        <v>0.375</v>
      </c>
      <c r="DH186" s="190">
        <f t="shared" si="460"/>
        <v>14.85971755105423</v>
      </c>
      <c r="DI186" s="190"/>
      <c r="DJ186" s="177"/>
      <c r="DK186" s="189">
        <f>VLOOKUP($H186,RoR!$E:$F,2,FALSE)</f>
        <v>5.6283333333333331E-2</v>
      </c>
      <c r="DL186" s="191">
        <f>HLOOKUP($H186,'GDP-PI'!$D$8:$CQ$11,3,FALSE)</f>
        <v>2.6778252812867276E-2</v>
      </c>
      <c r="DM186" s="189">
        <f>VLOOKUP(H186,'HW Dx Data'!$E:$F,2,FALSE)</f>
        <v>414.88719135228365</v>
      </c>
      <c r="DN186" s="183">
        <f>VLOOKUP(H186,'ECI - Input Price'!$G$17:$H$37,2,FALSE)</f>
        <v>96.174999999999997</v>
      </c>
      <c r="DO186" s="177">
        <f t="shared" ref="DO186" si="471">LN(DN186/DN185)</f>
        <v>3.7610365022107912E-2</v>
      </c>
      <c r="DP186" s="183">
        <f>HLOOKUP(H186,'GDP-PI'!$8:$9,2,FALSE)</f>
        <v>84.778000000000006</v>
      </c>
      <c r="DQ186" s="177">
        <f t="shared" ref="DQ186" si="472">LN(DP186/DP185)</f>
        <v>2.6425990216022755E-2</v>
      </c>
      <c r="DW186" s="192"/>
      <c r="DX186" s="192"/>
      <c r="DY186" s="192"/>
      <c r="DZ186" s="192"/>
      <c r="EA186" s="192"/>
      <c r="EB186" s="192"/>
      <c r="EC186" s="192"/>
      <c r="ED186" s="192"/>
      <c r="EE186" s="192"/>
    </row>
    <row r="187" spans="1:135" s="167" customFormat="1" ht="21" x14ac:dyDescent="0.35">
      <c r="A187" s="167" t="s">
        <v>38</v>
      </c>
      <c r="B187" s="168" t="s">
        <v>38</v>
      </c>
      <c r="C187" s="168">
        <v>4057111</v>
      </c>
      <c r="D187" s="168" t="s">
        <v>333</v>
      </c>
      <c r="E187" s="168" t="s">
        <v>126</v>
      </c>
      <c r="F187" s="168"/>
      <c r="G187" s="168" t="s">
        <v>11</v>
      </c>
      <c r="H187" s="169">
        <v>2005</v>
      </c>
      <c r="I187" s="170"/>
      <c r="J187" s="166">
        <f>IFERROR(INDEX('Labor Expenditures'!$F$7:$X$91,MATCH($C187,'Labor Expenditures'!$D$7:$D$91,0),MATCH($G187,'Labor Expenditures'!$F$5:$X$5,0)),"NA")</f>
        <v>48453.794659181673</v>
      </c>
      <c r="K187" s="166">
        <f t="shared" si="466"/>
        <v>488.69182712235676</v>
      </c>
      <c r="L187" s="172"/>
      <c r="M187" s="172"/>
      <c r="N187" s="196"/>
      <c r="O187" s="172"/>
      <c r="P187" s="166">
        <f>IFERROR(INDEX('Non-Labor Expenditures'!$F$7:$AB$91,MATCH($C187,'Non-Labor Expenditures'!$D$7:$D$91,0),MATCH($G187,'Non-Labor Expenditures'!$F$5:$AB$5,0)),"NA")</f>
        <v>70170.144586995928</v>
      </c>
      <c r="Q187" s="166">
        <f t="shared" si="467"/>
        <v>802.79776890862206</v>
      </c>
      <c r="R187" s="172"/>
      <c r="S187" s="172"/>
      <c r="T187" s="172"/>
      <c r="U187" s="172"/>
      <c r="V187" s="166">
        <f t="shared" si="448"/>
        <v>59597.115840924991</v>
      </c>
      <c r="W187" s="170"/>
      <c r="X187" s="174">
        <v>3612.2238545530709</v>
      </c>
      <c r="Y187" s="175">
        <v>1.2909326143874363E-2</v>
      </c>
      <c r="Z187" s="175"/>
      <c r="AA187" s="175"/>
      <c r="AB187" s="175"/>
      <c r="AC187" s="170">
        <f t="shared" si="287"/>
        <v>178221.05508710258</v>
      </c>
      <c r="AD187" s="175">
        <f>LN(AC187/AC186)</f>
        <v>1.2506735125279613</v>
      </c>
      <c r="AE187" s="170"/>
      <c r="AF187" s="170"/>
      <c r="AG187" s="121"/>
      <c r="AH187" s="119"/>
      <c r="AI187" s="119"/>
      <c r="AJ187" s="121"/>
      <c r="AK187" s="121"/>
      <c r="AL187" s="120">
        <f t="shared" si="468"/>
        <v>0.27187469311917545</v>
      </c>
      <c r="AM187" s="120">
        <f t="shared" si="469"/>
        <v>0.39372533482478506</v>
      </c>
      <c r="AN187" s="120">
        <f t="shared" si="470"/>
        <v>0.33439997205603955</v>
      </c>
      <c r="AO187" s="120">
        <f t="shared" ref="AO187:AO203" si="473">+(((AL187+AL186)/2)*L187+((AM186+AM187)/2)*R187+((AN186+AN187)/2)*Y187)</f>
        <v>8.6131022228241247E-3</v>
      </c>
      <c r="AP187" s="173">
        <v>100</v>
      </c>
      <c r="AQ187" s="175"/>
      <c r="AR187" s="120"/>
      <c r="AS187" s="120"/>
      <c r="AT187" s="120"/>
      <c r="AU187" s="120"/>
      <c r="AV187" s="120"/>
      <c r="AW187" s="120"/>
      <c r="AX187" s="120"/>
      <c r="AY187" s="120"/>
      <c r="AZ187" s="118">
        <f>IFERROR(INDEX('Total Customers'!$F$7:$AB$91,MATCH($C187,'Total Customers'!$D$7:$D$91,0),MATCH($G187,'Total Customers'!$F$5:$AB$5,0)),"NA")</f>
        <v>583896</v>
      </c>
      <c r="BA187" s="119">
        <f t="shared" si="449"/>
        <v>-6.1754886551454733E-3</v>
      </c>
      <c r="BB187" s="119"/>
      <c r="BC187" s="121"/>
      <c r="BD187" s="119"/>
      <c r="BE187" s="119"/>
      <c r="BF187" s="119"/>
      <c r="BG187" s="173"/>
      <c r="BH187" s="173"/>
      <c r="BI187" s="173"/>
      <c r="BJ187" s="173"/>
      <c r="BK187" s="173"/>
      <c r="BL187" s="173"/>
      <c r="BM187" s="173"/>
      <c r="BN187" s="173"/>
      <c r="BO187" s="173"/>
      <c r="BP187" s="173"/>
      <c r="BQ187" s="118"/>
      <c r="BR187" s="118"/>
      <c r="BS187" s="118">
        <f>INDEX('Dist. Plant Gas Additions'!$F$7:$AE$91,MATCH($C187,'Dist. Plant Gas Additions'!$D$7:$D$91,0),MATCH(Calculation!$G187,'Dist. Plant Gas Additions'!$F$5:$AE$5,0))</f>
        <v>26478</v>
      </c>
      <c r="BT187" s="118">
        <f>INDEX('Gen. Plant Additions'!$F$7:$AE$91,MATCH($C187,'Gen. Plant Additions'!$D$7:$D$91,0),MATCH(Calculation!$G187,'Gen. Plant Additions'!$F$5:$AE$5,0))</f>
        <v>5230</v>
      </c>
      <c r="BU187" s="118"/>
      <c r="BV187" s="118"/>
      <c r="BW187" s="118" t="str">
        <f>INDEX('Dist Plant Depreciation'!$E$7:$AD$94,MATCH($C187,'Dist Plant Depreciation'!$D$7:$D$94,0),MATCH(Calculation!$G187,'Dist Plant Depreciation'!$E$5:$AD$5,0))</f>
        <v>NA</v>
      </c>
      <c r="BX187" s="118" t="str">
        <f>INDEX('Gen. Plant Depreciation'!$E$7:$AD$94,MATCH($C187,'Gen. Plant Depreciation'!$D$7:$D$94,0),MATCH(Calculation!$G187,'Gen. Plant Depreciation'!$E$5:$AD$5,0))</f>
        <v>NA</v>
      </c>
      <c r="BY187" s="118"/>
      <c r="BZ187" s="118"/>
      <c r="CA187" s="118"/>
      <c r="CB187" s="118"/>
      <c r="CC187" s="118"/>
      <c r="CD187" s="118"/>
      <c r="CE187" s="118">
        <f>INDEX('Gross Dx Plant'!$E$7:$AD$91,MATCH($C187,'Gross Dx Plant'!$D$7:$D$91,0),MATCH(Calculation!$G187,'Gross Dx Plant'!$E$5:$AD$5,0))</f>
        <v>604002</v>
      </c>
      <c r="CF187" s="118">
        <f>INDEX('Gross Gen Plant'!$E$7:$AD$91,MATCH($C187,'Gross Gen Plant'!$D$7:$D$91,0),MATCH(Calculation!$G187,'Gross Gen Plant'!$E$5:$AD$5,0))</f>
        <v>31989</v>
      </c>
      <c r="CG187" s="118" t="str">
        <f t="shared" si="426"/>
        <v>NA</v>
      </c>
      <c r="CH187" s="118"/>
      <c r="CI187" s="121">
        <v>2005</v>
      </c>
      <c r="CJ187" s="118"/>
      <c r="CK187" s="118"/>
      <c r="CL187" s="118"/>
      <c r="CM187" s="183"/>
      <c r="CN187" s="118">
        <f t="shared" si="450"/>
        <v>31708</v>
      </c>
      <c r="CO187" s="118">
        <f t="shared" si="451"/>
        <v>67.578117273802107</v>
      </c>
      <c r="CP187" s="186">
        <v>0.96174863387978138</v>
      </c>
      <c r="CQ187" s="118">
        <f>+CQ180*CP187+CO181*CP186+CO182*CP185+CO183*CP184+CO184*CP183+CO185*CP182+CO186*CP181+CO187</f>
        <v>3612.2238545530709</v>
      </c>
      <c r="CR187" s="119">
        <f t="shared" si="452"/>
        <v>1.2909326143874363E-2</v>
      </c>
      <c r="CS187" s="119"/>
      <c r="CT187" s="177">
        <f t="shared" si="453"/>
        <v>5.9582396690761388E-3</v>
      </c>
      <c r="CU187" s="177">
        <f t="shared" si="461"/>
        <v>5.778554297164798E-3</v>
      </c>
      <c r="CV187" s="119">
        <f>VLOOKUP($H187,RoR!$E:$F,2,FALSE)</f>
        <v>5.2350000000000001E-2</v>
      </c>
      <c r="CW187" s="177">
        <v>3.1010403642454332E-2</v>
      </c>
      <c r="CX187" s="177">
        <f t="shared" si="459"/>
        <v>2.1339596357545669E-2</v>
      </c>
      <c r="CY187" s="177">
        <f t="shared" si="462"/>
        <v>2.5123387311368827E-2</v>
      </c>
      <c r="CZ187" s="177">
        <f t="shared" si="463"/>
        <v>9.2129610649277341E-2</v>
      </c>
      <c r="DA187" s="187">
        <f t="shared" si="454"/>
        <v>0.84737312500000006</v>
      </c>
      <c r="DB187" s="188">
        <f t="shared" si="455"/>
        <v>0.97959983346802826</v>
      </c>
      <c r="DC187" s="188">
        <f t="shared" si="456"/>
        <v>0.49744508118433622</v>
      </c>
      <c r="DD187" s="188">
        <f t="shared" si="457"/>
        <v>0.87010519444335932</v>
      </c>
      <c r="DE187" s="188">
        <f t="shared" si="458"/>
        <v>0.42399975420741998</v>
      </c>
      <c r="DF187" s="189">
        <f>INDEX('State Tax Lookup'!$D$7:$Z$91,MATCH(Calculation!$C187,'State Tax Lookup'!$B$7:$B$91,0),MATCH($H187,'State Tax Lookup'!$D$6:$Z$6,0))</f>
        <v>0.40700500000000001</v>
      </c>
      <c r="DG187" s="189">
        <v>0.375</v>
      </c>
      <c r="DH187" s="190">
        <f t="shared" si="460"/>
        <v>16.713100922359288</v>
      </c>
      <c r="DI187" s="190"/>
      <c r="DJ187" s="177"/>
      <c r="DK187" s="189">
        <f>VLOOKUP($H187,RoR!$E:$F,2,FALSE)</f>
        <v>5.2350000000000001E-2</v>
      </c>
      <c r="DL187" s="191">
        <f>HLOOKUP($H187,'GDP-PI'!$D$8:$CQ$11,3,FALSE)</f>
        <v>3.1010403642454332E-2</v>
      </c>
      <c r="DM187" s="189">
        <f>VLOOKUP(H187,'HW Dx Data'!$E:$F,2,FALSE)</f>
        <v>469.20514034936258</v>
      </c>
      <c r="DN187" s="183">
        <f>VLOOKUP(H187,'ECI - Input Price'!$G$17:$H$37,2,FALSE)</f>
        <v>99.15</v>
      </c>
      <c r="DO187" s="177">
        <f t="shared" ref="DO187" si="474">LN(DN187/DN186)</f>
        <v>3.046440632744625E-2</v>
      </c>
      <c r="DP187" s="183">
        <f>HLOOKUP(H187,'GDP-PI'!$8:$9,2,FALSE)</f>
        <v>87.406999999999996</v>
      </c>
      <c r="DQ187" s="177">
        <f t="shared" ref="DQ187" si="475">LN(DP187/DP186)</f>
        <v>3.0539295810733648E-2</v>
      </c>
      <c r="DW187" s="192"/>
      <c r="DX187" s="192"/>
      <c r="DY187" s="192"/>
      <c r="DZ187" s="192"/>
      <c r="EA187" s="192"/>
      <c r="EB187" s="192"/>
      <c r="EC187" s="192"/>
      <c r="ED187" s="192"/>
      <c r="EE187" s="192"/>
    </row>
    <row r="188" spans="1:135" s="167" customFormat="1" ht="21" x14ac:dyDescent="0.35">
      <c r="A188" s="167" t="s">
        <v>38</v>
      </c>
      <c r="B188" s="168" t="s">
        <v>38</v>
      </c>
      <c r="C188" s="168">
        <v>4057111</v>
      </c>
      <c r="D188" s="168" t="s">
        <v>333</v>
      </c>
      <c r="E188" s="168" t="s">
        <v>126</v>
      </c>
      <c r="F188" s="168"/>
      <c r="G188" s="168" t="s">
        <v>12</v>
      </c>
      <c r="H188" s="169">
        <v>2006</v>
      </c>
      <c r="I188" s="170"/>
      <c r="J188" s="166">
        <f>IFERROR(INDEX('Labor Expenditures'!$F$7:$X$91,MATCH($C188,'Labor Expenditures'!$D$7:$D$91,0),MATCH($G188,'Labor Expenditures'!$F$5:$X$5,0)),"NA")</f>
        <v>47097.487617277686</v>
      </c>
      <c r="K188" s="166">
        <f t="shared" si="466"/>
        <v>461.51384240350501</v>
      </c>
      <c r="L188" s="172">
        <f t="shared" ref="L188:L203" si="476">LN(K188/K187)</f>
        <v>-5.7220032558231E-2</v>
      </c>
      <c r="M188" s="172">
        <f t="shared" ref="M188:M203" si="477">+L188*AR188</f>
        <v>-1.2533503075140551E-3</v>
      </c>
      <c r="N188" s="196"/>
      <c r="O188" s="172"/>
      <c r="P188" s="166">
        <f>IFERROR(INDEX('Non-Labor Expenditures'!$F$7:$AB$91,MATCH($C188,'Non-Labor Expenditures'!$D$7:$D$91,0),MATCH($G188,'Non-Labor Expenditures'!$F$5:$AB$5,0)),"NA")</f>
        <v>68205.95866710681</v>
      </c>
      <c r="Q188" s="166">
        <f t="shared" si="467"/>
        <v>757.22138094352215</v>
      </c>
      <c r="R188" s="172">
        <f t="shared" ref="R188:R203" si="478">LN(Q188/Q187)</f>
        <v>-5.8447181993636507E-2</v>
      </c>
      <c r="S188" s="172">
        <f>+R188*AR188</f>
        <v>-1.2802298469597199E-3</v>
      </c>
      <c r="T188" s="172"/>
      <c r="U188" s="172"/>
      <c r="V188" s="166">
        <f t="shared" si="448"/>
        <v>58933.138611894428</v>
      </c>
      <c r="W188" s="170"/>
      <c r="X188" s="174">
        <v>3726.6993623883318</v>
      </c>
      <c r="Y188" s="175">
        <v>3.1199343599289622E-2</v>
      </c>
      <c r="Z188" s="175">
        <f>+Y188*AR188</f>
        <v>6.8339190220857921E-4</v>
      </c>
      <c r="AA188" s="175"/>
      <c r="AB188" s="175"/>
      <c r="AC188" s="170">
        <f t="shared" si="287"/>
        <v>174236.58489627892</v>
      </c>
      <c r="AD188" s="175">
        <f t="shared" ref="AD188:AD203" si="479">LN(AC188/AC187)</f>
        <v>-2.261060331148837E-2</v>
      </c>
      <c r="AE188" s="170"/>
      <c r="AF188" s="170"/>
      <c r="AG188" s="121">
        <f t="shared" ref="AG188:AG203" si="480">+(AC188*1000)/AZ188</f>
        <v>299.98017464112189</v>
      </c>
      <c r="AH188" s="119">
        <f>+AZ188/$BB$44</f>
        <v>1.6522165596800927E-2</v>
      </c>
      <c r="AI188" s="119">
        <f>+AZ188/$BC$44</f>
        <v>7.0425663820145479E-2</v>
      </c>
      <c r="AJ188" s="176">
        <f>+AH188*AG188</f>
        <v>4.9563221211778776</v>
      </c>
      <c r="AK188" s="176">
        <f>+AI188*AG188</f>
        <v>21.126302931984181</v>
      </c>
      <c r="AL188" s="120">
        <f t="shared" si="468"/>
        <v>0.27030768334511546</v>
      </c>
      <c r="AM188" s="120">
        <f t="shared" si="469"/>
        <v>0.39145601199489216</v>
      </c>
      <c r="AN188" s="120">
        <f t="shared" si="470"/>
        <v>0.33823630465999244</v>
      </c>
      <c r="AO188" s="120">
        <f t="shared" si="473"/>
        <v>-2.7964759997376874E-2</v>
      </c>
      <c r="AP188" s="173">
        <f>+AP187*EXP(AO188)</f>
        <v>97.242263437363476</v>
      </c>
      <c r="AQ188" s="175">
        <f>LN(AP188/AP187)</f>
        <v>-2.7964759997376923E-2</v>
      </c>
      <c r="AR188" s="177">
        <f>+AC188/$AE$44</f>
        <v>2.1904047437207599E-2</v>
      </c>
      <c r="AS188" s="177">
        <f>+AR188*AQ188</f>
        <v>-6.1254142955266956E-4</v>
      </c>
      <c r="AT188" s="177"/>
      <c r="AU188" s="177"/>
      <c r="AV188" s="177"/>
      <c r="AW188" s="190"/>
      <c r="AX188" s="120"/>
      <c r="AY188" s="120"/>
      <c r="AZ188" s="118">
        <f>IFERROR(INDEX('Total Customers'!$F$7:$AB$91,MATCH($C188,'Total Customers'!$D$7:$D$91,0),MATCH($G188,'Total Customers'!$F$5:$AB$5,0)),"NA")</f>
        <v>580827</v>
      </c>
      <c r="BA188" s="119">
        <f t="shared" si="449"/>
        <v>-5.2699347445529241E-3</v>
      </c>
      <c r="BB188" s="119"/>
      <c r="BC188" s="121">
        <v>8247377</v>
      </c>
      <c r="BD188" s="119"/>
      <c r="BE188" s="119"/>
      <c r="BF188" s="119"/>
      <c r="BG188" s="173"/>
      <c r="BH188" s="173"/>
      <c r="BI188" s="173"/>
      <c r="BJ188" s="173"/>
      <c r="BK188" s="173"/>
      <c r="BL188" s="173"/>
      <c r="BM188" s="173"/>
      <c r="BN188" s="173"/>
      <c r="BO188" s="173"/>
      <c r="BP188" s="173"/>
      <c r="BQ188" s="118"/>
      <c r="BR188" s="118"/>
      <c r="BS188" s="118">
        <f>INDEX('Dist. Plant Gas Additions'!$F$7:$AE$91,MATCH($C188,'Dist. Plant Gas Additions'!$D$7:$D$91,0),MATCH(Calculation!$G188,'Dist. Plant Gas Additions'!$F$5:$AE$5,0))</f>
        <v>50191</v>
      </c>
      <c r="BT188" s="118">
        <f>INDEX('Gen. Plant Additions'!$F$7:$AE$91,MATCH($C188,'Gen. Plant Additions'!$D$7:$D$91,0),MATCH(Calculation!$G188,'Gen. Plant Additions'!$F$5:$AE$5,0))</f>
        <v>12865</v>
      </c>
      <c r="BU188" s="118"/>
      <c r="BV188" s="118"/>
      <c r="BW188" s="118" t="str">
        <f>INDEX('Dist Plant Depreciation'!$E$7:$AD$94,MATCH($C188,'Dist Plant Depreciation'!$D$7:$D$94,0),MATCH(Calculation!$G188,'Dist Plant Depreciation'!$E$5:$AD$5,0))</f>
        <v>NA</v>
      </c>
      <c r="BX188" s="118" t="str">
        <f>INDEX('Gen. Plant Depreciation'!$E$7:$AD$94,MATCH($C188,'Gen. Plant Depreciation'!$D$7:$D$94,0),MATCH(Calculation!$G188,'Gen. Plant Depreciation'!$E$5:$AD$5,0))</f>
        <v>NA</v>
      </c>
      <c r="BY188" s="118"/>
      <c r="BZ188" s="118"/>
      <c r="CA188" s="118"/>
      <c r="CB188" s="118"/>
      <c r="CC188" s="118"/>
      <c r="CD188" s="118"/>
      <c r="CE188" s="118">
        <f>INDEX('Gross Dx Plant'!$E$7:$AD$91,MATCH($C188,'Gross Dx Plant'!$D$7:$D$91,0),MATCH(Calculation!$G188,'Gross Dx Plant'!$E$5:$AD$5,0))</f>
        <v>652199</v>
      </c>
      <c r="CF188" s="118">
        <f>INDEX('Gross Gen Plant'!$E$7:$AD$91,MATCH($C188,'Gross Gen Plant'!$D$7:$D$91,0),MATCH(Calculation!$G188,'Gross Gen Plant'!$E$5:$AD$5,0))</f>
        <v>42743</v>
      </c>
      <c r="CG188" s="118" t="str">
        <f t="shared" si="426"/>
        <v>NA</v>
      </c>
      <c r="CH188" s="119" t="e">
        <f>SUM(#REF!)/15</f>
        <v>#REF!</v>
      </c>
      <c r="CI188" s="121">
        <v>2006</v>
      </c>
      <c r="CJ188" s="118"/>
      <c r="CK188" s="118"/>
      <c r="CL188" s="118"/>
      <c r="CM188" s="183"/>
      <c r="CN188" s="118">
        <f t="shared" si="450"/>
        <v>63056</v>
      </c>
      <c r="CO188" s="118">
        <f t="shared" si="451"/>
        <v>136.75549627620401</v>
      </c>
      <c r="CP188" s="186">
        <v>0.9555555555555556</v>
      </c>
      <c r="CQ188" s="118">
        <f>+CQ180*CP188+CO181*CP187+CO182*CP186+CO183*CP185+CO184*CP184+CO185*CP183+CO186*CP182+CO187*CP181+CO188</f>
        <v>3726.6993623883318</v>
      </c>
      <c r="CR188" s="119">
        <f t="shared" si="452"/>
        <v>3.1199343599289622E-2</v>
      </c>
      <c r="CS188" s="119"/>
      <c r="CT188" s="177">
        <f t="shared" si="453"/>
        <v>6.1679423363698773E-3</v>
      </c>
      <c r="CU188" s="177">
        <f t="shared" si="461"/>
        <v>5.9687634207432711E-3</v>
      </c>
      <c r="CV188" s="119">
        <f>VLOOKUP($H188,RoR!$E:$F,2,FALSE)</f>
        <v>5.5874999999999994E-2</v>
      </c>
      <c r="CW188" s="177">
        <v>3.0512430354548314E-2</v>
      </c>
      <c r="CX188" s="177">
        <f t="shared" si="459"/>
        <v>2.536256964545168E-2</v>
      </c>
      <c r="CY188" s="177">
        <f t="shared" si="462"/>
        <v>2.4933178187790353E-2</v>
      </c>
      <c r="CZ188" s="177">
        <f t="shared" si="463"/>
        <v>7.9087823893859641E-2</v>
      </c>
      <c r="DA188" s="187">
        <f t="shared" si="454"/>
        <v>0.84737312500000006</v>
      </c>
      <c r="DB188" s="188">
        <f t="shared" si="455"/>
        <v>0.91779957551769631</v>
      </c>
      <c r="DC188" s="188">
        <f t="shared" si="456"/>
        <v>0.52757270693512304</v>
      </c>
      <c r="DD188" s="188">
        <f t="shared" si="457"/>
        <v>0.88636824549024895</v>
      </c>
      <c r="DE188" s="188">
        <f t="shared" si="458"/>
        <v>0.42918482841932087</v>
      </c>
      <c r="DF188" s="189">
        <f>INDEX('State Tax Lookup'!$D$7:$Z$91,MATCH(Calculation!$C188,'State Tax Lookup'!$B$7:$B$91,0),MATCH($H188,'State Tax Lookup'!$D$6:$Z$6,0))</f>
        <v>0.40700500000000001</v>
      </c>
      <c r="DG188" s="189">
        <v>0.375</v>
      </c>
      <c r="DH188" s="190">
        <f t="shared" si="460"/>
        <v>16.314918727312939</v>
      </c>
      <c r="DI188" s="190">
        <v>15.83791047499782</v>
      </c>
      <c r="DJ188" s="177"/>
      <c r="DK188" s="189">
        <f>VLOOKUP($H188,RoR!$E:$F,2,FALSE)</f>
        <v>5.5874999999999994E-2</v>
      </c>
      <c r="DL188" s="191">
        <f>HLOOKUP($H188,'GDP-PI'!$D$8:$CQ$11,3,FALSE)</f>
        <v>3.0512430354548314E-2</v>
      </c>
      <c r="DM188" s="189">
        <f>VLOOKUP(H188,'HW Dx Data'!$E:$F,2,FALSE)</f>
        <v>461.08567272971823</v>
      </c>
      <c r="DN188" s="183">
        <f>VLOOKUP(H188,'ECI - Input Price'!$G$17:$H$37,2,FALSE)</f>
        <v>102.05</v>
      </c>
      <c r="DO188" s="177">
        <f t="shared" ref="DO188" si="481">LN(DN188/DN187)</f>
        <v>2.8829034290048662E-2</v>
      </c>
      <c r="DP188" s="183">
        <f>HLOOKUP(H188,'GDP-PI'!$8:$9,2,FALSE)</f>
        <v>90.073999999999998</v>
      </c>
      <c r="DQ188" s="177">
        <f t="shared" ref="DQ188" si="482">LN(DP188/DP187)</f>
        <v>3.005618372545445E-2</v>
      </c>
      <c r="DW188" s="192"/>
      <c r="DX188" s="192"/>
      <c r="DY188" s="192"/>
      <c r="DZ188" s="192"/>
      <c r="EA188" s="192"/>
      <c r="EB188" s="192"/>
      <c r="EC188" s="192"/>
      <c r="ED188" s="192"/>
      <c r="EE188" s="192"/>
    </row>
    <row r="189" spans="1:135" s="167" customFormat="1" ht="21" x14ac:dyDescent="0.35">
      <c r="A189" s="167" t="s">
        <v>38</v>
      </c>
      <c r="B189" s="168" t="s">
        <v>38</v>
      </c>
      <c r="C189" s="168">
        <v>4057111</v>
      </c>
      <c r="D189" s="168" t="s">
        <v>333</v>
      </c>
      <c r="E189" s="168" t="s">
        <v>126</v>
      </c>
      <c r="F189" s="168"/>
      <c r="G189" s="168" t="s">
        <v>13</v>
      </c>
      <c r="H189" s="169">
        <v>2007</v>
      </c>
      <c r="I189" s="170"/>
      <c r="J189" s="166">
        <f>IFERROR(INDEX('Labor Expenditures'!$F$7:$X$91,MATCH($C189,'Labor Expenditures'!$D$7:$D$91,0),MATCH($G189,'Labor Expenditures'!$F$5:$X$5,0)),"NA")</f>
        <v>51194.205229452702</v>
      </c>
      <c r="K189" s="166">
        <f t="shared" si="466"/>
        <v>486.52131365600093</v>
      </c>
      <c r="L189" s="172">
        <f t="shared" si="476"/>
        <v>5.2768662986597277E-2</v>
      </c>
      <c r="M189" s="172">
        <f t="shared" si="477"/>
        <v>1.1970828065554925E-3</v>
      </c>
      <c r="N189" s="196"/>
      <c r="O189" s="172"/>
      <c r="P189" s="166">
        <f>IFERROR(INDEX('Non-Labor Expenditures'!$F$7:$AB$91,MATCH($C189,'Non-Labor Expenditures'!$D$7:$D$91,0),MATCH($G189,'Non-Labor Expenditures'!$F$5:$AB$5,0)),"NA")</f>
        <v>74138.770930840226</v>
      </c>
      <c r="Q189" s="166">
        <f t="shared" si="467"/>
        <v>801.5175563886811</v>
      </c>
      <c r="R189" s="172">
        <f t="shared" si="478"/>
        <v>5.6851220437339929E-2</v>
      </c>
      <c r="S189" s="172">
        <f t="shared" ref="S189:S203" si="483">+R189*AR189</f>
        <v>1.2896976096309532E-3</v>
      </c>
      <c r="T189" s="172"/>
      <c r="U189" s="172"/>
      <c r="V189" s="166">
        <f t="shared" si="448"/>
        <v>65269.558140741639</v>
      </c>
      <c r="W189" s="170"/>
      <c r="X189" s="174">
        <v>3804.3092696265567</v>
      </c>
      <c r="Y189" s="175">
        <v>2.061149007222203E-2</v>
      </c>
      <c r="Z189" s="175">
        <f t="shared" ref="Z189:Z203" si="484">+Y189*AR189</f>
        <v>4.6758168553963716E-4</v>
      </c>
      <c r="AA189" s="175"/>
      <c r="AB189" s="175"/>
      <c r="AC189" s="170">
        <f t="shared" si="287"/>
        <v>190602.53430103455</v>
      </c>
      <c r="AD189" s="175">
        <f t="shared" si="479"/>
        <v>8.9776228575283043E-2</v>
      </c>
      <c r="AE189" s="170"/>
      <c r="AF189" s="170"/>
      <c r="AG189" s="121">
        <f t="shared" si="480"/>
        <v>323.58988888592938</v>
      </c>
      <c r="AH189" s="119">
        <f>+AZ189/$BB$45</f>
        <v>1.6629737201016553E-2</v>
      </c>
      <c r="AI189" s="119">
        <f>+AZ189/$BC$45</f>
        <v>7.1939726594230868E-2</v>
      </c>
      <c r="AJ189" s="176">
        <f t="shared" ref="AJ189:AJ203" si="485">+AH189*AG189</f>
        <v>5.3812148130791524</v>
      </c>
      <c r="AK189" s="176">
        <f t="shared" ref="AK189:AK203" si="486">+AI189*AG189</f>
        <v>23.278968135111306</v>
      </c>
      <c r="AL189" s="120">
        <f t="shared" si="468"/>
        <v>0.26859141940157732</v>
      </c>
      <c r="AM189" s="120">
        <f t="shared" si="469"/>
        <v>0.38897054125076141</v>
      </c>
      <c r="AN189" s="120">
        <f t="shared" si="470"/>
        <v>0.34243803934766132</v>
      </c>
      <c r="AO189" s="120">
        <f t="shared" si="473"/>
        <v>4.3417449817135974E-2</v>
      </c>
      <c r="AP189" s="173">
        <f>+AP188*EXP(AO189)</f>
        <v>101.5572699994254</v>
      </c>
      <c r="AQ189" s="175">
        <f>LN(AP189/AP188)</f>
        <v>4.341744981713605E-2</v>
      </c>
      <c r="AR189" s="177">
        <f>+AC189/$AE$45</f>
        <v>2.2685486779521775E-2</v>
      </c>
      <c r="AS189" s="177">
        <f t="shared" ref="AS189:AS203" si="487">+AR189*AQ189</f>
        <v>9.8494598382718995E-4</v>
      </c>
      <c r="AT189" s="177"/>
      <c r="AU189" s="177"/>
      <c r="AV189" s="177"/>
      <c r="AW189" s="190"/>
      <c r="AX189" s="120"/>
      <c r="AY189" s="120"/>
      <c r="AZ189" s="118">
        <f>IFERROR(INDEX('Total Customers'!$F$7:$AB$91,MATCH($C189,'Total Customers'!$D$7:$D$91,0),MATCH($G189,'Total Customers'!$F$5:$AB$5,0)),"NA")</f>
        <v>589025</v>
      </c>
      <c r="BA189" s="119">
        <f t="shared" si="449"/>
        <v>1.401567753918552E-2</v>
      </c>
      <c r="BB189" s="119"/>
      <c r="BC189" s="121">
        <v>8187757</v>
      </c>
      <c r="BD189" s="119"/>
      <c r="BE189" s="119"/>
      <c r="BF189" s="119"/>
      <c r="BG189" s="173"/>
      <c r="BH189" s="173"/>
      <c r="BI189" s="173"/>
      <c r="BJ189" s="173"/>
      <c r="BK189" s="173"/>
      <c r="BL189" s="173"/>
      <c r="BM189" s="173"/>
      <c r="BN189" s="173"/>
      <c r="BO189" s="173"/>
      <c r="BP189" s="173"/>
      <c r="BQ189" s="118"/>
      <c r="BR189" s="118"/>
      <c r="BS189" s="118">
        <f>INDEX('Dist. Plant Gas Additions'!$F$7:$AE$91,MATCH($C189,'Dist. Plant Gas Additions'!$D$7:$D$91,0),MATCH(Calculation!$G189,'Dist. Plant Gas Additions'!$F$5:$AE$5,0))</f>
        <v>48309</v>
      </c>
      <c r="BT189" s="118">
        <f>INDEX('Gen. Plant Additions'!$F$7:$AE$91,MATCH($C189,'Gen. Plant Additions'!$D$7:$D$91,0),MATCH(Calculation!$G189,'Gen. Plant Additions'!$F$5:$AE$5,0))</f>
        <v>2147</v>
      </c>
      <c r="BU189" s="118"/>
      <c r="BV189" s="118"/>
      <c r="BW189" s="118" t="str">
        <f>INDEX('Dist Plant Depreciation'!$E$7:$AD$94,MATCH($C189,'Dist Plant Depreciation'!$D$7:$D$94,0),MATCH(Calculation!$G189,'Dist Plant Depreciation'!$E$5:$AD$5,0))</f>
        <v>NA</v>
      </c>
      <c r="BX189" s="118" t="str">
        <f>INDEX('Gen. Plant Depreciation'!$E$7:$AD$94,MATCH($C189,'Gen. Plant Depreciation'!$D$7:$D$94,0),MATCH(Calculation!$G189,'Gen. Plant Depreciation'!$E$5:$AD$5,0))</f>
        <v>NA</v>
      </c>
      <c r="BY189" s="118"/>
      <c r="BZ189" s="118"/>
      <c r="CA189" s="118"/>
      <c r="CB189" s="118"/>
      <c r="CC189" s="118"/>
      <c r="CD189" s="118"/>
      <c r="CE189" s="118">
        <f>INDEX('Gross Dx Plant'!$E$7:$AD$91,MATCH($C189,'Gross Dx Plant'!$D$7:$D$91,0),MATCH(Calculation!$G189,'Gross Dx Plant'!$E$5:$AD$5,0))</f>
        <v>698979</v>
      </c>
      <c r="CF189" s="118">
        <f>INDEX('Gross Gen Plant'!$E$7:$AD$91,MATCH($C189,'Gross Gen Plant'!$D$7:$D$91,0),MATCH(Calculation!$G189,'Gross Gen Plant'!$E$5:$AD$5,0))</f>
        <v>39428</v>
      </c>
      <c r="CG189" s="118" t="str">
        <f t="shared" si="426"/>
        <v>NA</v>
      </c>
      <c r="CH189" s="118"/>
      <c r="CI189" s="121">
        <v>2007</v>
      </c>
      <c r="CJ189" s="118"/>
      <c r="CK189" s="118"/>
      <c r="CL189" s="118"/>
      <c r="CM189" s="183"/>
      <c r="CN189" s="118">
        <f t="shared" si="450"/>
        <v>50456</v>
      </c>
      <c r="CO189" s="118">
        <f t="shared" si="451"/>
        <v>101.31272923312103</v>
      </c>
      <c r="CP189" s="186">
        <v>0.94915254237288138</v>
      </c>
      <c r="CQ189" s="118">
        <f>+CQ180*CP189+CO181*CP188+CO182*CP187+CO183*CP186+CO184*CP185+CO185*CP184+CO186*CP183+CO187*CP182+CO188*CP181+CO189</f>
        <v>3804.3092696265567</v>
      </c>
      <c r="CR189" s="119">
        <f t="shared" si="452"/>
        <v>2.061149007222203E-2</v>
      </c>
      <c r="CS189" s="119"/>
      <c r="CT189" s="177">
        <f t="shared" si="453"/>
        <v>6.3602721040813218E-3</v>
      </c>
      <c r="CU189" s="177">
        <f t="shared" si="461"/>
        <v>6.162151369842446E-3</v>
      </c>
      <c r="CV189" s="119">
        <f>VLOOKUP($H189,RoR!$E:$F,2,FALSE)</f>
        <v>5.5558333333333321E-2</v>
      </c>
      <c r="CW189" s="177">
        <v>2.691120634145272E-2</v>
      </c>
      <c r="CX189" s="177">
        <f t="shared" si="459"/>
        <v>2.86471269918806E-2</v>
      </c>
      <c r="CY189" s="177">
        <f t="shared" si="462"/>
        <v>2.4739790238691179E-2</v>
      </c>
      <c r="CZ189" s="177">
        <f t="shared" si="463"/>
        <v>6.4575155250632399E-2</v>
      </c>
      <c r="DA189" s="187">
        <f t="shared" si="454"/>
        <v>0.84737312500000006</v>
      </c>
      <c r="DB189" s="188">
        <f t="shared" si="455"/>
        <v>0.92303077153834634</v>
      </c>
      <c r="DC189" s="188">
        <f t="shared" si="456"/>
        <v>0.52502249887505614</v>
      </c>
      <c r="DD189" s="188">
        <f t="shared" si="457"/>
        <v>0.88499666072084604</v>
      </c>
      <c r="DE189" s="188">
        <f t="shared" si="458"/>
        <v>0.42887993290280618</v>
      </c>
      <c r="DF189" s="189">
        <f>INDEX('State Tax Lookup'!$D$7:$Z$91,MATCH(Calculation!$C189,'State Tax Lookup'!$B$7:$B$91,0),MATCH($H189,'State Tax Lookup'!$D$6:$Z$6,0))</f>
        <v>0.40700500000000001</v>
      </c>
      <c r="DG189" s="189">
        <v>0.375</v>
      </c>
      <c r="DH189" s="190">
        <f t="shared" si="460"/>
        <v>17.514039044703704</v>
      </c>
      <c r="DI189" s="190">
        <v>17.261150809877471</v>
      </c>
      <c r="DJ189" s="177"/>
      <c r="DK189" s="189">
        <f>VLOOKUP($H189,RoR!$E:$F,2,FALSE)</f>
        <v>5.5558333333333321E-2</v>
      </c>
      <c r="DL189" s="191">
        <f>HLOOKUP($H189,'GDP-PI'!$D$8:$CQ$11,3,FALSE)</f>
        <v>2.691120634145272E-2</v>
      </c>
      <c r="DM189" s="189">
        <f>VLOOKUP(H189,'HW Dx Data'!$E:$F,2,FALSE)</f>
        <v>498.0223154772637</v>
      </c>
      <c r="DN189" s="183">
        <f>VLOOKUP(H189,'ECI - Input Price'!$G$17:$H$37,2,FALSE)</f>
        <v>105.22500000000001</v>
      </c>
      <c r="DO189" s="177">
        <f t="shared" ref="DO189" si="488">LN(DN189/DN188)</f>
        <v>3.0638025400780679E-2</v>
      </c>
      <c r="DP189" s="183">
        <f>HLOOKUP(H189,'GDP-PI'!$8:$9,2,FALSE)</f>
        <v>92.498000000000005</v>
      </c>
      <c r="DQ189" s="177">
        <f t="shared" ref="DQ189" si="489">LN(DP189/DP188)</f>
        <v>2.6555467950038037E-2</v>
      </c>
      <c r="DW189" s="192"/>
      <c r="DX189" s="192"/>
      <c r="DY189" s="192"/>
      <c r="DZ189" s="192"/>
      <c r="EA189" s="192"/>
      <c r="EB189" s="192"/>
      <c r="EC189" s="192"/>
      <c r="ED189" s="192"/>
      <c r="EE189" s="192"/>
    </row>
    <row r="190" spans="1:135" s="167" customFormat="1" ht="21" x14ac:dyDescent="0.35">
      <c r="A190" s="167" t="s">
        <v>38</v>
      </c>
      <c r="B190" s="168" t="s">
        <v>38</v>
      </c>
      <c r="C190" s="168">
        <v>4057111</v>
      </c>
      <c r="D190" s="168" t="s">
        <v>333</v>
      </c>
      <c r="E190" s="168" t="s">
        <v>126</v>
      </c>
      <c r="F190" s="168"/>
      <c r="G190" s="168" t="s">
        <v>14</v>
      </c>
      <c r="H190" s="169">
        <v>2008</v>
      </c>
      <c r="I190" s="170"/>
      <c r="J190" s="166">
        <f>IFERROR(INDEX('Labor Expenditures'!$F$7:$X$91,MATCH($C190,'Labor Expenditures'!$D$7:$D$91,0),MATCH($G190,'Labor Expenditures'!$F$5:$X$5,0)),"NA")</f>
        <v>61066.144356486991</v>
      </c>
      <c r="K190" s="166">
        <f t="shared" si="466"/>
        <v>564.25173810567799</v>
      </c>
      <c r="L190" s="172">
        <f t="shared" si="476"/>
        <v>0.14821978522166515</v>
      </c>
      <c r="M190" s="172">
        <f t="shared" si="477"/>
        <v>3.7151288196923377E-3</v>
      </c>
      <c r="N190" s="196"/>
      <c r="O190" s="172"/>
      <c r="P190" s="166">
        <f>IFERROR(INDEX('Non-Labor Expenditures'!$F$7:$AB$91,MATCH($C190,'Non-Labor Expenditures'!$D$7:$D$91,0),MATCH($G190,'Non-Labor Expenditures'!$F$5:$AB$5,0)),"NA")</f>
        <v>88435.182610678661</v>
      </c>
      <c r="Q190" s="166">
        <f t="shared" si="467"/>
        <v>938.16496871211348</v>
      </c>
      <c r="R190" s="172">
        <f t="shared" si="478"/>
        <v>0.15741893014504249</v>
      </c>
      <c r="S190" s="172">
        <f t="shared" si="483"/>
        <v>3.9457053811834692E-3</v>
      </c>
      <c r="T190" s="172"/>
      <c r="U190" s="172"/>
      <c r="V190" s="166">
        <f t="shared" si="448"/>
        <v>75633.637603788302</v>
      </c>
      <c r="W190" s="170"/>
      <c r="X190" s="174">
        <v>3917.651439884808</v>
      </c>
      <c r="Y190" s="175">
        <v>2.9357909236375216E-2</v>
      </c>
      <c r="Z190" s="175">
        <f t="shared" si="484"/>
        <v>7.3585597581898941E-4</v>
      </c>
      <c r="AA190" s="175"/>
      <c r="AB190" s="175"/>
      <c r="AC190" s="170">
        <f t="shared" ref="AC190:AC253" si="490">+J190+P190+V190</f>
        <v>225134.96457095398</v>
      </c>
      <c r="AD190" s="175">
        <f t="shared" si="479"/>
        <v>0.16650977733891759</v>
      </c>
      <c r="AE190" s="170"/>
      <c r="AF190" s="170"/>
      <c r="AG190" s="121">
        <f t="shared" si="480"/>
        <v>378.33739660096052</v>
      </c>
      <c r="AH190" s="119">
        <f>+AZ190/$BB$46</f>
        <v>1.6710657340186355E-2</v>
      </c>
      <c r="AI190" s="119">
        <f>+AZ190/$BC$46</f>
        <v>7.2180528467182675E-2</v>
      </c>
      <c r="AJ190" s="176">
        <f t="shared" si="485"/>
        <v>6.3222665935768374</v>
      </c>
      <c r="AK190" s="176">
        <f t="shared" si="486"/>
        <v>27.308593225555413</v>
      </c>
      <c r="AL190" s="120">
        <f t="shared" si="468"/>
        <v>0.27124238330932937</v>
      </c>
      <c r="AM190" s="120">
        <f t="shared" si="469"/>
        <v>0.39280963212094611</v>
      </c>
      <c r="AN190" s="120">
        <f t="shared" si="470"/>
        <v>0.33594798456972441</v>
      </c>
      <c r="AO190" s="120">
        <f t="shared" si="473"/>
        <v>0.11149852205568872</v>
      </c>
      <c r="AP190" s="173">
        <f t="shared" ref="AP190:AP203" si="491">+AP189*EXP(AO190)</f>
        <v>113.53616242658882</v>
      </c>
      <c r="AQ190" s="175">
        <f t="shared" ref="AQ190:AQ203" si="492">LN(AP190/AP189)</f>
        <v>0.11149852205568876</v>
      </c>
      <c r="AR190" s="177">
        <f>+AC190/$AE$46</f>
        <v>2.5064999346317368E-2</v>
      </c>
      <c r="AS190" s="177">
        <f t="shared" si="487"/>
        <v>2.7947103824411913E-3</v>
      </c>
      <c r="AT190" s="177"/>
      <c r="AU190" s="177"/>
      <c r="AV190" s="177"/>
      <c r="AW190" s="190"/>
      <c r="AX190" s="120"/>
      <c r="AY190" s="120"/>
      <c r="AZ190" s="118">
        <f>IFERROR(INDEX('Total Customers'!$F$7:$AB$91,MATCH($C190,'Total Customers'!$D$7:$D$91,0),MATCH($G190,'Total Customers'!$F$5:$AB$5,0)),"NA")</f>
        <v>595064</v>
      </c>
      <c r="BA190" s="119">
        <f t="shared" si="449"/>
        <v>1.0200335213790006E-2</v>
      </c>
      <c r="BB190" s="119"/>
      <c r="BC190" s="121">
        <v>8244107</v>
      </c>
      <c r="BD190" s="119"/>
      <c r="BE190" s="119"/>
      <c r="BF190" s="119"/>
      <c r="BG190" s="173"/>
      <c r="BH190" s="173"/>
      <c r="BI190" s="173"/>
      <c r="BJ190" s="173"/>
      <c r="BK190" s="173"/>
      <c r="BL190" s="173"/>
      <c r="BM190" s="173"/>
      <c r="BN190" s="173"/>
      <c r="BO190" s="173"/>
      <c r="BP190" s="173"/>
      <c r="BQ190" s="118"/>
      <c r="BR190" s="118"/>
      <c r="BS190" s="118">
        <f>INDEX('Dist. Plant Gas Additions'!$F$7:$AE$91,MATCH($C190,'Dist. Plant Gas Additions'!$D$7:$D$91,0),MATCH(Calculation!$G190,'Dist. Plant Gas Additions'!$F$5:$AE$5,0))</f>
        <v>71787</v>
      </c>
      <c r="BT190" s="118">
        <f>INDEX('Gen. Plant Additions'!$F$7:$AE$91,MATCH($C190,'Gen. Plant Additions'!$D$7:$D$91,0),MATCH(Calculation!$G190,'Gen. Plant Additions'!$F$5:$AE$5,0))</f>
        <v>7056</v>
      </c>
      <c r="BU190" s="118"/>
      <c r="BV190" s="118"/>
      <c r="BW190" s="118" t="str">
        <f>INDEX('Dist Plant Depreciation'!$E$7:$AD$94,MATCH($C190,'Dist Plant Depreciation'!$D$7:$D$94,0),MATCH(Calculation!$G190,'Dist Plant Depreciation'!$E$5:$AD$5,0))</f>
        <v>NA</v>
      </c>
      <c r="BX190" s="118" t="str">
        <f>INDEX('Gen. Plant Depreciation'!$E$7:$AD$94,MATCH($C190,'Gen. Plant Depreciation'!$D$7:$D$94,0),MATCH(Calculation!$G190,'Gen. Plant Depreciation'!$E$5:$AD$5,0))</f>
        <v>NA</v>
      </c>
      <c r="BY190" s="118"/>
      <c r="BZ190" s="118"/>
      <c r="CA190" s="118"/>
      <c r="CB190" s="118"/>
      <c r="CC190" s="118"/>
      <c r="CD190" s="118"/>
      <c r="CE190" s="118">
        <f>INDEX('Gross Dx Plant'!$E$7:$AD$91,MATCH($C190,'Gross Dx Plant'!$D$7:$D$91,0),MATCH(Calculation!$G190,'Gross Dx Plant'!$E$5:$AD$5,0))</f>
        <v>770115</v>
      </c>
      <c r="CF190" s="118">
        <f>INDEX('Gross Gen Plant'!$E$7:$AD$91,MATCH($C190,'Gross Gen Plant'!$D$7:$D$91,0),MATCH(Calculation!$G190,'Gross Gen Plant'!$E$5:$AD$5,0))</f>
        <v>45993</v>
      </c>
      <c r="CG190" s="118" t="str">
        <f t="shared" si="426"/>
        <v>NA</v>
      </c>
      <c r="CH190" s="118"/>
      <c r="CI190" s="121">
        <v>2008</v>
      </c>
      <c r="CJ190" s="118"/>
      <c r="CK190" s="118"/>
      <c r="CL190" s="118"/>
      <c r="CM190" s="183"/>
      <c r="CN190" s="118">
        <f t="shared" si="450"/>
        <v>78843</v>
      </c>
      <c r="CO190" s="118">
        <f t="shared" si="451"/>
        <v>138.34988685112313</v>
      </c>
      <c r="CP190" s="186">
        <v>0.94252873563218387</v>
      </c>
      <c r="CQ190" s="118">
        <f>+CQ180*CP190+CO181*CP189+CO182*CP188+CO183*CP187+CO184*CP186+CO185*CP185+CO186*CP184+CO187*CP183+CO188*CP182+CO189*CP181+CO190</f>
        <v>3917.651439884808</v>
      </c>
      <c r="CR190" s="119">
        <f t="shared" si="452"/>
        <v>2.9357909236375216E-2</v>
      </c>
      <c r="CS190" s="119"/>
      <c r="CT190" s="177">
        <f t="shared" si="453"/>
        <v>6.5735235545995967E-3</v>
      </c>
      <c r="CU190" s="177">
        <f t="shared" si="461"/>
        <v>6.367245998350265E-3</v>
      </c>
      <c r="CV190" s="119">
        <f>VLOOKUP($H190,RoR!$E:$F,2,FALSE)</f>
        <v>5.6316666666666668E-2</v>
      </c>
      <c r="CW190" s="177">
        <v>1.9092304698479889E-2</v>
      </c>
      <c r="CX190" s="177">
        <f t="shared" si="459"/>
        <v>3.7224361968186778E-2</v>
      </c>
      <c r="CY190" s="177">
        <f t="shared" si="462"/>
        <v>2.4534695610183361E-2</v>
      </c>
      <c r="CZ190" s="177">
        <f t="shared" si="463"/>
        <v>6.9030581091053131E-2</v>
      </c>
      <c r="DA190" s="187">
        <f t="shared" si="454"/>
        <v>0.84737312500000006</v>
      </c>
      <c r="DB190" s="188">
        <f t="shared" si="455"/>
        <v>0.91060168006009956</v>
      </c>
      <c r="DC190" s="188">
        <f t="shared" si="456"/>
        <v>0.53108168097070152</v>
      </c>
      <c r="DD190" s="188">
        <f t="shared" si="457"/>
        <v>0.88825329850328805</v>
      </c>
      <c r="DE190" s="188">
        <f t="shared" si="458"/>
        <v>0.4295627335323573</v>
      </c>
      <c r="DF190" s="189">
        <f>INDEX('State Tax Lookup'!$D$7:$Z$91,MATCH(Calculation!$C190,'State Tax Lookup'!$B$7:$B$91,0),MATCH($H190,'State Tax Lookup'!$D$6:$Z$6,0))</f>
        <v>0.40700500000000001</v>
      </c>
      <c r="DG190" s="189">
        <v>0.375</v>
      </c>
      <c r="DH190" s="190">
        <f t="shared" si="460"/>
        <v>19.881043375638267</v>
      </c>
      <c r="DI190" s="190">
        <v>19.600558452652795</v>
      </c>
      <c r="DJ190" s="177"/>
      <c r="DK190" s="189">
        <f>VLOOKUP($H190,RoR!$E:$F,2,FALSE)</f>
        <v>5.6316666666666668E-2</v>
      </c>
      <c r="DL190" s="191">
        <f>HLOOKUP($H190,'GDP-PI'!$D$8:$CQ$11,3,FALSE)</f>
        <v>1.9092304698479889E-2</v>
      </c>
      <c r="DM190" s="189">
        <f>VLOOKUP(H190,'HW Dx Data'!$E:$F,2,FALSE)</f>
        <v>569.88120333515076</v>
      </c>
      <c r="DN190" s="183">
        <f>VLOOKUP(H190,'ECI - Input Price'!$G$17:$H$37,2,FALSE)</f>
        <v>108.22499999999999</v>
      </c>
      <c r="DO190" s="177">
        <f t="shared" ref="DO190" si="493">LN(DN190/DN189)</f>
        <v>2.8111478671409691E-2</v>
      </c>
      <c r="DP190" s="183">
        <f>HLOOKUP(H190,'GDP-PI'!$8:$9,2,FALSE)</f>
        <v>94.263999999999996</v>
      </c>
      <c r="DQ190" s="177">
        <f t="shared" ref="DQ190" si="494">LN(DP190/DP189)</f>
        <v>1.8912333748032254E-2</v>
      </c>
      <c r="DW190" s="192"/>
      <c r="DX190" s="192"/>
      <c r="DY190" s="192"/>
      <c r="DZ190" s="192"/>
      <c r="EA190" s="192"/>
      <c r="EB190" s="192"/>
      <c r="EC190" s="192"/>
      <c r="ED190" s="192"/>
      <c r="EE190" s="192"/>
    </row>
    <row r="191" spans="1:135" s="167" customFormat="1" ht="21" x14ac:dyDescent="0.35">
      <c r="A191" s="167" t="s">
        <v>38</v>
      </c>
      <c r="B191" s="168" t="s">
        <v>38</v>
      </c>
      <c r="C191" s="168">
        <v>4057111</v>
      </c>
      <c r="D191" s="168" t="s">
        <v>333</v>
      </c>
      <c r="E191" s="168" t="s">
        <v>126</v>
      </c>
      <c r="F191" s="168"/>
      <c r="G191" s="168" t="s">
        <v>15</v>
      </c>
      <c r="H191" s="169">
        <v>2009</v>
      </c>
      <c r="I191" s="170"/>
      <c r="J191" s="166">
        <f>IFERROR(INDEX('Labor Expenditures'!$F$7:$X$91,MATCH($C191,'Labor Expenditures'!$D$7:$D$91,0),MATCH($G191,'Labor Expenditures'!$F$5:$X$5,0)),"NA")</f>
        <v>62815.012135447134</v>
      </c>
      <c r="K191" s="166">
        <f t="shared" si="466"/>
        <v>572.21600669958673</v>
      </c>
      <c r="L191" s="172">
        <f t="shared" si="476"/>
        <v>1.4016058109038557E-2</v>
      </c>
      <c r="M191" s="172">
        <f t="shared" si="477"/>
        <v>3.4179764041179008E-4</v>
      </c>
      <c r="N191" s="196"/>
      <c r="O191" s="172"/>
      <c r="P191" s="166">
        <f>IFERROR(INDEX('Non-Labor Expenditures'!$F$7:$AB$91,MATCH($C191,'Non-Labor Expenditures'!$D$7:$D$91,0),MATCH($G191,'Non-Labor Expenditures'!$F$5:$AB$5,0)),"NA")</f>
        <v>90967.869798057029</v>
      </c>
      <c r="Q191" s="166">
        <f t="shared" si="467"/>
        <v>957.56660383853546</v>
      </c>
      <c r="R191" s="172">
        <f t="shared" si="478"/>
        <v>2.0469472410465785E-2</v>
      </c>
      <c r="S191" s="172">
        <f t="shared" si="483"/>
        <v>4.9917154423465547E-4</v>
      </c>
      <c r="T191" s="172"/>
      <c r="U191" s="172"/>
      <c r="V191" s="166">
        <f t="shared" si="448"/>
        <v>74688.127857554864</v>
      </c>
      <c r="W191" s="170"/>
      <c r="X191" s="174">
        <v>4091.4353268694053</v>
      </c>
      <c r="Y191" s="175">
        <v>4.3403492377666955E-2</v>
      </c>
      <c r="Z191" s="175">
        <f t="shared" si="484"/>
        <v>1.0584439051912089E-3</v>
      </c>
      <c r="AA191" s="175"/>
      <c r="AB191" s="175"/>
      <c r="AC191" s="170">
        <f t="shared" si="490"/>
        <v>228471.00979105901</v>
      </c>
      <c r="AD191" s="175">
        <f t="shared" si="479"/>
        <v>1.470926556542289E-2</v>
      </c>
      <c r="AE191" s="170"/>
      <c r="AF191" s="170"/>
      <c r="AG191" s="121">
        <f t="shared" si="480"/>
        <v>365.23688224141466</v>
      </c>
      <c r="AH191" s="119">
        <f>+AZ191/$BB$47</f>
        <v>1.7541197967785627E-2</v>
      </c>
      <c r="AI191" s="119">
        <f>+AZ191/$BC$47</f>
        <v>7.5033717924789481E-2</v>
      </c>
      <c r="AJ191" s="176">
        <f t="shared" si="485"/>
        <v>6.4066924565334613</v>
      </c>
      <c r="AK191" s="176">
        <f t="shared" si="486"/>
        <v>27.405081197831858</v>
      </c>
      <c r="AL191" s="120">
        <f t="shared" si="468"/>
        <v>0.27493646652541448</v>
      </c>
      <c r="AM191" s="120">
        <f t="shared" si="469"/>
        <v>0.39815935457740936</v>
      </c>
      <c r="AN191" s="120">
        <f t="shared" si="470"/>
        <v>0.32690417889717627</v>
      </c>
      <c r="AO191" s="120">
        <f t="shared" si="473"/>
        <v>2.6308045586261677E-2</v>
      </c>
      <c r="AP191" s="173">
        <f t="shared" si="491"/>
        <v>116.56271373055579</v>
      </c>
      <c r="AQ191" s="175">
        <f t="shared" si="492"/>
        <v>2.6308045586261635E-2</v>
      </c>
      <c r="AR191" s="177">
        <f>+AC191/$AE$47</f>
        <v>2.4386146072794497E-2</v>
      </c>
      <c r="AS191" s="177">
        <f t="shared" si="487"/>
        <v>6.4155184255631278E-4</v>
      </c>
      <c r="AT191" s="177"/>
      <c r="AU191" s="177"/>
      <c r="AV191" s="177"/>
      <c r="AW191" s="190"/>
      <c r="AX191" s="120"/>
      <c r="AY191" s="120"/>
      <c r="AZ191" s="118">
        <f>IFERROR(INDEX('Total Customers'!$F$7:$AB$91,MATCH($C191,'Total Customers'!$D$7:$D$91,0),MATCH($G191,'Total Customers'!$F$5:$AB$5,0)),"NA")</f>
        <v>625542</v>
      </c>
      <c r="BA191" s="119">
        <f t="shared" si="449"/>
        <v>4.9949511149376291E-2</v>
      </c>
      <c r="BB191" s="119"/>
      <c r="BC191" s="121">
        <v>8336812</v>
      </c>
      <c r="BD191" s="119"/>
      <c r="BE191" s="119"/>
      <c r="BF191" s="119"/>
      <c r="BG191" s="173"/>
      <c r="BH191" s="173"/>
      <c r="BI191" s="173"/>
      <c r="BJ191" s="173"/>
      <c r="BK191" s="173"/>
      <c r="BL191" s="173"/>
      <c r="BM191" s="173"/>
      <c r="BN191" s="173"/>
      <c r="BO191" s="173"/>
      <c r="BP191" s="173"/>
      <c r="BQ191" s="118"/>
      <c r="BR191" s="118"/>
      <c r="BS191" s="118">
        <f>INDEX('Dist. Plant Gas Additions'!$F$7:$AE$91,MATCH($C191,'Dist. Plant Gas Additions'!$D$7:$D$91,0),MATCH(Calculation!$G191,'Dist. Plant Gas Additions'!$F$5:$AE$5,0))</f>
        <v>102421</v>
      </c>
      <c r="BT191" s="118">
        <f>INDEX('Gen. Plant Additions'!$F$7:$AE$91,MATCH($C191,'Gen. Plant Additions'!$D$7:$D$91,0),MATCH(Calculation!$G191,'Gen. Plant Additions'!$F$5:$AE$5,0))</f>
        <v>7953</v>
      </c>
      <c r="BU191" s="118"/>
      <c r="BV191" s="118"/>
      <c r="BW191" s="118" t="str">
        <f>INDEX('Dist Plant Depreciation'!$E$7:$AD$94,MATCH($C191,'Dist Plant Depreciation'!$D$7:$D$94,0),MATCH(Calculation!$G191,'Dist Plant Depreciation'!$E$5:$AD$5,0))</f>
        <v>NA</v>
      </c>
      <c r="BX191" s="118" t="str">
        <f>INDEX('Gen. Plant Depreciation'!$E$7:$AD$94,MATCH($C191,'Gen. Plant Depreciation'!$D$7:$D$94,0),MATCH(Calculation!$G191,'Gen. Plant Depreciation'!$E$5:$AD$5,0))</f>
        <v>NA</v>
      </c>
      <c r="BY191" s="118"/>
      <c r="BZ191" s="118"/>
      <c r="CA191" s="118"/>
      <c r="CB191" s="118"/>
      <c r="CC191" s="118"/>
      <c r="CD191" s="118"/>
      <c r="CE191" s="118">
        <f>INDEX('Gross Dx Plant'!$E$7:$AD$91,MATCH($C191,'Gross Dx Plant'!$D$7:$D$91,0),MATCH(Calculation!$G191,'Gross Dx Plant'!$E$5:$AD$5,0))</f>
        <v>869974</v>
      </c>
      <c r="CF191" s="118">
        <f>INDEX('Gross Gen Plant'!$E$7:$AD$91,MATCH($C191,'Gross Gen Plant'!$D$7:$D$91,0),MATCH(Calculation!$G191,'Gross Gen Plant'!$E$5:$AD$5,0))</f>
        <v>49227</v>
      </c>
      <c r="CG191" s="118" t="str">
        <f t="shared" si="426"/>
        <v>NA</v>
      </c>
      <c r="CH191" s="118"/>
      <c r="CI191" s="121">
        <v>2009</v>
      </c>
      <c r="CJ191" s="118"/>
      <c r="CK191" s="118"/>
      <c r="CL191" s="118"/>
      <c r="CM191" s="183"/>
      <c r="CN191" s="118">
        <f t="shared" si="450"/>
        <v>110374</v>
      </c>
      <c r="CO191" s="118">
        <f t="shared" si="451"/>
        <v>200.33737326346994</v>
      </c>
      <c r="CP191" s="186">
        <v>0.93567251461988299</v>
      </c>
      <c r="CQ191" s="118">
        <f>+CQ180*CP191+CO181*CP190+CO182*CP189+CO183*CP188+CO184*CP187+CO185*CP186+CO186*CP185+CO187*CP184+CO188*CP183+CO189*CP182+CO190*CP181+CO191</f>
        <v>4091.4353268694053</v>
      </c>
      <c r="CR191" s="119">
        <f t="shared" si="452"/>
        <v>4.3403492377666955E-2</v>
      </c>
      <c r="CS191" s="119"/>
      <c r="CT191" s="177">
        <f t="shared" si="453"/>
        <v>6.7779093383696738E-3</v>
      </c>
      <c r="CU191" s="177">
        <f t="shared" si="461"/>
        <v>6.5705683323501974E-3</v>
      </c>
      <c r="CV191" s="119">
        <f>VLOOKUP($H191,RoR!$E:$F,2,FALSE)</f>
        <v>5.3133333333333324E-2</v>
      </c>
      <c r="CW191" s="177">
        <v>7.7972502758210105E-3</v>
      </c>
      <c r="CX191" s="177">
        <f t="shared" si="459"/>
        <v>4.5336083057512314E-2</v>
      </c>
      <c r="CY191" s="177">
        <f t="shared" si="462"/>
        <v>2.4331373276183427E-2</v>
      </c>
      <c r="CZ191" s="177">
        <f t="shared" si="463"/>
        <v>6.3720160300892073E-2</v>
      </c>
      <c r="DA191" s="187">
        <f t="shared" si="454"/>
        <v>0.84737312500000006</v>
      </c>
      <c r="DB191" s="188">
        <f t="shared" si="455"/>
        <v>0.96515780330083989</v>
      </c>
      <c r="DC191" s="188">
        <f t="shared" si="456"/>
        <v>0.50448557089084056</v>
      </c>
      <c r="DD191" s="188">
        <f t="shared" si="457"/>
        <v>0.87391435735465484</v>
      </c>
      <c r="DE191" s="188">
        <f t="shared" si="458"/>
        <v>0.42551605393279146</v>
      </c>
      <c r="DF191" s="189">
        <f>INDEX('State Tax Lookup'!$D$7:$Z$91,MATCH(Calculation!$C191,'State Tax Lookup'!$B$7:$B$91,0),MATCH($H191,'State Tax Lookup'!$D$6:$Z$6,0))</f>
        <v>0.40700500000000001</v>
      </c>
      <c r="DG191" s="189">
        <v>0.375</v>
      </c>
      <c r="DH191" s="190">
        <f t="shared" si="460"/>
        <v>19.064515821180596</v>
      </c>
      <c r="DI191" s="190">
        <v>18.729188221291022</v>
      </c>
      <c r="DJ191" s="177"/>
      <c r="DK191" s="189">
        <f>VLOOKUP($H191,RoR!$E:$F,2,FALSE)</f>
        <v>5.3133333333333324E-2</v>
      </c>
      <c r="DL191" s="191">
        <f>HLOOKUP($H191,'GDP-PI'!$D$8:$CQ$11,3,FALSE)</f>
        <v>7.7972502758210105E-3</v>
      </c>
      <c r="DM191" s="189">
        <f>VLOOKUP(H191,'HW Dx Data'!$E:$F,2,FALSE)</f>
        <v>550.94063679692806</v>
      </c>
      <c r="DN191" s="183">
        <f>VLOOKUP(H191,'ECI - Input Price'!$G$17:$H$37,2,FALSE)</f>
        <v>109.77499999999999</v>
      </c>
      <c r="DO191" s="177">
        <f t="shared" ref="DO191" si="495">LN(DN191/DN190)</f>
        <v>1.4220423119736749E-2</v>
      </c>
      <c r="DP191" s="183">
        <f>HLOOKUP(H191,'GDP-PI'!$8:$9,2,FALSE)</f>
        <v>94.998999999999995</v>
      </c>
      <c r="DQ191" s="177">
        <f t="shared" ref="DQ191" si="496">LN(DP191/DP190)</f>
        <v>7.7670088183096342E-3</v>
      </c>
      <c r="DW191" s="192"/>
      <c r="DX191" s="192"/>
      <c r="DY191" s="192"/>
      <c r="DZ191" s="192"/>
      <c r="EA191" s="192"/>
      <c r="EB191" s="192"/>
      <c r="EC191" s="192"/>
      <c r="ED191" s="192"/>
      <c r="EE191" s="192"/>
    </row>
    <row r="192" spans="1:135" s="167" customFormat="1" ht="21" x14ac:dyDescent="0.35">
      <c r="A192" s="167" t="s">
        <v>38</v>
      </c>
      <c r="B192" s="168" t="s">
        <v>38</v>
      </c>
      <c r="C192" s="168">
        <v>4057111</v>
      </c>
      <c r="D192" s="168" t="s">
        <v>333</v>
      </c>
      <c r="E192" s="168" t="s">
        <v>126</v>
      </c>
      <c r="F192" s="168"/>
      <c r="G192" s="168" t="s">
        <v>16</v>
      </c>
      <c r="H192" s="169">
        <v>2010</v>
      </c>
      <c r="I192" s="170"/>
      <c r="J192" s="166">
        <f>IFERROR(INDEX('Labor Expenditures'!$F$7:$X$91,MATCH($C192,'Labor Expenditures'!$D$7:$D$91,0),MATCH($G192,'Labor Expenditures'!$F$5:$X$5,0)),"NA")</f>
        <v>60317.766891114254</v>
      </c>
      <c r="K192" s="166">
        <f t="shared" si="466"/>
        <v>539.15322360772518</v>
      </c>
      <c r="L192" s="172">
        <f t="shared" si="476"/>
        <v>-5.9516749818559055E-2</v>
      </c>
      <c r="M192" s="172">
        <f t="shared" si="477"/>
        <v>-1.3952957860075563E-3</v>
      </c>
      <c r="N192" s="196"/>
      <c r="O192" s="172"/>
      <c r="P192" s="166">
        <f>IFERROR(INDEX('Non-Labor Expenditures'!$F$7:$AB$91,MATCH($C192,'Non-Labor Expenditures'!$D$7:$D$91,0),MATCH($G192,'Non-Labor Expenditures'!$F$5:$AB$5,0)),"NA")</f>
        <v>87351.392263189264</v>
      </c>
      <c r="Q192" s="166">
        <f t="shared" si="467"/>
        <v>908.87838041379337</v>
      </c>
      <c r="R192" s="172">
        <f t="shared" si="478"/>
        <v>-5.2183988478471097E-2</v>
      </c>
      <c r="S192" s="172">
        <f t="shared" si="483"/>
        <v>-1.2233883645032758E-3</v>
      </c>
      <c r="T192" s="172"/>
      <c r="U192" s="172"/>
      <c r="V192" s="166">
        <f t="shared" si="448"/>
        <v>79996.81367308335</v>
      </c>
      <c r="W192" s="170"/>
      <c r="X192" s="174">
        <v>4210.5832305694585</v>
      </c>
      <c r="Y192" s="175">
        <v>2.8705328520246123E-2</v>
      </c>
      <c r="Z192" s="175">
        <f t="shared" si="484"/>
        <v>6.7296053703141609E-4</v>
      </c>
      <c r="AA192" s="175"/>
      <c r="AB192" s="175"/>
      <c r="AC192" s="170">
        <f t="shared" si="490"/>
        <v>227665.97282738687</v>
      </c>
      <c r="AD192" s="175">
        <f t="shared" si="479"/>
        <v>-3.5298071860625831E-3</v>
      </c>
      <c r="AE192" s="170"/>
      <c r="AF192" s="170"/>
      <c r="AG192" s="121">
        <f t="shared" si="480"/>
        <v>347.14598294565729</v>
      </c>
      <c r="AH192" s="119">
        <f>+AZ192/$BB$48</f>
        <v>1.8289056815614511E-2</v>
      </c>
      <c r="AI192" s="119">
        <f>+AZ192/$BC$48</f>
        <v>7.8042078239140375E-2</v>
      </c>
      <c r="AJ192" s="176">
        <f t="shared" si="485"/>
        <v>6.3489726054054723</v>
      </c>
      <c r="AK192" s="176">
        <f t="shared" si="486"/>
        <v>27.091993961448278</v>
      </c>
      <c r="AL192" s="120">
        <f t="shared" si="468"/>
        <v>0.26493975424621902</v>
      </c>
      <c r="AM192" s="120">
        <f t="shared" si="469"/>
        <v>0.38368224806883133</v>
      </c>
      <c r="AN192" s="120">
        <f t="shared" si="470"/>
        <v>0.35137799768494965</v>
      </c>
      <c r="AO192" s="120">
        <f t="shared" si="473"/>
        <v>-2.6730489220458876E-2</v>
      </c>
      <c r="AP192" s="173">
        <f t="shared" si="491"/>
        <v>113.48820992684777</v>
      </c>
      <c r="AQ192" s="175">
        <f t="shared" si="492"/>
        <v>-2.6730489220458915E-2</v>
      </c>
      <c r="AR192" s="177">
        <f>+AC192/$AE$48</f>
        <v>2.3443749705103396E-2</v>
      </c>
      <c r="AS192" s="177">
        <f t="shared" si="487"/>
        <v>-6.2666289877940317E-4</v>
      </c>
      <c r="AT192" s="177"/>
      <c r="AU192" s="177"/>
      <c r="AV192" s="177"/>
      <c r="AW192" s="190"/>
      <c r="AX192" s="120"/>
      <c r="AY192" s="120"/>
      <c r="AZ192" s="118">
        <f>IFERROR(INDEX('Total Customers'!$F$7:$AB$91,MATCH($C192,'Total Customers'!$D$7:$D$91,0),MATCH($G192,'Total Customers'!$F$5:$AB$5,0)),"NA")</f>
        <v>655822</v>
      </c>
      <c r="BA192" s="119">
        <f t="shared" si="449"/>
        <v>4.727093672519015E-2</v>
      </c>
      <c r="BB192" s="119"/>
      <c r="BC192" s="121">
        <v>8403441</v>
      </c>
      <c r="BD192" s="119"/>
      <c r="BE192" s="119"/>
      <c r="BF192" s="119"/>
      <c r="BG192" s="173"/>
      <c r="BH192" s="173"/>
      <c r="BI192" s="173"/>
      <c r="BJ192" s="173"/>
      <c r="BK192" s="173"/>
      <c r="BL192" s="173"/>
      <c r="BM192" s="173"/>
      <c r="BN192" s="173"/>
      <c r="BO192" s="173"/>
      <c r="BP192" s="173"/>
      <c r="BQ192" s="118"/>
      <c r="BR192" s="118"/>
      <c r="BS192" s="118">
        <f>INDEX('Dist. Plant Gas Additions'!$F$7:$AE$91,MATCH($C192,'Dist. Plant Gas Additions'!$D$7:$D$91,0),MATCH(Calculation!$G192,'Dist. Plant Gas Additions'!$F$5:$AE$5,0))</f>
        <v>82414</v>
      </c>
      <c r="BT192" s="118">
        <f>INDEX('Gen. Plant Additions'!$F$7:$AE$91,MATCH($C192,'Gen. Plant Additions'!$D$7:$D$91,0),MATCH(Calculation!$G192,'Gen. Plant Additions'!$F$5:$AE$5,0))</f>
        <v>1581</v>
      </c>
      <c r="BU192" s="118"/>
      <c r="BV192" s="118"/>
      <c r="BW192" s="118" t="str">
        <f>INDEX('Dist Plant Depreciation'!$E$7:$AD$94,MATCH($C192,'Dist Plant Depreciation'!$D$7:$D$94,0),MATCH(Calculation!$G192,'Dist Plant Depreciation'!$E$5:$AD$5,0))</f>
        <v>NA</v>
      </c>
      <c r="BX192" s="118" t="str">
        <f>INDEX('Gen. Plant Depreciation'!$E$7:$AD$94,MATCH($C192,'Gen. Plant Depreciation'!$D$7:$D$94,0),MATCH(Calculation!$G192,'Gen. Plant Depreciation'!$E$5:$AD$5,0))</f>
        <v>NA</v>
      </c>
      <c r="BY192" s="118"/>
      <c r="BZ192" s="118"/>
      <c r="CA192" s="118"/>
      <c r="CB192" s="118"/>
      <c r="CC192" s="118"/>
      <c r="CD192" s="118"/>
      <c r="CE192" s="118">
        <f>INDEX('Gross Dx Plant'!$E$7:$AD$91,MATCH($C192,'Gross Dx Plant'!$D$7:$D$91,0),MATCH(Calculation!$G192,'Gross Dx Plant'!$E$5:$AD$5,0))</f>
        <v>1019751</v>
      </c>
      <c r="CF192" s="118">
        <f>INDEX('Gross Gen Plant'!$E$7:$AD$91,MATCH($C192,'Gross Gen Plant'!$D$7:$D$91,0),MATCH(Calculation!$G192,'Gross Gen Plant'!$E$5:$AD$5,0))</f>
        <v>51645</v>
      </c>
      <c r="CG192" s="118" t="str">
        <f t="shared" si="426"/>
        <v>NA</v>
      </c>
      <c r="CH192" s="118"/>
      <c r="CI192" s="121">
        <v>2010</v>
      </c>
      <c r="CJ192" s="118"/>
      <c r="CK192" s="118"/>
      <c r="CL192" s="118"/>
      <c r="CM192" s="183"/>
      <c r="CN192" s="118">
        <f t="shared" si="450"/>
        <v>83995</v>
      </c>
      <c r="CO192" s="118">
        <f t="shared" si="451"/>
        <v>147.62135261159926</v>
      </c>
      <c r="CP192" s="186">
        <v>0.9285714285714286</v>
      </c>
      <c r="CQ192" s="118">
        <f>+CQ180*CP192+CO181*CP191+CO182*CP190+CO183*CP189+CO184*CP188+CO185*CP187+CO186*CP186+CO187*CP185+CO188*CP184+CO189*CP183+CO190*CP182+CO191*CP181+CO192</f>
        <v>4210.5832305694585</v>
      </c>
      <c r="CR192" s="119">
        <f t="shared" si="452"/>
        <v>2.8705328520246123E-2</v>
      </c>
      <c r="CS192" s="119"/>
      <c r="CT192" s="177">
        <f t="shared" si="453"/>
        <v>6.959281190284103E-3</v>
      </c>
      <c r="CU192" s="177">
        <f t="shared" si="461"/>
        <v>6.7702380277511248E-3</v>
      </c>
      <c r="CV192" s="119">
        <f>VLOOKUP($H192,RoR!$E:$F,2,FALSE)</f>
        <v>4.9433333333333322E-2</v>
      </c>
      <c r="CW192" s="177">
        <v>1.1684333519300205E-2</v>
      </c>
      <c r="CX192" s="177">
        <f t="shared" si="459"/>
        <v>3.7748999814033117E-2</v>
      </c>
      <c r="CY192" s="177">
        <f t="shared" si="462"/>
        <v>2.4131703580782499E-2</v>
      </c>
      <c r="CZ192" s="177">
        <f t="shared" si="463"/>
        <v>4.7937530248493419E-2</v>
      </c>
      <c r="DA192" s="187">
        <f t="shared" si="454"/>
        <v>0.84737312500000006</v>
      </c>
      <c r="DB192" s="188">
        <f t="shared" si="455"/>
        <v>1.037398205301105</v>
      </c>
      <c r="DC192" s="188">
        <f t="shared" si="456"/>
        <v>0.46926837491571133</v>
      </c>
      <c r="DD192" s="188">
        <f t="shared" si="457"/>
        <v>0.8548537519972772</v>
      </c>
      <c r="DE192" s="188">
        <f t="shared" si="458"/>
        <v>0.41615833911547367</v>
      </c>
      <c r="DF192" s="189">
        <f>INDEX('State Tax Lookup'!$D$7:$Z$91,MATCH(Calculation!$C192,'State Tax Lookup'!$B$7:$B$91,0),MATCH($H192,'State Tax Lookup'!$D$6:$Z$6,0))</f>
        <v>0.40700500000000001</v>
      </c>
      <c r="DG192" s="189">
        <v>0.375</v>
      </c>
      <c r="DH192" s="190">
        <f t="shared" si="460"/>
        <v>19.552261561541915</v>
      </c>
      <c r="DI192" s="190">
        <v>19.253300286446493</v>
      </c>
      <c r="DJ192" s="177"/>
      <c r="DK192" s="189">
        <f>VLOOKUP($H192,RoR!$E:$F,2,FALSE)</f>
        <v>4.9433333333333322E-2</v>
      </c>
      <c r="DL192" s="191">
        <f>HLOOKUP($H192,'GDP-PI'!$D$8:$CQ$11,3,FALSE)</f>
        <v>1.1684333519300205E-2</v>
      </c>
      <c r="DM192" s="189">
        <f>VLOOKUP(H192,'HW Dx Data'!$E:$F,2,FALSE)</f>
        <v>568.98950262971744</v>
      </c>
      <c r="DN192" s="183">
        <f>VLOOKUP(H192,'ECI - Input Price'!$G$17:$H$37,2,FALSE)</f>
        <v>111.875</v>
      </c>
      <c r="DO192" s="177">
        <f t="shared" ref="DO192" si="497">LN(DN192/DN191)</f>
        <v>1.8949360147238387E-2</v>
      </c>
      <c r="DP192" s="183">
        <f>HLOOKUP(H192,'GDP-PI'!$8:$9,2,FALSE)</f>
        <v>96.108999999999995</v>
      </c>
      <c r="DQ192" s="177">
        <f t="shared" ref="DQ192" si="498">LN(DP192/DP191)</f>
        <v>1.1616598807150427E-2</v>
      </c>
      <c r="DW192" s="192"/>
      <c r="DX192" s="192"/>
      <c r="DY192" s="192"/>
      <c r="DZ192" s="192"/>
      <c r="EA192" s="192"/>
      <c r="EB192" s="192"/>
      <c r="EC192" s="192"/>
      <c r="ED192" s="192"/>
      <c r="EE192" s="192"/>
    </row>
    <row r="193" spans="1:135" s="167" customFormat="1" ht="21" x14ac:dyDescent="0.35">
      <c r="A193" s="167" t="s">
        <v>38</v>
      </c>
      <c r="B193" s="168" t="s">
        <v>38</v>
      </c>
      <c r="C193" s="168">
        <v>4057111</v>
      </c>
      <c r="D193" s="168" t="s">
        <v>333</v>
      </c>
      <c r="E193" s="168" t="s">
        <v>126</v>
      </c>
      <c r="F193" s="168"/>
      <c r="G193" s="168" t="s">
        <v>17</v>
      </c>
      <c r="H193" s="169">
        <v>2011</v>
      </c>
      <c r="I193" s="170"/>
      <c r="J193" s="166">
        <f>IFERROR(INDEX('Labor Expenditures'!$F$7:$X$91,MATCH($C193,'Labor Expenditures'!$D$7:$D$91,0),MATCH($G193,'Labor Expenditures'!$F$5:$X$5,0)),"NA")</f>
        <v>63731.618385797934</v>
      </c>
      <c r="K193" s="166">
        <f t="shared" si="466"/>
        <v>557.58196313034068</v>
      </c>
      <c r="L193" s="172">
        <f t="shared" si="476"/>
        <v>3.3609707230286848E-2</v>
      </c>
      <c r="M193" s="172">
        <f t="shared" si="477"/>
        <v>8.0390065724578988E-4</v>
      </c>
      <c r="N193" s="196"/>
      <c r="O193" s="172"/>
      <c r="P193" s="166">
        <f>IFERROR(INDEX('Non-Labor Expenditures'!$F$7:$AB$91,MATCH($C193,'Non-Labor Expenditures'!$D$7:$D$91,0),MATCH($G193,'Non-Labor Expenditures'!$F$5:$AB$5,0)),"NA")</f>
        <v>92295.286846997522</v>
      </c>
      <c r="Q193" s="166">
        <f t="shared" si="467"/>
        <v>940.71354010719915</v>
      </c>
      <c r="R193" s="172">
        <f t="shared" si="478"/>
        <v>3.442738222318318E-2</v>
      </c>
      <c r="S193" s="172">
        <f t="shared" si="483"/>
        <v>8.2345838381861958E-4</v>
      </c>
      <c r="T193" s="172"/>
      <c r="U193" s="172"/>
      <c r="V193" s="166">
        <f t="shared" si="448"/>
        <v>87916.390729480743</v>
      </c>
      <c r="W193" s="170"/>
      <c r="X193" s="174">
        <v>4330.5744381541699</v>
      </c>
      <c r="Y193" s="175">
        <v>2.809902523961727E-2</v>
      </c>
      <c r="Z193" s="175">
        <f t="shared" si="484"/>
        <v>6.7209228284317824E-4</v>
      </c>
      <c r="AA193" s="175"/>
      <c r="AB193" s="175"/>
      <c r="AC193" s="170">
        <f t="shared" si="490"/>
        <v>243943.2959622762</v>
      </c>
      <c r="AD193" s="175">
        <f t="shared" si="479"/>
        <v>6.9056281400667052E-2</v>
      </c>
      <c r="AE193" s="170"/>
      <c r="AF193" s="170"/>
      <c r="AG193" s="121">
        <f t="shared" si="480"/>
        <v>368.73837367061014</v>
      </c>
      <c r="AH193" s="119">
        <f>+AZ193/$BB$49</f>
        <v>1.8359441241235609E-2</v>
      </c>
      <c r="AI193" s="119">
        <f>+AZ193/$BC$49</f>
        <v>7.8404179457754658E-2</v>
      </c>
      <c r="AJ193" s="176">
        <f t="shared" si="485"/>
        <v>6.7698305047943466</v>
      </c>
      <c r="AK193" s="176">
        <f t="shared" si="486"/>
        <v>28.910629622231113</v>
      </c>
      <c r="AL193" s="120">
        <f t="shared" si="468"/>
        <v>0.26125587151062146</v>
      </c>
      <c r="AM193" s="120">
        <f t="shared" si="469"/>
        <v>0.3783472978133009</v>
      </c>
      <c r="AN193" s="120">
        <f t="shared" si="470"/>
        <v>0.36039683067607764</v>
      </c>
      <c r="AO193" s="120">
        <f t="shared" si="473"/>
        <v>3.1960071118014313E-2</v>
      </c>
      <c r="AP193" s="173">
        <f t="shared" si="491"/>
        <v>117.17388467959194</v>
      </c>
      <c r="AQ193" s="175">
        <f t="shared" si="492"/>
        <v>3.1960071118014237E-2</v>
      </c>
      <c r="AR193" s="177">
        <f>+AC193/$AE$49</f>
        <v>2.3918704549778635E-2</v>
      </c>
      <c r="AS193" s="177">
        <f t="shared" si="487"/>
        <v>7.6444349846169581E-4</v>
      </c>
      <c r="AT193" s="177"/>
      <c r="AU193" s="177"/>
      <c r="AV193" s="177"/>
      <c r="AW193" s="190"/>
      <c r="AX193" s="120"/>
      <c r="AY193" s="120"/>
      <c r="AZ193" s="118">
        <f>IFERROR(INDEX('Total Customers'!$F$7:$AB$91,MATCH($C193,'Total Customers'!$D$7:$D$91,0),MATCH($G193,'Total Customers'!$F$5:$AB$5,0)),"NA")</f>
        <v>661562</v>
      </c>
      <c r="BA193" s="119">
        <f t="shared" si="449"/>
        <v>8.7142948814895125E-3</v>
      </c>
      <c r="BB193" s="119"/>
      <c r="BC193" s="121">
        <v>8437841</v>
      </c>
      <c r="BD193" s="119"/>
      <c r="BE193" s="119"/>
      <c r="BF193" s="119"/>
      <c r="BG193" s="173"/>
      <c r="BH193" s="173"/>
      <c r="BI193" s="173"/>
      <c r="BJ193" s="173"/>
      <c r="BK193" s="173"/>
      <c r="BL193" s="173"/>
      <c r="BM193" s="173"/>
      <c r="BN193" s="173"/>
      <c r="BO193" s="173"/>
      <c r="BP193" s="173"/>
      <c r="BQ193" s="118"/>
      <c r="BR193" s="118"/>
      <c r="BS193" s="118">
        <f>INDEX('Dist. Plant Gas Additions'!$F$7:$AE$91,MATCH($C193,'Dist. Plant Gas Additions'!$D$7:$D$91,0),MATCH(Calculation!$G193,'Dist. Plant Gas Additions'!$F$5:$AE$5,0))</f>
        <v>88772</v>
      </c>
      <c r="BT193" s="118">
        <f>INDEX('Gen. Plant Additions'!$F$7:$AE$91,MATCH($C193,'Gen. Plant Additions'!$D$7:$D$91,0),MATCH(Calculation!$G193,'Gen. Plant Additions'!$F$5:$AE$5,0))</f>
        <v>3093</v>
      </c>
      <c r="BU193" s="118"/>
      <c r="BV193" s="118"/>
      <c r="BW193" s="118" t="str">
        <f>INDEX('Dist Plant Depreciation'!$E$7:$AD$94,MATCH($C193,'Dist Plant Depreciation'!$D$7:$D$94,0),MATCH(Calculation!$G193,'Dist Plant Depreciation'!$E$5:$AD$5,0))</f>
        <v>NA</v>
      </c>
      <c r="BX193" s="118" t="str">
        <f>INDEX('Gen. Plant Depreciation'!$E$7:$AD$94,MATCH($C193,'Gen. Plant Depreciation'!$D$7:$D$94,0),MATCH(Calculation!$G193,'Gen. Plant Depreciation'!$E$5:$AD$5,0))</f>
        <v>NA</v>
      </c>
      <c r="BY193" s="118"/>
      <c r="BZ193" s="118"/>
      <c r="CA193" s="118"/>
      <c r="CB193" s="118"/>
      <c r="CC193" s="118"/>
      <c r="CD193" s="118"/>
      <c r="CE193" s="118">
        <f>INDEX('Gross Dx Plant'!$E$7:$AD$91,MATCH($C193,'Gross Dx Plant'!$D$7:$D$91,0),MATCH(Calculation!$G193,'Gross Dx Plant'!$E$5:$AD$5,0))</f>
        <v>1104252</v>
      </c>
      <c r="CF193" s="118">
        <f>INDEX('Gross Gen Plant'!$E$7:$AD$91,MATCH($C193,'Gross Gen Plant'!$D$7:$D$91,0),MATCH(Calculation!$G193,'Gross Gen Plant'!$E$5:$AD$5,0))</f>
        <v>53311</v>
      </c>
      <c r="CG193" s="118" t="str">
        <f t="shared" si="426"/>
        <v>NA</v>
      </c>
      <c r="CH193" s="118"/>
      <c r="CI193" s="121">
        <v>2011</v>
      </c>
      <c r="CJ193" s="118"/>
      <c r="CK193" s="118"/>
      <c r="CL193" s="118"/>
      <c r="CM193" s="183"/>
      <c r="CN193" s="118">
        <f t="shared" si="450"/>
        <v>91865</v>
      </c>
      <c r="CO193" s="118">
        <f t="shared" si="451"/>
        <v>150.20165687371772</v>
      </c>
      <c r="CP193" s="186">
        <v>0.92121212121212126</v>
      </c>
      <c r="CQ193" s="118">
        <f>+CQ180*CP193+CO181*CP192+CO182*CP191+CO183*CP190+CO184*CP189+CO185*CP188+CO186*CP187+CO187*CP186+CO188*CP185+CO189*CP184+CO190*CP183+CO191*CP182+CO192*CP181+CO193</f>
        <v>4330.5744381541699</v>
      </c>
      <c r="CR193" s="119">
        <f t="shared" si="452"/>
        <v>2.809902523961727E-2</v>
      </c>
      <c r="CS193" s="119"/>
      <c r="CT193" s="177">
        <f t="shared" si="453"/>
        <v>7.1748847213549743E-3</v>
      </c>
      <c r="CU193" s="177">
        <f t="shared" si="461"/>
        <v>6.9706917500029176E-3</v>
      </c>
      <c r="CV193" s="119">
        <f>VLOOKUP($H193,RoR!$E:$F,2,FALSE)</f>
        <v>4.6391666666666664E-2</v>
      </c>
      <c r="CW193" s="177">
        <v>2.0840920205183799E-2</v>
      </c>
      <c r="CX193" s="177">
        <f t="shared" si="459"/>
        <v>2.5550746461482865E-2</v>
      </c>
      <c r="CY193" s="177">
        <f t="shared" si="462"/>
        <v>2.3931249858530707E-2</v>
      </c>
      <c r="CZ193" s="177">
        <f t="shared" si="463"/>
        <v>2.4810540821321614E-2</v>
      </c>
      <c r="DA193" s="187">
        <f t="shared" si="454"/>
        <v>0.84737312500000006</v>
      </c>
      <c r="DB193" s="188">
        <f t="shared" si="455"/>
        <v>1.1054151524782025</v>
      </c>
      <c r="DC193" s="188">
        <f t="shared" si="456"/>
        <v>0.43611011316687626</v>
      </c>
      <c r="DD193" s="188">
        <f t="shared" si="457"/>
        <v>0.83698442246886229</v>
      </c>
      <c r="DE193" s="188">
        <f t="shared" si="458"/>
        <v>0.40349573304423936</v>
      </c>
      <c r="DF193" s="189">
        <f>INDEX('State Tax Lookup'!$D$7:$Z$91,MATCH(Calculation!$C193,'State Tax Lookup'!$B$7:$B$91,0),MATCH($H193,'State Tax Lookup'!$D$6:$Z$6,0))</f>
        <v>0.40700500000000001</v>
      </c>
      <c r="DG193" s="189">
        <v>0.375</v>
      </c>
      <c r="DH193" s="190">
        <f t="shared" si="460"/>
        <v>20.879860559742582</v>
      </c>
      <c r="DI193" s="190">
        <v>20.552092999105206</v>
      </c>
      <c r="DJ193" s="177"/>
      <c r="DK193" s="189">
        <f>VLOOKUP($H193,RoR!$E:$F,2,FALSE)</f>
        <v>4.6391666666666664E-2</v>
      </c>
      <c r="DL193" s="191">
        <f>HLOOKUP($H193,'GDP-PI'!$D$8:$CQ$11,3,FALSE)</f>
        <v>2.0840920205183799E-2</v>
      </c>
      <c r="DM193" s="189">
        <f>VLOOKUP(H193,'HW Dx Data'!$E:$F,2,FALSE)</f>
        <v>611.61109612283201</v>
      </c>
      <c r="DN193" s="183">
        <f>VLOOKUP(H193,'ECI - Input Price'!$G$17:$H$37,2,FALSE)</f>
        <v>114.3</v>
      </c>
      <c r="DO193" s="177">
        <f t="shared" ref="DO193" si="499">LN(DN193/DN192)</f>
        <v>2.1444394205745516E-2</v>
      </c>
      <c r="DP193" s="183">
        <f>HLOOKUP(H193,'GDP-PI'!$8:$9,2,FALSE)</f>
        <v>98.111999999999995</v>
      </c>
      <c r="DQ193" s="177">
        <f t="shared" ref="DQ193" si="500">LN(DP193/DP192)</f>
        <v>2.0626719212849295E-2</v>
      </c>
      <c r="DW193" s="192"/>
      <c r="DX193" s="192"/>
      <c r="DY193" s="192"/>
      <c r="DZ193" s="192"/>
      <c r="EA193" s="192"/>
      <c r="EB193" s="192"/>
      <c r="EC193" s="192"/>
      <c r="ED193" s="192"/>
      <c r="EE193" s="192"/>
    </row>
    <row r="194" spans="1:135" s="167" customFormat="1" ht="21" x14ac:dyDescent="0.35">
      <c r="A194" s="167" t="s">
        <v>38</v>
      </c>
      <c r="B194" s="168" t="s">
        <v>38</v>
      </c>
      <c r="C194" s="168">
        <v>4057111</v>
      </c>
      <c r="D194" s="168" t="s">
        <v>333</v>
      </c>
      <c r="E194" s="168" t="s">
        <v>126</v>
      </c>
      <c r="F194" s="168"/>
      <c r="G194" s="168" t="s">
        <v>18</v>
      </c>
      <c r="H194" s="169">
        <v>2012</v>
      </c>
      <c r="I194" s="170"/>
      <c r="J194" s="166">
        <f>IFERROR(INDEX('Labor Expenditures'!$F$7:$X$91,MATCH($C194,'Labor Expenditures'!$D$7:$D$91,0),MATCH($G194,'Labor Expenditures'!$F$5:$X$5,0)),"NA")</f>
        <v>55368.13265334582</v>
      </c>
      <c r="K194" s="166">
        <f t="shared" si="466"/>
        <v>475.26294123043624</v>
      </c>
      <c r="L194" s="172">
        <f t="shared" si="476"/>
        <v>-0.15974130023422173</v>
      </c>
      <c r="M194" s="172">
        <f t="shared" si="477"/>
        <v>-3.4880261160699787E-3</v>
      </c>
      <c r="N194" s="196"/>
      <c r="O194" s="172"/>
      <c r="P194" s="166">
        <f>IFERROR(INDEX('Non-Labor Expenditures'!$F$7:$AB$91,MATCH($C194,'Non-Labor Expenditures'!$D$7:$D$91,0),MATCH($G194,'Non-Labor Expenditures'!$F$5:$AB$5,0)),"NA")</f>
        <v>80183.397422745067</v>
      </c>
      <c r="Q194" s="166">
        <f t="shared" si="467"/>
        <v>801.83397422745065</v>
      </c>
      <c r="R194" s="172">
        <f t="shared" si="478"/>
        <v>-0.15973710076797396</v>
      </c>
      <c r="S194" s="172">
        <f t="shared" si="483"/>
        <v>-3.4879344187573598E-3</v>
      </c>
      <c r="T194" s="172"/>
      <c r="U194" s="172"/>
      <c r="V194" s="166">
        <f t="shared" si="448"/>
        <v>97791.604888087371</v>
      </c>
      <c r="W194" s="170"/>
      <c r="X194" s="174">
        <v>4438.9822870043772</v>
      </c>
      <c r="Y194" s="175">
        <v>2.4724937615842064E-2</v>
      </c>
      <c r="Z194" s="175">
        <f t="shared" si="484"/>
        <v>5.3988059440987621E-4</v>
      </c>
      <c r="AA194" s="175"/>
      <c r="AB194" s="175"/>
      <c r="AC194" s="170">
        <f t="shared" si="490"/>
        <v>233343.13496417826</v>
      </c>
      <c r="AD194" s="175">
        <f t="shared" si="479"/>
        <v>-4.442575220603534E-2</v>
      </c>
      <c r="AE194" s="170"/>
      <c r="AF194" s="170"/>
      <c r="AG194" s="121">
        <f t="shared" si="480"/>
        <v>348.74648585047214</v>
      </c>
      <c r="AH194" s="119">
        <f>+AZ194/$BB$50</f>
        <v>1.847902985154358E-2</v>
      </c>
      <c r="AI194" s="119">
        <f>+AZ194/$BC$50</f>
        <v>7.8855076303418523E-2</v>
      </c>
      <c r="AJ194" s="176">
        <f t="shared" si="485"/>
        <v>6.4444967226517953</v>
      </c>
      <c r="AK194" s="176">
        <f t="shared" si="486"/>
        <v>27.50043075228805</v>
      </c>
      <c r="AL194" s="120">
        <f t="shared" si="468"/>
        <v>0.23728202958208167</v>
      </c>
      <c r="AM194" s="120">
        <f t="shared" si="469"/>
        <v>0.34362869700475418</v>
      </c>
      <c r="AN194" s="120">
        <f t="shared" si="470"/>
        <v>0.41908927341316415</v>
      </c>
      <c r="AO194" s="120">
        <f t="shared" si="473"/>
        <v>-8.7845349738437925E-2</v>
      </c>
      <c r="AP194" s="173">
        <f t="shared" si="491"/>
        <v>107.31985512362422</v>
      </c>
      <c r="AQ194" s="175">
        <f t="shared" si="492"/>
        <v>-8.7845349738437925E-2</v>
      </c>
      <c r="AR194" s="177">
        <f>+AC194/$AE$50</f>
        <v>2.1835468416468613E-2</v>
      </c>
      <c r="AS194" s="177">
        <f t="shared" si="487"/>
        <v>-1.9181443597473006E-3</v>
      </c>
      <c r="AT194" s="177"/>
      <c r="AU194" s="177"/>
      <c r="AV194" s="177"/>
      <c r="AW194" s="190"/>
      <c r="AX194" s="120"/>
      <c r="AY194" s="120"/>
      <c r="AZ194" s="118">
        <f>IFERROR(INDEX('Total Customers'!$F$7:$AB$91,MATCH($C194,'Total Customers'!$D$7:$D$91,0),MATCH($G194,'Total Customers'!$F$5:$AB$5,0)),"NA")</f>
        <v>669091</v>
      </c>
      <c r="BA194" s="119">
        <f t="shared" si="449"/>
        <v>1.1316369251699036E-2</v>
      </c>
      <c r="BB194" s="119"/>
      <c r="BC194" s="121">
        <v>8485072</v>
      </c>
      <c r="BD194" s="119"/>
      <c r="BE194" s="119"/>
      <c r="BF194" s="119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18"/>
      <c r="BR194" s="118"/>
      <c r="BS194" s="118">
        <f>INDEX('Dist. Plant Gas Additions'!$F$7:$AE$91,MATCH($C194,'Dist. Plant Gas Additions'!$D$7:$D$91,0),MATCH(Calculation!$G194,'Dist. Plant Gas Additions'!$F$5:$AE$5,0))</f>
        <v>91463</v>
      </c>
      <c r="BT194" s="118">
        <f>INDEX('Gen. Plant Additions'!$F$7:$AE$91,MATCH($C194,'Gen. Plant Additions'!$D$7:$D$91,0),MATCH(Calculation!$G194,'Gen. Plant Additions'!$F$5:$AE$5,0))</f>
        <v>2483</v>
      </c>
      <c r="BU194" s="118"/>
      <c r="BV194" s="118"/>
      <c r="BW194" s="118" t="str">
        <f>INDEX('Dist Plant Depreciation'!$E$7:$AD$94,MATCH($C194,'Dist Plant Depreciation'!$D$7:$D$94,0),MATCH(Calculation!$G194,'Dist Plant Depreciation'!$E$5:$AD$5,0))</f>
        <v>NA</v>
      </c>
      <c r="BX194" s="118" t="str">
        <f>INDEX('Gen. Plant Depreciation'!$E$7:$AD$94,MATCH($C194,'Gen. Plant Depreciation'!$D$7:$D$94,0),MATCH(Calculation!$G194,'Gen. Plant Depreciation'!$E$5:$AD$5,0))</f>
        <v>NA</v>
      </c>
      <c r="BY194" s="118"/>
      <c r="BZ194" s="118"/>
      <c r="CA194" s="118"/>
      <c r="CB194" s="118"/>
      <c r="CC194" s="118"/>
      <c r="CD194" s="118"/>
      <c r="CE194" s="118">
        <f>INDEX('Gross Dx Plant'!$E$7:$AD$91,MATCH($C194,'Gross Dx Plant'!$D$7:$D$91,0),MATCH(Calculation!$G194,'Gross Dx Plant'!$E$5:$AD$5,0))</f>
        <v>1194008</v>
      </c>
      <c r="CF194" s="118">
        <f>INDEX('Gross Gen Plant'!$E$7:$AD$91,MATCH($C194,'Gross Gen Plant'!$D$7:$D$91,0),MATCH(Calculation!$G194,'Gross Gen Plant'!$E$5:$AD$5,0))</f>
        <v>55679</v>
      </c>
      <c r="CG194" s="118" t="str">
        <f t="shared" si="426"/>
        <v>NA</v>
      </c>
      <c r="CH194" s="118"/>
      <c r="CI194" s="121">
        <v>2012</v>
      </c>
      <c r="CJ194" s="118"/>
      <c r="CK194" s="118"/>
      <c r="CL194" s="118"/>
      <c r="CM194" s="183"/>
      <c r="CN194" s="118">
        <f t="shared" si="450"/>
        <v>93946</v>
      </c>
      <c r="CO194" s="118">
        <f t="shared" si="451"/>
        <v>140.44444059904569</v>
      </c>
      <c r="CP194" s="186">
        <v>0.9135802469135802</v>
      </c>
      <c r="CQ194" s="118">
        <f>+CQ180*CP194+CO181*CP193+CO182*CP192+CO183*CP191+CO184*CP190+CO185*CP189+CO186*CP188+CO187*CP187+CO188*CP186+CO189*CP185+CO190*CP184+CO191*CP183+CO192*CP182+CO193*CP181+CO194</f>
        <v>4438.9822870043772</v>
      </c>
      <c r="CR194" s="119">
        <f t="shared" si="452"/>
        <v>2.4724937615842064E-2</v>
      </c>
      <c r="CS194" s="119"/>
      <c r="CT194" s="177">
        <f t="shared" si="453"/>
        <v>7.3977695583714326E-3</v>
      </c>
      <c r="CU194" s="177">
        <f t="shared" si="461"/>
        <v>7.1773118233368358E-3</v>
      </c>
      <c r="CV194" s="119">
        <f>VLOOKUP($H194,RoR!$E:$F,2,FALSE)</f>
        <v>3.6733333333333333E-2</v>
      </c>
      <c r="CW194" s="177">
        <v>1.924331376386168E-2</v>
      </c>
      <c r="CX194" s="177">
        <f t="shared" si="459"/>
        <v>1.7490019569471653E-2</v>
      </c>
      <c r="CY194" s="177">
        <f t="shared" si="462"/>
        <v>2.372462978519679E-2</v>
      </c>
      <c r="CZ194" s="177">
        <f t="shared" si="463"/>
        <v>6.7122682943869583E-2</v>
      </c>
      <c r="DA194" s="187">
        <f t="shared" si="454"/>
        <v>0.84737312500000006</v>
      </c>
      <c r="DB194" s="188">
        <f t="shared" si="455"/>
        <v>1.3960631020522127</v>
      </c>
      <c r="DC194" s="188">
        <f t="shared" si="456"/>
        <v>0.29441923774954631</v>
      </c>
      <c r="DD194" s="188">
        <f t="shared" si="457"/>
        <v>0.76377954189366437</v>
      </c>
      <c r="DE194" s="188">
        <f t="shared" si="458"/>
        <v>0.31393465103033691</v>
      </c>
      <c r="DF194" s="189">
        <f>INDEX('State Tax Lookup'!$D$7:$Z$91,MATCH(Calculation!$C194,'State Tax Lookup'!$B$7:$B$91,0),MATCH($H194,'State Tax Lookup'!$D$6:$Z$6,0))</f>
        <v>0.40700500000000001</v>
      </c>
      <c r="DG194" s="189">
        <v>0.375</v>
      </c>
      <c r="DH194" s="190">
        <f t="shared" si="460"/>
        <v>22.581670465355007</v>
      </c>
      <c r="DI194" s="190">
        <v>22.25963470380016</v>
      </c>
      <c r="DJ194" s="177"/>
      <c r="DK194" s="189">
        <f>VLOOKUP($H194,RoR!$E:$F,2,FALSE)</f>
        <v>3.6733333333333333E-2</v>
      </c>
      <c r="DL194" s="191">
        <f>HLOOKUP($H194,'GDP-PI'!$D$8:$CQ$11,3,FALSE)</f>
        <v>1.924331376386168E-2</v>
      </c>
      <c r="DM194" s="189">
        <f>VLOOKUP(H194,'HW Dx Data'!$E:$F,2,FALSE)</f>
        <v>668.91932211262167</v>
      </c>
      <c r="DN194" s="183">
        <f>VLOOKUP(H194,'ECI - Input Price'!$G$17:$H$37,2,FALSE)</f>
        <v>116.5</v>
      </c>
      <c r="DO194" s="177">
        <f t="shared" ref="DO194" si="501">LN(DN194/DN193)</f>
        <v>1.9064702204990347E-2</v>
      </c>
      <c r="DP194" s="183">
        <f>HLOOKUP(H194,'GDP-PI'!$8:$9,2,FALSE)</f>
        <v>100</v>
      </c>
      <c r="DQ194" s="177">
        <f t="shared" ref="DQ194" si="502">LN(DP194/DP193)</f>
        <v>1.9060502738742411E-2</v>
      </c>
      <c r="DW194" s="192"/>
      <c r="DX194" s="192"/>
      <c r="DY194" s="192"/>
      <c r="DZ194" s="192"/>
      <c r="EA194" s="192"/>
      <c r="EB194" s="192"/>
      <c r="EC194" s="192"/>
      <c r="ED194" s="192"/>
      <c r="EE194" s="192"/>
    </row>
    <row r="195" spans="1:135" s="167" customFormat="1" ht="21" x14ac:dyDescent="0.35">
      <c r="A195" s="167" t="s">
        <v>38</v>
      </c>
      <c r="B195" s="168" t="s">
        <v>38</v>
      </c>
      <c r="C195" s="168">
        <v>4057111</v>
      </c>
      <c r="D195" s="168" t="s">
        <v>333</v>
      </c>
      <c r="E195" s="168" t="s">
        <v>126</v>
      </c>
      <c r="F195" s="168"/>
      <c r="G195" s="168" t="s">
        <v>19</v>
      </c>
      <c r="H195" s="169">
        <v>2013</v>
      </c>
      <c r="I195" s="170"/>
      <c r="J195" s="166">
        <f>IFERROR(INDEX('Labor Expenditures'!$F$7:$X$91,MATCH($C195,'Labor Expenditures'!$D$7:$D$91,0),MATCH($G195,'Labor Expenditures'!$F$5:$X$5,0)),"NA")</f>
        <v>68025.816273212113</v>
      </c>
      <c r="K195" s="166">
        <f t="shared" si="466"/>
        <v>572.96960432269623</v>
      </c>
      <c r="L195" s="172">
        <f t="shared" si="476"/>
        <v>0.18696445738878825</v>
      </c>
      <c r="M195" s="172">
        <f t="shared" si="477"/>
        <v>4.4707442305247274E-3</v>
      </c>
      <c r="N195" s="196"/>
      <c r="O195" s="172"/>
      <c r="P195" s="166">
        <f>IFERROR(INDEX('Non-Labor Expenditures'!$F$7:$AB$91,MATCH($C195,'Non-Labor Expenditures'!$D$7:$D$91,0),MATCH($G195,'Non-Labor Expenditures'!$F$5:$AB$5,0)),"NA")</f>
        <v>98514.087433504872</v>
      </c>
      <c r="Q195" s="166">
        <f t="shared" si="467"/>
        <v>967.9786135173855</v>
      </c>
      <c r="R195" s="172">
        <f t="shared" si="478"/>
        <v>0.18830842180170834</v>
      </c>
      <c r="S195" s="172">
        <f t="shared" si="483"/>
        <v>4.5028814678852941E-3</v>
      </c>
      <c r="T195" s="172"/>
      <c r="U195" s="172"/>
      <c r="V195" s="166">
        <f t="shared" si="448"/>
        <v>98524.465437254679</v>
      </c>
      <c r="W195" s="170"/>
      <c r="X195" s="174">
        <v>4501.5645900790933</v>
      </c>
      <c r="Y195" s="175">
        <v>1.3999887499719064E-2</v>
      </c>
      <c r="Z195" s="175">
        <f t="shared" si="484"/>
        <v>3.3476906328356291E-4</v>
      </c>
      <c r="AA195" s="175"/>
      <c r="AB195" s="175"/>
      <c r="AC195" s="170">
        <f t="shared" si="490"/>
        <v>265064.36914397165</v>
      </c>
      <c r="AD195" s="175">
        <f t="shared" si="479"/>
        <v>0.12746264643792346</v>
      </c>
      <c r="AE195" s="170"/>
      <c r="AF195" s="170"/>
      <c r="AG195" s="121">
        <f t="shared" si="480"/>
        <v>391.4579065543258</v>
      </c>
      <c r="AH195" s="119">
        <f>+AZ195/$BB$51</f>
        <v>1.8581243155895166E-2</v>
      </c>
      <c r="AI195" s="119">
        <f>+AZ195/$BC$51</f>
        <v>7.9335356472543805E-2</v>
      </c>
      <c r="AJ195" s="176">
        <f t="shared" si="485"/>
        <v>7.2737745469836153</v>
      </c>
      <c r="AK195" s="176">
        <f t="shared" si="486"/>
        <v>31.05645256048318</v>
      </c>
      <c r="AL195" s="120">
        <f t="shared" si="468"/>
        <v>0.25663885528221786</v>
      </c>
      <c r="AM195" s="120">
        <f t="shared" si="469"/>
        <v>0.37166099597489177</v>
      </c>
      <c r="AN195" s="120">
        <f t="shared" si="470"/>
        <v>0.37170014874289042</v>
      </c>
      <c r="AO195" s="120">
        <f t="shared" si="473"/>
        <v>0.11905584319691109</v>
      </c>
      <c r="AP195" s="173">
        <f t="shared" si="491"/>
        <v>120.88860706411329</v>
      </c>
      <c r="AQ195" s="175">
        <f t="shared" si="492"/>
        <v>0.11905584319691109</v>
      </c>
      <c r="AR195" s="177">
        <f>+AC195/$AE$51</f>
        <v>2.3912268101460153E-2</v>
      </c>
      <c r="AS195" s="177">
        <f t="shared" si="487"/>
        <v>2.8468952415699389E-3</v>
      </c>
      <c r="AT195" s="177"/>
      <c r="AU195" s="177"/>
      <c r="AV195" s="177"/>
      <c r="AW195" s="190"/>
      <c r="AX195" s="120"/>
      <c r="AY195" s="120"/>
      <c r="AZ195" s="118">
        <f>IFERROR(INDEX('Total Customers'!$F$7:$AB$91,MATCH($C195,'Total Customers'!$D$7:$D$91,0),MATCH($G195,'Total Customers'!$F$5:$AB$5,0)),"NA")</f>
        <v>677121</v>
      </c>
      <c r="BA195" s="119">
        <f t="shared" si="449"/>
        <v>1.1929911837727489E-2</v>
      </c>
      <c r="BB195" s="119"/>
      <c r="BC195" s="121">
        <v>8534921</v>
      </c>
      <c r="BD195" s="119"/>
      <c r="BE195" s="119"/>
      <c r="BF195" s="119"/>
      <c r="BG195" s="173"/>
      <c r="BH195" s="173"/>
      <c r="BI195" s="173"/>
      <c r="BJ195" s="173"/>
      <c r="BK195" s="173"/>
      <c r="BL195" s="173"/>
      <c r="BM195" s="173"/>
      <c r="BN195" s="173"/>
      <c r="BO195" s="173"/>
      <c r="BP195" s="173"/>
      <c r="BQ195" s="118"/>
      <c r="BR195" s="118"/>
      <c r="BS195" s="118">
        <f>INDEX('Dist. Plant Gas Additions'!$F$7:$AE$91,MATCH($C195,'Dist. Plant Gas Additions'!$D$7:$D$91,0),MATCH(Calculation!$G195,'Dist. Plant Gas Additions'!$F$5:$AE$5,0))</f>
        <v>56659</v>
      </c>
      <c r="BT195" s="118">
        <f>INDEX('Gen. Plant Additions'!$F$7:$AE$91,MATCH($C195,'Gen. Plant Additions'!$D$7:$D$91,0),MATCH(Calculation!$G195,'Gen. Plant Additions'!$F$5:$AE$5,0))</f>
        <v>7330</v>
      </c>
      <c r="BU195" s="118"/>
      <c r="BV195" s="118"/>
      <c r="BW195" s="118" t="str">
        <f>INDEX('Dist Plant Depreciation'!$E$7:$AD$94,MATCH($C195,'Dist Plant Depreciation'!$D$7:$D$94,0),MATCH(Calculation!$G195,'Dist Plant Depreciation'!$E$5:$AD$5,0))</f>
        <v>NA</v>
      </c>
      <c r="BX195" s="118" t="str">
        <f>INDEX('Gen. Plant Depreciation'!$E$7:$AD$94,MATCH($C195,'Gen. Plant Depreciation'!$D$7:$D$94,0),MATCH(Calculation!$G195,'Gen. Plant Depreciation'!$E$5:$AD$5,0))</f>
        <v>NA</v>
      </c>
      <c r="BY195" s="118"/>
      <c r="BZ195" s="118"/>
      <c r="CA195" s="118"/>
      <c r="CB195" s="118"/>
      <c r="CC195" s="118"/>
      <c r="CD195" s="118"/>
      <c r="CE195" s="118">
        <f>INDEX('Gross Dx Plant'!$E$7:$AD$91,MATCH($C195,'Gross Dx Plant'!$D$7:$D$91,0),MATCH(Calculation!$G195,'Gross Dx Plant'!$E$5:$AD$5,0))</f>
        <v>1232858</v>
      </c>
      <c r="CF195" s="118">
        <f>INDEX('Gross Gen Plant'!$E$7:$AD$91,MATCH($C195,'Gross Gen Plant'!$D$7:$D$91,0),MATCH(Calculation!$G195,'Gross Gen Plant'!$E$5:$AD$5,0))</f>
        <v>62522</v>
      </c>
      <c r="CG195" s="118" t="str">
        <f t="shared" si="426"/>
        <v>NA</v>
      </c>
      <c r="CH195" s="118"/>
      <c r="CI195" s="121">
        <v>2013</v>
      </c>
      <c r="CJ195" s="118"/>
      <c r="CK195" s="118"/>
      <c r="CL195" s="118"/>
      <c r="CM195" s="183"/>
      <c r="CN195" s="118">
        <f t="shared" si="450"/>
        <v>63989</v>
      </c>
      <c r="CO195" s="118">
        <f t="shared" si="451"/>
        <v>96.478181433241446</v>
      </c>
      <c r="CP195" s="186">
        <v>0.90566037735849059</v>
      </c>
      <c r="CQ195" s="118">
        <f>+CQ180*CP195+CO181*CP194+CO182*CP193+CO183*CP192+CO184*CP191+CO185*CP190+CO186*CP189+CO187*CP188+CO188*CP187+CO189*CP186+CO190*CP185+CO191*CP184+CO192*CP183+CO193*CP182+CO194*CP181+CO195</f>
        <v>4501.5645900790933</v>
      </c>
      <c r="CR195" s="119">
        <f t="shared" si="452"/>
        <v>1.3999887499719064E-2</v>
      </c>
      <c r="CS195" s="119"/>
      <c r="CT195" s="177">
        <f t="shared" si="453"/>
        <v>7.6359571106556171E-3</v>
      </c>
      <c r="CU195" s="177">
        <f t="shared" si="461"/>
        <v>7.402870463460675E-3</v>
      </c>
      <c r="CV195" s="119">
        <f>VLOOKUP($H195,RoR!$E:$F,2,FALSE)</f>
        <v>4.2350000000000006E-2</v>
      </c>
      <c r="CW195" s="177">
        <v>1.7730000000000024E-2</v>
      </c>
      <c r="CX195" s="177">
        <f t="shared" si="459"/>
        <v>2.4619999999999982E-2</v>
      </c>
      <c r="CY195" s="177">
        <f t="shared" si="462"/>
        <v>2.349907114507295E-2</v>
      </c>
      <c r="CZ195" s="177">
        <f t="shared" si="463"/>
        <v>5.3376742735721204E-2</v>
      </c>
      <c r="DA195" s="187">
        <f t="shared" si="454"/>
        <v>0.84737312500000006</v>
      </c>
      <c r="DB195" s="188">
        <f t="shared" si="455"/>
        <v>1.2109103018193925</v>
      </c>
      <c r="DC195" s="188">
        <f t="shared" si="456"/>
        <v>0.38468122786304604</v>
      </c>
      <c r="DD195" s="188">
        <f t="shared" si="457"/>
        <v>0.80969194503422559</v>
      </c>
      <c r="DE195" s="188">
        <f t="shared" si="458"/>
        <v>0.37716621754800816</v>
      </c>
      <c r="DF195" s="189">
        <f>INDEX('State Tax Lookup'!$D$7:$Z$91,MATCH(Calculation!$C195,'State Tax Lookup'!$B$7:$B$91,0),MATCH($H195,'State Tax Lookup'!$D$6:$Z$6,0))</f>
        <v>0.40700500000000001</v>
      </c>
      <c r="DG195" s="189">
        <v>0.375</v>
      </c>
      <c r="DH195" s="190">
        <f t="shared" si="460"/>
        <v>22.195282401936183</v>
      </c>
      <c r="DI195" s="190">
        <v>21.861738030254095</v>
      </c>
      <c r="DJ195" s="177"/>
      <c r="DK195" s="189">
        <f>VLOOKUP($H195,RoR!$E:$F,2,FALSE)</f>
        <v>4.2350000000000006E-2</v>
      </c>
      <c r="DL195" s="191">
        <f>HLOOKUP($H195,'GDP-PI'!$D$8:$CQ$11,3,FALSE)</f>
        <v>1.7730000000000024E-2</v>
      </c>
      <c r="DM195" s="189">
        <f>VLOOKUP(H195,'HW Dx Data'!$E:$F,2,FALSE)</f>
        <v>663.24840548821396</v>
      </c>
      <c r="DN195" s="183">
        <f>VLOOKUP(H195,'ECI - Input Price'!$G$17:$H$37,2,FALSE)</f>
        <v>118.72499999999999</v>
      </c>
      <c r="DO195" s="177">
        <f t="shared" ref="DO195" si="503">LN(DN195/DN194)</f>
        <v>1.8918621429430321E-2</v>
      </c>
      <c r="DP195" s="183">
        <f>HLOOKUP(H195,'GDP-PI'!$8:$9,2,FALSE)</f>
        <v>101.773</v>
      </c>
      <c r="DQ195" s="177">
        <f t="shared" ref="DQ195" si="504">LN(DP195/DP194)</f>
        <v>1.7574657016510519E-2</v>
      </c>
      <c r="DW195" s="192"/>
      <c r="DX195" s="192"/>
      <c r="DY195" s="192"/>
      <c r="DZ195" s="192"/>
      <c r="EA195" s="192"/>
      <c r="EB195" s="192"/>
      <c r="EC195" s="192"/>
      <c r="ED195" s="192"/>
      <c r="EE195" s="192"/>
    </row>
    <row r="196" spans="1:135" s="167" customFormat="1" ht="21" x14ac:dyDescent="0.35">
      <c r="A196" s="167" t="s">
        <v>38</v>
      </c>
      <c r="B196" s="168" t="s">
        <v>38</v>
      </c>
      <c r="C196" s="168">
        <v>4057111</v>
      </c>
      <c r="D196" s="168" t="s">
        <v>333</v>
      </c>
      <c r="E196" s="168" t="s">
        <v>126</v>
      </c>
      <c r="F196" s="168"/>
      <c r="G196" s="168" t="s">
        <v>20</v>
      </c>
      <c r="H196" s="169">
        <v>2014</v>
      </c>
      <c r="I196" s="170"/>
      <c r="J196" s="166">
        <f>IFERROR(INDEX('Labor Expenditures'!$F$7:$X$91,MATCH($C196,'Labor Expenditures'!$D$7:$D$91,0),MATCH($G196,'Labor Expenditures'!$F$5:$X$5,0)),"NA")</f>
        <v>69294.100166773147</v>
      </c>
      <c r="K196" s="166">
        <f t="shared" si="466"/>
        <v>571.73349972585106</v>
      </c>
      <c r="L196" s="172">
        <f t="shared" si="476"/>
        <v>-2.1596955104521026E-3</v>
      </c>
      <c r="M196" s="172">
        <f t="shared" si="477"/>
        <v>-5.1578217858021743E-5</v>
      </c>
      <c r="N196" s="196"/>
      <c r="O196" s="172"/>
      <c r="P196" s="166">
        <f>IFERROR(INDEX('Non-Labor Expenditures'!$F$7:$AB$91,MATCH($C196,'Non-Labor Expenditures'!$D$7:$D$91,0),MATCH($G196,'Non-Labor Expenditures'!$F$5:$AB$5,0)),"NA")</f>
        <v>100350.79939413707</v>
      </c>
      <c r="Q196" s="166">
        <f t="shared" si="467"/>
        <v>968.19781946546505</v>
      </c>
      <c r="R196" s="172">
        <f t="shared" si="478"/>
        <v>2.2643179132015491E-4</v>
      </c>
      <c r="S196" s="172">
        <f t="shared" si="483"/>
        <v>5.4076827988813289E-6</v>
      </c>
      <c r="T196" s="172"/>
      <c r="U196" s="172"/>
      <c r="V196" s="166">
        <f t="shared" si="448"/>
        <v>102129.56104304436</v>
      </c>
      <c r="W196" s="170"/>
      <c r="X196" s="174">
        <v>4595.4399361425276</v>
      </c>
      <c r="Y196" s="175">
        <v>2.0639470552770975E-2</v>
      </c>
      <c r="Z196" s="175">
        <f t="shared" si="484"/>
        <v>4.9291536862166164E-4</v>
      </c>
      <c r="AA196" s="175"/>
      <c r="AB196" s="175"/>
      <c r="AC196" s="170">
        <f t="shared" si="490"/>
        <v>271774.46060395456</v>
      </c>
      <c r="AD196" s="175">
        <f t="shared" si="479"/>
        <v>2.4999834452344671E-2</v>
      </c>
      <c r="AE196" s="170"/>
      <c r="AF196" s="170"/>
      <c r="AG196" s="121">
        <f t="shared" si="480"/>
        <v>394.37557225232331</v>
      </c>
      <c r="AH196" s="119">
        <f>+AZ196/$BB$52</f>
        <v>1.8809164840385115E-2</v>
      </c>
      <c r="AI196" s="119">
        <f>+AZ196/$BC$52</f>
        <v>8.0133222415431887E-2</v>
      </c>
      <c r="AJ196" s="176">
        <f t="shared" si="485"/>
        <v>7.4178751475151596</v>
      </c>
      <c r="AK196" s="176">
        <f t="shared" si="486"/>
        <v>31.602585446508652</v>
      </c>
      <c r="AL196" s="120">
        <f t="shared" si="468"/>
        <v>0.25496913879539446</v>
      </c>
      <c r="AM196" s="120">
        <f t="shared" si="469"/>
        <v>0.36924293464194946</v>
      </c>
      <c r="AN196" s="120">
        <f t="shared" si="470"/>
        <v>0.37578792656265614</v>
      </c>
      <c r="AO196" s="120">
        <f t="shared" si="473"/>
        <v>7.2453024175505865E-3</v>
      </c>
      <c r="AP196" s="173">
        <f t="shared" si="491"/>
        <v>121.76766224599309</v>
      </c>
      <c r="AQ196" s="175">
        <f t="shared" si="492"/>
        <v>7.2453024175505457E-3</v>
      </c>
      <c r="AR196" s="177">
        <f>+AC196/$AE$52</f>
        <v>2.3882171171076126E-2</v>
      </c>
      <c r="AS196" s="177">
        <f t="shared" si="487"/>
        <v>1.730335525221538E-4</v>
      </c>
      <c r="AT196" s="177"/>
      <c r="AU196" s="177"/>
      <c r="AV196" s="177"/>
      <c r="AW196" s="190"/>
      <c r="AX196" s="120"/>
      <c r="AY196" s="120"/>
      <c r="AZ196" s="118">
        <f>IFERROR(INDEX('Total Customers'!$F$7:$AB$91,MATCH($C196,'Total Customers'!$D$7:$D$91,0),MATCH($G196,'Total Customers'!$F$5:$AB$5,0)),"NA")</f>
        <v>689126</v>
      </c>
      <c r="BA196" s="119">
        <f t="shared" si="449"/>
        <v>1.7574141392504988E-2</v>
      </c>
      <c r="BB196" s="119"/>
      <c r="BC196" s="121">
        <v>8599754</v>
      </c>
      <c r="BD196" s="119"/>
      <c r="BE196" s="119"/>
      <c r="BF196" s="119"/>
      <c r="BG196" s="173"/>
      <c r="BH196" s="173"/>
      <c r="BI196" s="173"/>
      <c r="BJ196" s="173"/>
      <c r="BK196" s="173"/>
      <c r="BL196" s="173"/>
      <c r="BM196" s="173"/>
      <c r="BN196" s="173"/>
      <c r="BO196" s="173"/>
      <c r="BP196" s="173"/>
      <c r="BQ196" s="118"/>
      <c r="BR196" s="118"/>
      <c r="BS196" s="118">
        <f>INDEX('Dist. Plant Gas Additions'!$F$7:$AE$91,MATCH($C196,'Dist. Plant Gas Additions'!$D$7:$D$91,0),MATCH(Calculation!$G196,'Dist. Plant Gas Additions'!$F$5:$AE$5,0))</f>
        <v>85068</v>
      </c>
      <c r="BT196" s="118">
        <f>INDEX('Gen. Plant Additions'!$F$7:$AE$91,MATCH($C196,'Gen. Plant Additions'!$D$7:$D$91,0),MATCH(Calculation!$G196,'Gen. Plant Additions'!$F$5:$AE$5,0))</f>
        <v>3569</v>
      </c>
      <c r="BU196" s="118"/>
      <c r="BV196" s="118"/>
      <c r="BW196" s="118" t="str">
        <f>INDEX('Dist Plant Depreciation'!$E$7:$AD$94,MATCH($C196,'Dist Plant Depreciation'!$D$7:$D$94,0),MATCH(Calculation!$G196,'Dist Plant Depreciation'!$E$5:$AD$5,0))</f>
        <v>NA</v>
      </c>
      <c r="BX196" s="118" t="str">
        <f>INDEX('Gen. Plant Depreciation'!$E$7:$AD$94,MATCH($C196,'Gen. Plant Depreciation'!$D$7:$D$94,0),MATCH(Calculation!$G196,'Gen. Plant Depreciation'!$E$5:$AD$5,0))</f>
        <v>NA</v>
      </c>
      <c r="BY196" s="118"/>
      <c r="BZ196" s="118"/>
      <c r="CA196" s="118"/>
      <c r="CB196" s="118"/>
      <c r="CC196" s="118"/>
      <c r="CD196" s="118"/>
      <c r="CE196" s="118">
        <f>INDEX('Gross Dx Plant'!$E$7:$AD$91,MATCH($C196,'Gross Dx Plant'!$D$7:$D$91,0),MATCH(Calculation!$G196,'Gross Dx Plant'!$E$5:$AD$5,0))</f>
        <v>1306636</v>
      </c>
      <c r="CF196" s="118">
        <f>INDEX('Gross Gen Plant'!$E$7:$AD$91,MATCH($C196,'Gross Gen Plant'!$D$7:$D$91,0),MATCH(Calculation!$G196,'Gross Gen Plant'!$E$5:$AD$5,0))</f>
        <v>65679</v>
      </c>
      <c r="CG196" s="118" t="str">
        <f t="shared" si="426"/>
        <v>NA</v>
      </c>
      <c r="CH196" s="118"/>
      <c r="CI196" s="121">
        <v>2014</v>
      </c>
      <c r="CJ196" s="118"/>
      <c r="CK196" s="118"/>
      <c r="CL196" s="118"/>
      <c r="CM196" s="183"/>
      <c r="CN196" s="118">
        <f t="shared" si="450"/>
        <v>88637</v>
      </c>
      <c r="CO196" s="118">
        <f t="shared" si="451"/>
        <v>129.4974374314038</v>
      </c>
      <c r="CP196" s="186">
        <v>0.89743589743589747</v>
      </c>
      <c r="CQ196" s="118">
        <f>+CQ180*CP196+CO181*CP195+CO182*CP194+CO183*CP193+CO184*CP192+CO185*CP191+CO186*CP190+CO187*CP189+CO188*CP188+CO189*CP187+CO190*CP186+CO191*CP185+CO192*CP184+CO193*CP183+CO194*CP182+CO195*CP181+CO196</f>
        <v>4595.4399361425276</v>
      </c>
      <c r="CR196" s="119">
        <f t="shared" si="452"/>
        <v>2.0639470552770975E-2</v>
      </c>
      <c r="CS196" s="119"/>
      <c r="CT196" s="177">
        <f t="shared" si="453"/>
        <v>7.9132689657449903E-3</v>
      </c>
      <c r="CU196" s="177">
        <f t="shared" si="461"/>
        <v>7.6489985449240128E-3</v>
      </c>
      <c r="CV196" s="119">
        <f>VLOOKUP($H196,RoR!$E:$F,2,FALSE)</f>
        <v>4.1625000000000002E-2</v>
      </c>
      <c r="CW196" s="177">
        <v>1.841352814597208E-2</v>
      </c>
      <c r="CX196" s="177">
        <f t="shared" si="459"/>
        <v>2.3211471854027922E-2</v>
      </c>
      <c r="CY196" s="177">
        <f t="shared" si="462"/>
        <v>2.3252943063609612E-2</v>
      </c>
      <c r="CZ196" s="177">
        <f t="shared" si="463"/>
        <v>3.9072621432650924E-2</v>
      </c>
      <c r="DA196" s="187">
        <f t="shared" si="454"/>
        <v>0.84737312500000006</v>
      </c>
      <c r="DB196" s="188">
        <f t="shared" si="455"/>
        <v>1.2320012320012319</v>
      </c>
      <c r="DC196" s="188">
        <f t="shared" si="456"/>
        <v>0.37439939939939942</v>
      </c>
      <c r="DD196" s="188">
        <f t="shared" si="457"/>
        <v>0.80432100613819935</v>
      </c>
      <c r="DE196" s="188">
        <f t="shared" si="458"/>
        <v>0.37100152660040037</v>
      </c>
      <c r="DF196" s="189">
        <f>INDEX('State Tax Lookup'!$D$7:$Z$91,MATCH(Calculation!$C196,'State Tax Lookup'!$B$7:$B$91,0),MATCH($H196,'State Tax Lookup'!$D$6:$Z$6,0))</f>
        <v>0.40700500000000001</v>
      </c>
      <c r="DG196" s="189">
        <v>0.375</v>
      </c>
      <c r="DH196" s="190">
        <f t="shared" si="460"/>
        <v>22.68756984363295</v>
      </c>
      <c r="DI196" s="190">
        <v>22.301592444427836</v>
      </c>
      <c r="DJ196" s="177"/>
      <c r="DK196" s="189">
        <f>VLOOKUP($H196,RoR!$E:$F,2,FALSE)</f>
        <v>4.1625000000000002E-2</v>
      </c>
      <c r="DL196" s="191">
        <f>HLOOKUP($H196,'GDP-PI'!$D$8:$CQ$11,3,FALSE)</f>
        <v>1.841352814597208E-2</v>
      </c>
      <c r="DM196" s="189">
        <f>VLOOKUP(H196,'HW Dx Data'!$E:$F,2,FALSE)</f>
        <v>684.46914285042885</v>
      </c>
      <c r="DN196" s="183">
        <f>VLOOKUP(H196,'ECI - Input Price'!$G$17:$H$37,2,FALSE)</f>
        <v>121.2</v>
      </c>
      <c r="DO196" s="177">
        <f t="shared" ref="DO196" si="505">LN(DN196/DN195)</f>
        <v>2.0632179200028689E-2</v>
      </c>
      <c r="DP196" s="183">
        <f>HLOOKUP(H196,'GDP-PI'!$8:$9,2,FALSE)</f>
        <v>103.64700000000001</v>
      </c>
      <c r="DQ196" s="177">
        <f t="shared" ref="DQ196" si="506">LN(DP196/DP195)</f>
        <v>1.8246051898256087E-2</v>
      </c>
      <c r="DW196" s="192"/>
      <c r="DX196" s="192"/>
      <c r="DY196" s="192"/>
      <c r="DZ196" s="192"/>
      <c r="EA196" s="192"/>
      <c r="EB196" s="192"/>
      <c r="EC196" s="192"/>
      <c r="ED196" s="192"/>
      <c r="EE196" s="192"/>
    </row>
    <row r="197" spans="1:135" s="167" customFormat="1" ht="21" x14ac:dyDescent="0.35">
      <c r="A197" s="167" t="s">
        <v>38</v>
      </c>
      <c r="B197" s="168" t="s">
        <v>38</v>
      </c>
      <c r="C197" s="168">
        <v>4057111</v>
      </c>
      <c r="D197" s="168" t="s">
        <v>333</v>
      </c>
      <c r="E197" s="168" t="s">
        <v>126</v>
      </c>
      <c r="F197" s="168"/>
      <c r="G197" s="168" t="s">
        <v>21</v>
      </c>
      <c r="H197" s="169">
        <v>2015</v>
      </c>
      <c r="I197" s="170"/>
      <c r="J197" s="166">
        <f>IFERROR(INDEX('Labor Expenditures'!$F$7:$X$91,MATCH($C197,'Labor Expenditures'!$D$7:$D$91,0),MATCH($G197,'Labor Expenditures'!$F$5:$X$5,0)),"NA")</f>
        <v>63080.933254042786</v>
      </c>
      <c r="K197" s="166">
        <f t="shared" si="466"/>
        <v>509.74491518418415</v>
      </c>
      <c r="L197" s="172">
        <f t="shared" si="476"/>
        <v>-0.11476253895206022</v>
      </c>
      <c r="M197" s="172">
        <f t="shared" si="477"/>
        <v>-2.5600331165040401E-3</v>
      </c>
      <c r="N197" s="196"/>
      <c r="O197" s="172"/>
      <c r="P197" s="166">
        <f>IFERROR(INDEX('Non-Labor Expenditures'!$F$7:$AB$91,MATCH($C197,'Non-Labor Expenditures'!$D$7:$D$91,0),MATCH($G197,'Non-Labor Expenditures'!$F$5:$AB$5,0)),"NA")</f>
        <v>91352.973244997411</v>
      </c>
      <c r="Q197" s="166">
        <f t="shared" si="467"/>
        <v>873.02987648006399</v>
      </c>
      <c r="R197" s="172">
        <f t="shared" si="478"/>
        <v>-0.10346664732391737</v>
      </c>
      <c r="S197" s="172">
        <f t="shared" si="483"/>
        <v>-2.3080531854869483E-3</v>
      </c>
      <c r="T197" s="172"/>
      <c r="U197" s="172"/>
      <c r="V197" s="166">
        <f t="shared" si="448"/>
        <v>101981.73694388186</v>
      </c>
      <c r="W197" s="170"/>
      <c r="X197" s="174">
        <v>4681.349254950188</v>
      </c>
      <c r="Y197" s="175">
        <v>1.8521877133926265E-2</v>
      </c>
      <c r="Z197" s="175">
        <f t="shared" si="484"/>
        <v>4.1317157389204786E-4</v>
      </c>
      <c r="AA197" s="175"/>
      <c r="AB197" s="175"/>
      <c r="AC197" s="170">
        <f t="shared" si="490"/>
        <v>256415.64344292204</v>
      </c>
      <c r="AD197" s="175">
        <f t="shared" si="479"/>
        <v>-5.8172798319392476E-2</v>
      </c>
      <c r="AE197" s="170"/>
      <c r="AF197" s="170"/>
      <c r="AG197" s="121">
        <f t="shared" si="480"/>
        <v>372.74374913567976</v>
      </c>
      <c r="AH197" s="119">
        <f>+AZ197/$BB$53</f>
        <v>1.8623844656384961E-2</v>
      </c>
      <c r="AI197" s="119">
        <f>+AZ197/$BC$53</f>
        <v>7.9443970505510442E-2</v>
      </c>
      <c r="AJ197" s="176">
        <f t="shared" si="485"/>
        <v>6.9419216805414257</v>
      </c>
      <c r="AK197" s="176">
        <f t="shared" si="486"/>
        <v>29.612243412448326</v>
      </c>
      <c r="AL197" s="120">
        <f t="shared" si="468"/>
        <v>0.24601047115163457</v>
      </c>
      <c r="AM197" s="120">
        <f t="shared" si="469"/>
        <v>0.35626911064547639</v>
      </c>
      <c r="AN197" s="120">
        <f t="shared" si="470"/>
        <v>0.39772041820288911</v>
      </c>
      <c r="AO197" s="120">
        <f t="shared" si="473"/>
        <v>-5.9116582197963903E-2</v>
      </c>
      <c r="AP197" s="173">
        <f t="shared" si="491"/>
        <v>114.77781763344946</v>
      </c>
      <c r="AQ197" s="175">
        <f t="shared" si="492"/>
        <v>-5.9116582197963841E-2</v>
      </c>
      <c r="AR197" s="177">
        <f>+AC197/$AE$53</f>
        <v>2.2307219236178132E-2</v>
      </c>
      <c r="AS197" s="177">
        <f t="shared" si="487"/>
        <v>-1.3187265595835248E-3</v>
      </c>
      <c r="AT197" s="177"/>
      <c r="AU197" s="177"/>
      <c r="AV197" s="177"/>
      <c r="AW197" s="190"/>
      <c r="AX197" s="120"/>
      <c r="AY197" s="120"/>
      <c r="AZ197" s="118">
        <f>IFERROR(INDEX('Total Customers'!$F$7:$AB$91,MATCH($C197,'Total Customers'!$D$7:$D$91,0),MATCH($G197,'Total Customers'!$F$5:$AB$5,0)),"NA")</f>
        <v>687914</v>
      </c>
      <c r="BA197" s="119">
        <f t="shared" si="449"/>
        <v>-1.7602979041473302E-3</v>
      </c>
      <c r="BB197" s="119"/>
      <c r="BC197" s="121">
        <v>8659109</v>
      </c>
      <c r="BD197" s="119"/>
      <c r="BE197" s="119"/>
      <c r="BF197" s="119"/>
      <c r="BG197" s="173"/>
      <c r="BH197" s="173"/>
      <c r="BI197" s="173"/>
      <c r="BJ197" s="173"/>
      <c r="BK197" s="173"/>
      <c r="BL197" s="173"/>
      <c r="BM197" s="173"/>
      <c r="BN197" s="173"/>
      <c r="BO197" s="173"/>
      <c r="BP197" s="173"/>
      <c r="BQ197" s="118"/>
      <c r="BR197" s="118"/>
      <c r="BS197" s="118">
        <f>INDEX('Dist. Plant Gas Additions'!$F$7:$AE$91,MATCH($C197,'Dist. Plant Gas Additions'!$D$7:$D$91,0),MATCH(Calculation!$G197,'Dist. Plant Gas Additions'!$F$5:$AE$5,0))</f>
        <v>80387</v>
      </c>
      <c r="BT197" s="118">
        <f>INDEX('Gen. Plant Additions'!$F$7:$AE$91,MATCH($C197,'Gen. Plant Additions'!$D$7:$D$91,0),MATCH(Calculation!$G197,'Gen. Plant Additions'!$F$5:$AE$5,0))</f>
        <v>3056</v>
      </c>
      <c r="BU197" s="118"/>
      <c r="BV197" s="118"/>
      <c r="BW197" s="118" t="str">
        <f>INDEX('Dist Plant Depreciation'!$E$7:$AD$94,MATCH($C197,'Dist Plant Depreciation'!$D$7:$D$94,0),MATCH(Calculation!$G197,'Dist Plant Depreciation'!$E$5:$AD$5,0))</f>
        <v>NA</v>
      </c>
      <c r="BX197" s="118" t="str">
        <f>INDEX('Gen. Plant Depreciation'!$E$7:$AD$94,MATCH($C197,'Gen. Plant Depreciation'!$D$7:$D$94,0),MATCH(Calculation!$G197,'Gen. Plant Depreciation'!$E$5:$AD$5,0))</f>
        <v>NA</v>
      </c>
      <c r="BY197" s="118"/>
      <c r="BZ197" s="118"/>
      <c r="CA197" s="118"/>
      <c r="CB197" s="118"/>
      <c r="CC197" s="118"/>
      <c r="CD197" s="118"/>
      <c r="CE197" s="118">
        <f>INDEX('Gross Dx Plant'!$E$7:$AD$91,MATCH($C197,'Gross Dx Plant'!$D$7:$D$91,0),MATCH(Calculation!$G197,'Gross Dx Plant'!$E$5:$AD$5,0))</f>
        <v>1371149</v>
      </c>
      <c r="CF197" s="118">
        <f>INDEX('Gross Gen Plant'!$E$7:$AD$91,MATCH($C197,'Gross Gen Plant'!$D$7:$D$91,0),MATCH(Calculation!$G197,'Gross Gen Plant'!$E$5:$AD$5,0))</f>
        <v>75152</v>
      </c>
      <c r="CG197" s="118" t="str">
        <f t="shared" si="426"/>
        <v>NA</v>
      </c>
      <c r="CH197" s="118"/>
      <c r="CI197" s="121">
        <v>2015</v>
      </c>
      <c r="CJ197" s="118"/>
      <c r="CK197" s="118"/>
      <c r="CL197" s="118"/>
      <c r="CM197" s="183"/>
      <c r="CN197" s="118">
        <f t="shared" si="450"/>
        <v>83443</v>
      </c>
      <c r="CO197" s="118">
        <f t="shared" si="451"/>
        <v>123.50679797857067</v>
      </c>
      <c r="CP197" s="186">
        <v>0.88888888888888884</v>
      </c>
      <c r="CQ197" s="118">
        <f>+CQ180*CP197+CO181*CP196+CO182*CP195+CO183*CP194+CO184*CP193+CO185*CP192+CO186*CP191+CO187*CP190+CO188*CP189+CO189*CP188+CO190*CP187+CO191*CP186+CO192*CP185+CO193*CP184+CO194*CP183+CO195*CP182+CO196*CP181+CO197</f>
        <v>4681.349254950188</v>
      </c>
      <c r="CR197" s="119">
        <f t="shared" si="452"/>
        <v>1.8521877133926265E-2</v>
      </c>
      <c r="CS197" s="119"/>
      <c r="CT197" s="177">
        <f t="shared" si="453"/>
        <v>8.1814754829480172E-3</v>
      </c>
      <c r="CU197" s="177">
        <f t="shared" si="461"/>
        <v>7.910233853116207E-3</v>
      </c>
      <c r="CV197" s="119">
        <f>VLOOKUP($H197,RoR!$E:$F,2,FALSE)</f>
        <v>3.8866666666666674E-2</v>
      </c>
      <c r="CW197" s="177">
        <v>9.5709475431029478E-3</v>
      </c>
      <c r="CX197" s="177">
        <f t="shared" si="459"/>
        <v>2.9295719123563727E-2</v>
      </c>
      <c r="CY197" s="177">
        <f t="shared" si="462"/>
        <v>2.2991707755417416E-2</v>
      </c>
      <c r="CZ197" s="177">
        <f t="shared" si="463"/>
        <v>3.5270373279175926E-3</v>
      </c>
      <c r="DA197" s="187">
        <f t="shared" si="454"/>
        <v>0.84737312500000006</v>
      </c>
      <c r="DB197" s="188">
        <f t="shared" si="455"/>
        <v>1.3194352816994324</v>
      </c>
      <c r="DC197" s="188">
        <f t="shared" si="456"/>
        <v>0.33177530017152673</v>
      </c>
      <c r="DD197" s="188">
        <f t="shared" si="457"/>
        <v>0.78242572977668579</v>
      </c>
      <c r="DE197" s="188">
        <f t="shared" si="458"/>
        <v>0.34251158643433932</v>
      </c>
      <c r="DF197" s="189">
        <f>INDEX('State Tax Lookup'!$D$7:$Z$91,MATCH(Calculation!$C197,'State Tax Lookup'!$B$7:$B$91,0),MATCH($H197,'State Tax Lookup'!$D$6:$Z$6,0))</f>
        <v>0.40700500000000001</v>
      </c>
      <c r="DG197" s="189">
        <v>0.375</v>
      </c>
      <c r="DH197" s="190">
        <f t="shared" si="460"/>
        <v>22.191942090638371</v>
      </c>
      <c r="DI197" s="190">
        <v>21.777509317939678</v>
      </c>
      <c r="DJ197" s="177"/>
      <c r="DK197" s="189">
        <f>VLOOKUP($H197,RoR!$E:$F,2,FALSE)</f>
        <v>3.8866666666666674E-2</v>
      </c>
      <c r="DL197" s="191">
        <f>HLOOKUP($H197,'GDP-PI'!$D$8:$CQ$11,3,FALSE)</f>
        <v>9.5709475431029478E-3</v>
      </c>
      <c r="DM197" s="189">
        <f>VLOOKUP(H197,'HW Dx Data'!$E:$F,2,FALSE)</f>
        <v>675.61463308665782</v>
      </c>
      <c r="DN197" s="183">
        <f>VLOOKUP(H197,'ECI - Input Price'!$G$17:$H$37,2,FALSE)</f>
        <v>123.75</v>
      </c>
      <c r="DO197" s="177">
        <f t="shared" ref="DO197" si="507">LN(DN197/DN196)</f>
        <v>2.0821327813585516E-2</v>
      </c>
      <c r="DP197" s="183">
        <f>HLOOKUP(H197,'GDP-PI'!$8:$9,2,FALSE)</f>
        <v>104.639</v>
      </c>
      <c r="DQ197" s="177">
        <f t="shared" ref="DQ197" si="508">LN(DP197/DP196)</f>
        <v>9.5254361854427965E-3</v>
      </c>
      <c r="DW197" s="192"/>
      <c r="DX197" s="192"/>
      <c r="DY197" s="192"/>
      <c r="DZ197" s="192"/>
      <c r="EA197" s="192"/>
      <c r="EB197" s="192"/>
      <c r="EC197" s="192"/>
      <c r="ED197" s="192"/>
      <c r="EE197" s="192"/>
    </row>
    <row r="198" spans="1:135" s="167" customFormat="1" ht="21" x14ac:dyDescent="0.35">
      <c r="A198" s="167" t="s">
        <v>38</v>
      </c>
      <c r="B198" s="168" t="s">
        <v>38</v>
      </c>
      <c r="C198" s="168">
        <v>4057111</v>
      </c>
      <c r="D198" s="168" t="s">
        <v>333</v>
      </c>
      <c r="E198" s="168" t="s">
        <v>126</v>
      </c>
      <c r="F198" s="168"/>
      <c r="G198" s="168" t="s">
        <v>22</v>
      </c>
      <c r="H198" s="169">
        <v>2016</v>
      </c>
      <c r="I198" s="170"/>
      <c r="J198" s="166">
        <f>IFERROR(INDEX('Labor Expenditures'!$F$7:$X$91,MATCH($C198,'Labor Expenditures'!$D$7:$D$91,0),MATCH($G198,'Labor Expenditures'!$F$5:$X$5,0)),"NA")</f>
        <v>73469.788829246812</v>
      </c>
      <c r="K198" s="166">
        <f t="shared" si="466"/>
        <v>581.24832934530707</v>
      </c>
      <c r="L198" s="172">
        <f t="shared" si="476"/>
        <v>0.13126764836484278</v>
      </c>
      <c r="M198" s="172">
        <f t="shared" si="477"/>
        <v>3.1097904006229739E-3</v>
      </c>
      <c r="N198" s="196"/>
      <c r="O198" s="172"/>
      <c r="P198" s="166">
        <f>IFERROR(INDEX('Non-Labor Expenditures'!$F$7:$AB$91,MATCH($C198,'Non-Labor Expenditures'!$D$7:$D$91,0),MATCH($G198,'Non-Labor Expenditures'!$F$5:$AB$5,0)),"NA")</f>
        <v>106397.97648846057</v>
      </c>
      <c r="Q198" s="166">
        <f t="shared" si="467"/>
        <v>1006.2606537835795</v>
      </c>
      <c r="R198" s="172">
        <f t="shared" si="478"/>
        <v>0.14202663826159531</v>
      </c>
      <c r="S198" s="172">
        <f t="shared" si="483"/>
        <v>3.3646757735088162E-3</v>
      </c>
      <c r="T198" s="172"/>
      <c r="U198" s="172"/>
      <c r="V198" s="166">
        <f t="shared" si="448"/>
        <v>101998.574686804</v>
      </c>
      <c r="W198" s="170"/>
      <c r="X198" s="174">
        <v>4796.6957139007873</v>
      </c>
      <c r="Y198" s="175">
        <v>2.4340917207089707E-2</v>
      </c>
      <c r="Z198" s="175">
        <f t="shared" si="484"/>
        <v>5.7664741934418211E-4</v>
      </c>
      <c r="AA198" s="175"/>
      <c r="AB198" s="175"/>
      <c r="AC198" s="170">
        <f t="shared" si="490"/>
        <v>281866.34000451141</v>
      </c>
      <c r="AD198" s="175">
        <f t="shared" si="479"/>
        <v>9.4633251909617425E-2</v>
      </c>
      <c r="AE198" s="170"/>
      <c r="AF198" s="170"/>
      <c r="AG198" s="121">
        <f t="shared" si="480"/>
        <v>391.02157743056273</v>
      </c>
      <c r="AH198" s="119">
        <f>+AZ198/$BB$54</f>
        <v>1.9346792920617379E-2</v>
      </c>
      <c r="AI198" s="119">
        <f>+AZ198/$BC$54</f>
        <v>8.2297008623851892E-2</v>
      </c>
      <c r="AJ198" s="176">
        <f t="shared" si="485"/>
        <v>7.5650134860422513</v>
      </c>
      <c r="AK198" s="176">
        <f t="shared" si="486"/>
        <v>32.179906129915189</v>
      </c>
      <c r="AL198" s="120">
        <f t="shared" si="468"/>
        <v>0.26065470899459259</v>
      </c>
      <c r="AM198" s="120">
        <f t="shared" si="469"/>
        <v>0.37747670220842128</v>
      </c>
      <c r="AN198" s="120">
        <f t="shared" si="470"/>
        <v>0.36186858879698608</v>
      </c>
      <c r="AO198" s="120">
        <f t="shared" si="473"/>
        <v>9.460464548755243E-2</v>
      </c>
      <c r="AP198" s="173">
        <f t="shared" si="491"/>
        <v>126.16655315501876</v>
      </c>
      <c r="AQ198" s="175">
        <f t="shared" si="492"/>
        <v>9.4604645487552513E-2</v>
      </c>
      <c r="AR198" s="177">
        <f>+AC198/$AE$54</f>
        <v>2.3690455640522197E-2</v>
      </c>
      <c r="AS198" s="177">
        <f t="shared" si="487"/>
        <v>2.2412271573101911E-3</v>
      </c>
      <c r="AT198" s="177"/>
      <c r="AU198" s="177"/>
      <c r="AV198" s="177"/>
      <c r="AW198" s="190"/>
      <c r="AX198" s="120"/>
      <c r="AY198" s="120"/>
      <c r="AZ198" s="118">
        <f>IFERROR(INDEX('Total Customers'!$F$7:$AB$91,MATCH($C198,'Total Customers'!$D$7:$D$91,0),MATCH($G198,'Total Customers'!$F$5:$AB$5,0)),"NA")</f>
        <v>720846</v>
      </c>
      <c r="BA198" s="119">
        <f t="shared" si="449"/>
        <v>4.6761692117677223E-2</v>
      </c>
      <c r="BB198" s="119"/>
      <c r="BC198" s="121">
        <v>8759079</v>
      </c>
      <c r="BD198" s="119"/>
      <c r="BE198" s="119"/>
      <c r="BF198" s="119"/>
      <c r="BG198" s="173"/>
      <c r="BH198" s="173"/>
      <c r="BI198" s="173"/>
      <c r="BJ198" s="173"/>
      <c r="BK198" s="173"/>
      <c r="BL198" s="173"/>
      <c r="BM198" s="173"/>
      <c r="BN198" s="173"/>
      <c r="BO198" s="173"/>
      <c r="BP198" s="173"/>
      <c r="BQ198" s="118"/>
      <c r="BR198" s="118"/>
      <c r="BS198" s="118">
        <f>INDEX('Dist. Plant Gas Additions'!$F$7:$AE$91,MATCH($C198,'Dist. Plant Gas Additions'!$D$7:$D$91,0),MATCH(Calculation!$G198,'Dist. Plant Gas Additions'!$F$5:$AE$5,0))</f>
        <v>86820</v>
      </c>
      <c r="BT198" s="118">
        <f>INDEX('Gen. Plant Additions'!$F$7:$AE$91,MATCH($C198,'Gen. Plant Additions'!$D$7:$D$91,0),MATCH(Calculation!$G198,'Gen. Plant Additions'!$F$5:$AE$5,0))</f>
        <v>17246</v>
      </c>
      <c r="BU198" s="118"/>
      <c r="BV198" s="118"/>
      <c r="BW198" s="118" t="str">
        <f>INDEX('Dist Plant Depreciation'!$E$7:$AD$94,MATCH($C198,'Dist Plant Depreciation'!$D$7:$D$94,0),MATCH(Calculation!$G198,'Dist Plant Depreciation'!$E$5:$AD$5,0))</f>
        <v>NA</v>
      </c>
      <c r="BX198" s="118" t="str">
        <f>INDEX('Gen. Plant Depreciation'!$E$7:$AD$94,MATCH($C198,'Gen. Plant Depreciation'!$D$7:$D$94,0),MATCH(Calculation!$G198,'Gen. Plant Depreciation'!$E$5:$AD$5,0))</f>
        <v>NA</v>
      </c>
      <c r="BY198" s="118"/>
      <c r="BZ198" s="118"/>
      <c r="CA198" s="118"/>
      <c r="CB198" s="118"/>
      <c r="CC198" s="118"/>
      <c r="CD198" s="118"/>
      <c r="CE198" s="118">
        <f>INDEX('Gross Dx Plant'!$E$7:$AD$91,MATCH($C198,'Gross Dx Plant'!$D$7:$D$91,0),MATCH(Calculation!$G198,'Gross Dx Plant'!$E$5:$AD$5,0))</f>
        <v>1384633</v>
      </c>
      <c r="CF198" s="118">
        <f>INDEX('Gross Gen Plant'!$E$7:$AD$91,MATCH($C198,'Gross Gen Plant'!$D$7:$D$91,0),MATCH(Calculation!$G198,'Gross Gen Plant'!$E$5:$AD$5,0))</f>
        <v>85765</v>
      </c>
      <c r="CG198" s="118" t="str">
        <f t="shared" si="426"/>
        <v>NA</v>
      </c>
      <c r="CH198" s="118"/>
      <c r="CI198" s="121">
        <v>2016</v>
      </c>
      <c r="CJ198" s="118"/>
      <c r="CK198" s="118"/>
      <c r="CL198" s="118"/>
      <c r="CM198" s="183"/>
      <c r="CN198" s="118">
        <f t="shared" si="450"/>
        <v>104066</v>
      </c>
      <c r="CO198" s="118">
        <f t="shared" si="451"/>
        <v>154.98549265694024</v>
      </c>
      <c r="CP198" s="186">
        <v>0.88</v>
      </c>
      <c r="CQ198" s="118">
        <f>+CQ180*CP198+CO181*CP197+CO182*CP196+CO183*CP195+CO184*CP194+CO185*CP193+CO186*CP192+CO187*CP191+CO188*CP190+CO189*CP189+CO190*CP188+CO191*CP187+CO192*CP186+CO193*CP185+CO194*CP184+CO195*CP183+CO196*CP182+CO197*CP181+CO198</f>
        <v>4796.6957139007873</v>
      </c>
      <c r="CR198" s="119">
        <f t="shared" si="452"/>
        <v>2.4340917207089707E-2</v>
      </c>
      <c r="CS198" s="119"/>
      <c r="CT198" s="177">
        <f t="shared" si="453"/>
        <v>8.4674378149473747E-3</v>
      </c>
      <c r="CU198" s="177">
        <f t="shared" si="461"/>
        <v>8.1873940878801274E-3</v>
      </c>
      <c r="CV198" s="119">
        <f>VLOOKUP($H198,RoR!$E:$F,2,FALSE)</f>
        <v>3.6658333333333334E-2</v>
      </c>
      <c r="CW198" s="177">
        <v>1.0483662879041455E-2</v>
      </c>
      <c r="CX198" s="177">
        <f t="shared" si="459"/>
        <v>2.6174670454291879E-2</v>
      </c>
      <c r="CY198" s="177">
        <f t="shared" si="462"/>
        <v>2.2714547520653498E-2</v>
      </c>
      <c r="CZ198" s="177">
        <f t="shared" si="463"/>
        <v>4.301363574220729E-3</v>
      </c>
      <c r="DA198" s="187">
        <f t="shared" si="454"/>
        <v>0.84737312500000006</v>
      </c>
      <c r="DB198" s="188">
        <f t="shared" si="455"/>
        <v>1.3989193348138562</v>
      </c>
      <c r="DC198" s="188">
        <f t="shared" si="456"/>
        <v>0.29302682427824522</v>
      </c>
      <c r="DD198" s="188">
        <f t="shared" si="457"/>
        <v>0.76309497491941802</v>
      </c>
      <c r="DE198" s="188">
        <f t="shared" si="458"/>
        <v>0.31280857135128509</v>
      </c>
      <c r="DF198" s="189">
        <f>INDEX('State Tax Lookup'!$D$7:$Z$91,MATCH(Calculation!$C198,'State Tax Lookup'!$B$7:$B$91,0),MATCH($H198,'State Tax Lookup'!$D$6:$Z$6,0))</f>
        <v>0.40700500000000001</v>
      </c>
      <c r="DG198" s="189">
        <v>0.375</v>
      </c>
      <c r="DH198" s="190">
        <f t="shared" si="460"/>
        <v>21.788285627043933</v>
      </c>
      <c r="DI198" s="190">
        <v>21.344247473256065</v>
      </c>
      <c r="DJ198" s="177"/>
      <c r="DK198" s="189">
        <f>VLOOKUP($H198,RoR!$E:$F,2,FALSE)</f>
        <v>3.6658333333333334E-2</v>
      </c>
      <c r="DL198" s="191">
        <f>HLOOKUP($H198,'GDP-PI'!$D$8:$CQ$11,3,FALSE)</f>
        <v>1.0483662879041455E-2</v>
      </c>
      <c r="DM198" s="189">
        <f>VLOOKUP(H198,'HW Dx Data'!$E:$F,2,FALSE)</f>
        <v>671.45639385971219</v>
      </c>
      <c r="DN198" s="183">
        <f>VLOOKUP(H198,'ECI - Input Price'!$G$17:$H$37,2,FALSE)</f>
        <v>126.4</v>
      </c>
      <c r="DO198" s="177">
        <f t="shared" ref="DO198" si="509">LN(DN198/DN197)</f>
        <v>2.11880802639575E-2</v>
      </c>
      <c r="DP198" s="183">
        <f>HLOOKUP(H198,'GDP-PI'!$8:$9,2,FALSE)</f>
        <v>105.736</v>
      </c>
      <c r="DQ198" s="177">
        <f t="shared" ref="DQ198" si="510">LN(DP198/DP197)</f>
        <v>1.0429090367205095E-2</v>
      </c>
      <c r="DW198" s="192"/>
      <c r="DX198" s="192"/>
      <c r="DY198" s="192"/>
      <c r="DZ198" s="192"/>
      <c r="EA198" s="192"/>
      <c r="EB198" s="192"/>
      <c r="EC198" s="192"/>
      <c r="ED198" s="192"/>
      <c r="EE198" s="192"/>
    </row>
    <row r="199" spans="1:135" s="167" customFormat="1" ht="21" x14ac:dyDescent="0.35">
      <c r="A199" s="167" t="s">
        <v>38</v>
      </c>
      <c r="B199" s="168" t="s">
        <v>38</v>
      </c>
      <c r="C199" s="168">
        <v>4057111</v>
      </c>
      <c r="D199" s="168" t="s">
        <v>333</v>
      </c>
      <c r="E199" s="168" t="s">
        <v>126</v>
      </c>
      <c r="F199" s="168"/>
      <c r="G199" s="168" t="s">
        <v>23</v>
      </c>
      <c r="H199" s="169">
        <v>2017</v>
      </c>
      <c r="I199" s="170"/>
      <c r="J199" s="166">
        <f>IFERROR(INDEX('Labor Expenditures'!$F$7:$X$91,MATCH($C199,'Labor Expenditures'!$D$7:$D$91,0),MATCH($G199,'Labor Expenditures'!$F$5:$X$5,0)),"NA")</f>
        <v>74726.142015534642</v>
      </c>
      <c r="K199" s="166">
        <f t="shared" si="466"/>
        <v>577.0358456798042</v>
      </c>
      <c r="L199" s="172">
        <f t="shared" si="476"/>
        <v>-7.2736938459026521E-3</v>
      </c>
      <c r="M199" s="172">
        <f t="shared" si="477"/>
        <v>-1.7006105097374044E-4</v>
      </c>
      <c r="N199" s="196"/>
      <c r="O199" s="172"/>
      <c r="P199" s="166">
        <f>IFERROR(INDEX('Non-Labor Expenditures'!$F$7:$AB$91,MATCH($C199,'Non-Labor Expenditures'!$D$7:$D$91,0),MATCH($G199,'Non-Labor Expenditures'!$F$5:$AB$5,0)),"NA")</f>
        <v>108217.41055661241</v>
      </c>
      <c r="Q199" s="166">
        <f t="shared" si="467"/>
        <v>1004.3285960836781</v>
      </c>
      <c r="R199" s="172">
        <f t="shared" si="478"/>
        <v>-1.9218826468126776E-3</v>
      </c>
      <c r="S199" s="172">
        <f t="shared" si="483"/>
        <v>-4.4934168207982645E-5</v>
      </c>
      <c r="T199" s="172"/>
      <c r="U199" s="172"/>
      <c r="V199" s="166">
        <f t="shared" si="448"/>
        <v>94051.395525400076</v>
      </c>
      <c r="W199" s="170"/>
      <c r="X199" s="174">
        <v>4897.0739708988322</v>
      </c>
      <c r="Y199" s="175">
        <v>2.0710590030776181E-2</v>
      </c>
      <c r="Z199" s="175">
        <f t="shared" si="484"/>
        <v>4.8421954257864248E-4</v>
      </c>
      <c r="AA199" s="175"/>
      <c r="AB199" s="175"/>
      <c r="AC199" s="170">
        <f t="shared" si="490"/>
        <v>276994.94809754711</v>
      </c>
      <c r="AD199" s="175">
        <f t="shared" si="479"/>
        <v>-1.7433718856821399E-2</v>
      </c>
      <c r="AE199" s="170"/>
      <c r="AF199" s="170"/>
      <c r="AG199" s="121">
        <f t="shared" si="480"/>
        <v>379.5080391373736</v>
      </c>
      <c r="AH199" s="119">
        <f>+AZ199/$BB$55</f>
        <v>1.9442051111622605E-2</v>
      </c>
      <c r="AI199" s="119">
        <f>+AZ199/$BC$56</f>
        <v>8.190437010933016E-2</v>
      </c>
      <c r="AJ199" s="176">
        <f t="shared" si="485"/>
        <v>7.3784146941804893</v>
      </c>
      <c r="AK199" s="176">
        <f t="shared" si="486"/>
        <v>31.083366896973605</v>
      </c>
      <c r="AL199" s="120">
        <f t="shared" si="468"/>
        <v>0.26977438588236968</v>
      </c>
      <c r="AM199" s="120">
        <f t="shared" si="469"/>
        <v>0.39068369766260985</v>
      </c>
      <c r="AN199" s="120">
        <f t="shared" si="470"/>
        <v>0.33954191645502046</v>
      </c>
      <c r="AO199" s="120">
        <f t="shared" si="473"/>
        <v>4.5960662159893967E-3</v>
      </c>
      <c r="AP199" s="173">
        <f t="shared" si="491"/>
        <v>126.74775759149523</v>
      </c>
      <c r="AQ199" s="175">
        <f t="shared" si="492"/>
        <v>4.5960662159894817E-3</v>
      </c>
      <c r="AR199" s="177">
        <f>+AC199/$AE$55</f>
        <v>2.3380287179606496E-2</v>
      </c>
      <c r="AS199" s="177">
        <f t="shared" si="487"/>
        <v>1.0745734802632142E-4</v>
      </c>
      <c r="AT199" s="177"/>
      <c r="AU199" s="177"/>
      <c r="AV199" s="177"/>
      <c r="AW199" s="190"/>
      <c r="AX199" s="120"/>
      <c r="AY199" s="120"/>
      <c r="AZ199" s="118">
        <f>IFERROR(INDEX('Total Customers'!$F$7:$AB$91,MATCH($C199,'Total Customers'!$D$7:$D$91,0),MATCH($G199,'Total Customers'!$F$5:$AB$5,0)),"NA")</f>
        <v>729879</v>
      </c>
      <c r="BA199" s="119">
        <f t="shared" si="449"/>
        <v>1.2453244741292495E-2</v>
      </c>
      <c r="BB199" s="119"/>
      <c r="BC199" s="121">
        <v>8824403</v>
      </c>
      <c r="BD199" s="119"/>
      <c r="BE199" s="119"/>
      <c r="BF199" s="119"/>
      <c r="BG199" s="173"/>
      <c r="BH199" s="173"/>
      <c r="BI199" s="173"/>
      <c r="BJ199" s="173"/>
      <c r="BK199" s="173"/>
      <c r="BL199" s="173"/>
      <c r="BM199" s="173"/>
      <c r="BN199" s="173"/>
      <c r="BO199" s="173"/>
      <c r="BP199" s="173"/>
      <c r="BQ199" s="118"/>
      <c r="BR199" s="118"/>
      <c r="BS199" s="118">
        <f>INDEX('Dist. Plant Gas Additions'!$F$7:$AE$91,MATCH($C199,'Dist. Plant Gas Additions'!$D$7:$D$91,0),MATCH(Calculation!$G199,'Dist. Plant Gas Additions'!$F$5:$AE$5,0))</f>
        <v>99053</v>
      </c>
      <c r="BT199" s="118">
        <f>INDEX('Gen. Plant Additions'!$F$7:$AE$91,MATCH($C199,'Gen. Plant Additions'!$D$7:$D$91,0),MATCH(Calculation!$G199,'Gen. Plant Additions'!$F$5:$AE$5,0))</f>
        <v>2338</v>
      </c>
      <c r="BU199" s="118"/>
      <c r="BV199" s="118"/>
      <c r="BW199" s="118" t="str">
        <f>INDEX('Dist Plant Depreciation'!$E$7:$AD$94,MATCH($C199,'Dist Plant Depreciation'!$D$7:$D$94,0),MATCH(Calculation!$G199,'Dist Plant Depreciation'!$E$5:$AD$5,0))</f>
        <v>NA</v>
      </c>
      <c r="BX199" s="118" t="str">
        <f>INDEX('Gen. Plant Depreciation'!$E$7:$AD$94,MATCH($C199,'Gen. Plant Depreciation'!$D$7:$D$94,0),MATCH(Calculation!$G199,'Gen. Plant Depreciation'!$E$5:$AD$5,0))</f>
        <v>NA</v>
      </c>
      <c r="BY199" s="118"/>
      <c r="BZ199" s="118"/>
      <c r="CA199" s="118"/>
      <c r="CB199" s="118"/>
      <c r="CC199" s="118"/>
      <c r="CD199" s="118"/>
      <c r="CE199" s="118">
        <f>INDEX('Gross Dx Plant'!$E$7:$AD$91,MATCH($C199,'Gross Dx Plant'!$D$7:$D$91,0),MATCH(Calculation!$G199,'Gross Dx Plant'!$E$5:$AD$5,0))</f>
        <v>1490636</v>
      </c>
      <c r="CF199" s="118">
        <f>INDEX('Gross Gen Plant'!$E$7:$AD$91,MATCH($C199,'Gross Gen Plant'!$D$7:$D$91,0),MATCH(Calculation!$G199,'Gross Gen Plant'!$E$5:$AD$5,0))</f>
        <v>75725</v>
      </c>
      <c r="CG199" s="118" t="str">
        <f t="shared" si="426"/>
        <v>NA</v>
      </c>
      <c r="CH199" s="118"/>
      <c r="CI199" s="121">
        <v>2017</v>
      </c>
      <c r="CJ199" s="118"/>
      <c r="CK199" s="118"/>
      <c r="CL199" s="118"/>
      <c r="CM199" s="183"/>
      <c r="CN199" s="118">
        <f t="shared" si="450"/>
        <v>101391</v>
      </c>
      <c r="CO199" s="118">
        <f t="shared" si="451"/>
        <v>142.31742285394924</v>
      </c>
      <c r="CP199" s="186">
        <v>0.87074829931972786</v>
      </c>
      <c r="CQ199" s="118">
        <f>+CQ180*CP199+CO181*CP198+CO182*CP197+CO183*CP196+CO184*CP195+CO185*CP194+CO186*CP193+CO187*CP192+CO188*CP191+CO189*CP190+CO190*CP189+CO191*CP188+CO192*CP187+CO193*CP186+CO194*CP185+CO195*CP184+CO196*CP183+CO197*CP182+CO198*CP181+CO199</f>
        <v>4897.0739708988322</v>
      </c>
      <c r="CR199" s="119">
        <f t="shared" si="452"/>
        <v>2.0710590030776181E-2</v>
      </c>
      <c r="CS199" s="119"/>
      <c r="CT199" s="177">
        <f t="shared" si="453"/>
        <v>8.7433450769797572E-3</v>
      </c>
      <c r="CU199" s="177">
        <f t="shared" si="461"/>
        <v>8.4640861249583813E-3</v>
      </c>
      <c r="CV199" s="119">
        <f>VLOOKUP($H199,RoR!$E:$F,2,FALSE)</f>
        <v>3.7433333333333339E-2</v>
      </c>
      <c r="CW199" s="177">
        <v>1.9056896421275615E-2</v>
      </c>
      <c r="CX199" s="177">
        <f t="shared" si="459"/>
        <v>1.8376436912057724E-2</v>
      </c>
      <c r="CY199" s="177">
        <f t="shared" si="462"/>
        <v>2.2437855483575242E-2</v>
      </c>
      <c r="CZ199" s="177">
        <f t="shared" si="463"/>
        <v>1.3976271617800498E-2</v>
      </c>
      <c r="DA199" s="187">
        <f t="shared" si="454"/>
        <v>0.89987312500000005</v>
      </c>
      <c r="DB199" s="188">
        <f t="shared" si="455"/>
        <v>1.3699568463593395</v>
      </c>
      <c r="DC199" s="188">
        <f t="shared" si="456"/>
        <v>0.30714603739982199</v>
      </c>
      <c r="DD199" s="188">
        <f t="shared" si="457"/>
        <v>0.77007188472689425</v>
      </c>
      <c r="DE199" s="188">
        <f t="shared" si="458"/>
        <v>0.32402839633793828</v>
      </c>
      <c r="DF199" s="189">
        <f>INDEX('State Tax Lookup'!$D$7:$Z$91,MATCH(Calculation!$C199,'State Tax Lookup'!$B$7:$B$91,0),MATCH($H199,'State Tax Lookup'!$D$6:$Z$6,0))</f>
        <v>0.26700499999999999</v>
      </c>
      <c r="DG199" s="189">
        <v>0.375</v>
      </c>
      <c r="DH199" s="190">
        <f t="shared" si="460"/>
        <v>19.60753842542896</v>
      </c>
      <c r="DI199" s="190">
        <v>19.240362286889393</v>
      </c>
      <c r="DJ199" s="177"/>
      <c r="DK199" s="189">
        <f>VLOOKUP($H199,RoR!$E:$F,2,FALSE)</f>
        <v>3.7433333333333339E-2</v>
      </c>
      <c r="DL199" s="191">
        <f>HLOOKUP($H199,'GDP-PI'!$D$8:$CQ$11,3,FALSE)</f>
        <v>1.9056896421275615E-2</v>
      </c>
      <c r="DM199" s="189">
        <f>VLOOKUP(H199,'HW Dx Data'!$E:$F,2,FALSE)</f>
        <v>712.42858370229726</v>
      </c>
      <c r="DN199" s="183">
        <f>VLOOKUP(H199,'ECI - Input Price'!$G$17:$H$37,2,FALSE)</f>
        <v>129.5</v>
      </c>
      <c r="DO199" s="177">
        <f t="shared" ref="DO199" si="511">LN(DN199/DN198)</f>
        <v>2.4229399426835413E-2</v>
      </c>
      <c r="DP199" s="183">
        <f>HLOOKUP(H199,'GDP-PI'!$8:$9,2,FALSE)</f>
        <v>107.751</v>
      </c>
      <c r="DQ199" s="177">
        <f t="shared" ref="DQ199" si="512">LN(DP199/DP198)</f>
        <v>1.8877588227745139E-2</v>
      </c>
      <c r="DW199" s="192"/>
      <c r="DX199" s="192"/>
      <c r="DY199" s="192"/>
      <c r="DZ199" s="192"/>
      <c r="EA199" s="192"/>
      <c r="EB199" s="192"/>
      <c r="EC199" s="192"/>
      <c r="ED199" s="192"/>
      <c r="EE199" s="192"/>
    </row>
    <row r="200" spans="1:135" s="167" customFormat="1" ht="21" x14ac:dyDescent="0.35">
      <c r="A200" s="167" t="s">
        <v>38</v>
      </c>
      <c r="B200" s="168" t="s">
        <v>38</v>
      </c>
      <c r="C200" s="168">
        <v>4057111</v>
      </c>
      <c r="D200" s="168" t="s">
        <v>333</v>
      </c>
      <c r="E200" s="168" t="s">
        <v>126</v>
      </c>
      <c r="F200" s="168"/>
      <c r="G200" s="168" t="s">
        <v>24</v>
      </c>
      <c r="H200" s="169">
        <v>2018</v>
      </c>
      <c r="I200" s="170"/>
      <c r="J200" s="166">
        <f>IFERROR(INDEX('Labor Expenditures'!$F$7:$X$91,MATCH($C200,'Labor Expenditures'!$D$7:$D$91,0),MATCH($G200,'Labor Expenditures'!$F$5:$X$5,0)),"NA")</f>
        <v>182044.14521314992</v>
      </c>
      <c r="K200" s="166">
        <f t="shared" si="466"/>
        <v>1366.184954695309</v>
      </c>
      <c r="L200" s="172">
        <f t="shared" si="476"/>
        <v>0.86187304091030836</v>
      </c>
      <c r="M200" s="172">
        <f t="shared" si="477"/>
        <v>3.6530487895540531E-2</v>
      </c>
      <c r="N200" s="196"/>
      <c r="O200" s="172"/>
      <c r="P200" s="166">
        <f>IFERROR(INDEX('Non-Labor Expenditures'!$F$7:$AB$91,MATCH($C200,'Non-Labor Expenditures'!$D$7:$D$91,0),MATCH($G200,'Non-Labor Expenditures'!$F$5:$AB$5,0)),"NA")</f>
        <v>263633.92342486454</v>
      </c>
      <c r="Q200" s="166">
        <f t="shared" si="467"/>
        <v>2389.6767954248885</v>
      </c>
      <c r="R200" s="172">
        <f t="shared" si="478"/>
        <v>0.86683887010016125</v>
      </c>
      <c r="S200" s="172">
        <f t="shared" si="483"/>
        <v>3.6740964560316641E-2</v>
      </c>
      <c r="T200" s="172"/>
      <c r="U200" s="172"/>
      <c r="V200" s="166">
        <f t="shared" si="448"/>
        <v>100328.98451494987</v>
      </c>
      <c r="W200" s="170"/>
      <c r="X200" s="174">
        <v>4983.1797237835572</v>
      </c>
      <c r="Y200" s="175">
        <v>1.7430308078606516E-2</v>
      </c>
      <c r="Z200" s="175">
        <f t="shared" si="484"/>
        <v>7.3878358883178066E-4</v>
      </c>
      <c r="AA200" s="175"/>
      <c r="AB200" s="175"/>
      <c r="AC200" s="170">
        <f t="shared" si="490"/>
        <v>546007.05315296433</v>
      </c>
      <c r="AD200" s="175">
        <f t="shared" si="479"/>
        <v>0.67863262541800884</v>
      </c>
      <c r="AE200" s="170"/>
      <c r="AF200" s="170"/>
      <c r="AG200" s="121">
        <f t="shared" si="480"/>
        <v>740.86891288113463</v>
      </c>
      <c r="AH200" s="119">
        <f>+AZ200/$BB$56</f>
        <v>1.9460733854999364E-2</v>
      </c>
      <c r="AI200" s="119">
        <f>+AZ200/$BC$57</f>
        <v>8.2219053866509587E-2</v>
      </c>
      <c r="AJ200" s="176">
        <f t="shared" si="485"/>
        <v>14.417852735022471</v>
      </c>
      <c r="AK200" s="176">
        <f t="shared" si="486"/>
        <v>60.913541056196408</v>
      </c>
      <c r="AL200" s="120">
        <f t="shared" si="468"/>
        <v>0.33340987842907976</v>
      </c>
      <c r="AM200" s="120">
        <f t="shared" si="469"/>
        <v>0.4828397763407779</v>
      </c>
      <c r="AN200" s="120">
        <f t="shared" si="470"/>
        <v>0.18375034523014233</v>
      </c>
      <c r="AO200" s="120">
        <f t="shared" si="473"/>
        <v>0.64309675132937172</v>
      </c>
      <c r="AP200" s="173">
        <f t="shared" si="491"/>
        <v>241.12023320658921</v>
      </c>
      <c r="AQ200" s="175">
        <f t="shared" si="492"/>
        <v>0.64309675132937161</v>
      </c>
      <c r="AR200" s="177">
        <f>+AC200/$AE$56</f>
        <v>4.238499890535747E-2</v>
      </c>
      <c r="AS200" s="177">
        <f t="shared" si="487"/>
        <v>2.725765510113436E-2</v>
      </c>
      <c r="AT200" s="177"/>
      <c r="AU200" s="177"/>
      <c r="AV200" s="177"/>
      <c r="AW200" s="190"/>
      <c r="AX200" s="120"/>
      <c r="AY200" s="120"/>
      <c r="AZ200" s="118">
        <f>IFERROR(INDEX('Total Customers'!$F$7:$AB$91,MATCH($C200,'Total Customers'!$D$7:$D$91,0),MATCH($G200,'Total Customers'!$F$5:$AB$5,0)),"NA")</f>
        <v>736982</v>
      </c>
      <c r="BA200" s="119">
        <f t="shared" si="449"/>
        <v>9.6847015740635523E-3</v>
      </c>
      <c r="BB200" s="119"/>
      <c r="BC200" s="121">
        <v>8911356</v>
      </c>
      <c r="BD200" s="119"/>
      <c r="BE200" s="119"/>
      <c r="BF200" s="119"/>
      <c r="BG200" s="173"/>
      <c r="BH200" s="173"/>
      <c r="BI200" s="173"/>
      <c r="BJ200" s="173"/>
      <c r="BK200" s="173"/>
      <c r="BL200" s="173"/>
      <c r="BM200" s="173"/>
      <c r="BN200" s="173"/>
      <c r="BO200" s="173"/>
      <c r="BP200" s="173"/>
      <c r="BQ200" s="118"/>
      <c r="BR200" s="118"/>
      <c r="BS200" s="118">
        <f>INDEX('Dist. Plant Gas Additions'!$F$7:$AE$91,MATCH($C200,'Dist. Plant Gas Additions'!$D$7:$D$91,0),MATCH(Calculation!$G200,'Dist. Plant Gas Additions'!$F$5:$AE$5,0))</f>
        <v>90088</v>
      </c>
      <c r="BT200" s="118">
        <f>INDEX('Gen. Plant Additions'!$F$7:$AE$91,MATCH($C200,'Gen. Plant Additions'!$D$7:$D$91,0),MATCH(Calculation!$G200,'Gen. Plant Additions'!$F$5:$AE$5,0))</f>
        <v>8379</v>
      </c>
      <c r="BU200" s="118"/>
      <c r="BV200" s="118"/>
      <c r="BW200" s="118" t="str">
        <f>INDEX('Dist Plant Depreciation'!$E$7:$AD$94,MATCH($C200,'Dist Plant Depreciation'!$D$7:$D$94,0),MATCH(Calculation!$G200,'Dist Plant Depreciation'!$E$5:$AD$5,0))</f>
        <v>NA</v>
      </c>
      <c r="BX200" s="118" t="str">
        <f>INDEX('Gen. Plant Depreciation'!$E$7:$AD$94,MATCH($C200,'Gen. Plant Depreciation'!$D$7:$D$94,0),MATCH(Calculation!$G200,'Gen. Plant Depreciation'!$E$5:$AD$5,0))</f>
        <v>NA</v>
      </c>
      <c r="BY200" s="118"/>
      <c r="BZ200" s="118"/>
      <c r="CA200" s="118"/>
      <c r="CB200" s="118"/>
      <c r="CC200" s="118"/>
      <c r="CD200" s="118"/>
      <c r="CE200" s="118">
        <f>INDEX('Gross Dx Plant'!$E$7:$AD$91,MATCH($C200,'Gross Dx Plant'!$D$7:$D$91,0),MATCH(Calculation!$G200,'Gross Dx Plant'!$E$5:$AD$5,0))</f>
        <v>1553580</v>
      </c>
      <c r="CF200" s="118">
        <f>INDEX('Gross Gen Plant'!$E$7:$AD$91,MATCH($C200,'Gross Gen Plant'!$D$7:$D$91,0),MATCH(Calculation!$G200,'Gross Gen Plant'!$E$5:$AD$5,0))</f>
        <v>76882</v>
      </c>
      <c r="CG200" s="118" t="str">
        <f t="shared" si="426"/>
        <v>NA</v>
      </c>
      <c r="CH200" s="118"/>
      <c r="CI200" s="121">
        <v>2018</v>
      </c>
      <c r="CJ200" s="118"/>
      <c r="CK200" s="118"/>
      <c r="CL200" s="118"/>
      <c r="CM200" s="183"/>
      <c r="CN200" s="118">
        <f t="shared" si="450"/>
        <v>98467</v>
      </c>
      <c r="CO200" s="118">
        <f t="shared" si="451"/>
        <v>130.39625557847964</v>
      </c>
      <c r="CP200" s="186">
        <v>0.86111111111111116</v>
      </c>
      <c r="CQ200" s="118">
        <f>+CQ180*CP200++CO181*CP199+CO182*CP198+CO183*CP197+CO184*CP196+CO185*CP195+CO186*CP194+CO187*CP193+CO188*CP192+CO189*CP191+CO190*CP190+CO191*CP189+CO192*CP188+CO193*CP187+CO194*CP186+CO195*CP185+CO196*CP184+CO197*CP183+CO198*CP182+CO199*CP181+CO200</f>
        <v>4983.1797237835572</v>
      </c>
      <c r="CR200" s="119">
        <f t="shared" si="452"/>
        <v>1.7430308078606516E-2</v>
      </c>
      <c r="CS200" s="119"/>
      <c r="CT200" s="177">
        <f t="shared" si="453"/>
        <v>9.0442788810121532E-3</v>
      </c>
      <c r="CU200" s="177">
        <f t="shared" si="461"/>
        <v>8.7516872576464278E-3</v>
      </c>
      <c r="CV200" s="119">
        <f>VLOOKUP($H200,RoR!$E:$F,2,FALSE)</f>
        <v>3.9299999999999995E-2</v>
      </c>
      <c r="CW200" s="177">
        <v>2.386056741932796E-2</v>
      </c>
      <c r="CX200" s="177">
        <f t="shared" si="459"/>
        <v>1.5439432580672034E-2</v>
      </c>
      <c r="CY200" s="177">
        <f t="shared" si="462"/>
        <v>2.2150254350887195E-2</v>
      </c>
      <c r="CZ200" s="177">
        <f t="shared" si="463"/>
        <v>3.8270792163076606E-2</v>
      </c>
      <c r="DA200" s="187">
        <f t="shared" si="454"/>
        <v>0.89987312500000005</v>
      </c>
      <c r="DB200" s="188">
        <f t="shared" si="455"/>
        <v>1.3048868010700074</v>
      </c>
      <c r="DC200" s="188">
        <f t="shared" si="456"/>
        <v>0.33886768447837151</v>
      </c>
      <c r="DD200" s="188">
        <f t="shared" si="457"/>
        <v>0.78602506232557801</v>
      </c>
      <c r="DE200" s="188">
        <f t="shared" si="458"/>
        <v>0.34756768162358759</v>
      </c>
      <c r="DF200" s="189">
        <f>INDEX('State Tax Lookup'!$D$7:$Z$91,MATCH(Calculation!$C200,'State Tax Lookup'!$B$7:$B$91,0),MATCH($H200,'State Tax Lookup'!$D$6:$Z$6,0))</f>
        <v>0.26700499999999999</v>
      </c>
      <c r="DG200" s="189">
        <v>0.375</v>
      </c>
      <c r="DH200" s="190">
        <f t="shared" si="460"/>
        <v>20.487537070332433</v>
      </c>
      <c r="DI200" s="190">
        <v>20.103324696463883</v>
      </c>
      <c r="DJ200" s="177"/>
      <c r="DK200" s="189">
        <f>VLOOKUP($H200,RoR!$E:$F,2,FALSE)</f>
        <v>3.9299999999999995E-2</v>
      </c>
      <c r="DL200" s="191">
        <f>HLOOKUP($H200,'GDP-PI'!$D$8:$CQ$11,3,FALSE)</f>
        <v>2.386056741932796E-2</v>
      </c>
      <c r="DM200" s="189">
        <f>VLOOKUP(H200,'HW Dx Data'!$E:$F,2,FALSE)</f>
        <v>755.13671434174842</v>
      </c>
      <c r="DN200" s="183">
        <f>VLOOKUP(H200,'ECI - Input Price'!$G$17:$H$37,2,FALSE)</f>
        <v>133.25</v>
      </c>
      <c r="DO200" s="177">
        <f t="shared" ref="DO200" si="513">LN(DN200/DN199)</f>
        <v>2.8546181906361531E-2</v>
      </c>
      <c r="DP200" s="183">
        <f>HLOOKUP(H200,'GDP-PI'!$8:$9,2,FALSE)</f>
        <v>110.322</v>
      </c>
      <c r="DQ200" s="177">
        <f t="shared" ref="DQ200" si="514">LN(DP200/DP199)</f>
        <v>2.3580352716508712E-2</v>
      </c>
      <c r="DW200" s="192"/>
      <c r="DX200" s="192"/>
      <c r="DY200" s="192"/>
      <c r="DZ200" s="192"/>
      <c r="EA200" s="192"/>
      <c r="EB200" s="192"/>
      <c r="EC200" s="192"/>
      <c r="ED200" s="192"/>
      <c r="EE200" s="192"/>
    </row>
    <row r="201" spans="1:135" s="167" customFormat="1" ht="21" x14ac:dyDescent="0.35">
      <c r="A201" s="167" t="s">
        <v>38</v>
      </c>
      <c r="B201" s="168" t="s">
        <v>38</v>
      </c>
      <c r="C201" s="168">
        <v>4057111</v>
      </c>
      <c r="D201" s="168" t="s">
        <v>333</v>
      </c>
      <c r="E201" s="168" t="s">
        <v>126</v>
      </c>
      <c r="F201" s="168"/>
      <c r="G201" s="168" t="s">
        <v>25</v>
      </c>
      <c r="H201" s="169">
        <v>2019</v>
      </c>
      <c r="I201" s="170"/>
      <c r="J201" s="166">
        <f>IFERROR(INDEX('Labor Expenditures'!$F$7:$X$91,MATCH($C201,'Labor Expenditures'!$D$7:$D$91,0),MATCH($G201,'Labor Expenditures'!$F$5:$X$5,0)),"NA")</f>
        <v>106975.1197434819</v>
      </c>
      <c r="K201" s="166">
        <f t="shared" si="466"/>
        <v>781.69616180841729</v>
      </c>
      <c r="L201" s="172">
        <f t="shared" si="476"/>
        <v>-0.55831130456001066</v>
      </c>
      <c r="M201" s="172">
        <f t="shared" si="477"/>
        <v>-1.5338785127861425E-2</v>
      </c>
      <c r="N201" s="196"/>
      <c r="O201" s="172"/>
      <c r="P201" s="166">
        <f>IFERROR(INDEX('Non-Labor Expenditures'!$F$7:$AB$91,MATCH($C201,'Non-Labor Expenditures'!$D$7:$D$91,0),MATCH($G201,'Non-Labor Expenditures'!$F$5:$AB$5,0)),"NA")</f>
        <v>154919.95358487166</v>
      </c>
      <c r="Q201" s="166">
        <f t="shared" si="467"/>
        <v>1379.2976511767629</v>
      </c>
      <c r="R201" s="172">
        <f t="shared" si="478"/>
        <v>-0.54958370357067843</v>
      </c>
      <c r="S201" s="172">
        <f t="shared" si="483"/>
        <v>-1.5099007077222495E-2</v>
      </c>
      <c r="T201" s="172"/>
      <c r="U201" s="172"/>
      <c r="V201" s="166">
        <f t="shared" si="448"/>
        <v>103097.35262254032</v>
      </c>
      <c r="W201" s="170"/>
      <c r="X201" s="174">
        <v>5100.6684479423366</v>
      </c>
      <c r="Y201" s="175">
        <v>2.3303413330900309E-2</v>
      </c>
      <c r="Z201" s="175">
        <f t="shared" si="484"/>
        <v>6.4022714014382075E-4</v>
      </c>
      <c r="AA201" s="175"/>
      <c r="AB201" s="175"/>
      <c r="AC201" s="170">
        <f t="shared" si="490"/>
        <v>364992.4259508939</v>
      </c>
      <c r="AD201" s="175">
        <f t="shared" si="479"/>
        <v>-0.40275529097632062</v>
      </c>
      <c r="AE201" s="170"/>
      <c r="AF201" s="170"/>
      <c r="AG201" s="121">
        <f t="shared" si="480"/>
        <v>489.85630934718097</v>
      </c>
      <c r="AH201" s="119">
        <f>+AZ201/$BB$57</f>
        <v>1.9514156557433979E-2</v>
      </c>
      <c r="AI201" s="119">
        <f>+AZ201/$BC$58</f>
        <v>8.223844104998404E-2</v>
      </c>
      <c r="AJ201" s="176">
        <f t="shared" si="485"/>
        <v>9.5591327112476989</v>
      </c>
      <c r="AK201" s="176">
        <f t="shared" si="486"/>
        <v>40.285019219210888</v>
      </c>
      <c r="AL201" s="120">
        <f t="shared" si="468"/>
        <v>0.29308860167381756</v>
      </c>
      <c r="AM201" s="120">
        <f t="shared" si="469"/>
        <v>0.42444703662347943</v>
      </c>
      <c r="AN201" s="120">
        <f t="shared" si="470"/>
        <v>0.28246436170270295</v>
      </c>
      <c r="AO201" s="120">
        <f t="shared" si="473"/>
        <v>-0.41877341829212289</v>
      </c>
      <c r="AP201" s="173">
        <f t="shared" si="491"/>
        <v>158.6217256539789</v>
      </c>
      <c r="AQ201" s="175">
        <f t="shared" si="492"/>
        <v>-0.41877341829212283</v>
      </c>
      <c r="AR201" s="177">
        <f>+AC201/$AE$57</f>
        <v>2.7473534930390651E-2</v>
      </c>
      <c r="AS201" s="177">
        <f t="shared" si="487"/>
        <v>-1.1505186135367731E-2</v>
      </c>
      <c r="AT201" s="177"/>
      <c r="AU201" s="177"/>
      <c r="AV201" s="177"/>
      <c r="AW201" s="190"/>
      <c r="AX201" s="120"/>
      <c r="AY201" s="120"/>
      <c r="AZ201" s="118">
        <f>IFERROR(INDEX('Total Customers'!$F$7:$AB$91,MATCH($C201,'Total Customers'!$D$7:$D$91,0),MATCH($G201,'Total Customers'!$F$5:$AB$5,0)),"NA")</f>
        <v>745101</v>
      </c>
      <c r="BA201" s="119">
        <f t="shared" si="449"/>
        <v>1.0956311107286636E-2</v>
      </c>
      <c r="BB201" s="119"/>
      <c r="BC201" s="121">
        <v>8963640</v>
      </c>
      <c r="BD201" s="119"/>
      <c r="BE201" s="119"/>
      <c r="BF201" s="119"/>
      <c r="BG201" s="173"/>
      <c r="BH201" s="173"/>
      <c r="BI201" s="173"/>
      <c r="BJ201" s="173"/>
      <c r="BK201" s="173"/>
      <c r="BL201" s="173"/>
      <c r="BM201" s="173"/>
      <c r="BN201" s="173"/>
      <c r="BO201" s="173"/>
      <c r="BP201" s="173"/>
      <c r="BQ201" s="118"/>
      <c r="BR201" s="118"/>
      <c r="BS201" s="118">
        <f>INDEX('Dist. Plant Gas Additions'!$F$7:$AE$91,MATCH($C201,'Dist. Plant Gas Additions'!$D$7:$D$91,0),MATCH(Calculation!$G201,'Dist. Plant Gas Additions'!$F$5:$AE$5,0))</f>
        <v>120908</v>
      </c>
      <c r="BT201" s="118">
        <f>INDEX('Gen. Plant Additions'!$F$7:$AE$91,MATCH($C201,'Gen. Plant Additions'!$D$7:$D$91,0),MATCH(Calculation!$G201,'Gen. Plant Additions'!$F$5:$AE$5,0))</f>
        <v>6101</v>
      </c>
      <c r="BU201" s="118"/>
      <c r="BV201" s="118"/>
      <c r="BW201" s="118" t="str">
        <f>INDEX('Dist Plant Depreciation'!$E$7:$AD$94,MATCH($C201,'Dist Plant Depreciation'!$D$7:$D$94,0),MATCH(Calculation!$G201,'Dist Plant Depreciation'!$E$5:$AD$5,0))</f>
        <v>NA</v>
      </c>
      <c r="BX201" s="118" t="str">
        <f>INDEX('Gen. Plant Depreciation'!$E$7:$AD$94,MATCH($C201,'Gen. Plant Depreciation'!$D$7:$D$94,0),MATCH(Calculation!$G201,'Gen. Plant Depreciation'!$E$5:$AD$5,0))</f>
        <v>NA</v>
      </c>
      <c r="BY201" s="118"/>
      <c r="BZ201" s="118"/>
      <c r="CA201" s="118"/>
      <c r="CB201" s="118"/>
      <c r="CC201" s="118"/>
      <c r="CD201" s="118"/>
      <c r="CE201" s="118">
        <f>INDEX('Gross Dx Plant'!$E$7:$AD$91,MATCH($C201,'Gross Dx Plant'!$D$7:$D$91,0),MATCH(Calculation!$G201,'Gross Dx Plant'!$E$5:$AD$5,0))</f>
        <v>1697382</v>
      </c>
      <c r="CF201" s="118">
        <f>INDEX('Gross Gen Plant'!$E$7:$AD$91,MATCH($C201,'Gross Gen Plant'!$D$7:$D$91,0),MATCH(Calculation!$G201,'Gross Gen Plant'!$E$5:$AD$5,0))</f>
        <v>81710</v>
      </c>
      <c r="CG201" s="118" t="str">
        <f t="shared" si="426"/>
        <v>NA</v>
      </c>
      <c r="CH201" s="118"/>
      <c r="CI201" s="121">
        <v>2019</v>
      </c>
      <c r="CJ201" s="118"/>
      <c r="CK201" s="118"/>
      <c r="CL201" s="118"/>
      <c r="CM201" s="183"/>
      <c r="CN201" s="118">
        <f t="shared" si="450"/>
        <v>127009</v>
      </c>
      <c r="CO201" s="118">
        <f t="shared" si="451"/>
        <v>164.19204601283508</v>
      </c>
      <c r="CP201" s="186">
        <v>0.85106382978723405</v>
      </c>
      <c r="CQ201" s="118">
        <f>CQ180*CP201+CO181*CP200+CO182*CP199+CO183*CP198+CO184*CP197+CO185*CP196+CO186*CP195+CO187*CP194+CO188*CP193+CO189*CP192+CO190*CP191+CO191*CP190+CO192*CP189+CO193*CP188+CO194*CP187+CO195*CP186+CO196*CP185+CO197*CP184+CO198*CP183+CO199*CP182+CO200*CP181+CO201</f>
        <v>5100.6684479423366</v>
      </c>
      <c r="CR201" s="119">
        <f t="shared" si="452"/>
        <v>2.3303413330900309E-2</v>
      </c>
      <c r="CS201" s="119"/>
      <c r="CT201" s="177">
        <f t="shared" si="453"/>
        <v>9.3721929456309968E-3</v>
      </c>
      <c r="CU201" s="177">
        <f t="shared" si="461"/>
        <v>9.0532723012076363E-3</v>
      </c>
      <c r="CV201" s="119">
        <f>VLOOKUP($H201,RoR!$E:$F,2,FALSE)</f>
        <v>3.3875000000000009E-2</v>
      </c>
      <c r="CW201" s="177">
        <v>1.8092492884465461E-2</v>
      </c>
      <c r="CX201" s="177">
        <f t="shared" si="459"/>
        <v>1.5782507115534548E-2</v>
      </c>
      <c r="CY201" s="177">
        <f t="shared" si="462"/>
        <v>2.1848669307325989E-2</v>
      </c>
      <c r="CZ201" s="177">
        <f t="shared" si="463"/>
        <v>4.8445665544254078E-2</v>
      </c>
      <c r="DA201" s="187">
        <f t="shared" si="454"/>
        <v>0.89987312500000005</v>
      </c>
      <c r="DB201" s="188">
        <f t="shared" si="455"/>
        <v>1.513861292459078</v>
      </c>
      <c r="DC201" s="188">
        <f t="shared" si="456"/>
        <v>0.23699261992619944</v>
      </c>
      <c r="DD201" s="188">
        <f t="shared" si="457"/>
        <v>0.73619765810468829</v>
      </c>
      <c r="DE201" s="188">
        <f t="shared" si="458"/>
        <v>0.26412854465362851</v>
      </c>
      <c r="DF201" s="189">
        <f>INDEX('State Tax Lookup'!$D$7:$Z$91,MATCH(Calculation!$C201,'State Tax Lookup'!$B$7:$B$91,0),MATCH($H201,'State Tax Lookup'!$D$6:$Z$6,0))</f>
        <v>0.26700499999999999</v>
      </c>
      <c r="DG201" s="189">
        <v>0.375</v>
      </c>
      <c r="DH201" s="190">
        <f t="shared" si="460"/>
        <v>20.68906969790406</v>
      </c>
      <c r="DI201" s="190">
        <v>20.282242736748135</v>
      </c>
      <c r="DJ201" s="177"/>
      <c r="DK201" s="189">
        <f>VLOOKUP($H201,RoR!$E:$F,2,FALSE)</f>
        <v>3.3875000000000009E-2</v>
      </c>
      <c r="DL201" s="191">
        <f>HLOOKUP($H201,'GDP-PI'!$D$8:$CQ$11,3,FALSE)</f>
        <v>1.8092492884465461E-2</v>
      </c>
      <c r="DM201" s="189">
        <f>VLOOKUP(H201,'HW Dx Data'!$E:$F,2,FALSE)</f>
        <v>773.53929793938721</v>
      </c>
      <c r="DN201" s="183">
        <f>VLOOKUP(H201,'ECI - Input Price'!$G$17:$H$37,2,FALSE)</f>
        <v>136.85</v>
      </c>
      <c r="DO201" s="177">
        <f t="shared" ref="DO201" si="515">LN(DN201/DN200)</f>
        <v>2.6658372440734168E-2</v>
      </c>
      <c r="DP201" s="183">
        <f>HLOOKUP(H201,'GDP-PI'!$8:$9,2,FALSE)</f>
        <v>112.318</v>
      </c>
      <c r="DQ201" s="177">
        <f t="shared" ref="DQ201" si="516">LN(DP201/DP200)</f>
        <v>1.7930771451401852E-2</v>
      </c>
      <c r="DW201" s="192"/>
      <c r="DX201" s="192"/>
      <c r="DY201" s="192"/>
      <c r="DZ201" s="192"/>
      <c r="EA201" s="192"/>
      <c r="EB201" s="192"/>
      <c r="EC201" s="192"/>
      <c r="ED201" s="192"/>
      <c r="EE201" s="192"/>
    </row>
    <row r="202" spans="1:135" s="167" customFormat="1" ht="21" x14ac:dyDescent="0.35">
      <c r="A202" s="167" t="s">
        <v>38</v>
      </c>
      <c r="B202" s="167" t="s">
        <v>38</v>
      </c>
      <c r="C202" s="167">
        <v>4057111</v>
      </c>
      <c r="D202" s="167" t="s">
        <v>333</v>
      </c>
      <c r="E202" s="167" t="s">
        <v>126</v>
      </c>
      <c r="G202" s="168" t="s">
        <v>26</v>
      </c>
      <c r="H202" s="169">
        <v>2020</v>
      </c>
      <c r="I202" s="170"/>
      <c r="J202" s="166">
        <f>IFERROR(INDEX('Labor Expenditures'!$F$7:$X$91,MATCH($C202,'Labor Expenditures'!$D$7:$D$91,0),MATCH($G202,'Labor Expenditures'!$F$5:$X$5,0)),"NA")</f>
        <v>76508.145246526648</v>
      </c>
      <c r="K202" s="166">
        <f t="shared" si="466"/>
        <v>544.7358152120089</v>
      </c>
      <c r="L202" s="172">
        <f t="shared" si="476"/>
        <v>-0.36116519074995079</v>
      </c>
      <c r="M202" s="172">
        <f t="shared" si="477"/>
        <v>-7.8226429741123493E-3</v>
      </c>
      <c r="N202" s="196"/>
      <c r="O202" s="172"/>
      <c r="P202" s="166">
        <f>IFERROR(INDEX('Non-Labor Expenditures'!$F$7:$AB$91,MATCH($C202,'Non-Labor Expenditures'!$D$7:$D$91,0),MATCH($G202,'Non-Labor Expenditures'!$F$5:$AB$5,0)),"NA")</f>
        <v>110798.08406738167</v>
      </c>
      <c r="Q202" s="166">
        <f t="shared" si="467"/>
        <v>975.13781600012032</v>
      </c>
      <c r="R202" s="172">
        <f t="shared" si="478"/>
        <v>-0.34675088941777887</v>
      </c>
      <c r="S202" s="172">
        <f t="shared" si="483"/>
        <v>-7.5104369921108333E-3</v>
      </c>
      <c r="T202" s="172"/>
      <c r="U202" s="172"/>
      <c r="V202" s="166">
        <f t="shared" si="448"/>
        <v>109356.22867177792</v>
      </c>
      <c r="W202" s="170"/>
      <c r="X202" s="174">
        <v>5203.0859992919059</v>
      </c>
      <c r="Y202" s="175">
        <v>1.9880311595515437E-2</v>
      </c>
      <c r="Z202" s="175">
        <f t="shared" si="484"/>
        <v>4.3059681223125816E-4</v>
      </c>
      <c r="AA202" s="175"/>
      <c r="AB202" s="175"/>
      <c r="AC202" s="170">
        <f t="shared" si="490"/>
        <v>296662.45798568625</v>
      </c>
      <c r="AD202" s="175">
        <f t="shared" si="479"/>
        <v>-0.20728161515537846</v>
      </c>
      <c r="AE202" s="170"/>
      <c r="AF202" s="170"/>
      <c r="AG202" s="121">
        <f t="shared" si="480"/>
        <v>393.71157340748431</v>
      </c>
      <c r="AH202" s="119">
        <f>+AZ202/$BB$58</f>
        <v>1.9595434793327614E-2</v>
      </c>
      <c r="AI202" s="119">
        <f>+AZ202/$BC$59</f>
        <v>8.267449016527284E-2</v>
      </c>
      <c r="AJ202" s="176">
        <f t="shared" si="485"/>
        <v>7.7149494640847767</v>
      </c>
      <c r="AK202" s="176">
        <f t="shared" si="486"/>
        <v>32.549903603631158</v>
      </c>
      <c r="AL202" s="120">
        <f t="shared" si="468"/>
        <v>0.25789628308890405</v>
      </c>
      <c r="AM202" s="120">
        <f t="shared" si="469"/>
        <v>0.37348198629409185</v>
      </c>
      <c r="AN202" s="120">
        <f t="shared" si="470"/>
        <v>0.36862173061700404</v>
      </c>
      <c r="AO202" s="120">
        <f t="shared" si="473"/>
        <v>-0.23136768250188641</v>
      </c>
      <c r="AP202" s="173">
        <f t="shared" si="491"/>
        <v>125.85803951488312</v>
      </c>
      <c r="AQ202" s="175">
        <f t="shared" si="492"/>
        <v>-0.23136768250188636</v>
      </c>
      <c r="AR202" s="177">
        <f>+AC202/$AE$58</f>
        <v>2.165945992156337E-2</v>
      </c>
      <c r="AS202" s="177">
        <f t="shared" si="487"/>
        <v>-5.0112990462946065E-3</v>
      </c>
      <c r="AT202" s="177"/>
      <c r="AU202" s="177"/>
      <c r="AV202" s="177"/>
      <c r="AW202" s="190"/>
      <c r="AX202" s="120"/>
      <c r="AY202" s="120"/>
      <c r="AZ202" s="118">
        <f>IFERROR(INDEX('Total Customers'!$F$7:$AB$91,MATCH($C202,'Total Customers'!$D$7:$D$91,0),MATCH($G202,'Total Customers'!$F$5:$AB$5,0)),"NA")</f>
        <v>753502</v>
      </c>
      <c r="BA202" s="119">
        <f t="shared" si="449"/>
        <v>1.1211892682541566E-2</v>
      </c>
      <c r="BB202" s="119"/>
      <c r="BC202" s="121">
        <v>9060252</v>
      </c>
      <c r="BD202" s="119"/>
      <c r="BE202" s="119"/>
      <c r="BF202" s="119"/>
      <c r="BG202" s="173"/>
      <c r="BH202" s="173"/>
      <c r="BI202" s="173"/>
      <c r="BJ202" s="173"/>
      <c r="BK202" s="173"/>
      <c r="BL202" s="173"/>
      <c r="BM202" s="173"/>
      <c r="BN202" s="173"/>
      <c r="BO202" s="173"/>
      <c r="BP202" s="173"/>
      <c r="BQ202" s="118"/>
      <c r="BR202" s="118"/>
      <c r="BS202" s="118">
        <f>INDEX('Dist. Plant Gas Additions'!$F$7:$AE$91,MATCH($C202,'Dist. Plant Gas Additions'!$D$7:$D$91,0),MATCH(Calculation!$G202,'Dist. Plant Gas Additions'!$F$5:$AE$5,0))</f>
        <v>115249</v>
      </c>
      <c r="BT202" s="118">
        <f>INDEX('Gen. Plant Additions'!$F$7:$AE$91,MATCH($C202,'Gen. Plant Additions'!$D$7:$D$91,0),MATCH(Calculation!$G202,'Gen. Plant Additions'!$F$5:$AE$5,0))</f>
        <v>8201</v>
      </c>
      <c r="BU202" s="118"/>
      <c r="BV202" s="118"/>
      <c r="BW202" s="118" t="str">
        <f>INDEX('Dist Plant Depreciation'!$E$7:$AD$94,MATCH($C202,'Dist Plant Depreciation'!$D$7:$D$94,0),MATCH(Calculation!$G202,'Dist Plant Depreciation'!$E$5:$AD$5,0))</f>
        <v>NA</v>
      </c>
      <c r="BX202" s="118" t="str">
        <f>INDEX('Gen. Plant Depreciation'!$E$7:$AD$94,MATCH($C202,'Gen. Plant Depreciation'!$D$7:$D$94,0),MATCH(Calculation!$G202,'Gen. Plant Depreciation'!$E$5:$AD$5,0))</f>
        <v>NA</v>
      </c>
      <c r="BY202" s="118"/>
      <c r="BZ202" s="118"/>
      <c r="CA202" s="118"/>
      <c r="CB202" s="118"/>
      <c r="CC202" s="118"/>
      <c r="CD202" s="118"/>
      <c r="CE202" s="118">
        <f>INDEX('Gross Dx Plant'!$E$7:$AD$91,MATCH($C202,'Gross Dx Plant'!$D$7:$D$91,0),MATCH(Calculation!$G202,'Gross Dx Plant'!$E$5:$AD$5,0))</f>
        <v>1762077</v>
      </c>
      <c r="CF202" s="118">
        <f>INDEX('Gross Gen Plant'!$E$7:$AD$91,MATCH($C202,'Gross Gen Plant'!$D$7:$D$91,0),MATCH(Calculation!$G202,'Gross Gen Plant'!$E$5:$AD$5,0))</f>
        <v>89394</v>
      </c>
      <c r="CG202" s="118" t="str">
        <f t="shared" si="426"/>
        <v>NA</v>
      </c>
      <c r="CH202" s="118"/>
      <c r="CI202" s="121">
        <v>2020</v>
      </c>
      <c r="CJ202" s="118"/>
      <c r="CK202" s="118"/>
      <c r="CL202" s="118"/>
      <c r="CM202" s="183"/>
      <c r="CN202" s="118">
        <f t="shared" si="450"/>
        <v>123450</v>
      </c>
      <c r="CO202" s="118">
        <f t="shared" si="451"/>
        <v>151.83004788442418</v>
      </c>
      <c r="CP202" s="186">
        <v>0.84057971014492749</v>
      </c>
      <c r="CQ202" s="118">
        <f>CQ180*CP202+CO181*CP201+CO182*CP200+CO183*CP199+CO184*CP198+CO185*CP197+CO186*CP196+CO187*CP195+CO188*CP194+CO189*CP193+CO190*CP192+CO191*CP191+CO192*CP190+CO193*CP189+CO194*CP188+CO195*CP187+CO196*CP186+CO197*CP185+CO198*CP184+CO199*CP183+CO200*CP182+CO201*CP181+CO202</f>
        <v>5203.0859992919059</v>
      </c>
      <c r="CR202" s="119">
        <f t="shared" si="452"/>
        <v>1.9880311595515437E-2</v>
      </c>
      <c r="CS202" s="119"/>
      <c r="CT202" s="177">
        <f t="shared" si="453"/>
        <v>9.6874550932218306E-3</v>
      </c>
      <c r="CU202" s="177">
        <f t="shared" si="461"/>
        <v>9.3679756399549941E-3</v>
      </c>
      <c r="CV202" s="119">
        <f>VLOOKUP($H202,RoR!$E:$F,2,FALSE)</f>
        <v>2.4766666666666666E-2</v>
      </c>
      <c r="CW202" s="177">
        <v>1.1618796630994188E-2</v>
      </c>
      <c r="CX202" s="177">
        <f t="shared" si="459"/>
        <v>1.3147870035672478E-2</v>
      </c>
      <c r="CY202" s="177">
        <f t="shared" si="462"/>
        <v>2.1533965968578629E-2</v>
      </c>
      <c r="CZ202" s="177">
        <f t="shared" si="463"/>
        <v>4.5144642961987357E-2</v>
      </c>
      <c r="DA202" s="187">
        <f t="shared" si="454"/>
        <v>0.89987312500000005</v>
      </c>
      <c r="DB202" s="188">
        <f t="shared" si="455"/>
        <v>2.0706077233668081</v>
      </c>
      <c r="DC202" s="188">
        <f t="shared" si="456"/>
        <v>-3.4421265141318998E-2</v>
      </c>
      <c r="DD202" s="188">
        <f t="shared" si="457"/>
        <v>0.62416226176410472</v>
      </c>
      <c r="DE202" s="188">
        <f t="shared" si="458"/>
        <v>-4.4485877841158712E-2</v>
      </c>
      <c r="DF202" s="189">
        <f>INDEX('State Tax Lookup'!$D$7:$Z$91,MATCH(Calculation!$C202,'State Tax Lookup'!$B$7:$B$91,0),MATCH($H202,'State Tax Lookup'!$D$6:$Z$6,0))</f>
        <v>0.26700499999999999</v>
      </c>
      <c r="DG202" s="189">
        <v>0.375</v>
      </c>
      <c r="DH202" s="190">
        <f t="shared" si="460"/>
        <v>21.439587730093177</v>
      </c>
      <c r="DI202" s="190">
        <v>21.05102406978563</v>
      </c>
      <c r="DJ202" s="177"/>
      <c r="DK202" s="189">
        <f>VLOOKUP($H202,RoR!$E:$F,2,FALSE)</f>
        <v>2.4766666666666666E-2</v>
      </c>
      <c r="DL202" s="191">
        <f>HLOOKUP($H202,'GDP-PI'!$D$8:$CQ$11,3,FALSE)</f>
        <v>1.1618796630994188E-2</v>
      </c>
      <c r="DM202" s="189">
        <f>VLOOKUP(H202,'HW Dx Data'!$E:$F,2,FALSE)</f>
        <v>813.080162458833</v>
      </c>
      <c r="DN202" s="183">
        <f>VLOOKUP(H202,'ECI - Input Price'!$G$17:$H$37,2,FALSE)</f>
        <v>140.44999999999999</v>
      </c>
      <c r="DO202" s="177">
        <f t="shared" ref="DO202" si="517">LN(DN202/DN201)</f>
        <v>2.5966118063564539E-2</v>
      </c>
      <c r="DP202" s="183">
        <f>HLOOKUP(H202,'GDP-PI'!$8:$9,2,FALSE)</f>
        <v>113.623</v>
      </c>
      <c r="DQ202" s="177">
        <f t="shared" ref="DQ202" si="518">LN(DP202/DP201)</f>
        <v>1.1551816731392881E-2</v>
      </c>
      <c r="DW202" s="192"/>
      <c r="DX202" s="192"/>
      <c r="DY202" s="192"/>
      <c r="DZ202" s="192"/>
      <c r="EA202" s="192"/>
      <c r="EB202" s="192"/>
      <c r="EC202" s="192"/>
      <c r="ED202" s="192"/>
      <c r="EE202" s="192"/>
    </row>
    <row r="203" spans="1:135" s="167" customFormat="1" ht="21" x14ac:dyDescent="0.35">
      <c r="A203" s="167" t="s">
        <v>38</v>
      </c>
      <c r="B203" s="167" t="s">
        <v>38</v>
      </c>
      <c r="C203" s="167">
        <v>4057111</v>
      </c>
      <c r="D203" s="167" t="s">
        <v>333</v>
      </c>
      <c r="E203" s="167" t="s">
        <v>126</v>
      </c>
      <c r="G203" s="168" t="s">
        <v>462</v>
      </c>
      <c r="H203" s="169">
        <v>2021</v>
      </c>
      <c r="I203" s="170"/>
      <c r="J203" s="166">
        <f>IFERROR(INDEX('Labor Expenditures'!$E$7:$X$91,MATCH($C203,'Labor Expenditures'!$D$7:$D$91,0),MATCH($G203,'Labor Expenditures'!$E$5:$X$5,0)),"NA")</f>
        <v>93296.329716244523</v>
      </c>
      <c r="K203" s="166">
        <f t="shared" si="466"/>
        <v>641.32208088155699</v>
      </c>
      <c r="L203" s="171">
        <f t="shared" si="476"/>
        <v>0.16323086259339556</v>
      </c>
      <c r="M203" s="172">
        <f t="shared" si="477"/>
        <v>3.9646901511852786E-3</v>
      </c>
      <c r="N203" s="196"/>
      <c r="O203" s="172"/>
      <c r="P203" s="166">
        <f>IFERROR(INDEX('Non-Labor Expenditures'!$E$7:$AB$91,MATCH($C203,'Non-Labor Expenditures'!$D$7:$D$91,0),MATCH($G203,'Non-Labor Expenditures'!$E$5:$AB$5,0)),"NA")</f>
        <v>131514.10333494714</v>
      </c>
      <c r="Q203" s="166">
        <f t="shared" si="467"/>
        <v>1109.9173207439205</v>
      </c>
      <c r="R203" s="172">
        <f t="shared" si="478"/>
        <v>0.1294619949632593</v>
      </c>
      <c r="S203" s="172">
        <f t="shared" si="483"/>
        <v>3.1444831463164728E-3</v>
      </c>
      <c r="T203" s="172"/>
      <c r="U203" s="172"/>
      <c r="V203" s="166">
        <f t="shared" si="448"/>
        <v>133411.9225529462</v>
      </c>
      <c r="W203" s="170"/>
      <c r="X203" s="174">
        <v>5358.9671506140894</v>
      </c>
      <c r="Y203" s="175"/>
      <c r="Z203" s="175">
        <f t="shared" si="484"/>
        <v>0</v>
      </c>
      <c r="AA203" s="175"/>
      <c r="AB203" s="175"/>
      <c r="AC203" s="170">
        <f t="shared" si="490"/>
        <v>358222.35560413788</v>
      </c>
      <c r="AD203" s="175">
        <f t="shared" si="479"/>
        <v>0.18855891124194457</v>
      </c>
      <c r="AE203" s="118"/>
      <c r="AF203" s="119"/>
      <c r="AG203" s="121">
        <f t="shared" si="480"/>
        <v>364.6299985689908</v>
      </c>
      <c r="AH203" s="119">
        <f>+AZ203/$BB$59</f>
        <v>2.5205834341705251E-2</v>
      </c>
      <c r="AI203" s="119">
        <f t="shared" ref="AI203" si="519">+AZ203/$BC$44</f>
        <v>0.11911993352553181</v>
      </c>
      <c r="AJ203" s="176">
        <f t="shared" si="485"/>
        <v>9.1908033399462052</v>
      </c>
      <c r="AK203" s="176">
        <f t="shared" si="486"/>
        <v>43.434701190952943</v>
      </c>
      <c r="AL203" s="120">
        <f t="shared" si="468"/>
        <v>0.26044251079445152</v>
      </c>
      <c r="AM203" s="120">
        <f t="shared" si="469"/>
        <v>0.3671298043729016</v>
      </c>
      <c r="AN203" s="120">
        <f t="shared" si="470"/>
        <v>0.37242768483264682</v>
      </c>
      <c r="AO203" s="120">
        <f t="shared" si="473"/>
        <v>9.0244984177130588E-2</v>
      </c>
      <c r="AP203" s="173">
        <f t="shared" si="491"/>
        <v>137.74437129301344</v>
      </c>
      <c r="AQ203" s="175">
        <f t="shared" si="492"/>
        <v>9.0244984177130616E-2</v>
      </c>
      <c r="AR203" s="177">
        <f>+AC203/$AE$59</f>
        <v>2.4288851312764509E-2</v>
      </c>
      <c r="AS203" s="177">
        <f t="shared" si="487"/>
        <v>2.1919470024011115E-3</v>
      </c>
      <c r="AT203" s="177"/>
      <c r="AU203" s="177"/>
      <c r="AV203" s="177"/>
      <c r="AW203" s="190"/>
      <c r="AX203" s="120"/>
      <c r="AY203" s="120"/>
      <c r="AZ203" s="118">
        <f>INDEX('Total Customers'!$E$7:$E$91,MATCH(Calculation!$C203,'Total Customers'!$D$7:$D$91,0))</f>
        <v>982427</v>
      </c>
      <c r="BA203" s="119">
        <f t="shared" si="449"/>
        <v>0.26529436838550857</v>
      </c>
      <c r="BB203" s="118"/>
      <c r="BC203" s="121"/>
      <c r="BD203" s="118"/>
      <c r="BE203" s="119"/>
      <c r="BF203" s="119"/>
      <c r="BG203" s="173"/>
      <c r="BH203" s="173"/>
      <c r="BI203" s="173"/>
      <c r="BJ203" s="173"/>
      <c r="BK203" s="173"/>
      <c r="BL203" s="173"/>
      <c r="BM203" s="173"/>
      <c r="BN203" s="173"/>
      <c r="BO203" s="173"/>
      <c r="BP203" s="173"/>
      <c r="BQ203" s="118"/>
      <c r="BR203" s="118"/>
      <c r="BS203" s="118">
        <f>INDEX('Dist. Plant Gas Additions'!$E$7:$AE$91,MATCH($C203,'Dist. Plant Gas Additions'!$D$7:$D$91,0),MATCH(Calculation!$G203,'Dist. Plant Gas Additions'!$E$5:$AE$5,0))</f>
        <v>170443.24400000001</v>
      </c>
      <c r="BT203" s="118">
        <f>INDEX('Gen. Plant Additions'!$E$7:$AE$91,MATCH($C203,'Gen. Plant Additions'!$D$7:$D$91,0),MATCH(Calculation!$G203,'Gen. Plant Additions'!$E$5:$AE$5,0))</f>
        <v>5346</v>
      </c>
      <c r="BU203" s="118"/>
      <c r="BV203" s="118"/>
      <c r="BW203" s="118"/>
      <c r="BX203" s="118"/>
      <c r="BY203" s="183"/>
      <c r="BZ203" s="183"/>
      <c r="CA203" s="178"/>
      <c r="CB203" s="184"/>
      <c r="CC203" s="185"/>
      <c r="CD203" s="185"/>
      <c r="CE203" s="118"/>
      <c r="CF203" s="118"/>
      <c r="CG203" s="118"/>
      <c r="CH203" s="118"/>
      <c r="CI203" s="121">
        <v>2021</v>
      </c>
      <c r="CJ203" s="118"/>
      <c r="CK203" s="118"/>
      <c r="CL203" s="118"/>
      <c r="CM203" s="183"/>
      <c r="CN203" s="118">
        <f t="shared" si="450"/>
        <v>175789.24400000001</v>
      </c>
      <c r="CO203" s="118">
        <f t="shared" si="451"/>
        <v>188.40836544412838</v>
      </c>
      <c r="CP203" s="186">
        <f>+(51-23)/(51-23*0.75)</f>
        <v>0.82962962962962961</v>
      </c>
      <c r="CQ203" s="118">
        <f>CQ180*CP203+CO181*CP202+CO182*CP201+CO183*CP200+CO184*CP199+CO185*CP198+CO186*CP197+CO187*CP196+CO188*CP195+CO189*CP194+CO190*CP193+CO191*CP192+CO192*CP191+CO193*CP190+CO194*CP189+CO185*CP188+CO196*CP187+CO197*CP186+CO198*CP185+CO199*CP184+CO200*CP183+CO201*CP182+CO203+CO202*CP181</f>
        <v>5358.9671506140894</v>
      </c>
      <c r="CR203" s="119"/>
      <c r="CS203" s="118"/>
      <c r="CT203" s="177">
        <f t="shared" si="453"/>
        <v>6.251523447118019E-3</v>
      </c>
      <c r="CU203" s="177">
        <f t="shared" si="461"/>
        <v>8.4370571619902818E-3</v>
      </c>
      <c r="CV203" s="119">
        <f>VLOOKUP($H203,RoR!$E:$F,2,FALSE)</f>
        <v>2.7033333333333336E-2</v>
      </c>
      <c r="CW203" s="177"/>
      <c r="CX203" s="177"/>
      <c r="CY203" s="177">
        <f t="shared" si="462"/>
        <v>2.2464884446543341E-2</v>
      </c>
      <c r="CZ203" s="177">
        <f t="shared" si="463"/>
        <v>7.433422950153494E-2</v>
      </c>
      <c r="DA203" s="187">
        <f t="shared" si="454"/>
        <v>0.89987312500000005</v>
      </c>
      <c r="DB203" s="188">
        <f t="shared" si="455"/>
        <v>1.8969932656739068</v>
      </c>
      <c r="DC203" s="188">
        <f t="shared" si="456"/>
        <v>5.0215782983970621E-2</v>
      </c>
      <c r="DD203" s="188">
        <f t="shared" si="457"/>
        <v>0.655952481704143</v>
      </c>
      <c r="DE203" s="188">
        <f t="shared" si="458"/>
        <v>6.2485378865697057E-2</v>
      </c>
      <c r="DF203" s="189">
        <f>DF202</f>
        <v>0.26700499999999999</v>
      </c>
      <c r="DG203" s="189">
        <v>0.375</v>
      </c>
      <c r="DH203" s="190">
        <f t="shared" si="460"/>
        <v>25.640922054930936</v>
      </c>
      <c r="DI203" s="190"/>
      <c r="DJ203" s="177">
        <f t="shared" ref="DJ203" si="520">LN(DH203/DH202)</f>
        <v>0.17895048597576343</v>
      </c>
      <c r="DK203" s="189">
        <f>VLOOKUP($H203,RoR!$E:$F,2,FALSE)</f>
        <v>2.7033333333333336E-2</v>
      </c>
      <c r="DL203" s="191">
        <f>HLOOKUP($H203,'GDP-PI'!$D$8:$CR$11,3,FALSE)</f>
        <v>4.2834637353352578E-2</v>
      </c>
      <c r="DM203" s="189">
        <f>VLOOKUP(H203,'HW Dx Data'!$E:$F,2,FALSE)</f>
        <v>933.02249921662576</v>
      </c>
      <c r="DN203" s="183">
        <f>VLOOKUP(H203,'ECI - Input Price'!$G$17:$H$37,2,FALSE)</f>
        <v>145.47500000000002</v>
      </c>
      <c r="DO203" s="177">
        <f t="shared" ref="DO203" si="521">LN(DN203/DN202)</f>
        <v>3.5152696992481205E-2</v>
      </c>
      <c r="DP203" s="183">
        <f>HLOOKUP(H203,'GDP-PI'!$8:$9,2,FALSE)</f>
        <v>118.49</v>
      </c>
      <c r="DQ203" s="177">
        <f t="shared" ref="DQ203" si="522">LN(DP203/DP202)</f>
        <v>4.194261824609434E-2</v>
      </c>
      <c r="DW203" s="192"/>
      <c r="DX203" s="192"/>
      <c r="DY203" s="192"/>
      <c r="DZ203" s="192"/>
      <c r="EA203" s="192"/>
      <c r="EB203" s="192"/>
      <c r="EC203" s="192"/>
      <c r="ED203" s="192"/>
      <c r="EE203" s="192"/>
    </row>
    <row r="204" spans="1:135" s="167" customFormat="1" ht="21" x14ac:dyDescent="0.35">
      <c r="A204" s="167" t="s">
        <v>39</v>
      </c>
      <c r="B204" s="168" t="s">
        <v>39</v>
      </c>
      <c r="C204" s="168">
        <v>4018679</v>
      </c>
      <c r="D204" s="168" t="s">
        <v>136</v>
      </c>
      <c r="E204" s="168" t="s">
        <v>126</v>
      </c>
      <c r="F204" s="168"/>
      <c r="G204" s="168" t="s">
        <v>4</v>
      </c>
      <c r="H204" s="169">
        <v>1998</v>
      </c>
      <c r="I204" s="170"/>
      <c r="J204" s="166"/>
      <c r="K204" s="166"/>
      <c r="L204" s="166"/>
      <c r="M204" s="166"/>
      <c r="N204" s="196"/>
      <c r="O204" s="166"/>
      <c r="P204" s="166"/>
      <c r="Q204" s="166"/>
      <c r="R204" s="166"/>
      <c r="S204" s="166"/>
      <c r="T204" s="166"/>
      <c r="U204" s="166"/>
      <c r="V204" s="166"/>
      <c r="W204" s="170"/>
      <c r="X204" s="174">
        <v>6418.4939657819841</v>
      </c>
      <c r="Y204" s="175"/>
      <c r="Z204" s="166"/>
      <c r="AA204" s="175"/>
      <c r="AB204" s="175"/>
      <c r="AC204" s="170">
        <f t="shared" si="490"/>
        <v>0</v>
      </c>
      <c r="AD204" s="170"/>
      <c r="AE204" s="170"/>
      <c r="AF204" s="119"/>
      <c r="AG204" s="174"/>
      <c r="AH204" s="175"/>
      <c r="AI204" s="175"/>
      <c r="AJ204" s="174"/>
      <c r="AK204" s="174"/>
      <c r="AL204" s="120"/>
      <c r="AM204" s="120"/>
      <c r="AN204" s="120"/>
      <c r="AO204" s="120"/>
      <c r="AP204" s="120"/>
      <c r="AQ204" s="175">
        <f>AVERAGE(AQ213:AQ227)</f>
        <v>2.3472742116659406E-2</v>
      </c>
      <c r="AR204" s="120"/>
      <c r="AS204" s="120"/>
      <c r="AT204" s="120"/>
      <c r="AU204" s="120"/>
      <c r="AV204" s="120"/>
      <c r="AW204" s="120"/>
      <c r="AX204" s="120"/>
      <c r="AY204" s="120"/>
      <c r="AZ204" s="118">
        <f>IFERROR(INDEX('Total Customers'!$F$7:$AB$91,MATCH($C204,'Total Customers'!$D$7:$D$91,0),MATCH($G204,'Total Customers'!$F$5:$AB$5,0)),"NA")</f>
        <v>1172083</v>
      </c>
      <c r="BA204" s="119"/>
      <c r="BB204" s="119"/>
      <c r="BC204" s="121"/>
      <c r="BD204" s="119"/>
      <c r="BE204" s="119"/>
      <c r="BF204" s="119"/>
      <c r="BG204" s="173"/>
      <c r="BH204" s="173"/>
      <c r="BI204" s="173"/>
      <c r="BJ204" s="173"/>
      <c r="BK204" s="173"/>
      <c r="BL204" s="173"/>
      <c r="BM204" s="173"/>
      <c r="BN204" s="173"/>
      <c r="BO204" s="173"/>
      <c r="BP204" s="173"/>
      <c r="BQ204" s="118">
        <f>INDEX('Gross Dx Plant'!$E$7:$AD$91,MATCH($C204,'Gross Dx Plant'!$D$7:$D$91,0),MATCH(Calculation!$G204,'Gross Dx Plant'!$E$5:$AD$5,0))</f>
        <v>1518875</v>
      </c>
      <c r="BR204" s="118">
        <f>INDEX('Gross Gen Plant'!$E$7:$AD$91,MATCH($C204,'Gross Gen Plant'!$D$7:$D$91,0),MATCH(Calculation!$G204,'Gross Gen Plant'!$E$5:$AD$5,0))</f>
        <v>168775</v>
      </c>
      <c r="BS204" s="118">
        <f>INDEX('Dist. Plant Gas Additions'!$F$7:$AE$91,MATCH($C204,'Dist. Plant Gas Additions'!$D$7:$D$91,0),MATCH(Calculation!$G204,'Dist. Plant Gas Additions'!$F$5:$AE$5,0))</f>
        <v>72879</v>
      </c>
      <c r="BT204" s="118">
        <f>INDEX('Gen. Plant Additions'!$F$7:$AE$91,MATCH($C204,'Gen. Plant Additions'!$D$7:$D$91,0),MATCH(Calculation!$G204,'Gen. Plant Additions'!$F$5:$AE$5,0))</f>
        <v>7076</v>
      </c>
      <c r="BU204" s="118" t="e">
        <f>INDEX('Dist Plant Depreciation'!$E$7:$AA$94,MATCH($C204,'Dist Plant Depreciation'!$D$7:$D$94,0),MATCH(#REF!,'Dist Plant Depreciation'!$E$5:$AA$5,0))</f>
        <v>#REF!</v>
      </c>
      <c r="BV204" s="118" t="e">
        <f>INDEX('Gen. Plant Depreciation'!$E$7:$AA$94,MATCH($C204,'Gen. Plant Depreciation'!$D$7:$D$94,0),MATCH(#REF!,'Gen. Plant Depreciation'!$E$5:$AA$5,0))</f>
        <v>#REF!</v>
      </c>
      <c r="BW204" s="118">
        <f>INDEX('Dist Plant Depreciation'!$E$7:$AD$94,MATCH($C204,'Dist Plant Depreciation'!$D$7:$D$94,0),MATCH(Calculation!$G204,'Dist Plant Depreciation'!$E$5:$AD$5,0))</f>
        <v>343754</v>
      </c>
      <c r="BX204" s="118">
        <f>INDEX('Gen. Plant Depreciation'!$E$7:$AD$94,MATCH($C204,'Gen. Plant Depreciation'!$D$7:$D$94,0),MATCH(Calculation!$G204,'Gen. Plant Depreciation'!$E$5:$AD$5,0))</f>
        <v>49161</v>
      </c>
      <c r="BY204" s="118"/>
      <c r="BZ204" s="118"/>
      <c r="CA204" s="118"/>
      <c r="CB204" s="118"/>
      <c r="CC204" s="118"/>
      <c r="CD204" s="118"/>
      <c r="CE204" s="118">
        <f>INDEX('Gross Dx Plant'!$E$7:$AD$91,MATCH($C204,'Gross Dx Plant'!$D$7:$D$91,0),MATCH(Calculation!$G204,'Gross Dx Plant'!$E$5:$AD$5,0))</f>
        <v>1518875</v>
      </c>
      <c r="CF204" s="118">
        <f>INDEX('Gross Gen Plant'!$E$7:$AD$91,MATCH($C204,'Gross Gen Plant'!$D$7:$D$91,0),MATCH(Calculation!$G204,'Gross Gen Plant'!$E$5:$AD$5,0))</f>
        <v>168775</v>
      </c>
      <c r="CG204" s="118">
        <f t="shared" si="426"/>
        <v>1294735</v>
      </c>
      <c r="CH204" s="118"/>
      <c r="CI204" s="121">
        <v>1998</v>
      </c>
      <c r="CJ204" s="118">
        <f>BQ204+BR204</f>
        <v>1687650</v>
      </c>
      <c r="CK204" s="118">
        <f>343754+49161</f>
        <v>392915</v>
      </c>
      <c r="CL204" s="118">
        <f>+CJ204-CK204</f>
        <v>1294735</v>
      </c>
      <c r="CM204" s="118">
        <f>CL204/$CD$36</f>
        <v>6418.4939657819841</v>
      </c>
      <c r="CN204" s="183"/>
      <c r="CO204" s="183"/>
      <c r="CP204" s="186">
        <v>1</v>
      </c>
      <c r="CQ204" s="118">
        <f>+CM204</f>
        <v>6418.4939657819841</v>
      </c>
      <c r="CR204" s="119"/>
      <c r="CS204" s="119"/>
      <c r="CT204" s="177"/>
      <c r="CU204" s="177"/>
      <c r="CV204" s="119" t="e">
        <f>VLOOKUP($H204,RoR!$E:$F,2,FALSE)</f>
        <v>#N/A</v>
      </c>
      <c r="CW204" s="177">
        <v>1.1028127770464469E-2</v>
      </c>
      <c r="CX204" s="177"/>
      <c r="CY204" s="177"/>
      <c r="CZ204" s="177"/>
      <c r="DA204" s="187"/>
      <c r="DB204" s="190" t="e">
        <f>2/(DK204*39)</f>
        <v>#N/A</v>
      </c>
      <c r="DC204" s="188" t="e">
        <f>+(DK204*40-(1+DK204))/(DK204*40)</f>
        <v>#N/A</v>
      </c>
      <c r="DD204" s="188" t="e">
        <f>+(1-(1/(1+DK204)^40))</f>
        <v>#N/A</v>
      </c>
      <c r="DE204" s="188" t="e">
        <f>+DD204*DC204*DB204</f>
        <v>#N/A</v>
      </c>
      <c r="DF204" s="189">
        <f>INDEX('State Tax Lookup'!$D$7:$Z$91,MATCH(Calculation!$C204,'State Tax Lookup'!$B$7:$B$91,0),MATCH($H204,'State Tax Lookup'!$D$6:$Z$6,0))</f>
        <v>0.39649667</v>
      </c>
      <c r="DG204" s="189">
        <v>0.375</v>
      </c>
      <c r="DH204" s="183"/>
      <c r="DI204" s="183"/>
      <c r="DJ204" s="177"/>
      <c r="DK204" s="189" t="e">
        <f>VLOOKUP($H204,RoR!$E:$F,2,FALSE)</f>
        <v>#N/A</v>
      </c>
      <c r="DL204" s="191">
        <f>HLOOKUP($H204,'GDP-PI'!$D$8:$CQ$11,3,FALSE)</f>
        <v>1.1028127770464469E-2</v>
      </c>
      <c r="DM204" s="189">
        <f>VLOOKUP(H204,'HW Dx Data'!$E:$F,2,FALSE)</f>
        <v>329.24564746449528</v>
      </c>
      <c r="DN204" s="183" t="e">
        <f>VLOOKUP(H204,'ECI - Input Price'!$G$17:$H$37,2,FALSE)</f>
        <v>#N/A</v>
      </c>
      <c r="DO204" s="177"/>
      <c r="DP204" s="183">
        <f>HLOOKUP(H204,'GDP-PI'!$8:$9,2,FALSE)</f>
        <v>75.266999999999996</v>
      </c>
    </row>
    <row r="205" spans="1:135" s="167" customFormat="1" ht="21" x14ac:dyDescent="0.35">
      <c r="A205" s="167" t="s">
        <v>39</v>
      </c>
      <c r="B205" s="168" t="s">
        <v>39</v>
      </c>
      <c r="C205" s="168">
        <v>4018679</v>
      </c>
      <c r="D205" s="168" t="s">
        <v>136</v>
      </c>
      <c r="E205" s="168" t="s">
        <v>126</v>
      </c>
      <c r="F205" s="168"/>
      <c r="G205" s="168" t="s">
        <v>5</v>
      </c>
      <c r="H205" s="169">
        <v>1999</v>
      </c>
      <c r="I205" s="170"/>
      <c r="J205" s="166"/>
      <c r="K205" s="166"/>
      <c r="L205" s="166"/>
      <c r="M205" s="166"/>
      <c r="N205" s="196"/>
      <c r="O205" s="166"/>
      <c r="P205" s="166"/>
      <c r="Q205" s="166"/>
      <c r="R205" s="166"/>
      <c r="S205" s="195"/>
      <c r="T205" s="166"/>
      <c r="U205" s="166"/>
      <c r="V205" s="166">
        <f t="shared" ref="V205:V227" si="523">+CQ204*DH205</f>
        <v>0</v>
      </c>
      <c r="W205" s="170"/>
      <c r="X205" s="174">
        <v>6681.3080548307271</v>
      </c>
      <c r="Y205" s="175">
        <v>4.0130279557016618E-2</v>
      </c>
      <c r="Z205" s="175"/>
      <c r="AA205" s="175"/>
      <c r="AB205" s="175"/>
      <c r="AC205" s="170">
        <f t="shared" si="490"/>
        <v>0</v>
      </c>
      <c r="AD205" s="175"/>
      <c r="AE205" s="170"/>
      <c r="AF205" s="119"/>
      <c r="AG205" s="174"/>
      <c r="AH205" s="175"/>
      <c r="AI205" s="175"/>
      <c r="AJ205" s="174"/>
      <c r="AK205" s="174"/>
      <c r="AL205" s="120"/>
      <c r="AM205" s="120"/>
      <c r="AN205" s="120"/>
      <c r="AO205" s="120"/>
      <c r="AP205" s="120"/>
      <c r="AQ205" s="175"/>
      <c r="AR205" s="120"/>
      <c r="AS205" s="120"/>
      <c r="AT205" s="120"/>
      <c r="AU205" s="120"/>
      <c r="AV205" s="120"/>
      <c r="AW205" s="120"/>
      <c r="AX205" s="120"/>
      <c r="AY205" s="120"/>
      <c r="AZ205" s="118">
        <f>IFERROR(INDEX('Total Customers'!$F$7:$AB$91,MATCH($C205,'Total Customers'!$D$7:$D$91,0),MATCH($G205,'Total Customers'!$F$5:$AB$5,0)),"NA")</f>
        <v>1179802</v>
      </c>
      <c r="BA205" s="119">
        <f t="shared" ref="BA205:BA227" si="524">LN(AZ205/AZ204)</f>
        <v>6.5641200280837086E-3</v>
      </c>
      <c r="BB205" s="119"/>
      <c r="BC205" s="121"/>
      <c r="BD205" s="119"/>
      <c r="BE205" s="119"/>
      <c r="BF205" s="119"/>
      <c r="BG205" s="173"/>
      <c r="BH205" s="173"/>
      <c r="BI205" s="173"/>
      <c r="BJ205" s="173"/>
      <c r="BK205" s="173"/>
      <c r="BL205" s="173"/>
      <c r="BM205" s="173"/>
      <c r="BN205" s="173"/>
      <c r="BO205" s="173"/>
      <c r="BP205" s="173"/>
      <c r="BQ205" s="118"/>
      <c r="BR205" s="118"/>
      <c r="BS205" s="118">
        <f>INDEX('Dist. Plant Gas Additions'!$F$7:$AE$91,MATCH($C205,'Dist. Plant Gas Additions'!$D$7:$D$91,0),MATCH(Calculation!$G205,'Dist. Plant Gas Additions'!$F$5:$AE$5,0))</f>
        <v>88293</v>
      </c>
      <c r="BT205" s="118">
        <f>INDEX('Gen. Plant Additions'!$F$7:$AE$91,MATCH($C205,'Gen. Plant Additions'!$D$7:$D$91,0),MATCH(Calculation!$G205,'Gen. Plant Additions'!$F$5:$AE$5,0))</f>
        <v>10543</v>
      </c>
      <c r="BU205" s="118"/>
      <c r="BV205" s="118"/>
      <c r="BW205" s="118">
        <f>INDEX('Dist Plant Depreciation'!$E$7:$AD$94,MATCH($C205,'Dist Plant Depreciation'!$D$7:$D$94,0),MATCH(Calculation!$G205,'Dist Plant Depreciation'!$E$5:$AD$5,0))</f>
        <v>375172</v>
      </c>
      <c r="BX205" s="118">
        <f>INDEX('Gen. Plant Depreciation'!$E$7:$AD$94,MATCH($C205,'Gen. Plant Depreciation'!$D$7:$D$94,0),MATCH(Calculation!$G205,'Gen. Plant Depreciation'!$E$5:$AD$5,0))</f>
        <v>57039</v>
      </c>
      <c r="BY205" s="118"/>
      <c r="BZ205" s="118"/>
      <c r="CA205" s="118"/>
      <c r="CB205" s="118"/>
      <c r="CC205" s="118"/>
      <c r="CD205" s="118"/>
      <c r="CE205" s="118">
        <f>INDEX('Gross Dx Plant'!$E$7:$AD$91,MATCH($C205,'Gross Dx Plant'!$D$7:$D$91,0),MATCH(Calculation!$G205,'Gross Dx Plant'!$E$5:$AD$5,0))</f>
        <v>1603590</v>
      </c>
      <c r="CF205" s="118">
        <f>INDEX('Gross Gen Plant'!$E$7:$AD$91,MATCH($C205,'Gross Gen Plant'!$D$7:$D$91,0),MATCH(Calculation!$G205,'Gross Gen Plant'!$E$5:$AD$5,0))</f>
        <v>174452</v>
      </c>
      <c r="CG205" s="118">
        <f t="shared" si="426"/>
        <v>1345831</v>
      </c>
      <c r="CH205" s="118"/>
      <c r="CI205" s="121">
        <v>1999</v>
      </c>
      <c r="CJ205" s="118"/>
      <c r="CK205" s="118"/>
      <c r="CL205" s="118"/>
      <c r="CM205" s="183"/>
      <c r="CN205" s="118">
        <f t="shared" ref="CN205:CN227" si="525">+BT205+BS205</f>
        <v>98836</v>
      </c>
      <c r="CO205" s="118">
        <f t="shared" ref="CO205:CO227" si="526">+CN205/$DM205</f>
        <v>294.74689484865326</v>
      </c>
      <c r="CP205" s="186">
        <v>0.99502487562189057</v>
      </c>
      <c r="CQ205" s="118">
        <f>+CQ204*CP205+CO205</f>
        <v>6681.3080548307271</v>
      </c>
      <c r="CR205" s="119">
        <f t="shared" ref="CR205:CR226" si="527">LN(CQ205/CQ204)</f>
        <v>4.0130279557016618E-2</v>
      </c>
      <c r="CS205" s="119"/>
      <c r="CT205" s="177">
        <f t="shared" ref="CT205:CT227" si="528">+(CQ204-CQ205+CO205)/CQ204</f>
        <v>4.9751243781094396E-3</v>
      </c>
      <c r="CU205" s="177"/>
      <c r="CV205" s="119">
        <f>VLOOKUP($H205,RoR!$E:$F,2,FALSE)</f>
        <v>7.0416666666666669E-2</v>
      </c>
      <c r="CW205" s="177">
        <v>1.4335631817396832E-2</v>
      </c>
      <c r="CX205" s="177">
        <f>+CV205-CW205</f>
        <v>5.6081034849269837E-2</v>
      </c>
      <c r="CY205" s="177"/>
      <c r="CZ205" s="177"/>
      <c r="DA205" s="187">
        <f t="shared" ref="DA205:DA227" si="529">1-DF205*DG205</f>
        <v>0.85131374874999999</v>
      </c>
      <c r="DB205" s="188">
        <f t="shared" ref="DB205:DB227" si="530">2/(DK205*39)</f>
        <v>0.72826581702321336</v>
      </c>
      <c r="DC205" s="188">
        <f t="shared" ref="DC205:DC227" si="531">+(DK205*40-(1+DK205))/(DK205*40)</f>
        <v>0.61997041420118348</v>
      </c>
      <c r="DD205" s="188">
        <f t="shared" ref="DD205:DD227" si="532">+(1-(1/(1+DK205)^40))</f>
        <v>0.93425155319585029</v>
      </c>
      <c r="DE205" s="188">
        <f t="shared" ref="DE205:DE227" si="533">+DD205*DC205*DB205</f>
        <v>0.42181762214141483</v>
      </c>
      <c r="DF205" s="189">
        <f>INDEX('State Tax Lookup'!$D$7:$Z$91,MATCH(Calculation!$C205,'State Tax Lookup'!$B$7:$B$91,0),MATCH($H205,'State Tax Lookup'!$D$6:$Z$6,0))</f>
        <v>0.39649667</v>
      </c>
      <c r="DG205" s="189">
        <v>0.375</v>
      </c>
      <c r="DH205" s="190"/>
      <c r="DI205" s="190"/>
      <c r="DJ205" s="177"/>
      <c r="DK205" s="189">
        <f>VLOOKUP($H205,RoR!$E:$F,2,FALSE)</f>
        <v>7.0416666666666669E-2</v>
      </c>
      <c r="DL205" s="191">
        <f>HLOOKUP($H205,'GDP-PI'!$D$8:$CQ$11,3,FALSE)</f>
        <v>1.4335631817396832E-2</v>
      </c>
      <c r="DM205" s="189">
        <f>VLOOKUP(H205,'HW Dx Data'!$E:$F,2,FALSE)</f>
        <v>335.32499146683239</v>
      </c>
      <c r="DN205" s="183" t="e">
        <f>VLOOKUP(H205,'ECI - Input Price'!$G$17:$H$37,2,FALSE)</f>
        <v>#N/A</v>
      </c>
      <c r="DO205" s="177"/>
      <c r="DP205" s="183">
        <f>HLOOKUP(H205,'GDP-PI'!$8:$9,2,FALSE)</f>
        <v>76.346000000000004</v>
      </c>
    </row>
    <row r="206" spans="1:135" s="167" customFormat="1" ht="21" x14ac:dyDescent="0.35">
      <c r="A206" s="167" t="s">
        <v>39</v>
      </c>
      <c r="B206" s="168" t="s">
        <v>39</v>
      </c>
      <c r="C206" s="168">
        <v>4018679</v>
      </c>
      <c r="D206" s="168" t="s">
        <v>136</v>
      </c>
      <c r="E206" s="168" t="s">
        <v>126</v>
      </c>
      <c r="F206" s="168"/>
      <c r="G206" s="168" t="s">
        <v>6</v>
      </c>
      <c r="H206" s="169">
        <v>2000</v>
      </c>
      <c r="I206" s="170"/>
      <c r="J206" s="166"/>
      <c r="K206" s="166"/>
      <c r="L206" s="166"/>
      <c r="M206" s="166"/>
      <c r="N206" s="196"/>
      <c r="O206" s="166"/>
      <c r="P206" s="166"/>
      <c r="Q206" s="166"/>
      <c r="R206" s="166"/>
      <c r="S206" s="166"/>
      <c r="T206" s="166"/>
      <c r="U206" s="166"/>
      <c r="V206" s="166">
        <f t="shared" si="523"/>
        <v>0</v>
      </c>
      <c r="W206" s="170"/>
      <c r="X206" s="174">
        <v>6960.5614611334922</v>
      </c>
      <c r="Y206" s="175">
        <v>4.094635582537641E-2</v>
      </c>
      <c r="Z206" s="175"/>
      <c r="AA206" s="175"/>
      <c r="AB206" s="175"/>
      <c r="AC206" s="170">
        <f t="shared" si="490"/>
        <v>0</v>
      </c>
      <c r="AD206" s="175"/>
      <c r="AE206" s="170"/>
      <c r="AF206" s="170"/>
      <c r="AG206" s="174"/>
      <c r="AH206" s="175"/>
      <c r="AI206" s="175"/>
      <c r="AJ206" s="174"/>
      <c r="AK206" s="174"/>
      <c r="AL206" s="120"/>
      <c r="AM206" s="120"/>
      <c r="AN206" s="120"/>
      <c r="AO206" s="120"/>
      <c r="AP206" s="120"/>
      <c r="AQ206" s="175"/>
      <c r="AR206" s="120"/>
      <c r="AS206" s="120"/>
      <c r="AT206" s="120"/>
      <c r="AU206" s="120"/>
      <c r="AV206" s="120"/>
      <c r="AW206" s="120"/>
      <c r="AX206" s="120"/>
      <c r="AY206" s="120"/>
      <c r="AZ206" s="118">
        <f>IFERROR(INDEX('Total Customers'!$F$7:$AB$91,MATCH($C206,'Total Customers'!$D$7:$D$91,0),MATCH($G206,'Total Customers'!$F$5:$AB$5,0)),"NA")</f>
        <v>1191711</v>
      </c>
      <c r="BA206" s="119">
        <f t="shared" si="524"/>
        <v>1.0043461795079421E-2</v>
      </c>
      <c r="BB206" s="119"/>
      <c r="BC206" s="121"/>
      <c r="BD206" s="119"/>
      <c r="BE206" s="119"/>
      <c r="BF206" s="119"/>
      <c r="BG206" s="173"/>
      <c r="BH206" s="173"/>
      <c r="BI206" s="173"/>
      <c r="BJ206" s="173"/>
      <c r="BK206" s="173"/>
      <c r="BL206" s="173"/>
      <c r="BM206" s="173"/>
      <c r="BN206" s="173"/>
      <c r="BO206" s="173"/>
      <c r="BP206" s="173"/>
      <c r="BQ206" s="118"/>
      <c r="BR206" s="118"/>
      <c r="BS206" s="118">
        <f>INDEX('Dist. Plant Gas Additions'!$F$7:$AE$91,MATCH($C206,'Dist. Plant Gas Additions'!$D$7:$D$91,0),MATCH(Calculation!$G206,'Dist. Plant Gas Additions'!$F$5:$AE$5,0))</f>
        <v>94562</v>
      </c>
      <c r="BT206" s="118">
        <f>INDEX('Gen. Plant Additions'!$F$7:$AE$91,MATCH($C206,'Gen. Plant Additions'!$D$7:$D$91,0),MATCH(Calculation!$G206,'Gen. Plant Additions'!$F$5:$AE$5,0))</f>
        <v>14118</v>
      </c>
      <c r="BU206" s="118"/>
      <c r="BV206" s="118"/>
      <c r="BW206" s="118">
        <f>INDEX('Dist Plant Depreciation'!$E$7:$AD$94,MATCH($C206,'Dist Plant Depreciation'!$D$7:$D$94,0),MATCH(Calculation!$G206,'Dist Plant Depreciation'!$E$5:$AD$5,0))</f>
        <v>400567</v>
      </c>
      <c r="BX206" s="118">
        <f>INDEX('Gen. Plant Depreciation'!$E$7:$AD$94,MATCH($C206,'Gen. Plant Depreciation'!$D$7:$D$94,0),MATCH(Calculation!$G206,'Gen. Plant Depreciation'!$E$5:$AD$5,0))</f>
        <v>58866</v>
      </c>
      <c r="BY206" s="118"/>
      <c r="BZ206" s="118"/>
      <c r="CA206" s="118"/>
      <c r="CB206" s="118"/>
      <c r="CC206" s="118"/>
      <c r="CD206" s="118"/>
      <c r="CE206" s="118">
        <f>INDEX('Gross Dx Plant'!$E$7:$AD$91,MATCH($C206,'Gross Dx Plant'!$D$7:$D$91,0),MATCH(Calculation!$G206,'Gross Dx Plant'!$E$5:$AD$5,0))</f>
        <v>1685592</v>
      </c>
      <c r="CF206" s="118">
        <f>INDEX('Gross Gen Plant'!$E$7:$AD$91,MATCH($C206,'Gross Gen Plant'!$D$7:$D$91,0),MATCH(Calculation!$G206,'Gross Gen Plant'!$E$5:$AD$5,0))</f>
        <v>177279</v>
      </c>
      <c r="CG206" s="118">
        <f t="shared" si="426"/>
        <v>1403438</v>
      </c>
      <c r="CH206" s="118"/>
      <c r="CI206" s="121">
        <v>2000</v>
      </c>
      <c r="CJ206" s="118"/>
      <c r="CK206" s="118"/>
      <c r="CL206" s="118"/>
      <c r="CM206" s="183"/>
      <c r="CN206" s="118">
        <f t="shared" si="525"/>
        <v>108680</v>
      </c>
      <c r="CO206" s="118">
        <f t="shared" si="526"/>
        <v>313.62027534642431</v>
      </c>
      <c r="CP206" s="186">
        <v>0.98989898989898994</v>
      </c>
      <c r="CQ206" s="118">
        <f>+CQ204*CP206+CO205*CP205+CO206</f>
        <v>6960.5614611334922</v>
      </c>
      <c r="CR206" s="119">
        <f t="shared" si="527"/>
        <v>4.094635582537641E-2</v>
      </c>
      <c r="CS206" s="119"/>
      <c r="CT206" s="177">
        <f t="shared" si="528"/>
        <v>5.1437336464094322E-3</v>
      </c>
      <c r="CU206" s="177"/>
      <c r="CV206" s="119">
        <f>VLOOKUP($H206,RoR!$E:$F,2,FALSE)</f>
        <v>7.6225000000000001E-2</v>
      </c>
      <c r="CW206" s="177">
        <v>2.2568307442433211E-2</v>
      </c>
      <c r="CX206" s="177">
        <f t="shared" ref="CX206:CX226" si="534">+CV206-CW206</f>
        <v>5.365669255756679E-2</v>
      </c>
      <c r="CY206" s="177"/>
      <c r="CZ206" s="177"/>
      <c r="DA206" s="187">
        <f t="shared" si="529"/>
        <v>0.85131374874999999</v>
      </c>
      <c r="DB206" s="188">
        <f t="shared" si="530"/>
        <v>0.67277207323124022</v>
      </c>
      <c r="DC206" s="188">
        <f t="shared" si="531"/>
        <v>0.6470236142997704</v>
      </c>
      <c r="DD206" s="188">
        <f t="shared" si="532"/>
        <v>0.94704866037543145</v>
      </c>
      <c r="DE206" s="188">
        <f t="shared" si="533"/>
        <v>0.41224973107878493</v>
      </c>
      <c r="DF206" s="189">
        <f>INDEX('State Tax Lookup'!$D$7:$Z$91,MATCH(Calculation!$C206,'State Tax Lookup'!$B$7:$B$91,0),MATCH($H206,'State Tax Lookup'!$D$6:$Z$6,0))</f>
        <v>0.39649667</v>
      </c>
      <c r="DG206" s="189">
        <v>0.375</v>
      </c>
      <c r="DH206" s="190"/>
      <c r="DI206" s="190"/>
      <c r="DJ206" s="177"/>
      <c r="DK206" s="189">
        <f>VLOOKUP($H206,RoR!$E:$F,2,FALSE)</f>
        <v>7.6225000000000001E-2</v>
      </c>
      <c r="DL206" s="191">
        <f>HLOOKUP($H206,'GDP-PI'!$D$8:$CQ$11,3,FALSE)</f>
        <v>2.2568307442433211E-2</v>
      </c>
      <c r="DM206" s="189">
        <f>VLOOKUP(H206,'HW Dx Data'!$E:$F,2,FALSE)</f>
        <v>346.53371782150339</v>
      </c>
      <c r="DN206" s="183" t="e">
        <f>VLOOKUP(H206,'ECI - Input Price'!$G$17:$H$37,2,FALSE)</f>
        <v>#N/A</v>
      </c>
      <c r="DO206" s="177"/>
      <c r="DP206" s="183">
        <f>HLOOKUP(H206,'GDP-PI'!$8:$9,2,FALSE)</f>
        <v>78.069000000000003</v>
      </c>
    </row>
    <row r="207" spans="1:135" s="167" customFormat="1" ht="21" x14ac:dyDescent="0.35">
      <c r="A207" s="167" t="s">
        <v>39</v>
      </c>
      <c r="B207" s="168" t="s">
        <v>39</v>
      </c>
      <c r="C207" s="168">
        <v>4018679</v>
      </c>
      <c r="D207" s="168" t="s">
        <v>136</v>
      </c>
      <c r="E207" s="168" t="s">
        <v>126</v>
      </c>
      <c r="F207" s="168"/>
      <c r="G207" s="168" t="s">
        <v>7</v>
      </c>
      <c r="H207" s="169">
        <v>2001</v>
      </c>
      <c r="I207" s="170"/>
      <c r="J207" s="166"/>
      <c r="K207" s="166"/>
      <c r="L207" s="166"/>
      <c r="M207" s="166"/>
      <c r="N207" s="196"/>
      <c r="O207" s="166"/>
      <c r="P207" s="166"/>
      <c r="Q207" s="166"/>
      <c r="R207" s="166"/>
      <c r="S207" s="166"/>
      <c r="T207" s="166"/>
      <c r="U207" s="166"/>
      <c r="V207" s="166">
        <f t="shared" si="523"/>
        <v>89414.188606340089</v>
      </c>
      <c r="W207" s="170"/>
      <c r="X207" s="174">
        <v>7134.1477291168139</v>
      </c>
      <c r="Y207" s="175">
        <v>2.4632653680475458E-2</v>
      </c>
      <c r="Z207" s="175"/>
      <c r="AA207" s="175"/>
      <c r="AB207" s="175"/>
      <c r="AC207" s="170">
        <f t="shared" si="490"/>
        <v>89414.188606340089</v>
      </c>
      <c r="AD207" s="175"/>
      <c r="AE207" s="170"/>
      <c r="AF207" s="170"/>
      <c r="AG207" s="174"/>
      <c r="AH207" s="175"/>
      <c r="AI207" s="175"/>
      <c r="AJ207" s="174"/>
      <c r="AK207" s="174"/>
      <c r="AL207" s="120"/>
      <c r="AM207" s="120"/>
      <c r="AN207" s="120"/>
      <c r="AO207" s="120"/>
      <c r="AP207" s="120"/>
      <c r="AQ207" s="175"/>
      <c r="AR207" s="120"/>
      <c r="AS207" s="120"/>
      <c r="AT207" s="120"/>
      <c r="AU207" s="120"/>
      <c r="AV207" s="120"/>
      <c r="AW207" s="120"/>
      <c r="AX207" s="120"/>
      <c r="AY207" s="120"/>
      <c r="AZ207" s="118">
        <f>IFERROR(INDEX('Total Customers'!$F$7:$AB$91,MATCH($C207,'Total Customers'!$D$7:$D$91,0),MATCH($G207,'Total Customers'!$F$5:$AB$5,0)),"NA")</f>
        <v>1248264</v>
      </c>
      <c r="BA207" s="119">
        <f t="shared" si="524"/>
        <v>4.6363696454611698E-2</v>
      </c>
      <c r="BB207" s="119"/>
      <c r="BC207" s="121"/>
      <c r="BD207" s="119"/>
      <c r="BE207" s="119"/>
      <c r="BF207" s="119"/>
      <c r="BG207" s="173"/>
      <c r="BH207" s="173"/>
      <c r="BI207" s="173"/>
      <c r="BJ207" s="173"/>
      <c r="BK207" s="173"/>
      <c r="BL207" s="173"/>
      <c r="BM207" s="173"/>
      <c r="BN207" s="173"/>
      <c r="BO207" s="173"/>
      <c r="BP207" s="173"/>
      <c r="BQ207" s="118"/>
      <c r="BR207" s="118"/>
      <c r="BS207" s="118">
        <f>INDEX('Dist. Plant Gas Additions'!$F$7:$AE$91,MATCH($C207,'Dist. Plant Gas Additions'!$D$7:$D$91,0),MATCH(Calculation!$G207,'Dist. Plant Gas Additions'!$F$5:$AE$5,0))</f>
        <v>67776</v>
      </c>
      <c r="BT207" s="118">
        <f>INDEX('Gen. Plant Additions'!$F$7:$AE$91,MATCH($C207,'Gen. Plant Additions'!$D$7:$D$91,0),MATCH(Calculation!$G207,'Gen. Plant Additions'!$F$5:$AE$5,0))</f>
        <v>6098</v>
      </c>
      <c r="BU207" s="118"/>
      <c r="BV207" s="118"/>
      <c r="BW207" s="118">
        <f>INDEX('Dist Plant Depreciation'!$E$7:$AD$94,MATCH($C207,'Dist Plant Depreciation'!$D$7:$D$94,0),MATCH(Calculation!$G207,'Dist Plant Depreciation'!$E$5:$AD$5,0))</f>
        <v>444780</v>
      </c>
      <c r="BX207" s="118">
        <f>INDEX('Gen. Plant Depreciation'!$E$7:$AD$94,MATCH($C207,'Gen. Plant Depreciation'!$D$7:$D$94,0),MATCH(Calculation!$G207,'Gen. Plant Depreciation'!$E$5:$AD$5,0))</f>
        <v>61877</v>
      </c>
      <c r="BY207" s="118"/>
      <c r="BZ207" s="118"/>
      <c r="CA207" s="118"/>
      <c r="CB207" s="118"/>
      <c r="CC207" s="118"/>
      <c r="CD207" s="118"/>
      <c r="CE207" s="118">
        <f>INDEX('Gross Dx Plant'!$E$7:$AD$91,MATCH($C207,'Gross Dx Plant'!$D$7:$D$91,0),MATCH(Calculation!$G207,'Gross Dx Plant'!$E$5:$AD$5,0))</f>
        <v>1751455</v>
      </c>
      <c r="CF207" s="118">
        <f>INDEX('Gross Gen Plant'!$E$7:$AD$91,MATCH($C207,'Gross Gen Plant'!$D$7:$D$91,0),MATCH(Calculation!$G207,'Gross Gen Plant'!$E$5:$AD$5,0))</f>
        <v>175053</v>
      </c>
      <c r="CG207" s="118">
        <f t="shared" si="426"/>
        <v>1419851</v>
      </c>
      <c r="CH207" s="118"/>
      <c r="CI207" s="121">
        <v>2001</v>
      </c>
      <c r="CJ207" s="118"/>
      <c r="CK207" s="118"/>
      <c r="CL207" s="118"/>
      <c r="CM207" s="183"/>
      <c r="CN207" s="118">
        <f t="shared" si="525"/>
        <v>73874</v>
      </c>
      <c r="CO207" s="118">
        <f t="shared" si="526"/>
        <v>209.00989551389097</v>
      </c>
      <c r="CP207" s="186">
        <v>0.98461538461538467</v>
      </c>
      <c r="CQ207" s="118">
        <f>+CQ204*CP207+CO205*CP206+CO206*CP204+CO207</f>
        <v>7134.1477291168139</v>
      </c>
      <c r="CR207" s="119">
        <f t="shared" si="527"/>
        <v>2.4632653680475458E-2</v>
      </c>
      <c r="CS207" s="119"/>
      <c r="CT207" s="177">
        <f t="shared" si="528"/>
        <v>5.0891911131549297E-3</v>
      </c>
      <c r="CU207" s="177">
        <f>+(CT207+CT206+CT205)/3</f>
        <v>5.0693497125579336E-3</v>
      </c>
      <c r="CV207" s="119">
        <f>VLOOKUP($H207,RoR!$E:$F,2,FALSE)</f>
        <v>7.0824999999999999E-2</v>
      </c>
      <c r="CW207" s="177">
        <v>2.2454495382290052E-2</v>
      </c>
      <c r="CX207" s="177">
        <f t="shared" si="534"/>
        <v>4.8370504617709947E-2</v>
      </c>
      <c r="CY207" s="177">
        <f>+$CX$35-CU207</f>
        <v>2.5832591895975691E-2</v>
      </c>
      <c r="CZ207" s="177">
        <f>+((DM205/DM204-1)+(DM206/DM205-1)+(DM207/DM206-1))/3</f>
        <v>2.3947275901631187E-2</v>
      </c>
      <c r="DA207" s="187">
        <f t="shared" si="529"/>
        <v>0.85131374874999999</v>
      </c>
      <c r="DB207" s="188">
        <f t="shared" si="530"/>
        <v>0.72406708481540816</v>
      </c>
      <c r="DC207" s="188">
        <f t="shared" si="531"/>
        <v>0.62201729615248857</v>
      </c>
      <c r="DD207" s="188">
        <f t="shared" si="532"/>
        <v>0.9352469954311422</v>
      </c>
      <c r="DE207" s="188">
        <f t="shared" si="533"/>
        <v>0.42121864641655071</v>
      </c>
      <c r="DF207" s="189">
        <f>INDEX('State Tax Lookup'!$D$7:$Z$91,MATCH(Calculation!$C207,'State Tax Lookup'!$B$7:$B$91,0),MATCH($H207,'State Tax Lookup'!$D$6:$Z$6,0))</f>
        <v>0.39649667</v>
      </c>
      <c r="DG207" s="189">
        <v>0.375</v>
      </c>
      <c r="DH207" s="190">
        <f t="shared" ref="DH207:DH227" si="535">+(DM207*CY207-CZ207)*DA207/(1-DF207)</f>
        <v>12.84582990978711</v>
      </c>
      <c r="DI207" s="190"/>
      <c r="DJ207" s="177"/>
      <c r="DK207" s="189">
        <f>VLOOKUP($H207,RoR!$E:$F,2,FALSE)</f>
        <v>7.0824999999999999E-2</v>
      </c>
      <c r="DL207" s="191">
        <f>HLOOKUP($H207,'GDP-PI'!$D$8:$CQ$11,3,FALSE)</f>
        <v>2.2454495382290052E-2</v>
      </c>
      <c r="DM207" s="189">
        <f>VLOOKUP(H207,'HW Dx Data'!$E:$F,2,FALSE)</f>
        <v>353.44738017483138</v>
      </c>
      <c r="DN207" s="183">
        <f>VLOOKUP(H207,'ECI - Input Price'!$G$17:$H$37,2,FALSE)</f>
        <v>86.2</v>
      </c>
      <c r="DO207" s="177"/>
      <c r="DP207" s="183">
        <f>HLOOKUP(H207,'GDP-PI'!$8:$9,2,FALSE)</f>
        <v>79.822000000000003</v>
      </c>
    </row>
    <row r="208" spans="1:135" s="167" customFormat="1" ht="21" x14ac:dyDescent="0.35">
      <c r="A208" s="167" t="s">
        <v>39</v>
      </c>
      <c r="B208" s="168" t="s">
        <v>39</v>
      </c>
      <c r="C208" s="168">
        <v>4018679</v>
      </c>
      <c r="D208" s="168" t="s">
        <v>136</v>
      </c>
      <c r="E208" s="168" t="s">
        <v>126</v>
      </c>
      <c r="F208" s="168"/>
      <c r="G208" s="168" t="s">
        <v>8</v>
      </c>
      <c r="H208" s="169">
        <v>2002</v>
      </c>
      <c r="I208" s="170"/>
      <c r="J208" s="166"/>
      <c r="K208" s="166"/>
      <c r="L208" s="166"/>
      <c r="M208" s="166"/>
      <c r="N208" s="196"/>
      <c r="O208" s="166"/>
      <c r="P208" s="166"/>
      <c r="Q208" s="166"/>
      <c r="R208" s="166"/>
      <c r="S208" s="166"/>
      <c r="T208" s="166"/>
      <c r="U208" s="166"/>
      <c r="V208" s="166">
        <f t="shared" si="523"/>
        <v>92793.89622467084</v>
      </c>
      <c r="W208" s="170"/>
      <c r="X208" s="174">
        <v>7434.4025679330771</v>
      </c>
      <c r="Y208" s="175">
        <v>4.1225428196949729E-2</v>
      </c>
      <c r="Z208" s="175"/>
      <c r="AA208" s="175"/>
      <c r="AB208" s="175"/>
      <c r="AC208" s="170">
        <f t="shared" si="490"/>
        <v>92793.89622467084</v>
      </c>
      <c r="AD208" s="175"/>
      <c r="AE208" s="170"/>
      <c r="AF208" s="170"/>
      <c r="AG208" s="174"/>
      <c r="AH208" s="175"/>
      <c r="AI208" s="175"/>
      <c r="AJ208" s="174"/>
      <c r="AK208" s="174"/>
      <c r="AL208" s="120"/>
      <c r="AM208" s="120"/>
      <c r="AN208" s="120"/>
      <c r="AO208" s="120"/>
      <c r="AP208" s="120"/>
      <c r="AQ208" s="175"/>
      <c r="AR208" s="120"/>
      <c r="AS208" s="120"/>
      <c r="AT208" s="120"/>
      <c r="AU208" s="120"/>
      <c r="AV208" s="120"/>
      <c r="AW208" s="120"/>
      <c r="AX208" s="120"/>
      <c r="AY208" s="120"/>
      <c r="AZ208" s="118">
        <f>IFERROR(INDEX('Total Customers'!$F$7:$AB$91,MATCH($C208,'Total Customers'!$D$7:$D$91,0),MATCH($G208,'Total Customers'!$F$5:$AB$5,0)),"NA")</f>
        <v>1245106</v>
      </c>
      <c r="BA208" s="119">
        <f t="shared" si="524"/>
        <v>-2.5331191830009277E-3</v>
      </c>
      <c r="BB208" s="119"/>
      <c r="BC208" s="121"/>
      <c r="BD208" s="119"/>
      <c r="BE208" s="119"/>
      <c r="BF208" s="119"/>
      <c r="BG208" s="173"/>
      <c r="BH208" s="173"/>
      <c r="BI208" s="173"/>
      <c r="BJ208" s="173"/>
      <c r="BK208" s="173"/>
      <c r="BL208" s="173"/>
      <c r="BM208" s="173"/>
      <c r="BN208" s="173"/>
      <c r="BO208" s="173"/>
      <c r="BP208" s="173"/>
      <c r="BQ208" s="118"/>
      <c r="BR208" s="118"/>
      <c r="BS208" s="118">
        <f>INDEX('Dist. Plant Gas Additions'!$F$7:$AE$91,MATCH($C208,'Dist. Plant Gas Additions'!$D$7:$D$91,0),MATCH(Calculation!$G208,'Dist. Plant Gas Additions'!$F$5:$AE$5,0))</f>
        <v>112651</v>
      </c>
      <c r="BT208" s="118">
        <f>INDEX('Gen. Plant Additions'!$F$7:$AE$91,MATCH($C208,'Gen. Plant Additions'!$D$7:$D$91,0),MATCH(Calculation!$G208,'Gen. Plant Additions'!$F$5:$AE$5,0))</f>
        <v>10566</v>
      </c>
      <c r="BU208" s="118"/>
      <c r="BV208" s="118"/>
      <c r="BW208" s="118">
        <f>INDEX('Dist Plant Depreciation'!$E$7:$AD$94,MATCH($C208,'Dist Plant Depreciation'!$D$7:$D$94,0),MATCH(Calculation!$G208,'Dist Plant Depreciation'!$E$5:$AD$5,0))</f>
        <v>476214</v>
      </c>
      <c r="BX208" s="118">
        <f>INDEX('Gen. Plant Depreciation'!$E$7:$AD$94,MATCH($C208,'Gen. Plant Depreciation'!$D$7:$D$94,0),MATCH(Calculation!$G208,'Gen. Plant Depreciation'!$E$5:$AD$5,0))</f>
        <v>69551</v>
      </c>
      <c r="BY208" s="118"/>
      <c r="BZ208" s="118"/>
      <c r="CA208" s="118"/>
      <c r="CB208" s="118"/>
      <c r="CC208" s="118"/>
      <c r="CD208" s="118"/>
      <c r="CE208" s="118">
        <f>INDEX('Gross Dx Plant'!$E$7:$AD$91,MATCH($C208,'Gross Dx Plant'!$D$7:$D$91,0),MATCH(Calculation!$G208,'Gross Dx Plant'!$E$5:$AD$5,0))</f>
        <v>1854279</v>
      </c>
      <c r="CF208" s="118">
        <f>INDEX('Gross Gen Plant'!$E$7:$AD$91,MATCH($C208,'Gross Gen Plant'!$D$7:$D$91,0),MATCH(Calculation!$G208,'Gross Gen Plant'!$E$5:$AD$5,0))</f>
        <v>179780</v>
      </c>
      <c r="CG208" s="118">
        <f t="shared" si="426"/>
        <v>1488294</v>
      </c>
      <c r="CH208" s="118"/>
      <c r="CI208" s="121">
        <v>2002</v>
      </c>
      <c r="CJ208" s="118"/>
      <c r="CK208" s="118"/>
      <c r="CL208" s="118"/>
      <c r="CM208" s="183"/>
      <c r="CN208" s="118">
        <f t="shared" si="525"/>
        <v>123217</v>
      </c>
      <c r="CO208" s="118">
        <f t="shared" si="526"/>
        <v>340.99246013789821</v>
      </c>
      <c r="CP208" s="186">
        <v>0.97916666666666663</v>
      </c>
      <c r="CQ208" s="118">
        <f>+CQ204*CP208+CO205*CP207+CO206*CP206+CO207*CP205+CO208</f>
        <v>7434.4025679330771</v>
      </c>
      <c r="CR208" s="119">
        <f t="shared" si="527"/>
        <v>4.1225428196949729E-2</v>
      </c>
      <c r="CS208" s="119"/>
      <c r="CT208" s="177">
        <f t="shared" si="528"/>
        <v>5.710229570292099E-3</v>
      </c>
      <c r="CU208" s="177">
        <f t="shared" ref="CU208:CU227" si="536">+(CT208+CT207+CT206)/3</f>
        <v>5.3143847766188206E-3</v>
      </c>
      <c r="CV208" s="119">
        <f>VLOOKUP($H208,RoR!$E:$F,2,FALSE)</f>
        <v>6.4916666666666664E-2</v>
      </c>
      <c r="CW208" s="177">
        <v>1.5246423291824351E-2</v>
      </c>
      <c r="CX208" s="177">
        <f t="shared" si="534"/>
        <v>4.9670243374842313E-2</v>
      </c>
      <c r="CY208" s="177">
        <f t="shared" ref="CY208:CY227" si="537">+$CX$35-CU208</f>
        <v>2.5587556831914805E-2</v>
      </c>
      <c r="CZ208" s="177">
        <f t="shared" ref="CZ208:CZ227" si="538">+((DM206/DM205-1)+(DM207/DM206-1)+(DM208/DM207-1))/3</f>
        <v>2.5243621214759093E-2</v>
      </c>
      <c r="DA208" s="187">
        <f t="shared" si="529"/>
        <v>0.85131374874999999</v>
      </c>
      <c r="DB208" s="188">
        <f t="shared" si="530"/>
        <v>0.78996741384417901</v>
      </c>
      <c r="DC208" s="188">
        <f t="shared" si="531"/>
        <v>0.58989088575096271</v>
      </c>
      <c r="DD208" s="188">
        <f t="shared" si="532"/>
        <v>0.91920675783645744</v>
      </c>
      <c r="DE208" s="188">
        <f t="shared" si="533"/>
        <v>0.42834536472275586</v>
      </c>
      <c r="DF208" s="189">
        <f>INDEX('State Tax Lookup'!$D$7:$Z$91,MATCH(Calculation!$C208,'State Tax Lookup'!$B$7:$B$91,0),MATCH($H208,'State Tax Lookup'!$D$6:$Z$6,0))</f>
        <v>0.39649667</v>
      </c>
      <c r="DG208" s="189">
        <v>0.375</v>
      </c>
      <c r="DH208" s="190">
        <f t="shared" si="535"/>
        <v>13.007005145961346</v>
      </c>
      <c r="DI208" s="190"/>
      <c r="DJ208" s="177"/>
      <c r="DK208" s="189">
        <f>VLOOKUP($H208,RoR!$E:$F,2,FALSE)</f>
        <v>6.4916666666666664E-2</v>
      </c>
      <c r="DL208" s="191">
        <f>HLOOKUP($H208,'GDP-PI'!$D$8:$CQ$11,3,FALSE)</f>
        <v>1.5246423291824351E-2</v>
      </c>
      <c r="DM208" s="189">
        <f>VLOOKUP(H208,'HW Dx Data'!$E:$F,2,FALSE)</f>
        <v>361.34816573413599</v>
      </c>
      <c r="DN208" s="183">
        <f>VLOOKUP(H208,'ECI - Input Price'!$G$17:$H$37,2,FALSE)</f>
        <v>89.275000000000006</v>
      </c>
      <c r="DO208" s="177">
        <f>LN(DN208/DN207)</f>
        <v>3.5051315810864674E-2</v>
      </c>
      <c r="DP208" s="183">
        <f>HLOOKUP(H208,'GDP-PI'!$8:$9,2,FALSE)</f>
        <v>81.039000000000001</v>
      </c>
      <c r="DQ208" s="177">
        <f>LN(DP208/DP207)</f>
        <v>1.513136459537477E-2</v>
      </c>
    </row>
    <row r="209" spans="1:121" s="167" customFormat="1" ht="21" x14ac:dyDescent="0.35">
      <c r="A209" s="167" t="s">
        <v>39</v>
      </c>
      <c r="B209" s="168" t="s">
        <v>39</v>
      </c>
      <c r="C209" s="168">
        <v>4018679</v>
      </c>
      <c r="D209" s="168" t="s">
        <v>136</v>
      </c>
      <c r="E209" s="168" t="s">
        <v>126</v>
      </c>
      <c r="F209" s="168"/>
      <c r="G209" s="168" t="s">
        <v>9</v>
      </c>
      <c r="H209" s="169">
        <v>2003</v>
      </c>
      <c r="I209" s="170"/>
      <c r="J209" s="166"/>
      <c r="K209" s="166"/>
      <c r="L209" s="172"/>
      <c r="M209" s="172"/>
      <c r="N209" s="196"/>
      <c r="O209" s="172"/>
      <c r="P209" s="166"/>
      <c r="Q209" s="166"/>
      <c r="R209" s="166"/>
      <c r="S209" s="166"/>
      <c r="T209" s="166"/>
      <c r="U209" s="166"/>
      <c r="V209" s="166">
        <f t="shared" si="523"/>
        <v>98183.269070467577</v>
      </c>
      <c r="W209" s="170"/>
      <c r="X209" s="174">
        <v>7760.2462347131741</v>
      </c>
      <c r="Y209" s="175">
        <v>4.2895842295955999E-2</v>
      </c>
      <c r="Z209" s="175"/>
      <c r="AA209" s="175"/>
      <c r="AB209" s="175"/>
      <c r="AC209" s="170">
        <f t="shared" si="490"/>
        <v>98183.269070467577</v>
      </c>
      <c r="AD209" s="175"/>
      <c r="AE209" s="170"/>
      <c r="AF209" s="170"/>
      <c r="AG209" s="174"/>
      <c r="AH209" s="175"/>
      <c r="AI209" s="175"/>
      <c r="AJ209" s="174"/>
      <c r="AK209" s="174"/>
      <c r="AL209" s="120"/>
      <c r="AM209" s="120"/>
      <c r="AN209" s="120"/>
      <c r="AO209" s="120"/>
      <c r="AP209" s="120"/>
      <c r="AQ209" s="175"/>
      <c r="AR209" s="120"/>
      <c r="AS209" s="120"/>
      <c r="AT209" s="120"/>
      <c r="AU209" s="120"/>
      <c r="AV209" s="120"/>
      <c r="AW209" s="120"/>
      <c r="AX209" s="120"/>
      <c r="AY209" s="120"/>
      <c r="AZ209" s="118">
        <f>IFERROR(INDEX('Total Customers'!$F$7:$AB$91,MATCH($C209,'Total Customers'!$D$7:$D$91,0),MATCH($G209,'Total Customers'!$F$5:$AB$5,0)),"NA")</f>
        <v>1190085</v>
      </c>
      <c r="BA209" s="119">
        <f t="shared" si="524"/>
        <v>-4.5195933710700353E-2</v>
      </c>
      <c r="BB209" s="119"/>
      <c r="BC209" s="121"/>
      <c r="BD209" s="119"/>
      <c r="BE209" s="119"/>
      <c r="BF209" s="119"/>
      <c r="BG209" s="173"/>
      <c r="BH209" s="173"/>
      <c r="BI209" s="173"/>
      <c r="BJ209" s="173"/>
      <c r="BK209" s="173"/>
      <c r="BL209" s="173"/>
      <c r="BM209" s="173"/>
      <c r="BN209" s="173"/>
      <c r="BO209" s="173"/>
      <c r="BP209" s="173"/>
      <c r="BQ209" s="118"/>
      <c r="BR209" s="118"/>
      <c r="BS209" s="118">
        <f>INDEX('Dist. Plant Gas Additions'!$F$7:$AE$91,MATCH($C209,'Dist. Plant Gas Additions'!$D$7:$D$91,0),MATCH(Calculation!$G209,'Dist. Plant Gas Additions'!$F$5:$AE$5,0))</f>
        <v>130161</v>
      </c>
      <c r="BT209" s="118">
        <f>INDEX('Gen. Plant Additions'!$F$7:$AE$91,MATCH($C209,'Gen. Plant Additions'!$D$7:$D$91,0),MATCH(Calculation!$G209,'Gen. Plant Additions'!$F$5:$AE$5,0))</f>
        <v>5701</v>
      </c>
      <c r="BU209" s="118"/>
      <c r="BV209" s="118"/>
      <c r="BW209" s="118">
        <f>INDEX('Dist Plant Depreciation'!$E$7:$AD$94,MATCH($C209,'Dist Plant Depreciation'!$D$7:$D$94,0),MATCH(Calculation!$G209,'Dist Plant Depreciation'!$E$5:$AD$5,0))</f>
        <v>514524</v>
      </c>
      <c r="BX209" s="118">
        <f>INDEX('Gen. Plant Depreciation'!$E$7:$AD$94,MATCH($C209,'Gen. Plant Depreciation'!$D$7:$D$94,0),MATCH(Calculation!$G209,'Gen. Plant Depreciation'!$E$5:$AD$5,0))</f>
        <v>79009</v>
      </c>
      <c r="BY209" s="118"/>
      <c r="BZ209" s="118"/>
      <c r="CA209" s="118"/>
      <c r="CB209" s="118"/>
      <c r="CC209" s="118"/>
      <c r="CD209" s="118"/>
      <c r="CE209" s="118">
        <f>INDEX('Gross Dx Plant'!$E$7:$AD$91,MATCH($C209,'Gross Dx Plant'!$D$7:$D$91,0),MATCH(Calculation!$G209,'Gross Dx Plant'!$E$5:$AD$5,0))</f>
        <v>1973656</v>
      </c>
      <c r="CF209" s="118">
        <f>INDEX('Gross Gen Plant'!$E$7:$AD$91,MATCH($C209,'Gross Gen Plant'!$D$7:$D$91,0),MATCH(Calculation!$G209,'Gross Gen Plant'!$E$5:$AD$5,0))</f>
        <v>182410</v>
      </c>
      <c r="CG209" s="118">
        <f t="shared" si="426"/>
        <v>1562533</v>
      </c>
      <c r="CH209" s="118"/>
      <c r="CI209" s="121">
        <v>2003</v>
      </c>
      <c r="CJ209" s="118"/>
      <c r="CK209" s="118"/>
      <c r="CL209" s="118"/>
      <c r="CM209" s="183"/>
      <c r="CN209" s="118">
        <f t="shared" si="525"/>
        <v>135862</v>
      </c>
      <c r="CO209" s="118">
        <f t="shared" si="526"/>
        <v>367.95734933986336</v>
      </c>
      <c r="CP209" s="186">
        <v>0.97354497354497349</v>
      </c>
      <c r="CQ209" s="118">
        <f>+CQ204*CP209+CO205*CP208+CO206*CP207+CO207*CP206+CO208*CP205+CO209</f>
        <v>7760.2462347131741</v>
      </c>
      <c r="CR209" s="119">
        <f t="shared" si="527"/>
        <v>4.2895842295955999E-2</v>
      </c>
      <c r="CS209" s="119"/>
      <c r="CT209" s="177">
        <f t="shared" si="528"/>
        <v>5.6647030040336988E-3</v>
      </c>
      <c r="CU209" s="177">
        <f t="shared" si="536"/>
        <v>5.4880412291602428E-3</v>
      </c>
      <c r="CV209" s="119">
        <f>VLOOKUP($H209,RoR!$E:$F,2,FALSE)</f>
        <v>5.6666666666666671E-2</v>
      </c>
      <c r="CW209" s="177">
        <v>1.8855119140166909E-2</v>
      </c>
      <c r="CX209" s="177">
        <f t="shared" si="534"/>
        <v>3.7811547526499761E-2</v>
      </c>
      <c r="CY209" s="177">
        <f t="shared" si="537"/>
        <v>2.5413900379373383E-2</v>
      </c>
      <c r="CZ209" s="177">
        <f t="shared" si="538"/>
        <v>2.1375012817671957E-2</v>
      </c>
      <c r="DA209" s="187">
        <f t="shared" si="529"/>
        <v>0.85131374874999999</v>
      </c>
      <c r="DB209" s="188">
        <f t="shared" si="530"/>
        <v>0.90497737556561086</v>
      </c>
      <c r="DC209" s="188">
        <f t="shared" si="531"/>
        <v>0.5338235294117647</v>
      </c>
      <c r="DD209" s="188">
        <f t="shared" si="532"/>
        <v>0.88972433127405692</v>
      </c>
      <c r="DE209" s="188">
        <f t="shared" si="533"/>
        <v>0.42982423775949252</v>
      </c>
      <c r="DF209" s="189">
        <f>INDEX('State Tax Lookup'!$D$7:$Z$91,MATCH(Calculation!$C209,'State Tax Lookup'!$B$7:$B$91,0),MATCH($H209,'State Tax Lookup'!$D$6:$Z$6,0))</f>
        <v>0.39649667</v>
      </c>
      <c r="DG209" s="189">
        <v>0.375</v>
      </c>
      <c r="DH209" s="190">
        <f t="shared" si="535"/>
        <v>13.206611852573465</v>
      </c>
      <c r="DI209" s="190"/>
      <c r="DJ209" s="177"/>
      <c r="DK209" s="189">
        <f>VLOOKUP($H209,RoR!$E:$F,2,FALSE)</f>
        <v>5.6666666666666671E-2</v>
      </c>
      <c r="DL209" s="191">
        <f>HLOOKUP($H209,'GDP-PI'!$D$8:$CQ$11,3,FALSE)</f>
        <v>1.8855119140166909E-2</v>
      </c>
      <c r="DM209" s="189">
        <f>VLOOKUP(H209,'HW Dx Data'!$E:$F,2,FALSE)</f>
        <v>369.23301095560191</v>
      </c>
      <c r="DN209" s="183">
        <f>VLOOKUP(H209,'ECI - Input Price'!$G$17:$H$37,2,FALSE)</f>
        <v>92.625</v>
      </c>
      <c r="DO209" s="177">
        <f t="shared" ref="DO209" si="539">LN(DN209/DN208)</f>
        <v>3.6837590135738785E-2</v>
      </c>
      <c r="DP209" s="183">
        <f>HLOOKUP(H209,'GDP-PI'!$8:$9,2,FALSE)</f>
        <v>82.566999999999993</v>
      </c>
      <c r="DQ209" s="177">
        <f t="shared" ref="DQ209" si="540">LN(DP209/DP208)</f>
        <v>1.8679564681853753E-2</v>
      </c>
    </row>
    <row r="210" spans="1:121" s="167" customFormat="1" ht="21" x14ac:dyDescent="0.35">
      <c r="A210" s="167" t="s">
        <v>39</v>
      </c>
      <c r="B210" s="168" t="s">
        <v>39</v>
      </c>
      <c r="C210" s="168">
        <v>4018679</v>
      </c>
      <c r="D210" s="168" t="s">
        <v>136</v>
      </c>
      <c r="E210" s="168" t="s">
        <v>126</v>
      </c>
      <c r="F210" s="168"/>
      <c r="G210" s="168" t="s">
        <v>10</v>
      </c>
      <c r="H210" s="169">
        <v>2004</v>
      </c>
      <c r="I210" s="170"/>
      <c r="J210" s="166">
        <f>IFERROR(INDEX('Labor Expenditures'!$F$7:$X$91,MATCH($C210,'Labor Expenditures'!$D$7:$D$91,0),MATCH($G210,'Labor Expenditures'!$F$5:$X$5,0)),"NA")</f>
        <v>102600.76066327511</v>
      </c>
      <c r="K210" s="166">
        <f t="shared" ref="K210:K227" si="541">+J210/DN210</f>
        <v>1066.813211991423</v>
      </c>
      <c r="L210" s="172"/>
      <c r="M210" s="172"/>
      <c r="N210" s="196"/>
      <c r="O210" s="172"/>
      <c r="P210" s="166">
        <f>IFERROR(INDEX('Non-Labor Expenditures'!$F$7:$AB$91,MATCH($C210,'Non-Labor Expenditures'!$D$7:$D$91,0),MATCH($G210,'Non-Labor Expenditures'!$F$5:$AB$5,0)),"NA")</f>
        <v>148585.06461915505</v>
      </c>
      <c r="Q210" s="166">
        <f t="shared" ref="Q210:Q227" si="542">+P210/DP210</f>
        <v>1752.6370593686456</v>
      </c>
      <c r="R210" s="166"/>
      <c r="S210" s="166"/>
      <c r="T210" s="166"/>
      <c r="U210" s="166"/>
      <c r="V210" s="166">
        <f t="shared" si="523"/>
        <v>113677.29058736157</v>
      </c>
      <c r="W210" s="170"/>
      <c r="X210" s="174">
        <v>8071.8743450265692</v>
      </c>
      <c r="Y210" s="175">
        <v>3.9371651190230256E-2</v>
      </c>
      <c r="Z210" s="175"/>
      <c r="AA210" s="175"/>
      <c r="AB210" s="175"/>
      <c r="AC210" s="170">
        <f t="shared" si="490"/>
        <v>364863.11586979171</v>
      </c>
      <c r="AD210" s="175"/>
      <c r="AE210" s="170"/>
      <c r="AF210" s="170"/>
      <c r="AG210" s="174"/>
      <c r="AH210" s="175"/>
      <c r="AI210" s="175"/>
      <c r="AJ210" s="174"/>
      <c r="AK210" s="174"/>
      <c r="AL210" s="120">
        <f t="shared" ref="AL210:AL227" si="543">+J210/AC210</f>
        <v>0.28120343274130821</v>
      </c>
      <c r="AM210" s="120">
        <f t="shared" ref="AM210:AM227" si="544">+P210/AC210</f>
        <v>0.4072350921658533</v>
      </c>
      <c r="AN210" s="120">
        <f t="shared" ref="AN210:AN227" si="545">+V210/AC210</f>
        <v>0.31156147509283855</v>
      </c>
      <c r="AO210" s="120"/>
      <c r="AP210" s="120"/>
      <c r="AQ210" s="175"/>
      <c r="AR210" s="120"/>
      <c r="AS210" s="120"/>
      <c r="AT210" s="120"/>
      <c r="AU210" s="120"/>
      <c r="AV210" s="120"/>
      <c r="AW210" s="120"/>
      <c r="AX210" s="120"/>
      <c r="AY210" s="120"/>
      <c r="AZ210" s="118">
        <f>IFERROR(INDEX('Total Customers'!$F$7:$AB$91,MATCH($C210,'Total Customers'!$D$7:$D$91,0),MATCH($G210,'Total Customers'!$F$5:$AB$5,0)),"NA")</f>
        <v>1155008</v>
      </c>
      <c r="BA210" s="119">
        <f t="shared" si="524"/>
        <v>-2.9917462787271875E-2</v>
      </c>
      <c r="BB210" s="119"/>
      <c r="BC210" s="121"/>
      <c r="BD210" s="119"/>
      <c r="BE210" s="119"/>
      <c r="BF210" s="119"/>
      <c r="BG210" s="173"/>
      <c r="BH210" s="173"/>
      <c r="BI210" s="173"/>
      <c r="BJ210" s="173"/>
      <c r="BK210" s="173"/>
      <c r="BL210" s="173"/>
      <c r="BM210" s="173"/>
      <c r="BN210" s="173"/>
      <c r="BO210" s="173"/>
      <c r="BP210" s="173"/>
      <c r="BQ210" s="118"/>
      <c r="BR210" s="118"/>
      <c r="BS210" s="118">
        <f>INDEX('Dist. Plant Gas Additions'!$F$7:$AE$91,MATCH($C210,'Dist. Plant Gas Additions'!$D$7:$D$91,0),MATCH(Calculation!$G210,'Dist. Plant Gas Additions'!$F$5:$AE$5,0))</f>
        <v>146160</v>
      </c>
      <c r="BT210" s="118">
        <f>INDEX('Gen. Plant Additions'!$F$7:$AE$91,MATCH($C210,'Gen. Plant Additions'!$D$7:$D$91,0),MATCH(Calculation!$G210,'Gen. Plant Additions'!$F$5:$AE$5,0))</f>
        <v>1923</v>
      </c>
      <c r="BU210" s="118"/>
      <c r="BV210" s="118"/>
      <c r="BW210" s="118">
        <f>INDEX('Dist Plant Depreciation'!$E$7:$AD$94,MATCH($C210,'Dist Plant Depreciation'!$D$7:$D$94,0),MATCH(Calculation!$G210,'Dist Plant Depreciation'!$E$5:$AD$5,0))</f>
        <v>549467</v>
      </c>
      <c r="BX210" s="118">
        <f>INDEX('Gen. Plant Depreciation'!$E$7:$AD$94,MATCH($C210,'Gen. Plant Depreciation'!$D$7:$D$94,0),MATCH(Calculation!$G210,'Gen. Plant Depreciation'!$E$5:$AD$5,0))</f>
        <v>158826</v>
      </c>
      <c r="BY210" s="118"/>
      <c r="BZ210" s="118"/>
      <c r="CA210" s="118"/>
      <c r="CB210" s="118"/>
      <c r="CC210" s="118"/>
      <c r="CD210" s="118"/>
      <c r="CE210" s="118">
        <f>INDEX('Gross Dx Plant'!$E$7:$AD$91,MATCH($C210,'Gross Dx Plant'!$D$7:$D$91,0),MATCH(Calculation!$G210,'Gross Dx Plant'!$E$5:$AD$5,0))</f>
        <v>2102315</v>
      </c>
      <c r="CF210" s="118">
        <f>INDEX('Gross Gen Plant'!$E$7:$AD$91,MATCH($C210,'Gross Gen Plant'!$D$7:$D$91,0),MATCH(Calculation!$G210,'Gross Gen Plant'!$E$5:$AD$5,0))</f>
        <v>155606</v>
      </c>
      <c r="CG210" s="118">
        <f t="shared" si="426"/>
        <v>1549628</v>
      </c>
      <c r="CH210" s="118"/>
      <c r="CI210" s="121">
        <v>2004</v>
      </c>
      <c r="CJ210" s="118"/>
      <c r="CK210" s="118"/>
      <c r="CL210" s="118"/>
      <c r="CM210" s="183"/>
      <c r="CN210" s="118">
        <f t="shared" si="525"/>
        <v>148083</v>
      </c>
      <c r="CO210" s="118">
        <f t="shared" si="526"/>
        <v>356.92352785666424</v>
      </c>
      <c r="CP210" s="186">
        <v>0.967741935483871</v>
      </c>
      <c r="CQ210" s="118">
        <f>+CQ204*CP210+CO205*CP209+CO206*CP208+CO207*CP207+CO208*CP206+CO209*CP205+CO210</f>
        <v>8071.8743450265692</v>
      </c>
      <c r="CR210" s="119">
        <f t="shared" si="527"/>
        <v>3.9371651190230256E-2</v>
      </c>
      <c r="CS210" s="119"/>
      <c r="CT210" s="177">
        <f t="shared" si="528"/>
        <v>5.836853132398478E-3</v>
      </c>
      <c r="CU210" s="177">
        <f t="shared" si="536"/>
        <v>5.7372619022414252E-3</v>
      </c>
      <c r="CV210" s="119">
        <f>VLOOKUP($H210,RoR!$E:$F,2,FALSE)</f>
        <v>5.6283333333333331E-2</v>
      </c>
      <c r="CW210" s="177">
        <v>2.6778252812867276E-2</v>
      </c>
      <c r="CX210" s="177">
        <f t="shared" si="534"/>
        <v>2.9505080520466055E-2</v>
      </c>
      <c r="CY210" s="177">
        <f t="shared" si="537"/>
        <v>2.5164679706292201E-2</v>
      </c>
      <c r="CZ210" s="177">
        <f t="shared" si="538"/>
        <v>5.5940039414565046E-2</v>
      </c>
      <c r="DA210" s="187">
        <f t="shared" si="529"/>
        <v>0.85131374874999999</v>
      </c>
      <c r="DB210" s="188">
        <f t="shared" si="530"/>
        <v>0.91114097628755619</v>
      </c>
      <c r="DC210" s="188">
        <f t="shared" si="531"/>
        <v>0.53081877405981637</v>
      </c>
      <c r="DD210" s="188">
        <f t="shared" si="532"/>
        <v>0.88811215519385678</v>
      </c>
      <c r="DE210" s="188">
        <f t="shared" si="533"/>
        <v>0.42953609753547711</v>
      </c>
      <c r="DF210" s="189">
        <f>INDEX('State Tax Lookup'!$D$7:$Z$91,MATCH(Calculation!$C210,'State Tax Lookup'!$B$7:$B$91,0),MATCH($H210,'State Tax Lookup'!$D$6:$Z$6,0))</f>
        <v>0.39649667</v>
      </c>
      <c r="DG210" s="189">
        <v>0.375</v>
      </c>
      <c r="DH210" s="190">
        <f t="shared" si="535"/>
        <v>14.64867056393903</v>
      </c>
      <c r="DI210" s="190"/>
      <c r="DJ210" s="177"/>
      <c r="DK210" s="189">
        <f>VLOOKUP($H210,RoR!$E:$F,2,FALSE)</f>
        <v>5.6283333333333331E-2</v>
      </c>
      <c r="DL210" s="191">
        <f>HLOOKUP($H210,'GDP-PI'!$D$8:$CQ$11,3,FALSE)</f>
        <v>2.6778252812867276E-2</v>
      </c>
      <c r="DM210" s="189">
        <f>VLOOKUP(H210,'HW Dx Data'!$E:$F,2,FALSE)</f>
        <v>414.88719135228365</v>
      </c>
      <c r="DN210" s="183">
        <f>VLOOKUP(H210,'ECI - Input Price'!$G$17:$H$37,2,FALSE)</f>
        <v>96.174999999999997</v>
      </c>
      <c r="DO210" s="177">
        <f t="shared" ref="DO210" si="546">LN(DN210/DN209)</f>
        <v>3.7610365022107912E-2</v>
      </c>
      <c r="DP210" s="183">
        <f>HLOOKUP(H210,'GDP-PI'!$8:$9,2,FALSE)</f>
        <v>84.778000000000006</v>
      </c>
      <c r="DQ210" s="177">
        <f t="shared" ref="DQ210" si="547">LN(DP210/DP209)</f>
        <v>2.6425990216022755E-2</v>
      </c>
    </row>
    <row r="211" spans="1:121" s="167" customFormat="1" ht="21" x14ac:dyDescent="0.35">
      <c r="A211" s="167" t="s">
        <v>39</v>
      </c>
      <c r="B211" s="168" t="s">
        <v>39</v>
      </c>
      <c r="C211" s="168">
        <v>4018679</v>
      </c>
      <c r="D211" s="168" t="s">
        <v>136</v>
      </c>
      <c r="E211" s="168" t="s">
        <v>126</v>
      </c>
      <c r="F211" s="168"/>
      <c r="G211" s="168" t="s">
        <v>11</v>
      </c>
      <c r="H211" s="169">
        <v>2005</v>
      </c>
      <c r="I211" s="170"/>
      <c r="J211" s="166">
        <f>IFERROR(INDEX('Labor Expenditures'!$F$7:$X$91,MATCH($C211,'Labor Expenditures'!$D$7:$D$91,0),MATCH($G211,'Labor Expenditures'!$F$5:$X$5,0)),"NA")</f>
        <v>107316.34059753396</v>
      </c>
      <c r="K211" s="166">
        <f t="shared" si="541"/>
        <v>1082.3634956886933</v>
      </c>
      <c r="L211" s="172">
        <f t="shared" ref="L211:L227" si="548">LN(K211/K210)</f>
        <v>1.4471174019784103E-2</v>
      </c>
      <c r="M211" s="172"/>
      <c r="N211" s="196"/>
      <c r="O211" s="172"/>
      <c r="P211" s="166">
        <f>IFERROR(INDEX('Non-Labor Expenditures'!$F$7:$AB$91,MATCH($C211,'Non-Labor Expenditures'!$D$7:$D$91,0),MATCH($G211,'Non-Labor Expenditures'!$F$5:$AB$5,0)),"NA")</f>
        <v>155414.10511280352</v>
      </c>
      <c r="Q211" s="166">
        <f t="shared" si="542"/>
        <v>1778.0510155113839</v>
      </c>
      <c r="R211" s="172">
        <f>LN(Q211/Q210)</f>
        <v>1.4396284536496712E-2</v>
      </c>
      <c r="S211" s="172"/>
      <c r="T211" s="172"/>
      <c r="U211" s="172"/>
      <c r="V211" s="166">
        <f t="shared" si="523"/>
        <v>132853.21272152173</v>
      </c>
      <c r="W211" s="170"/>
      <c r="X211" s="174">
        <v>8281.8080790403983</v>
      </c>
      <c r="Y211" s="175">
        <v>2.5675595433020275E-2</v>
      </c>
      <c r="Z211" s="175"/>
      <c r="AA211" s="175"/>
      <c r="AB211" s="175"/>
      <c r="AC211" s="170">
        <f t="shared" si="490"/>
        <v>395583.65843185922</v>
      </c>
      <c r="AD211" s="175">
        <f>LN(AC211/AC210)</f>
        <v>8.0840032354808758E-2</v>
      </c>
      <c r="AE211" s="170"/>
      <c r="AF211" s="170"/>
      <c r="AG211" s="121"/>
      <c r="AH211" s="119"/>
      <c r="AI211" s="119"/>
      <c r="AJ211" s="121"/>
      <c r="AK211" s="121"/>
      <c r="AL211" s="120">
        <f t="shared" si="543"/>
        <v>0.27128608149019279</v>
      </c>
      <c r="AM211" s="120">
        <f t="shared" si="544"/>
        <v>0.39287291524853063</v>
      </c>
      <c r="AN211" s="120">
        <f t="shared" si="545"/>
        <v>0.33584100326127653</v>
      </c>
      <c r="AO211" s="120">
        <f t="shared" ref="AO211:AO227" si="549">+(((AL211+AL210)/2)*L211+((AM210+AM211)/2)*R211+((AN210+AN211)/2)*Y211)</f>
        <v>1.8068099277885927E-2</v>
      </c>
      <c r="AP211" s="173">
        <v>100</v>
      </c>
      <c r="AQ211" s="175"/>
      <c r="AR211" s="120"/>
      <c r="AS211" s="120"/>
      <c r="AT211" s="120"/>
      <c r="AU211" s="120"/>
      <c r="AV211" s="120"/>
      <c r="AW211" s="120"/>
      <c r="AX211" s="120"/>
      <c r="AY211" s="120"/>
      <c r="AZ211" s="118">
        <f>IFERROR(INDEX('Total Customers'!$F$7:$AB$91,MATCH($C211,'Total Customers'!$D$7:$D$91,0),MATCH($G211,'Total Customers'!$F$5:$AB$5,0)),"NA")</f>
        <v>1165944</v>
      </c>
      <c r="BA211" s="119">
        <f t="shared" si="524"/>
        <v>9.4237889739963512E-3</v>
      </c>
      <c r="BB211" s="119"/>
      <c r="BC211" s="121"/>
      <c r="BD211" s="119"/>
      <c r="BE211" s="119"/>
      <c r="BF211" s="119"/>
      <c r="BG211" s="173"/>
      <c r="BH211" s="173"/>
      <c r="BI211" s="173"/>
      <c r="BJ211" s="173"/>
      <c r="BK211" s="173"/>
      <c r="BL211" s="173"/>
      <c r="BM211" s="173"/>
      <c r="BN211" s="173"/>
      <c r="BO211" s="173"/>
      <c r="BP211" s="173"/>
      <c r="BQ211" s="118"/>
      <c r="BR211" s="118"/>
      <c r="BS211" s="118">
        <f>INDEX('Dist. Plant Gas Additions'!$F$7:$AE$91,MATCH($C211,'Dist. Plant Gas Additions'!$D$7:$D$91,0),MATCH(Calculation!$G211,'Dist. Plant Gas Additions'!$F$5:$AE$5,0))</f>
        <v>110310</v>
      </c>
      <c r="BT211" s="118">
        <f>INDEX('Gen. Plant Additions'!$F$7:$AE$91,MATCH($C211,'Gen. Plant Additions'!$D$7:$D$91,0),MATCH(Calculation!$G211,'Gen. Plant Additions'!$F$5:$AE$5,0))</f>
        <v>10969</v>
      </c>
      <c r="BU211" s="118"/>
      <c r="BV211" s="118"/>
      <c r="BW211" s="118">
        <f>INDEX('Dist Plant Depreciation'!$E$7:$AD$94,MATCH($C211,'Dist Plant Depreciation'!$D$7:$D$94,0),MATCH(Calculation!$G211,'Dist Plant Depreciation'!$E$5:$AD$5,0))</f>
        <v>586107</v>
      </c>
      <c r="BX211" s="118">
        <f>INDEX('Gen. Plant Depreciation'!$E$7:$AD$94,MATCH($C211,'Gen. Plant Depreciation'!$D$7:$D$94,0),MATCH(Calculation!$G211,'Gen. Plant Depreciation'!$E$5:$AD$5,0))</f>
        <v>61182</v>
      </c>
      <c r="BY211" s="118"/>
      <c r="BZ211" s="118"/>
      <c r="CA211" s="118"/>
      <c r="CB211" s="118"/>
      <c r="CC211" s="118"/>
      <c r="CD211" s="118"/>
      <c r="CE211" s="118">
        <f>INDEX('Gross Dx Plant'!$E$7:$AD$91,MATCH($C211,'Gross Dx Plant'!$D$7:$D$91,0),MATCH(Calculation!$G211,'Gross Dx Plant'!$E$5:$AD$5,0))</f>
        <v>2195227</v>
      </c>
      <c r="CF211" s="118">
        <f>INDEX('Gross Gen Plant'!$E$7:$AD$91,MATCH($C211,'Gross Gen Plant'!$D$7:$D$91,0),MATCH(Calculation!$G211,'Gross Gen Plant'!$E$5:$AD$5,0))</f>
        <v>156446</v>
      </c>
      <c r="CG211" s="118">
        <f t="shared" si="426"/>
        <v>1704384</v>
      </c>
      <c r="CH211" s="118"/>
      <c r="CI211" s="121">
        <v>2005</v>
      </c>
      <c r="CJ211" s="118"/>
      <c r="CK211" s="118"/>
      <c r="CL211" s="118"/>
      <c r="CM211" s="183"/>
      <c r="CN211" s="118">
        <f t="shared" si="525"/>
        <v>121279</v>
      </c>
      <c r="CO211" s="118">
        <f t="shared" si="526"/>
        <v>258.47756039010488</v>
      </c>
      <c r="CP211" s="186">
        <v>0.96174863387978138</v>
      </c>
      <c r="CQ211" s="118">
        <f>+CQ204*CP211+CO205*CP210+CO206*CP209+CO207*CP208+CO208*CP207+CO209*CP206+CO210*CP205+CO211</f>
        <v>8281.8080790403983</v>
      </c>
      <c r="CR211" s="119">
        <f t="shared" si="527"/>
        <v>2.5675595433020275E-2</v>
      </c>
      <c r="CS211" s="119"/>
      <c r="CT211" s="177">
        <f t="shared" si="528"/>
        <v>6.0139472322417635E-3</v>
      </c>
      <c r="CU211" s="177">
        <f t="shared" si="536"/>
        <v>5.8385011228913137E-3</v>
      </c>
      <c r="CV211" s="119">
        <f>VLOOKUP($H211,RoR!$E:$F,2,FALSE)</f>
        <v>5.2350000000000001E-2</v>
      </c>
      <c r="CW211" s="177">
        <v>3.1010403642454332E-2</v>
      </c>
      <c r="CX211" s="177">
        <f t="shared" si="534"/>
        <v>2.1339596357545669E-2</v>
      </c>
      <c r="CY211" s="177">
        <f t="shared" si="537"/>
        <v>2.506344048564231E-2</v>
      </c>
      <c r="CZ211" s="177">
        <f t="shared" si="538"/>
        <v>9.2129610649277341E-2</v>
      </c>
      <c r="DA211" s="187">
        <f t="shared" si="529"/>
        <v>0.85131374874999999</v>
      </c>
      <c r="DB211" s="188">
        <f t="shared" si="530"/>
        <v>0.97959983346802826</v>
      </c>
      <c r="DC211" s="188">
        <f t="shared" si="531"/>
        <v>0.49744508118433622</v>
      </c>
      <c r="DD211" s="188">
        <f t="shared" si="532"/>
        <v>0.87010519444335932</v>
      </c>
      <c r="DE211" s="188">
        <f t="shared" si="533"/>
        <v>0.42399975420741998</v>
      </c>
      <c r="DF211" s="189">
        <f>INDEX('State Tax Lookup'!$D$7:$Z$91,MATCH(Calculation!$C211,'State Tax Lookup'!$B$7:$B$91,0),MATCH($H211,'State Tax Lookup'!$D$6:$Z$6,0))</f>
        <v>0.39649667</v>
      </c>
      <c r="DG211" s="189">
        <v>0.375</v>
      </c>
      <c r="DH211" s="190">
        <f t="shared" si="535"/>
        <v>16.458781076464394</v>
      </c>
      <c r="DI211" s="190"/>
      <c r="DJ211" s="177"/>
      <c r="DK211" s="189">
        <f>VLOOKUP($H211,RoR!$E:$F,2,FALSE)</f>
        <v>5.2350000000000001E-2</v>
      </c>
      <c r="DL211" s="191">
        <f>HLOOKUP($H211,'GDP-PI'!$D$8:$CQ$11,3,FALSE)</f>
        <v>3.1010403642454332E-2</v>
      </c>
      <c r="DM211" s="189">
        <f>VLOOKUP(H211,'HW Dx Data'!$E:$F,2,FALSE)</f>
        <v>469.20514034936258</v>
      </c>
      <c r="DN211" s="183">
        <f>VLOOKUP(H211,'ECI - Input Price'!$G$17:$H$37,2,FALSE)</f>
        <v>99.15</v>
      </c>
      <c r="DO211" s="177">
        <f t="shared" ref="DO211" si="550">LN(DN211/DN210)</f>
        <v>3.046440632744625E-2</v>
      </c>
      <c r="DP211" s="183">
        <f>HLOOKUP(H211,'GDP-PI'!$8:$9,2,FALSE)</f>
        <v>87.406999999999996</v>
      </c>
      <c r="DQ211" s="177">
        <f t="shared" ref="DQ211" si="551">LN(DP211/DP210)</f>
        <v>3.0539295810733648E-2</v>
      </c>
    </row>
    <row r="212" spans="1:121" s="167" customFormat="1" ht="21" x14ac:dyDescent="0.35">
      <c r="A212" s="167" t="s">
        <v>39</v>
      </c>
      <c r="B212" s="168" t="s">
        <v>39</v>
      </c>
      <c r="C212" s="168">
        <v>4018679</v>
      </c>
      <c r="D212" s="168" t="s">
        <v>136</v>
      </c>
      <c r="E212" s="168" t="s">
        <v>126</v>
      </c>
      <c r="F212" s="168"/>
      <c r="G212" s="168" t="s">
        <v>12</v>
      </c>
      <c r="H212" s="169">
        <v>2006</v>
      </c>
      <c r="I212" s="170"/>
      <c r="J212" s="166">
        <f>IFERROR(INDEX('Labor Expenditures'!$F$7:$X$91,MATCH($C212,'Labor Expenditures'!$D$7:$D$91,0),MATCH($G212,'Labor Expenditures'!$F$5:$X$5,0)),"NA")</f>
        <v>103240.59698508766</v>
      </c>
      <c r="K212" s="166">
        <f t="shared" si="541"/>
        <v>1011.6668004418193</v>
      </c>
      <c r="L212" s="172">
        <f t="shared" si="548"/>
        <v>-6.7547803886904859E-2</v>
      </c>
      <c r="M212" s="172">
        <f t="shared" ref="M212:M227" si="552">+L212*AR212</f>
        <v>-3.2765918272371431E-3</v>
      </c>
      <c r="N212" s="196"/>
      <c r="O212" s="172"/>
      <c r="P212" s="166">
        <f>IFERROR(INDEX('Non-Labor Expenditures'!$F$7:$AB$91,MATCH($C212,'Non-Labor Expenditures'!$D$7:$D$91,0),MATCH($G212,'Non-Labor Expenditures'!$F$5:$AB$5,0)),"NA")</f>
        <v>149511.66711808008</v>
      </c>
      <c r="Q212" s="166">
        <f t="shared" si="542"/>
        <v>1659.8759588569408</v>
      </c>
      <c r="R212" s="172">
        <f t="shared" ref="R212:R227" si="553">LN(Q212/Q211)</f>
        <v>-6.8774953322310692E-2</v>
      </c>
      <c r="S212" s="172">
        <f>+R212*AR212</f>
        <v>-3.3361180824146106E-3</v>
      </c>
      <c r="T212" s="172"/>
      <c r="U212" s="172"/>
      <c r="V212" s="166">
        <f t="shared" si="523"/>
        <v>133104.47405818501</v>
      </c>
      <c r="W212" s="170"/>
      <c r="X212" s="174">
        <v>8534.7430368193927</v>
      </c>
      <c r="Y212" s="175">
        <v>3.0083937208301458E-2</v>
      </c>
      <c r="Z212" s="175">
        <f>+Y212*AR212</f>
        <v>1.4593040353003356E-3</v>
      </c>
      <c r="AA212" s="175"/>
      <c r="AB212" s="175"/>
      <c r="AC212" s="170">
        <f t="shared" si="490"/>
        <v>385856.73816135275</v>
      </c>
      <c r="AD212" s="175">
        <f t="shared" ref="AD212:AD227" si="554">LN(AC212/AC211)</f>
        <v>-2.4896134669666222E-2</v>
      </c>
      <c r="AE212" s="170"/>
      <c r="AF212" s="170"/>
      <c r="AG212" s="121">
        <f t="shared" ref="AG212:AG227" si="555">+(AC212*1000)/AZ212</f>
        <v>327.92961187218981</v>
      </c>
      <c r="AH212" s="119">
        <f>+AZ212/$BB$44</f>
        <v>3.3470764166693048E-2</v>
      </c>
      <c r="AI212" s="119">
        <f>+AZ212/$BC$44</f>
        <v>0.14266899645790412</v>
      </c>
      <c r="AJ212" s="176">
        <f>+AH212*AG212</f>
        <v>10.97605470224925</v>
      </c>
      <c r="AK212" s="176">
        <f>+AI212*AG212</f>
        <v>46.785388634635325</v>
      </c>
      <c r="AL212" s="120">
        <f t="shared" si="543"/>
        <v>0.26756199069385123</v>
      </c>
      <c r="AM212" s="120">
        <f t="shared" si="544"/>
        <v>0.38747973621121307</v>
      </c>
      <c r="AN212" s="120">
        <f t="shared" si="545"/>
        <v>0.34495827309493565</v>
      </c>
      <c r="AO212" s="120">
        <f t="shared" si="549"/>
        <v>-3.4792799201226229E-2</v>
      </c>
      <c r="AP212" s="173">
        <f>+AP211*EXP(AO212)</f>
        <v>96.580551120031544</v>
      </c>
      <c r="AQ212" s="175">
        <f>LN(AP212/AP211)</f>
        <v>-3.4792799201226229E-2</v>
      </c>
      <c r="AR212" s="177">
        <f>+AC212/$AE$44</f>
        <v>4.8507747679304776E-2</v>
      </c>
      <c r="AS212" s="177">
        <f>+AR212*AQ212</f>
        <v>-1.6877203247097987E-3</v>
      </c>
      <c r="AT212" s="177"/>
      <c r="AU212" s="177"/>
      <c r="AV212" s="177"/>
      <c r="AW212" s="190"/>
      <c r="AX212" s="120"/>
      <c r="AY212" s="120"/>
      <c r="AZ212" s="118">
        <f>IFERROR(INDEX('Total Customers'!$F$7:$AB$91,MATCH($C212,'Total Customers'!$D$7:$D$91,0),MATCH($G212,'Total Customers'!$F$5:$AB$5,0)),"NA")</f>
        <v>1176645</v>
      </c>
      <c r="BA212" s="119">
        <f t="shared" si="524"/>
        <v>9.1361091791374843E-3</v>
      </c>
      <c r="BB212" s="119"/>
      <c r="BC212" s="121">
        <v>8247377</v>
      </c>
      <c r="BD212" s="119"/>
      <c r="BE212" s="119"/>
      <c r="BF212" s="119"/>
      <c r="BG212" s="173"/>
      <c r="BH212" s="173"/>
      <c r="BI212" s="173"/>
      <c r="BJ212" s="173"/>
      <c r="BK212" s="173"/>
      <c r="BL212" s="173"/>
      <c r="BM212" s="173"/>
      <c r="BN212" s="173"/>
      <c r="BO212" s="173"/>
      <c r="BP212" s="173"/>
      <c r="BQ212" s="118"/>
      <c r="BR212" s="118"/>
      <c r="BS212" s="118">
        <f>INDEX('Dist. Plant Gas Additions'!$F$7:$AE$91,MATCH($C212,'Dist. Plant Gas Additions'!$D$7:$D$91,0),MATCH(Calculation!$G212,'Dist. Plant Gas Additions'!$F$5:$AE$5,0))</f>
        <v>133989</v>
      </c>
      <c r="BT212" s="118">
        <f>INDEX('Gen. Plant Additions'!$F$7:$AE$91,MATCH($C212,'Gen. Plant Additions'!$D$7:$D$91,0),MATCH(Calculation!$G212,'Gen. Plant Additions'!$F$5:$AE$5,0))</f>
        <v>6349</v>
      </c>
      <c r="BU212" s="118"/>
      <c r="BV212" s="118"/>
      <c r="BW212" s="118">
        <f>INDEX('Dist Plant Depreciation'!$E$7:$AD$94,MATCH($C212,'Dist Plant Depreciation'!$D$7:$D$94,0),MATCH(Calculation!$G212,'Dist Plant Depreciation'!$E$5:$AD$5,0))</f>
        <v>606347</v>
      </c>
      <c r="BX212" s="118">
        <f>INDEX('Gen. Plant Depreciation'!$E$7:$AD$94,MATCH($C212,'Gen. Plant Depreciation'!$D$7:$D$94,0),MATCH(Calculation!$G212,'Gen. Plant Depreciation'!$E$5:$AD$5,0))</f>
        <v>56770</v>
      </c>
      <c r="BY212" s="118"/>
      <c r="BZ212" s="118"/>
      <c r="CA212" s="118"/>
      <c r="CB212" s="118"/>
      <c r="CC212" s="118"/>
      <c r="CD212" s="118"/>
      <c r="CE212" s="118">
        <f>INDEX('Gross Dx Plant'!$E$7:$AD$91,MATCH($C212,'Gross Dx Plant'!$D$7:$D$91,0),MATCH(Calculation!$G212,'Gross Dx Plant'!$E$5:$AD$5,0))</f>
        <v>2314850</v>
      </c>
      <c r="CF212" s="118">
        <f>INDEX('Gross Gen Plant'!$E$7:$AD$91,MATCH($C212,'Gross Gen Plant'!$D$7:$D$91,0),MATCH(Calculation!$G212,'Gross Gen Plant'!$E$5:$AD$5,0))</f>
        <v>149144</v>
      </c>
      <c r="CG212" s="118">
        <f t="shared" si="426"/>
        <v>1800877</v>
      </c>
      <c r="CH212" s="119" t="e">
        <f>SUM(#REF!)/15</f>
        <v>#REF!</v>
      </c>
      <c r="CI212" s="121">
        <v>2006</v>
      </c>
      <c r="CJ212" s="118"/>
      <c r="CK212" s="118"/>
      <c r="CL212" s="118"/>
      <c r="CM212" s="183"/>
      <c r="CN212" s="118">
        <f t="shared" si="525"/>
        <v>140338</v>
      </c>
      <c r="CO212" s="118">
        <f t="shared" si="526"/>
        <v>304.36426091743715</v>
      </c>
      <c r="CP212" s="186">
        <v>0.9555555555555556</v>
      </c>
      <c r="CQ212" s="118">
        <f>+CQ204*CP212+CO205*CP211+CO206*CP210+CO207*CP209+CO208*CP208+CO209*CP207+CO210*CP206+CO211*CP205+CO212</f>
        <v>8534.7430368193927</v>
      </c>
      <c r="CR212" s="119">
        <f t="shared" si="527"/>
        <v>3.0083937208301458E-2</v>
      </c>
      <c r="CS212" s="119"/>
      <c r="CT212" s="177">
        <f t="shared" si="528"/>
        <v>6.2099124548176876E-3</v>
      </c>
      <c r="CU212" s="177">
        <f t="shared" si="536"/>
        <v>6.0202376064859764E-3</v>
      </c>
      <c r="CV212" s="119">
        <f>VLOOKUP($H212,RoR!$E:$F,2,FALSE)</f>
        <v>5.5874999999999994E-2</v>
      </c>
      <c r="CW212" s="177">
        <v>3.0512430354548314E-2</v>
      </c>
      <c r="CX212" s="177">
        <f t="shared" si="534"/>
        <v>2.536256964545168E-2</v>
      </c>
      <c r="CY212" s="177">
        <f t="shared" si="537"/>
        <v>2.4881704002047648E-2</v>
      </c>
      <c r="CZ212" s="177">
        <f t="shared" si="538"/>
        <v>7.9087823893859641E-2</v>
      </c>
      <c r="DA212" s="187">
        <f t="shared" si="529"/>
        <v>0.85131374874999999</v>
      </c>
      <c r="DB212" s="188">
        <f t="shared" si="530"/>
        <v>0.91779957551769631</v>
      </c>
      <c r="DC212" s="188">
        <f t="shared" si="531"/>
        <v>0.52757270693512304</v>
      </c>
      <c r="DD212" s="188">
        <f t="shared" si="532"/>
        <v>0.88636824549024895</v>
      </c>
      <c r="DE212" s="188">
        <f t="shared" si="533"/>
        <v>0.42918482841932087</v>
      </c>
      <c r="DF212" s="189">
        <f>INDEX('State Tax Lookup'!$D$7:$Z$91,MATCH(Calculation!$C212,'State Tax Lookup'!$B$7:$B$91,0),MATCH($H212,'State Tax Lookup'!$D$6:$Z$6,0))</f>
        <v>0.39649667</v>
      </c>
      <c r="DG212" s="189">
        <v>0.375</v>
      </c>
      <c r="DH212" s="190">
        <f t="shared" si="535"/>
        <v>16.07190999693</v>
      </c>
      <c r="DI212" s="190">
        <v>15.607764999782184</v>
      </c>
      <c r="DJ212" s="177"/>
      <c r="DK212" s="189">
        <f>VLOOKUP($H212,RoR!$E:$F,2,FALSE)</f>
        <v>5.5874999999999994E-2</v>
      </c>
      <c r="DL212" s="191">
        <f>HLOOKUP($H212,'GDP-PI'!$D$8:$CQ$11,3,FALSE)</f>
        <v>3.0512430354548314E-2</v>
      </c>
      <c r="DM212" s="189">
        <f>VLOOKUP(H212,'HW Dx Data'!$E:$F,2,FALSE)</f>
        <v>461.08567272971823</v>
      </c>
      <c r="DN212" s="183">
        <f>VLOOKUP(H212,'ECI - Input Price'!$G$17:$H$37,2,FALSE)</f>
        <v>102.05</v>
      </c>
      <c r="DO212" s="177">
        <f t="shared" ref="DO212" si="556">LN(DN212/DN211)</f>
        <v>2.8829034290048662E-2</v>
      </c>
      <c r="DP212" s="183">
        <f>HLOOKUP(H212,'GDP-PI'!$8:$9,2,FALSE)</f>
        <v>90.073999999999998</v>
      </c>
      <c r="DQ212" s="177">
        <f t="shared" ref="DQ212" si="557">LN(DP212/DP211)</f>
        <v>3.005618372545445E-2</v>
      </c>
    </row>
    <row r="213" spans="1:121" s="167" customFormat="1" ht="21" x14ac:dyDescent="0.35">
      <c r="A213" s="167" t="s">
        <v>39</v>
      </c>
      <c r="B213" s="168" t="s">
        <v>39</v>
      </c>
      <c r="C213" s="168">
        <v>4018679</v>
      </c>
      <c r="D213" s="168" t="s">
        <v>136</v>
      </c>
      <c r="E213" s="168" t="s">
        <v>126</v>
      </c>
      <c r="F213" s="168"/>
      <c r="G213" s="168" t="s">
        <v>13</v>
      </c>
      <c r="H213" s="169">
        <v>2007</v>
      </c>
      <c r="I213" s="170"/>
      <c r="J213" s="166">
        <f>IFERROR(INDEX('Labor Expenditures'!$F$7:$X$91,MATCH($C213,'Labor Expenditures'!$D$7:$D$91,0),MATCH($G213,'Labor Expenditures'!$F$5:$X$5,0)),"NA")</f>
        <v>97995.693608426343</v>
      </c>
      <c r="K213" s="166">
        <f t="shared" si="541"/>
        <v>931.29668432811911</v>
      </c>
      <c r="L213" s="172">
        <f t="shared" si="548"/>
        <v>-8.2776647798518121E-2</v>
      </c>
      <c r="M213" s="172">
        <f t="shared" si="552"/>
        <v>-3.8145802084447247E-3</v>
      </c>
      <c r="N213" s="196"/>
      <c r="O213" s="172"/>
      <c r="P213" s="166">
        <f>IFERROR(INDEX('Non-Labor Expenditures'!$F$7:$AB$91,MATCH($C213,'Non-Labor Expenditures'!$D$7:$D$91,0),MATCH($G213,'Non-Labor Expenditures'!$F$5:$AB$5,0)),"NA")</f>
        <v>141916.06741585102</v>
      </c>
      <c r="Q213" s="166">
        <f t="shared" si="542"/>
        <v>1534.2609290563148</v>
      </c>
      <c r="R213" s="172">
        <f t="shared" si="553"/>
        <v>-7.8694090347775608E-2</v>
      </c>
      <c r="S213" s="172">
        <f t="shared" ref="S213:S227" si="558">+R213*AR213</f>
        <v>-3.626444505132036E-3</v>
      </c>
      <c r="T213" s="172"/>
      <c r="U213" s="172"/>
      <c r="V213" s="166">
        <f t="shared" si="523"/>
        <v>147274.09537375427</v>
      </c>
      <c r="W213" s="170"/>
      <c r="X213" s="174">
        <v>8704.7411767948361</v>
      </c>
      <c r="Y213" s="175">
        <v>1.9722591271467742E-2</v>
      </c>
      <c r="Z213" s="175">
        <f t="shared" ref="Z213:Z227" si="559">+Y213*AR213</f>
        <v>9.0887234895651778E-4</v>
      </c>
      <c r="AA213" s="175"/>
      <c r="AB213" s="175"/>
      <c r="AC213" s="170">
        <f t="shared" si="490"/>
        <v>387185.85639803164</v>
      </c>
      <c r="AD213" s="175">
        <f t="shared" si="554"/>
        <v>3.438670923719011E-3</v>
      </c>
      <c r="AE213" s="170"/>
      <c r="AF213" s="170"/>
      <c r="AG213" s="121">
        <f t="shared" si="555"/>
        <v>327.60887249866028</v>
      </c>
      <c r="AH213" s="119">
        <f>+AZ213/$BB$45</f>
        <v>3.3366871406086698E-2</v>
      </c>
      <c r="AI213" s="119">
        <f>+AZ213/$BC$45</f>
        <v>0.14434404929213215</v>
      </c>
      <c r="AJ213" s="176">
        <f t="shared" ref="AJ213:AJ227" si="560">+AH213*AG213</f>
        <v>10.93128312015585</v>
      </c>
      <c r="AK213" s="176">
        <f t="shared" ref="AK213:AK227" si="561">+AI213*AG213</f>
        <v>47.288391240486455</v>
      </c>
      <c r="AL213" s="120">
        <f t="shared" si="543"/>
        <v>0.2530972967868062</v>
      </c>
      <c r="AM213" s="120">
        <f t="shared" si="544"/>
        <v>0.36653215780165177</v>
      </c>
      <c r="AN213" s="120">
        <f t="shared" si="545"/>
        <v>0.38037054541154203</v>
      </c>
      <c r="AO213" s="120">
        <f t="shared" si="549"/>
        <v>-4.4064673374369853E-2</v>
      </c>
      <c r="AP213" s="173">
        <f>+AP212*EXP(AO213)</f>
        <v>92.417163486151466</v>
      </c>
      <c r="AQ213" s="175">
        <f>LN(AP213/AP212)</f>
        <v>-4.4064673374369749E-2</v>
      </c>
      <c r="AR213" s="177">
        <f>+AC213/$AE$45</f>
        <v>4.6082806079917313E-2</v>
      </c>
      <c r="AS213" s="177">
        <f t="shared" ref="AS213:AS227" si="562">+AR213*AQ213</f>
        <v>-2.0306237980859767E-3</v>
      </c>
      <c r="AT213" s="177"/>
      <c r="AU213" s="177"/>
      <c r="AV213" s="177"/>
      <c r="AW213" s="190"/>
      <c r="AX213" s="120"/>
      <c r="AY213" s="120"/>
      <c r="AZ213" s="118">
        <f>IFERROR(INDEX('Total Customers'!$F$7:$AB$91,MATCH($C213,'Total Customers'!$D$7:$D$91,0),MATCH($G213,'Total Customers'!$F$5:$AB$5,0)),"NA")</f>
        <v>1181854</v>
      </c>
      <c r="BA213" s="119">
        <f t="shared" si="524"/>
        <v>4.4172233863754113E-3</v>
      </c>
      <c r="BB213" s="119"/>
      <c r="BC213" s="121">
        <v>8187757</v>
      </c>
      <c r="BD213" s="119"/>
      <c r="BE213" s="119"/>
      <c r="BF213" s="119"/>
      <c r="BG213" s="173"/>
      <c r="BH213" s="173"/>
      <c r="BI213" s="173"/>
      <c r="BJ213" s="173"/>
      <c r="BK213" s="173"/>
      <c r="BL213" s="173"/>
      <c r="BM213" s="173"/>
      <c r="BN213" s="173"/>
      <c r="BO213" s="173"/>
      <c r="BP213" s="173"/>
      <c r="BQ213" s="118"/>
      <c r="BR213" s="118"/>
      <c r="BS213" s="118">
        <f>INDEX('Dist. Plant Gas Additions'!$F$7:$AE$91,MATCH($C213,'Dist. Plant Gas Additions'!$D$7:$D$91,0),MATCH(Calculation!$G213,'Dist. Plant Gas Additions'!$F$5:$AE$5,0))</f>
        <v>108370</v>
      </c>
      <c r="BT213" s="118">
        <f>INDEX('Gen. Plant Additions'!$F$7:$AE$91,MATCH($C213,'Gen. Plant Additions'!$D$7:$D$91,0),MATCH(Calculation!$G213,'Gen. Plant Additions'!$F$5:$AE$5,0))</f>
        <v>3516</v>
      </c>
      <c r="BU213" s="118"/>
      <c r="BV213" s="118"/>
      <c r="BW213" s="118">
        <f>INDEX('Dist Plant Depreciation'!$E$7:$AD$94,MATCH($C213,'Dist Plant Depreciation'!$D$7:$D$94,0),MATCH(Calculation!$G213,'Dist Plant Depreciation'!$E$5:$AD$5,0))</f>
        <v>665940</v>
      </c>
      <c r="BX213" s="118">
        <f>INDEX('Gen. Plant Depreciation'!$E$7:$AD$94,MATCH($C213,'Gen. Plant Depreciation'!$D$7:$D$94,0),MATCH(Calculation!$G213,'Gen. Plant Depreciation'!$E$5:$AD$5,0))</f>
        <v>55832</v>
      </c>
      <c r="BY213" s="118"/>
      <c r="BZ213" s="118"/>
      <c r="CA213" s="118"/>
      <c r="CB213" s="118"/>
      <c r="CC213" s="118"/>
      <c r="CD213" s="118"/>
      <c r="CE213" s="118">
        <f>INDEX('Gross Dx Plant'!$E$7:$AD$91,MATCH($C213,'Gross Dx Plant'!$D$7:$D$91,0),MATCH(Calculation!$G213,'Gross Dx Plant'!$E$5:$AD$5,0))</f>
        <v>2417141</v>
      </c>
      <c r="CF213" s="118">
        <f>INDEX('Gross Gen Plant'!$E$7:$AD$91,MATCH($C213,'Gross Gen Plant'!$D$7:$D$91,0),MATCH(Calculation!$G213,'Gross Gen Plant'!$E$5:$AD$5,0))</f>
        <v>145116</v>
      </c>
      <c r="CG213" s="118">
        <f t="shared" si="426"/>
        <v>1840485</v>
      </c>
      <c r="CH213" s="118"/>
      <c r="CI213" s="121">
        <v>2007</v>
      </c>
      <c r="CJ213" s="118"/>
      <c r="CK213" s="118"/>
      <c r="CL213" s="118"/>
      <c r="CM213" s="183"/>
      <c r="CN213" s="118">
        <f t="shared" si="525"/>
        <v>111886</v>
      </c>
      <c r="CO213" s="118">
        <f t="shared" si="526"/>
        <v>224.6606156448585</v>
      </c>
      <c r="CP213" s="186">
        <v>0.94915254237288138</v>
      </c>
      <c r="CQ213" s="118">
        <f>+CQ204*CP213+CO205*CP212+CO206*CP211+CO207*CP210+CO208*CP209+CO209*CP208+CO210*CP207+CO211*CP206+CO212*CP205+CO213</f>
        <v>8704.7411767948361</v>
      </c>
      <c r="CR213" s="119">
        <f t="shared" si="527"/>
        <v>1.9722591271467742E-2</v>
      </c>
      <c r="CS213" s="119"/>
      <c r="CT213" s="177">
        <f t="shared" si="528"/>
        <v>6.4047008133224356E-3</v>
      </c>
      <c r="CU213" s="177">
        <f t="shared" si="536"/>
        <v>6.2095201667939628E-3</v>
      </c>
      <c r="CV213" s="119">
        <f>VLOOKUP($H213,RoR!$E:$F,2,FALSE)</f>
        <v>5.5558333333333321E-2</v>
      </c>
      <c r="CW213" s="177">
        <v>2.691120634145272E-2</v>
      </c>
      <c r="CX213" s="177">
        <f t="shared" si="534"/>
        <v>2.86471269918806E-2</v>
      </c>
      <c r="CY213" s="177">
        <f t="shared" si="537"/>
        <v>2.4692421441739661E-2</v>
      </c>
      <c r="CZ213" s="177">
        <f t="shared" si="538"/>
        <v>6.4575155250632399E-2</v>
      </c>
      <c r="DA213" s="187">
        <f t="shared" si="529"/>
        <v>0.85131374874999999</v>
      </c>
      <c r="DB213" s="188">
        <f t="shared" si="530"/>
        <v>0.92303077153834634</v>
      </c>
      <c r="DC213" s="188">
        <f t="shared" si="531"/>
        <v>0.52502249887505614</v>
      </c>
      <c r="DD213" s="188">
        <f t="shared" si="532"/>
        <v>0.88499666072084604</v>
      </c>
      <c r="DE213" s="188">
        <f t="shared" si="533"/>
        <v>0.42887993290280618</v>
      </c>
      <c r="DF213" s="189">
        <f>INDEX('State Tax Lookup'!$D$7:$Z$91,MATCH(Calculation!$C213,'State Tax Lookup'!$B$7:$B$91,0),MATCH($H213,'State Tax Lookup'!$D$6:$Z$6,0))</f>
        <v>0.39649667</v>
      </c>
      <c r="DG213" s="189">
        <v>0.375</v>
      </c>
      <c r="DH213" s="190">
        <f t="shared" si="535"/>
        <v>17.255832394531975</v>
      </c>
      <c r="DI213" s="190">
        <v>17.008465344303879</v>
      </c>
      <c r="DJ213" s="177"/>
      <c r="DK213" s="189">
        <f>VLOOKUP($H213,RoR!$E:$F,2,FALSE)</f>
        <v>5.5558333333333321E-2</v>
      </c>
      <c r="DL213" s="191">
        <f>HLOOKUP($H213,'GDP-PI'!$D$8:$CQ$11,3,FALSE)</f>
        <v>2.691120634145272E-2</v>
      </c>
      <c r="DM213" s="189">
        <f>VLOOKUP(H213,'HW Dx Data'!$E:$F,2,FALSE)</f>
        <v>498.0223154772637</v>
      </c>
      <c r="DN213" s="183">
        <f>VLOOKUP(H213,'ECI - Input Price'!$G$17:$H$37,2,FALSE)</f>
        <v>105.22500000000001</v>
      </c>
      <c r="DO213" s="177">
        <f t="shared" ref="DO213" si="563">LN(DN213/DN212)</f>
        <v>3.0638025400780679E-2</v>
      </c>
      <c r="DP213" s="183">
        <f>HLOOKUP(H213,'GDP-PI'!$8:$9,2,FALSE)</f>
        <v>92.498000000000005</v>
      </c>
      <c r="DQ213" s="177">
        <f t="shared" ref="DQ213" si="564">LN(DP213/DP212)</f>
        <v>2.6555467950038037E-2</v>
      </c>
    </row>
    <row r="214" spans="1:121" s="167" customFormat="1" ht="21" x14ac:dyDescent="0.35">
      <c r="A214" s="167" t="s">
        <v>39</v>
      </c>
      <c r="B214" s="168" t="s">
        <v>39</v>
      </c>
      <c r="C214" s="168">
        <v>4018679</v>
      </c>
      <c r="D214" s="168" t="s">
        <v>136</v>
      </c>
      <c r="E214" s="168" t="s">
        <v>126</v>
      </c>
      <c r="F214" s="168"/>
      <c r="G214" s="168" t="s">
        <v>14</v>
      </c>
      <c r="H214" s="169">
        <v>2008</v>
      </c>
      <c r="I214" s="170"/>
      <c r="J214" s="166">
        <f>IFERROR(INDEX('Labor Expenditures'!$F$7:$X$91,MATCH($C214,'Labor Expenditures'!$D$7:$D$91,0),MATCH($G214,'Labor Expenditures'!$F$5:$X$5,0)),"NA")</f>
        <v>111753.58962826726</v>
      </c>
      <c r="K214" s="166">
        <f t="shared" si="541"/>
        <v>1032.6042007693902</v>
      </c>
      <c r="L214" s="172">
        <f t="shared" si="548"/>
        <v>0.1032613413256437</v>
      </c>
      <c r="M214" s="172">
        <f t="shared" si="552"/>
        <v>5.1057718568155563E-3</v>
      </c>
      <c r="N214" s="196"/>
      <c r="O214" s="172"/>
      <c r="P214" s="166">
        <f>IFERROR(INDEX('Non-Labor Expenditures'!$F$7:$AB$91,MATCH($C214,'Non-Labor Expenditures'!$D$7:$D$91,0),MATCH($G214,'Non-Labor Expenditures'!$F$5:$AB$5,0)),"NA")</f>
        <v>161840.07047310501</v>
      </c>
      <c r="Q214" s="166">
        <f t="shared" si="542"/>
        <v>1716.8809988235701</v>
      </c>
      <c r="R214" s="172">
        <f t="shared" si="553"/>
        <v>0.11246048624902134</v>
      </c>
      <c r="S214" s="172">
        <f t="shared" si="558"/>
        <v>5.5606248991407507E-3</v>
      </c>
      <c r="T214" s="172"/>
      <c r="U214" s="172"/>
      <c r="V214" s="166">
        <f t="shared" si="523"/>
        <v>170524.87001561123</v>
      </c>
      <c r="W214" s="170"/>
      <c r="X214" s="174">
        <v>8984.4015592161322</v>
      </c>
      <c r="Y214" s="175">
        <v>3.1622073517347728E-2</v>
      </c>
      <c r="Z214" s="175">
        <f t="shared" si="559"/>
        <v>1.5635579680285552E-3</v>
      </c>
      <c r="AA214" s="175"/>
      <c r="AB214" s="175"/>
      <c r="AC214" s="170">
        <f t="shared" si="490"/>
        <v>444118.53011698351</v>
      </c>
      <c r="AD214" s="175">
        <f t="shared" si="554"/>
        <v>0.13718665969013782</v>
      </c>
      <c r="AE214" s="170"/>
      <c r="AF214" s="170"/>
      <c r="AG214" s="121">
        <f t="shared" si="555"/>
        <v>372.70084818590419</v>
      </c>
      <c r="AH214" s="119">
        <f>+AZ214/$BB$46</f>
        <v>3.3463269364349964E-2</v>
      </c>
      <c r="AI214" s="119">
        <f>+AZ214/$BC$46</f>
        <v>0.14454227728970523</v>
      </c>
      <c r="AJ214" s="176">
        <f t="shared" si="560"/>
        <v>12.471788875166615</v>
      </c>
      <c r="AK214" s="176">
        <f t="shared" si="561"/>
        <v>53.871029344595293</v>
      </c>
      <c r="AL214" s="120">
        <f t="shared" si="543"/>
        <v>0.25163009883607129</v>
      </c>
      <c r="AM214" s="120">
        <f t="shared" si="544"/>
        <v>0.36440738113421062</v>
      </c>
      <c r="AN214" s="120">
        <f t="shared" si="545"/>
        <v>0.38396252002971809</v>
      </c>
      <c r="AO214" s="120">
        <f t="shared" si="549"/>
        <v>7.9245220115151491E-2</v>
      </c>
      <c r="AP214" s="173">
        <f t="shared" ref="AP214:AP227" si="565">+AP213*EXP(AO214)</f>
        <v>100.03878227233497</v>
      </c>
      <c r="AQ214" s="175">
        <f t="shared" ref="AQ214:AQ227" si="566">LN(AP214/AP213)</f>
        <v>7.9245220115151421E-2</v>
      </c>
      <c r="AR214" s="177">
        <f>+AC214/$AE$46</f>
        <v>4.9445143664307606E-2</v>
      </c>
      <c r="AS214" s="177">
        <f t="shared" si="562"/>
        <v>3.9182912933033408E-3</v>
      </c>
      <c r="AT214" s="177"/>
      <c r="AU214" s="177"/>
      <c r="AV214" s="177"/>
      <c r="AW214" s="190"/>
      <c r="AX214" s="120"/>
      <c r="AY214" s="120"/>
      <c r="AZ214" s="118">
        <f>IFERROR(INDEX('Total Customers'!$F$7:$AB$91,MATCH($C214,'Total Customers'!$D$7:$D$91,0),MATCH($G214,'Total Customers'!$F$5:$AB$5,0)),"NA")</f>
        <v>1191622</v>
      </c>
      <c r="BA214" s="119">
        <f t="shared" si="524"/>
        <v>8.2310123616865846E-3</v>
      </c>
      <c r="BB214" s="119"/>
      <c r="BC214" s="121">
        <v>8244107</v>
      </c>
      <c r="BD214" s="119"/>
      <c r="BE214" s="119"/>
      <c r="BF214" s="119"/>
      <c r="BG214" s="173"/>
      <c r="BH214" s="173"/>
      <c r="BI214" s="173"/>
      <c r="BJ214" s="173"/>
      <c r="BK214" s="173"/>
      <c r="BL214" s="173"/>
      <c r="BM214" s="173"/>
      <c r="BN214" s="173"/>
      <c r="BO214" s="173"/>
      <c r="BP214" s="173"/>
      <c r="BQ214" s="118"/>
      <c r="BR214" s="118"/>
      <c r="BS214" s="118">
        <f>INDEX('Dist. Plant Gas Additions'!$F$7:$AE$91,MATCH($C214,'Dist. Plant Gas Additions'!$D$7:$D$91,0),MATCH(Calculation!$G214,'Dist. Plant Gas Additions'!$F$5:$AE$5,0))</f>
        <v>179733</v>
      </c>
      <c r="BT214" s="118">
        <f>INDEX('Gen. Plant Additions'!$F$7:$AE$91,MATCH($C214,'Gen. Plant Additions'!$D$7:$D$91,0),MATCH(Calculation!$G214,'Gen. Plant Additions'!$F$5:$AE$5,0))</f>
        <v>12484</v>
      </c>
      <c r="BU214" s="118"/>
      <c r="BV214" s="118"/>
      <c r="BW214" s="118">
        <f>INDEX('Dist Plant Depreciation'!$E$7:$AD$94,MATCH($C214,'Dist Plant Depreciation'!$D$7:$D$94,0),MATCH(Calculation!$G214,'Dist Plant Depreciation'!$E$5:$AD$5,0))</f>
        <v>716513</v>
      </c>
      <c r="BX214" s="118">
        <f>INDEX('Gen. Plant Depreciation'!$E$7:$AD$94,MATCH($C214,'Gen. Plant Depreciation'!$D$7:$D$94,0),MATCH(Calculation!$G214,'Gen. Plant Depreciation'!$E$5:$AD$5,0))</f>
        <v>56089</v>
      </c>
      <c r="BY214" s="118"/>
      <c r="BZ214" s="118"/>
      <c r="CA214" s="118"/>
      <c r="CB214" s="118"/>
      <c r="CC214" s="118"/>
      <c r="CD214" s="118"/>
      <c r="CE214" s="118">
        <f>INDEX('Gross Dx Plant'!$E$7:$AD$91,MATCH($C214,'Gross Dx Plant'!$D$7:$D$91,0),MATCH(Calculation!$G214,'Gross Dx Plant'!$E$5:$AD$5,0))</f>
        <v>2588733</v>
      </c>
      <c r="CF214" s="118">
        <f>INDEX('Gross Gen Plant'!$E$7:$AD$91,MATCH($C214,'Gross Gen Plant'!$D$7:$D$91,0),MATCH(Calculation!$G214,'Gross Gen Plant'!$E$5:$AD$5,0))</f>
        <v>133394</v>
      </c>
      <c r="CG214" s="118">
        <f t="shared" si="426"/>
        <v>1949525</v>
      </c>
      <c r="CH214" s="118"/>
      <c r="CI214" s="121">
        <v>2008</v>
      </c>
      <c r="CJ214" s="118"/>
      <c r="CK214" s="118"/>
      <c r="CL214" s="118"/>
      <c r="CM214" s="183"/>
      <c r="CN214" s="118">
        <f t="shared" si="525"/>
        <v>192217</v>
      </c>
      <c r="CO214" s="118">
        <f t="shared" si="526"/>
        <v>337.29310402778094</v>
      </c>
      <c r="CP214" s="186">
        <v>0.94252873563218387</v>
      </c>
      <c r="CQ214" s="118">
        <f>+CQ204*CP214+CO205*CP213+CO206*CP212+CO207*CP211+CO208*CP210+CO209*CP209+CO210*CP208+CO211*CP207+CO212*CP206+CO213*CP205+CO214</f>
        <v>8984.4015592161322</v>
      </c>
      <c r="CR214" s="119">
        <f t="shared" si="527"/>
        <v>3.1622073517347728E-2</v>
      </c>
      <c r="CS214" s="119"/>
      <c r="CT214" s="177">
        <f t="shared" si="528"/>
        <v>6.6208426460883773E-3</v>
      </c>
      <c r="CU214" s="177">
        <f t="shared" si="536"/>
        <v>6.4118186380761671E-3</v>
      </c>
      <c r="CV214" s="119">
        <f>VLOOKUP($H214,RoR!$E:$F,2,FALSE)</f>
        <v>5.6316666666666668E-2</v>
      </c>
      <c r="CW214" s="177">
        <v>1.9092304698479889E-2</v>
      </c>
      <c r="CX214" s="177">
        <f t="shared" si="534"/>
        <v>3.7224361968186778E-2</v>
      </c>
      <c r="CY214" s="177">
        <f t="shared" si="537"/>
        <v>2.4490122970457457E-2</v>
      </c>
      <c r="CZ214" s="177">
        <f t="shared" si="538"/>
        <v>6.9030581091053131E-2</v>
      </c>
      <c r="DA214" s="187">
        <f t="shared" si="529"/>
        <v>0.85131374874999999</v>
      </c>
      <c r="DB214" s="188">
        <f t="shared" si="530"/>
        <v>0.91060168006009956</v>
      </c>
      <c r="DC214" s="188">
        <f t="shared" si="531"/>
        <v>0.53108168097070152</v>
      </c>
      <c r="DD214" s="188">
        <f t="shared" si="532"/>
        <v>0.88825329850328805</v>
      </c>
      <c r="DE214" s="188">
        <f t="shared" si="533"/>
        <v>0.4295627335323573</v>
      </c>
      <c r="DF214" s="189">
        <f>INDEX('State Tax Lookup'!$D$7:$Z$91,MATCH(Calculation!$C214,'State Tax Lookup'!$B$7:$B$91,0),MATCH($H214,'State Tax Lookup'!$D$6:$Z$6,0))</f>
        <v>0.39649667</v>
      </c>
      <c r="DG214" s="189">
        <v>0.375</v>
      </c>
      <c r="DH214" s="190">
        <f t="shared" si="535"/>
        <v>19.589884012886873</v>
      </c>
      <c r="DI214" s="190">
        <v>19.31106480549419</v>
      </c>
      <c r="DJ214" s="177"/>
      <c r="DK214" s="189">
        <f>VLOOKUP($H214,RoR!$E:$F,2,FALSE)</f>
        <v>5.6316666666666668E-2</v>
      </c>
      <c r="DL214" s="191">
        <f>HLOOKUP($H214,'GDP-PI'!$D$8:$CQ$11,3,FALSE)</f>
        <v>1.9092304698479889E-2</v>
      </c>
      <c r="DM214" s="189">
        <f>VLOOKUP(H214,'HW Dx Data'!$E:$F,2,FALSE)</f>
        <v>569.88120333515076</v>
      </c>
      <c r="DN214" s="183">
        <f>VLOOKUP(H214,'ECI - Input Price'!$G$17:$H$37,2,FALSE)</f>
        <v>108.22499999999999</v>
      </c>
      <c r="DO214" s="177">
        <f t="shared" ref="DO214" si="567">LN(DN214/DN213)</f>
        <v>2.8111478671409691E-2</v>
      </c>
      <c r="DP214" s="183">
        <f>HLOOKUP(H214,'GDP-PI'!$8:$9,2,FALSE)</f>
        <v>94.263999999999996</v>
      </c>
      <c r="DQ214" s="177">
        <f t="shared" ref="DQ214" si="568">LN(DP214/DP213)</f>
        <v>1.8912333748032254E-2</v>
      </c>
    </row>
    <row r="215" spans="1:121" s="167" customFormat="1" ht="21" x14ac:dyDescent="0.35">
      <c r="A215" s="167" t="s">
        <v>39</v>
      </c>
      <c r="B215" s="168" t="s">
        <v>39</v>
      </c>
      <c r="C215" s="168">
        <v>4018679</v>
      </c>
      <c r="D215" s="168" t="s">
        <v>136</v>
      </c>
      <c r="E215" s="168" t="s">
        <v>126</v>
      </c>
      <c r="F215" s="168"/>
      <c r="G215" s="168" t="s">
        <v>15</v>
      </c>
      <c r="H215" s="169">
        <v>2009</v>
      </c>
      <c r="I215" s="170"/>
      <c r="J215" s="166">
        <f>IFERROR(INDEX('Labor Expenditures'!$F$7:$X$91,MATCH($C215,'Labor Expenditures'!$D$7:$D$91,0),MATCH($G215,'Labor Expenditures'!$F$5:$X$5,0)),"NA")</f>
        <v>113271.99019170445</v>
      </c>
      <c r="K215" s="166">
        <f t="shared" si="541"/>
        <v>1031.8559798834385</v>
      </c>
      <c r="L215" s="172">
        <f t="shared" si="548"/>
        <v>-7.2485865866976683E-4</v>
      </c>
      <c r="M215" s="172">
        <f t="shared" si="552"/>
        <v>-3.4512478664064315E-5</v>
      </c>
      <c r="N215" s="196"/>
      <c r="O215" s="172"/>
      <c r="P215" s="166">
        <f>IFERROR(INDEX('Non-Labor Expenditures'!$F$7:$AB$91,MATCH($C215,'Non-Labor Expenditures'!$D$7:$D$91,0),MATCH($G215,'Non-Labor Expenditures'!$F$5:$AB$5,0)),"NA")</f>
        <v>164038.99808706794</v>
      </c>
      <c r="Q215" s="166">
        <f t="shared" si="542"/>
        <v>1726.744471910946</v>
      </c>
      <c r="R215" s="172">
        <f t="shared" si="553"/>
        <v>5.7285556427573514E-3</v>
      </c>
      <c r="S215" s="172">
        <f t="shared" si="558"/>
        <v>2.7275200762503425E-4</v>
      </c>
      <c r="T215" s="172"/>
      <c r="U215" s="172"/>
      <c r="V215" s="166">
        <f t="shared" si="523"/>
        <v>168766.95571388837</v>
      </c>
      <c r="W215" s="170"/>
      <c r="X215" s="174">
        <v>9160.2828155435654</v>
      </c>
      <c r="Y215" s="175">
        <v>1.9387139679215834E-2</v>
      </c>
      <c r="Z215" s="175">
        <f t="shared" si="559"/>
        <v>9.2307408697314165E-4</v>
      </c>
      <c r="AA215" s="175"/>
      <c r="AB215" s="175"/>
      <c r="AC215" s="170">
        <f t="shared" si="490"/>
        <v>446077.94399266073</v>
      </c>
      <c r="AD215" s="175">
        <f t="shared" si="554"/>
        <v>4.4022125385381507E-3</v>
      </c>
      <c r="AE215" s="170"/>
      <c r="AF215" s="170"/>
      <c r="AG215" s="121">
        <f t="shared" si="555"/>
        <v>372.29316218017232</v>
      </c>
      <c r="AH215" s="119">
        <f>+AZ215/$BB$47</f>
        <v>3.3599163594164837E-2</v>
      </c>
      <c r="AI215" s="119">
        <f>+AZ215/$BC$47</f>
        <v>0.14372280435255108</v>
      </c>
      <c r="AJ215" s="176">
        <f t="shared" si="560"/>
        <v>12.50873886108055</v>
      </c>
      <c r="AK215" s="176">
        <f t="shared" si="561"/>
        <v>53.507017309813477</v>
      </c>
      <c r="AL215" s="120">
        <f t="shared" si="543"/>
        <v>0.25392869501202708</v>
      </c>
      <c r="AM215" s="120">
        <f t="shared" si="544"/>
        <v>0.36773617771554035</v>
      </c>
      <c r="AN215" s="120">
        <f t="shared" si="545"/>
        <v>0.37833512727243263</v>
      </c>
      <c r="AO215" s="120">
        <f t="shared" si="549"/>
        <v>9.3032187057770777E-3</v>
      </c>
      <c r="AP215" s="173">
        <f t="shared" si="565"/>
        <v>100.97380757144991</v>
      </c>
      <c r="AQ215" s="175">
        <f t="shared" si="566"/>
        <v>9.3032187057770898E-3</v>
      </c>
      <c r="AR215" s="177">
        <f>+AC215/$AE$47</f>
        <v>4.7612701112518002E-2</v>
      </c>
      <c r="AS215" s="177">
        <f t="shared" si="562"/>
        <v>4.4295137162255111E-4</v>
      </c>
      <c r="AT215" s="177"/>
      <c r="AU215" s="177"/>
      <c r="AV215" s="177"/>
      <c r="AW215" s="190"/>
      <c r="AX215" s="120"/>
      <c r="AY215" s="120"/>
      <c r="AZ215" s="118">
        <f>IFERROR(INDEX('Total Customers'!$F$7:$AB$91,MATCH($C215,'Total Customers'!$D$7:$D$91,0),MATCH($G215,'Total Customers'!$F$5:$AB$5,0)),"NA")</f>
        <v>1198190</v>
      </c>
      <c r="BA215" s="119">
        <f t="shared" si="524"/>
        <v>5.4966805228574486E-3</v>
      </c>
      <c r="BB215" s="119"/>
      <c r="BC215" s="121">
        <v>8336812</v>
      </c>
      <c r="BD215" s="119"/>
      <c r="BE215" s="119"/>
      <c r="BF215" s="119"/>
      <c r="BG215" s="173"/>
      <c r="BH215" s="173"/>
      <c r="BI215" s="173"/>
      <c r="BJ215" s="173"/>
      <c r="BK215" s="173"/>
      <c r="BL215" s="173"/>
      <c r="BM215" s="173"/>
      <c r="BN215" s="173"/>
      <c r="BO215" s="173"/>
      <c r="BP215" s="173"/>
      <c r="BQ215" s="118"/>
      <c r="BR215" s="118"/>
      <c r="BS215" s="118">
        <f>INDEX('Dist. Plant Gas Additions'!$F$7:$AE$91,MATCH($C215,'Dist. Plant Gas Additions'!$D$7:$D$91,0),MATCH(Calculation!$G215,'Dist. Plant Gas Additions'!$F$5:$AE$5,0))</f>
        <v>126296</v>
      </c>
      <c r="BT215" s="118">
        <f>INDEX('Gen. Plant Additions'!$F$7:$AE$91,MATCH($C215,'Gen. Plant Additions'!$D$7:$D$91,0),MATCH(Calculation!$G215,'Gen. Plant Additions'!$F$5:$AE$5,0))</f>
        <v>4373</v>
      </c>
      <c r="BU215" s="118"/>
      <c r="BV215" s="118"/>
      <c r="BW215" s="118">
        <f>INDEX('Dist Plant Depreciation'!$E$7:$AD$94,MATCH($C215,'Dist Plant Depreciation'!$D$7:$D$94,0),MATCH(Calculation!$G215,'Dist Plant Depreciation'!$E$5:$AD$5,0))</f>
        <v>765812</v>
      </c>
      <c r="BX215" s="118">
        <f>INDEX('Gen. Plant Depreciation'!$E$7:$AD$94,MATCH($C215,'Gen. Plant Depreciation'!$D$7:$D$94,0),MATCH(Calculation!$G215,'Gen. Plant Depreciation'!$E$5:$AD$5,0))</f>
        <v>51619</v>
      </c>
      <c r="BY215" s="118"/>
      <c r="BZ215" s="118"/>
      <c r="CA215" s="118"/>
      <c r="CB215" s="118"/>
      <c r="CC215" s="118"/>
      <c r="CD215" s="118"/>
      <c r="CE215" s="118">
        <f>INDEX('Gross Dx Plant'!$E$7:$AD$91,MATCH($C215,'Gross Dx Plant'!$D$7:$D$91,0),MATCH(Calculation!$G215,'Gross Dx Plant'!$E$5:$AD$5,0))</f>
        <v>2702511</v>
      </c>
      <c r="CF215" s="118">
        <f>INDEX('Gross Gen Plant'!$E$7:$AD$91,MATCH($C215,'Gross Gen Plant'!$D$7:$D$91,0),MATCH(Calculation!$G215,'Gross Gen Plant'!$E$5:$AD$5,0))</f>
        <v>128026</v>
      </c>
      <c r="CG215" s="118">
        <f t="shared" si="426"/>
        <v>2013106</v>
      </c>
      <c r="CH215" s="118"/>
      <c r="CI215" s="121">
        <v>2009</v>
      </c>
      <c r="CJ215" s="118"/>
      <c r="CK215" s="118"/>
      <c r="CL215" s="118"/>
      <c r="CM215" s="183"/>
      <c r="CN215" s="118">
        <f t="shared" si="525"/>
        <v>130669</v>
      </c>
      <c r="CO215" s="118">
        <f t="shared" si="526"/>
        <v>237.174372832047</v>
      </c>
      <c r="CP215" s="186">
        <v>0.93567251461988299</v>
      </c>
      <c r="CQ215" s="118">
        <f>+CQ204*CP215+CO205*CP214+CO206*CP213+CO207*CP212+CO208*CP211+CO209*CP210+CO210*CP209+CO211*CP208+CO212*CP207+CO213*CP206+CO214*CP205+CO215</f>
        <v>9160.2828155435654</v>
      </c>
      <c r="CR215" s="119">
        <f t="shared" si="527"/>
        <v>1.9387139679215834E-2</v>
      </c>
      <c r="CS215" s="119"/>
      <c r="CT215" s="177">
        <f t="shared" si="528"/>
        <v>6.8221701913734872E-3</v>
      </c>
      <c r="CU215" s="177">
        <f t="shared" si="536"/>
        <v>6.6159045502614333E-3</v>
      </c>
      <c r="CV215" s="119">
        <f>VLOOKUP($H215,RoR!$E:$F,2,FALSE)</f>
        <v>5.3133333333333324E-2</v>
      </c>
      <c r="CW215" s="177">
        <v>7.7972502758210105E-3</v>
      </c>
      <c r="CX215" s="177">
        <f t="shared" si="534"/>
        <v>4.5336083057512314E-2</v>
      </c>
      <c r="CY215" s="177">
        <f t="shared" si="537"/>
        <v>2.4286037058272193E-2</v>
      </c>
      <c r="CZ215" s="177">
        <f t="shared" si="538"/>
        <v>6.3720160300892073E-2</v>
      </c>
      <c r="DA215" s="187">
        <f t="shared" si="529"/>
        <v>0.85131374874999999</v>
      </c>
      <c r="DB215" s="188">
        <f t="shared" si="530"/>
        <v>0.96515780330083989</v>
      </c>
      <c r="DC215" s="188">
        <f t="shared" si="531"/>
        <v>0.50448557089084056</v>
      </c>
      <c r="DD215" s="188">
        <f t="shared" si="532"/>
        <v>0.87391435735465484</v>
      </c>
      <c r="DE215" s="188">
        <f t="shared" si="533"/>
        <v>0.42551605393279146</v>
      </c>
      <c r="DF215" s="189">
        <f>INDEX('State Tax Lookup'!$D$7:$Z$91,MATCH(Calculation!$C215,'State Tax Lookup'!$B$7:$B$91,0),MATCH($H215,'State Tax Lookup'!$D$6:$Z$6,0))</f>
        <v>0.39649667</v>
      </c>
      <c r="DG215" s="189">
        <v>0.375</v>
      </c>
      <c r="DH215" s="190">
        <f t="shared" si="535"/>
        <v>18.784440410587891</v>
      </c>
      <c r="DI215" s="190">
        <v>18.454665725097211</v>
      </c>
      <c r="DJ215" s="177"/>
      <c r="DK215" s="189">
        <f>VLOOKUP($H215,RoR!$E:$F,2,FALSE)</f>
        <v>5.3133333333333324E-2</v>
      </c>
      <c r="DL215" s="191">
        <f>HLOOKUP($H215,'GDP-PI'!$D$8:$CQ$11,3,FALSE)</f>
        <v>7.7972502758210105E-3</v>
      </c>
      <c r="DM215" s="189">
        <f>VLOOKUP(H215,'HW Dx Data'!$E:$F,2,FALSE)</f>
        <v>550.94063679692806</v>
      </c>
      <c r="DN215" s="183">
        <f>VLOOKUP(H215,'ECI - Input Price'!$G$17:$H$37,2,FALSE)</f>
        <v>109.77499999999999</v>
      </c>
      <c r="DO215" s="177">
        <f t="shared" ref="DO215" si="569">LN(DN215/DN214)</f>
        <v>1.4220423119736749E-2</v>
      </c>
      <c r="DP215" s="183">
        <f>HLOOKUP(H215,'GDP-PI'!$8:$9,2,FALSE)</f>
        <v>94.998999999999995</v>
      </c>
      <c r="DQ215" s="177">
        <f t="shared" ref="DQ215" si="570">LN(DP215/DP214)</f>
        <v>7.7670088183096342E-3</v>
      </c>
    </row>
    <row r="216" spans="1:121" s="167" customFormat="1" ht="21" x14ac:dyDescent="0.35">
      <c r="A216" s="167" t="s">
        <v>39</v>
      </c>
      <c r="B216" s="168" t="s">
        <v>39</v>
      </c>
      <c r="C216" s="168">
        <v>4018679</v>
      </c>
      <c r="D216" s="168" t="s">
        <v>136</v>
      </c>
      <c r="E216" s="168" t="s">
        <v>126</v>
      </c>
      <c r="F216" s="168"/>
      <c r="G216" s="168" t="s">
        <v>16</v>
      </c>
      <c r="H216" s="169">
        <v>2010</v>
      </c>
      <c r="I216" s="170"/>
      <c r="J216" s="166">
        <f>IFERROR(INDEX('Labor Expenditures'!$F$7:$X$91,MATCH($C216,'Labor Expenditures'!$D$7:$D$91,0),MATCH($G216,'Labor Expenditures'!$F$5:$X$5,0)),"NA")</f>
        <v>119787.65350599085</v>
      </c>
      <c r="K216" s="166">
        <f t="shared" si="541"/>
        <v>1070.7276291038288</v>
      </c>
      <c r="L216" s="172">
        <f t="shared" si="548"/>
        <v>3.6979341615688499E-2</v>
      </c>
      <c r="M216" s="172">
        <f t="shared" si="552"/>
        <v>1.788244932559212E-3</v>
      </c>
      <c r="N216" s="196"/>
      <c r="O216" s="172"/>
      <c r="P216" s="166">
        <f>IFERROR(INDEX('Non-Labor Expenditures'!$F$7:$AB$91,MATCH($C216,'Non-Labor Expenditures'!$D$7:$D$91,0),MATCH($G216,'Non-Labor Expenditures'!$F$5:$AB$5,0)),"NA")</f>
        <v>173474.89552419516</v>
      </c>
      <c r="Q216" s="166">
        <f t="shared" si="542"/>
        <v>1804.9807564764503</v>
      </c>
      <c r="R216" s="172">
        <f t="shared" si="553"/>
        <v>4.4312102955776304E-2</v>
      </c>
      <c r="S216" s="172">
        <f t="shared" si="558"/>
        <v>2.142842195116072E-3</v>
      </c>
      <c r="T216" s="172"/>
      <c r="U216" s="172"/>
      <c r="V216" s="166">
        <f t="shared" si="523"/>
        <v>176349.11773504026</v>
      </c>
      <c r="W216" s="170"/>
      <c r="X216" s="174">
        <v>9383.1662092319075</v>
      </c>
      <c r="Y216" s="175">
        <v>2.4040201751170606E-2</v>
      </c>
      <c r="Z216" s="175">
        <f t="shared" si="559"/>
        <v>1.162534731040033E-3</v>
      </c>
      <c r="AA216" s="175"/>
      <c r="AB216" s="175"/>
      <c r="AC216" s="170">
        <f t="shared" si="490"/>
        <v>469611.66676522628</v>
      </c>
      <c r="AD216" s="175">
        <f t="shared" si="554"/>
        <v>5.1412413187593868E-2</v>
      </c>
      <c r="AE216" s="170"/>
      <c r="AF216" s="170"/>
      <c r="AG216" s="121">
        <f t="shared" si="555"/>
        <v>390.14401303761963</v>
      </c>
      <c r="AH216" s="119">
        <f>+AZ216/$BB$48</f>
        <v>3.3567520181197644E-2</v>
      </c>
      <c r="AI216" s="119">
        <f>+AZ216/$BC$48</f>
        <v>0.14323751425160242</v>
      </c>
      <c r="AJ216" s="176">
        <f t="shared" si="560"/>
        <v>13.096167031213733</v>
      </c>
      <c r="AK216" s="176">
        <f t="shared" si="561"/>
        <v>55.883258627653397</v>
      </c>
      <c r="AL216" s="120">
        <f t="shared" si="543"/>
        <v>0.25507810385357499</v>
      </c>
      <c r="AM216" s="120">
        <f t="shared" si="544"/>
        <v>0.36940073639806048</v>
      </c>
      <c r="AN216" s="120">
        <f t="shared" si="545"/>
        <v>0.37552115974836453</v>
      </c>
      <c r="AO216" s="120">
        <f t="shared" si="549"/>
        <v>3.4804840181016303E-2</v>
      </c>
      <c r="AP216" s="173">
        <f t="shared" si="565"/>
        <v>104.55005923175261</v>
      </c>
      <c r="AQ216" s="175">
        <f t="shared" si="566"/>
        <v>3.480484018101631E-2</v>
      </c>
      <c r="AR216" s="177">
        <f>+AC216/$AE$48</f>
        <v>4.8357944041939036E-2</v>
      </c>
      <c r="AS216" s="177">
        <f t="shared" si="562"/>
        <v>1.6830905138622179E-3</v>
      </c>
      <c r="AT216" s="177"/>
      <c r="AU216" s="177"/>
      <c r="AV216" s="177"/>
      <c r="AW216" s="190"/>
      <c r="AX216" s="120"/>
      <c r="AY216" s="120"/>
      <c r="AZ216" s="118">
        <f>IFERROR(INDEX('Total Customers'!$F$7:$AB$91,MATCH($C216,'Total Customers'!$D$7:$D$91,0),MATCH($G216,'Total Customers'!$F$5:$AB$5,0)),"NA")</f>
        <v>1203688</v>
      </c>
      <c r="BA216" s="119">
        <f t="shared" si="524"/>
        <v>4.5780923116656297E-3</v>
      </c>
      <c r="BB216" s="119"/>
      <c r="BC216" s="121">
        <v>8403441</v>
      </c>
      <c r="BD216" s="119"/>
      <c r="BE216" s="119"/>
      <c r="BF216" s="119"/>
      <c r="BG216" s="173"/>
      <c r="BH216" s="173"/>
      <c r="BI216" s="173"/>
      <c r="BJ216" s="173"/>
      <c r="BK216" s="173"/>
      <c r="BL216" s="173"/>
      <c r="BM216" s="173"/>
      <c r="BN216" s="173"/>
      <c r="BO216" s="173"/>
      <c r="BP216" s="173"/>
      <c r="BQ216" s="118"/>
      <c r="BR216" s="118"/>
      <c r="BS216" s="118">
        <f>INDEX('Dist. Plant Gas Additions'!$F$7:$AE$91,MATCH($C216,'Dist. Plant Gas Additions'!$D$7:$D$91,0),MATCH(Calculation!$G216,'Dist. Plant Gas Additions'!$F$5:$AE$5,0))</f>
        <v>155300</v>
      </c>
      <c r="BT216" s="118">
        <f>INDEX('Gen. Plant Additions'!$F$7:$AE$91,MATCH($C216,'Gen. Plant Additions'!$D$7:$D$91,0),MATCH(Calculation!$G216,'Gen. Plant Additions'!$F$5:$AE$5,0))</f>
        <v>8281</v>
      </c>
      <c r="BU216" s="118"/>
      <c r="BV216" s="118"/>
      <c r="BW216" s="118">
        <f>INDEX('Dist Plant Depreciation'!$E$7:$AD$94,MATCH($C216,'Dist Plant Depreciation'!$D$7:$D$94,0),MATCH(Calculation!$G216,'Dist Plant Depreciation'!$E$5:$AD$5,0))</f>
        <v>817471</v>
      </c>
      <c r="BX216" s="118">
        <f>INDEX('Gen. Plant Depreciation'!$E$7:$AD$94,MATCH($C216,'Gen. Plant Depreciation'!$D$7:$D$94,0),MATCH(Calculation!$G216,'Gen. Plant Depreciation'!$E$5:$AD$5,0))</f>
        <v>53274</v>
      </c>
      <c r="BY216" s="118"/>
      <c r="BZ216" s="118"/>
      <c r="CA216" s="118"/>
      <c r="CB216" s="118"/>
      <c r="CC216" s="118"/>
      <c r="CD216" s="118"/>
      <c r="CE216" s="118">
        <f>INDEX('Gross Dx Plant'!$E$7:$AD$91,MATCH($C216,'Gross Dx Plant'!$D$7:$D$91,0),MATCH(Calculation!$G216,'Gross Dx Plant'!$E$5:$AD$5,0))</f>
        <v>2850055</v>
      </c>
      <c r="CF216" s="118">
        <f>INDEX('Gross Gen Plant'!$E$7:$AD$91,MATCH($C216,'Gross Gen Plant'!$D$7:$D$91,0),MATCH(Calculation!$G216,'Gross Gen Plant'!$E$5:$AD$5,0))</f>
        <v>134150</v>
      </c>
      <c r="CG216" s="118">
        <f t="shared" si="426"/>
        <v>2113460</v>
      </c>
      <c r="CH216" s="118"/>
      <c r="CI216" s="121">
        <v>2010</v>
      </c>
      <c r="CJ216" s="118"/>
      <c r="CK216" s="118"/>
      <c r="CL216" s="118"/>
      <c r="CM216" s="183"/>
      <c r="CN216" s="118">
        <f t="shared" si="525"/>
        <v>163581</v>
      </c>
      <c r="CO216" s="118">
        <f t="shared" si="526"/>
        <v>287.49388036856976</v>
      </c>
      <c r="CP216" s="186">
        <v>0.9285714285714286</v>
      </c>
      <c r="CQ216" s="118">
        <f>+CQ204*CP216+CO205*CP215+CO206*CP214+CO207*CP213+CO208*CP212+CO209*CP211+CO210*CP210+CO211*CP209+CO212*CP208+CO213*CP207+CO214*CP206+CO215*CP205+CO216</f>
        <v>9383.1662092319075</v>
      </c>
      <c r="CR216" s="119">
        <f t="shared" si="527"/>
        <v>2.4040201751170606E-2</v>
      </c>
      <c r="CS216" s="119"/>
      <c r="CT216" s="177">
        <f t="shared" si="528"/>
        <v>7.0533288088653603E-3</v>
      </c>
      <c r="CU216" s="177">
        <f t="shared" si="536"/>
        <v>6.8321138821090741E-3</v>
      </c>
      <c r="CV216" s="119">
        <f>VLOOKUP($H216,RoR!$E:$F,2,FALSE)</f>
        <v>4.9433333333333322E-2</v>
      </c>
      <c r="CW216" s="177">
        <v>1.1684333519300205E-2</v>
      </c>
      <c r="CX216" s="177">
        <f t="shared" si="534"/>
        <v>3.7748999814033117E-2</v>
      </c>
      <c r="CY216" s="177">
        <f t="shared" si="537"/>
        <v>2.4069827726424551E-2</v>
      </c>
      <c r="CZ216" s="177">
        <f t="shared" si="538"/>
        <v>4.7937530248493419E-2</v>
      </c>
      <c r="DA216" s="187">
        <f t="shared" si="529"/>
        <v>0.85131374874999999</v>
      </c>
      <c r="DB216" s="188">
        <f t="shared" si="530"/>
        <v>1.037398205301105</v>
      </c>
      <c r="DC216" s="188">
        <f t="shared" si="531"/>
        <v>0.46926837491571133</v>
      </c>
      <c r="DD216" s="188">
        <f t="shared" si="532"/>
        <v>0.8548537519972772</v>
      </c>
      <c r="DE216" s="188">
        <f t="shared" si="533"/>
        <v>0.41615833911547367</v>
      </c>
      <c r="DF216" s="189">
        <f>INDEX('State Tax Lookup'!$D$7:$Z$91,MATCH(Calculation!$C216,'State Tax Lookup'!$B$7:$B$91,0),MATCH($H216,'State Tax Lookup'!$D$6:$Z$6,0))</f>
        <v>0.39649667</v>
      </c>
      <c r="DG216" s="189">
        <v>0.375</v>
      </c>
      <c r="DH216" s="190">
        <f t="shared" si="535"/>
        <v>19.251492697998735</v>
      </c>
      <c r="DI216" s="190">
        <v>18.931254513643438</v>
      </c>
      <c r="DJ216" s="177"/>
      <c r="DK216" s="189">
        <f>VLOOKUP($H216,RoR!$E:$F,2,FALSE)</f>
        <v>4.9433333333333322E-2</v>
      </c>
      <c r="DL216" s="191">
        <f>HLOOKUP($H216,'GDP-PI'!$D$8:$CQ$11,3,FALSE)</f>
        <v>1.1684333519300205E-2</v>
      </c>
      <c r="DM216" s="189">
        <f>VLOOKUP(H216,'HW Dx Data'!$E:$F,2,FALSE)</f>
        <v>568.98950262971744</v>
      </c>
      <c r="DN216" s="183">
        <f>VLOOKUP(H216,'ECI - Input Price'!$G$17:$H$37,2,FALSE)</f>
        <v>111.875</v>
      </c>
      <c r="DO216" s="177">
        <f t="shared" ref="DO216" si="571">LN(DN216/DN215)</f>
        <v>1.8949360147238387E-2</v>
      </c>
      <c r="DP216" s="183">
        <f>HLOOKUP(H216,'GDP-PI'!$8:$9,2,FALSE)</f>
        <v>96.108999999999995</v>
      </c>
      <c r="DQ216" s="177">
        <f t="shared" ref="DQ216" si="572">LN(DP216/DP215)</f>
        <v>1.1616598807150427E-2</v>
      </c>
    </row>
    <row r="217" spans="1:121" s="167" customFormat="1" ht="21" x14ac:dyDescent="0.35">
      <c r="A217" s="167" t="s">
        <v>39</v>
      </c>
      <c r="B217" s="168" t="s">
        <v>39</v>
      </c>
      <c r="C217" s="168">
        <v>4018679</v>
      </c>
      <c r="D217" s="168" t="s">
        <v>136</v>
      </c>
      <c r="E217" s="168" t="s">
        <v>126</v>
      </c>
      <c r="F217" s="168"/>
      <c r="G217" s="168" t="s">
        <v>17</v>
      </c>
      <c r="H217" s="169">
        <v>2011</v>
      </c>
      <c r="I217" s="170"/>
      <c r="J217" s="166">
        <f>IFERROR(INDEX('Labor Expenditures'!$F$7:$X$91,MATCH($C217,'Labor Expenditures'!$D$7:$D$91,0),MATCH($G217,'Labor Expenditures'!$F$5:$X$5,0)),"NA")</f>
        <v>119796.28094493873</v>
      </c>
      <c r="K217" s="166">
        <f t="shared" si="541"/>
        <v>1048.0864474622811</v>
      </c>
      <c r="L217" s="172">
        <f t="shared" si="548"/>
        <v>-2.1372374026501204E-2</v>
      </c>
      <c r="M217" s="172">
        <f t="shared" si="552"/>
        <v>-1.0184969212854668E-3</v>
      </c>
      <c r="N217" s="196"/>
      <c r="O217" s="172"/>
      <c r="P217" s="166">
        <f>IFERROR(INDEX('Non-Labor Expenditures'!$F$7:$AB$91,MATCH($C217,'Non-Labor Expenditures'!$D$7:$D$91,0),MATCH($G217,'Non-Labor Expenditures'!$F$5:$AB$5,0)),"NA")</f>
        <v>173487.38966717507</v>
      </c>
      <c r="Q217" s="166">
        <f t="shared" si="542"/>
        <v>1768.2586194061387</v>
      </c>
      <c r="R217" s="172">
        <f t="shared" si="553"/>
        <v>-2.0554699033604504E-2</v>
      </c>
      <c r="S217" s="172">
        <f t="shared" si="558"/>
        <v>-9.795307558120032E-4</v>
      </c>
      <c r="T217" s="172"/>
      <c r="U217" s="172"/>
      <c r="V217" s="166">
        <f t="shared" si="523"/>
        <v>192740.85791408774</v>
      </c>
      <c r="W217" s="170"/>
      <c r="X217" s="174">
        <v>9582.6783642337323</v>
      </c>
      <c r="Y217" s="175">
        <v>2.1039876618027632E-2</v>
      </c>
      <c r="Z217" s="175">
        <f t="shared" si="559"/>
        <v>1.0026518127146636E-3</v>
      </c>
      <c r="AA217" s="175"/>
      <c r="AB217" s="175"/>
      <c r="AC217" s="170">
        <f t="shared" si="490"/>
        <v>486024.52852620149</v>
      </c>
      <c r="AD217" s="175">
        <f t="shared" si="554"/>
        <v>3.4352980591550307E-2</v>
      </c>
      <c r="AE217" s="170"/>
      <c r="AF217" s="170"/>
      <c r="AG217" s="121">
        <f t="shared" si="555"/>
        <v>401.42865752529366</v>
      </c>
      <c r="AH217" s="119">
        <f>+AZ217/$BB$49</f>
        <v>3.3599957086546506E-2</v>
      </c>
      <c r="AI217" s="119">
        <f>+AZ217/$BC$49</f>
        <v>0.14348895647595161</v>
      </c>
      <c r="AJ217" s="176">
        <f t="shared" si="560"/>
        <v>13.48798566615984</v>
      </c>
      <c r="AK217" s="176">
        <f t="shared" si="561"/>
        <v>57.600579167846547</v>
      </c>
      <c r="AL217" s="120">
        <f t="shared" si="543"/>
        <v>0.24648196523785226</v>
      </c>
      <c r="AM217" s="120">
        <f t="shared" si="544"/>
        <v>0.35695192214526761</v>
      </c>
      <c r="AN217" s="120">
        <f t="shared" si="545"/>
        <v>0.39656611261688024</v>
      </c>
      <c r="AO217" s="120">
        <f t="shared" si="549"/>
        <v>-4.7024343665410667E-3</v>
      </c>
      <c r="AP217" s="173">
        <f t="shared" si="565"/>
        <v>104.05957358232196</v>
      </c>
      <c r="AQ217" s="175">
        <f t="shared" si="566"/>
        <v>-4.7024343665411006E-3</v>
      </c>
      <c r="AR217" s="177">
        <f>+AC217/$AE$49</f>
        <v>4.7654833291919579E-2</v>
      </c>
      <c r="AS217" s="177">
        <f t="shared" si="562"/>
        <v>-2.2409372580370958E-4</v>
      </c>
      <c r="AT217" s="177"/>
      <c r="AU217" s="177"/>
      <c r="AV217" s="177"/>
      <c r="AW217" s="190"/>
      <c r="AX217" s="120"/>
      <c r="AY217" s="120"/>
      <c r="AZ217" s="118">
        <f>IFERROR(INDEX('Total Customers'!$F$7:$AB$91,MATCH($C217,'Total Customers'!$D$7:$D$91,0),MATCH($G217,'Total Customers'!$F$5:$AB$5,0)),"NA")</f>
        <v>1210737</v>
      </c>
      <c r="BA217" s="119">
        <f t="shared" si="524"/>
        <v>5.8390880047462261E-3</v>
      </c>
      <c r="BB217" s="119"/>
      <c r="BC217" s="121">
        <v>8437841</v>
      </c>
      <c r="BD217" s="119"/>
      <c r="BE217" s="119"/>
      <c r="BF217" s="119"/>
      <c r="BG217" s="173"/>
      <c r="BH217" s="173"/>
      <c r="BI217" s="173"/>
      <c r="BJ217" s="173"/>
      <c r="BK217" s="173"/>
      <c r="BL217" s="173"/>
      <c r="BM217" s="173"/>
      <c r="BN217" s="173"/>
      <c r="BO217" s="173"/>
      <c r="BP217" s="173"/>
      <c r="BQ217" s="118"/>
      <c r="BR217" s="118"/>
      <c r="BS217" s="118">
        <f>INDEX('Dist. Plant Gas Additions'!$F$7:$AE$91,MATCH($C217,'Dist. Plant Gas Additions'!$D$7:$D$91,0),MATCH(Calculation!$G217,'Dist. Plant Gas Additions'!$F$5:$AE$5,0))</f>
        <v>161069</v>
      </c>
      <c r="BT217" s="118">
        <f>INDEX('Gen. Plant Additions'!$F$7:$AE$91,MATCH($C217,'Gen. Plant Additions'!$D$7:$D$91,0),MATCH(Calculation!$G217,'Gen. Plant Additions'!$F$5:$AE$5,0))</f>
        <v>2745</v>
      </c>
      <c r="BU217" s="118"/>
      <c r="BV217" s="118"/>
      <c r="BW217" s="118">
        <f>INDEX('Dist Plant Depreciation'!$E$7:$AD$94,MATCH($C217,'Dist Plant Depreciation'!$D$7:$D$94,0),MATCH(Calculation!$G217,'Dist Plant Depreciation'!$E$5:$AD$5,0))</f>
        <v>875514</v>
      </c>
      <c r="BX217" s="118">
        <f>INDEX('Gen. Plant Depreciation'!$E$7:$AD$94,MATCH($C217,'Gen. Plant Depreciation'!$D$7:$D$94,0),MATCH(Calculation!$G217,'Gen. Plant Depreciation'!$E$5:$AD$5,0))</f>
        <v>47058</v>
      </c>
      <c r="BY217" s="118"/>
      <c r="BZ217" s="118"/>
      <c r="CA217" s="118"/>
      <c r="CB217" s="118"/>
      <c r="CC217" s="118"/>
      <c r="CD217" s="118"/>
      <c r="CE217" s="118">
        <f>INDEX('Gross Dx Plant'!$E$7:$AD$91,MATCH($C217,'Gross Dx Plant'!$D$7:$D$91,0),MATCH(Calculation!$G217,'Gross Dx Plant'!$E$5:$AD$5,0))</f>
        <v>3006226</v>
      </c>
      <c r="CF217" s="118">
        <f>INDEX('Gross Gen Plant'!$E$7:$AD$91,MATCH($C217,'Gross Gen Plant'!$D$7:$D$91,0),MATCH(Calculation!$G217,'Gross Gen Plant'!$E$5:$AD$5,0))</f>
        <v>126610</v>
      </c>
      <c r="CG217" s="118">
        <f t="shared" si="426"/>
        <v>2210264</v>
      </c>
      <c r="CH217" s="118"/>
      <c r="CI217" s="121">
        <v>2011</v>
      </c>
      <c r="CJ217" s="118"/>
      <c r="CK217" s="118"/>
      <c r="CL217" s="118"/>
      <c r="CM217" s="183"/>
      <c r="CN217" s="118">
        <f t="shared" si="525"/>
        <v>163814</v>
      </c>
      <c r="CO217" s="118">
        <f t="shared" si="526"/>
        <v>267.84013736582153</v>
      </c>
      <c r="CP217" s="186">
        <v>0.92121212121212126</v>
      </c>
      <c r="CQ217" s="118">
        <f>+CQ204*CP217+CO205*CP216+CO206*CP215+CO207*CP214+CO208*CP213+CO209*CP212+CO210*CP211+CO211*CP210+CO212*CP209+CO213*CP208+CO214*CP207+CO215*CP206+CO216*CP205+CO217</f>
        <v>9582.6783642337323</v>
      </c>
      <c r="CR217" s="119">
        <f t="shared" si="527"/>
        <v>2.1039876618027632E-2</v>
      </c>
      <c r="CS217" s="119"/>
      <c r="CT217" s="177">
        <f t="shared" si="528"/>
        <v>7.2819750647462921E-3</v>
      </c>
      <c r="CU217" s="177">
        <f t="shared" si="536"/>
        <v>7.0524913549950457E-3</v>
      </c>
      <c r="CV217" s="119">
        <f>VLOOKUP($H217,RoR!$E:$F,2,FALSE)</f>
        <v>4.6391666666666664E-2</v>
      </c>
      <c r="CW217" s="177">
        <v>2.0840920205183799E-2</v>
      </c>
      <c r="CX217" s="177">
        <f t="shared" si="534"/>
        <v>2.5550746461482865E-2</v>
      </c>
      <c r="CY217" s="177">
        <f t="shared" si="537"/>
        <v>2.384945025353858E-2</v>
      </c>
      <c r="CZ217" s="177">
        <f t="shared" si="538"/>
        <v>2.4810540821321614E-2</v>
      </c>
      <c r="DA217" s="187">
        <f t="shared" si="529"/>
        <v>0.85131374874999999</v>
      </c>
      <c r="DB217" s="188">
        <f t="shared" si="530"/>
        <v>1.1054151524782025</v>
      </c>
      <c r="DC217" s="188">
        <f t="shared" si="531"/>
        <v>0.43611011316687626</v>
      </c>
      <c r="DD217" s="188">
        <f t="shared" si="532"/>
        <v>0.83698442246886229</v>
      </c>
      <c r="DE217" s="188">
        <f t="shared" si="533"/>
        <v>0.40349573304423936</v>
      </c>
      <c r="DF217" s="189">
        <f>INDEX('State Tax Lookup'!$D$7:$Z$91,MATCH(Calculation!$C217,'State Tax Lookup'!$B$7:$B$91,0),MATCH($H217,'State Tax Lookup'!$D$6:$Z$6,0))</f>
        <v>0.39649667</v>
      </c>
      <c r="DG217" s="189">
        <v>0.375</v>
      </c>
      <c r="DH217" s="190">
        <f t="shared" si="535"/>
        <v>20.541132237906425</v>
      </c>
      <c r="DI217" s="190">
        <v>20.196674306365523</v>
      </c>
      <c r="DJ217" s="177"/>
      <c r="DK217" s="189">
        <f>VLOOKUP($H217,RoR!$E:$F,2,FALSE)</f>
        <v>4.6391666666666664E-2</v>
      </c>
      <c r="DL217" s="191">
        <f>HLOOKUP($H217,'GDP-PI'!$D$8:$CQ$11,3,FALSE)</f>
        <v>2.0840920205183799E-2</v>
      </c>
      <c r="DM217" s="189">
        <f>VLOOKUP(H217,'HW Dx Data'!$E:$F,2,FALSE)</f>
        <v>611.61109612283201</v>
      </c>
      <c r="DN217" s="183">
        <f>VLOOKUP(H217,'ECI - Input Price'!$G$17:$H$37,2,FALSE)</f>
        <v>114.3</v>
      </c>
      <c r="DO217" s="177">
        <f t="shared" ref="DO217" si="573">LN(DN217/DN216)</f>
        <v>2.1444394205745516E-2</v>
      </c>
      <c r="DP217" s="183">
        <f>HLOOKUP(H217,'GDP-PI'!$8:$9,2,FALSE)</f>
        <v>98.111999999999995</v>
      </c>
      <c r="DQ217" s="177">
        <f t="shared" ref="DQ217" si="574">LN(DP217/DP216)</f>
        <v>2.0626719212849295E-2</v>
      </c>
    </row>
    <row r="218" spans="1:121" s="167" customFormat="1" ht="21" x14ac:dyDescent="0.35">
      <c r="A218" s="167" t="s">
        <v>39</v>
      </c>
      <c r="B218" s="168" t="s">
        <v>39</v>
      </c>
      <c r="C218" s="168">
        <v>4018679</v>
      </c>
      <c r="D218" s="168" t="s">
        <v>136</v>
      </c>
      <c r="E218" s="168" t="s">
        <v>126</v>
      </c>
      <c r="F218" s="168"/>
      <c r="G218" s="168" t="s">
        <v>18</v>
      </c>
      <c r="H218" s="169">
        <v>2012</v>
      </c>
      <c r="I218" s="170"/>
      <c r="J218" s="166">
        <f>IFERROR(INDEX('Labor Expenditures'!$F$7:$X$91,MATCH($C218,'Labor Expenditures'!$D$7:$D$91,0),MATCH($G218,'Labor Expenditures'!$F$5:$X$5,0)),"NA")</f>
        <v>121442.44215790022</v>
      </c>
      <c r="K218" s="166">
        <f t="shared" si="541"/>
        <v>1042.4243962051521</v>
      </c>
      <c r="L218" s="172">
        <f t="shared" si="548"/>
        <v>-5.4169200981813454E-3</v>
      </c>
      <c r="M218" s="172">
        <f t="shared" si="552"/>
        <v>-2.58485236710546E-4</v>
      </c>
      <c r="N218" s="196"/>
      <c r="O218" s="172"/>
      <c r="P218" s="166">
        <f>IFERROR(INDEX('Non-Labor Expenditures'!$F$7:$AB$91,MATCH($C218,'Non-Labor Expenditures'!$D$7:$D$91,0),MATCH($G218,'Non-Labor Expenditures'!$F$5:$AB$5,0)),"NA")</f>
        <v>175871.33856404692</v>
      </c>
      <c r="Q218" s="166">
        <f t="shared" si="542"/>
        <v>1758.7133856404691</v>
      </c>
      <c r="R218" s="172">
        <f t="shared" si="553"/>
        <v>-5.4127206319337026E-3</v>
      </c>
      <c r="S218" s="172">
        <f t="shared" si="558"/>
        <v>-2.5828484608129444E-4</v>
      </c>
      <c r="T218" s="172"/>
      <c r="U218" s="172"/>
      <c r="V218" s="166">
        <f t="shared" si="523"/>
        <v>212622.40293259232</v>
      </c>
      <c r="W218" s="170"/>
      <c r="X218" s="174">
        <v>9684.9087661546873</v>
      </c>
      <c r="Y218" s="175">
        <v>1.061174505837975E-2</v>
      </c>
      <c r="Z218" s="175">
        <f t="shared" si="559"/>
        <v>5.0637251124456735E-4</v>
      </c>
      <c r="AA218" s="175"/>
      <c r="AB218" s="175"/>
      <c r="AC218" s="170">
        <f t="shared" si="490"/>
        <v>509936.18365453946</v>
      </c>
      <c r="AD218" s="175">
        <f t="shared" si="554"/>
        <v>4.8026494954373639E-2</v>
      </c>
      <c r="AE218" s="170"/>
      <c r="AF218" s="170"/>
      <c r="AG218" s="121">
        <f t="shared" si="555"/>
        <v>420.09991692064426</v>
      </c>
      <c r="AH218" s="119">
        <f>+AZ218/$BB$50</f>
        <v>3.3524106571672485E-2</v>
      </c>
      <c r="AI218" s="119">
        <f>+AZ218/$BC$50</f>
        <v>0.14305653505356231</v>
      </c>
      <c r="AJ218" s="176">
        <f t="shared" si="560"/>
        <v>14.083474385598436</v>
      </c>
      <c r="AK218" s="176">
        <f t="shared" si="561"/>
        <v>60.09803849095676</v>
      </c>
      <c r="AL218" s="120">
        <f t="shared" si="543"/>
        <v>0.23815223561419682</v>
      </c>
      <c r="AM218" s="120">
        <f t="shared" si="544"/>
        <v>0.34488891787132414</v>
      </c>
      <c r="AN218" s="120">
        <f t="shared" si="545"/>
        <v>0.41695884651447906</v>
      </c>
      <c r="AO218" s="120">
        <f t="shared" si="549"/>
        <v>1.104413163488892E-3</v>
      </c>
      <c r="AP218" s="173">
        <f t="shared" si="565"/>
        <v>104.17456183075305</v>
      </c>
      <c r="AQ218" s="175">
        <f t="shared" si="566"/>
        <v>1.1044131634888076E-3</v>
      </c>
      <c r="AR218" s="177">
        <f>+AC218/$AE$50</f>
        <v>4.7718118788078259E-2</v>
      </c>
      <c r="AS218" s="177">
        <f t="shared" si="562"/>
        <v>5.2700518526476219E-5</v>
      </c>
      <c r="AT218" s="177"/>
      <c r="AU218" s="177"/>
      <c r="AV218" s="177"/>
      <c r="AW218" s="190"/>
      <c r="AX218" s="120"/>
      <c r="AY218" s="120"/>
      <c r="AZ218" s="118">
        <f>IFERROR(INDEX('Total Customers'!$F$7:$AB$91,MATCH($C218,'Total Customers'!$D$7:$D$91,0),MATCH($G218,'Total Customers'!$F$5:$AB$5,0)),"NA")</f>
        <v>1213845</v>
      </c>
      <c r="BA218" s="119">
        <f t="shared" si="524"/>
        <v>2.5637422882365214E-3</v>
      </c>
      <c r="BB218" s="119"/>
      <c r="BC218" s="121">
        <v>8485072</v>
      </c>
      <c r="BD218" s="119"/>
      <c r="BE218" s="119"/>
      <c r="BF218" s="119"/>
      <c r="BG218" s="173"/>
      <c r="BH218" s="173"/>
      <c r="BI218" s="173"/>
      <c r="BJ218" s="173"/>
      <c r="BK218" s="173"/>
      <c r="BL218" s="173"/>
      <c r="BM218" s="173"/>
      <c r="BN218" s="173"/>
      <c r="BO218" s="173"/>
      <c r="BP218" s="173"/>
      <c r="BQ218" s="118"/>
      <c r="BR218" s="118"/>
      <c r="BS218" s="118">
        <f>INDEX('Dist. Plant Gas Additions'!$F$7:$AE$91,MATCH($C218,'Dist. Plant Gas Additions'!$D$7:$D$91,0),MATCH(Calculation!$G218,'Dist. Plant Gas Additions'!$F$5:$AE$5,0))</f>
        <v>114225</v>
      </c>
      <c r="BT218" s="118">
        <f>INDEX('Gen. Plant Additions'!$F$7:$AE$91,MATCH($C218,'Gen. Plant Additions'!$D$7:$D$91,0),MATCH(Calculation!$G218,'Gen. Plant Additions'!$F$5:$AE$5,0))</f>
        <v>2398</v>
      </c>
      <c r="BU218" s="118"/>
      <c r="BV218" s="118"/>
      <c r="BW218" s="118">
        <f>INDEX('Dist Plant Depreciation'!$E$7:$AD$94,MATCH($C218,'Dist Plant Depreciation'!$D$7:$D$94,0),MATCH(Calculation!$G218,'Dist Plant Depreciation'!$E$5:$AD$5,0))</f>
        <v>880338</v>
      </c>
      <c r="BX218" s="118">
        <f>INDEX('Gen. Plant Depreciation'!$E$7:$AD$94,MATCH($C218,'Gen. Plant Depreciation'!$D$7:$D$94,0),MATCH(Calculation!$G218,'Gen. Plant Depreciation'!$E$5:$AD$5,0))</f>
        <v>45770</v>
      </c>
      <c r="BY218" s="118"/>
      <c r="BZ218" s="118"/>
      <c r="CA218" s="118"/>
      <c r="CB218" s="118"/>
      <c r="CC218" s="118"/>
      <c r="CD218" s="118"/>
      <c r="CE218" s="118">
        <f>INDEX('Gross Dx Plant'!$E$7:$AD$91,MATCH($C218,'Gross Dx Plant'!$D$7:$D$91,0),MATCH(Calculation!$G218,'Gross Dx Plant'!$E$5:$AD$5,0))</f>
        <v>3112462</v>
      </c>
      <c r="CF218" s="118">
        <f>INDEX('Gross Gen Plant'!$E$7:$AD$91,MATCH($C218,'Gross Gen Plant'!$D$7:$D$91,0),MATCH(Calculation!$G218,'Gross Gen Plant'!$E$5:$AD$5,0))</f>
        <v>124006</v>
      </c>
      <c r="CG218" s="118">
        <f t="shared" si="426"/>
        <v>2310360</v>
      </c>
      <c r="CH218" s="118"/>
      <c r="CI218" s="121">
        <v>2012</v>
      </c>
      <c r="CJ218" s="118"/>
      <c r="CK218" s="118"/>
      <c r="CL218" s="118"/>
      <c r="CM218" s="183"/>
      <c r="CN218" s="118">
        <f t="shared" si="525"/>
        <v>116623</v>
      </c>
      <c r="CO218" s="118">
        <f t="shared" si="526"/>
        <v>174.34538986207508</v>
      </c>
      <c r="CP218" s="186">
        <v>0.9135802469135802</v>
      </c>
      <c r="CQ218" s="118">
        <f>+CQ204*CP218+CO205*CP217+CO206*CP216+CO207*CP215+CO208*CP214+CO209*CP213+CO210*CP212+CO211*CP211+CO212*CP210+CO213*CP209+CO214*CP208+CO215*CP207+CO216*CP206+CO217*CP205+CO218</f>
        <v>9684.9087661546873</v>
      </c>
      <c r="CR218" s="119">
        <f t="shared" si="527"/>
        <v>1.061174505837975E-2</v>
      </c>
      <c r="CS218" s="119"/>
      <c r="CT218" s="177">
        <f t="shared" si="528"/>
        <v>7.5255565511079979E-3</v>
      </c>
      <c r="CU218" s="177">
        <f t="shared" si="536"/>
        <v>7.2869534749065504E-3</v>
      </c>
      <c r="CV218" s="119">
        <f>VLOOKUP($H218,RoR!$E:$F,2,FALSE)</f>
        <v>3.6733333333333333E-2</v>
      </c>
      <c r="CW218" s="177">
        <v>1.924331376386168E-2</v>
      </c>
      <c r="CX218" s="177">
        <f t="shared" si="534"/>
        <v>1.7490019569471653E-2</v>
      </c>
      <c r="CY218" s="177">
        <f t="shared" si="537"/>
        <v>2.3614988133627075E-2</v>
      </c>
      <c r="CZ218" s="177">
        <f t="shared" si="538"/>
        <v>6.7122682943869583E-2</v>
      </c>
      <c r="DA218" s="187">
        <f t="shared" si="529"/>
        <v>0.85131374874999999</v>
      </c>
      <c r="DB218" s="188">
        <f t="shared" si="530"/>
        <v>1.3960631020522127</v>
      </c>
      <c r="DC218" s="188">
        <f t="shared" si="531"/>
        <v>0.29441923774954631</v>
      </c>
      <c r="DD218" s="188">
        <f t="shared" si="532"/>
        <v>0.76377954189366437</v>
      </c>
      <c r="DE218" s="188">
        <f t="shared" si="533"/>
        <v>0.31393465103033691</v>
      </c>
      <c r="DF218" s="189">
        <f>INDEX('State Tax Lookup'!$D$7:$Z$91,MATCH(Calculation!$C218,'State Tax Lookup'!$B$7:$B$91,0),MATCH($H218,'State Tax Lookup'!$D$6:$Z$6,0))</f>
        <v>0.39649667</v>
      </c>
      <c r="DG218" s="189">
        <v>0.375</v>
      </c>
      <c r="DH218" s="190">
        <f t="shared" si="535"/>
        <v>22.188201967226771</v>
      </c>
      <c r="DI218" s="190">
        <v>21.854171449127389</v>
      </c>
      <c r="DJ218" s="177"/>
      <c r="DK218" s="189">
        <f>VLOOKUP($H218,RoR!$E:$F,2,FALSE)</f>
        <v>3.6733333333333333E-2</v>
      </c>
      <c r="DL218" s="191">
        <f>HLOOKUP($H218,'GDP-PI'!$D$8:$CQ$11,3,FALSE)</f>
        <v>1.924331376386168E-2</v>
      </c>
      <c r="DM218" s="189">
        <f>VLOOKUP(H218,'HW Dx Data'!$E:$F,2,FALSE)</f>
        <v>668.91932211262167</v>
      </c>
      <c r="DN218" s="183">
        <f>VLOOKUP(H218,'ECI - Input Price'!$G$17:$H$37,2,FALSE)</f>
        <v>116.5</v>
      </c>
      <c r="DO218" s="177">
        <f t="shared" ref="DO218" si="575">LN(DN218/DN217)</f>
        <v>1.9064702204990347E-2</v>
      </c>
      <c r="DP218" s="183">
        <f>HLOOKUP(H218,'GDP-PI'!$8:$9,2,FALSE)</f>
        <v>100</v>
      </c>
      <c r="DQ218" s="177">
        <f t="shared" ref="DQ218" si="576">LN(DP218/DP217)</f>
        <v>1.9060502738742411E-2</v>
      </c>
    </row>
    <row r="219" spans="1:121" s="167" customFormat="1" ht="21" x14ac:dyDescent="0.35">
      <c r="A219" s="167" t="s">
        <v>39</v>
      </c>
      <c r="B219" s="168" t="s">
        <v>39</v>
      </c>
      <c r="C219" s="168">
        <v>4018679</v>
      </c>
      <c r="D219" s="168" t="s">
        <v>136</v>
      </c>
      <c r="E219" s="168" t="s">
        <v>126</v>
      </c>
      <c r="F219" s="168"/>
      <c r="G219" s="168" t="s">
        <v>19</v>
      </c>
      <c r="H219" s="169">
        <v>2013</v>
      </c>
      <c r="I219" s="170"/>
      <c r="J219" s="166">
        <f>IFERROR(INDEX('Labor Expenditures'!$F$7:$X$91,MATCH($C219,'Labor Expenditures'!$D$7:$D$91,0),MATCH($G219,'Labor Expenditures'!$F$5:$X$5,0)),"NA")</f>
        <v>124359.05136076805</v>
      </c>
      <c r="K219" s="166">
        <f t="shared" si="541"/>
        <v>1047.454633487202</v>
      </c>
      <c r="L219" s="172">
        <f t="shared" si="548"/>
        <v>4.8139121209406178E-3</v>
      </c>
      <c r="M219" s="172">
        <f t="shared" si="552"/>
        <v>2.2383807141436451E-4</v>
      </c>
      <c r="N219" s="196"/>
      <c r="O219" s="172"/>
      <c r="P219" s="166">
        <f>IFERROR(INDEX('Non-Labor Expenditures'!$F$7:$AB$91,MATCH($C219,'Non-Labor Expenditures'!$D$7:$D$91,0),MATCH($G219,'Non-Labor Expenditures'!$F$5:$AB$5,0)),"NA")</f>
        <v>180095.13343725645</v>
      </c>
      <c r="Q219" s="166">
        <f t="shared" si="542"/>
        <v>1769.5767387937512</v>
      </c>
      <c r="R219" s="172">
        <f t="shared" si="553"/>
        <v>6.157876533860491E-3</v>
      </c>
      <c r="S219" s="172">
        <f t="shared" si="558"/>
        <v>2.8632994801695236E-4</v>
      </c>
      <c r="T219" s="172"/>
      <c r="U219" s="172"/>
      <c r="V219" s="166">
        <f t="shared" si="523"/>
        <v>210971.88193089416</v>
      </c>
      <c r="W219" s="170"/>
      <c r="X219" s="174">
        <v>9760.3846395396249</v>
      </c>
      <c r="Y219" s="175">
        <v>7.7629327410185193E-3</v>
      </c>
      <c r="Z219" s="175">
        <f t="shared" si="559"/>
        <v>3.6096211347736118E-4</v>
      </c>
      <c r="AA219" s="175"/>
      <c r="AB219" s="175"/>
      <c r="AC219" s="170">
        <f t="shared" si="490"/>
        <v>515426.06672891864</v>
      </c>
      <c r="AD219" s="175">
        <f t="shared" si="554"/>
        <v>1.070828486503755E-2</v>
      </c>
      <c r="AE219" s="170"/>
      <c r="AF219" s="170"/>
      <c r="AG219" s="121">
        <f t="shared" si="555"/>
        <v>423.79728050764186</v>
      </c>
      <c r="AH219" s="119">
        <f>+AZ219/$BB$51</f>
        <v>3.3374648190483094E-2</v>
      </c>
      <c r="AI219" s="119">
        <f>+AZ219/$BC$51</f>
        <v>0.14249797977040443</v>
      </c>
      <c r="AJ219" s="176">
        <f t="shared" si="560"/>
        <v>14.144085141026025</v>
      </c>
      <c r="AK219" s="176">
        <f t="shared" si="561"/>
        <v>60.390256304530361</v>
      </c>
      <c r="AL219" s="120">
        <f t="shared" si="543"/>
        <v>0.24127427654172759</v>
      </c>
      <c r="AM219" s="120">
        <f t="shared" si="544"/>
        <v>0.34941021625119911</v>
      </c>
      <c r="AN219" s="120">
        <f t="shared" si="545"/>
        <v>0.40931550720707333</v>
      </c>
      <c r="AO219" s="120">
        <f t="shared" si="549"/>
        <v>6.4988188385146951E-3</v>
      </c>
      <c r="AP219" s="173">
        <f t="shared" si="565"/>
        <v>104.85377809686905</v>
      </c>
      <c r="AQ219" s="175">
        <f t="shared" si="566"/>
        <v>6.4988188385147801E-3</v>
      </c>
      <c r="AR219" s="177">
        <f>+AC219/$AE$51</f>
        <v>4.6498163196761373E-2</v>
      </c>
      <c r="AS219" s="177">
        <f t="shared" si="562"/>
        <v>3.0218313893944743E-4</v>
      </c>
      <c r="AT219" s="177"/>
      <c r="AU219" s="177"/>
      <c r="AV219" s="177"/>
      <c r="AW219" s="190"/>
      <c r="AX219" s="120"/>
      <c r="AY219" s="120"/>
      <c r="AZ219" s="118">
        <f>IFERROR(INDEX('Total Customers'!$F$7:$AB$91,MATCH($C219,'Total Customers'!$D$7:$D$91,0),MATCH($G219,'Total Customers'!$F$5:$AB$5,0)),"NA")</f>
        <v>1216209</v>
      </c>
      <c r="BA219" s="119">
        <f t="shared" si="524"/>
        <v>1.9456363897622795E-3</v>
      </c>
      <c r="BB219" s="119"/>
      <c r="BC219" s="121">
        <v>8534921</v>
      </c>
      <c r="BD219" s="119"/>
      <c r="BE219" s="119"/>
      <c r="BF219" s="119"/>
      <c r="BG219" s="173"/>
      <c r="BH219" s="173"/>
      <c r="BI219" s="173"/>
      <c r="BJ219" s="173"/>
      <c r="BK219" s="173"/>
      <c r="BL219" s="173"/>
      <c r="BM219" s="173"/>
      <c r="BN219" s="173"/>
      <c r="BO219" s="173"/>
      <c r="BP219" s="173"/>
      <c r="BQ219" s="118"/>
      <c r="BR219" s="118"/>
      <c r="BS219" s="118">
        <f>INDEX('Dist. Plant Gas Additions'!$F$7:$AE$91,MATCH($C219,'Dist. Plant Gas Additions'!$D$7:$D$91,0),MATCH(Calculation!$G219,'Dist. Plant Gas Additions'!$F$5:$AE$5,0))</f>
        <v>94476</v>
      </c>
      <c r="BT219" s="118">
        <f>INDEX('Gen. Plant Additions'!$F$7:$AE$91,MATCH($C219,'Gen. Plant Additions'!$D$7:$D$91,0),MATCH(Calculation!$G219,'Gen. Plant Additions'!$F$5:$AE$5,0))</f>
        <v>5733</v>
      </c>
      <c r="BU219" s="118"/>
      <c r="BV219" s="118"/>
      <c r="BW219" s="118">
        <f>INDEX('Dist Plant Depreciation'!$E$7:$AD$94,MATCH($C219,'Dist Plant Depreciation'!$D$7:$D$94,0),MATCH(Calculation!$G219,'Dist Plant Depreciation'!$E$5:$AD$5,0))</f>
        <v>948172</v>
      </c>
      <c r="BX219" s="118">
        <f>INDEX('Gen. Plant Depreciation'!$E$7:$AD$94,MATCH($C219,'Gen. Plant Depreciation'!$D$7:$D$94,0),MATCH(Calculation!$G219,'Gen. Plant Depreciation'!$E$5:$AD$5,0))</f>
        <v>49471</v>
      </c>
      <c r="BY219" s="118"/>
      <c r="BZ219" s="118"/>
      <c r="CA219" s="118"/>
      <c r="CB219" s="118"/>
      <c r="CC219" s="118"/>
      <c r="CD219" s="118"/>
      <c r="CE219" s="118">
        <f>INDEX('Gross Dx Plant'!$E$7:$AD$91,MATCH($C219,'Gross Dx Plant'!$D$7:$D$91,0),MATCH(Calculation!$G219,'Gross Dx Plant'!$E$5:$AD$5,0))</f>
        <v>3196294</v>
      </c>
      <c r="CF219" s="118">
        <f>INDEX('Gross Gen Plant'!$E$7:$AD$91,MATCH($C219,'Gross Gen Plant'!$D$7:$D$91,0),MATCH(Calculation!$G219,'Gross Gen Plant'!$E$5:$AD$5,0))</f>
        <v>129731</v>
      </c>
      <c r="CG219" s="118">
        <f t="shared" si="426"/>
        <v>2328382</v>
      </c>
      <c r="CH219" s="118"/>
      <c r="CI219" s="121">
        <v>2013</v>
      </c>
      <c r="CJ219" s="118"/>
      <c r="CK219" s="118"/>
      <c r="CL219" s="118"/>
      <c r="CM219" s="183"/>
      <c r="CN219" s="118">
        <f t="shared" si="525"/>
        <v>100209</v>
      </c>
      <c r="CO219" s="118">
        <f t="shared" si="526"/>
        <v>151.08818833305244</v>
      </c>
      <c r="CP219" s="186">
        <v>0.90566037735849059</v>
      </c>
      <c r="CQ219" s="118">
        <f>+CQ204*CP219+CO205*CP218+CO206*CP217+CO207*CP216+CO208*CP215+CO209*CP214+CO210*CP213+CO211*CP212+CO212*CP211+CO213*CP210+CO214*CP209+CO215*CP208+CO216*CP207+CO217*CP206+CO218*CP205+CO219</f>
        <v>9760.3846395396249</v>
      </c>
      <c r="CR219" s="119">
        <f t="shared" si="527"/>
        <v>7.7629327410185193E-3</v>
      </c>
      <c r="CS219" s="119"/>
      <c r="CT219" s="177">
        <f t="shared" si="528"/>
        <v>7.8072304834045534E-3</v>
      </c>
      <c r="CU219" s="177">
        <f t="shared" si="536"/>
        <v>7.5382540330862814E-3</v>
      </c>
      <c r="CV219" s="119">
        <f>VLOOKUP($H219,RoR!$E:$F,2,FALSE)</f>
        <v>4.2350000000000006E-2</v>
      </c>
      <c r="CW219" s="177">
        <v>1.7730000000000024E-2</v>
      </c>
      <c r="CX219" s="177">
        <f t="shared" si="534"/>
        <v>2.4619999999999982E-2</v>
      </c>
      <c r="CY219" s="177">
        <f t="shared" si="537"/>
        <v>2.3363687575447344E-2</v>
      </c>
      <c r="CZ219" s="177">
        <f t="shared" si="538"/>
        <v>5.3376742735721204E-2</v>
      </c>
      <c r="DA219" s="187">
        <f t="shared" si="529"/>
        <v>0.85131374874999999</v>
      </c>
      <c r="DB219" s="188">
        <f t="shared" si="530"/>
        <v>1.2109103018193925</v>
      </c>
      <c r="DC219" s="188">
        <f t="shared" si="531"/>
        <v>0.38468122786304604</v>
      </c>
      <c r="DD219" s="188">
        <f t="shared" si="532"/>
        <v>0.80969194503422559</v>
      </c>
      <c r="DE219" s="188">
        <f t="shared" si="533"/>
        <v>0.37716621754800816</v>
      </c>
      <c r="DF219" s="189">
        <f>INDEX('State Tax Lookup'!$D$7:$Z$91,MATCH(Calculation!$C219,'State Tax Lookup'!$B$7:$B$91,0),MATCH($H219,'State Tax Lookup'!$D$6:$Z$6,0))</f>
        <v>0.39649667</v>
      </c>
      <c r="DG219" s="189">
        <v>0.375</v>
      </c>
      <c r="DH219" s="190">
        <f t="shared" si="535"/>
        <v>21.783569368063215</v>
      </c>
      <c r="DI219" s="190">
        <v>21.422158479367646</v>
      </c>
      <c r="DJ219" s="177"/>
      <c r="DK219" s="189">
        <f>VLOOKUP($H219,RoR!$E:$F,2,FALSE)</f>
        <v>4.2350000000000006E-2</v>
      </c>
      <c r="DL219" s="191">
        <f>HLOOKUP($H219,'GDP-PI'!$D$8:$CQ$11,3,FALSE)</f>
        <v>1.7730000000000024E-2</v>
      </c>
      <c r="DM219" s="189">
        <f>VLOOKUP(H219,'HW Dx Data'!$E:$F,2,FALSE)</f>
        <v>663.24840548821396</v>
      </c>
      <c r="DN219" s="183">
        <f>VLOOKUP(H219,'ECI - Input Price'!$G$17:$H$37,2,FALSE)</f>
        <v>118.72499999999999</v>
      </c>
      <c r="DO219" s="177">
        <f t="shared" ref="DO219" si="577">LN(DN219/DN218)</f>
        <v>1.8918621429430321E-2</v>
      </c>
      <c r="DP219" s="183">
        <f>HLOOKUP(H219,'GDP-PI'!$8:$9,2,FALSE)</f>
        <v>101.773</v>
      </c>
      <c r="DQ219" s="177">
        <f t="shared" ref="DQ219" si="578">LN(DP219/DP218)</f>
        <v>1.7574657016510519E-2</v>
      </c>
    </row>
    <row r="220" spans="1:121" s="167" customFormat="1" ht="21" x14ac:dyDescent="0.35">
      <c r="A220" s="167" t="s">
        <v>39</v>
      </c>
      <c r="B220" s="168" t="s">
        <v>39</v>
      </c>
      <c r="C220" s="168">
        <v>4018679</v>
      </c>
      <c r="D220" s="168" t="s">
        <v>136</v>
      </c>
      <c r="E220" s="168" t="s">
        <v>126</v>
      </c>
      <c r="F220" s="168"/>
      <c r="G220" s="168" t="s">
        <v>20</v>
      </c>
      <c r="H220" s="169">
        <v>2014</v>
      </c>
      <c r="I220" s="170"/>
      <c r="J220" s="166">
        <f>IFERROR(INDEX('Labor Expenditures'!$F$7:$X$91,MATCH($C220,'Labor Expenditures'!$D$7:$D$91,0),MATCH($G220,'Labor Expenditures'!$F$5:$X$5,0)),"NA")</f>
        <v>143030.64439020155</v>
      </c>
      <c r="K220" s="166">
        <f t="shared" si="541"/>
        <v>1180.120828301993</v>
      </c>
      <c r="L220" s="172">
        <f t="shared" si="548"/>
        <v>0.11925376754528144</v>
      </c>
      <c r="M220" s="172">
        <f t="shared" si="552"/>
        <v>5.9439316273338424E-3</v>
      </c>
      <c r="N220" s="196"/>
      <c r="O220" s="172"/>
      <c r="P220" s="166">
        <f>IFERROR(INDEX('Non-Labor Expenditures'!$F$7:$AB$91,MATCH($C220,'Non-Labor Expenditures'!$D$7:$D$91,0),MATCH($G220,'Non-Labor Expenditures'!$F$5:$AB$5,0)),"NA")</f>
        <v>207135.0875164076</v>
      </c>
      <c r="Q220" s="166">
        <f t="shared" si="542"/>
        <v>1998.4667912858799</v>
      </c>
      <c r="R220" s="172">
        <f t="shared" si="553"/>
        <v>0.12163989484705377</v>
      </c>
      <c r="S220" s="172">
        <f t="shared" si="558"/>
        <v>6.0628626919684578E-3</v>
      </c>
      <c r="T220" s="172"/>
      <c r="U220" s="172"/>
      <c r="V220" s="166">
        <f t="shared" si="523"/>
        <v>217034.67323799845</v>
      </c>
      <c r="W220" s="170"/>
      <c r="X220" s="174">
        <v>10146.981213909592</v>
      </c>
      <c r="Y220" s="175">
        <v>3.8844434464324645E-2</v>
      </c>
      <c r="Z220" s="175">
        <f t="shared" si="559"/>
        <v>1.9361121020409356E-3</v>
      </c>
      <c r="AA220" s="175"/>
      <c r="AB220" s="175"/>
      <c r="AC220" s="170">
        <f t="shared" si="490"/>
        <v>567200.40514460765</v>
      </c>
      <c r="AD220" s="175">
        <f t="shared" si="554"/>
        <v>9.5718816841615179E-2</v>
      </c>
      <c r="AE220" s="170"/>
      <c r="AF220" s="170"/>
      <c r="AG220" s="121">
        <f t="shared" si="555"/>
        <v>465.31922594350351</v>
      </c>
      <c r="AH220" s="119">
        <f>+AZ220/$BB$52</f>
        <v>3.3270276659163336E-2</v>
      </c>
      <c r="AI220" s="119">
        <f>+AZ220/$BC$52</f>
        <v>0.14174231030329473</v>
      </c>
      <c r="AJ220" s="176">
        <f t="shared" si="560"/>
        <v>15.481299381968096</v>
      </c>
      <c r="AK220" s="176">
        <f t="shared" si="561"/>
        <v>65.955422113772983</v>
      </c>
      <c r="AL220" s="120">
        <f t="shared" si="543"/>
        <v>0.25216950321771353</v>
      </c>
      <c r="AM220" s="120">
        <f t="shared" si="544"/>
        <v>0.36518853942567009</v>
      </c>
      <c r="AN220" s="120">
        <f t="shared" si="545"/>
        <v>0.38264195735661627</v>
      </c>
      <c r="AO220" s="120">
        <f t="shared" si="549"/>
        <v>8.8265943568622107E-2</v>
      </c>
      <c r="AP220" s="173">
        <f t="shared" si="565"/>
        <v>114.52953457495099</v>
      </c>
      <c r="AQ220" s="175">
        <f t="shared" si="566"/>
        <v>8.8265943568622024E-2</v>
      </c>
      <c r="AR220" s="177">
        <f>+AC220/$AE$52</f>
        <v>4.9842715661598633E-2</v>
      </c>
      <c r="AS220" s="177">
        <f t="shared" si="562"/>
        <v>4.3994143278935378E-3</v>
      </c>
      <c r="AT220" s="177"/>
      <c r="AU220" s="177"/>
      <c r="AV220" s="177"/>
      <c r="AW220" s="190"/>
      <c r="AX220" s="120"/>
      <c r="AY220" s="120"/>
      <c r="AZ220" s="118">
        <f>IFERROR(INDEX('Total Customers'!$F$7:$AB$91,MATCH($C220,'Total Customers'!$D$7:$D$91,0),MATCH($G220,'Total Customers'!$F$5:$AB$5,0)),"NA")</f>
        <v>1218949</v>
      </c>
      <c r="BA220" s="119">
        <f t="shared" si="524"/>
        <v>2.2503682769789354E-3</v>
      </c>
      <c r="BB220" s="119"/>
      <c r="BC220" s="121">
        <v>8599754</v>
      </c>
      <c r="BD220" s="119"/>
      <c r="BE220" s="119"/>
      <c r="BF220" s="119"/>
      <c r="BG220" s="173"/>
      <c r="BH220" s="173"/>
      <c r="BI220" s="173"/>
      <c r="BJ220" s="173"/>
      <c r="BK220" s="173"/>
      <c r="BL220" s="173"/>
      <c r="BM220" s="173"/>
      <c r="BN220" s="173"/>
      <c r="BO220" s="173"/>
      <c r="BP220" s="173"/>
      <c r="BQ220" s="118"/>
      <c r="BR220" s="118"/>
      <c r="BS220" s="118">
        <f>INDEX('Dist. Plant Gas Additions'!$F$7:$AE$91,MATCH($C220,'Dist. Plant Gas Additions'!$D$7:$D$91,0),MATCH(Calculation!$G220,'Dist. Plant Gas Additions'!$F$5:$AE$5,0))</f>
        <v>309923</v>
      </c>
      <c r="BT220" s="118">
        <f>INDEX('Gen. Plant Additions'!$F$7:$AE$91,MATCH($C220,'Gen. Plant Additions'!$D$7:$D$91,0),MATCH(Calculation!$G220,'Gen. Plant Additions'!$F$5:$AE$5,0))</f>
        <v>8878</v>
      </c>
      <c r="BU220" s="118"/>
      <c r="BV220" s="118"/>
      <c r="BW220" s="118">
        <f>INDEX('Dist Plant Depreciation'!$E$7:$AD$94,MATCH($C220,'Dist Plant Depreciation'!$D$7:$D$94,0),MATCH(Calculation!$G220,'Dist Plant Depreciation'!$E$5:$AD$5,0))</f>
        <v>957734</v>
      </c>
      <c r="BX220" s="118">
        <f>INDEX('Gen. Plant Depreciation'!$E$7:$AD$94,MATCH($C220,'Gen. Plant Depreciation'!$D$7:$D$94,0),MATCH(Calculation!$G220,'Gen. Plant Depreciation'!$E$5:$AD$5,0))</f>
        <v>50714</v>
      </c>
      <c r="BY220" s="118"/>
      <c r="BZ220" s="118"/>
      <c r="CA220" s="118"/>
      <c r="CB220" s="118"/>
      <c r="CC220" s="118"/>
      <c r="CD220" s="118"/>
      <c r="CE220" s="118">
        <f>INDEX('Gross Dx Plant'!$E$7:$AD$91,MATCH($C220,'Gross Dx Plant'!$D$7:$D$91,0),MATCH(Calculation!$G220,'Gross Dx Plant'!$E$5:$AD$5,0))</f>
        <v>3446169</v>
      </c>
      <c r="CF220" s="118">
        <f>INDEX('Gross Gen Plant'!$E$7:$AD$91,MATCH($C220,'Gross Gen Plant'!$D$7:$D$91,0),MATCH(Calculation!$G220,'Gross Gen Plant'!$E$5:$AD$5,0))</f>
        <v>138522</v>
      </c>
      <c r="CG220" s="118">
        <f t="shared" si="426"/>
        <v>2576243</v>
      </c>
      <c r="CH220" s="118"/>
      <c r="CI220" s="121">
        <v>2014</v>
      </c>
      <c r="CJ220" s="118"/>
      <c r="CK220" s="118"/>
      <c r="CL220" s="118"/>
      <c r="CM220" s="183"/>
      <c r="CN220" s="118">
        <f t="shared" si="525"/>
        <v>318801</v>
      </c>
      <c r="CO220" s="118">
        <f t="shared" si="526"/>
        <v>465.7638745734734</v>
      </c>
      <c r="CP220" s="186">
        <v>0.89743589743589747</v>
      </c>
      <c r="CQ220" s="118">
        <f>+CQ204*CP220+CO205*CP219+CO206*CP218+CO207*CP217+CO208*CP216+CO209*CP215+CO210*CP214+CO211*CP213+CO212*CP212+CO213*CP211+CO214*CP210+CO215*CP209+CO216*CP208+CO217*CP207+CO218*CP206+CO219*CP205+CO220</f>
        <v>10146.981213909592</v>
      </c>
      <c r="CR220" s="119">
        <f t="shared" si="527"/>
        <v>3.8844434464324645E-2</v>
      </c>
      <c r="CS220" s="119"/>
      <c r="CT220" s="177">
        <f t="shared" si="528"/>
        <v>8.1110840532653862E-3</v>
      </c>
      <c r="CU220" s="177">
        <f t="shared" si="536"/>
        <v>7.8146236959259797E-3</v>
      </c>
      <c r="CV220" s="119">
        <f>VLOOKUP($H220,RoR!$E:$F,2,FALSE)</f>
        <v>4.1625000000000002E-2</v>
      </c>
      <c r="CW220" s="177">
        <v>1.841352814597208E-2</v>
      </c>
      <c r="CX220" s="177">
        <f t="shared" si="534"/>
        <v>2.3211471854027922E-2</v>
      </c>
      <c r="CY220" s="177">
        <f t="shared" si="537"/>
        <v>2.3087317912607645E-2</v>
      </c>
      <c r="CZ220" s="177">
        <f t="shared" si="538"/>
        <v>3.9072621432650924E-2</v>
      </c>
      <c r="DA220" s="187">
        <f t="shared" si="529"/>
        <v>0.85131374874999999</v>
      </c>
      <c r="DB220" s="188">
        <f t="shared" si="530"/>
        <v>1.2320012320012319</v>
      </c>
      <c r="DC220" s="188">
        <f t="shared" si="531"/>
        <v>0.37439939939939942</v>
      </c>
      <c r="DD220" s="188">
        <f t="shared" si="532"/>
        <v>0.80432100613819935</v>
      </c>
      <c r="DE220" s="188">
        <f t="shared" si="533"/>
        <v>0.37100152660040037</v>
      </c>
      <c r="DF220" s="189">
        <f>INDEX('State Tax Lookup'!$D$7:$Z$91,MATCH(Calculation!$C220,'State Tax Lookup'!$B$7:$B$91,0),MATCH($H220,'State Tax Lookup'!$D$6:$Z$6,0))</f>
        <v>0.39649667</v>
      </c>
      <c r="DG220" s="189">
        <v>0.375</v>
      </c>
      <c r="DH220" s="190">
        <f t="shared" si="535"/>
        <v>22.236282816025934</v>
      </c>
      <c r="DI220" s="190">
        <v>21.826066407425991</v>
      </c>
      <c r="DJ220" s="177"/>
      <c r="DK220" s="189">
        <f>VLOOKUP($H220,RoR!$E:$F,2,FALSE)</f>
        <v>4.1625000000000002E-2</v>
      </c>
      <c r="DL220" s="191">
        <f>HLOOKUP($H220,'GDP-PI'!$D$8:$CQ$11,3,FALSE)</f>
        <v>1.841352814597208E-2</v>
      </c>
      <c r="DM220" s="189">
        <f>VLOOKUP(H220,'HW Dx Data'!$E:$F,2,FALSE)</f>
        <v>684.46914285042885</v>
      </c>
      <c r="DN220" s="183">
        <f>VLOOKUP(H220,'ECI - Input Price'!$G$17:$H$37,2,FALSE)</f>
        <v>121.2</v>
      </c>
      <c r="DO220" s="177">
        <f t="shared" ref="DO220" si="579">LN(DN220/DN219)</f>
        <v>2.0632179200028689E-2</v>
      </c>
      <c r="DP220" s="183">
        <f>HLOOKUP(H220,'GDP-PI'!$8:$9,2,FALSE)</f>
        <v>103.64700000000001</v>
      </c>
      <c r="DQ220" s="177">
        <f t="shared" ref="DQ220" si="580">LN(DP220/DP219)</f>
        <v>1.8246051898256087E-2</v>
      </c>
    </row>
    <row r="221" spans="1:121" s="167" customFormat="1" ht="21" x14ac:dyDescent="0.35">
      <c r="A221" s="167" t="s">
        <v>39</v>
      </c>
      <c r="B221" s="168" t="s">
        <v>39</v>
      </c>
      <c r="C221" s="168">
        <v>4018679</v>
      </c>
      <c r="D221" s="168" t="s">
        <v>136</v>
      </c>
      <c r="E221" s="168" t="s">
        <v>126</v>
      </c>
      <c r="F221" s="168"/>
      <c r="G221" s="168" t="s">
        <v>21</v>
      </c>
      <c r="H221" s="169">
        <v>2015</v>
      </c>
      <c r="I221" s="170"/>
      <c r="J221" s="166">
        <f>IFERROR(INDEX('Labor Expenditures'!$F$7:$X$91,MATCH($C221,'Labor Expenditures'!$D$7:$D$91,0),MATCH($G221,'Labor Expenditures'!$F$5:$X$5,0)),"NA")</f>
        <v>132682.29468839936</v>
      </c>
      <c r="K221" s="166">
        <f t="shared" si="541"/>
        <v>1072.1801590981765</v>
      </c>
      <c r="L221" s="172">
        <f t="shared" si="548"/>
        <v>-9.5922722712926567E-2</v>
      </c>
      <c r="M221" s="172">
        <f t="shared" si="552"/>
        <v>-4.5518978122558113E-3</v>
      </c>
      <c r="N221" s="196"/>
      <c r="O221" s="172"/>
      <c r="P221" s="166">
        <f>IFERROR(INDEX('Non-Labor Expenditures'!$F$7:$AB$91,MATCH($C221,'Non-Labor Expenditures'!$D$7:$D$91,0),MATCH($G221,'Non-Labor Expenditures'!$F$5:$AB$5,0)),"NA")</f>
        <v>192148.74434308393</v>
      </c>
      <c r="Q221" s="166">
        <f t="shared" si="542"/>
        <v>1836.3014205323441</v>
      </c>
      <c r="R221" s="172">
        <f t="shared" si="553"/>
        <v>-8.4626831084783458E-2</v>
      </c>
      <c r="S221" s="172">
        <f t="shared" si="558"/>
        <v>-4.015864816783986E-3</v>
      </c>
      <c r="T221" s="172"/>
      <c r="U221" s="172"/>
      <c r="V221" s="166">
        <f t="shared" si="523"/>
        <v>220637.97862301776</v>
      </c>
      <c r="W221" s="170"/>
      <c r="X221" s="174">
        <v>10483.116249582496</v>
      </c>
      <c r="Y221" s="175">
        <v>3.2589742850256231E-2</v>
      </c>
      <c r="Z221" s="175">
        <f t="shared" si="559"/>
        <v>1.5465071777207779E-3</v>
      </c>
      <c r="AA221" s="175"/>
      <c r="AB221" s="175"/>
      <c r="AC221" s="170">
        <f t="shared" si="490"/>
        <v>545469.01765450102</v>
      </c>
      <c r="AD221" s="175">
        <f t="shared" si="554"/>
        <v>-3.9066682080033437E-2</v>
      </c>
      <c r="AE221" s="170"/>
      <c r="AF221" s="170"/>
      <c r="AG221" s="121">
        <f t="shared" si="555"/>
        <v>441.53910223202473</v>
      </c>
      <c r="AH221" s="119">
        <f>+AZ221/$BB$53</f>
        <v>3.3445378107509818E-2</v>
      </c>
      <c r="AI221" s="119">
        <f>+AZ221/$BC$53</f>
        <v>0.1426683738477019</v>
      </c>
      <c r="AJ221" s="176">
        <f t="shared" si="560"/>
        <v>14.767442223400499</v>
      </c>
      <c r="AK221" s="176">
        <f t="shared" si="561"/>
        <v>62.993665705617168</v>
      </c>
      <c r="AL221" s="120">
        <f t="shared" si="543"/>
        <v>0.24324441974528432</v>
      </c>
      <c r="AM221" s="120">
        <f t="shared" si="544"/>
        <v>0.35226335158194183</v>
      </c>
      <c r="AN221" s="120">
        <f t="shared" si="545"/>
        <v>0.4044922286727739</v>
      </c>
      <c r="AO221" s="120">
        <f t="shared" si="549"/>
        <v>-4.129231582045944E-2</v>
      </c>
      <c r="AP221" s="173">
        <f t="shared" si="565"/>
        <v>109.89665429802288</v>
      </c>
      <c r="AQ221" s="175">
        <f t="shared" si="566"/>
        <v>-4.1292315820459433E-2</v>
      </c>
      <c r="AR221" s="177">
        <f>+AC221/$AE$53</f>
        <v>4.7453801179919979E-2</v>
      </c>
      <c r="AS221" s="177">
        <f t="shared" si="562"/>
        <v>-1.9594773452025461E-3</v>
      </c>
      <c r="AT221" s="177"/>
      <c r="AU221" s="177"/>
      <c r="AV221" s="177"/>
      <c r="AW221" s="190"/>
      <c r="AX221" s="120"/>
      <c r="AY221" s="120"/>
      <c r="AZ221" s="118">
        <f>IFERROR(INDEX('Total Customers'!$F$7:$AB$91,MATCH($C221,'Total Customers'!$D$7:$D$91,0),MATCH($G221,'Total Customers'!$F$5:$AB$5,0)),"NA")</f>
        <v>1235381</v>
      </c>
      <c r="BA221" s="119">
        <f t="shared" si="524"/>
        <v>1.3390412475128574E-2</v>
      </c>
      <c r="BB221" s="119"/>
      <c r="BC221" s="121">
        <v>8659109</v>
      </c>
      <c r="BD221" s="119"/>
      <c r="BE221" s="119"/>
      <c r="BF221" s="119"/>
      <c r="BG221" s="173"/>
      <c r="BH221" s="173"/>
      <c r="BI221" s="173"/>
      <c r="BJ221" s="173"/>
      <c r="BK221" s="173"/>
      <c r="BL221" s="173"/>
      <c r="BM221" s="173"/>
      <c r="BN221" s="173"/>
      <c r="BO221" s="173"/>
      <c r="BP221" s="173"/>
      <c r="BQ221" s="118"/>
      <c r="BR221" s="118"/>
      <c r="BS221" s="118">
        <f>INDEX('Dist. Plant Gas Additions'!$F$7:$AE$91,MATCH($C221,'Dist. Plant Gas Additions'!$D$7:$D$91,0),MATCH(Calculation!$G221,'Dist. Plant Gas Additions'!$F$5:$AE$5,0))</f>
        <v>268204</v>
      </c>
      <c r="BT221" s="118">
        <f>INDEX('Gen. Plant Additions'!$F$7:$AE$91,MATCH($C221,'Gen. Plant Additions'!$D$7:$D$91,0),MATCH(Calculation!$G221,'Gen. Plant Additions'!$F$5:$AE$5,0))</f>
        <v>15963</v>
      </c>
      <c r="BU221" s="118"/>
      <c r="BV221" s="118"/>
      <c r="BW221" s="118">
        <f>INDEX('Dist Plant Depreciation'!$E$7:$AD$94,MATCH($C221,'Dist Plant Depreciation'!$D$7:$D$94,0),MATCH(Calculation!$G221,'Dist Plant Depreciation'!$E$5:$AD$5,0))</f>
        <v>948087</v>
      </c>
      <c r="BX221" s="118">
        <f>INDEX('Gen. Plant Depreciation'!$E$7:$AD$94,MATCH($C221,'Gen. Plant Depreciation'!$D$7:$D$94,0),MATCH(Calculation!$G221,'Gen. Plant Depreciation'!$E$5:$AD$5,0))</f>
        <v>58280</v>
      </c>
      <c r="BY221" s="118"/>
      <c r="BZ221" s="118"/>
      <c r="CA221" s="118"/>
      <c r="CB221" s="118"/>
      <c r="CC221" s="118"/>
      <c r="CD221" s="118"/>
      <c r="CE221" s="118">
        <f>INDEX('Gross Dx Plant'!$E$7:$AD$91,MATCH($C221,'Gross Dx Plant'!$D$7:$D$91,0),MATCH(Calculation!$G221,'Gross Dx Plant'!$E$5:$AD$5,0))</f>
        <v>3656745</v>
      </c>
      <c r="CF221" s="118">
        <f>INDEX('Gross Gen Plant'!$E$7:$AD$91,MATCH($C221,'Gross Gen Plant'!$D$7:$D$91,0),MATCH(Calculation!$G221,'Gross Gen Plant'!$E$5:$AD$5,0))</f>
        <v>154460</v>
      </c>
      <c r="CG221" s="118">
        <f t="shared" si="426"/>
        <v>2804838</v>
      </c>
      <c r="CH221" s="118"/>
      <c r="CI221" s="121">
        <v>2015</v>
      </c>
      <c r="CJ221" s="118"/>
      <c r="CK221" s="118"/>
      <c r="CL221" s="118"/>
      <c r="CM221" s="183"/>
      <c r="CN221" s="118">
        <f t="shared" si="525"/>
        <v>284167</v>
      </c>
      <c r="CO221" s="118">
        <f t="shared" si="526"/>
        <v>420.60515874520922</v>
      </c>
      <c r="CP221" s="186">
        <v>0.88888888888888884</v>
      </c>
      <c r="CQ221" s="118">
        <f>+CQ204*CP221+CO205*CP220+CO206*CP219+CO207*CP218+CO208*CP217+CO209*CP216+CO210*CP215+CO211*CP214+CO212*CP213+CO213*CP212+CO214*CP211+CO215*CP210+CO216*CP209+CO217*CP208+CO218*CP207+CO219*CP206+CO220*CP205+CO221</f>
        <v>10483.116249582496</v>
      </c>
      <c r="CR221" s="119">
        <f t="shared" si="527"/>
        <v>3.2589742850256231E-2</v>
      </c>
      <c r="CS221" s="119"/>
      <c r="CT221" s="177">
        <f t="shared" si="528"/>
        <v>8.3246555100065737E-3</v>
      </c>
      <c r="CU221" s="177">
        <f t="shared" si="536"/>
        <v>8.0809900155588386E-3</v>
      </c>
      <c r="CV221" s="119">
        <f>VLOOKUP($H221,RoR!$E:$F,2,FALSE)</f>
        <v>3.8866666666666674E-2</v>
      </c>
      <c r="CW221" s="177">
        <v>9.5709475431029478E-3</v>
      </c>
      <c r="CX221" s="177">
        <f t="shared" si="534"/>
        <v>2.9295719123563727E-2</v>
      </c>
      <c r="CY221" s="177">
        <f t="shared" si="537"/>
        <v>2.2820951592974786E-2</v>
      </c>
      <c r="CZ221" s="177">
        <f t="shared" si="538"/>
        <v>3.5270373279175926E-3</v>
      </c>
      <c r="DA221" s="187">
        <f t="shared" si="529"/>
        <v>0.85131374874999999</v>
      </c>
      <c r="DB221" s="188">
        <f t="shared" si="530"/>
        <v>1.3194352816994324</v>
      </c>
      <c r="DC221" s="188">
        <f t="shared" si="531"/>
        <v>0.33177530017152673</v>
      </c>
      <c r="DD221" s="188">
        <f t="shared" si="532"/>
        <v>0.78242572977668579</v>
      </c>
      <c r="DE221" s="188">
        <f t="shared" si="533"/>
        <v>0.34251158643433932</v>
      </c>
      <c r="DF221" s="189">
        <f>INDEX('State Tax Lookup'!$D$7:$Z$91,MATCH(Calculation!$C221,'State Tax Lookup'!$B$7:$B$91,0),MATCH($H221,'State Tax Lookup'!$D$6:$Z$6,0))</f>
        <v>0.39649667</v>
      </c>
      <c r="DG221" s="189">
        <v>0.375</v>
      </c>
      <c r="DH221" s="190">
        <f t="shared" si="535"/>
        <v>21.744198986055558</v>
      </c>
      <c r="DI221" s="190">
        <v>21.363174806149129</v>
      </c>
      <c r="DJ221" s="177"/>
      <c r="DK221" s="189">
        <f>VLOOKUP($H221,RoR!$E:$F,2,FALSE)</f>
        <v>3.8866666666666674E-2</v>
      </c>
      <c r="DL221" s="191">
        <f>HLOOKUP($H221,'GDP-PI'!$D$8:$CQ$11,3,FALSE)</f>
        <v>9.5709475431029478E-3</v>
      </c>
      <c r="DM221" s="189">
        <f>VLOOKUP(H221,'HW Dx Data'!$E:$F,2,FALSE)</f>
        <v>675.61463308665782</v>
      </c>
      <c r="DN221" s="183">
        <f>VLOOKUP(H221,'ECI - Input Price'!$G$17:$H$37,2,FALSE)</f>
        <v>123.75</v>
      </c>
      <c r="DO221" s="177">
        <f t="shared" ref="DO221" si="581">LN(DN221/DN220)</f>
        <v>2.0821327813585516E-2</v>
      </c>
      <c r="DP221" s="183">
        <f>HLOOKUP(H221,'GDP-PI'!$8:$9,2,FALSE)</f>
        <v>104.639</v>
      </c>
      <c r="DQ221" s="177">
        <f t="shared" ref="DQ221" si="582">LN(DP221/DP220)</f>
        <v>9.5254361854427965E-3</v>
      </c>
    </row>
    <row r="222" spans="1:121" s="167" customFormat="1" ht="21" x14ac:dyDescent="0.35">
      <c r="A222" s="167" t="s">
        <v>39</v>
      </c>
      <c r="B222" s="168" t="s">
        <v>39</v>
      </c>
      <c r="C222" s="168">
        <v>4018679</v>
      </c>
      <c r="D222" s="168" t="s">
        <v>136</v>
      </c>
      <c r="E222" s="168" t="s">
        <v>126</v>
      </c>
      <c r="F222" s="168"/>
      <c r="G222" s="168" t="s">
        <v>22</v>
      </c>
      <c r="H222" s="169">
        <v>2016</v>
      </c>
      <c r="I222" s="170"/>
      <c r="J222" s="166">
        <f>IFERROR(INDEX('Labor Expenditures'!$F$7:$X$91,MATCH($C222,'Labor Expenditures'!$D$7:$D$91,0),MATCH($G222,'Labor Expenditures'!$F$5:$X$5,0)),"NA")</f>
        <v>151716.460721329</v>
      </c>
      <c r="K222" s="166">
        <f t="shared" si="541"/>
        <v>1200.2884550738054</v>
      </c>
      <c r="L222" s="172">
        <f t="shared" si="548"/>
        <v>0.11286779974712692</v>
      </c>
      <c r="M222" s="172">
        <f t="shared" si="552"/>
        <v>5.6486929983239455E-3</v>
      </c>
      <c r="N222" s="196"/>
      <c r="O222" s="172"/>
      <c r="P222" s="166">
        <f>IFERROR(INDEX('Non-Labor Expenditures'!$F$7:$AB$91,MATCH($C222,'Non-Labor Expenditures'!$D$7:$D$91,0),MATCH($G222,'Non-Labor Expenditures'!$F$5:$AB$5,0)),"NA")</f>
        <v>219713.77185059342</v>
      </c>
      <c r="Q222" s="166">
        <f t="shared" si="542"/>
        <v>2077.9466960221062</v>
      </c>
      <c r="R222" s="172">
        <f t="shared" si="553"/>
        <v>0.12362678964387901</v>
      </c>
      <c r="S222" s="172">
        <f t="shared" si="558"/>
        <v>6.1871479964277654E-3</v>
      </c>
      <c r="T222" s="172"/>
      <c r="U222" s="172"/>
      <c r="V222" s="166">
        <f t="shared" si="523"/>
        <v>224023.07984958618</v>
      </c>
      <c r="W222" s="170"/>
      <c r="X222" s="174">
        <v>10832.386830512378</v>
      </c>
      <c r="Y222" s="175">
        <v>3.2774440607547979E-2</v>
      </c>
      <c r="Z222" s="175">
        <f t="shared" si="559"/>
        <v>1.6402619134830159E-3</v>
      </c>
      <c r="AA222" s="175"/>
      <c r="AB222" s="175"/>
      <c r="AC222" s="170">
        <f t="shared" si="490"/>
        <v>595453.3124215086</v>
      </c>
      <c r="AD222" s="175">
        <f t="shared" si="554"/>
        <v>8.7676977659848748E-2</v>
      </c>
      <c r="AE222" s="170"/>
      <c r="AF222" s="170"/>
      <c r="AG222" s="121">
        <f t="shared" si="555"/>
        <v>477.38119044514059</v>
      </c>
      <c r="AH222" s="119">
        <f>+AZ222/$BB$54</f>
        <v>3.3477182718711682E-2</v>
      </c>
      <c r="AI222" s="119">
        <f>+AZ222/$BC$54</f>
        <v>0.14240458386092875</v>
      </c>
      <c r="AJ222" s="176">
        <f t="shared" si="560"/>
        <v>15.981377339008072</v>
      </c>
      <c r="AK222" s="176">
        <f t="shared" si="561"/>
        <v>67.981269768375014</v>
      </c>
      <c r="AL222" s="120">
        <f t="shared" si="543"/>
        <v>0.25479153034576146</v>
      </c>
      <c r="AM222" s="120">
        <f t="shared" si="544"/>
        <v>0.36898572443419841</v>
      </c>
      <c r="AN222" s="120">
        <f t="shared" si="545"/>
        <v>0.37622274522004012</v>
      </c>
      <c r="AO222" s="120">
        <f t="shared" si="549"/>
        <v>8.5482713113254574E-2</v>
      </c>
      <c r="AP222" s="173">
        <f t="shared" si="565"/>
        <v>119.70413191749594</v>
      </c>
      <c r="AQ222" s="175">
        <f t="shared" si="566"/>
        <v>8.5482713113254671E-2</v>
      </c>
      <c r="AR222" s="177">
        <f>+AC222/$AE$54</f>
        <v>5.0046984268139187E-2</v>
      </c>
      <c r="AS222" s="177">
        <f t="shared" si="562"/>
        <v>4.2781519983769115E-3</v>
      </c>
      <c r="AT222" s="177"/>
      <c r="AU222" s="177"/>
      <c r="AV222" s="177"/>
      <c r="AW222" s="190"/>
      <c r="AX222" s="120"/>
      <c r="AY222" s="120"/>
      <c r="AZ222" s="118">
        <f>IFERROR(INDEX('Total Customers'!$F$7:$AB$91,MATCH($C222,'Total Customers'!$D$7:$D$91,0),MATCH($G222,'Total Customers'!$F$5:$AB$5,0)),"NA")</f>
        <v>1247333</v>
      </c>
      <c r="BA222" s="119">
        <f t="shared" si="524"/>
        <v>9.6282474197134146E-3</v>
      </c>
      <c r="BB222" s="119"/>
      <c r="BC222" s="121">
        <v>8759079</v>
      </c>
      <c r="BD222" s="119"/>
      <c r="BE222" s="119"/>
      <c r="BF222" s="119"/>
      <c r="BG222" s="173"/>
      <c r="BH222" s="173"/>
      <c r="BI222" s="173"/>
      <c r="BJ222" s="173"/>
      <c r="BK222" s="173"/>
      <c r="BL222" s="173"/>
      <c r="BM222" s="173"/>
      <c r="BN222" s="173"/>
      <c r="BO222" s="173"/>
      <c r="BP222" s="173"/>
      <c r="BQ222" s="118"/>
      <c r="BR222" s="118"/>
      <c r="BS222" s="118">
        <f>INDEX('Dist. Plant Gas Additions'!$F$7:$AE$91,MATCH($C222,'Dist. Plant Gas Additions'!$D$7:$D$91,0),MATCH(Calculation!$G222,'Dist. Plant Gas Additions'!$F$5:$AE$5,0))</f>
        <v>257319</v>
      </c>
      <c r="BT222" s="118">
        <f>INDEX('Gen. Plant Additions'!$F$7:$AE$91,MATCH($C222,'Gen. Plant Additions'!$D$7:$D$91,0),MATCH(Calculation!$G222,'Gen. Plant Additions'!$F$5:$AE$5,0))</f>
        <v>37492</v>
      </c>
      <c r="BU222" s="118"/>
      <c r="BV222" s="118"/>
      <c r="BW222" s="118">
        <f>INDEX('Dist Plant Depreciation'!$E$7:$AD$94,MATCH($C222,'Dist Plant Depreciation'!$D$7:$D$94,0),MATCH(Calculation!$G222,'Dist Plant Depreciation'!$E$5:$AD$5,0))</f>
        <v>894049</v>
      </c>
      <c r="BX222" s="118">
        <f>INDEX('Gen. Plant Depreciation'!$E$7:$AD$94,MATCH($C222,'Gen. Plant Depreciation'!$D$7:$D$94,0),MATCH(Calculation!$G222,'Gen. Plant Depreciation'!$E$5:$AD$5,0))</f>
        <v>37412</v>
      </c>
      <c r="BY222" s="118"/>
      <c r="BZ222" s="118"/>
      <c r="CA222" s="118"/>
      <c r="CB222" s="118"/>
      <c r="CC222" s="118"/>
      <c r="CD222" s="118"/>
      <c r="CE222" s="118">
        <f>INDEX('Gross Dx Plant'!$E$7:$AD$91,MATCH($C222,'Gross Dx Plant'!$D$7:$D$91,0),MATCH(Calculation!$G222,'Gross Dx Plant'!$E$5:$AD$5,0))</f>
        <v>3800745</v>
      </c>
      <c r="CF222" s="118">
        <f>INDEX('Gross Gen Plant'!$E$7:$AD$91,MATCH($C222,'Gross Gen Plant'!$D$7:$D$91,0),MATCH(Calculation!$G222,'Gross Gen Plant'!$E$5:$AD$5,0))</f>
        <v>162914</v>
      </c>
      <c r="CG222" s="118">
        <f t="shared" si="426"/>
        <v>3032198</v>
      </c>
      <c r="CH222" s="118"/>
      <c r="CI222" s="121">
        <v>2016</v>
      </c>
      <c r="CJ222" s="118"/>
      <c r="CK222" s="118"/>
      <c r="CL222" s="118"/>
      <c r="CM222" s="183"/>
      <c r="CN222" s="118">
        <f t="shared" si="525"/>
        <v>294811</v>
      </c>
      <c r="CO222" s="118">
        <f t="shared" si="526"/>
        <v>439.06201906179933</v>
      </c>
      <c r="CP222" s="186">
        <v>0.88</v>
      </c>
      <c r="CQ222" s="118">
        <f>+CQ204*CP222+CO205*CP221+CO206*CP220+CO207*CP219+CO208*CP218+CO209*CP217+CO210*CP216+CO211*CP215+CO212*CP214+CO213*CP213+CO214*CP212+CO215*CP211+CO216*CP210+CO217*CP209+CO218*CP208+CO219*CP207+CO220*CP206+CO221*CP205+CO222</f>
        <v>10832.386830512378</v>
      </c>
      <c r="CR222" s="119">
        <f t="shared" si="527"/>
        <v>3.2774440607547979E-2</v>
      </c>
      <c r="CS222" s="119"/>
      <c r="CT222" s="177">
        <f t="shared" si="528"/>
        <v>8.5653383969192497E-3</v>
      </c>
      <c r="CU222" s="177">
        <f t="shared" si="536"/>
        <v>8.333692653397071E-3</v>
      </c>
      <c r="CV222" s="119">
        <f>VLOOKUP($H222,RoR!$E:$F,2,FALSE)</f>
        <v>3.6658333333333334E-2</v>
      </c>
      <c r="CW222" s="177">
        <v>1.0483662879041455E-2</v>
      </c>
      <c r="CX222" s="177">
        <f t="shared" si="534"/>
        <v>2.6174670454291879E-2</v>
      </c>
      <c r="CY222" s="177">
        <f t="shared" si="537"/>
        <v>2.2568248955136552E-2</v>
      </c>
      <c r="CZ222" s="177">
        <f t="shared" si="538"/>
        <v>4.301363574220729E-3</v>
      </c>
      <c r="DA222" s="187">
        <f t="shared" si="529"/>
        <v>0.85131374874999999</v>
      </c>
      <c r="DB222" s="188">
        <f t="shared" si="530"/>
        <v>1.3989193348138562</v>
      </c>
      <c r="DC222" s="188">
        <f t="shared" si="531"/>
        <v>0.29302682427824522</v>
      </c>
      <c r="DD222" s="188">
        <f t="shared" si="532"/>
        <v>0.76309497491941802</v>
      </c>
      <c r="DE222" s="188">
        <f t="shared" si="533"/>
        <v>0.31280857135128509</v>
      </c>
      <c r="DF222" s="189">
        <f>INDEX('State Tax Lookup'!$D$7:$Z$91,MATCH(Calculation!$C222,'State Tax Lookup'!$B$7:$B$91,0),MATCH($H222,'State Tax Lookup'!$D$6:$Z$6,0))</f>
        <v>0.39649667</v>
      </c>
      <c r="DG222" s="189">
        <v>0.375</v>
      </c>
      <c r="DH222" s="190">
        <f t="shared" si="535"/>
        <v>21.369893695351152</v>
      </c>
      <c r="DI222" s="190">
        <v>20.979112509939014</v>
      </c>
      <c r="DJ222" s="177"/>
      <c r="DK222" s="189">
        <f>VLOOKUP($H222,RoR!$E:$F,2,FALSE)</f>
        <v>3.6658333333333334E-2</v>
      </c>
      <c r="DL222" s="191">
        <f>HLOOKUP($H222,'GDP-PI'!$D$8:$CQ$11,3,FALSE)</f>
        <v>1.0483662879041455E-2</v>
      </c>
      <c r="DM222" s="189">
        <f>VLOOKUP(H222,'HW Dx Data'!$E:$F,2,FALSE)</f>
        <v>671.45639385971219</v>
      </c>
      <c r="DN222" s="183">
        <f>VLOOKUP(H222,'ECI - Input Price'!$G$17:$H$37,2,FALSE)</f>
        <v>126.4</v>
      </c>
      <c r="DO222" s="177">
        <f t="shared" ref="DO222" si="583">LN(DN222/DN221)</f>
        <v>2.11880802639575E-2</v>
      </c>
      <c r="DP222" s="183">
        <f>HLOOKUP(H222,'GDP-PI'!$8:$9,2,FALSE)</f>
        <v>105.736</v>
      </c>
      <c r="DQ222" s="177">
        <f t="shared" ref="DQ222" si="584">LN(DP222/DP221)</f>
        <v>1.0429090367205095E-2</v>
      </c>
    </row>
    <row r="223" spans="1:121" s="167" customFormat="1" ht="21" x14ac:dyDescent="0.35">
      <c r="A223" s="167" t="s">
        <v>39</v>
      </c>
      <c r="B223" s="168" t="s">
        <v>39</v>
      </c>
      <c r="C223" s="168">
        <v>4018679</v>
      </c>
      <c r="D223" s="168" t="s">
        <v>136</v>
      </c>
      <c r="E223" s="168" t="s">
        <v>126</v>
      </c>
      <c r="F223" s="168"/>
      <c r="G223" s="168" t="s">
        <v>23</v>
      </c>
      <c r="H223" s="169">
        <v>2017</v>
      </c>
      <c r="I223" s="170"/>
      <c r="J223" s="166">
        <f>IFERROR(INDEX('Labor Expenditures'!$F$7:$X$91,MATCH($C223,'Labor Expenditures'!$D$7:$D$91,0),MATCH($G223,'Labor Expenditures'!$F$5:$X$5,0)),"NA")</f>
        <v>192392.50797218413</v>
      </c>
      <c r="K223" s="166">
        <f t="shared" si="541"/>
        <v>1485.656432217638</v>
      </c>
      <c r="L223" s="172">
        <f t="shared" si="548"/>
        <v>0.21329480934465683</v>
      </c>
      <c r="M223" s="172">
        <f t="shared" si="552"/>
        <v>1.224880683539561E-2</v>
      </c>
      <c r="N223" s="196"/>
      <c r="O223" s="172"/>
      <c r="P223" s="166">
        <f>IFERROR(INDEX('Non-Labor Expenditures'!$F$7:$AB$91,MATCH($C223,'Non-Labor Expenditures'!$D$7:$D$91,0),MATCH($G223,'Non-Labor Expenditures'!$F$5:$AB$5,0)),"NA")</f>
        <v>278620.28550749901</v>
      </c>
      <c r="Q223" s="166">
        <f t="shared" si="542"/>
        <v>2585.7791158086607</v>
      </c>
      <c r="R223" s="172">
        <f t="shared" si="553"/>
        <v>0.21864662054374717</v>
      </c>
      <c r="S223" s="172">
        <f t="shared" si="558"/>
        <v>1.2556143435843485E-2</v>
      </c>
      <c r="T223" s="172"/>
      <c r="U223" s="172"/>
      <c r="V223" s="166">
        <f t="shared" si="523"/>
        <v>209342.08956249891</v>
      </c>
      <c r="W223" s="170"/>
      <c r="X223" s="174">
        <v>11366.18784045589</v>
      </c>
      <c r="Y223" s="175">
        <v>4.8102541901489215E-2</v>
      </c>
      <c r="Z223" s="175">
        <f t="shared" si="559"/>
        <v>2.7623679444106672E-3</v>
      </c>
      <c r="AA223" s="175"/>
      <c r="AB223" s="175"/>
      <c r="AC223" s="170">
        <f t="shared" si="490"/>
        <v>680354.88304218207</v>
      </c>
      <c r="AD223" s="175">
        <f t="shared" si="554"/>
        <v>0.1332915637750452</v>
      </c>
      <c r="AE223" s="170"/>
      <c r="AF223" s="170"/>
      <c r="AG223" s="121">
        <f t="shared" si="555"/>
        <v>543.49475205376359</v>
      </c>
      <c r="AH223" s="119">
        <f>+AZ223/$BB$55</f>
        <v>3.3345049264735457E-2</v>
      </c>
      <c r="AI223" s="119">
        <f>+AZ223/$BC$56</f>
        <v>0.14047413210739196</v>
      </c>
      <c r="AJ223" s="176">
        <f t="shared" si="560"/>
        <v>18.122859282357929</v>
      </c>
      <c r="AK223" s="176">
        <f t="shared" si="561"/>
        <v>76.34695359967462</v>
      </c>
      <c r="AL223" s="120">
        <f t="shared" si="543"/>
        <v>0.28278257828018821</v>
      </c>
      <c r="AM223" s="120">
        <f t="shared" si="544"/>
        <v>0.40952198984985388</v>
      </c>
      <c r="AN223" s="120">
        <f t="shared" si="545"/>
        <v>0.3076954318699579</v>
      </c>
      <c r="AO223" s="120">
        <f t="shared" si="549"/>
        <v>0.15888902528705132</v>
      </c>
      <c r="AP223" s="173">
        <f t="shared" si="565"/>
        <v>140.31812359379967</v>
      </c>
      <c r="AQ223" s="175">
        <f t="shared" si="566"/>
        <v>0.15888902528705123</v>
      </c>
      <c r="AR223" s="177">
        <f>+AC223/$AE$55</f>
        <v>5.7426652214508989E-2</v>
      </c>
      <c r="AS223" s="177">
        <f t="shared" si="562"/>
        <v>9.1244647958618162E-3</v>
      </c>
      <c r="AT223" s="177"/>
      <c r="AU223" s="177"/>
      <c r="AV223" s="177"/>
      <c r="AW223" s="190"/>
      <c r="AX223" s="120"/>
      <c r="AY223" s="120"/>
      <c r="AZ223" s="118">
        <f>IFERROR(INDEX('Total Customers'!$F$7:$AB$91,MATCH($C223,'Total Customers'!$D$7:$D$91,0),MATCH($G223,'Total Customers'!$F$5:$AB$5,0)),"NA")</f>
        <v>1251815</v>
      </c>
      <c r="BA223" s="119">
        <f t="shared" si="524"/>
        <v>3.5868262345381758E-3</v>
      </c>
      <c r="BB223" s="119"/>
      <c r="BC223" s="121">
        <v>8824403</v>
      </c>
      <c r="BD223" s="119"/>
      <c r="BE223" s="119"/>
      <c r="BF223" s="119"/>
      <c r="BG223" s="173"/>
      <c r="BH223" s="173"/>
      <c r="BI223" s="173"/>
      <c r="BJ223" s="173"/>
      <c r="BK223" s="173"/>
      <c r="BL223" s="173"/>
      <c r="BM223" s="173"/>
      <c r="BN223" s="173"/>
      <c r="BO223" s="173"/>
      <c r="BP223" s="173"/>
      <c r="BQ223" s="118"/>
      <c r="BR223" s="118"/>
      <c r="BS223" s="118">
        <f>INDEX('Dist. Plant Gas Additions'!$F$7:$AE$91,MATCH($C223,'Dist. Plant Gas Additions'!$D$7:$D$91,0),MATCH(Calculation!$G223,'Dist. Plant Gas Additions'!$F$5:$AE$5,0))</f>
        <v>443763</v>
      </c>
      <c r="BT223" s="118">
        <f>INDEX('Gen. Plant Additions'!$F$7:$AE$91,MATCH($C223,'Gen. Plant Additions'!$D$7:$D$91,0),MATCH(Calculation!$G223,'Gen. Plant Additions'!$F$5:$AE$5,0))</f>
        <v>4539</v>
      </c>
      <c r="BU223" s="118"/>
      <c r="BV223" s="118"/>
      <c r="BW223" s="118">
        <f>INDEX('Dist Plant Depreciation'!$E$7:$AD$94,MATCH($C223,'Dist Plant Depreciation'!$D$7:$D$94,0),MATCH(Calculation!$G223,'Dist Plant Depreciation'!$E$5:$AD$5,0))</f>
        <v>920347</v>
      </c>
      <c r="BX223" s="118">
        <f>INDEX('Gen. Plant Depreciation'!$E$7:$AD$94,MATCH($C223,'Gen. Plant Depreciation'!$D$7:$D$94,0),MATCH(Calculation!$G223,'Gen. Plant Depreciation'!$E$5:$AD$5,0))</f>
        <v>44475</v>
      </c>
      <c r="BY223" s="118"/>
      <c r="BZ223" s="118"/>
      <c r="CA223" s="118"/>
      <c r="CB223" s="118"/>
      <c r="CC223" s="118"/>
      <c r="CD223" s="118"/>
      <c r="CE223" s="118">
        <f>INDEX('Gross Dx Plant'!$E$7:$AD$91,MATCH($C223,'Gross Dx Plant'!$D$7:$D$91,0),MATCH(Calculation!$G223,'Gross Dx Plant'!$E$5:$AD$5,0))</f>
        <v>4249244</v>
      </c>
      <c r="CF223" s="118">
        <f>INDEX('Gross Gen Plant'!$E$7:$AD$91,MATCH($C223,'Gross Gen Plant'!$D$7:$D$91,0),MATCH(Calculation!$G223,'Gross Gen Plant'!$E$5:$AD$5,0))</f>
        <v>165686</v>
      </c>
      <c r="CG223" s="118">
        <f t="shared" si="426"/>
        <v>3450108</v>
      </c>
      <c r="CH223" s="118"/>
      <c r="CI223" s="121">
        <v>2017</v>
      </c>
      <c r="CJ223" s="118"/>
      <c r="CK223" s="118"/>
      <c r="CL223" s="118"/>
      <c r="CM223" s="183"/>
      <c r="CN223" s="118">
        <f t="shared" si="525"/>
        <v>448302</v>
      </c>
      <c r="CO223" s="118">
        <f t="shared" si="526"/>
        <v>629.25886222910458</v>
      </c>
      <c r="CP223" s="186">
        <v>0.87074829931972786</v>
      </c>
      <c r="CQ223" s="118">
        <f>+CQ204*CP223+CO205*CP222+CO206*CP221+CO207*CP220+CO208*CP219+CO209*CP218+CO210*CP217+CO211*CP216+CO212*CP215+CO213*CP214+CO214*CP213+CO215*CP212+CO216*CP211+CO217*CP210+CO218*CP209+CO219*CP208+CO220*CP207+CO221*CP206+CO222*CP205+CO223</f>
        <v>11366.18784045589</v>
      </c>
      <c r="CR223" s="119">
        <f t="shared" si="527"/>
        <v>4.8102541901489215E-2</v>
      </c>
      <c r="CS223" s="119"/>
      <c r="CT223" s="177">
        <f t="shared" si="528"/>
        <v>8.8122639801515509E-3</v>
      </c>
      <c r="CU223" s="177">
        <f t="shared" si="536"/>
        <v>8.5674192956924581E-3</v>
      </c>
      <c r="CV223" s="119">
        <f>VLOOKUP($H223,RoR!$E:$F,2,FALSE)</f>
        <v>3.7433333333333339E-2</v>
      </c>
      <c r="CW223" s="177">
        <v>1.9056896421275615E-2</v>
      </c>
      <c r="CX223" s="177">
        <f t="shared" si="534"/>
        <v>1.8376436912057724E-2</v>
      </c>
      <c r="CY223" s="177">
        <f t="shared" si="537"/>
        <v>2.2334522312841165E-2</v>
      </c>
      <c r="CZ223" s="177">
        <f t="shared" si="538"/>
        <v>1.3976271617800498E-2</v>
      </c>
      <c r="DA223" s="187">
        <f t="shared" si="529"/>
        <v>0.90381374874999998</v>
      </c>
      <c r="DB223" s="188">
        <f t="shared" si="530"/>
        <v>1.3699568463593395</v>
      </c>
      <c r="DC223" s="188">
        <f t="shared" si="531"/>
        <v>0.30714603739982199</v>
      </c>
      <c r="DD223" s="188">
        <f t="shared" si="532"/>
        <v>0.77007188472689425</v>
      </c>
      <c r="DE223" s="188">
        <f t="shared" si="533"/>
        <v>0.32402839633793828</v>
      </c>
      <c r="DF223" s="189">
        <f>INDEX('State Tax Lookup'!$D$7:$Z$91,MATCH(Calculation!$C223,'State Tax Lookup'!$B$7:$B$91,0),MATCH($H223,'State Tax Lookup'!$D$6:$Z$6,0))</f>
        <v>0.25649666999999998</v>
      </c>
      <c r="DG223" s="189">
        <v>0.375</v>
      </c>
      <c r="DH223" s="190">
        <f t="shared" si="535"/>
        <v>19.325573655921307</v>
      </c>
      <c r="DI223" s="190">
        <v>18.993201850681896</v>
      </c>
      <c r="DJ223" s="177"/>
      <c r="DK223" s="189">
        <f>VLOOKUP($H223,RoR!$E:$F,2,FALSE)</f>
        <v>3.7433333333333339E-2</v>
      </c>
      <c r="DL223" s="191">
        <f>HLOOKUP($H223,'GDP-PI'!$D$8:$CQ$11,3,FALSE)</f>
        <v>1.9056896421275615E-2</v>
      </c>
      <c r="DM223" s="189">
        <f>VLOOKUP(H223,'HW Dx Data'!$E:$F,2,FALSE)</f>
        <v>712.42858370229726</v>
      </c>
      <c r="DN223" s="183">
        <f>VLOOKUP(H223,'ECI - Input Price'!$G$17:$H$37,2,FALSE)</f>
        <v>129.5</v>
      </c>
      <c r="DO223" s="177">
        <f t="shared" ref="DO223" si="585">LN(DN223/DN222)</f>
        <v>2.4229399426835413E-2</v>
      </c>
      <c r="DP223" s="183">
        <f>HLOOKUP(H223,'GDP-PI'!$8:$9,2,FALSE)</f>
        <v>107.751</v>
      </c>
      <c r="DQ223" s="177">
        <f t="shared" ref="DQ223" si="586">LN(DP223/DP222)</f>
        <v>1.8877588227745139E-2</v>
      </c>
    </row>
    <row r="224" spans="1:121" s="167" customFormat="1" ht="21" x14ac:dyDescent="0.35">
      <c r="A224" s="167" t="s">
        <v>39</v>
      </c>
      <c r="B224" s="168" t="s">
        <v>39</v>
      </c>
      <c r="C224" s="168">
        <v>4018679</v>
      </c>
      <c r="D224" s="168" t="s">
        <v>136</v>
      </c>
      <c r="E224" s="168" t="s">
        <v>126</v>
      </c>
      <c r="F224" s="168"/>
      <c r="G224" s="168" t="s">
        <v>24</v>
      </c>
      <c r="H224" s="169">
        <v>2018</v>
      </c>
      <c r="I224" s="170"/>
      <c r="J224" s="166">
        <f>IFERROR(INDEX('Labor Expenditures'!$F$7:$X$91,MATCH($C224,'Labor Expenditures'!$D$7:$D$91,0),MATCH($G224,'Labor Expenditures'!$F$5:$X$5,0)),"NA")</f>
        <v>214774.65654699094</v>
      </c>
      <c r="K224" s="166">
        <f t="shared" si="541"/>
        <v>1611.8173099211328</v>
      </c>
      <c r="L224" s="172">
        <f t="shared" si="548"/>
        <v>8.1505589867199191E-2</v>
      </c>
      <c r="M224" s="172">
        <f t="shared" si="552"/>
        <v>4.7829124131546575E-3</v>
      </c>
      <c r="N224" s="196"/>
      <c r="O224" s="172"/>
      <c r="P224" s="166">
        <f>IFERROR(INDEX('Non-Labor Expenditures'!$F$7:$AB$91,MATCH($C224,'Non-Labor Expenditures'!$D$7:$D$91,0),MATCH($G224,'Non-Labor Expenditures'!$F$5:$AB$5,0)),"NA")</f>
        <v>311033.81705252954</v>
      </c>
      <c r="Q224" s="166">
        <f t="shared" si="542"/>
        <v>2819.3272153562257</v>
      </c>
      <c r="R224" s="172">
        <f t="shared" si="553"/>
        <v>8.6471419057051677E-2</v>
      </c>
      <c r="S224" s="172">
        <f t="shared" si="558"/>
        <v>5.0743172862737895E-3</v>
      </c>
      <c r="T224" s="172"/>
      <c r="U224" s="172"/>
      <c r="V224" s="166">
        <f t="shared" si="523"/>
        <v>230138.11181152696</v>
      </c>
      <c r="W224" s="170"/>
      <c r="X224" s="174">
        <v>12115.119387110837</v>
      </c>
      <c r="Y224" s="175">
        <v>6.381123944603273E-2</v>
      </c>
      <c r="Z224" s="175">
        <f t="shared" si="559"/>
        <v>3.7445722402904675E-3</v>
      </c>
      <c r="AA224" s="175"/>
      <c r="AB224" s="175"/>
      <c r="AC224" s="170">
        <f t="shared" si="490"/>
        <v>755946.58541104745</v>
      </c>
      <c r="AD224" s="175">
        <f t="shared" si="554"/>
        <v>0.10535617060389141</v>
      </c>
      <c r="AE224" s="170"/>
      <c r="AF224" s="170"/>
      <c r="AG224" s="121">
        <f t="shared" si="555"/>
        <v>601.14032720809234</v>
      </c>
      <c r="AH224" s="119">
        <f>+AZ224/$BB$56</f>
        <v>3.320607762207578E-2</v>
      </c>
      <c r="AI224" s="119">
        <f>+AZ224/$BC$57</f>
        <v>0.14029133253901316</v>
      </c>
      <c r="AJ224" s="176">
        <f t="shared" si="560"/>
        <v>19.961512367031947</v>
      </c>
      <c r="AK224" s="176">
        <f t="shared" si="561"/>
        <v>84.334777546961661</v>
      </c>
      <c r="AL224" s="120">
        <f t="shared" si="543"/>
        <v>0.28411353486067642</v>
      </c>
      <c r="AM224" s="120">
        <f t="shared" si="544"/>
        <v>0.4114494635667999</v>
      </c>
      <c r="AN224" s="120">
        <f t="shared" si="545"/>
        <v>0.30443700157252368</v>
      </c>
      <c r="AO224" s="120">
        <f t="shared" si="549"/>
        <v>7.8128348980158899E-2</v>
      </c>
      <c r="AP224" s="173">
        <f t="shared" si="565"/>
        <v>151.72057477073895</v>
      </c>
      <c r="AQ224" s="175">
        <f t="shared" si="566"/>
        <v>7.8128348980158871E-2</v>
      </c>
      <c r="AR224" s="177">
        <f>+AC224/$AE$56</f>
        <v>5.8682017036471697E-2</v>
      </c>
      <c r="AS224" s="177">
        <f t="shared" si="562"/>
        <v>4.584729105885089E-3</v>
      </c>
      <c r="AT224" s="177"/>
      <c r="AU224" s="177"/>
      <c r="AV224" s="177"/>
      <c r="AW224" s="190"/>
      <c r="AX224" s="120"/>
      <c r="AY224" s="120"/>
      <c r="AZ224" s="118">
        <f>IFERROR(INDEX('Total Customers'!$F$7:$AB$91,MATCH($C224,'Total Customers'!$D$7:$D$91,0),MATCH($G224,'Total Customers'!$F$5:$AB$5,0)),"NA")</f>
        <v>1257521</v>
      </c>
      <c r="BA224" s="119">
        <f t="shared" si="524"/>
        <v>4.5478244719909609E-3</v>
      </c>
      <c r="BB224" s="119"/>
      <c r="BC224" s="121">
        <v>8911356</v>
      </c>
      <c r="BD224" s="119"/>
      <c r="BE224" s="119"/>
      <c r="BF224" s="119"/>
      <c r="BG224" s="173"/>
      <c r="BH224" s="173"/>
      <c r="BI224" s="173"/>
      <c r="BJ224" s="173"/>
      <c r="BK224" s="173"/>
      <c r="BL224" s="173"/>
      <c r="BM224" s="173"/>
      <c r="BN224" s="173"/>
      <c r="BO224" s="173"/>
      <c r="BP224" s="173"/>
      <c r="BQ224" s="118"/>
      <c r="BR224" s="118"/>
      <c r="BS224" s="118">
        <f>INDEX('Dist. Plant Gas Additions'!$F$7:$AE$91,MATCH($C224,'Dist. Plant Gas Additions'!$D$7:$D$91,0),MATCH(Calculation!$G224,'Dist. Plant Gas Additions'!$F$5:$AE$5,0))</f>
        <v>627568</v>
      </c>
      <c r="BT224" s="118">
        <f>INDEX('Gen. Plant Additions'!$F$7:$AE$91,MATCH($C224,'Gen. Plant Additions'!$D$7:$D$91,0),MATCH(Calculation!$G224,'Gen. Plant Additions'!$F$5:$AE$5,0))</f>
        <v>15262</v>
      </c>
      <c r="BU224" s="118"/>
      <c r="BV224" s="118"/>
      <c r="BW224" s="118">
        <f>INDEX('Dist Plant Depreciation'!$E$7:$AD$94,MATCH($C224,'Dist Plant Depreciation'!$D$7:$D$94,0),MATCH(Calculation!$G224,'Dist Plant Depreciation'!$E$5:$AD$5,0))</f>
        <v>908136</v>
      </c>
      <c r="BX224" s="118">
        <f>INDEX('Gen. Plant Depreciation'!$E$7:$AD$94,MATCH($C224,'Gen. Plant Depreciation'!$D$7:$D$94,0),MATCH(Calculation!$G224,'Gen. Plant Depreciation'!$E$5:$AD$5,0))</f>
        <v>42173</v>
      </c>
      <c r="BY224" s="118"/>
      <c r="BZ224" s="118"/>
      <c r="CA224" s="118"/>
      <c r="CB224" s="118"/>
      <c r="CC224" s="118"/>
      <c r="CD224" s="118"/>
      <c r="CE224" s="118">
        <f>INDEX('Gross Dx Plant'!$E$7:$AD$91,MATCH($C224,'Gross Dx Plant'!$D$7:$D$91,0),MATCH(Calculation!$G224,'Gross Dx Plant'!$E$5:$AD$5,0))</f>
        <v>4849069</v>
      </c>
      <c r="CF224" s="118">
        <f>INDEX('Gross Gen Plant'!$E$7:$AD$91,MATCH($C224,'Gross Gen Plant'!$D$7:$D$91,0),MATCH(Calculation!$G224,'Gross Gen Plant'!$E$5:$AD$5,0))</f>
        <v>179622</v>
      </c>
      <c r="CG224" s="118">
        <f t="shared" si="426"/>
        <v>4078382</v>
      </c>
      <c r="CH224" s="118"/>
      <c r="CI224" s="121">
        <v>2018</v>
      </c>
      <c r="CJ224" s="118"/>
      <c r="CK224" s="118"/>
      <c r="CL224" s="118"/>
      <c r="CM224" s="183"/>
      <c r="CN224" s="118">
        <f t="shared" si="525"/>
        <v>642830</v>
      </c>
      <c r="CO224" s="118">
        <f t="shared" si="526"/>
        <v>851.27631565411832</v>
      </c>
      <c r="CP224" s="186">
        <v>0.86111111111111116</v>
      </c>
      <c r="CQ224" s="118">
        <f>+CQ204*CP224++CO205*CP223+CO206*CP222+CO207*CP221+CO208*CP220+CO209*CP219+CO210*CP218+CO211*CP217+CO212*CP216+CO213*CP215+CO214*CP214+CO215*CP213+CO216*CP212+CO217*CP211+CO218*CP210+CO219*CP209+CO220*CP208+CO221*CP207+CO222*CP206+CO223*CP205+CO224</f>
        <v>12115.119387110837</v>
      </c>
      <c r="CR224" s="119">
        <f t="shared" si="527"/>
        <v>6.381123944603273E-2</v>
      </c>
      <c r="CS224" s="119"/>
      <c r="CT224" s="177">
        <f t="shared" si="528"/>
        <v>9.0043179327807411E-3</v>
      </c>
      <c r="CU224" s="177">
        <f t="shared" si="536"/>
        <v>8.79397343661718E-3</v>
      </c>
      <c r="CV224" s="119">
        <f>VLOOKUP($H224,RoR!$E:$F,2,FALSE)</f>
        <v>3.9299999999999995E-2</v>
      </c>
      <c r="CW224" s="177">
        <v>2.386056741932796E-2</v>
      </c>
      <c r="CX224" s="177">
        <f t="shared" si="534"/>
        <v>1.5439432580672034E-2</v>
      </c>
      <c r="CY224" s="177">
        <f t="shared" si="537"/>
        <v>2.2107968171916445E-2</v>
      </c>
      <c r="CZ224" s="177">
        <f t="shared" si="538"/>
        <v>3.8270792163076606E-2</v>
      </c>
      <c r="DA224" s="187">
        <f t="shared" si="529"/>
        <v>0.90381374874999998</v>
      </c>
      <c r="DB224" s="188">
        <f t="shared" si="530"/>
        <v>1.3048868010700074</v>
      </c>
      <c r="DC224" s="188">
        <f t="shared" si="531"/>
        <v>0.33886768447837151</v>
      </c>
      <c r="DD224" s="188">
        <f t="shared" si="532"/>
        <v>0.78602506232557801</v>
      </c>
      <c r="DE224" s="188">
        <f t="shared" si="533"/>
        <v>0.34756768162358759</v>
      </c>
      <c r="DF224" s="189">
        <f>INDEX('State Tax Lookup'!$D$7:$Z$91,MATCH(Calculation!$C224,'State Tax Lookup'!$B$7:$B$91,0),MATCH($H224,'State Tax Lookup'!$D$6:$Z$6,0))</f>
        <v>0.25649666999999998</v>
      </c>
      <c r="DG224" s="189">
        <v>0.375</v>
      </c>
      <c r="DH224" s="190">
        <f t="shared" si="535"/>
        <v>20.247607644877377</v>
      </c>
      <c r="DI224" s="190">
        <v>19.943414943479421</v>
      </c>
      <c r="DJ224" s="177"/>
      <c r="DK224" s="189">
        <f>VLOOKUP($H224,RoR!$E:$F,2,FALSE)</f>
        <v>3.9299999999999995E-2</v>
      </c>
      <c r="DL224" s="191">
        <f>HLOOKUP($H224,'GDP-PI'!$D$8:$CQ$11,3,FALSE)</f>
        <v>2.386056741932796E-2</v>
      </c>
      <c r="DM224" s="189">
        <f>VLOOKUP(H224,'HW Dx Data'!$E:$F,2,FALSE)</f>
        <v>755.13671434174842</v>
      </c>
      <c r="DN224" s="183">
        <f>VLOOKUP(H224,'ECI - Input Price'!$G$17:$H$37,2,FALSE)</f>
        <v>133.25</v>
      </c>
      <c r="DO224" s="177">
        <f t="shared" ref="DO224" si="587">LN(DN224/DN223)</f>
        <v>2.8546181906361531E-2</v>
      </c>
      <c r="DP224" s="183">
        <f>HLOOKUP(H224,'GDP-PI'!$8:$9,2,FALSE)</f>
        <v>110.322</v>
      </c>
      <c r="DQ224" s="177">
        <f t="shared" ref="DQ224" si="588">LN(DP224/DP223)</f>
        <v>2.3580352716508712E-2</v>
      </c>
    </row>
    <row r="225" spans="1:121" s="167" customFormat="1" ht="21" x14ac:dyDescent="0.35">
      <c r="A225" s="167" t="s">
        <v>39</v>
      </c>
      <c r="B225" s="168" t="s">
        <v>39</v>
      </c>
      <c r="C225" s="168">
        <v>4018679</v>
      </c>
      <c r="D225" s="168" t="s">
        <v>136</v>
      </c>
      <c r="E225" s="168" t="s">
        <v>126</v>
      </c>
      <c r="F225" s="168"/>
      <c r="G225" s="168" t="s">
        <v>25</v>
      </c>
      <c r="H225" s="169">
        <v>2019</v>
      </c>
      <c r="I225" s="170"/>
      <c r="J225" s="166">
        <f>IFERROR(INDEX('Labor Expenditures'!$F$7:$X$91,MATCH($C225,'Labor Expenditures'!$D$7:$D$91,0),MATCH($G225,'Labor Expenditures'!$F$5:$X$5,0)),"NA")</f>
        <v>213371.62226758851</v>
      </c>
      <c r="K225" s="166">
        <f t="shared" si="541"/>
        <v>1559.1642109432848</v>
      </c>
      <c r="L225" s="172">
        <f t="shared" si="548"/>
        <v>-3.3212390873779987E-2</v>
      </c>
      <c r="M225" s="172">
        <f t="shared" si="552"/>
        <v>-1.9283549621296843E-3</v>
      </c>
      <c r="N225" s="196"/>
      <c r="O225" s="172"/>
      <c r="P225" s="166">
        <f>IFERROR(INDEX('Non-Labor Expenditures'!$F$7:$AB$91,MATCH($C225,'Non-Labor Expenditures'!$D$7:$D$91,0),MATCH($G225,'Non-Labor Expenditures'!$F$5:$AB$5,0)),"NA")</f>
        <v>309001.9613652986</v>
      </c>
      <c r="Q225" s="166">
        <f t="shared" si="542"/>
        <v>2751.1348258097419</v>
      </c>
      <c r="R225" s="172">
        <f t="shared" si="553"/>
        <v>-2.4484789884447702E-2</v>
      </c>
      <c r="S225" s="172">
        <f t="shared" si="558"/>
        <v>-1.4216190050819948E-3</v>
      </c>
      <c r="T225" s="172"/>
      <c r="U225" s="172"/>
      <c r="V225" s="166">
        <f t="shared" si="523"/>
        <v>248984.70285971832</v>
      </c>
      <c r="W225" s="170"/>
      <c r="X225" s="174">
        <v>13191.284130169517</v>
      </c>
      <c r="Y225" s="175">
        <v>8.5102109626804714E-2</v>
      </c>
      <c r="Z225" s="175">
        <f t="shared" si="559"/>
        <v>4.941140070590642E-3</v>
      </c>
      <c r="AA225" s="175"/>
      <c r="AB225" s="175"/>
      <c r="AC225" s="170">
        <f t="shared" si="490"/>
        <v>771358.28649260546</v>
      </c>
      <c r="AD225" s="175">
        <f t="shared" si="554"/>
        <v>2.0182249778881858E-2</v>
      </c>
      <c r="AE225" s="170"/>
      <c r="AF225" s="170"/>
      <c r="AG225" s="121">
        <f t="shared" si="555"/>
        <v>608.7881166188298</v>
      </c>
      <c r="AH225" s="119">
        <f>+AZ225/$BB$57</f>
        <v>3.3183685715593714E-2</v>
      </c>
      <c r="AI225" s="119">
        <f>+AZ225/$BC$58</f>
        <v>0.13984588949623034</v>
      </c>
      <c r="AJ225" s="176">
        <f t="shared" si="560"/>
        <v>20.201833529267464</v>
      </c>
      <c r="AK225" s="176">
        <f t="shared" si="561"/>
        <v>85.136515683295059</v>
      </c>
      <c r="AL225" s="120">
        <f t="shared" si="543"/>
        <v>0.27661804637867721</v>
      </c>
      <c r="AM225" s="120">
        <f t="shared" si="544"/>
        <v>0.40059459628072697</v>
      </c>
      <c r="AN225" s="120">
        <f t="shared" si="545"/>
        <v>0.32278735734059583</v>
      </c>
      <c r="AO225" s="120">
        <f t="shared" si="549"/>
        <v>7.4360757595759476E-3</v>
      </c>
      <c r="AP225" s="173">
        <f t="shared" si="565"/>
        <v>152.852985587261</v>
      </c>
      <c r="AQ225" s="175">
        <f t="shared" si="566"/>
        <v>7.4360757595759112E-3</v>
      </c>
      <c r="AR225" s="177">
        <f>+AC225/$AE$57</f>
        <v>5.8061311197323426E-2</v>
      </c>
      <c r="AS225" s="177">
        <f t="shared" si="562"/>
        <v>4.3174830876361014E-4</v>
      </c>
      <c r="AT225" s="177"/>
      <c r="AU225" s="177"/>
      <c r="AV225" s="177"/>
      <c r="AW225" s="190"/>
      <c r="AX225" s="120"/>
      <c r="AY225" s="120"/>
      <c r="AZ225" s="118">
        <f>IFERROR(INDEX('Total Customers'!$F$7:$AB$91,MATCH($C225,'Total Customers'!$D$7:$D$91,0),MATCH($G225,'Total Customers'!$F$5:$AB$5,0)),"NA")</f>
        <v>1267039</v>
      </c>
      <c r="BA225" s="119">
        <f t="shared" si="524"/>
        <v>7.5403595850780623E-3</v>
      </c>
      <c r="BB225" s="119"/>
      <c r="BC225" s="121">
        <v>8963640</v>
      </c>
      <c r="BD225" s="119"/>
      <c r="BE225" s="119"/>
      <c r="BF225" s="119"/>
      <c r="BG225" s="173"/>
      <c r="BH225" s="173"/>
      <c r="BI225" s="173"/>
      <c r="BJ225" s="173"/>
      <c r="BK225" s="173"/>
      <c r="BL225" s="173"/>
      <c r="BM225" s="173"/>
      <c r="BN225" s="173"/>
      <c r="BO225" s="173"/>
      <c r="BP225" s="173"/>
      <c r="BQ225" s="118"/>
      <c r="BR225" s="118"/>
      <c r="BS225" s="118">
        <f>INDEX('Dist. Plant Gas Additions'!$F$7:$AE$91,MATCH($C225,'Dist. Plant Gas Additions'!$D$7:$D$91,0),MATCH(Calculation!$G225,'Dist. Plant Gas Additions'!$F$5:$AE$5,0))</f>
        <v>899746</v>
      </c>
      <c r="BT225" s="118">
        <f>INDEX('Gen. Plant Additions'!$F$7:$AE$91,MATCH($C225,'Gen. Plant Additions'!$D$7:$D$91,0),MATCH(Calculation!$G225,'Gen. Plant Additions'!$F$5:$AE$5,0))</f>
        <v>18309</v>
      </c>
      <c r="BU225" s="118"/>
      <c r="BV225" s="118"/>
      <c r="BW225" s="118">
        <f>INDEX('Dist Plant Depreciation'!$E$7:$AD$94,MATCH($C225,'Dist Plant Depreciation'!$D$7:$D$94,0),MATCH(Calculation!$G225,'Dist Plant Depreciation'!$E$5:$AD$5,0))</f>
        <v>830889</v>
      </c>
      <c r="BX225" s="118">
        <f>INDEX('Gen. Plant Depreciation'!$E$7:$AD$94,MATCH($C225,'Gen. Plant Depreciation'!$D$7:$D$94,0),MATCH(Calculation!$G225,'Gen. Plant Depreciation'!$E$5:$AD$5,0))</f>
        <v>76076</v>
      </c>
      <c r="BY225" s="118"/>
      <c r="BZ225" s="118"/>
      <c r="CA225" s="118"/>
      <c r="CB225" s="118"/>
      <c r="CC225" s="118"/>
      <c r="CD225" s="118"/>
      <c r="CE225" s="118">
        <f>INDEX('Gross Dx Plant'!$E$7:$AD$91,MATCH($C225,'Gross Dx Plant'!$D$7:$D$91,0),MATCH(Calculation!$G225,'Gross Dx Plant'!$E$5:$AD$5,0))</f>
        <v>5693498</v>
      </c>
      <c r="CF225" s="118">
        <f>INDEX('Gross Gen Plant'!$E$7:$AD$91,MATCH($C225,'Gross Gen Plant'!$D$7:$D$91,0),MATCH(Calculation!$G225,'Gross Gen Plant'!$E$5:$AD$5,0))</f>
        <v>195655</v>
      </c>
      <c r="CG225" s="118">
        <f t="shared" si="426"/>
        <v>4982188</v>
      </c>
      <c r="CH225" s="118"/>
      <c r="CI225" s="121">
        <v>2019</v>
      </c>
      <c r="CJ225" s="118"/>
      <c r="CK225" s="118"/>
      <c r="CL225" s="118"/>
      <c r="CM225" s="183"/>
      <c r="CN225" s="118">
        <f t="shared" si="525"/>
        <v>918055</v>
      </c>
      <c r="CO225" s="118">
        <f t="shared" si="526"/>
        <v>1186.8239951681637</v>
      </c>
      <c r="CP225" s="186">
        <v>0.85106382978723405</v>
      </c>
      <c r="CQ225" s="118">
        <f>CQ204*CP225+CO205*CP224+CO206*CP223+CO207*CP222+CO208*CP221+CO209*CP220+CO210*CP219+CO211*CP218+CO212*CP217+CO213*CP216+CO214*CP215+CO215*CP214+CO216*CP213+CO217*CP212+CO218*CP211+CO219*CP210+CO220*CP209+CO221*CP208+CO222*CP207+CO223*CP206+CO224*CP205+CO225</f>
        <v>13191.284130169517</v>
      </c>
      <c r="CR225" s="119">
        <f t="shared" si="527"/>
        <v>8.5102109626804714E-2</v>
      </c>
      <c r="CS225" s="119"/>
      <c r="CT225" s="177">
        <f t="shared" si="528"/>
        <v>9.1339794989732503E-3</v>
      </c>
      <c r="CU225" s="177">
        <f t="shared" si="536"/>
        <v>8.9835204706351802E-3</v>
      </c>
      <c r="CV225" s="119">
        <f>VLOOKUP($H225,RoR!$E:$F,2,FALSE)</f>
        <v>3.3875000000000009E-2</v>
      </c>
      <c r="CW225" s="177">
        <v>1.8092492884465461E-2</v>
      </c>
      <c r="CX225" s="177">
        <f t="shared" si="534"/>
        <v>1.5782507115534548E-2</v>
      </c>
      <c r="CY225" s="177">
        <f t="shared" si="537"/>
        <v>2.1918421137898443E-2</v>
      </c>
      <c r="CZ225" s="177">
        <f t="shared" si="538"/>
        <v>4.8445665544254078E-2</v>
      </c>
      <c r="DA225" s="187">
        <f t="shared" si="529"/>
        <v>0.90381374874999998</v>
      </c>
      <c r="DB225" s="188">
        <f t="shared" si="530"/>
        <v>1.513861292459078</v>
      </c>
      <c r="DC225" s="188">
        <f t="shared" si="531"/>
        <v>0.23699261992619944</v>
      </c>
      <c r="DD225" s="188">
        <f t="shared" si="532"/>
        <v>0.73619765810468829</v>
      </c>
      <c r="DE225" s="188">
        <f t="shared" si="533"/>
        <v>0.26412854465362851</v>
      </c>
      <c r="DF225" s="189">
        <f>INDEX('State Tax Lookup'!$D$7:$Z$91,MATCH(Calculation!$C225,'State Tax Lookup'!$B$7:$B$91,0),MATCH($H225,'State Tax Lookup'!$D$6:$Z$6,0))</f>
        <v>0.25649666999999998</v>
      </c>
      <c r="DG225" s="189">
        <v>0.375</v>
      </c>
      <c r="DH225" s="190">
        <f t="shared" si="535"/>
        <v>20.551568243282095</v>
      </c>
      <c r="DI225" s="190">
        <v>20.306367730138717</v>
      </c>
      <c r="DJ225" s="177"/>
      <c r="DK225" s="189">
        <f>VLOOKUP($H225,RoR!$E:$F,2,FALSE)</f>
        <v>3.3875000000000009E-2</v>
      </c>
      <c r="DL225" s="191">
        <f>HLOOKUP($H225,'GDP-PI'!$D$8:$CQ$11,3,FALSE)</f>
        <v>1.8092492884465461E-2</v>
      </c>
      <c r="DM225" s="189">
        <f>VLOOKUP(H225,'HW Dx Data'!$E:$F,2,FALSE)</f>
        <v>773.53929793938721</v>
      </c>
      <c r="DN225" s="183">
        <f>VLOOKUP(H225,'ECI - Input Price'!$G$17:$H$37,2,FALSE)</f>
        <v>136.85</v>
      </c>
      <c r="DO225" s="177">
        <f t="shared" ref="DO225" si="589">LN(DN225/DN224)</f>
        <v>2.6658372440734168E-2</v>
      </c>
      <c r="DP225" s="183">
        <f>HLOOKUP(H225,'GDP-PI'!$8:$9,2,FALSE)</f>
        <v>112.318</v>
      </c>
      <c r="DQ225" s="177">
        <f t="shared" ref="DQ225" si="590">LN(DP225/DP224)</f>
        <v>1.7930771451401852E-2</v>
      </c>
    </row>
    <row r="226" spans="1:121" s="167" customFormat="1" ht="21" x14ac:dyDescent="0.35">
      <c r="A226" s="167" t="s">
        <v>39</v>
      </c>
      <c r="B226" s="167" t="s">
        <v>39</v>
      </c>
      <c r="C226" s="167">
        <v>4018679</v>
      </c>
      <c r="D226" s="167" t="s">
        <v>136</v>
      </c>
      <c r="E226" s="167" t="s">
        <v>126</v>
      </c>
      <c r="G226" s="168" t="s">
        <v>26</v>
      </c>
      <c r="H226" s="169">
        <v>2020</v>
      </c>
      <c r="I226" s="170"/>
      <c r="J226" s="166">
        <f>IFERROR(INDEX('Labor Expenditures'!$F$7:$X$91,MATCH($C226,'Labor Expenditures'!$D$7:$D$91,0),MATCH($G226,'Labor Expenditures'!$F$5:$X$5,0)),"NA")</f>
        <v>190825.51746889242</v>
      </c>
      <c r="K226" s="166">
        <f t="shared" si="541"/>
        <v>1358.6722496895154</v>
      </c>
      <c r="L226" s="172">
        <f t="shared" si="548"/>
        <v>-0.13764197959733876</v>
      </c>
      <c r="M226" s="172">
        <f t="shared" si="552"/>
        <v>-7.5435538378150332E-3</v>
      </c>
      <c r="N226" s="196"/>
      <c r="O226" s="172"/>
      <c r="P226" s="166">
        <f>IFERROR(INDEX('Non-Labor Expenditures'!$F$7:$AB$91,MATCH($C226,'Non-Labor Expenditures'!$D$7:$D$91,0),MATCH($G226,'Non-Labor Expenditures'!$F$5:$AB$5,0)),"NA")</f>
        <v>276350.99058527779</v>
      </c>
      <c r="Q226" s="166">
        <f t="shared" si="542"/>
        <v>2432.1747408999745</v>
      </c>
      <c r="R226" s="172">
        <f t="shared" si="553"/>
        <v>-0.12322767826516701</v>
      </c>
      <c r="S226" s="172">
        <f t="shared" si="558"/>
        <v>-6.7535691365500352E-3</v>
      </c>
      <c r="T226" s="172"/>
      <c r="U226" s="172"/>
      <c r="V226" s="166">
        <f t="shared" si="523"/>
        <v>283477.92126175377</v>
      </c>
      <c r="W226" s="170"/>
      <c r="X226" s="174">
        <v>13540.867884179255</v>
      </c>
      <c r="Y226" s="175">
        <v>2.6156044893727155E-2</v>
      </c>
      <c r="Z226" s="175">
        <f t="shared" si="559"/>
        <v>1.4334982206544249E-3</v>
      </c>
      <c r="AA226" s="175"/>
      <c r="AB226" s="175"/>
      <c r="AC226" s="170">
        <f t="shared" si="490"/>
        <v>750654.42931592395</v>
      </c>
      <c r="AD226" s="175">
        <f t="shared" si="554"/>
        <v>-2.7207570762514989E-2</v>
      </c>
      <c r="AE226" s="170"/>
      <c r="AF226" s="170"/>
      <c r="AG226" s="121">
        <f t="shared" si="555"/>
        <v>593.85761054588374</v>
      </c>
      <c r="AH226" s="119">
        <f>+AZ226/$BB$58</f>
        <v>3.2872158318418131E-2</v>
      </c>
      <c r="AI226" s="119">
        <f>+AZ226/$BC$59</f>
        <v>0.13868990192209177</v>
      </c>
      <c r="AJ226" s="176">
        <f t="shared" si="560"/>
        <v>19.521381392461787</v>
      </c>
      <c r="AK226" s="176">
        <f t="shared" si="561"/>
        <v>82.362053762296384</v>
      </c>
      <c r="AL226" s="120">
        <f t="shared" si="543"/>
        <v>0.2542122047328661</v>
      </c>
      <c r="AM226" s="120">
        <f t="shared" si="544"/>
        <v>0.36814675274362685</v>
      </c>
      <c r="AN226" s="120">
        <f t="shared" si="545"/>
        <v>0.37764104252350705</v>
      </c>
      <c r="AO226" s="120">
        <f t="shared" si="549"/>
        <v>-7.4737150774080899E-2</v>
      </c>
      <c r="AP226" s="173">
        <f t="shared" si="565"/>
        <v>141.84564086174589</v>
      </c>
      <c r="AQ226" s="175">
        <f t="shared" si="566"/>
        <v>-7.4737150774080871E-2</v>
      </c>
      <c r="AR226" s="177">
        <f>+AC226/$AE$58</f>
        <v>5.4805618604753664E-2</v>
      </c>
      <c r="AS226" s="177">
        <f t="shared" si="562"/>
        <v>-4.0960157809302464E-3</v>
      </c>
      <c r="AT226" s="177"/>
      <c r="AU226" s="177"/>
      <c r="AV226" s="177"/>
      <c r="AW226" s="190"/>
      <c r="AX226" s="120"/>
      <c r="AY226" s="120"/>
      <c r="AZ226" s="118">
        <f>IFERROR(INDEX('Total Customers'!$F$7:$AB$91,MATCH($C226,'Total Customers'!$D$7:$D$91,0),MATCH($G226,'Total Customers'!$F$5:$AB$5,0)),"NA")</f>
        <v>1264031</v>
      </c>
      <c r="BA226" s="119">
        <f t="shared" si="524"/>
        <v>-2.3768614982073023E-3</v>
      </c>
      <c r="BB226" s="119"/>
      <c r="BC226" s="121">
        <v>9060252</v>
      </c>
      <c r="BD226" s="119"/>
      <c r="BE226" s="119"/>
      <c r="BF226" s="119"/>
      <c r="BG226" s="173"/>
      <c r="BH226" s="173"/>
      <c r="BI226" s="173"/>
      <c r="BJ226" s="173"/>
      <c r="BK226" s="173"/>
      <c r="BL226" s="173"/>
      <c r="BM226" s="173"/>
      <c r="BN226" s="173"/>
      <c r="BO226" s="173"/>
      <c r="BP226" s="173"/>
      <c r="BQ226" s="118"/>
      <c r="BR226" s="118"/>
      <c r="BS226" s="118">
        <f>INDEX('Dist. Plant Gas Additions'!$F$7:$AE$91,MATCH($C226,'Dist. Plant Gas Additions'!$D$7:$D$91,0),MATCH(Calculation!$G226,'Dist. Plant Gas Additions'!$F$5:$AE$5,0))</f>
        <v>370927</v>
      </c>
      <c r="BT226" s="118">
        <f>INDEX('Gen. Plant Additions'!$F$7:$AE$91,MATCH($C226,'Gen. Plant Additions'!$D$7:$D$91,0),MATCH(Calculation!$G226,'Gen. Plant Additions'!$F$5:$AE$5,0))</f>
        <v>11714</v>
      </c>
      <c r="BU226" s="118"/>
      <c r="BV226" s="118"/>
      <c r="BW226" s="118">
        <f>INDEX('Dist Plant Depreciation'!$E$7:$AD$94,MATCH($C226,'Dist Plant Depreciation'!$D$7:$D$94,0),MATCH(Calculation!$G226,'Dist Plant Depreciation'!$E$5:$AD$5,0))</f>
        <v>884433</v>
      </c>
      <c r="BX226" s="118">
        <f>INDEX('Gen. Plant Depreciation'!$E$7:$AD$94,MATCH($C226,'Gen. Plant Depreciation'!$D$7:$D$94,0),MATCH(Calculation!$G226,'Gen. Plant Depreciation'!$E$5:$AD$5,0))</f>
        <v>82388</v>
      </c>
      <c r="BY226" s="118"/>
      <c r="BZ226" s="118"/>
      <c r="CA226" s="118"/>
      <c r="CB226" s="118"/>
      <c r="CC226" s="118"/>
      <c r="CD226" s="118"/>
      <c r="CE226" s="118">
        <f>INDEX('Gross Dx Plant'!$E$7:$AD$91,MATCH($C226,'Gross Dx Plant'!$D$7:$D$91,0),MATCH(Calculation!$G226,'Gross Dx Plant'!$E$5:$AD$5,0))</f>
        <v>6056781</v>
      </c>
      <c r="CF226" s="118">
        <f>INDEX('Gross Gen Plant'!$E$7:$AD$91,MATCH($C226,'Gross Gen Plant'!$D$7:$D$91,0),MATCH(Calculation!$G226,'Gross Gen Plant'!$E$5:$AD$5,0))</f>
        <v>205157</v>
      </c>
      <c r="CG226" s="118">
        <f t="shared" si="426"/>
        <v>5295117</v>
      </c>
      <c r="CH226" s="118"/>
      <c r="CI226" s="121">
        <v>2020</v>
      </c>
      <c r="CJ226" s="118"/>
      <c r="CK226" s="118"/>
      <c r="CL226" s="118"/>
      <c r="CM226" s="183"/>
      <c r="CN226" s="118">
        <f t="shared" si="525"/>
        <v>382641</v>
      </c>
      <c r="CO226" s="118">
        <f t="shared" si="526"/>
        <v>470.6067343259939</v>
      </c>
      <c r="CP226" s="186">
        <v>0.84057971014492749</v>
      </c>
      <c r="CQ226" s="118">
        <f>CQ204*CP226+CO205*CP225+CO206*CP224+CO207*CP223+CO208*CP222+CO209*CP221+CO210*CP220+CO211*CP219+CO212*CP218+CO213*CP217+CO214*CP216+CO215*CP215+CO216*CP214+CO217*CP213+CO218*CP212+CO219*CP211+CO220*CP210+CO221*CP209+CO222*CP208+CO223*CP207+CO224*CP206+CO225*CP205+CO226</f>
        <v>13540.867884179255</v>
      </c>
      <c r="CR226" s="119">
        <f t="shared" si="527"/>
        <v>2.6156044893727155E-2</v>
      </c>
      <c r="CS226" s="119"/>
      <c r="CT226" s="177">
        <f t="shared" si="528"/>
        <v>9.1744654365731176E-3</v>
      </c>
      <c r="CU226" s="177">
        <f t="shared" si="536"/>
        <v>9.1042542894423702E-3</v>
      </c>
      <c r="CV226" s="119">
        <f>VLOOKUP($H226,RoR!$E:$F,2,FALSE)</f>
        <v>2.4766666666666666E-2</v>
      </c>
      <c r="CW226" s="177">
        <v>1.1618796630994188E-2</v>
      </c>
      <c r="CX226" s="177">
        <f t="shared" si="534"/>
        <v>1.3147870035672478E-2</v>
      </c>
      <c r="CY226" s="177">
        <f t="shared" si="537"/>
        <v>2.1797687319091257E-2</v>
      </c>
      <c r="CZ226" s="177">
        <f t="shared" si="538"/>
        <v>4.5144642961987357E-2</v>
      </c>
      <c r="DA226" s="187">
        <f t="shared" si="529"/>
        <v>0.90381374874999998</v>
      </c>
      <c r="DB226" s="188">
        <f t="shared" si="530"/>
        <v>2.0706077233668081</v>
      </c>
      <c r="DC226" s="188">
        <f t="shared" si="531"/>
        <v>-3.4421265141318998E-2</v>
      </c>
      <c r="DD226" s="188">
        <f t="shared" si="532"/>
        <v>0.62416226176410472</v>
      </c>
      <c r="DE226" s="188">
        <f t="shared" si="533"/>
        <v>-4.4485877841158712E-2</v>
      </c>
      <c r="DF226" s="189">
        <f>INDEX('State Tax Lookup'!$D$7:$Z$91,MATCH(Calculation!$C226,'State Tax Lookup'!$B$7:$B$91,0),MATCH($H226,'State Tax Lookup'!$D$6:$Z$6,0))</f>
        <v>0.25649666999999998</v>
      </c>
      <c r="DG226" s="189">
        <v>0.375</v>
      </c>
      <c r="DH226" s="190">
        <f t="shared" si="535"/>
        <v>21.489789656900587</v>
      </c>
      <c r="DI226" s="190">
        <v>21.348849049135101</v>
      </c>
      <c r="DJ226" s="177"/>
      <c r="DK226" s="189">
        <f>VLOOKUP($H226,RoR!$E:$F,2,FALSE)</f>
        <v>2.4766666666666666E-2</v>
      </c>
      <c r="DL226" s="191">
        <f>HLOOKUP($H226,'GDP-PI'!$D$8:$CQ$11,3,FALSE)</f>
        <v>1.1618796630994188E-2</v>
      </c>
      <c r="DM226" s="189">
        <f>VLOOKUP(H226,'HW Dx Data'!$E:$F,2,FALSE)</f>
        <v>813.080162458833</v>
      </c>
      <c r="DN226" s="183">
        <f>VLOOKUP(H226,'ECI - Input Price'!$G$17:$H$37,2,FALSE)</f>
        <v>140.44999999999999</v>
      </c>
      <c r="DO226" s="177">
        <f t="shared" ref="DO226" si="591">LN(DN226/DN225)</f>
        <v>2.5966118063564539E-2</v>
      </c>
      <c r="DP226" s="183">
        <f>HLOOKUP(H226,'GDP-PI'!$8:$9,2,FALSE)</f>
        <v>113.623</v>
      </c>
      <c r="DQ226" s="177">
        <f t="shared" ref="DQ226" si="592">LN(DP226/DP225)</f>
        <v>1.1551816731392881E-2</v>
      </c>
    </row>
    <row r="227" spans="1:121" s="167" customFormat="1" ht="21" x14ac:dyDescent="0.35">
      <c r="A227" s="167" t="s">
        <v>39</v>
      </c>
      <c r="B227" s="167" t="s">
        <v>39</v>
      </c>
      <c r="C227" s="167">
        <v>4018679</v>
      </c>
      <c r="D227" s="167" t="s">
        <v>136</v>
      </c>
      <c r="E227" s="167" t="s">
        <v>126</v>
      </c>
      <c r="G227" s="168" t="s">
        <v>462</v>
      </c>
      <c r="H227" s="169">
        <v>2021</v>
      </c>
      <c r="I227" s="170"/>
      <c r="J227" s="166">
        <f>IFERROR(INDEX('Labor Expenditures'!$E$7:$X$91,MATCH($C227,'Labor Expenditures'!$D$7:$D$91,0),MATCH($G227,'Labor Expenditures'!$E$5:$X$5,0)),"NA")</f>
        <v>190626.12035171376</v>
      </c>
      <c r="K227" s="166">
        <f t="shared" si="541"/>
        <v>1310.3703065936672</v>
      </c>
      <c r="L227" s="171">
        <f t="shared" si="548"/>
        <v>-3.6198161819842242E-2</v>
      </c>
      <c r="M227" s="172">
        <f t="shared" si="552"/>
        <v>-2.1324328155056076E-3</v>
      </c>
      <c r="N227" s="196"/>
      <c r="O227" s="172"/>
      <c r="P227" s="166">
        <f>IFERROR(INDEX('Non-Labor Expenditures'!$E$7:$AB$91,MATCH($C227,'Non-Labor Expenditures'!$D$7:$D$91,0),MATCH($G227,'Non-Labor Expenditures'!$E$5:$AB$5,0)),"NA")</f>
        <v>268713.92868856038</v>
      </c>
      <c r="Q227" s="166">
        <f t="shared" si="542"/>
        <v>2267.8194673690641</v>
      </c>
      <c r="R227" s="172">
        <f t="shared" si="553"/>
        <v>-6.9967029449978679E-2</v>
      </c>
      <c r="S227" s="172">
        <f t="shared" si="558"/>
        <v>-4.1217559705144175E-3</v>
      </c>
      <c r="T227" s="172"/>
      <c r="U227" s="172"/>
      <c r="V227" s="166">
        <f t="shared" si="523"/>
        <v>409489.4323161951</v>
      </c>
      <c r="W227" s="170"/>
      <c r="X227" s="174">
        <v>14145.4284224371</v>
      </c>
      <c r="Y227" s="175"/>
      <c r="Z227" s="175">
        <f t="shared" si="559"/>
        <v>0</v>
      </c>
      <c r="AA227" s="175"/>
      <c r="AB227" s="175"/>
      <c r="AC227" s="170">
        <f t="shared" si="490"/>
        <v>868829.48135646922</v>
      </c>
      <c r="AD227" s="175">
        <f t="shared" si="554"/>
        <v>0.14620148354371404</v>
      </c>
      <c r="AE227" s="118"/>
      <c r="AF227" s="119"/>
      <c r="AG227" s="121">
        <f t="shared" si="555"/>
        <v>686.40499787991894</v>
      </c>
      <c r="AH227" s="119">
        <f>+AZ227/$BB$59</f>
        <v>3.2475429241085159E-2</v>
      </c>
      <c r="AI227" s="119">
        <f t="shared" ref="AI227" si="593">+AZ227/$BC$44</f>
        <v>0.15347522006087511</v>
      </c>
      <c r="AJ227" s="176">
        <f t="shared" si="560"/>
        <v>22.291296939376515</v>
      </c>
      <c r="AK227" s="176">
        <f t="shared" si="561"/>
        <v>105.34615810050506</v>
      </c>
      <c r="AL227" s="120">
        <f t="shared" si="543"/>
        <v>0.21940567676651201</v>
      </c>
      <c r="AM227" s="120">
        <f t="shared" si="544"/>
        <v>0.30928270098411936</v>
      </c>
      <c r="AN227" s="120">
        <f t="shared" si="545"/>
        <v>0.47131162224936868</v>
      </c>
      <c r="AO227" s="120">
        <f t="shared" si="549"/>
        <v>-3.2270911627268771E-2</v>
      </c>
      <c r="AP227" s="173">
        <f t="shared" si="565"/>
        <v>137.34122443883413</v>
      </c>
      <c r="AQ227" s="175">
        <f t="shared" si="566"/>
        <v>-3.2270911627268792E-2</v>
      </c>
      <c r="AR227" s="177">
        <f>+AC227/$AE$59</f>
        <v>5.8909975211412578E-2</v>
      </c>
      <c r="AS227" s="177">
        <f t="shared" si="562"/>
        <v>-1.9010786040120904E-3</v>
      </c>
      <c r="AT227" s="177"/>
      <c r="AU227" s="177"/>
      <c r="AV227" s="177"/>
      <c r="AW227" s="190"/>
      <c r="AX227" s="120"/>
      <c r="AY227" s="120"/>
      <c r="AZ227" s="118">
        <f>INDEX('Total Customers'!$E$7:$E$91,MATCH(Calculation!$C227,'Total Customers'!$D$7:$D$91,0))</f>
        <v>1265768</v>
      </c>
      <c r="BA227" s="119">
        <f t="shared" si="524"/>
        <v>1.3732318440829493E-3</v>
      </c>
      <c r="BB227" s="118"/>
      <c r="BC227" s="121"/>
      <c r="BD227" s="118"/>
      <c r="BE227" s="119"/>
      <c r="BF227" s="119"/>
      <c r="BG227" s="173"/>
      <c r="BH227" s="173"/>
      <c r="BI227" s="173"/>
      <c r="BJ227" s="173"/>
      <c r="BK227" s="173"/>
      <c r="BL227" s="173"/>
      <c r="BM227" s="173"/>
      <c r="BN227" s="173"/>
      <c r="BO227" s="173"/>
      <c r="BP227" s="173"/>
      <c r="BQ227" s="118"/>
      <c r="BR227" s="118"/>
      <c r="BS227" s="118">
        <f>INDEX('Dist. Plant Gas Additions'!$E$7:$AE$91,MATCH($C227,'Dist. Plant Gas Additions'!$D$7:$D$91,0),MATCH(Calculation!$G227,'Dist. Plant Gas Additions'!$E$5:$AE$5,0))</f>
        <v>476594</v>
      </c>
      <c r="BT227" s="118">
        <f>INDEX('Gen. Plant Additions'!$E$7:$AE$91,MATCH($C227,'Gen. Plant Additions'!$D$7:$D$91,0),MATCH(Calculation!$G227,'Gen. Plant Additions'!$E$5:$AE$5,0))</f>
        <v>13813</v>
      </c>
      <c r="BU227" s="118"/>
      <c r="BV227" s="118"/>
      <c r="BW227" s="118"/>
      <c r="BX227" s="118"/>
      <c r="BY227" s="183"/>
      <c r="BZ227" s="183"/>
      <c r="CA227" s="178"/>
      <c r="CB227" s="184"/>
      <c r="CC227" s="185"/>
      <c r="CD227" s="185"/>
      <c r="CE227" s="118"/>
      <c r="CF227" s="118"/>
      <c r="CG227" s="118"/>
      <c r="CH227" s="118"/>
      <c r="CI227" s="121">
        <v>2021</v>
      </c>
      <c r="CJ227" s="118"/>
      <c r="CK227" s="118"/>
      <c r="CL227" s="118"/>
      <c r="CM227" s="183"/>
      <c r="CN227" s="118">
        <f t="shared" si="525"/>
        <v>490407</v>
      </c>
      <c r="CO227" s="118">
        <f t="shared" si="526"/>
        <v>525.61111914423304</v>
      </c>
      <c r="CP227" s="186">
        <f>+(51-23)/(51-23*0.75)</f>
        <v>0.82962962962962961</v>
      </c>
      <c r="CQ227" s="118">
        <f>CQ204*CP227+CO205*CP226+CO206*CP225+CO207*CP224+CO208*CP223+CO209*CP222+CO210*CP221+CO211*CP220+CO212*CP219+CO213*CP218+CO214*CP217+CO215*CP216+CO216*CP215+CO217*CP214+CO218*CP213+CO209*CP212+CO220*CP211+CO221*CP210+CO222*CP209+CO223*CP208+CO224*CP207+CO225*CP206+CO227+CO226*CP205</f>
        <v>14145.4284224371</v>
      </c>
      <c r="CR227" s="119"/>
      <c r="CS227" s="118"/>
      <c r="CT227" s="177">
        <f t="shared" si="528"/>
        <v>-5.8304548710540341E-3</v>
      </c>
      <c r="CU227" s="177">
        <f t="shared" si="536"/>
        <v>4.1593300214974446E-3</v>
      </c>
      <c r="CV227" s="119">
        <f>VLOOKUP($H227,RoR!$E:$F,2,FALSE)</f>
        <v>2.7033333333333336E-2</v>
      </c>
      <c r="CW227" s="177"/>
      <c r="CX227" s="177"/>
      <c r="CY227" s="177">
        <f t="shared" si="537"/>
        <v>2.674261158703618E-2</v>
      </c>
      <c r="CZ227" s="177">
        <f t="shared" si="538"/>
        <v>7.433422950153494E-2</v>
      </c>
      <c r="DA227" s="187">
        <f t="shared" si="529"/>
        <v>0.90381374874999998</v>
      </c>
      <c r="DB227" s="188">
        <f t="shared" si="530"/>
        <v>1.8969932656739068</v>
      </c>
      <c r="DC227" s="188">
        <f t="shared" si="531"/>
        <v>5.0215782983970621E-2</v>
      </c>
      <c r="DD227" s="188">
        <f t="shared" si="532"/>
        <v>0.655952481704143</v>
      </c>
      <c r="DE227" s="188">
        <f t="shared" si="533"/>
        <v>6.2485378865697057E-2</v>
      </c>
      <c r="DF227" s="189">
        <f>DF226</f>
        <v>0.25649666999999998</v>
      </c>
      <c r="DG227" s="189">
        <v>0.375</v>
      </c>
      <c r="DH227" s="190">
        <f t="shared" si="535"/>
        <v>30.241003443703214</v>
      </c>
      <c r="DI227" s="190"/>
      <c r="DJ227" s="177">
        <f t="shared" ref="DJ227" si="594">LN(DH227/DH226)</f>
        <v>0.34162081076893525</v>
      </c>
      <c r="DK227" s="189">
        <f>VLOOKUP($H227,RoR!$E:$F,2,FALSE)</f>
        <v>2.7033333333333336E-2</v>
      </c>
      <c r="DL227" s="191">
        <f>HLOOKUP($H227,'GDP-PI'!$D$8:$CR$11,3,FALSE)</f>
        <v>4.2834637353352578E-2</v>
      </c>
      <c r="DM227" s="189">
        <f>VLOOKUP(H227,'HW Dx Data'!$E:$F,2,FALSE)</f>
        <v>933.02249921662576</v>
      </c>
      <c r="DN227" s="183">
        <f>VLOOKUP(H227,'ECI - Input Price'!$G$17:$H$37,2,FALSE)</f>
        <v>145.47500000000002</v>
      </c>
      <c r="DO227" s="177">
        <f t="shared" ref="DO227" si="595">LN(DN227/DN226)</f>
        <v>3.5152696992481205E-2</v>
      </c>
      <c r="DP227" s="183">
        <f>HLOOKUP(H227,'GDP-PI'!$8:$9,2,FALSE)</f>
        <v>118.49</v>
      </c>
      <c r="DQ227" s="177">
        <f t="shared" ref="DQ227" si="596">LN(DP227/DP226)</f>
        <v>4.194261824609434E-2</v>
      </c>
    </row>
    <row r="228" spans="1:121" s="167" customFormat="1" ht="21" x14ac:dyDescent="0.35">
      <c r="A228" s="167" t="s">
        <v>40</v>
      </c>
      <c r="B228" s="168" t="s">
        <v>40</v>
      </c>
      <c r="C228" s="168">
        <v>4057112</v>
      </c>
      <c r="D228" s="168" t="s">
        <v>133</v>
      </c>
      <c r="E228" s="168"/>
      <c r="F228" s="168"/>
      <c r="G228" s="168" t="s">
        <v>4</v>
      </c>
      <c r="H228" s="169">
        <v>1998</v>
      </c>
      <c r="I228" s="170"/>
      <c r="J228" s="166"/>
      <c r="K228" s="166"/>
      <c r="L228" s="166"/>
      <c r="M228" s="166"/>
      <c r="N228" s="196"/>
      <c r="O228" s="166"/>
      <c r="P228" s="172"/>
      <c r="Q228" s="172"/>
      <c r="R228" s="172"/>
      <c r="S228" s="166"/>
      <c r="T228" s="172"/>
      <c r="U228" s="172"/>
      <c r="V228" s="166"/>
      <c r="W228" s="170"/>
      <c r="X228" s="174">
        <v>1301.1537296905281</v>
      </c>
      <c r="Y228" s="175"/>
      <c r="Z228" s="166"/>
      <c r="AA228" s="175"/>
      <c r="AB228" s="175"/>
      <c r="AC228" s="170">
        <f t="shared" si="490"/>
        <v>0</v>
      </c>
      <c r="AD228" s="170"/>
      <c r="AE228" s="170"/>
      <c r="AF228" s="119"/>
      <c r="AG228" s="174"/>
      <c r="AH228" s="175"/>
      <c r="AI228" s="175"/>
      <c r="AJ228" s="174"/>
      <c r="AK228" s="174"/>
      <c r="AL228" s="120"/>
      <c r="AM228" s="120"/>
      <c r="AN228" s="120"/>
      <c r="AO228" s="120"/>
      <c r="AP228" s="120"/>
      <c r="AQ228" s="175">
        <f>AVERAGE(AQ237:AQ251)</f>
        <v>2.737202571009009E-3</v>
      </c>
      <c r="AR228" s="120"/>
      <c r="AS228" s="120"/>
      <c r="AT228" s="120"/>
      <c r="AU228" s="120"/>
      <c r="AV228" s="120"/>
      <c r="AW228" s="120"/>
      <c r="AX228" s="120"/>
      <c r="AY228" s="120"/>
      <c r="AZ228" s="118">
        <f>IFERROR(INDEX('Total Customers'!$F$7:$AB$91,MATCH($C228,'Total Customers'!$D$7:$D$91,0),MATCH($G228,'Total Customers'!$F$5:$AB$5,0)),"NA")</f>
        <v>168569</v>
      </c>
      <c r="BA228" s="119"/>
      <c r="BB228" s="119"/>
      <c r="BC228" s="121"/>
      <c r="BD228" s="119"/>
      <c r="BE228" s="119"/>
      <c r="BF228" s="119"/>
      <c r="BG228" s="173"/>
      <c r="BH228" s="173"/>
      <c r="BI228" s="173"/>
      <c r="BJ228" s="173"/>
      <c r="BK228" s="173"/>
      <c r="BL228" s="173"/>
      <c r="BM228" s="173"/>
      <c r="BN228" s="173"/>
      <c r="BO228" s="173"/>
      <c r="BP228" s="173"/>
      <c r="BQ228" s="118">
        <f>INDEX('Gross Dx Plant'!$E$7:$AD$91,MATCH($C228,'Gross Dx Plant'!$D$7:$D$91,0),MATCH(Calculation!$G228,'Gross Dx Plant'!$E$5:$AD$5,0))</f>
        <v>389794</v>
      </c>
      <c r="BR228" s="118">
        <f>INDEX('Gross Gen Plant'!$E$7:$AD$91,MATCH($C228,'Gross Gen Plant'!$D$7:$D$91,0),MATCH(Calculation!$G228,'Gross Gen Plant'!$E$5:$AD$5,0))</f>
        <v>35624</v>
      </c>
      <c r="BS228" s="118">
        <f>INDEX('Dist. Plant Gas Additions'!$F$7:$AE$91,MATCH($C228,'Dist. Plant Gas Additions'!$D$7:$D$91,0),MATCH(Calculation!$G228,'Dist. Plant Gas Additions'!$F$5:$AE$5,0))</f>
        <v>23848</v>
      </c>
      <c r="BT228" s="118">
        <f>INDEX('Gen. Plant Additions'!$F$7:$AE$91,MATCH($C228,'Gen. Plant Additions'!$D$7:$D$91,0),MATCH(Calculation!$G228,'Gen. Plant Additions'!$F$5:$AE$5,0))</f>
        <v>3257</v>
      </c>
      <c r="BU228" s="118" t="e">
        <f>INDEX('Dist Plant Depreciation'!$E$7:$AA$94,MATCH($C228,'Dist Plant Depreciation'!$D$7:$D$94,0),MATCH(#REF!,'Dist Plant Depreciation'!$E$5:$AA$5,0))</f>
        <v>#REF!</v>
      </c>
      <c r="BV228" s="118" t="e">
        <f>INDEX('Gen. Plant Depreciation'!$E$7:$AA$94,MATCH($C228,'Gen. Plant Depreciation'!$D$7:$D$94,0),MATCH(#REF!,'Gen. Plant Depreciation'!$E$5:$AA$5,0))</f>
        <v>#REF!</v>
      </c>
      <c r="BW228" s="118">
        <f>INDEX('Dist Plant Depreciation'!$E$7:$AD$94,MATCH($C228,'Dist Plant Depreciation'!$D$7:$D$94,0),MATCH(Calculation!$G228,'Dist Plant Depreciation'!$E$5:$AD$5,0))</f>
        <v>145598</v>
      </c>
      <c r="BX228" s="118">
        <f>INDEX('Gen. Plant Depreciation'!$E$7:$AD$94,MATCH($C228,'Gen. Plant Depreciation'!$D$7:$D$94,0),MATCH(Calculation!$G228,'Gen. Plant Depreciation'!$E$5:$AD$5,0))</f>
        <v>17352</v>
      </c>
      <c r="BY228" s="118"/>
      <c r="BZ228" s="118"/>
      <c r="CA228" s="118"/>
      <c r="CB228" s="118"/>
      <c r="CC228" s="118"/>
      <c r="CD228" s="118"/>
      <c r="CE228" s="118">
        <f>INDEX('Gross Dx Plant'!$E$7:$AD$91,MATCH($C228,'Gross Dx Plant'!$D$7:$D$91,0),MATCH(Calculation!$G228,'Gross Dx Plant'!$E$5:$AD$5,0))</f>
        <v>389794</v>
      </c>
      <c r="CF228" s="118">
        <f>INDEX('Gross Gen Plant'!$E$7:$AD$91,MATCH($C228,'Gross Gen Plant'!$D$7:$D$91,0),MATCH(Calculation!$G228,'Gross Gen Plant'!$E$5:$AD$5,0))</f>
        <v>35624</v>
      </c>
      <c r="CG228" s="118">
        <f t="shared" si="426"/>
        <v>262468</v>
      </c>
      <c r="CH228" s="118"/>
      <c r="CI228" s="121">
        <v>1998</v>
      </c>
      <c r="CJ228" s="118">
        <f>BQ228+BR228</f>
        <v>425418</v>
      </c>
      <c r="CK228" s="118">
        <f>145598+17352</f>
        <v>162950</v>
      </c>
      <c r="CL228" s="118">
        <f>+CJ228-CK228</f>
        <v>262468</v>
      </c>
      <c r="CM228" s="118">
        <f>CL228/$CD$36</f>
        <v>1301.1537296905281</v>
      </c>
      <c r="CN228" s="183"/>
      <c r="CO228" s="183"/>
      <c r="CP228" s="186">
        <v>1</v>
      </c>
      <c r="CQ228" s="118">
        <f>+CM228</f>
        <v>1301.1537296905281</v>
      </c>
      <c r="CR228" s="119"/>
      <c r="CS228" s="119"/>
      <c r="CT228" s="177"/>
      <c r="CU228" s="177"/>
      <c r="CV228" s="119" t="e">
        <f>VLOOKUP($H228,RoR!$E:$F,2,FALSE)</f>
        <v>#N/A</v>
      </c>
      <c r="CW228" s="177">
        <v>1.1028127770464469E-2</v>
      </c>
      <c r="CX228" s="177"/>
      <c r="CY228" s="177"/>
      <c r="CZ228" s="177"/>
      <c r="DA228" s="187"/>
      <c r="DB228" s="190" t="e">
        <f>2/(DK228*39)</f>
        <v>#N/A</v>
      </c>
      <c r="DC228" s="188" t="e">
        <f>+(DK228*40-(1+DK228))/(DK228*40)</f>
        <v>#N/A</v>
      </c>
      <c r="DD228" s="188" t="e">
        <f>+(1-(1/(1+DK228)^40))</f>
        <v>#N/A</v>
      </c>
      <c r="DE228" s="188" t="e">
        <f>+DD228*DC228*DB228</f>
        <v>#N/A</v>
      </c>
      <c r="DF228" s="189">
        <f>INDEX('State Tax Lookup'!$D$7:$Z$91,MATCH(Calculation!$C228,'State Tax Lookup'!$B$7:$B$91,0),MATCH($H228,'State Tax Lookup'!$D$6:$Z$6,0))</f>
        <v>0.35</v>
      </c>
      <c r="DG228" s="189">
        <v>0.375</v>
      </c>
      <c r="DH228" s="183"/>
      <c r="DI228" s="183"/>
      <c r="DJ228" s="177"/>
      <c r="DK228" s="189" t="e">
        <f>VLOOKUP($H228,RoR!$E:$F,2,FALSE)</f>
        <v>#N/A</v>
      </c>
      <c r="DL228" s="191">
        <f>HLOOKUP($H228,'GDP-PI'!$D$8:$CQ$11,3,FALSE)</f>
        <v>1.1028127770464469E-2</v>
      </c>
      <c r="DM228" s="189">
        <f>VLOOKUP(H228,'HW Dx Data'!$E:$F,2,FALSE)</f>
        <v>329.24564746449528</v>
      </c>
      <c r="DN228" s="183" t="e">
        <f>VLOOKUP(H228,'ECI - Input Price'!$G$17:$H$37,2,FALSE)</f>
        <v>#N/A</v>
      </c>
      <c r="DO228" s="177"/>
      <c r="DP228" s="183">
        <f>HLOOKUP(H228,'GDP-PI'!$8:$9,2,FALSE)</f>
        <v>75.266999999999996</v>
      </c>
    </row>
    <row r="229" spans="1:121" s="167" customFormat="1" ht="21" x14ac:dyDescent="0.35">
      <c r="A229" s="167" t="s">
        <v>40</v>
      </c>
      <c r="B229" s="168" t="s">
        <v>40</v>
      </c>
      <c r="C229" s="168">
        <v>4057112</v>
      </c>
      <c r="D229" s="168" t="s">
        <v>133</v>
      </c>
      <c r="E229" s="168"/>
      <c r="F229" s="168"/>
      <c r="G229" s="168" t="s">
        <v>5</v>
      </c>
      <c r="H229" s="169">
        <v>1999</v>
      </c>
      <c r="I229" s="170"/>
      <c r="J229" s="166"/>
      <c r="K229" s="166"/>
      <c r="L229" s="166"/>
      <c r="M229" s="166"/>
      <c r="N229" s="173"/>
      <c r="O229" s="170"/>
      <c r="P229" s="177"/>
      <c r="Q229" s="177"/>
      <c r="R229" s="177"/>
      <c r="S229" s="195"/>
      <c r="T229" s="177"/>
      <c r="U229" s="177"/>
      <c r="V229" s="166">
        <f t="shared" ref="V229:V251" si="597">+CQ228*DH229</f>
        <v>0</v>
      </c>
      <c r="W229" s="170"/>
      <c r="X229" s="174">
        <v>1360.0497474428309</v>
      </c>
      <c r="Y229" s="175">
        <v>4.4269922817638835E-2</v>
      </c>
      <c r="Z229" s="175"/>
      <c r="AA229" s="175"/>
      <c r="AB229" s="175"/>
      <c r="AC229" s="170">
        <f t="shared" si="490"/>
        <v>0</v>
      </c>
      <c r="AD229" s="175"/>
      <c r="AE229" s="170"/>
      <c r="AF229" s="119"/>
      <c r="AG229" s="174"/>
      <c r="AH229" s="175"/>
      <c r="AI229" s="175"/>
      <c r="AJ229" s="174"/>
      <c r="AK229" s="174"/>
      <c r="AL229" s="120"/>
      <c r="AM229" s="120"/>
      <c r="AN229" s="120"/>
      <c r="AO229" s="120"/>
      <c r="AP229" s="120"/>
      <c r="AQ229" s="175"/>
      <c r="AR229" s="120"/>
      <c r="AS229" s="120"/>
      <c r="AT229" s="120"/>
      <c r="AU229" s="120"/>
      <c r="AV229" s="120"/>
      <c r="AW229" s="120"/>
      <c r="AX229" s="120"/>
      <c r="AY229" s="120"/>
      <c r="AZ229" s="118">
        <f>IFERROR(INDEX('Total Customers'!$F$7:$AB$91,MATCH($C229,'Total Customers'!$D$7:$D$91,0),MATCH($G229,'Total Customers'!$F$5:$AB$5,0)),"NA")</f>
        <v>185267</v>
      </c>
      <c r="BA229" s="119">
        <f t="shared" ref="BA229:BA251" si="598">LN(AZ229/AZ228)</f>
        <v>9.4452866326066018E-2</v>
      </c>
      <c r="BB229" s="119"/>
      <c r="BC229" s="121"/>
      <c r="BD229" s="119"/>
      <c r="BE229" s="119"/>
      <c r="BF229" s="119"/>
      <c r="BG229" s="173"/>
      <c r="BH229" s="173"/>
      <c r="BI229" s="173"/>
      <c r="BJ229" s="173"/>
      <c r="BK229" s="173"/>
      <c r="BL229" s="173"/>
      <c r="BM229" s="173"/>
      <c r="BN229" s="173"/>
      <c r="BO229" s="173"/>
      <c r="BP229" s="173"/>
      <c r="BQ229" s="118"/>
      <c r="BR229" s="118"/>
      <c r="BS229" s="118">
        <f>INDEX('Dist. Plant Gas Additions'!$F$7:$AE$91,MATCH($C229,'Dist. Plant Gas Additions'!$D$7:$D$91,0),MATCH(Calculation!$G229,'Dist. Plant Gas Additions'!$F$5:$AE$5,0))</f>
        <v>20610</v>
      </c>
      <c r="BT229" s="118">
        <f>INDEX('Gen. Plant Additions'!$F$7:$AE$91,MATCH($C229,'Gen. Plant Additions'!$D$7:$D$91,0),MATCH(Calculation!$G229,'Gen. Plant Additions'!$F$5:$AE$5,0))</f>
        <v>1310</v>
      </c>
      <c r="BU229" s="118"/>
      <c r="BV229" s="118"/>
      <c r="BW229" s="118">
        <f>INDEX('Dist Plant Depreciation'!$E$7:$AD$94,MATCH($C229,'Dist Plant Depreciation'!$D$7:$D$94,0),MATCH(Calculation!$G229,'Dist Plant Depreciation'!$E$5:$AD$5,0))</f>
        <v>156246</v>
      </c>
      <c r="BX229" s="118">
        <f>INDEX('Gen. Plant Depreciation'!$E$7:$AD$94,MATCH($C229,'Gen. Plant Depreciation'!$D$7:$D$94,0),MATCH(Calculation!$G229,'Gen. Plant Depreciation'!$E$5:$AD$5,0))</f>
        <v>17275</v>
      </c>
      <c r="BY229" s="118"/>
      <c r="BZ229" s="118"/>
      <c r="CA229" s="118"/>
      <c r="CB229" s="118"/>
      <c r="CC229" s="118"/>
      <c r="CD229" s="118"/>
      <c r="CE229" s="118">
        <f>INDEX('Gross Dx Plant'!$E$7:$AD$91,MATCH($C229,'Gross Dx Plant'!$D$7:$D$91,0),MATCH(Calculation!$G229,'Gross Dx Plant'!$E$5:$AD$5,0))</f>
        <v>408492</v>
      </c>
      <c r="CF229" s="118">
        <f>INDEX('Gross Gen Plant'!$E$7:$AD$91,MATCH($C229,'Gross Gen Plant'!$D$7:$D$91,0),MATCH(Calculation!$G229,'Gross Gen Plant'!$E$5:$AD$5,0))</f>
        <v>35194</v>
      </c>
      <c r="CG229" s="118">
        <f t="shared" si="426"/>
        <v>270165</v>
      </c>
      <c r="CH229" s="118"/>
      <c r="CI229" s="121">
        <v>1999</v>
      </c>
      <c r="CJ229" s="118"/>
      <c r="CK229" s="118"/>
      <c r="CL229" s="118"/>
      <c r="CM229" s="183"/>
      <c r="CN229" s="118">
        <f t="shared" ref="CN229:CN251" si="599">+BT229+BS229</f>
        <v>21920</v>
      </c>
      <c r="CO229" s="118">
        <f t="shared" ref="CO229:CO251" si="600">+CN229/$DM229</f>
        <v>65.369419392554121</v>
      </c>
      <c r="CP229" s="186">
        <v>0.99502487562189057</v>
      </c>
      <c r="CQ229" s="118">
        <f>+CQ228*CP229+CO229</f>
        <v>1360.0497474428309</v>
      </c>
      <c r="CR229" s="119">
        <f t="shared" ref="CR229:CR250" si="601">LN(CQ229/CQ228)</f>
        <v>4.4269922817638835E-2</v>
      </c>
      <c r="CS229" s="119"/>
      <c r="CT229" s="177">
        <f t="shared" ref="CT229:CT251" si="602">+(CQ228-CQ229+CO229)/CQ228</f>
        <v>4.9751243781093312E-3</v>
      </c>
      <c r="CU229" s="177"/>
      <c r="CV229" s="119">
        <f>VLOOKUP($H229,RoR!$E:$F,2,FALSE)</f>
        <v>7.0416666666666669E-2</v>
      </c>
      <c r="CW229" s="177">
        <v>1.4335631817396832E-2</v>
      </c>
      <c r="CX229" s="177">
        <f>+CV229-CW229</f>
        <v>5.6081034849269837E-2</v>
      </c>
      <c r="CY229" s="177"/>
      <c r="CZ229" s="177"/>
      <c r="DA229" s="187">
        <f t="shared" ref="DA229:DA251" si="603">1-DF229*DG229</f>
        <v>0.86875000000000002</v>
      </c>
      <c r="DB229" s="188">
        <f t="shared" ref="DB229:DB251" si="604">2/(DK229*39)</f>
        <v>0.72826581702321336</v>
      </c>
      <c r="DC229" s="188">
        <f t="shared" ref="DC229:DC251" si="605">+(DK229*40-(1+DK229))/(DK229*40)</f>
        <v>0.61997041420118348</v>
      </c>
      <c r="DD229" s="188">
        <f t="shared" ref="DD229:DD251" si="606">+(1-(1/(1+DK229)^40))</f>
        <v>0.93425155319585029</v>
      </c>
      <c r="DE229" s="188">
        <f t="shared" ref="DE229:DE251" si="607">+DD229*DC229*DB229</f>
        <v>0.42181762214141483</v>
      </c>
      <c r="DF229" s="189">
        <f>INDEX('State Tax Lookup'!$D$7:$Z$91,MATCH(Calculation!$C229,'State Tax Lookup'!$B$7:$B$91,0),MATCH($H229,'State Tax Lookup'!$D$6:$Z$6,0))</f>
        <v>0.35</v>
      </c>
      <c r="DG229" s="189">
        <v>0.375</v>
      </c>
      <c r="DH229" s="190"/>
      <c r="DI229" s="190"/>
      <c r="DJ229" s="177"/>
      <c r="DK229" s="189">
        <f>VLOOKUP($H229,RoR!$E:$F,2,FALSE)</f>
        <v>7.0416666666666669E-2</v>
      </c>
      <c r="DL229" s="191">
        <f>HLOOKUP($H229,'GDP-PI'!$D$8:$CQ$11,3,FALSE)</f>
        <v>1.4335631817396832E-2</v>
      </c>
      <c r="DM229" s="189">
        <f>VLOOKUP(H229,'HW Dx Data'!$E:$F,2,FALSE)</f>
        <v>335.32499146683239</v>
      </c>
      <c r="DN229" s="183" t="e">
        <f>VLOOKUP(H229,'ECI - Input Price'!$G$17:$H$37,2,FALSE)</f>
        <v>#N/A</v>
      </c>
      <c r="DO229" s="177"/>
      <c r="DP229" s="183">
        <f>HLOOKUP(H229,'GDP-PI'!$8:$9,2,FALSE)</f>
        <v>76.346000000000004</v>
      </c>
    </row>
    <row r="230" spans="1:121" s="167" customFormat="1" ht="21" x14ac:dyDescent="0.35">
      <c r="A230" s="167" t="s">
        <v>40</v>
      </c>
      <c r="B230" s="168" t="s">
        <v>40</v>
      </c>
      <c r="C230" s="168">
        <v>4057112</v>
      </c>
      <c r="D230" s="168" t="s">
        <v>133</v>
      </c>
      <c r="E230" s="168"/>
      <c r="F230" s="168"/>
      <c r="G230" s="168" t="s">
        <v>6</v>
      </c>
      <c r="H230" s="169">
        <v>2000</v>
      </c>
      <c r="I230" s="170"/>
      <c r="J230" s="166"/>
      <c r="K230" s="166"/>
      <c r="L230" s="166"/>
      <c r="M230" s="166"/>
      <c r="N230" s="196"/>
      <c r="O230" s="166"/>
      <c r="P230" s="166"/>
      <c r="Q230" s="166"/>
      <c r="R230" s="166"/>
      <c r="S230" s="166"/>
      <c r="T230" s="166"/>
      <c r="U230" s="166"/>
      <c r="V230" s="166">
        <f t="shared" si="597"/>
        <v>0</v>
      </c>
      <c r="W230" s="170"/>
      <c r="X230" s="174">
        <v>1405.5231599315446</v>
      </c>
      <c r="Y230" s="175">
        <v>3.2888311220600319E-2</v>
      </c>
      <c r="Z230" s="175"/>
      <c r="AA230" s="175"/>
      <c r="AB230" s="175"/>
      <c r="AC230" s="170">
        <f t="shared" si="490"/>
        <v>0</v>
      </c>
      <c r="AD230" s="175"/>
      <c r="AE230" s="170"/>
      <c r="AF230" s="170"/>
      <c r="AG230" s="174"/>
      <c r="AH230" s="175"/>
      <c r="AI230" s="175"/>
      <c r="AJ230" s="174"/>
      <c r="AK230" s="174"/>
      <c r="AL230" s="120"/>
      <c r="AM230" s="120"/>
      <c r="AN230" s="120"/>
      <c r="AO230" s="120"/>
      <c r="AP230" s="120"/>
      <c r="AQ230" s="175"/>
      <c r="AR230" s="120"/>
      <c r="AS230" s="120"/>
      <c r="AT230" s="120"/>
      <c r="AU230" s="120"/>
      <c r="AV230" s="120"/>
      <c r="AW230" s="120"/>
      <c r="AX230" s="120"/>
      <c r="AY230" s="120"/>
      <c r="AZ230" s="118">
        <f>IFERROR(INDEX('Total Customers'!$F$7:$AB$91,MATCH($C230,'Total Customers'!$D$7:$D$91,0),MATCH($G230,'Total Customers'!$F$5:$AB$5,0)),"NA")</f>
        <v>193160</v>
      </c>
      <c r="BA230" s="119">
        <f t="shared" si="598"/>
        <v>4.1720833158317767E-2</v>
      </c>
      <c r="BB230" s="119"/>
      <c r="BC230" s="121"/>
      <c r="BD230" s="119"/>
      <c r="BE230" s="119"/>
      <c r="BF230" s="119"/>
      <c r="BG230" s="173"/>
      <c r="BH230" s="173"/>
      <c r="BI230" s="173"/>
      <c r="BJ230" s="173"/>
      <c r="BK230" s="173"/>
      <c r="BL230" s="173"/>
      <c r="BM230" s="173"/>
      <c r="BN230" s="173"/>
      <c r="BO230" s="173"/>
      <c r="BP230" s="173"/>
      <c r="BQ230" s="118"/>
      <c r="BR230" s="118"/>
      <c r="BS230" s="118">
        <f>INDEX('Dist. Plant Gas Additions'!$F$7:$AE$91,MATCH($C230,'Dist. Plant Gas Additions'!$D$7:$D$91,0),MATCH(Calculation!$G230,'Dist. Plant Gas Additions'!$F$5:$AE$5,0))</f>
        <v>16919</v>
      </c>
      <c r="BT230" s="118">
        <f>INDEX('Gen. Plant Additions'!$F$7:$AE$91,MATCH($C230,'Gen. Plant Additions'!$D$7:$D$91,0),MATCH(Calculation!$G230,'Gen. Plant Additions'!$F$5:$AE$5,0))</f>
        <v>1263</v>
      </c>
      <c r="BU230" s="118"/>
      <c r="BV230" s="118"/>
      <c r="BW230" s="118">
        <f>INDEX('Dist Plant Depreciation'!$E$7:$AD$94,MATCH($C230,'Dist Plant Depreciation'!$D$7:$D$94,0),MATCH(Calculation!$G230,'Dist Plant Depreciation'!$E$5:$AD$5,0))</f>
        <v>167411</v>
      </c>
      <c r="BX230" s="118">
        <f>INDEX('Gen. Plant Depreciation'!$E$7:$AD$94,MATCH($C230,'Gen. Plant Depreciation'!$D$7:$D$94,0),MATCH(Calculation!$G230,'Gen. Plant Depreciation'!$E$5:$AD$5,0))</f>
        <v>18131</v>
      </c>
      <c r="BY230" s="118"/>
      <c r="BZ230" s="118"/>
      <c r="CA230" s="118"/>
      <c r="CB230" s="118"/>
      <c r="CC230" s="118"/>
      <c r="CD230" s="118"/>
      <c r="CE230" s="118">
        <f>INDEX('Gross Dx Plant'!$E$7:$AD$91,MATCH($C230,'Gross Dx Plant'!$D$7:$D$91,0),MATCH(Calculation!$G230,'Gross Dx Plant'!$E$5:$AD$5,0))</f>
        <v>422340</v>
      </c>
      <c r="CF230" s="118">
        <f>INDEX('Gross Gen Plant'!$E$7:$AD$91,MATCH($C230,'Gross Gen Plant'!$D$7:$D$91,0),MATCH(Calculation!$G230,'Gross Gen Plant'!$E$5:$AD$5,0))</f>
        <v>35592</v>
      </c>
      <c r="CG230" s="118">
        <f t="shared" si="426"/>
        <v>272390</v>
      </c>
      <c r="CH230" s="118"/>
      <c r="CI230" s="121">
        <v>2000</v>
      </c>
      <c r="CJ230" s="118"/>
      <c r="CK230" s="118"/>
      <c r="CL230" s="118"/>
      <c r="CM230" s="183"/>
      <c r="CN230" s="118">
        <f t="shared" si="599"/>
        <v>18182</v>
      </c>
      <c r="CO230" s="118">
        <f t="shared" si="600"/>
        <v>52.468198807036131</v>
      </c>
      <c r="CP230" s="186">
        <v>0.98989898989898994</v>
      </c>
      <c r="CQ230" s="118">
        <f>+CQ228*CP230+CO229*CP229+CO230</f>
        <v>1405.5231599315446</v>
      </c>
      <c r="CR230" s="119">
        <f t="shared" si="601"/>
        <v>3.2888311220600319E-2</v>
      </c>
      <c r="CS230" s="119"/>
      <c r="CT230" s="177">
        <f t="shared" si="602"/>
        <v>5.1430371068956308E-3</v>
      </c>
      <c r="CU230" s="177"/>
      <c r="CV230" s="119">
        <f>VLOOKUP($H230,RoR!$E:$F,2,FALSE)</f>
        <v>7.6225000000000001E-2</v>
      </c>
      <c r="CW230" s="177">
        <v>2.2568307442433211E-2</v>
      </c>
      <c r="CX230" s="177">
        <f t="shared" ref="CX230:CX250" si="608">+CV230-CW230</f>
        <v>5.365669255756679E-2</v>
      </c>
      <c r="CY230" s="177"/>
      <c r="CZ230" s="177"/>
      <c r="DA230" s="187">
        <f t="shared" si="603"/>
        <v>0.86875000000000002</v>
      </c>
      <c r="DB230" s="188">
        <f t="shared" si="604"/>
        <v>0.67277207323124022</v>
      </c>
      <c r="DC230" s="188">
        <f t="shared" si="605"/>
        <v>0.6470236142997704</v>
      </c>
      <c r="DD230" s="188">
        <f t="shared" si="606"/>
        <v>0.94704866037543145</v>
      </c>
      <c r="DE230" s="188">
        <f t="shared" si="607"/>
        <v>0.41224973107878493</v>
      </c>
      <c r="DF230" s="189">
        <f>INDEX('State Tax Lookup'!$D$7:$Z$91,MATCH(Calculation!$C230,'State Tax Lookup'!$B$7:$B$91,0),MATCH($H230,'State Tax Lookup'!$D$6:$Z$6,0))</f>
        <v>0.35</v>
      </c>
      <c r="DG230" s="189">
        <v>0.375</v>
      </c>
      <c r="DH230" s="190"/>
      <c r="DI230" s="190"/>
      <c r="DJ230" s="177"/>
      <c r="DK230" s="189">
        <f>VLOOKUP($H230,RoR!$E:$F,2,FALSE)</f>
        <v>7.6225000000000001E-2</v>
      </c>
      <c r="DL230" s="191">
        <f>HLOOKUP($H230,'GDP-PI'!$D$8:$CQ$11,3,FALSE)</f>
        <v>2.2568307442433211E-2</v>
      </c>
      <c r="DM230" s="189">
        <f>VLOOKUP(H230,'HW Dx Data'!$E:$F,2,FALSE)</f>
        <v>346.53371782150339</v>
      </c>
      <c r="DN230" s="183" t="e">
        <f>VLOOKUP(H230,'ECI - Input Price'!$G$17:$H$37,2,FALSE)</f>
        <v>#N/A</v>
      </c>
      <c r="DO230" s="177"/>
      <c r="DP230" s="183">
        <f>HLOOKUP(H230,'GDP-PI'!$8:$9,2,FALSE)</f>
        <v>78.069000000000003</v>
      </c>
    </row>
    <row r="231" spans="1:121" s="167" customFormat="1" ht="21" x14ac:dyDescent="0.35">
      <c r="A231" s="167" t="s">
        <v>40</v>
      </c>
      <c r="B231" s="168" t="s">
        <v>40</v>
      </c>
      <c r="C231" s="168">
        <v>4057112</v>
      </c>
      <c r="D231" s="168" t="s">
        <v>133</v>
      </c>
      <c r="E231" s="168"/>
      <c r="F231" s="168"/>
      <c r="G231" s="168" t="s">
        <v>7</v>
      </c>
      <c r="H231" s="169">
        <v>2001</v>
      </c>
      <c r="I231" s="170"/>
      <c r="J231" s="166"/>
      <c r="K231" s="166"/>
      <c r="L231" s="166"/>
      <c r="M231" s="166"/>
      <c r="N231" s="196"/>
      <c r="O231" s="166"/>
      <c r="P231" s="166"/>
      <c r="Q231" s="166"/>
      <c r="R231" s="166"/>
      <c r="S231" s="166"/>
      <c r="T231" s="166"/>
      <c r="U231" s="166"/>
      <c r="V231" s="166">
        <f t="shared" si="597"/>
        <v>17098.110511735002</v>
      </c>
      <c r="W231" s="170"/>
      <c r="X231" s="174">
        <v>1453.7529537239261</v>
      </c>
      <c r="Y231" s="175">
        <v>3.3738867343363725E-2</v>
      </c>
      <c r="Z231" s="175"/>
      <c r="AA231" s="175"/>
      <c r="AB231" s="175"/>
      <c r="AC231" s="170">
        <f t="shared" si="490"/>
        <v>17098.110511735002</v>
      </c>
      <c r="AD231" s="175"/>
      <c r="AE231" s="170"/>
      <c r="AF231" s="170"/>
      <c r="AG231" s="174"/>
      <c r="AH231" s="175"/>
      <c r="AI231" s="175"/>
      <c r="AJ231" s="174"/>
      <c r="AK231" s="174"/>
      <c r="AL231" s="120"/>
      <c r="AM231" s="120"/>
      <c r="AN231" s="120"/>
      <c r="AO231" s="120"/>
      <c r="AP231" s="120"/>
      <c r="AQ231" s="175"/>
      <c r="AR231" s="120"/>
      <c r="AS231" s="120"/>
      <c r="AT231" s="120"/>
      <c r="AU231" s="120"/>
      <c r="AV231" s="120"/>
      <c r="AW231" s="120"/>
      <c r="AX231" s="120"/>
      <c r="AY231" s="120"/>
      <c r="AZ231" s="118">
        <f>IFERROR(INDEX('Total Customers'!$F$7:$AB$91,MATCH($C231,'Total Customers'!$D$7:$D$91,0),MATCH($G231,'Total Customers'!$F$5:$AB$5,0)),"NA")</f>
        <v>199028</v>
      </c>
      <c r="BA231" s="119">
        <f t="shared" si="598"/>
        <v>2.99266573389276E-2</v>
      </c>
      <c r="BB231" s="119"/>
      <c r="BC231" s="121"/>
      <c r="BD231" s="119"/>
      <c r="BE231" s="119"/>
      <c r="BF231" s="119"/>
      <c r="BG231" s="173"/>
      <c r="BH231" s="173"/>
      <c r="BI231" s="173"/>
      <c r="BJ231" s="173"/>
      <c r="BK231" s="173"/>
      <c r="BL231" s="173"/>
      <c r="BM231" s="173"/>
      <c r="BN231" s="173"/>
      <c r="BO231" s="173"/>
      <c r="BP231" s="173"/>
      <c r="BQ231" s="118"/>
      <c r="BR231" s="118"/>
      <c r="BS231" s="118">
        <f>INDEX('Dist. Plant Gas Additions'!$F$7:$AE$91,MATCH($C231,'Dist. Plant Gas Additions'!$D$7:$D$91,0),MATCH(Calculation!$G231,'Dist. Plant Gas Additions'!$F$5:$AE$5,0))</f>
        <v>14397</v>
      </c>
      <c r="BT231" s="118">
        <f>INDEX('Gen. Plant Additions'!$F$7:$AE$91,MATCH($C231,'Gen. Plant Additions'!$D$7:$D$91,0),MATCH(Calculation!$G231,'Gen. Plant Additions'!$F$5:$AE$5,0))</f>
        <v>5198</v>
      </c>
      <c r="BU231" s="118"/>
      <c r="BV231" s="118"/>
      <c r="BW231" s="118">
        <f>INDEX('Dist Plant Depreciation'!$E$7:$AD$94,MATCH($C231,'Dist Plant Depreciation'!$D$7:$D$94,0),MATCH(Calculation!$G231,'Dist Plant Depreciation'!$E$5:$AD$5,0))</f>
        <v>178860</v>
      </c>
      <c r="BX231" s="118">
        <f>INDEX('Gen. Plant Depreciation'!$E$7:$AD$94,MATCH($C231,'Gen. Plant Depreciation'!$D$7:$D$94,0),MATCH(Calculation!$G231,'Gen. Plant Depreciation'!$E$5:$AD$5,0))</f>
        <v>19120</v>
      </c>
      <c r="BY231" s="118"/>
      <c r="BZ231" s="118"/>
      <c r="CA231" s="118"/>
      <c r="CB231" s="118"/>
      <c r="CC231" s="118"/>
      <c r="CD231" s="118"/>
      <c r="CE231" s="118">
        <f>INDEX('Gross Dx Plant'!$E$7:$AD$91,MATCH($C231,'Gross Dx Plant'!$D$7:$D$91,0),MATCH(Calculation!$G231,'Gross Dx Plant'!$E$5:$AD$5,0))</f>
        <v>435850</v>
      </c>
      <c r="CF231" s="118">
        <f>INDEX('Gross Gen Plant'!$E$7:$AD$91,MATCH($C231,'Gross Gen Plant'!$D$7:$D$91,0),MATCH(Calculation!$G231,'Gross Gen Plant'!$E$5:$AD$5,0))</f>
        <v>39958</v>
      </c>
      <c r="CG231" s="118">
        <f t="shared" si="426"/>
        <v>277828</v>
      </c>
      <c r="CH231" s="118"/>
      <c r="CI231" s="121">
        <v>2001</v>
      </c>
      <c r="CJ231" s="118"/>
      <c r="CK231" s="118"/>
      <c r="CL231" s="118"/>
      <c r="CM231" s="183"/>
      <c r="CN231" s="118">
        <f t="shared" si="599"/>
        <v>19595</v>
      </c>
      <c r="CO231" s="118">
        <f t="shared" si="600"/>
        <v>55.439652686935773</v>
      </c>
      <c r="CP231" s="186">
        <v>0.98461538461538467</v>
      </c>
      <c r="CQ231" s="118">
        <f>+CQ228*CP231+CO229*CP230+CO230*CP228+CO231</f>
        <v>1453.7529537239261</v>
      </c>
      <c r="CR231" s="119">
        <f t="shared" si="601"/>
        <v>3.3738867343363725E-2</v>
      </c>
      <c r="CS231" s="119"/>
      <c r="CT231" s="177">
        <f t="shared" si="602"/>
        <v>5.1296621073859665E-3</v>
      </c>
      <c r="CU231" s="177">
        <f>+(CT231+CT230+CT229)/3</f>
        <v>5.0826078641303092E-3</v>
      </c>
      <c r="CV231" s="119">
        <f>VLOOKUP($H231,RoR!$E:$F,2,FALSE)</f>
        <v>7.0824999999999999E-2</v>
      </c>
      <c r="CW231" s="177">
        <v>2.2454495382290052E-2</v>
      </c>
      <c r="CX231" s="177">
        <f t="shared" si="608"/>
        <v>4.8370504617709947E-2</v>
      </c>
      <c r="CY231" s="177">
        <f>+$CX$35-CU231</f>
        <v>2.5819333744403317E-2</v>
      </c>
      <c r="CZ231" s="177">
        <f>+((DM229/DM228-1)+(DM230/DM229-1)+(DM231/DM230-1))/3</f>
        <v>2.3947275901631187E-2</v>
      </c>
      <c r="DA231" s="187">
        <f t="shared" si="603"/>
        <v>0.86875000000000002</v>
      </c>
      <c r="DB231" s="188">
        <f t="shared" si="604"/>
        <v>0.72406708481540816</v>
      </c>
      <c r="DC231" s="188">
        <f t="shared" si="605"/>
        <v>0.62201729615248857</v>
      </c>
      <c r="DD231" s="188">
        <f t="shared" si="606"/>
        <v>0.9352469954311422</v>
      </c>
      <c r="DE231" s="188">
        <f t="shared" si="607"/>
        <v>0.42121864641655071</v>
      </c>
      <c r="DF231" s="189">
        <f>INDEX('State Tax Lookup'!$D$7:$Z$91,MATCH(Calculation!$C231,'State Tax Lookup'!$B$7:$B$91,0),MATCH($H231,'State Tax Lookup'!$D$6:$Z$6,0))</f>
        <v>0.35</v>
      </c>
      <c r="DG231" s="189">
        <v>0.375</v>
      </c>
      <c r="DH231" s="190">
        <f t="shared" ref="DH231:DH251" si="609">+(DM231*CY231-CZ231)*DA231/(1-DF231)</f>
        <v>12.16494398610106</v>
      </c>
      <c r="DI231" s="190"/>
      <c r="DJ231" s="177"/>
      <c r="DK231" s="189">
        <f>VLOOKUP($H231,RoR!$E:$F,2,FALSE)</f>
        <v>7.0824999999999999E-2</v>
      </c>
      <c r="DL231" s="191">
        <f>HLOOKUP($H231,'GDP-PI'!$D$8:$CQ$11,3,FALSE)</f>
        <v>2.2454495382290052E-2</v>
      </c>
      <c r="DM231" s="189">
        <f>VLOOKUP(H231,'HW Dx Data'!$E:$F,2,FALSE)</f>
        <v>353.44738017483138</v>
      </c>
      <c r="DN231" s="183">
        <f>VLOOKUP(H231,'ECI - Input Price'!$G$17:$H$37,2,FALSE)</f>
        <v>86.2</v>
      </c>
      <c r="DO231" s="177"/>
      <c r="DP231" s="183">
        <f>HLOOKUP(H231,'GDP-PI'!$8:$9,2,FALSE)</f>
        <v>79.822000000000003</v>
      </c>
    </row>
    <row r="232" spans="1:121" s="167" customFormat="1" ht="21" x14ac:dyDescent="0.35">
      <c r="A232" s="167" t="s">
        <v>40</v>
      </c>
      <c r="B232" s="168" t="s">
        <v>40</v>
      </c>
      <c r="C232" s="168">
        <v>4057112</v>
      </c>
      <c r="D232" s="168" t="s">
        <v>133</v>
      </c>
      <c r="E232" s="168"/>
      <c r="F232" s="168"/>
      <c r="G232" s="168" t="s">
        <v>8</v>
      </c>
      <c r="H232" s="169">
        <v>2002</v>
      </c>
      <c r="I232" s="170"/>
      <c r="J232" s="166"/>
      <c r="K232" s="166"/>
      <c r="L232" s="166"/>
      <c r="M232" s="166"/>
      <c r="N232" s="196"/>
      <c r="O232" s="166"/>
      <c r="P232" s="166"/>
      <c r="Q232" s="166"/>
      <c r="R232" s="166"/>
      <c r="S232" s="166"/>
      <c r="T232" s="166"/>
      <c r="U232" s="166"/>
      <c r="V232" s="166">
        <f t="shared" si="597"/>
        <v>17916.35608624298</v>
      </c>
      <c r="W232" s="170"/>
      <c r="X232" s="174">
        <v>1495.1318812327834</v>
      </c>
      <c r="Y232" s="175">
        <v>2.8065961178362912E-2</v>
      </c>
      <c r="Z232" s="175"/>
      <c r="AA232" s="175"/>
      <c r="AB232" s="175"/>
      <c r="AC232" s="170">
        <f t="shared" si="490"/>
        <v>17916.35608624298</v>
      </c>
      <c r="AD232" s="175"/>
      <c r="AE232" s="170"/>
      <c r="AF232" s="170"/>
      <c r="AG232" s="174"/>
      <c r="AH232" s="175"/>
      <c r="AI232" s="175"/>
      <c r="AJ232" s="174"/>
      <c r="AK232" s="174"/>
      <c r="AL232" s="120"/>
      <c r="AM232" s="120"/>
      <c r="AN232" s="120"/>
      <c r="AO232" s="120"/>
      <c r="AP232" s="120"/>
      <c r="AQ232" s="175"/>
      <c r="AR232" s="120"/>
      <c r="AS232" s="120"/>
      <c r="AT232" s="120"/>
      <c r="AU232" s="120"/>
      <c r="AV232" s="120"/>
      <c r="AW232" s="120"/>
      <c r="AX232" s="120"/>
      <c r="AY232" s="120"/>
      <c r="AZ232" s="118">
        <f>IFERROR(INDEX('Total Customers'!$F$7:$AB$91,MATCH($C232,'Total Customers'!$D$7:$D$91,0),MATCH($G232,'Total Customers'!$F$5:$AB$5,0)),"NA")</f>
        <v>204735</v>
      </c>
      <c r="BA232" s="119">
        <f t="shared" si="598"/>
        <v>2.8270941631999696E-2</v>
      </c>
      <c r="BB232" s="119"/>
      <c r="BC232" s="121"/>
      <c r="BD232" s="119"/>
      <c r="BE232" s="119"/>
      <c r="BF232" s="119"/>
      <c r="BG232" s="173"/>
      <c r="BH232" s="173"/>
      <c r="BI232" s="173"/>
      <c r="BJ232" s="173"/>
      <c r="BK232" s="173"/>
      <c r="BL232" s="173"/>
      <c r="BM232" s="173"/>
      <c r="BN232" s="173"/>
      <c r="BO232" s="173"/>
      <c r="BP232" s="173"/>
      <c r="BQ232" s="118"/>
      <c r="BR232" s="118"/>
      <c r="BS232" s="118">
        <f>INDEX('Dist. Plant Gas Additions'!$F$7:$AE$91,MATCH($C232,'Dist. Plant Gas Additions'!$D$7:$D$91,0),MATCH(Calculation!$G232,'Dist. Plant Gas Additions'!$F$5:$AE$5,0))</f>
        <v>14800</v>
      </c>
      <c r="BT232" s="118">
        <f>INDEX('Gen. Plant Additions'!$F$7:$AE$91,MATCH($C232,'Gen. Plant Additions'!$D$7:$D$91,0),MATCH(Calculation!$G232,'Gen. Plant Additions'!$F$5:$AE$5,0))</f>
        <v>3130</v>
      </c>
      <c r="BU232" s="118"/>
      <c r="BV232" s="118"/>
      <c r="BW232" s="118">
        <f>INDEX('Dist Plant Depreciation'!$E$7:$AD$94,MATCH($C232,'Dist Plant Depreciation'!$D$7:$D$94,0),MATCH(Calculation!$G232,'Dist Plant Depreciation'!$E$5:$AD$5,0))</f>
        <v>152003</v>
      </c>
      <c r="BX232" s="118">
        <f>INDEX('Gen. Plant Depreciation'!$E$7:$AD$94,MATCH($C232,'Gen. Plant Depreciation'!$D$7:$D$94,0),MATCH(Calculation!$G232,'Gen. Plant Depreciation'!$E$5:$AD$5,0))</f>
        <v>14518</v>
      </c>
      <c r="BY232" s="118"/>
      <c r="BZ232" s="118"/>
      <c r="CA232" s="118"/>
      <c r="CB232" s="118"/>
      <c r="CC232" s="118"/>
      <c r="CD232" s="118"/>
      <c r="CE232" s="118">
        <f>INDEX('Gross Dx Plant'!$E$7:$AD$91,MATCH($C232,'Gross Dx Plant'!$D$7:$D$91,0),MATCH(Calculation!$G232,'Gross Dx Plant'!$E$5:$AD$5,0))</f>
        <v>455188</v>
      </c>
      <c r="CF232" s="118">
        <f>INDEX('Gross Gen Plant'!$E$7:$AD$91,MATCH($C232,'Gross Gen Plant'!$D$7:$D$91,0),MATCH(Calculation!$G232,'Gross Gen Plant'!$E$5:$AD$5,0))</f>
        <v>41405</v>
      </c>
      <c r="CG232" s="118">
        <f t="shared" si="426"/>
        <v>330072</v>
      </c>
      <c r="CH232" s="118"/>
      <c r="CI232" s="121">
        <v>2002</v>
      </c>
      <c r="CJ232" s="118"/>
      <c r="CK232" s="118"/>
      <c r="CL232" s="118"/>
      <c r="CM232" s="183"/>
      <c r="CN232" s="118">
        <f t="shared" si="599"/>
        <v>17930</v>
      </c>
      <c r="CO232" s="118">
        <f t="shared" si="600"/>
        <v>49.619734373280593</v>
      </c>
      <c r="CP232" s="186">
        <v>0.97916666666666663</v>
      </c>
      <c r="CQ232" s="118">
        <f>+CQ228*CP232+CO229*CP231+CO230*CP230+CO231*CP229+CO232</f>
        <v>1495.1318812327834</v>
      </c>
      <c r="CR232" s="119">
        <f t="shared" si="601"/>
        <v>2.8065961178362912E-2</v>
      </c>
      <c r="CS232" s="119"/>
      <c r="CT232" s="177">
        <f t="shared" si="602"/>
        <v>5.6686432473369878E-3</v>
      </c>
      <c r="CU232" s="177">
        <f t="shared" ref="CU232:CU251" si="610">+(CT232+CT231+CT230)/3</f>
        <v>5.3137808205395284E-3</v>
      </c>
      <c r="CV232" s="119">
        <f>VLOOKUP($H232,RoR!$E:$F,2,FALSE)</f>
        <v>6.4916666666666664E-2</v>
      </c>
      <c r="CW232" s="177">
        <v>1.5246423291824351E-2</v>
      </c>
      <c r="CX232" s="177">
        <f t="shared" si="608"/>
        <v>4.9670243374842313E-2</v>
      </c>
      <c r="CY232" s="177">
        <f t="shared" ref="CY232:CY251" si="611">+$CX$35-CU232</f>
        <v>2.5588160787994096E-2</v>
      </c>
      <c r="CZ232" s="177">
        <f t="shared" ref="CZ232:CZ251" si="612">+((DM230/DM229-1)+(DM231/DM230-1)+(DM232/DM231-1))/3</f>
        <v>2.5243621214759093E-2</v>
      </c>
      <c r="DA232" s="187">
        <f t="shared" si="603"/>
        <v>0.86875000000000002</v>
      </c>
      <c r="DB232" s="188">
        <f t="shared" si="604"/>
        <v>0.78996741384417901</v>
      </c>
      <c r="DC232" s="188">
        <f t="shared" si="605"/>
        <v>0.58989088575096271</v>
      </c>
      <c r="DD232" s="188">
        <f t="shared" si="606"/>
        <v>0.91920675783645744</v>
      </c>
      <c r="DE232" s="188">
        <f t="shared" si="607"/>
        <v>0.42834536472275586</v>
      </c>
      <c r="DF232" s="189">
        <f>INDEX('State Tax Lookup'!$D$7:$Z$91,MATCH(Calculation!$C232,'State Tax Lookup'!$B$7:$B$91,0),MATCH($H232,'State Tax Lookup'!$D$6:$Z$6,0))</f>
        <v>0.35</v>
      </c>
      <c r="DG232" s="189">
        <v>0.375</v>
      </c>
      <c r="DH232" s="190">
        <f t="shared" si="609"/>
        <v>12.324209584818751</v>
      </c>
      <c r="DI232" s="190"/>
      <c r="DJ232" s="177"/>
      <c r="DK232" s="189">
        <f>VLOOKUP($H232,RoR!$E:$F,2,FALSE)</f>
        <v>6.4916666666666664E-2</v>
      </c>
      <c r="DL232" s="191">
        <f>HLOOKUP($H232,'GDP-PI'!$D$8:$CQ$11,3,FALSE)</f>
        <v>1.5246423291824351E-2</v>
      </c>
      <c r="DM232" s="189">
        <f>VLOOKUP(H232,'HW Dx Data'!$E:$F,2,FALSE)</f>
        <v>361.34816573413599</v>
      </c>
      <c r="DN232" s="183">
        <f>VLOOKUP(H232,'ECI - Input Price'!$G$17:$H$37,2,FALSE)</f>
        <v>89.275000000000006</v>
      </c>
      <c r="DO232" s="177">
        <f>LN(DN232/DN231)</f>
        <v>3.5051315810864674E-2</v>
      </c>
      <c r="DP232" s="183">
        <f>HLOOKUP(H232,'GDP-PI'!$8:$9,2,FALSE)</f>
        <v>81.039000000000001</v>
      </c>
      <c r="DQ232" s="177">
        <f>LN(DP232/DP231)</f>
        <v>1.513136459537477E-2</v>
      </c>
    </row>
    <row r="233" spans="1:121" s="167" customFormat="1" ht="21" x14ac:dyDescent="0.35">
      <c r="A233" s="167" t="s">
        <v>40</v>
      </c>
      <c r="B233" s="168" t="s">
        <v>40</v>
      </c>
      <c r="C233" s="168">
        <v>4057112</v>
      </c>
      <c r="D233" s="168" t="s">
        <v>133</v>
      </c>
      <c r="E233" s="168"/>
      <c r="F233" s="168"/>
      <c r="G233" s="168" t="s">
        <v>9</v>
      </c>
      <c r="H233" s="169">
        <v>2003</v>
      </c>
      <c r="I233" s="170"/>
      <c r="J233" s="166"/>
      <c r="K233" s="166"/>
      <c r="L233" s="172"/>
      <c r="M233" s="172"/>
      <c r="N233" s="196"/>
      <c r="O233" s="172"/>
      <c r="P233" s="166"/>
      <c r="Q233" s="166"/>
      <c r="R233" s="166"/>
      <c r="S233" s="166"/>
      <c r="T233" s="166"/>
      <c r="U233" s="166"/>
      <c r="V233" s="166">
        <f t="shared" si="597"/>
        <v>18707.334536425693</v>
      </c>
      <c r="W233" s="170"/>
      <c r="X233" s="174">
        <v>1555.3410847747389</v>
      </c>
      <c r="Y233" s="175">
        <v>3.9480450876779427E-2</v>
      </c>
      <c r="Z233" s="175"/>
      <c r="AA233" s="175"/>
      <c r="AB233" s="175"/>
      <c r="AC233" s="170">
        <f t="shared" si="490"/>
        <v>18707.334536425693</v>
      </c>
      <c r="AD233" s="175"/>
      <c r="AE233" s="170"/>
      <c r="AF233" s="170"/>
      <c r="AG233" s="174"/>
      <c r="AH233" s="175"/>
      <c r="AI233" s="175"/>
      <c r="AJ233" s="174"/>
      <c r="AK233" s="174"/>
      <c r="AL233" s="120"/>
      <c r="AM233" s="120"/>
      <c r="AN233" s="120"/>
      <c r="AO233" s="120"/>
      <c r="AP233" s="120"/>
      <c r="AQ233" s="175"/>
      <c r="AR233" s="120"/>
      <c r="AS233" s="120"/>
      <c r="AT233" s="120"/>
      <c r="AU233" s="120"/>
      <c r="AV233" s="120"/>
      <c r="AW233" s="120"/>
      <c r="AX233" s="120"/>
      <c r="AY233" s="120"/>
      <c r="AZ233" s="118">
        <f>IFERROR(INDEX('Total Customers'!$F$7:$AB$91,MATCH($C233,'Total Customers'!$D$7:$D$91,0),MATCH($G233,'Total Customers'!$F$5:$AB$5,0)),"NA")</f>
        <v>212428</v>
      </c>
      <c r="BA233" s="119">
        <f t="shared" si="598"/>
        <v>3.6886647445130052E-2</v>
      </c>
      <c r="BB233" s="119"/>
      <c r="BC233" s="121"/>
      <c r="BD233" s="119"/>
      <c r="BE233" s="119"/>
      <c r="BF233" s="119"/>
      <c r="BG233" s="173"/>
      <c r="BH233" s="173"/>
      <c r="BI233" s="173"/>
      <c r="BJ233" s="173"/>
      <c r="BK233" s="173"/>
      <c r="BL233" s="173"/>
      <c r="BM233" s="173"/>
      <c r="BN233" s="173"/>
      <c r="BO233" s="173"/>
      <c r="BP233" s="173"/>
      <c r="BQ233" s="118"/>
      <c r="BR233" s="118"/>
      <c r="BS233" s="118">
        <f>INDEX('Dist. Plant Gas Additions'!$F$7:$AE$91,MATCH($C233,'Dist. Plant Gas Additions'!$D$7:$D$91,0),MATCH(Calculation!$G233,'Dist. Plant Gas Additions'!$F$5:$AE$5,0))</f>
        <v>22030</v>
      </c>
      <c r="BT233" s="118">
        <f>INDEX('Gen. Plant Additions'!$F$7:$AE$91,MATCH($C233,'Gen. Plant Additions'!$D$7:$D$91,0),MATCH(Calculation!$G233,'Gen. Plant Additions'!$F$5:$AE$5,0))</f>
        <v>3332</v>
      </c>
      <c r="BU233" s="118"/>
      <c r="BV233" s="118"/>
      <c r="BW233" s="118">
        <f>INDEX('Dist Plant Depreciation'!$E$7:$AD$94,MATCH($C233,'Dist Plant Depreciation'!$D$7:$D$94,0),MATCH(Calculation!$G233,'Dist Plant Depreciation'!$E$5:$AD$5,0))</f>
        <v>202689</v>
      </c>
      <c r="BX233" s="118">
        <f>INDEX('Gen. Plant Depreciation'!$E$7:$AD$94,MATCH($C233,'Gen. Plant Depreciation'!$D$7:$D$94,0),MATCH(Calculation!$G233,'Gen. Plant Depreciation'!$E$5:$AD$5,0))</f>
        <v>20976</v>
      </c>
      <c r="BY233" s="118"/>
      <c r="BZ233" s="118"/>
      <c r="CA233" s="118"/>
      <c r="CB233" s="118"/>
      <c r="CC233" s="118"/>
      <c r="CD233" s="118"/>
      <c r="CE233" s="118">
        <f>INDEX('Gross Dx Plant'!$E$7:$AD$91,MATCH($C233,'Gross Dx Plant'!$D$7:$D$91,0),MATCH(Calculation!$G233,'Gross Dx Plant'!$E$5:$AD$5,0))</f>
        <v>479106</v>
      </c>
      <c r="CF233" s="118">
        <f>INDEX('Gross Gen Plant'!$E$7:$AD$91,MATCH($C233,'Gross Gen Plant'!$D$7:$D$91,0),MATCH(Calculation!$G233,'Gross Gen Plant'!$E$5:$AD$5,0))</f>
        <v>44766</v>
      </c>
      <c r="CG233" s="118">
        <f t="shared" si="426"/>
        <v>300207</v>
      </c>
      <c r="CH233" s="118"/>
      <c r="CI233" s="121">
        <v>2003</v>
      </c>
      <c r="CJ233" s="118"/>
      <c r="CK233" s="118"/>
      <c r="CL233" s="118"/>
      <c r="CM233" s="183"/>
      <c r="CN233" s="118">
        <f t="shared" si="599"/>
        <v>25362</v>
      </c>
      <c r="CO233" s="118">
        <f t="shared" si="600"/>
        <v>68.688332969907805</v>
      </c>
      <c r="CP233" s="186">
        <v>0.97354497354497349</v>
      </c>
      <c r="CQ233" s="118">
        <f>+CQ228*CP233+CO229*CP232+CO230*CP231+CO231*CP230+CO232*CP229+CO233</f>
        <v>1555.3410847747389</v>
      </c>
      <c r="CR233" s="119">
        <f t="shared" si="601"/>
        <v>3.9480450876779427E-2</v>
      </c>
      <c r="CS233" s="119"/>
      <c r="CT233" s="177">
        <f t="shared" si="602"/>
        <v>5.6711581997442202E-3</v>
      </c>
      <c r="CU233" s="177">
        <f t="shared" si="610"/>
        <v>5.4898211848223924E-3</v>
      </c>
      <c r="CV233" s="119">
        <f>VLOOKUP($H233,RoR!$E:$F,2,FALSE)</f>
        <v>5.6666666666666671E-2</v>
      </c>
      <c r="CW233" s="177">
        <v>1.8855119140166909E-2</v>
      </c>
      <c r="CX233" s="177">
        <f t="shared" si="608"/>
        <v>3.7811547526499761E-2</v>
      </c>
      <c r="CY233" s="177">
        <f t="shared" si="611"/>
        <v>2.5412120423711233E-2</v>
      </c>
      <c r="CZ233" s="177">
        <f t="shared" si="612"/>
        <v>2.1375012817671957E-2</v>
      </c>
      <c r="DA233" s="187">
        <f t="shared" si="603"/>
        <v>0.86875000000000002</v>
      </c>
      <c r="DB233" s="188">
        <f t="shared" si="604"/>
        <v>0.90497737556561086</v>
      </c>
      <c r="DC233" s="188">
        <f t="shared" si="605"/>
        <v>0.5338235294117647</v>
      </c>
      <c r="DD233" s="188">
        <f t="shared" si="606"/>
        <v>0.88972433127405692</v>
      </c>
      <c r="DE233" s="188">
        <f t="shared" si="607"/>
        <v>0.42982423775949252</v>
      </c>
      <c r="DF233" s="189">
        <f>INDEX('State Tax Lookup'!$D$7:$Z$91,MATCH(Calculation!$C233,'State Tax Lookup'!$B$7:$B$91,0),MATCH($H233,'State Tax Lookup'!$D$6:$Z$6,0))</f>
        <v>0.35</v>
      </c>
      <c r="DG233" s="189">
        <v>0.375</v>
      </c>
      <c r="DH233" s="190">
        <f t="shared" si="609"/>
        <v>12.512163489551774</v>
      </c>
      <c r="DI233" s="190"/>
      <c r="DJ233" s="177"/>
      <c r="DK233" s="189">
        <f>VLOOKUP($H233,RoR!$E:$F,2,FALSE)</f>
        <v>5.6666666666666671E-2</v>
      </c>
      <c r="DL233" s="191">
        <f>HLOOKUP($H233,'GDP-PI'!$D$8:$CQ$11,3,FALSE)</f>
        <v>1.8855119140166909E-2</v>
      </c>
      <c r="DM233" s="189">
        <f>VLOOKUP(H233,'HW Dx Data'!$E:$F,2,FALSE)</f>
        <v>369.23301095560191</v>
      </c>
      <c r="DN233" s="183">
        <f>VLOOKUP(H233,'ECI - Input Price'!$G$17:$H$37,2,FALSE)</f>
        <v>92.625</v>
      </c>
      <c r="DO233" s="177">
        <f t="shared" ref="DO233" si="613">LN(DN233/DN232)</f>
        <v>3.6837590135738785E-2</v>
      </c>
      <c r="DP233" s="183">
        <f>HLOOKUP(H233,'GDP-PI'!$8:$9,2,FALSE)</f>
        <v>82.566999999999993</v>
      </c>
      <c r="DQ233" s="177">
        <f t="shared" ref="DQ233" si="614">LN(DP233/DP232)</f>
        <v>1.8679564681853753E-2</v>
      </c>
    </row>
    <row r="234" spans="1:121" s="167" customFormat="1" ht="21" x14ac:dyDescent="0.35">
      <c r="A234" s="167" t="s">
        <v>40</v>
      </c>
      <c r="B234" s="168" t="s">
        <v>40</v>
      </c>
      <c r="C234" s="168">
        <v>4057112</v>
      </c>
      <c r="D234" s="168" t="s">
        <v>133</v>
      </c>
      <c r="E234" s="168"/>
      <c r="F234" s="168"/>
      <c r="G234" s="168" t="s">
        <v>10</v>
      </c>
      <c r="H234" s="169">
        <v>2004</v>
      </c>
      <c r="I234" s="170"/>
      <c r="J234" s="166">
        <f>IFERROR(INDEX('Labor Expenditures'!$F$7:$X$91,MATCH($C234,'Labor Expenditures'!$D$7:$D$91,0),MATCH($G234,'Labor Expenditures'!$F$5:$X$5,0)),"NA")</f>
        <v>13843.805791863038</v>
      </c>
      <c r="K234" s="166">
        <f t="shared" ref="K234:K251" si="615">+J234/DN234</f>
        <v>143.94391257460919</v>
      </c>
      <c r="L234" s="172"/>
      <c r="M234" s="172"/>
      <c r="N234" s="196"/>
      <c r="O234" s="172"/>
      <c r="P234" s="166">
        <f>IFERROR(INDEX('Non-Labor Expenditures'!$F$7:$AB$91,MATCH($C234,'Non-Labor Expenditures'!$D$7:$D$91,0),MATCH($G234,'Non-Labor Expenditures'!$F$5:$AB$5,0)),"NA")</f>
        <v>20048.416452874102</v>
      </c>
      <c r="Q234" s="166">
        <f t="shared" ref="Q234:Q251" si="616">+P234/DP234</f>
        <v>236.48135663585012</v>
      </c>
      <c r="R234" s="166"/>
      <c r="S234" s="166"/>
      <c r="T234" s="166"/>
      <c r="U234" s="166"/>
      <c r="V234" s="166">
        <f t="shared" si="597"/>
        <v>21594.530871612395</v>
      </c>
      <c r="W234" s="170"/>
      <c r="X234" s="174">
        <v>1621.4516445688685</v>
      </c>
      <c r="Y234" s="175">
        <v>4.1626956201277383E-2</v>
      </c>
      <c r="Z234" s="175"/>
      <c r="AA234" s="175"/>
      <c r="AB234" s="175"/>
      <c r="AC234" s="170">
        <f t="shared" si="490"/>
        <v>55486.75311634953</v>
      </c>
      <c r="AD234" s="175"/>
      <c r="AE234" s="170"/>
      <c r="AF234" s="170"/>
      <c r="AG234" s="174"/>
      <c r="AH234" s="175"/>
      <c r="AI234" s="175"/>
      <c r="AJ234" s="174"/>
      <c r="AK234" s="174"/>
      <c r="AL234" s="120">
        <f t="shared" ref="AL234:AL251" si="617">+J234/AC234</f>
        <v>0.2494974929031101</v>
      </c>
      <c r="AM234" s="120">
        <f t="shared" ref="AM234:AM251" si="618">+P234/AC234</f>
        <v>0.36131896942743813</v>
      </c>
      <c r="AN234" s="120">
        <f t="shared" ref="AN234:AN251" si="619">+V234/AC234</f>
        <v>0.38918353766945191</v>
      </c>
      <c r="AO234" s="120"/>
      <c r="AP234" s="120"/>
      <c r="AQ234" s="175"/>
      <c r="AR234" s="120"/>
      <c r="AS234" s="120"/>
      <c r="AT234" s="120"/>
      <c r="AU234" s="120"/>
      <c r="AV234" s="120"/>
      <c r="AW234" s="120"/>
      <c r="AX234" s="120"/>
      <c r="AY234" s="120"/>
      <c r="AZ234" s="118">
        <f>IFERROR(INDEX('Total Customers'!$F$7:$AB$91,MATCH($C234,'Total Customers'!$D$7:$D$91,0),MATCH($G234,'Total Customers'!$F$5:$AB$5,0)),"NA")</f>
        <v>217336</v>
      </c>
      <c r="BA234" s="119">
        <f t="shared" si="598"/>
        <v>2.2841435700519976E-2</v>
      </c>
      <c r="BB234" s="119"/>
      <c r="BC234" s="121"/>
      <c r="BD234" s="119"/>
      <c r="BE234" s="119"/>
      <c r="BF234" s="119"/>
      <c r="BG234" s="173"/>
      <c r="BH234" s="173"/>
      <c r="BI234" s="173"/>
      <c r="BJ234" s="173"/>
      <c r="BK234" s="173"/>
      <c r="BL234" s="173"/>
      <c r="BM234" s="173"/>
      <c r="BN234" s="173"/>
      <c r="BO234" s="173"/>
      <c r="BP234" s="173"/>
      <c r="BQ234" s="118"/>
      <c r="BR234" s="118"/>
      <c r="BS234" s="118">
        <f>INDEX('Dist. Plant Gas Additions'!$F$7:$AE$91,MATCH($C234,'Dist. Plant Gas Additions'!$D$7:$D$91,0),MATCH(Calculation!$G234,'Dist. Plant Gas Additions'!$F$5:$AE$5,0))</f>
        <v>29310</v>
      </c>
      <c r="BT234" s="118">
        <f>INDEX('Gen. Plant Additions'!$F$7:$AE$91,MATCH($C234,'Gen. Plant Additions'!$D$7:$D$91,0),MATCH(Calculation!$G234,'Gen. Plant Additions'!$F$5:$AE$5,0))</f>
        <v>1891</v>
      </c>
      <c r="BU234" s="118"/>
      <c r="BV234" s="118"/>
      <c r="BW234" s="118">
        <f>INDEX('Dist Plant Depreciation'!$E$7:$AD$94,MATCH($C234,'Dist Plant Depreciation'!$D$7:$D$94,0),MATCH(Calculation!$G234,'Dist Plant Depreciation'!$E$5:$AD$5,0))</f>
        <v>216083</v>
      </c>
      <c r="BX234" s="118">
        <f>INDEX('Gen. Plant Depreciation'!$E$7:$AD$94,MATCH($C234,'Gen. Plant Depreciation'!$D$7:$D$94,0),MATCH(Calculation!$G234,'Gen. Plant Depreciation'!$E$5:$AD$5,0))</f>
        <v>22678</v>
      </c>
      <c r="BY234" s="118"/>
      <c r="BZ234" s="118"/>
      <c r="CA234" s="118"/>
      <c r="CB234" s="118"/>
      <c r="CC234" s="118"/>
      <c r="CD234" s="118"/>
      <c r="CE234" s="118">
        <f>INDEX('Gross Dx Plant'!$E$7:$AD$91,MATCH($C234,'Gross Dx Plant'!$D$7:$D$91,0),MATCH(Calculation!$G234,'Gross Dx Plant'!$E$5:$AD$5,0))</f>
        <v>514397</v>
      </c>
      <c r="CF234" s="118">
        <f>INDEX('Gross Gen Plant'!$E$7:$AD$91,MATCH($C234,'Gross Gen Plant'!$D$7:$D$91,0),MATCH(Calculation!$G234,'Gross Gen Plant'!$E$5:$AD$5,0))</f>
        <v>47716</v>
      </c>
      <c r="CG234" s="118">
        <f t="shared" si="426"/>
        <v>323352</v>
      </c>
      <c r="CH234" s="118"/>
      <c r="CI234" s="121">
        <v>2004</v>
      </c>
      <c r="CJ234" s="118"/>
      <c r="CK234" s="118"/>
      <c r="CL234" s="118"/>
      <c r="CM234" s="183"/>
      <c r="CN234" s="118">
        <f t="shared" si="599"/>
        <v>31201</v>
      </c>
      <c r="CO234" s="118">
        <f t="shared" si="600"/>
        <v>75.203574972520684</v>
      </c>
      <c r="CP234" s="186">
        <v>0.967741935483871</v>
      </c>
      <c r="CQ234" s="118">
        <f>+CQ228*CP234+CO229*CP233+CO230*CP232+CO231*CP231+CO232*CP230+CO233*CP229+CO234</f>
        <v>1621.4516445688685</v>
      </c>
      <c r="CR234" s="119">
        <f t="shared" si="601"/>
        <v>4.1626956201277383E-2</v>
      </c>
      <c r="CS234" s="119"/>
      <c r="CT234" s="177">
        <f t="shared" si="602"/>
        <v>5.8463158129125397E-3</v>
      </c>
      <c r="CU234" s="177">
        <f t="shared" si="610"/>
        <v>5.7287057533312495E-3</v>
      </c>
      <c r="CV234" s="119">
        <f>VLOOKUP($H234,RoR!$E:$F,2,FALSE)</f>
        <v>5.6283333333333331E-2</v>
      </c>
      <c r="CW234" s="177">
        <v>2.6778252812867276E-2</v>
      </c>
      <c r="CX234" s="177">
        <f t="shared" si="608"/>
        <v>2.9505080520466055E-2</v>
      </c>
      <c r="CY234" s="177">
        <f t="shared" si="611"/>
        <v>2.5173235855202376E-2</v>
      </c>
      <c r="CZ234" s="177">
        <f t="shared" si="612"/>
        <v>5.5940039414565046E-2</v>
      </c>
      <c r="DA234" s="187">
        <f t="shared" si="603"/>
        <v>0.86875000000000002</v>
      </c>
      <c r="DB234" s="188">
        <f t="shared" si="604"/>
        <v>0.91114097628755619</v>
      </c>
      <c r="DC234" s="188">
        <f t="shared" si="605"/>
        <v>0.53081877405981637</v>
      </c>
      <c r="DD234" s="188">
        <f t="shared" si="606"/>
        <v>0.88811215519385678</v>
      </c>
      <c r="DE234" s="188">
        <f t="shared" si="607"/>
        <v>0.42953609753547711</v>
      </c>
      <c r="DF234" s="189">
        <f>INDEX('State Tax Lookup'!$D$7:$Z$91,MATCH(Calculation!$C234,'State Tax Lookup'!$B$7:$B$91,0),MATCH($H234,'State Tax Lookup'!$D$6:$Z$6,0))</f>
        <v>0.35</v>
      </c>
      <c r="DG234" s="189">
        <v>0.375</v>
      </c>
      <c r="DH234" s="190">
        <f t="shared" si="609"/>
        <v>13.884112676635135</v>
      </c>
      <c r="DI234" s="190"/>
      <c r="DJ234" s="177"/>
      <c r="DK234" s="189">
        <f>VLOOKUP($H234,RoR!$E:$F,2,FALSE)</f>
        <v>5.6283333333333331E-2</v>
      </c>
      <c r="DL234" s="191">
        <f>HLOOKUP($H234,'GDP-PI'!$D$8:$CQ$11,3,FALSE)</f>
        <v>2.6778252812867276E-2</v>
      </c>
      <c r="DM234" s="189">
        <f>VLOOKUP(H234,'HW Dx Data'!$E:$F,2,FALSE)</f>
        <v>414.88719135228365</v>
      </c>
      <c r="DN234" s="183">
        <f>VLOOKUP(H234,'ECI - Input Price'!$G$17:$H$37,2,FALSE)</f>
        <v>96.174999999999997</v>
      </c>
      <c r="DO234" s="177">
        <f t="shared" ref="DO234" si="620">LN(DN234/DN233)</f>
        <v>3.7610365022107912E-2</v>
      </c>
      <c r="DP234" s="183">
        <f>HLOOKUP(H234,'GDP-PI'!$8:$9,2,FALSE)</f>
        <v>84.778000000000006</v>
      </c>
      <c r="DQ234" s="177">
        <f t="shared" ref="DQ234" si="621">LN(DP234/DP233)</f>
        <v>2.6425990216022755E-2</v>
      </c>
    </row>
    <row r="235" spans="1:121" s="167" customFormat="1" ht="21" x14ac:dyDescent="0.35">
      <c r="A235" s="167" t="s">
        <v>40</v>
      </c>
      <c r="B235" s="168" t="s">
        <v>40</v>
      </c>
      <c r="C235" s="168">
        <v>4057112</v>
      </c>
      <c r="D235" s="168" t="s">
        <v>133</v>
      </c>
      <c r="E235" s="168"/>
      <c r="F235" s="168"/>
      <c r="G235" s="168" t="s">
        <v>11</v>
      </c>
      <c r="H235" s="169">
        <v>2005</v>
      </c>
      <c r="I235" s="170"/>
      <c r="J235" s="166">
        <f>IFERROR(INDEX('Labor Expenditures'!$F$7:$X$91,MATCH($C235,'Labor Expenditures'!$D$7:$D$91,0),MATCH($G235,'Labor Expenditures'!$F$5:$X$5,0)),"NA")</f>
        <v>14720.760992803727</v>
      </c>
      <c r="K235" s="166">
        <f t="shared" si="615"/>
        <v>148.46960154113694</v>
      </c>
      <c r="L235" s="172">
        <f t="shared" ref="L235:L251" si="622">LN(K235/K234)</f>
        <v>3.0956506168391549E-2</v>
      </c>
      <c r="M235" s="172"/>
      <c r="N235" s="196"/>
      <c r="O235" s="172"/>
      <c r="P235" s="166">
        <f>IFERROR(INDEX('Non-Labor Expenditures'!$F$7:$AB$91,MATCH($C235,'Non-Labor Expenditures'!$D$7:$D$91,0),MATCH($G235,'Non-Labor Expenditures'!$F$5:$AB$5,0)),"NA")</f>
        <v>21318.41137647428</v>
      </c>
      <c r="Q235" s="166">
        <f t="shared" si="616"/>
        <v>243.8982161208402</v>
      </c>
      <c r="R235" s="172">
        <f>LN(Q235/Q234)</f>
        <v>3.0881616685103933E-2</v>
      </c>
      <c r="S235" s="172"/>
      <c r="T235" s="172"/>
      <c r="U235" s="172"/>
      <c r="V235" s="166">
        <f t="shared" si="597"/>
        <v>25277.759935257949</v>
      </c>
      <c r="W235" s="170"/>
      <c r="X235" s="174">
        <v>1664.0644662169298</v>
      </c>
      <c r="Y235" s="175">
        <v>2.5941258464050029E-2</v>
      </c>
      <c r="Z235" s="175"/>
      <c r="AA235" s="175"/>
      <c r="AB235" s="175"/>
      <c r="AC235" s="170">
        <f t="shared" si="490"/>
        <v>61316.932304535956</v>
      </c>
      <c r="AD235" s="175">
        <f>LN(AC235/AC234)</f>
        <v>9.9911715427872874E-2</v>
      </c>
      <c r="AE235" s="170"/>
      <c r="AF235" s="170"/>
      <c r="AG235" s="121"/>
      <c r="AH235" s="119"/>
      <c r="AI235" s="119"/>
      <c r="AJ235" s="121"/>
      <c r="AK235" s="121"/>
      <c r="AL235" s="120">
        <f t="shared" si="617"/>
        <v>0.24007660591517802</v>
      </c>
      <c r="AM235" s="120">
        <f t="shared" si="618"/>
        <v>0.34767576548993856</v>
      </c>
      <c r="AN235" s="120">
        <f t="shared" si="619"/>
        <v>0.41224762859488345</v>
      </c>
      <c r="AO235" s="120">
        <f>+(((AL235+AL234)/2)*L235+((AM234+AM235)/2)*R235+((AN234+AN235)/2)*Y235)</f>
        <v>2.8920270135318272E-2</v>
      </c>
      <c r="AP235" s="173">
        <v>100</v>
      </c>
      <c r="AQ235" s="175"/>
      <c r="AR235" s="120"/>
      <c r="AS235" s="120"/>
      <c r="AT235" s="120"/>
      <c r="AU235" s="120"/>
      <c r="AV235" s="120"/>
      <c r="AW235" s="120"/>
      <c r="AX235" s="120"/>
      <c r="AY235" s="120"/>
      <c r="AZ235" s="118">
        <f>IFERROR(INDEX('Total Customers'!$F$7:$AB$91,MATCH($C235,'Total Customers'!$D$7:$D$91,0),MATCH($G235,'Total Customers'!$F$5:$AB$5,0)),"NA")</f>
        <v>228224</v>
      </c>
      <c r="BA235" s="119">
        <f t="shared" si="598"/>
        <v>4.8883059678702066E-2</v>
      </c>
      <c r="BB235" s="119"/>
      <c r="BC235" s="121"/>
      <c r="BD235" s="119"/>
      <c r="BE235" s="119"/>
      <c r="BF235" s="119"/>
      <c r="BG235" s="173"/>
      <c r="BH235" s="173"/>
      <c r="BI235" s="173"/>
      <c r="BJ235" s="173"/>
      <c r="BK235" s="173"/>
      <c r="BL235" s="173"/>
      <c r="BM235" s="173"/>
      <c r="BN235" s="173"/>
      <c r="BO235" s="173"/>
      <c r="BP235" s="173"/>
      <c r="BQ235" s="118"/>
      <c r="BR235" s="118"/>
      <c r="BS235" s="118">
        <f>INDEX('Dist. Plant Gas Additions'!$F$7:$AE$91,MATCH($C235,'Dist. Plant Gas Additions'!$D$7:$D$91,0),MATCH(Calculation!$G235,'Dist. Plant Gas Additions'!$F$5:$AE$5,0))</f>
        <v>20988</v>
      </c>
      <c r="BT235" s="118">
        <f>INDEX('Gen. Plant Additions'!$F$7:$AE$91,MATCH($C235,'Gen. Plant Additions'!$D$7:$D$91,0),MATCH(Calculation!$G235,'Gen. Plant Additions'!$F$5:$AE$5,0))</f>
        <v>3587</v>
      </c>
      <c r="BU235" s="118"/>
      <c r="BV235" s="118"/>
      <c r="BW235" s="118">
        <f>INDEX('Dist Plant Depreciation'!$E$7:$AD$94,MATCH($C235,'Dist Plant Depreciation'!$D$7:$D$94,0),MATCH(Calculation!$G235,'Dist Plant Depreciation'!$E$5:$AD$5,0))</f>
        <v>228552</v>
      </c>
      <c r="BX235" s="118">
        <f>INDEX('Gen. Plant Depreciation'!$E$7:$AD$94,MATCH($C235,'Gen. Plant Depreciation'!$D$7:$D$94,0),MATCH(Calculation!$G235,'Gen. Plant Depreciation'!$E$5:$AD$5,0))</f>
        <v>24350</v>
      </c>
      <c r="BY235" s="118"/>
      <c r="BZ235" s="118"/>
      <c r="CA235" s="118"/>
      <c r="CB235" s="118"/>
      <c r="CC235" s="118"/>
      <c r="CD235" s="118"/>
      <c r="CE235" s="118">
        <f>INDEX('Gross Dx Plant'!$E$7:$AD$91,MATCH($C235,'Gross Dx Plant'!$D$7:$D$91,0),MATCH(Calculation!$G235,'Gross Dx Plant'!$E$5:$AD$5,0))</f>
        <v>536865</v>
      </c>
      <c r="CF235" s="118">
        <f>INDEX('Gross Gen Plant'!$E$7:$AD$91,MATCH($C235,'Gross Gen Plant'!$D$7:$D$91,0),MATCH(Calculation!$G235,'Gross Gen Plant'!$E$5:$AD$5,0))</f>
        <v>49759</v>
      </c>
      <c r="CG235" s="118">
        <f t="shared" si="426"/>
        <v>333722</v>
      </c>
      <c r="CH235" s="118"/>
      <c r="CI235" s="121">
        <v>2005</v>
      </c>
      <c r="CJ235" s="118"/>
      <c r="CK235" s="118"/>
      <c r="CL235" s="118"/>
      <c r="CM235" s="183"/>
      <c r="CN235" s="118">
        <f t="shared" si="599"/>
        <v>24575</v>
      </c>
      <c r="CO235" s="118">
        <f t="shared" si="600"/>
        <v>52.375811530329464</v>
      </c>
      <c r="CP235" s="186">
        <v>0.96174863387978138</v>
      </c>
      <c r="CQ235" s="118">
        <f>+CQ228*CP235+CO229*CP234+CO230*CP233+CO231*CP232+CO232*CP231+CO233*CP230+CO234*CP229+CO235</f>
        <v>1664.0644662169298</v>
      </c>
      <c r="CR235" s="119">
        <f t="shared" si="601"/>
        <v>2.5941258464050029E-2</v>
      </c>
      <c r="CS235" s="119"/>
      <c r="CT235" s="177">
        <f t="shared" si="602"/>
        <v>6.0211415585347721E-3</v>
      </c>
      <c r="CU235" s="177">
        <f t="shared" si="610"/>
        <v>5.8462051903971773E-3</v>
      </c>
      <c r="CV235" s="119">
        <f>VLOOKUP($H235,RoR!$E:$F,2,FALSE)</f>
        <v>5.2350000000000001E-2</v>
      </c>
      <c r="CW235" s="177">
        <v>3.1010403642454332E-2</v>
      </c>
      <c r="CX235" s="177">
        <f t="shared" si="608"/>
        <v>2.1339596357545669E-2</v>
      </c>
      <c r="CY235" s="177">
        <f t="shared" si="611"/>
        <v>2.5055736418136448E-2</v>
      </c>
      <c r="CZ235" s="177">
        <f t="shared" si="612"/>
        <v>9.2129610649277341E-2</v>
      </c>
      <c r="DA235" s="187">
        <f t="shared" si="603"/>
        <v>0.86875000000000002</v>
      </c>
      <c r="DB235" s="188">
        <f t="shared" si="604"/>
        <v>0.97959983346802826</v>
      </c>
      <c r="DC235" s="188">
        <f t="shared" si="605"/>
        <v>0.49744508118433622</v>
      </c>
      <c r="DD235" s="188">
        <f t="shared" si="606"/>
        <v>0.87010519444335932</v>
      </c>
      <c r="DE235" s="188">
        <f t="shared" si="607"/>
        <v>0.42399975420741998</v>
      </c>
      <c r="DF235" s="189">
        <f>INDEX('State Tax Lookup'!$D$7:$Z$91,MATCH(Calculation!$C235,'State Tax Lookup'!$B$7:$B$91,0),MATCH($H235,'State Tax Lookup'!$D$6:$Z$6,0))</f>
        <v>0.35</v>
      </c>
      <c r="DG235" s="189">
        <v>0.375</v>
      </c>
      <c r="DH235" s="190">
        <f t="shared" si="609"/>
        <v>15.589586047741259</v>
      </c>
      <c r="DI235" s="190"/>
      <c r="DJ235" s="177"/>
      <c r="DK235" s="189">
        <f>VLOOKUP($H235,RoR!$E:$F,2,FALSE)</f>
        <v>5.2350000000000001E-2</v>
      </c>
      <c r="DL235" s="191">
        <f>HLOOKUP($H235,'GDP-PI'!$D$8:$CQ$11,3,FALSE)</f>
        <v>3.1010403642454332E-2</v>
      </c>
      <c r="DM235" s="189">
        <f>VLOOKUP(H235,'HW Dx Data'!$E:$F,2,FALSE)</f>
        <v>469.20514034936258</v>
      </c>
      <c r="DN235" s="183">
        <f>VLOOKUP(H235,'ECI - Input Price'!$G$17:$H$37,2,FALSE)</f>
        <v>99.15</v>
      </c>
      <c r="DO235" s="177">
        <f t="shared" ref="DO235" si="623">LN(DN235/DN234)</f>
        <v>3.046440632744625E-2</v>
      </c>
      <c r="DP235" s="183">
        <f>HLOOKUP(H235,'GDP-PI'!$8:$9,2,FALSE)</f>
        <v>87.406999999999996</v>
      </c>
      <c r="DQ235" s="177">
        <f t="shared" ref="DQ235" si="624">LN(DP235/DP234)</f>
        <v>3.0539295810733648E-2</v>
      </c>
    </row>
    <row r="236" spans="1:121" s="167" customFormat="1" ht="21" x14ac:dyDescent="0.35">
      <c r="A236" s="167" t="s">
        <v>40</v>
      </c>
      <c r="B236" s="168" t="s">
        <v>40</v>
      </c>
      <c r="C236" s="168">
        <v>4057112</v>
      </c>
      <c r="D236" s="168" t="s">
        <v>133</v>
      </c>
      <c r="E236" s="168"/>
      <c r="F236" s="168"/>
      <c r="G236" s="168" t="s">
        <v>12</v>
      </c>
      <c r="H236" s="169">
        <v>2006</v>
      </c>
      <c r="I236" s="170"/>
      <c r="J236" s="166">
        <f>IFERROR(INDEX('Labor Expenditures'!$F$7:$X$91,MATCH($C236,'Labor Expenditures'!$D$7:$D$91,0),MATCH($G236,'Labor Expenditures'!$F$5:$X$5,0)),"NA")</f>
        <v>16145.720866568639</v>
      </c>
      <c r="K236" s="166">
        <f t="shared" si="615"/>
        <v>158.21382524810033</v>
      </c>
      <c r="L236" s="172">
        <f t="shared" si="622"/>
        <v>6.3567208602527125E-2</v>
      </c>
      <c r="M236" s="172">
        <f t="shared" ref="M236:M251" si="625">+L236*AR236</f>
        <v>5.1831487547927032E-4</v>
      </c>
      <c r="N236" s="196"/>
      <c r="O236" s="172"/>
      <c r="P236" s="166">
        <f>IFERROR(INDEX('Non-Labor Expenditures'!$F$7:$AB$91,MATCH($C236,'Non-Labor Expenditures'!$D$7:$D$91,0),MATCH($G236,'Non-Labor Expenditures'!$F$5:$AB$5,0)),"NA")</f>
        <v>23382.019419478274</v>
      </c>
      <c r="Q236" s="166">
        <f t="shared" si="616"/>
        <v>259.58677775471585</v>
      </c>
      <c r="R236" s="172">
        <f t="shared" ref="R236:R251" si="626">LN(Q236/Q235)</f>
        <v>6.234005916712166E-2</v>
      </c>
      <c r="S236" s="172">
        <f>+R236*AR236</f>
        <v>5.083089334096141E-4</v>
      </c>
      <c r="T236" s="172"/>
      <c r="U236" s="172"/>
      <c r="V236" s="166">
        <f t="shared" si="597"/>
        <v>25332.045664197554</v>
      </c>
      <c r="W236" s="170"/>
      <c r="X236" s="174">
        <v>1699.3439805128939</v>
      </c>
      <c r="Y236" s="175">
        <v>2.0979199404565677E-2</v>
      </c>
      <c r="Z236" s="175">
        <f>+Y236*AR236</f>
        <v>1.7106038421513996E-4</v>
      </c>
      <c r="AA236" s="175"/>
      <c r="AB236" s="175"/>
      <c r="AC236" s="170">
        <f t="shared" si="490"/>
        <v>64859.78595024447</v>
      </c>
      <c r="AD236" s="175">
        <f t="shared" ref="AD236:AD251" si="627">LN(AC236/AC235)</f>
        <v>5.617177558973914E-2</v>
      </c>
      <c r="AE236" s="170"/>
      <c r="AF236" s="170"/>
      <c r="AG236" s="121">
        <f t="shared" ref="AG236:AG251" si="628">+(AC236*1000)/AZ236</f>
        <v>272.70114592983776</v>
      </c>
      <c r="AH236" s="119">
        <f>+AZ236/$BB$44</f>
        <v>6.7656374615407437E-3</v>
      </c>
      <c r="AI236" s="119"/>
      <c r="AJ236" s="176">
        <f>+AH236*AG236</f>
        <v>1.8449970887079994</v>
      </c>
      <c r="AK236" s="176">
        <f>+AI236*AG236</f>
        <v>0</v>
      </c>
      <c r="AL236" s="120">
        <f t="shared" si="617"/>
        <v>0.24893268810591537</v>
      </c>
      <c r="AM236" s="120">
        <f t="shared" si="618"/>
        <v>0.3605010265901154</v>
      </c>
      <c r="AN236" s="120">
        <f t="shared" si="619"/>
        <v>0.3905662853039692</v>
      </c>
      <c r="AO236" s="120">
        <f>+(((AL236+AL235)/2)*L236+((AM235+AM236)/2)*R236+((AN235+AN236)/2)*Y236)</f>
        <v>4.6037566052555094E-2</v>
      </c>
      <c r="AP236" s="173">
        <f>+AP235*EXP(AO236)</f>
        <v>104.71137461481177</v>
      </c>
      <c r="AQ236" s="175">
        <f>LN(AP236/AP235)</f>
        <v>4.6037566052555198E-2</v>
      </c>
      <c r="AR236" s="177">
        <f>+AC236/$AE$44</f>
        <v>8.1538089665095757E-3</v>
      </c>
      <c r="AS236" s="177">
        <f>+AR236*AQ236</f>
        <v>3.7538151887560144E-4</v>
      </c>
      <c r="AT236" s="177"/>
      <c r="AU236" s="177"/>
      <c r="AV236" s="177"/>
      <c r="AW236" s="190"/>
      <c r="AX236" s="120"/>
      <c r="AY236" s="120"/>
      <c r="AZ236" s="118">
        <f>IFERROR(INDEX('Total Customers'!$F$7:$AB$91,MATCH($C236,'Total Customers'!$D$7:$D$91,0),MATCH($G236,'Total Customers'!$F$5:$AB$5,0)),"NA")</f>
        <v>237842</v>
      </c>
      <c r="BA236" s="119">
        <f t="shared" si="598"/>
        <v>4.1278984868329559E-2</v>
      </c>
      <c r="BB236" s="119"/>
      <c r="BC236" s="121"/>
      <c r="BD236" s="119"/>
      <c r="BE236" s="119"/>
      <c r="BF236" s="119"/>
      <c r="BG236" s="173"/>
      <c r="BH236" s="173"/>
      <c r="BI236" s="173"/>
      <c r="BJ236" s="173"/>
      <c r="BK236" s="173"/>
      <c r="BL236" s="173"/>
      <c r="BM236" s="173"/>
      <c r="BN236" s="173"/>
      <c r="BO236" s="173"/>
      <c r="BP236" s="173"/>
      <c r="BQ236" s="118"/>
      <c r="BR236" s="118"/>
      <c r="BS236" s="118">
        <f>INDEX('Dist. Plant Gas Additions'!$F$7:$AE$91,MATCH($C236,'Dist. Plant Gas Additions'!$D$7:$D$91,0),MATCH(Calculation!$G236,'Dist. Plant Gas Additions'!$F$5:$AE$5,0))</f>
        <v>18247</v>
      </c>
      <c r="BT236" s="118">
        <f>INDEX('Gen. Plant Additions'!$F$7:$AE$91,MATCH($C236,'Gen. Plant Additions'!$D$7:$D$91,0),MATCH(Calculation!$G236,'Gen. Plant Additions'!$F$5:$AE$5,0))</f>
        <v>2790</v>
      </c>
      <c r="BU236" s="118"/>
      <c r="BV236" s="118"/>
      <c r="BW236" s="118">
        <f>INDEX('Dist Plant Depreciation'!$E$7:$AD$94,MATCH($C236,'Dist Plant Depreciation'!$D$7:$D$94,0),MATCH(Calculation!$G236,'Dist Plant Depreciation'!$E$5:$AD$5,0))</f>
        <v>242227</v>
      </c>
      <c r="BX236" s="118">
        <f>INDEX('Gen. Plant Depreciation'!$E$7:$AD$94,MATCH($C236,'Gen. Plant Depreciation'!$D$7:$D$94,0),MATCH(Calculation!$G236,'Gen. Plant Depreciation'!$E$5:$AD$5,0))</f>
        <v>26592</v>
      </c>
      <c r="BY236" s="118"/>
      <c r="BZ236" s="118"/>
      <c r="CA236" s="118"/>
      <c r="CB236" s="118"/>
      <c r="CC236" s="118"/>
      <c r="CD236" s="118"/>
      <c r="CE236" s="118">
        <f>INDEX('Gross Dx Plant'!$E$7:$AD$91,MATCH($C236,'Gross Dx Plant'!$D$7:$D$91,0),MATCH(Calculation!$G236,'Gross Dx Plant'!$E$5:$AD$5,0))</f>
        <v>552758</v>
      </c>
      <c r="CF236" s="118">
        <f>INDEX('Gross Gen Plant'!$E$7:$AD$91,MATCH($C236,'Gross Gen Plant'!$D$7:$D$91,0),MATCH(Calculation!$G236,'Gross Gen Plant'!$E$5:$AD$5,0))</f>
        <v>49570</v>
      </c>
      <c r="CG236" s="118">
        <f t="shared" si="426"/>
        <v>333509</v>
      </c>
      <c r="CH236" s="119" t="e">
        <f>SUM(#REF!)/15</f>
        <v>#REF!</v>
      </c>
      <c r="CI236" s="121">
        <v>2006</v>
      </c>
      <c r="CJ236" s="118"/>
      <c r="CK236" s="118"/>
      <c r="CL236" s="118"/>
      <c r="CM236" s="183"/>
      <c r="CN236" s="118">
        <f t="shared" si="599"/>
        <v>21037</v>
      </c>
      <c r="CO236" s="118">
        <f t="shared" si="600"/>
        <v>45.6249266550765</v>
      </c>
      <c r="CP236" s="186">
        <v>0.9555555555555556</v>
      </c>
      <c r="CQ236" s="118">
        <f>+CQ228*CP236+CO229*CP235+CO230*CP234+CO231*CP233+CO232*CP232+CO233*CP231+CO234*CP230+CO235*CP229+CO236</f>
        <v>1699.3439805128939</v>
      </c>
      <c r="CR236" s="119">
        <f t="shared" si="601"/>
        <v>2.0979199404565677E-2</v>
      </c>
      <c r="CS236" s="119"/>
      <c r="CT236" s="177">
        <f t="shared" si="602"/>
        <v>6.2169540718764842E-3</v>
      </c>
      <c r="CU236" s="177">
        <f t="shared" si="610"/>
        <v>6.0281371477745984E-3</v>
      </c>
      <c r="CV236" s="119">
        <f>VLOOKUP($H236,RoR!$E:$F,2,FALSE)</f>
        <v>5.5874999999999994E-2</v>
      </c>
      <c r="CW236" s="177">
        <v>3.0512430354548314E-2</v>
      </c>
      <c r="CX236" s="177">
        <f t="shared" si="608"/>
        <v>2.536256964545168E-2</v>
      </c>
      <c r="CY236" s="177">
        <f t="shared" si="611"/>
        <v>2.4873804460759028E-2</v>
      </c>
      <c r="CZ236" s="177">
        <f t="shared" si="612"/>
        <v>7.9087823893859641E-2</v>
      </c>
      <c r="DA236" s="187">
        <f t="shared" si="603"/>
        <v>0.86875000000000002</v>
      </c>
      <c r="DB236" s="188">
        <f t="shared" si="604"/>
        <v>0.91779957551769631</v>
      </c>
      <c r="DC236" s="188">
        <f t="shared" si="605"/>
        <v>0.52757270693512304</v>
      </c>
      <c r="DD236" s="188">
        <f t="shared" si="606"/>
        <v>0.88636824549024895</v>
      </c>
      <c r="DE236" s="188">
        <f t="shared" si="607"/>
        <v>0.42918482841932087</v>
      </c>
      <c r="DF236" s="189">
        <f>INDEX('State Tax Lookup'!$D$7:$Z$91,MATCH(Calculation!$C236,'State Tax Lookup'!$B$7:$B$91,0),MATCH($H236,'State Tax Lookup'!$D$6:$Z$6,0))</f>
        <v>0.35</v>
      </c>
      <c r="DG236" s="189">
        <v>0.375</v>
      </c>
      <c r="DH236" s="190">
        <f t="shared" si="609"/>
        <v>15.222995369757047</v>
      </c>
      <c r="DI236" s="190">
        <v>14.783832839888142</v>
      </c>
      <c r="DJ236" s="177"/>
      <c r="DK236" s="189">
        <f>VLOOKUP($H236,RoR!$E:$F,2,FALSE)</f>
        <v>5.5874999999999994E-2</v>
      </c>
      <c r="DL236" s="191">
        <f>HLOOKUP($H236,'GDP-PI'!$D$8:$CQ$11,3,FALSE)</f>
        <v>3.0512430354548314E-2</v>
      </c>
      <c r="DM236" s="189">
        <f>VLOOKUP(H236,'HW Dx Data'!$E:$F,2,FALSE)</f>
        <v>461.08567272971823</v>
      </c>
      <c r="DN236" s="183">
        <f>VLOOKUP(H236,'ECI - Input Price'!$G$17:$H$37,2,FALSE)</f>
        <v>102.05</v>
      </c>
      <c r="DO236" s="177">
        <f t="shared" ref="DO236" si="629">LN(DN236/DN235)</f>
        <v>2.8829034290048662E-2</v>
      </c>
      <c r="DP236" s="183">
        <f>HLOOKUP(H236,'GDP-PI'!$8:$9,2,FALSE)</f>
        <v>90.073999999999998</v>
      </c>
      <c r="DQ236" s="177">
        <f t="shared" ref="DQ236" si="630">LN(DP236/DP235)</f>
        <v>3.005618372545445E-2</v>
      </c>
    </row>
    <row r="237" spans="1:121" s="167" customFormat="1" ht="21" x14ac:dyDescent="0.35">
      <c r="A237" s="167" t="s">
        <v>40</v>
      </c>
      <c r="B237" s="168" t="s">
        <v>40</v>
      </c>
      <c r="C237" s="168">
        <v>4057112</v>
      </c>
      <c r="D237" s="168" t="s">
        <v>133</v>
      </c>
      <c r="E237" s="168"/>
      <c r="F237" s="168"/>
      <c r="G237" s="168" t="s">
        <v>13</v>
      </c>
      <c r="H237" s="169">
        <v>2007</v>
      </c>
      <c r="I237" s="170"/>
      <c r="J237" s="166">
        <f>IFERROR(INDEX('Labor Expenditures'!$F$7:$X$91,MATCH($C237,'Labor Expenditures'!$D$7:$D$91,0),MATCH($G237,'Labor Expenditures'!$F$5:$X$5,0)),"NA")</f>
        <v>15327.093637510823</v>
      </c>
      <c r="K237" s="166">
        <f t="shared" si="615"/>
        <v>145.6601913757265</v>
      </c>
      <c r="L237" s="172">
        <f t="shared" si="622"/>
        <v>-8.2670989822778762E-2</v>
      </c>
      <c r="M237" s="172">
        <f t="shared" si="625"/>
        <v>-6.4246127057707224E-4</v>
      </c>
      <c r="N237" s="196"/>
      <c r="O237" s="172"/>
      <c r="P237" s="166">
        <f>IFERROR(INDEX('Non-Labor Expenditures'!$F$7:$AB$91,MATCH($C237,'Non-Labor Expenditures'!$D$7:$D$91,0),MATCH($G237,'Non-Labor Expenditures'!$F$5:$AB$5,0)),"NA")</f>
        <v>22196.494293326912</v>
      </c>
      <c r="Q237" s="166">
        <f t="shared" si="616"/>
        <v>239.96728895032228</v>
      </c>
      <c r="R237" s="172">
        <f t="shared" si="626"/>
        <v>-7.8588432372035943E-2</v>
      </c>
      <c r="S237" s="172">
        <f t="shared" ref="S237:S251" si="631">+R237*AR237</f>
        <v>-6.1073448161965457E-4</v>
      </c>
      <c r="T237" s="172"/>
      <c r="U237" s="172"/>
      <c r="V237" s="166">
        <f t="shared" si="597"/>
        <v>27770.578657094229</v>
      </c>
      <c r="W237" s="170"/>
      <c r="X237" s="174">
        <v>1743.1741942751776</v>
      </c>
      <c r="Y237" s="175">
        <v>2.5465418117422346E-2</v>
      </c>
      <c r="Z237" s="175">
        <f t="shared" ref="Z237:Z251" si="632">+Y237*AR237</f>
        <v>1.9789946769196236E-4</v>
      </c>
      <c r="AA237" s="175"/>
      <c r="AB237" s="175"/>
      <c r="AC237" s="170">
        <f t="shared" si="490"/>
        <v>65294.166587931963</v>
      </c>
      <c r="AD237" s="175">
        <f t="shared" si="627"/>
        <v>6.6748991023051216E-3</v>
      </c>
      <c r="AE237" s="170"/>
      <c r="AF237" s="170"/>
      <c r="AG237" s="121">
        <f t="shared" si="628"/>
        <v>265.45689329928553</v>
      </c>
      <c r="AH237" s="119">
        <f>+AZ237/$BB$45</f>
        <v>6.9443569111613942E-3</v>
      </c>
      <c r="AI237" s="119"/>
      <c r="AJ237" s="176">
        <f t="shared" ref="AJ237:AJ251" si="633">+AH237*AG237</f>
        <v>1.8434274115983262</v>
      </c>
      <c r="AK237" s="176">
        <f t="shared" ref="AK237:AK251" si="634">+AI237*AG237</f>
        <v>0</v>
      </c>
      <c r="AL237" s="120">
        <f t="shared" si="617"/>
        <v>0.2347390959783483</v>
      </c>
      <c r="AM237" s="120">
        <f t="shared" si="618"/>
        <v>0.33994605419206614</v>
      </c>
      <c r="AN237" s="120">
        <f t="shared" si="619"/>
        <v>0.42531484982958562</v>
      </c>
      <c r="AO237" s="120">
        <f t="shared" ref="AO237:AO251" si="635">+(((AL237+AL236)/2)*L237+((AM236+AM237)/2)*R237+((AN236+AN237)/2)*W237)</f>
        <v>-4.7516331588917937E-2</v>
      </c>
      <c r="AP237" s="173">
        <f>+AP236*EXP(AO237)</f>
        <v>99.85223272986444</v>
      </c>
      <c r="AQ237" s="175">
        <f>LN(AP237/AP236)</f>
        <v>-4.7516331588917993E-2</v>
      </c>
      <c r="AR237" s="177">
        <f>+AC237/$AE$45</f>
        <v>7.7713025083443665E-3</v>
      </c>
      <c r="AS237" s="177">
        <f t="shared" ref="AS237:AS251" si="636">+AR237*AQ237</f>
        <v>-3.6926378686428108E-4</v>
      </c>
      <c r="AT237" s="177"/>
      <c r="AU237" s="177"/>
      <c r="AV237" s="177"/>
      <c r="AW237" s="190"/>
      <c r="AX237" s="120"/>
      <c r="AY237" s="120"/>
      <c r="AZ237" s="118">
        <f>IFERROR(INDEX('Total Customers'!$F$7:$AB$91,MATCH($C237,'Total Customers'!$D$7:$D$91,0),MATCH($G237,'Total Customers'!$F$5:$AB$5,0)),"NA")</f>
        <v>245969</v>
      </c>
      <c r="BA237" s="119">
        <f t="shared" si="598"/>
        <v>3.3598924062533946E-2</v>
      </c>
      <c r="BB237" s="119"/>
      <c r="BC237" s="121"/>
      <c r="BD237" s="119"/>
      <c r="BE237" s="119"/>
      <c r="BF237" s="119"/>
      <c r="BG237" s="173"/>
      <c r="BH237" s="173"/>
      <c r="BI237" s="173"/>
      <c r="BJ237" s="173"/>
      <c r="BK237" s="173"/>
      <c r="BL237" s="173"/>
      <c r="BM237" s="173"/>
      <c r="BN237" s="173"/>
      <c r="BO237" s="173"/>
      <c r="BP237" s="173"/>
      <c r="BQ237" s="118"/>
      <c r="BR237" s="118"/>
      <c r="BS237" s="118">
        <f>INDEX('Dist. Plant Gas Additions'!$F$7:$AE$91,MATCH($C237,'Dist. Plant Gas Additions'!$D$7:$D$91,0),MATCH(Calculation!$G237,'Dist. Plant Gas Additions'!$F$5:$AE$5,0))</f>
        <v>24566</v>
      </c>
      <c r="BT237" s="118">
        <f>INDEX('Gen. Plant Additions'!$F$7:$AE$91,MATCH($C237,'Gen. Plant Additions'!$D$7:$D$91,0),MATCH(Calculation!$G237,'Gen. Plant Additions'!$F$5:$AE$5,0))</f>
        <v>2700</v>
      </c>
      <c r="BU237" s="118"/>
      <c r="BV237" s="118"/>
      <c r="BW237" s="118">
        <f>INDEX('Dist Plant Depreciation'!$E$7:$AD$94,MATCH($C237,'Dist Plant Depreciation'!$D$7:$D$94,0),MATCH(Calculation!$G237,'Dist Plant Depreciation'!$E$5:$AD$5,0))</f>
        <v>256816</v>
      </c>
      <c r="BX237" s="118">
        <f>INDEX('Gen. Plant Depreciation'!$E$7:$AD$94,MATCH($C237,'Gen. Plant Depreciation'!$D$7:$D$94,0),MATCH(Calculation!$G237,'Gen. Plant Depreciation'!$E$5:$AD$5,0))</f>
        <v>29043</v>
      </c>
      <c r="BY237" s="118"/>
      <c r="BZ237" s="118"/>
      <c r="CA237" s="118"/>
      <c r="CB237" s="118"/>
      <c r="CC237" s="118"/>
      <c r="CD237" s="118"/>
      <c r="CE237" s="118">
        <f>INDEX('Gross Dx Plant'!$E$7:$AD$91,MATCH($C237,'Gross Dx Plant'!$D$7:$D$91,0),MATCH(Calculation!$G237,'Gross Dx Plant'!$E$5:$AD$5,0))</f>
        <v>572919</v>
      </c>
      <c r="CF237" s="118">
        <f>INDEX('Gross Gen Plant'!$E$7:$AD$91,MATCH($C237,'Gross Gen Plant'!$D$7:$D$91,0),MATCH(Calculation!$G237,'Gross Gen Plant'!$E$5:$AD$5,0))</f>
        <v>51512</v>
      </c>
      <c r="CG237" s="118">
        <f t="shared" ref="CG237:CG303" si="637">IF(OR(BW237="NA",BX237="NA"),"NA",(SUM(CE237:CF237)-SUM(BW237:BX237)))</f>
        <v>338572</v>
      </c>
      <c r="CH237" s="118"/>
      <c r="CI237" s="121">
        <v>2007</v>
      </c>
      <c r="CJ237" s="118"/>
      <c r="CK237" s="118"/>
      <c r="CL237" s="118"/>
      <c r="CM237" s="183"/>
      <c r="CN237" s="118">
        <f t="shared" si="599"/>
        <v>27266</v>
      </c>
      <c r="CO237" s="118">
        <f t="shared" si="600"/>
        <v>54.748550722813505</v>
      </c>
      <c r="CP237" s="186">
        <v>0.94915254237288138</v>
      </c>
      <c r="CQ237" s="118">
        <f>+CQ228*CP237+CO229*CP236+CO230*CP235+CO231*CP234+CO232*CP233+CO233*CP232+CO234*CP231+CO235*CP230+CO236*CP229+CO237</f>
        <v>1743.1741942751776</v>
      </c>
      <c r="CR237" s="119">
        <f t="shared" si="601"/>
        <v>2.5465418117422346E-2</v>
      </c>
      <c r="CS237" s="119"/>
      <c r="CT237" s="177">
        <f t="shared" si="602"/>
        <v>6.4250305328027385E-3</v>
      </c>
      <c r="CU237" s="177">
        <f t="shared" si="610"/>
        <v>6.2210420544046643E-3</v>
      </c>
      <c r="CV237" s="119">
        <f>VLOOKUP($H237,RoR!$E:$F,2,FALSE)</f>
        <v>5.5558333333333321E-2</v>
      </c>
      <c r="CW237" s="177">
        <v>2.691120634145272E-2</v>
      </c>
      <c r="CX237" s="177">
        <f t="shared" si="608"/>
        <v>2.86471269918806E-2</v>
      </c>
      <c r="CY237" s="177">
        <f t="shared" si="611"/>
        <v>2.4680899554128961E-2</v>
      </c>
      <c r="CZ237" s="177">
        <f t="shared" si="612"/>
        <v>6.4575155250632399E-2</v>
      </c>
      <c r="DA237" s="187">
        <f t="shared" si="603"/>
        <v>0.86875000000000002</v>
      </c>
      <c r="DB237" s="188">
        <f t="shared" si="604"/>
        <v>0.92303077153834634</v>
      </c>
      <c r="DC237" s="188">
        <f t="shared" si="605"/>
        <v>0.52502249887505614</v>
      </c>
      <c r="DD237" s="188">
        <f t="shared" si="606"/>
        <v>0.88499666072084604</v>
      </c>
      <c r="DE237" s="188">
        <f t="shared" si="607"/>
        <v>0.42887993290280618</v>
      </c>
      <c r="DF237" s="189">
        <f>INDEX('State Tax Lookup'!$D$7:$Z$91,MATCH(Calculation!$C237,'State Tax Lookup'!$B$7:$B$91,0),MATCH($H237,'State Tax Lookup'!$D$6:$Z$6,0))</f>
        <v>0.35</v>
      </c>
      <c r="DG237" s="189">
        <v>0.375</v>
      </c>
      <c r="DH237" s="190">
        <f t="shared" si="609"/>
        <v>16.341940758052143</v>
      </c>
      <c r="DI237" s="190">
        <v>16.101638230580971</v>
      </c>
      <c r="DJ237" s="177"/>
      <c r="DK237" s="189">
        <f>VLOOKUP($H237,RoR!$E:$F,2,FALSE)</f>
        <v>5.5558333333333321E-2</v>
      </c>
      <c r="DL237" s="191">
        <f>HLOOKUP($H237,'GDP-PI'!$D$8:$CQ$11,3,FALSE)</f>
        <v>2.691120634145272E-2</v>
      </c>
      <c r="DM237" s="189">
        <f>VLOOKUP(H237,'HW Dx Data'!$E:$F,2,FALSE)</f>
        <v>498.0223154772637</v>
      </c>
      <c r="DN237" s="183">
        <f>VLOOKUP(H237,'ECI - Input Price'!$G$17:$H$37,2,FALSE)</f>
        <v>105.22500000000001</v>
      </c>
      <c r="DO237" s="177">
        <f t="shared" ref="DO237" si="638">LN(DN237/DN236)</f>
        <v>3.0638025400780679E-2</v>
      </c>
      <c r="DP237" s="183">
        <f>HLOOKUP(H237,'GDP-PI'!$8:$9,2,FALSE)</f>
        <v>92.498000000000005</v>
      </c>
      <c r="DQ237" s="177">
        <f t="shared" ref="DQ237" si="639">LN(DP237/DP236)</f>
        <v>2.6555467950038037E-2</v>
      </c>
    </row>
    <row r="238" spans="1:121" s="167" customFormat="1" ht="21" x14ac:dyDescent="0.35">
      <c r="A238" s="167" t="s">
        <v>40</v>
      </c>
      <c r="B238" s="168" t="s">
        <v>40</v>
      </c>
      <c r="C238" s="168">
        <v>4057112</v>
      </c>
      <c r="D238" s="168" t="s">
        <v>133</v>
      </c>
      <c r="E238" s="168"/>
      <c r="F238" s="168"/>
      <c r="G238" s="168" t="s">
        <v>14</v>
      </c>
      <c r="H238" s="169">
        <v>2008</v>
      </c>
      <c r="I238" s="170"/>
      <c r="J238" s="166">
        <f>IFERROR(INDEX('Labor Expenditures'!$F$7:$X$91,MATCH($C238,'Labor Expenditures'!$D$7:$D$91,0),MATCH($G238,'Labor Expenditures'!$F$5:$X$5,0)),"NA")</f>
        <v>14292.48753196144</v>
      </c>
      <c r="K238" s="166">
        <f t="shared" si="615"/>
        <v>132.06271685804057</v>
      </c>
      <c r="L238" s="172">
        <f t="shared" si="622"/>
        <v>-9.7999515179841387E-2</v>
      </c>
      <c r="M238" s="172">
        <f t="shared" si="625"/>
        <v>-7.3459673238354423E-4</v>
      </c>
      <c r="N238" s="196"/>
      <c r="O238" s="172"/>
      <c r="P238" s="166">
        <f>IFERROR(INDEX('Non-Labor Expenditures'!$F$7:$AB$91,MATCH($C238,'Non-Labor Expenditures'!$D$7:$D$91,0),MATCH($G238,'Non-Labor Expenditures'!$F$5:$AB$5,0)),"NA")</f>
        <v>20698.191414726007</v>
      </c>
      <c r="Q238" s="166">
        <f t="shared" si="616"/>
        <v>219.57684179247653</v>
      </c>
      <c r="R238" s="172">
        <f t="shared" si="626"/>
        <v>-8.8800370256463937E-2</v>
      </c>
      <c r="S238" s="172">
        <f t="shared" si="631"/>
        <v>-6.6564065858017304E-4</v>
      </c>
      <c r="T238" s="172"/>
      <c r="U238" s="172"/>
      <c r="V238" s="166">
        <f t="shared" si="597"/>
        <v>32338.034484885586</v>
      </c>
      <c r="W238" s="170"/>
      <c r="X238" s="174">
        <v>1775.4449430831958</v>
      </c>
      <c r="Y238" s="175">
        <v>1.8343362786440786E-2</v>
      </c>
      <c r="Z238" s="175">
        <f t="shared" si="632"/>
        <v>1.3750041864102124E-4</v>
      </c>
      <c r="AA238" s="175"/>
      <c r="AB238" s="175"/>
      <c r="AC238" s="170">
        <f t="shared" si="490"/>
        <v>67328.713431573036</v>
      </c>
      <c r="AD238" s="175">
        <f t="shared" si="627"/>
        <v>3.0684094181989169E-2</v>
      </c>
      <c r="AE238" s="170"/>
      <c r="AF238" s="170"/>
      <c r="AG238" s="121">
        <f t="shared" si="628"/>
        <v>267.45125339265212</v>
      </c>
      <c r="AH238" s="119">
        <f>+AZ238/$BB$46</f>
        <v>7.0694484965200272E-3</v>
      </c>
      <c r="AI238" s="119"/>
      <c r="AJ238" s="176">
        <f t="shared" si="633"/>
        <v>1.8907328611890815</v>
      </c>
      <c r="AK238" s="176">
        <f t="shared" si="634"/>
        <v>0</v>
      </c>
      <c r="AL238" s="120">
        <f t="shared" si="617"/>
        <v>0.21227923130429432</v>
      </c>
      <c r="AM238" s="120">
        <f t="shared" si="618"/>
        <v>0.30741997521996051</v>
      </c>
      <c r="AN238" s="120">
        <f t="shared" si="619"/>
        <v>0.48030079347574511</v>
      </c>
      <c r="AO238" s="120">
        <f t="shared" si="635"/>
        <v>-5.0646961226723769E-2</v>
      </c>
      <c r="AP238" s="173">
        <f t="shared" ref="AP238:AP251" si="640">+AP237*EXP(AO238)</f>
        <v>94.920951830016705</v>
      </c>
      <c r="AQ238" s="175">
        <f t="shared" ref="AQ238:AQ251" si="641">LN(AP238/AP237)</f>
        <v>-5.0646961226723762E-2</v>
      </c>
      <c r="AR238" s="177">
        <f>+AC238/$AE$46</f>
        <v>7.4959221077315254E-3</v>
      </c>
      <c r="AS238" s="177">
        <f t="shared" si="636"/>
        <v>-3.7964567634882001E-4</v>
      </c>
      <c r="AT238" s="177"/>
      <c r="AU238" s="177"/>
      <c r="AV238" s="177"/>
      <c r="AW238" s="190"/>
      <c r="AX238" s="120"/>
      <c r="AY238" s="120"/>
      <c r="AZ238" s="118">
        <f>IFERROR(INDEX('Total Customers'!$F$7:$AB$91,MATCH($C238,'Total Customers'!$D$7:$D$91,0),MATCH($G238,'Total Customers'!$F$5:$AB$5,0)),"NA")</f>
        <v>251742</v>
      </c>
      <c r="BA238" s="119">
        <f t="shared" si="598"/>
        <v>2.3199241805170041E-2</v>
      </c>
      <c r="BB238" s="119"/>
      <c r="BC238" s="121"/>
      <c r="BD238" s="119"/>
      <c r="BE238" s="119"/>
      <c r="BF238" s="119"/>
      <c r="BG238" s="173"/>
      <c r="BH238" s="173"/>
      <c r="BI238" s="173"/>
      <c r="BJ238" s="173"/>
      <c r="BK238" s="173"/>
      <c r="BL238" s="173"/>
      <c r="BM238" s="173"/>
      <c r="BN238" s="173"/>
      <c r="BO238" s="173"/>
      <c r="BP238" s="173"/>
      <c r="BQ238" s="118"/>
      <c r="BR238" s="118"/>
      <c r="BS238" s="118">
        <f>INDEX('Dist. Plant Gas Additions'!$F$7:$AE$91,MATCH($C238,'Dist. Plant Gas Additions'!$D$7:$D$91,0),MATCH(Calculation!$G238,'Dist. Plant Gas Additions'!$F$5:$AE$5,0))</f>
        <v>20724</v>
      </c>
      <c r="BT238" s="118">
        <f>INDEX('Gen. Plant Additions'!$F$7:$AE$91,MATCH($C238,'Gen. Plant Additions'!$D$7:$D$91,0),MATCH(Calculation!$G238,'Gen. Plant Additions'!$F$5:$AE$5,0))</f>
        <v>4255</v>
      </c>
      <c r="BU238" s="118"/>
      <c r="BV238" s="118"/>
      <c r="BW238" s="118">
        <f>INDEX('Dist Plant Depreciation'!$E$7:$AD$94,MATCH($C238,'Dist Plant Depreciation'!$D$7:$D$94,0),MATCH(Calculation!$G238,'Dist Plant Depreciation'!$E$5:$AD$5,0))</f>
        <v>270926</v>
      </c>
      <c r="BX238" s="118">
        <f>INDEX('Gen. Plant Depreciation'!$E$7:$AD$94,MATCH($C238,'Gen. Plant Depreciation'!$D$7:$D$94,0),MATCH(Calculation!$G238,'Gen. Plant Depreciation'!$E$5:$AD$5,0))</f>
        <v>29975</v>
      </c>
      <c r="BY238" s="118"/>
      <c r="BZ238" s="118"/>
      <c r="CA238" s="118"/>
      <c r="CB238" s="118"/>
      <c r="CC238" s="118"/>
      <c r="CD238" s="118"/>
      <c r="CE238" s="118">
        <f>INDEX('Gross Dx Plant'!$E$7:$AD$91,MATCH($C238,'Gross Dx Plant'!$D$7:$D$91,0),MATCH(Calculation!$G238,'Gross Dx Plant'!$E$5:$AD$5,0))</f>
        <v>596305</v>
      </c>
      <c r="CF238" s="118">
        <f>INDEX('Gross Gen Plant'!$E$7:$AD$91,MATCH($C238,'Gross Gen Plant'!$D$7:$D$91,0),MATCH(Calculation!$G238,'Gross Gen Plant'!$E$5:$AD$5,0))</f>
        <v>53096</v>
      </c>
      <c r="CG238" s="118">
        <f t="shared" si="637"/>
        <v>348500</v>
      </c>
      <c r="CH238" s="118"/>
      <c r="CI238" s="121">
        <v>2008</v>
      </c>
      <c r="CJ238" s="118"/>
      <c r="CK238" s="118"/>
      <c r="CL238" s="118"/>
      <c r="CM238" s="183"/>
      <c r="CN238" s="118">
        <f t="shared" si="599"/>
        <v>24979</v>
      </c>
      <c r="CO238" s="118">
        <f t="shared" si="600"/>
        <v>43.831942260621801</v>
      </c>
      <c r="CP238" s="186">
        <v>0.94252873563218387</v>
      </c>
      <c r="CQ238" s="118">
        <f>+CQ228*CP238+CO229*CP237+CO230*CP236+CO231*CP235+CO232*CP234+CO233*CP233+CO234*CP232+CO235*CP231+CO236*CP230+CO237*CP229+CO238</f>
        <v>1775.4449430831958</v>
      </c>
      <c r="CR238" s="119">
        <f t="shared" si="601"/>
        <v>1.8343362786440786E-2</v>
      </c>
      <c r="CS238" s="119"/>
      <c r="CT238" s="177">
        <f t="shared" si="602"/>
        <v>6.6322651462901094E-3</v>
      </c>
      <c r="CU238" s="177">
        <f t="shared" si="610"/>
        <v>6.4247499169897771E-3</v>
      </c>
      <c r="CV238" s="119">
        <f>VLOOKUP($H238,RoR!$E:$F,2,FALSE)</f>
        <v>5.6316666666666668E-2</v>
      </c>
      <c r="CW238" s="177">
        <v>1.9092304698479889E-2</v>
      </c>
      <c r="CX238" s="177">
        <f t="shared" si="608"/>
        <v>3.7224361968186778E-2</v>
      </c>
      <c r="CY238" s="177">
        <f t="shared" si="611"/>
        <v>2.4477191691543849E-2</v>
      </c>
      <c r="CZ238" s="177">
        <f t="shared" si="612"/>
        <v>6.9030581091053131E-2</v>
      </c>
      <c r="DA238" s="187">
        <f t="shared" si="603"/>
        <v>0.86875000000000002</v>
      </c>
      <c r="DB238" s="188">
        <f t="shared" si="604"/>
        <v>0.91060168006009956</v>
      </c>
      <c r="DC238" s="188">
        <f t="shared" si="605"/>
        <v>0.53108168097070152</v>
      </c>
      <c r="DD238" s="188">
        <f t="shared" si="606"/>
        <v>0.88825329850328805</v>
      </c>
      <c r="DE238" s="188">
        <f t="shared" si="607"/>
        <v>0.4295627335323573</v>
      </c>
      <c r="DF238" s="189">
        <f>INDEX('State Tax Lookup'!$D$7:$Z$91,MATCH(Calculation!$C238,'State Tax Lookup'!$B$7:$B$91,0),MATCH($H238,'State Tax Lookup'!$D$6:$Z$6,0))</f>
        <v>0.35</v>
      </c>
      <c r="DG238" s="189">
        <v>0.375</v>
      </c>
      <c r="DH238" s="190">
        <f t="shared" si="609"/>
        <v>18.551235207065428</v>
      </c>
      <c r="DI238" s="190">
        <v>18.288097346065321</v>
      </c>
      <c r="DJ238" s="177"/>
      <c r="DK238" s="189">
        <f>VLOOKUP($H238,RoR!$E:$F,2,FALSE)</f>
        <v>5.6316666666666668E-2</v>
      </c>
      <c r="DL238" s="191">
        <f>HLOOKUP($H238,'GDP-PI'!$D$8:$CQ$11,3,FALSE)</f>
        <v>1.9092304698479889E-2</v>
      </c>
      <c r="DM238" s="189">
        <f>VLOOKUP(H238,'HW Dx Data'!$E:$F,2,FALSE)</f>
        <v>569.88120333515076</v>
      </c>
      <c r="DN238" s="183">
        <f>VLOOKUP(H238,'ECI - Input Price'!$G$17:$H$37,2,FALSE)</f>
        <v>108.22499999999999</v>
      </c>
      <c r="DO238" s="177">
        <f t="shared" ref="DO238" si="642">LN(DN238/DN237)</f>
        <v>2.8111478671409691E-2</v>
      </c>
      <c r="DP238" s="183">
        <f>HLOOKUP(H238,'GDP-PI'!$8:$9,2,FALSE)</f>
        <v>94.263999999999996</v>
      </c>
      <c r="DQ238" s="177">
        <f t="shared" ref="DQ238" si="643">LN(DP238/DP237)</f>
        <v>1.8912333748032254E-2</v>
      </c>
    </row>
    <row r="239" spans="1:121" s="167" customFormat="1" ht="21" x14ac:dyDescent="0.35">
      <c r="A239" s="167" t="s">
        <v>40</v>
      </c>
      <c r="B239" s="168" t="s">
        <v>40</v>
      </c>
      <c r="C239" s="168">
        <v>4057112</v>
      </c>
      <c r="D239" s="168" t="s">
        <v>133</v>
      </c>
      <c r="E239" s="168"/>
      <c r="F239" s="168"/>
      <c r="G239" s="168" t="s">
        <v>15</v>
      </c>
      <c r="H239" s="169">
        <v>2009</v>
      </c>
      <c r="I239" s="170"/>
      <c r="J239" s="166">
        <f>IFERROR(INDEX('Labor Expenditures'!$F$7:$X$91,MATCH($C239,'Labor Expenditures'!$D$7:$D$91,0),MATCH($G239,'Labor Expenditures'!$F$5:$X$5,0)),"NA")</f>
        <v>14905.646992074699</v>
      </c>
      <c r="K239" s="166">
        <f t="shared" si="615"/>
        <v>135.78362097084673</v>
      </c>
      <c r="L239" s="172">
        <f t="shared" si="622"/>
        <v>2.7785658981478396E-2</v>
      </c>
      <c r="M239" s="172">
        <f t="shared" si="625"/>
        <v>2.0185205709875674E-4</v>
      </c>
      <c r="N239" s="196"/>
      <c r="O239" s="172"/>
      <c r="P239" s="166">
        <f>IFERROR(INDEX('Non-Labor Expenditures'!$F$7:$AB$91,MATCH($C239,'Non-Labor Expenditures'!$D$7:$D$91,0),MATCH($G239,'Non-Labor Expenditures'!$F$5:$AB$5,0)),"NA")</f>
        <v>21586.160835359995</v>
      </c>
      <c r="Q239" s="166">
        <f t="shared" si="616"/>
        <v>227.2251374789208</v>
      </c>
      <c r="R239" s="172">
        <f t="shared" si="626"/>
        <v>3.4239073282905583E-2</v>
      </c>
      <c r="S239" s="172">
        <f t="shared" si="631"/>
        <v>2.4873361398110153E-4</v>
      </c>
      <c r="T239" s="172"/>
      <c r="U239" s="172"/>
      <c r="V239" s="166">
        <f t="shared" si="597"/>
        <v>31569.518614224708</v>
      </c>
      <c r="W239" s="170"/>
      <c r="X239" s="174">
        <v>1787.7495131432886</v>
      </c>
      <c r="Y239" s="175">
        <v>6.9065099431185294E-3</v>
      </c>
      <c r="Z239" s="175">
        <f t="shared" si="632"/>
        <v>5.0173121332871005E-5</v>
      </c>
      <c r="AA239" s="175"/>
      <c r="AB239" s="175"/>
      <c r="AC239" s="170">
        <f t="shared" si="490"/>
        <v>68061.326441659403</v>
      </c>
      <c r="AD239" s="175">
        <f t="shared" si="627"/>
        <v>1.0822364204621274E-2</v>
      </c>
      <c r="AE239" s="170"/>
      <c r="AF239" s="170"/>
      <c r="AG239" s="121">
        <f t="shared" si="628"/>
        <v>267.73662106785497</v>
      </c>
      <c r="AH239" s="119">
        <f>+AZ239/$BB$47</f>
        <v>7.1284549005355101E-3</v>
      </c>
      <c r="AI239" s="119"/>
      <c r="AJ239" s="176">
        <f t="shared" si="633"/>
        <v>1.9085484285039696</v>
      </c>
      <c r="AK239" s="176">
        <f t="shared" si="634"/>
        <v>0</v>
      </c>
      <c r="AL239" s="120">
        <f t="shared" si="617"/>
        <v>0.21900318097460936</v>
      </c>
      <c r="AM239" s="120">
        <f t="shared" si="618"/>
        <v>0.31715751020314237</v>
      </c>
      <c r="AN239" s="120">
        <f t="shared" si="619"/>
        <v>0.46383930882224828</v>
      </c>
      <c r="AO239" s="120">
        <f t="shared" si="635"/>
        <v>1.6684210163272751E-2</v>
      </c>
      <c r="AP239" s="173">
        <f t="shared" si="640"/>
        <v>96.517917953963604</v>
      </c>
      <c r="AQ239" s="175">
        <f t="shared" si="641"/>
        <v>1.6684210163272734E-2</v>
      </c>
      <c r="AR239" s="177">
        <f>+AC239/$AE$47</f>
        <v>7.2646129153643262E-3</v>
      </c>
      <c r="AS239" s="177">
        <f t="shared" si="636"/>
        <v>1.2120432863476385E-4</v>
      </c>
      <c r="AT239" s="177"/>
      <c r="AU239" s="177"/>
      <c r="AV239" s="177"/>
      <c r="AW239" s="190"/>
      <c r="AX239" s="120"/>
      <c r="AY239" s="120"/>
      <c r="AZ239" s="118">
        <f>IFERROR(INDEX('Total Customers'!$F$7:$AB$91,MATCH($C239,'Total Customers'!$D$7:$D$91,0),MATCH($G239,'Total Customers'!$F$5:$AB$5,0)),"NA")</f>
        <v>254210</v>
      </c>
      <c r="BA239" s="119">
        <f t="shared" si="598"/>
        <v>9.7559435480056873E-3</v>
      </c>
      <c r="BB239" s="119"/>
      <c r="BC239" s="121"/>
      <c r="BD239" s="119"/>
      <c r="BE239" s="119"/>
      <c r="BF239" s="119"/>
      <c r="BG239" s="173"/>
      <c r="BH239" s="173"/>
      <c r="BI239" s="173"/>
      <c r="BJ239" s="173"/>
      <c r="BK239" s="173"/>
      <c r="BL239" s="173"/>
      <c r="BM239" s="173"/>
      <c r="BN239" s="173"/>
      <c r="BO239" s="173"/>
      <c r="BP239" s="173"/>
      <c r="BQ239" s="118"/>
      <c r="BR239" s="118"/>
      <c r="BS239" s="118">
        <f>INDEX('Dist. Plant Gas Additions'!$F$7:$AE$91,MATCH($C239,'Dist. Plant Gas Additions'!$D$7:$D$91,0),MATCH(Calculation!$G239,'Dist. Plant Gas Additions'!$F$5:$AE$5,0))</f>
        <v>9872</v>
      </c>
      <c r="BT239" s="118">
        <f>INDEX('Gen. Plant Additions'!$F$7:$AE$91,MATCH($C239,'Gen. Plant Additions'!$D$7:$D$91,0),MATCH(Calculation!$G239,'Gen. Plant Additions'!$F$5:$AE$5,0))</f>
        <v>3616</v>
      </c>
      <c r="BU239" s="118"/>
      <c r="BV239" s="118"/>
      <c r="BW239" s="118">
        <f>INDEX('Dist Plant Depreciation'!$E$7:$AD$94,MATCH($C239,'Dist Plant Depreciation'!$D$7:$D$94,0),MATCH(Calculation!$G239,'Dist Plant Depreciation'!$E$5:$AD$5,0))</f>
        <v>286359</v>
      </c>
      <c r="BX239" s="118">
        <f>INDEX('Gen. Plant Depreciation'!$E$7:$AD$94,MATCH($C239,'Gen. Plant Depreciation'!$D$7:$D$94,0),MATCH(Calculation!$G239,'Gen. Plant Depreciation'!$E$5:$AD$5,0))</f>
        <v>27219</v>
      </c>
      <c r="BY239" s="118"/>
      <c r="BZ239" s="118"/>
      <c r="CA239" s="118"/>
      <c r="CB239" s="118"/>
      <c r="CC239" s="118"/>
      <c r="CD239" s="118"/>
      <c r="CE239" s="118">
        <f>INDEX('Gross Dx Plant'!$E$7:$AD$91,MATCH($C239,'Gross Dx Plant'!$D$7:$D$91,0),MATCH(Calculation!$G239,'Gross Dx Plant'!$E$5:$AD$5,0))</f>
        <v>605744</v>
      </c>
      <c r="CF239" s="118">
        <f>INDEX('Gross Gen Plant'!$E$7:$AD$91,MATCH($C239,'Gross Gen Plant'!$D$7:$D$91,0),MATCH(Calculation!$G239,'Gross Gen Plant'!$E$5:$AD$5,0))</f>
        <v>51005</v>
      </c>
      <c r="CG239" s="118">
        <f t="shared" si="637"/>
        <v>343171</v>
      </c>
      <c r="CH239" s="118"/>
      <c r="CI239" s="121">
        <v>2009</v>
      </c>
      <c r="CJ239" s="118"/>
      <c r="CK239" s="118"/>
      <c r="CL239" s="118"/>
      <c r="CM239" s="183"/>
      <c r="CN239" s="118">
        <f t="shared" si="599"/>
        <v>13488</v>
      </c>
      <c r="CO239" s="118">
        <f t="shared" si="600"/>
        <v>24.481766453854011</v>
      </c>
      <c r="CP239" s="186">
        <v>0.93567251461988299</v>
      </c>
      <c r="CQ239" s="118">
        <f>+CQ228*CP239+CO229*CP238+CO230*CP237+CO231*CP236+CO232*CP235+CO233*CP234+CO234*CP233+CO235*CP232+CO236*CP231+CO237*CP230+CO238*CP229+CO239</f>
        <v>1787.7495131432886</v>
      </c>
      <c r="CR239" s="119">
        <f t="shared" si="601"/>
        <v>6.9065099431185294E-3</v>
      </c>
      <c r="CS239" s="119"/>
      <c r="CT239" s="177">
        <f t="shared" si="602"/>
        <v>6.858673056126737E-3</v>
      </c>
      <c r="CU239" s="177">
        <f t="shared" si="610"/>
        <v>6.638656245073195E-3</v>
      </c>
      <c r="CV239" s="119">
        <f>VLOOKUP($H239,RoR!$E:$F,2,FALSE)</f>
        <v>5.3133333333333324E-2</v>
      </c>
      <c r="CW239" s="177">
        <v>7.7972502758210105E-3</v>
      </c>
      <c r="CX239" s="177">
        <f t="shared" si="608"/>
        <v>4.5336083057512314E-2</v>
      </c>
      <c r="CY239" s="177">
        <f t="shared" si="611"/>
        <v>2.4263285363460431E-2</v>
      </c>
      <c r="CZ239" s="177">
        <f t="shared" si="612"/>
        <v>6.3720160300892073E-2</v>
      </c>
      <c r="DA239" s="187">
        <f t="shared" si="603"/>
        <v>0.86875000000000002</v>
      </c>
      <c r="DB239" s="188">
        <f t="shared" si="604"/>
        <v>0.96515780330083989</v>
      </c>
      <c r="DC239" s="188">
        <f t="shared" si="605"/>
        <v>0.50448557089084056</v>
      </c>
      <c r="DD239" s="188">
        <f t="shared" si="606"/>
        <v>0.87391435735465484</v>
      </c>
      <c r="DE239" s="188">
        <f t="shared" si="607"/>
        <v>0.42551605393279146</v>
      </c>
      <c r="DF239" s="189">
        <f>INDEX('State Tax Lookup'!$D$7:$Z$91,MATCH(Calculation!$C239,'State Tax Lookup'!$B$7:$B$91,0),MATCH($H239,'State Tax Lookup'!$D$6:$Z$6,0))</f>
        <v>0.35</v>
      </c>
      <c r="DG239" s="189">
        <v>0.375</v>
      </c>
      <c r="DH239" s="190">
        <f t="shared" si="609"/>
        <v>17.781187041149149</v>
      </c>
      <c r="DI239" s="190">
        <v>17.458704059138924</v>
      </c>
      <c r="DJ239" s="177"/>
      <c r="DK239" s="189">
        <f>VLOOKUP($H239,RoR!$E:$F,2,FALSE)</f>
        <v>5.3133333333333324E-2</v>
      </c>
      <c r="DL239" s="191">
        <f>HLOOKUP($H239,'GDP-PI'!$D$8:$CQ$11,3,FALSE)</f>
        <v>7.7972502758210105E-3</v>
      </c>
      <c r="DM239" s="189">
        <f>VLOOKUP(H239,'HW Dx Data'!$E:$F,2,FALSE)</f>
        <v>550.94063679692806</v>
      </c>
      <c r="DN239" s="183">
        <f>VLOOKUP(H239,'ECI - Input Price'!$G$17:$H$37,2,FALSE)</f>
        <v>109.77499999999999</v>
      </c>
      <c r="DO239" s="177">
        <f t="shared" ref="DO239" si="644">LN(DN239/DN238)</f>
        <v>1.4220423119736749E-2</v>
      </c>
      <c r="DP239" s="183">
        <f>HLOOKUP(H239,'GDP-PI'!$8:$9,2,FALSE)</f>
        <v>94.998999999999995</v>
      </c>
      <c r="DQ239" s="177">
        <f t="shared" ref="DQ239" si="645">LN(DP239/DP238)</f>
        <v>7.7670088183096342E-3</v>
      </c>
    </row>
    <row r="240" spans="1:121" s="167" customFormat="1" ht="21" x14ac:dyDescent="0.35">
      <c r="A240" s="167" t="s">
        <v>40</v>
      </c>
      <c r="B240" s="168" t="s">
        <v>40</v>
      </c>
      <c r="C240" s="168">
        <v>4057112</v>
      </c>
      <c r="D240" s="168" t="s">
        <v>133</v>
      </c>
      <c r="E240" s="168"/>
      <c r="F240" s="168"/>
      <c r="G240" s="168" t="s">
        <v>16</v>
      </c>
      <c r="H240" s="169">
        <v>2010</v>
      </c>
      <c r="I240" s="170"/>
      <c r="J240" s="166">
        <f>IFERROR(INDEX('Labor Expenditures'!$F$7:$X$91,MATCH($C240,'Labor Expenditures'!$D$7:$D$91,0),MATCH($G240,'Labor Expenditures'!$F$5:$X$5,0)),"NA")</f>
        <v>16441.375957097538</v>
      </c>
      <c r="K240" s="166">
        <f t="shared" si="615"/>
        <v>146.96201972824616</v>
      </c>
      <c r="L240" s="172">
        <f t="shared" si="622"/>
        <v>7.9111587757214913E-2</v>
      </c>
      <c r="M240" s="172">
        <f t="shared" si="625"/>
        <v>5.9314471897520434E-4</v>
      </c>
      <c r="N240" s="196"/>
      <c r="O240" s="172"/>
      <c r="P240" s="166">
        <f>IFERROR(INDEX('Non-Labor Expenditures'!$F$7:$AB$91,MATCH($C240,'Non-Labor Expenditures'!$D$7:$D$91,0),MATCH($G240,'Non-Labor Expenditures'!$F$5:$AB$5,0)),"NA")</f>
        <v>23810.183211317912</v>
      </c>
      <c r="Q240" s="166">
        <f t="shared" si="616"/>
        <v>247.74145201092418</v>
      </c>
      <c r="R240" s="172">
        <f t="shared" si="626"/>
        <v>8.6444349097302683E-2</v>
      </c>
      <c r="S240" s="172">
        <f t="shared" si="631"/>
        <v>6.4812261523139393E-4</v>
      </c>
      <c r="T240" s="172"/>
      <c r="U240" s="172"/>
      <c r="V240" s="166">
        <f t="shared" si="597"/>
        <v>32558.538997458152</v>
      </c>
      <c r="W240" s="170"/>
      <c r="X240" s="174">
        <v>1806.0554875819575</v>
      </c>
      <c r="Y240" s="175">
        <v>1.0187604926809767E-2</v>
      </c>
      <c r="Z240" s="175">
        <f t="shared" si="632"/>
        <v>7.6382287761528271E-5</v>
      </c>
      <c r="AA240" s="175"/>
      <c r="AB240" s="175"/>
      <c r="AC240" s="170">
        <f t="shared" si="490"/>
        <v>72810.098165873598</v>
      </c>
      <c r="AD240" s="175">
        <f t="shared" si="627"/>
        <v>6.7445498471444654E-2</v>
      </c>
      <c r="AE240" s="170"/>
      <c r="AF240" s="170"/>
      <c r="AG240" s="121">
        <f t="shared" si="628"/>
        <v>282.99174915900767</v>
      </c>
      <c r="AH240" s="119">
        <f>+AZ240/$BB$48</f>
        <v>7.1750209064639654E-3</v>
      </c>
      <c r="AI240" s="119"/>
      <c r="AJ240" s="176">
        <f t="shared" si="633"/>
        <v>2.0304717165726864</v>
      </c>
      <c r="AK240" s="176">
        <f t="shared" si="634"/>
        <v>0</v>
      </c>
      <c r="AL240" s="120">
        <f t="shared" si="617"/>
        <v>0.22581175374384649</v>
      </c>
      <c r="AM240" s="120">
        <f t="shared" si="618"/>
        <v>0.32701759523897805</v>
      </c>
      <c r="AN240" s="120">
        <f t="shared" si="619"/>
        <v>0.44717065101717551</v>
      </c>
      <c r="AO240" s="120">
        <f t="shared" si="635"/>
        <v>4.5437656719164679E-2</v>
      </c>
      <c r="AP240" s="173">
        <f t="shared" si="640"/>
        <v>101.00462684185977</v>
      </c>
      <c r="AQ240" s="175">
        <f t="shared" si="641"/>
        <v>4.5437656719164637E-2</v>
      </c>
      <c r="AR240" s="177">
        <f>+AC240/$AE$48</f>
        <v>7.4975706567222827E-3</v>
      </c>
      <c r="AS240" s="177">
        <f t="shared" si="636"/>
        <v>3.4067204172782885E-4</v>
      </c>
      <c r="AT240" s="177"/>
      <c r="AU240" s="177"/>
      <c r="AV240" s="177"/>
      <c r="AW240" s="190"/>
      <c r="AX240" s="120"/>
      <c r="AY240" s="120"/>
      <c r="AZ240" s="118">
        <f>IFERROR(INDEX('Total Customers'!$F$7:$AB$91,MATCH($C240,'Total Customers'!$D$7:$D$91,0),MATCH($G240,'Total Customers'!$F$5:$AB$5,0)),"NA")</f>
        <v>257287</v>
      </c>
      <c r="BA240" s="119">
        <f t="shared" si="598"/>
        <v>1.2031496247261467E-2</v>
      </c>
      <c r="BB240" s="119"/>
      <c r="BC240" s="121"/>
      <c r="BD240" s="119"/>
      <c r="BE240" s="119"/>
      <c r="BF240" s="119"/>
      <c r="BG240" s="173"/>
      <c r="BH240" s="173"/>
      <c r="BI240" s="173"/>
      <c r="BJ240" s="173"/>
      <c r="BK240" s="173"/>
      <c r="BL240" s="173"/>
      <c r="BM240" s="173"/>
      <c r="BN240" s="173"/>
      <c r="BO240" s="173"/>
      <c r="BP240" s="173"/>
      <c r="BQ240" s="118"/>
      <c r="BR240" s="118"/>
      <c r="BS240" s="118">
        <f>INDEX('Dist. Plant Gas Additions'!$F$7:$AE$91,MATCH($C240,'Dist. Plant Gas Additions'!$D$7:$D$91,0),MATCH(Calculation!$G240,'Dist. Plant Gas Additions'!$F$5:$AE$5,0))</f>
        <v>7534</v>
      </c>
      <c r="BT240" s="118">
        <f>INDEX('Gen. Plant Additions'!$F$7:$AE$91,MATCH($C240,'Gen. Plant Additions'!$D$7:$D$91,0),MATCH(Calculation!$G240,'Gen. Plant Additions'!$F$5:$AE$5,0))</f>
        <v>10122</v>
      </c>
      <c r="BU240" s="118"/>
      <c r="BV240" s="118"/>
      <c r="BW240" s="118">
        <f>INDEX('Dist Plant Depreciation'!$E$7:$AD$94,MATCH($C240,'Dist Plant Depreciation'!$D$7:$D$94,0),MATCH(Calculation!$G240,'Dist Plant Depreciation'!$E$5:$AD$5,0))</f>
        <v>301431</v>
      </c>
      <c r="BX240" s="118">
        <f>INDEX('Gen. Plant Depreciation'!$E$7:$AD$94,MATCH($C240,'Gen. Plant Depreciation'!$D$7:$D$94,0),MATCH(Calculation!$G240,'Gen. Plant Depreciation'!$E$5:$AD$5,0))</f>
        <v>26878</v>
      </c>
      <c r="BY240" s="118"/>
      <c r="BZ240" s="118"/>
      <c r="CA240" s="118"/>
      <c r="CB240" s="118"/>
      <c r="CC240" s="118"/>
      <c r="CD240" s="118"/>
      <c r="CE240" s="118">
        <f>INDEX('Gross Dx Plant'!$E$7:$AD$91,MATCH($C240,'Gross Dx Plant'!$D$7:$D$91,0),MATCH(Calculation!$G240,'Gross Dx Plant'!$E$5:$AD$5,0))</f>
        <v>612262</v>
      </c>
      <c r="CF240" s="118">
        <f>INDEX('Gross Gen Plant'!$E$7:$AD$91,MATCH($C240,'Gross Gen Plant'!$D$7:$D$91,0),MATCH(Calculation!$G240,'Gross Gen Plant'!$E$5:$AD$5,0))</f>
        <v>48268</v>
      </c>
      <c r="CG240" s="118">
        <f t="shared" si="637"/>
        <v>332221</v>
      </c>
      <c r="CH240" s="118"/>
      <c r="CI240" s="121">
        <v>2010</v>
      </c>
      <c r="CJ240" s="118"/>
      <c r="CK240" s="118"/>
      <c r="CL240" s="118"/>
      <c r="CM240" s="183"/>
      <c r="CN240" s="118">
        <f t="shared" si="599"/>
        <v>17656</v>
      </c>
      <c r="CO240" s="118">
        <f t="shared" si="600"/>
        <v>31.030449451876855</v>
      </c>
      <c r="CP240" s="186">
        <v>0.9285714285714286</v>
      </c>
      <c r="CQ240" s="118">
        <f>+CQ228*CP240+CO229*CP239+CO230*CP238+CO231*CP237+CO232*CP236+CO233*CP235+CO234*CP234+CO235*CP233+CO236*CP232+CO237*CP231+CO238*CP230+CO239*CP229+CO240</f>
        <v>1806.0554875819575</v>
      </c>
      <c r="CR240" s="119">
        <f t="shared" si="601"/>
        <v>1.0187604926809767E-2</v>
      </c>
      <c r="CS240" s="119"/>
      <c r="CT240" s="177">
        <f t="shared" si="602"/>
        <v>7.1175938908998775E-3</v>
      </c>
      <c r="CU240" s="177">
        <f t="shared" si="610"/>
        <v>6.8695106977722416E-3</v>
      </c>
      <c r="CV240" s="119">
        <f>VLOOKUP($H240,RoR!$E:$F,2,FALSE)</f>
        <v>4.9433333333333322E-2</v>
      </c>
      <c r="CW240" s="177">
        <v>1.1684333519300205E-2</v>
      </c>
      <c r="CX240" s="177">
        <f t="shared" si="608"/>
        <v>3.7748999814033117E-2</v>
      </c>
      <c r="CY240" s="177">
        <f t="shared" si="611"/>
        <v>2.4032430910761383E-2</v>
      </c>
      <c r="CZ240" s="177">
        <f t="shared" si="612"/>
        <v>4.7937530248493419E-2</v>
      </c>
      <c r="DA240" s="187">
        <f t="shared" si="603"/>
        <v>0.86875000000000002</v>
      </c>
      <c r="DB240" s="188">
        <f t="shared" si="604"/>
        <v>1.037398205301105</v>
      </c>
      <c r="DC240" s="188">
        <f t="shared" si="605"/>
        <v>0.46926837491571133</v>
      </c>
      <c r="DD240" s="188">
        <f t="shared" si="606"/>
        <v>0.8548537519972772</v>
      </c>
      <c r="DE240" s="188">
        <f t="shared" si="607"/>
        <v>0.41615833911547367</v>
      </c>
      <c r="DF240" s="189">
        <f>INDEX('State Tax Lookup'!$D$7:$Z$91,MATCH(Calculation!$C240,'State Tax Lookup'!$B$7:$B$91,0),MATCH($H240,'State Tax Lookup'!$D$6:$Z$6,0))</f>
        <v>0.35</v>
      </c>
      <c r="DG240" s="189">
        <v>0.375</v>
      </c>
      <c r="DH240" s="190">
        <f t="shared" si="609"/>
        <v>18.212025095290056</v>
      </c>
      <c r="DI240" s="190">
        <v>17.888364340152979</v>
      </c>
      <c r="DJ240" s="177"/>
      <c r="DK240" s="189">
        <f>VLOOKUP($H240,RoR!$E:$F,2,FALSE)</f>
        <v>4.9433333333333322E-2</v>
      </c>
      <c r="DL240" s="191">
        <f>HLOOKUP($H240,'GDP-PI'!$D$8:$CQ$11,3,FALSE)</f>
        <v>1.1684333519300205E-2</v>
      </c>
      <c r="DM240" s="189">
        <f>VLOOKUP(H240,'HW Dx Data'!$E:$F,2,FALSE)</f>
        <v>568.98950262971744</v>
      </c>
      <c r="DN240" s="183">
        <f>VLOOKUP(H240,'ECI - Input Price'!$G$17:$H$37,2,FALSE)</f>
        <v>111.875</v>
      </c>
      <c r="DO240" s="177">
        <f t="shared" ref="DO240" si="646">LN(DN240/DN239)</f>
        <v>1.8949360147238387E-2</v>
      </c>
      <c r="DP240" s="183">
        <f>HLOOKUP(H240,'GDP-PI'!$8:$9,2,FALSE)</f>
        <v>96.108999999999995</v>
      </c>
      <c r="DQ240" s="177">
        <f t="shared" ref="DQ240" si="647">LN(DP240/DP239)</f>
        <v>1.1616598807150427E-2</v>
      </c>
    </row>
    <row r="241" spans="1:121" s="167" customFormat="1" ht="21" x14ac:dyDescent="0.35">
      <c r="A241" s="167" t="s">
        <v>40</v>
      </c>
      <c r="B241" s="168" t="s">
        <v>40</v>
      </c>
      <c r="C241" s="168">
        <v>4057112</v>
      </c>
      <c r="D241" s="168" t="s">
        <v>133</v>
      </c>
      <c r="E241" s="168"/>
      <c r="F241" s="168"/>
      <c r="G241" s="168" t="s">
        <v>17</v>
      </c>
      <c r="H241" s="169">
        <v>2011</v>
      </c>
      <c r="I241" s="170"/>
      <c r="J241" s="166">
        <f>IFERROR(INDEX('Labor Expenditures'!$F$7:$X$91,MATCH($C241,'Labor Expenditures'!$D$7:$D$91,0),MATCH($G241,'Labor Expenditures'!$F$5:$X$5,0)),"NA")</f>
        <v>16336.902951387066</v>
      </c>
      <c r="K241" s="166">
        <f t="shared" si="615"/>
        <v>142.93003457031554</v>
      </c>
      <c r="L241" s="172">
        <f t="shared" si="622"/>
        <v>-2.7818942410210878E-2</v>
      </c>
      <c r="M241" s="172">
        <f t="shared" si="625"/>
        <v>-2.0470373495446717E-4</v>
      </c>
      <c r="N241" s="196"/>
      <c r="O241" s="172"/>
      <c r="P241" s="166">
        <f>IFERROR(INDEX('Non-Labor Expenditures'!$F$7:$AB$91,MATCH($C241,'Non-Labor Expenditures'!$D$7:$D$91,0),MATCH($G241,'Non-Labor Expenditures'!$F$5:$AB$5,0)),"NA")</f>
        <v>23658.886786183273</v>
      </c>
      <c r="Q241" s="166">
        <f t="shared" si="616"/>
        <v>241.1416216791348</v>
      </c>
      <c r="R241" s="172">
        <f t="shared" si="626"/>
        <v>-2.7001267417314605E-2</v>
      </c>
      <c r="S241" s="172">
        <f t="shared" si="631"/>
        <v>-1.9868693091653589E-4</v>
      </c>
      <c r="T241" s="172"/>
      <c r="U241" s="172"/>
      <c r="V241" s="166">
        <f t="shared" si="597"/>
        <v>35051.737013890503</v>
      </c>
      <c r="W241" s="170"/>
      <c r="X241" s="174">
        <v>1821.3393120592543</v>
      </c>
      <c r="Y241" s="175">
        <v>8.4269376605537183E-3</v>
      </c>
      <c r="Z241" s="175">
        <f t="shared" si="632"/>
        <v>6.2009029240113716E-5</v>
      </c>
      <c r="AA241" s="175"/>
      <c r="AB241" s="175"/>
      <c r="AC241" s="170">
        <f t="shared" si="490"/>
        <v>75047.526751460842</v>
      </c>
      <c r="AD241" s="175">
        <f t="shared" si="627"/>
        <v>3.0266946206208113E-2</v>
      </c>
      <c r="AE241" s="170"/>
      <c r="AF241" s="170"/>
      <c r="AG241" s="121">
        <f t="shared" si="628"/>
        <v>288.20205435297692</v>
      </c>
      <c r="AH241" s="119">
        <f>+AZ241/$BB$49</f>
        <v>7.2265035473266471E-3</v>
      </c>
      <c r="AI241" s="119"/>
      <c r="AJ241" s="176">
        <f t="shared" si="633"/>
        <v>2.0826931681286149</v>
      </c>
      <c r="AK241" s="176">
        <f t="shared" si="634"/>
        <v>0</v>
      </c>
      <c r="AL241" s="120">
        <f t="shared" si="617"/>
        <v>0.2176874263357261</v>
      </c>
      <c r="AM241" s="120">
        <f t="shared" si="618"/>
        <v>0.31525205173697135</v>
      </c>
      <c r="AN241" s="120">
        <f t="shared" si="619"/>
        <v>0.46706052192730257</v>
      </c>
      <c r="AO241" s="120">
        <f t="shared" si="635"/>
        <v>-1.4839886320815617E-2</v>
      </c>
      <c r="AP241" s="173">
        <f t="shared" si="640"/>
        <v>99.516796581951795</v>
      </c>
      <c r="AQ241" s="175">
        <f t="shared" si="641"/>
        <v>-1.4839886320815596E-2</v>
      </c>
      <c r="AR241" s="177">
        <f>+AC241/$AE$49</f>
        <v>7.3584298042664318E-3</v>
      </c>
      <c r="AS241" s="177">
        <f t="shared" si="636"/>
        <v>-1.0919826179501521E-4</v>
      </c>
      <c r="AT241" s="177"/>
      <c r="AU241" s="177"/>
      <c r="AV241" s="177"/>
      <c r="AW241" s="190"/>
      <c r="AX241" s="120"/>
      <c r="AY241" s="120"/>
      <c r="AZ241" s="118">
        <f>IFERROR(INDEX('Total Customers'!$F$7:$AB$91,MATCH($C241,'Total Customers'!$D$7:$D$91,0),MATCH($G241,'Total Customers'!$F$5:$AB$5,0)),"NA")</f>
        <v>260399</v>
      </c>
      <c r="BA241" s="119">
        <f t="shared" si="598"/>
        <v>1.202287674934349E-2</v>
      </c>
      <c r="BB241" s="119"/>
      <c r="BC241" s="121"/>
      <c r="BD241" s="119"/>
      <c r="BE241" s="119"/>
      <c r="BF241" s="119"/>
      <c r="BG241" s="173"/>
      <c r="BH241" s="173"/>
      <c r="BI241" s="173"/>
      <c r="BJ241" s="173"/>
      <c r="BK241" s="173"/>
      <c r="BL241" s="173"/>
      <c r="BM241" s="173"/>
      <c r="BN241" s="173"/>
      <c r="BO241" s="173"/>
      <c r="BP241" s="173"/>
      <c r="BQ241" s="118"/>
      <c r="BR241" s="118"/>
      <c r="BS241" s="118">
        <f>INDEX('Dist. Plant Gas Additions'!$F$7:$AE$91,MATCH($C241,'Dist. Plant Gas Additions'!$D$7:$D$91,0),MATCH(Calculation!$G241,'Dist. Plant Gas Additions'!$F$5:$AE$5,0))</f>
        <v>14019</v>
      </c>
      <c r="BT241" s="118">
        <f>INDEX('Gen. Plant Additions'!$F$7:$AE$91,MATCH($C241,'Gen. Plant Additions'!$D$7:$D$91,0),MATCH(Calculation!$G241,'Gen. Plant Additions'!$F$5:$AE$5,0))</f>
        <v>3482</v>
      </c>
      <c r="BU241" s="118"/>
      <c r="BV241" s="118"/>
      <c r="BW241" s="118">
        <f>INDEX('Dist Plant Depreciation'!$E$7:$AD$94,MATCH($C241,'Dist Plant Depreciation'!$D$7:$D$94,0),MATCH(Calculation!$G241,'Dist Plant Depreciation'!$E$5:$AD$5,0))</f>
        <v>316517</v>
      </c>
      <c r="BX241" s="118">
        <f>INDEX('Gen. Plant Depreciation'!$E$7:$AD$94,MATCH($C241,'Gen. Plant Depreciation'!$D$7:$D$94,0),MATCH(Calculation!$G241,'Gen. Plant Depreciation'!$E$5:$AD$5,0))</f>
        <v>27731</v>
      </c>
      <c r="BY241" s="118"/>
      <c r="BZ241" s="118"/>
      <c r="CA241" s="118"/>
      <c r="CB241" s="118"/>
      <c r="CC241" s="118"/>
      <c r="CD241" s="118"/>
      <c r="CE241" s="118">
        <f>INDEX('Gross Dx Plant'!$E$7:$AD$91,MATCH($C241,'Gross Dx Plant'!$D$7:$D$91,0),MATCH(Calculation!$G241,'Gross Dx Plant'!$E$5:$AD$5,0))</f>
        <v>623284</v>
      </c>
      <c r="CF241" s="118">
        <f>INDEX('Gross Gen Plant'!$E$7:$AD$91,MATCH($C241,'Gross Gen Plant'!$D$7:$D$91,0),MATCH(Calculation!$G241,'Gross Gen Plant'!$E$5:$AD$5,0))</f>
        <v>49649</v>
      </c>
      <c r="CG241" s="118">
        <f t="shared" si="637"/>
        <v>328685</v>
      </c>
      <c r="CH241" s="118"/>
      <c r="CI241" s="121">
        <v>2011</v>
      </c>
      <c r="CJ241" s="118"/>
      <c r="CK241" s="118"/>
      <c r="CL241" s="118"/>
      <c r="CM241" s="183"/>
      <c r="CN241" s="118">
        <f t="shared" si="599"/>
        <v>17501</v>
      </c>
      <c r="CO241" s="118">
        <f t="shared" si="600"/>
        <v>28.61458876554655</v>
      </c>
      <c r="CP241" s="186">
        <v>0.92121212121212126</v>
      </c>
      <c r="CQ241" s="118">
        <f>+CQ228*CP241+CO229*CP240+CO230*CP239+CO231*CP238+CO232*CP237+CO233*CP236+CO234*CP235+CO235*CP234+CO236*CP233+CO237*CP232+CO238*CP231+CO239*CP230+CO240*CP229+CO241</f>
        <v>1821.3393120592543</v>
      </c>
      <c r="CR241" s="119">
        <f t="shared" si="601"/>
        <v>8.4269376605537183E-3</v>
      </c>
      <c r="CS241" s="119"/>
      <c r="CT241" s="177">
        <f t="shared" si="602"/>
        <v>7.3811487963183825E-3</v>
      </c>
      <c r="CU241" s="177">
        <f t="shared" si="610"/>
        <v>7.1191385811149996E-3</v>
      </c>
      <c r="CV241" s="119">
        <f>VLOOKUP($H241,RoR!$E:$F,2,FALSE)</f>
        <v>4.6391666666666664E-2</v>
      </c>
      <c r="CW241" s="177">
        <v>2.0840920205183799E-2</v>
      </c>
      <c r="CX241" s="177">
        <f t="shared" si="608"/>
        <v>2.5550746461482865E-2</v>
      </c>
      <c r="CY241" s="177">
        <f t="shared" si="611"/>
        <v>2.3782803027418625E-2</v>
      </c>
      <c r="CZ241" s="177">
        <f t="shared" si="612"/>
        <v>2.4810540821321614E-2</v>
      </c>
      <c r="DA241" s="187">
        <f t="shared" si="603"/>
        <v>0.86875000000000002</v>
      </c>
      <c r="DB241" s="188">
        <f t="shared" si="604"/>
        <v>1.1054151524782025</v>
      </c>
      <c r="DC241" s="188">
        <f t="shared" si="605"/>
        <v>0.43611011316687626</v>
      </c>
      <c r="DD241" s="188">
        <f t="shared" si="606"/>
        <v>0.83698442246886229</v>
      </c>
      <c r="DE241" s="188">
        <f t="shared" si="607"/>
        <v>0.40349573304423936</v>
      </c>
      <c r="DF241" s="189">
        <f>INDEX('State Tax Lookup'!$D$7:$Z$91,MATCH(Calculation!$C241,'State Tax Lookup'!$B$7:$B$91,0),MATCH($H241,'State Tax Lookup'!$D$6:$Z$6,0))</f>
        <v>0.35</v>
      </c>
      <c r="DG241" s="189">
        <v>0.375</v>
      </c>
      <c r="DH241" s="190">
        <f t="shared" si="609"/>
        <v>19.407895967149724</v>
      </c>
      <c r="DI241" s="190">
        <v>19.055342029016938</v>
      </c>
      <c r="DJ241" s="177"/>
      <c r="DK241" s="189">
        <f>VLOOKUP($H241,RoR!$E:$F,2,FALSE)</f>
        <v>4.6391666666666664E-2</v>
      </c>
      <c r="DL241" s="191">
        <f>HLOOKUP($H241,'GDP-PI'!$D$8:$CQ$11,3,FALSE)</f>
        <v>2.0840920205183799E-2</v>
      </c>
      <c r="DM241" s="189">
        <f>VLOOKUP(H241,'HW Dx Data'!$E:$F,2,FALSE)</f>
        <v>611.61109612283201</v>
      </c>
      <c r="DN241" s="183">
        <f>VLOOKUP(H241,'ECI - Input Price'!$G$17:$H$37,2,FALSE)</f>
        <v>114.3</v>
      </c>
      <c r="DO241" s="177">
        <f t="shared" ref="DO241" si="648">LN(DN241/DN240)</f>
        <v>2.1444394205745516E-2</v>
      </c>
      <c r="DP241" s="183">
        <f>HLOOKUP(H241,'GDP-PI'!$8:$9,2,FALSE)</f>
        <v>98.111999999999995</v>
      </c>
      <c r="DQ241" s="177">
        <f t="shared" ref="DQ241" si="649">LN(DP241/DP240)</f>
        <v>2.0626719212849295E-2</v>
      </c>
    </row>
    <row r="242" spans="1:121" s="167" customFormat="1" ht="21" x14ac:dyDescent="0.35">
      <c r="A242" s="167" t="s">
        <v>40</v>
      </c>
      <c r="B242" s="168" t="s">
        <v>40</v>
      </c>
      <c r="C242" s="168">
        <v>4057112</v>
      </c>
      <c r="D242" s="168" t="s">
        <v>133</v>
      </c>
      <c r="E242" s="168"/>
      <c r="F242" s="168"/>
      <c r="G242" s="168" t="s">
        <v>18</v>
      </c>
      <c r="H242" s="169">
        <v>2012</v>
      </c>
      <c r="I242" s="170"/>
      <c r="J242" s="166">
        <f>IFERROR(INDEX('Labor Expenditures'!$F$7:$X$91,MATCH($C242,'Labor Expenditures'!$D$7:$D$91,0),MATCH($G242,'Labor Expenditures'!$F$5:$X$5,0)),"NA")</f>
        <v>17140.97371521889</v>
      </c>
      <c r="K242" s="166">
        <f t="shared" si="615"/>
        <v>147.13282158986172</v>
      </c>
      <c r="L242" s="172">
        <f t="shared" si="622"/>
        <v>2.8980485265254433E-2</v>
      </c>
      <c r="M242" s="172">
        <f t="shared" si="625"/>
        <v>2.1720041697635562E-4</v>
      </c>
      <c r="N242" s="196"/>
      <c r="O242" s="172"/>
      <c r="P242" s="166">
        <f>IFERROR(INDEX('Non-Labor Expenditures'!$F$7:$AB$91,MATCH($C242,'Non-Labor Expenditures'!$D$7:$D$91,0),MATCH($G242,'Non-Labor Expenditures'!$F$5:$AB$5,0)),"NA")</f>
        <v>24823.331431914725</v>
      </c>
      <c r="Q242" s="166">
        <f t="shared" si="616"/>
        <v>248.23331431914724</v>
      </c>
      <c r="R242" s="172">
        <f t="shared" si="626"/>
        <v>2.89846847315023E-2</v>
      </c>
      <c r="S242" s="172">
        <f t="shared" si="631"/>
        <v>2.1723189077024714E-4</v>
      </c>
      <c r="T242" s="172"/>
      <c r="U242" s="172"/>
      <c r="V242" s="166">
        <f t="shared" si="597"/>
        <v>38127.395753549135</v>
      </c>
      <c r="W242" s="170"/>
      <c r="X242" s="174">
        <v>1855.8064221591401</v>
      </c>
      <c r="Y242" s="175">
        <v>1.8747214314524432E-2</v>
      </c>
      <c r="Z242" s="175">
        <f t="shared" si="632"/>
        <v>1.4050498909836182E-4</v>
      </c>
      <c r="AA242" s="175"/>
      <c r="AB242" s="175"/>
      <c r="AC242" s="170">
        <f t="shared" si="490"/>
        <v>80091.700900682743</v>
      </c>
      <c r="AD242" s="175">
        <f t="shared" si="627"/>
        <v>6.5050636617528385E-2</v>
      </c>
      <c r="AE242" s="170"/>
      <c r="AF242" s="170"/>
      <c r="AG242" s="121">
        <f t="shared" si="628"/>
        <v>305.17285737951948</v>
      </c>
      <c r="AH242" s="119">
        <f>+AZ242/$BB$50</f>
        <v>7.2482905127225711E-3</v>
      </c>
      <c r="AI242" s="119"/>
      <c r="AJ242" s="176">
        <f t="shared" si="633"/>
        <v>2.2119815268844092</v>
      </c>
      <c r="AK242" s="176">
        <f t="shared" si="634"/>
        <v>0</v>
      </c>
      <c r="AL242" s="120">
        <f t="shared" si="617"/>
        <v>0.2140168522138699</v>
      </c>
      <c r="AM242" s="120">
        <f t="shared" si="618"/>
        <v>0.3099363748398446</v>
      </c>
      <c r="AN242" s="120">
        <f t="shared" si="619"/>
        <v>0.47604677294628561</v>
      </c>
      <c r="AO242" s="120">
        <f t="shared" si="635"/>
        <v>1.5315944462783424E-2</v>
      </c>
      <c r="AP242" s="173">
        <f t="shared" si="640"/>
        <v>101.0527223640684</v>
      </c>
      <c r="AQ242" s="175">
        <f t="shared" si="641"/>
        <v>1.5315944462783389E-2</v>
      </c>
      <c r="AR242" s="177">
        <f>+AC242/$AE$50</f>
        <v>7.4947129072667276E-3</v>
      </c>
      <c r="AS242" s="177">
        <f t="shared" si="636"/>
        <v>1.1478860665220304E-4</v>
      </c>
      <c r="AT242" s="177"/>
      <c r="AU242" s="177"/>
      <c r="AV242" s="177"/>
      <c r="AW242" s="190"/>
      <c r="AX242" s="120"/>
      <c r="AY242" s="120"/>
      <c r="AZ242" s="118">
        <f>IFERROR(INDEX('Total Customers'!$F$7:$AB$91,MATCH($C242,'Total Customers'!$D$7:$D$91,0),MATCH($G242,'Total Customers'!$F$5:$AB$5,0)),"NA")</f>
        <v>262447</v>
      </c>
      <c r="BA242" s="119">
        <f t="shared" si="598"/>
        <v>7.8340868029986004E-3</v>
      </c>
      <c r="BB242" s="119"/>
      <c r="BC242" s="121"/>
      <c r="BD242" s="119"/>
      <c r="BE242" s="119"/>
      <c r="BF242" s="119"/>
      <c r="BG242" s="173"/>
      <c r="BH242" s="173"/>
      <c r="BI242" s="173"/>
      <c r="BJ242" s="173"/>
      <c r="BK242" s="173"/>
      <c r="BL242" s="173"/>
      <c r="BM242" s="173"/>
      <c r="BN242" s="173"/>
      <c r="BO242" s="173"/>
      <c r="BP242" s="173"/>
      <c r="BQ242" s="118"/>
      <c r="BR242" s="118"/>
      <c r="BS242" s="118">
        <f>INDEX('Dist. Plant Gas Additions'!$F$7:$AE$91,MATCH($C242,'Dist. Plant Gas Additions'!$D$7:$D$91,0),MATCH(Calculation!$G242,'Dist. Plant Gas Additions'!$F$5:$AE$5,0))</f>
        <v>28477</v>
      </c>
      <c r="BT242" s="118">
        <f>INDEX('Gen. Plant Additions'!$F$7:$AE$91,MATCH($C242,'Gen. Plant Additions'!$D$7:$D$91,0),MATCH(Calculation!$G242,'Gen. Plant Additions'!$F$5:$AE$5,0))</f>
        <v>3913</v>
      </c>
      <c r="BU242" s="118"/>
      <c r="BV242" s="118"/>
      <c r="BW242" s="118">
        <f>INDEX('Dist Plant Depreciation'!$E$7:$AD$94,MATCH($C242,'Dist Plant Depreciation'!$D$7:$D$94,0),MATCH(Calculation!$G242,'Dist Plant Depreciation'!$E$5:$AD$5,0))</f>
        <v>331934</v>
      </c>
      <c r="BX242" s="118">
        <f>INDEX('Gen. Plant Depreciation'!$E$7:$AD$94,MATCH($C242,'Gen. Plant Depreciation'!$D$7:$D$94,0),MATCH(Calculation!$G242,'Gen. Plant Depreciation'!$E$5:$AD$5,0))</f>
        <v>28356</v>
      </c>
      <c r="BY242" s="118"/>
      <c r="BZ242" s="118"/>
      <c r="CA242" s="118"/>
      <c r="CB242" s="118"/>
      <c r="CC242" s="118"/>
      <c r="CD242" s="118"/>
      <c r="CE242" s="118">
        <f>INDEX('Gross Dx Plant'!$E$7:$AD$91,MATCH($C242,'Gross Dx Plant'!$D$7:$D$91,0),MATCH(Calculation!$G242,'Gross Dx Plant'!$E$5:$AD$5,0))</f>
        <v>650754</v>
      </c>
      <c r="CF242" s="118">
        <f>INDEX('Gross Gen Plant'!$E$7:$AD$91,MATCH($C242,'Gross Gen Plant'!$D$7:$D$91,0),MATCH(Calculation!$G242,'Gross Gen Plant'!$E$5:$AD$5,0))</f>
        <v>51956</v>
      </c>
      <c r="CG242" s="118">
        <f t="shared" si="637"/>
        <v>342420</v>
      </c>
      <c r="CH242" s="118"/>
      <c r="CI242" s="121">
        <v>2012</v>
      </c>
      <c r="CJ242" s="118"/>
      <c r="CK242" s="118"/>
      <c r="CL242" s="118"/>
      <c r="CM242" s="183"/>
      <c r="CN242" s="118">
        <f t="shared" si="599"/>
        <v>32390</v>
      </c>
      <c r="CO242" s="118">
        <f t="shared" si="600"/>
        <v>48.421384955219914</v>
      </c>
      <c r="CP242" s="186">
        <v>0.9135802469135802</v>
      </c>
      <c r="CQ242" s="118">
        <f>+CQ228*CP242+CO229*CP241+CO230*CP240+CO231*CP239+CO232*CP238+CO233*CP237+CO234*CP236+CO235*CP235+CO236*CP234+CO237*CP233+CO238*CP232+CO239*CP231+CO240*CP230+CO241*CP229+CO242</f>
        <v>1855.8064221591401</v>
      </c>
      <c r="CR242" s="119">
        <f t="shared" si="601"/>
        <v>1.8747214314524432E-2</v>
      </c>
      <c r="CS242" s="119"/>
      <c r="CT242" s="177">
        <f t="shared" si="602"/>
        <v>7.661545963973667E-3</v>
      </c>
      <c r="CU242" s="177">
        <f t="shared" si="610"/>
        <v>7.3867628837306423E-3</v>
      </c>
      <c r="CV242" s="119">
        <f>VLOOKUP($H242,RoR!$E:$F,2,FALSE)</f>
        <v>3.6733333333333333E-2</v>
      </c>
      <c r="CW242" s="177">
        <v>1.924331376386168E-2</v>
      </c>
      <c r="CX242" s="177">
        <f t="shared" si="608"/>
        <v>1.7490019569471653E-2</v>
      </c>
      <c r="CY242" s="177">
        <f t="shared" si="611"/>
        <v>2.3515178724802983E-2</v>
      </c>
      <c r="CZ242" s="177">
        <f t="shared" si="612"/>
        <v>6.7122682943869583E-2</v>
      </c>
      <c r="DA242" s="187">
        <f t="shared" si="603"/>
        <v>0.86875000000000002</v>
      </c>
      <c r="DB242" s="188">
        <f t="shared" si="604"/>
        <v>1.3960631020522127</v>
      </c>
      <c r="DC242" s="188">
        <f t="shared" si="605"/>
        <v>0.29441923774954631</v>
      </c>
      <c r="DD242" s="188">
        <f t="shared" si="606"/>
        <v>0.76377954189366437</v>
      </c>
      <c r="DE242" s="188">
        <f t="shared" si="607"/>
        <v>0.31393465103033691</v>
      </c>
      <c r="DF242" s="189">
        <f>INDEX('State Tax Lookup'!$D$7:$Z$91,MATCH(Calculation!$C242,'State Tax Lookup'!$B$7:$B$91,0),MATCH($H242,'State Tax Lookup'!$D$6:$Z$6,0))</f>
        <v>0.35</v>
      </c>
      <c r="DG242" s="189">
        <v>0.375</v>
      </c>
      <c r="DH242" s="190">
        <f t="shared" si="609"/>
        <v>20.933713724347879</v>
      </c>
      <c r="DI242" s="190">
        <v>20.585295845528581</v>
      </c>
      <c r="DJ242" s="177"/>
      <c r="DK242" s="189">
        <f>VLOOKUP($H242,RoR!$E:$F,2,FALSE)</f>
        <v>3.6733333333333333E-2</v>
      </c>
      <c r="DL242" s="191">
        <f>HLOOKUP($H242,'GDP-PI'!$D$8:$CQ$11,3,FALSE)</f>
        <v>1.924331376386168E-2</v>
      </c>
      <c r="DM242" s="189">
        <f>VLOOKUP(H242,'HW Dx Data'!$E:$F,2,FALSE)</f>
        <v>668.91932211262167</v>
      </c>
      <c r="DN242" s="183">
        <f>VLOOKUP(H242,'ECI - Input Price'!$G$17:$H$37,2,FALSE)</f>
        <v>116.5</v>
      </c>
      <c r="DO242" s="177">
        <f t="shared" ref="DO242" si="650">LN(DN242/DN241)</f>
        <v>1.9064702204990347E-2</v>
      </c>
      <c r="DP242" s="183">
        <f>HLOOKUP(H242,'GDP-PI'!$8:$9,2,FALSE)</f>
        <v>100</v>
      </c>
      <c r="DQ242" s="177">
        <f t="shared" ref="DQ242" si="651">LN(DP242/DP241)</f>
        <v>1.9060502738742411E-2</v>
      </c>
    </row>
    <row r="243" spans="1:121" s="167" customFormat="1" ht="21" x14ac:dyDescent="0.35">
      <c r="A243" s="167" t="s">
        <v>40</v>
      </c>
      <c r="B243" s="168" t="s">
        <v>40</v>
      </c>
      <c r="C243" s="168">
        <v>4057112</v>
      </c>
      <c r="D243" s="168" t="s">
        <v>133</v>
      </c>
      <c r="E243" s="168"/>
      <c r="F243" s="168"/>
      <c r="G243" s="168" t="s">
        <v>19</v>
      </c>
      <c r="H243" s="169">
        <v>2013</v>
      </c>
      <c r="I243" s="170"/>
      <c r="J243" s="166">
        <f>IFERROR(INDEX('Labor Expenditures'!$F$7:$X$91,MATCH($C243,'Labor Expenditures'!$D$7:$D$91,0),MATCH($G243,'Labor Expenditures'!$F$5:$X$5,0)),"NA")</f>
        <v>17583.084935264596</v>
      </c>
      <c r="K243" s="166">
        <f t="shared" si="615"/>
        <v>148.09926245748238</v>
      </c>
      <c r="L243" s="172">
        <f t="shared" si="622"/>
        <v>6.5470141757441808E-3</v>
      </c>
      <c r="M243" s="172">
        <f t="shared" si="625"/>
        <v>4.7932968587316067E-5</v>
      </c>
      <c r="N243" s="196"/>
      <c r="O243" s="172"/>
      <c r="P243" s="166">
        <f>IFERROR(INDEX('Non-Labor Expenditures'!$F$7:$AB$91,MATCH($C243,'Non-Labor Expenditures'!$D$7:$D$91,0),MATCH($G243,'Non-Labor Expenditures'!$F$5:$AB$5,0)),"NA")</f>
        <v>25463.591053526463</v>
      </c>
      <c r="Q243" s="166">
        <f t="shared" si="616"/>
        <v>250.19986689521252</v>
      </c>
      <c r="R243" s="172">
        <f t="shared" si="626"/>
        <v>7.8909785886640514E-3</v>
      </c>
      <c r="S243" s="172">
        <f t="shared" si="631"/>
        <v>5.7772599640144263E-5</v>
      </c>
      <c r="T243" s="172"/>
      <c r="U243" s="172"/>
      <c r="V243" s="166">
        <f t="shared" si="597"/>
        <v>38109.50954033665</v>
      </c>
      <c r="W243" s="170"/>
      <c r="X243" s="174">
        <v>1890.3461954151251</v>
      </c>
      <c r="Y243" s="175">
        <v>1.84406539559747E-2</v>
      </c>
      <c r="Z243" s="175">
        <f t="shared" si="632"/>
        <v>1.3501044339816613E-4</v>
      </c>
      <c r="AA243" s="175"/>
      <c r="AB243" s="175"/>
      <c r="AC243" s="170">
        <f t="shared" si="490"/>
        <v>81156.185529127717</v>
      </c>
      <c r="AD243" s="175">
        <f t="shared" si="627"/>
        <v>1.3203274981848966E-2</v>
      </c>
      <c r="AE243" s="170"/>
      <c r="AF243" s="170"/>
      <c r="AG243" s="121">
        <f t="shared" si="628"/>
        <v>305.21318363718586</v>
      </c>
      <c r="AH243" s="119">
        <f>+AZ243/$BB$51</f>
        <v>7.2967055447291174E-3</v>
      </c>
      <c r="AI243" s="119"/>
      <c r="AJ243" s="176">
        <f t="shared" si="633"/>
        <v>2.2270507293698802</v>
      </c>
      <c r="AK243" s="176">
        <f t="shared" si="634"/>
        <v>0</v>
      </c>
      <c r="AL243" s="120">
        <f t="shared" si="617"/>
        <v>0.21665736038017536</v>
      </c>
      <c r="AM243" s="120">
        <f t="shared" si="618"/>
        <v>0.31376032384355151</v>
      </c>
      <c r="AN243" s="120">
        <f t="shared" si="619"/>
        <v>0.46958231577627302</v>
      </c>
      <c r="AO243" s="120">
        <f t="shared" si="635"/>
        <v>3.8706037350559053E-3</v>
      </c>
      <c r="AP243" s="173">
        <f t="shared" si="640"/>
        <v>101.44461535065281</v>
      </c>
      <c r="AQ243" s="175">
        <f t="shared" si="641"/>
        <v>3.8706037350559742E-3</v>
      </c>
      <c r="AR243" s="177">
        <f>+AC243/$AE$51</f>
        <v>7.3213479153445794E-3</v>
      </c>
      <c r="AS243" s="177">
        <f t="shared" si="636"/>
        <v>2.8338036586776999E-5</v>
      </c>
      <c r="AT243" s="177"/>
      <c r="AU243" s="177"/>
      <c r="AV243" s="177"/>
      <c r="AW243" s="190"/>
      <c r="AX243" s="120"/>
      <c r="AY243" s="120"/>
      <c r="AZ243" s="118">
        <f>IFERROR(INDEX('Total Customers'!$F$7:$AB$91,MATCH($C243,'Total Customers'!$D$7:$D$91,0),MATCH($G243,'Total Customers'!$F$5:$AB$5,0)),"NA")</f>
        <v>265900</v>
      </c>
      <c r="BA243" s="119">
        <f t="shared" si="598"/>
        <v>1.3071141364710921E-2</v>
      </c>
      <c r="BB243" s="119"/>
      <c r="BC243" s="121"/>
      <c r="BD243" s="119"/>
      <c r="BE243" s="119"/>
      <c r="BF243" s="119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18"/>
      <c r="BR243" s="118"/>
      <c r="BS243" s="118">
        <f>INDEX('Dist. Plant Gas Additions'!$F$7:$AE$91,MATCH($C243,'Dist. Plant Gas Additions'!$D$7:$D$91,0),MATCH(Calculation!$G243,'Dist. Plant Gas Additions'!$F$5:$AE$5,0))</f>
        <v>25482</v>
      </c>
      <c r="BT243" s="118">
        <f>INDEX('Gen. Plant Additions'!$F$7:$AE$91,MATCH($C243,'Gen. Plant Additions'!$D$7:$D$91,0),MATCH(Calculation!$G243,'Gen. Plant Additions'!$F$5:$AE$5,0))</f>
        <v>7181</v>
      </c>
      <c r="BU243" s="118"/>
      <c r="BV243" s="118"/>
      <c r="BW243" s="118">
        <f>INDEX('Dist Plant Depreciation'!$E$7:$AD$94,MATCH($C243,'Dist Plant Depreciation'!$D$7:$D$94,0),MATCH(Calculation!$G243,'Dist Plant Depreciation'!$E$5:$AD$5,0))</f>
        <v>347102</v>
      </c>
      <c r="BX243" s="118">
        <f>INDEX('Gen. Plant Depreciation'!$E$7:$AD$94,MATCH($C243,'Gen. Plant Depreciation'!$D$7:$D$94,0),MATCH(Calculation!$G243,'Gen. Plant Depreciation'!$E$5:$AD$5,0))</f>
        <v>24832</v>
      </c>
      <c r="BY243" s="118"/>
      <c r="BZ243" s="118"/>
      <c r="CA243" s="118"/>
      <c r="CB243" s="118"/>
      <c r="CC243" s="118"/>
      <c r="CD243" s="118"/>
      <c r="CE243" s="118">
        <f>INDEX('Gross Dx Plant'!$E$7:$AD$91,MATCH($C243,'Gross Dx Plant'!$D$7:$D$91,0),MATCH(Calculation!$G243,'Gross Dx Plant'!$E$5:$AD$5,0))</f>
        <v>674675</v>
      </c>
      <c r="CF243" s="118">
        <f>INDEX('Gross Gen Plant'!$E$7:$AD$91,MATCH($C243,'Gross Gen Plant'!$D$7:$D$91,0),MATCH(Calculation!$G243,'Gross Gen Plant'!$E$5:$AD$5,0))</f>
        <v>52782</v>
      </c>
      <c r="CG243" s="118">
        <f t="shared" si="637"/>
        <v>355523</v>
      </c>
      <c r="CH243" s="118"/>
      <c r="CI243" s="121">
        <v>2013</v>
      </c>
      <c r="CJ243" s="118"/>
      <c r="CK243" s="118"/>
      <c r="CL243" s="118"/>
      <c r="CM243" s="183"/>
      <c r="CN243" s="118">
        <f t="shared" si="599"/>
        <v>32663</v>
      </c>
      <c r="CO243" s="118">
        <f t="shared" si="600"/>
        <v>49.247008707027227</v>
      </c>
      <c r="CP243" s="186">
        <v>0.90566037735849059</v>
      </c>
      <c r="CQ243" s="118">
        <f>+CQ228*CP243+CO229*CP242+CO230*CP241+CO231*CP240+CO232*CP239+CO233*CP238+CO234*CP237+CO235*CP236+CO236*CP235+CO237*CP234+CO238*CP233+CO239*CP232+CO240*CP231+CO241*CP230+CO242*CP229+CO243</f>
        <v>1890.3461954151251</v>
      </c>
      <c r="CR243" s="119">
        <f t="shared" si="601"/>
        <v>1.84406539559747E-2</v>
      </c>
      <c r="CS243" s="119"/>
      <c r="CT243" s="177">
        <f t="shared" si="602"/>
        <v>7.9249835949651987E-3</v>
      </c>
      <c r="CU243" s="177">
        <f t="shared" si="610"/>
        <v>7.65589278508575E-3</v>
      </c>
      <c r="CV243" s="119">
        <f>VLOOKUP($H243,RoR!$E:$F,2,FALSE)</f>
        <v>4.2350000000000006E-2</v>
      </c>
      <c r="CW243" s="177">
        <v>1.7730000000000024E-2</v>
      </c>
      <c r="CX243" s="177">
        <f t="shared" si="608"/>
        <v>2.4619999999999982E-2</v>
      </c>
      <c r="CY243" s="177">
        <f t="shared" si="611"/>
        <v>2.3246048823447874E-2</v>
      </c>
      <c r="CZ243" s="177">
        <f t="shared" si="612"/>
        <v>5.3376742735721204E-2</v>
      </c>
      <c r="DA243" s="187">
        <f t="shared" si="603"/>
        <v>0.86875000000000002</v>
      </c>
      <c r="DB243" s="188">
        <f t="shared" si="604"/>
        <v>1.2109103018193925</v>
      </c>
      <c r="DC243" s="188">
        <f t="shared" si="605"/>
        <v>0.38468122786304604</v>
      </c>
      <c r="DD243" s="188">
        <f t="shared" si="606"/>
        <v>0.80969194503422559</v>
      </c>
      <c r="DE243" s="188">
        <f t="shared" si="607"/>
        <v>0.37716621754800816</v>
      </c>
      <c r="DF243" s="189">
        <f>INDEX('State Tax Lookup'!$D$7:$Z$91,MATCH(Calculation!$C243,'State Tax Lookup'!$B$7:$B$91,0),MATCH($H243,'State Tax Lookup'!$D$6:$Z$6,0))</f>
        <v>0.35</v>
      </c>
      <c r="DG243" s="189">
        <v>0.375</v>
      </c>
      <c r="DH243" s="190">
        <f t="shared" si="609"/>
        <v>20.535282713375945</v>
      </c>
      <c r="DI243" s="190">
        <v>20.193108336833888</v>
      </c>
      <c r="DJ243" s="177"/>
      <c r="DK243" s="189">
        <f>VLOOKUP($H243,RoR!$E:$F,2,FALSE)</f>
        <v>4.2350000000000006E-2</v>
      </c>
      <c r="DL243" s="191">
        <f>HLOOKUP($H243,'GDP-PI'!$D$8:$CQ$11,3,FALSE)</f>
        <v>1.7730000000000024E-2</v>
      </c>
      <c r="DM243" s="189">
        <f>VLOOKUP(H243,'HW Dx Data'!$E:$F,2,FALSE)</f>
        <v>663.24840548821396</v>
      </c>
      <c r="DN243" s="183">
        <f>VLOOKUP(H243,'ECI - Input Price'!$G$17:$H$37,2,FALSE)</f>
        <v>118.72499999999999</v>
      </c>
      <c r="DO243" s="177">
        <f t="shared" ref="DO243" si="652">LN(DN243/DN242)</f>
        <v>1.8918621429430321E-2</v>
      </c>
      <c r="DP243" s="183">
        <f>HLOOKUP(H243,'GDP-PI'!$8:$9,2,FALSE)</f>
        <v>101.773</v>
      </c>
      <c r="DQ243" s="177">
        <f t="shared" ref="DQ243" si="653">LN(DP243/DP242)</f>
        <v>1.7574657016510519E-2</v>
      </c>
    </row>
    <row r="244" spans="1:121" s="167" customFormat="1" ht="21" x14ac:dyDescent="0.35">
      <c r="A244" s="167" t="s">
        <v>40</v>
      </c>
      <c r="B244" s="168" t="s">
        <v>40</v>
      </c>
      <c r="C244" s="168">
        <v>4057112</v>
      </c>
      <c r="D244" s="168" t="s">
        <v>133</v>
      </c>
      <c r="E244" s="168"/>
      <c r="F244" s="168"/>
      <c r="G244" s="168" t="s">
        <v>20</v>
      </c>
      <c r="H244" s="169">
        <v>2014</v>
      </c>
      <c r="I244" s="170"/>
      <c r="J244" s="166">
        <f>IFERROR(INDEX('Labor Expenditures'!$F$7:$X$91,MATCH($C244,'Labor Expenditures'!$D$7:$D$91,0),MATCH($G244,'Labor Expenditures'!$F$5:$X$5,0)),"NA")</f>
        <v>19174.89792721784</v>
      </c>
      <c r="K244" s="166">
        <f t="shared" si="615"/>
        <v>158.20872877242442</v>
      </c>
      <c r="L244" s="172">
        <f t="shared" si="622"/>
        <v>6.6032488133209333E-2</v>
      </c>
      <c r="M244" s="172">
        <f t="shared" si="625"/>
        <v>5.0234933337958883E-4</v>
      </c>
      <c r="N244" s="196"/>
      <c r="O244" s="172"/>
      <c r="P244" s="166">
        <f>IFERROR(INDEX('Non-Labor Expenditures'!$F$7:$AB$91,MATCH($C244,'Non-Labor Expenditures'!$D$7:$D$91,0),MATCH($G244,'Non-Labor Expenditures'!$F$5:$AB$5,0)),"NA")</f>
        <v>27768.833575530909</v>
      </c>
      <c r="Q244" s="166">
        <f t="shared" si="616"/>
        <v>267.91738859331105</v>
      </c>
      <c r="R244" s="172">
        <f t="shared" si="626"/>
        <v>6.8418615434981761E-2</v>
      </c>
      <c r="S244" s="172">
        <f t="shared" si="631"/>
        <v>5.2050205627844582E-4</v>
      </c>
      <c r="T244" s="172"/>
      <c r="U244" s="172"/>
      <c r="V244" s="166">
        <f t="shared" si="597"/>
        <v>39629.375484408411</v>
      </c>
      <c r="W244" s="170"/>
      <c r="X244" s="174">
        <v>1921.0670180538452</v>
      </c>
      <c r="Y244" s="175">
        <v>1.6120785769020037E-2</v>
      </c>
      <c r="Z244" s="175">
        <f t="shared" si="632"/>
        <v>1.2264063059816101E-4</v>
      </c>
      <c r="AA244" s="175"/>
      <c r="AB244" s="175"/>
      <c r="AC244" s="170">
        <f t="shared" si="490"/>
        <v>86573.106987157167</v>
      </c>
      <c r="AD244" s="175">
        <f t="shared" si="627"/>
        <v>6.4613710008065345E-2</v>
      </c>
      <c r="AE244" s="170"/>
      <c r="AF244" s="170"/>
      <c r="AG244" s="121">
        <f t="shared" si="628"/>
        <v>321.38269780700347</v>
      </c>
      <c r="AH244" s="119">
        <f>+AZ244/$BB$52</f>
        <v>7.3524383018612289E-3</v>
      </c>
      <c r="AI244" s="119"/>
      <c r="AJ244" s="176">
        <f t="shared" si="633"/>
        <v>2.3629464569117049</v>
      </c>
      <c r="AK244" s="176">
        <f t="shared" si="634"/>
        <v>0</v>
      </c>
      <c r="AL244" s="120">
        <f t="shared" si="617"/>
        <v>0.22148792615312249</v>
      </c>
      <c r="AM244" s="120">
        <f t="shared" si="618"/>
        <v>0.32075588530801286</v>
      </c>
      <c r="AN244" s="120">
        <f t="shared" si="619"/>
        <v>0.45775618853886457</v>
      </c>
      <c r="AO244" s="120">
        <f t="shared" si="635"/>
        <v>3.6172271967417464E-2</v>
      </c>
      <c r="AP244" s="173">
        <f t="shared" si="640"/>
        <v>105.18127182223357</v>
      </c>
      <c r="AQ244" s="175">
        <f t="shared" si="641"/>
        <v>3.6172271967417388E-2</v>
      </c>
      <c r="AR244" s="177">
        <f>+AC244/$AE$52</f>
        <v>7.6076087329343747E-3</v>
      </c>
      <c r="AS244" s="177">
        <f t="shared" si="636"/>
        <v>2.7518449210940177E-4</v>
      </c>
      <c r="AT244" s="177"/>
      <c r="AU244" s="177"/>
      <c r="AV244" s="177"/>
      <c r="AW244" s="190"/>
      <c r="AX244" s="120"/>
      <c r="AY244" s="120"/>
      <c r="AZ244" s="118">
        <f>IFERROR(INDEX('Total Customers'!$F$7:$AB$91,MATCH($C244,'Total Customers'!$D$7:$D$91,0),MATCH($G244,'Total Customers'!$F$5:$AB$5,0)),"NA")</f>
        <v>269377</v>
      </c>
      <c r="BA244" s="119">
        <f t="shared" si="598"/>
        <v>1.2991587175443376E-2</v>
      </c>
      <c r="BB244" s="119"/>
      <c r="BC244" s="121"/>
      <c r="BD244" s="119"/>
      <c r="BE244" s="119"/>
      <c r="BF244" s="119"/>
      <c r="BG244" s="173"/>
      <c r="BH244" s="173"/>
      <c r="BI244" s="173"/>
      <c r="BJ244" s="173"/>
      <c r="BK244" s="173"/>
      <c r="BL244" s="173"/>
      <c r="BM244" s="173"/>
      <c r="BN244" s="173"/>
      <c r="BO244" s="173"/>
      <c r="BP244" s="173"/>
      <c r="BQ244" s="118"/>
      <c r="BR244" s="118"/>
      <c r="BS244" s="118">
        <f>INDEX('Dist. Plant Gas Additions'!$F$7:$AE$91,MATCH($C244,'Dist. Plant Gas Additions'!$D$7:$D$91,0),MATCH(Calculation!$G244,'Dist. Plant Gas Additions'!$F$5:$AE$5,0))</f>
        <v>26317</v>
      </c>
      <c r="BT244" s="118">
        <f>INDEX('Gen. Plant Additions'!$F$7:$AE$91,MATCH($C244,'Gen. Plant Additions'!$D$7:$D$91,0),MATCH(Calculation!$G244,'Gen. Plant Additions'!$F$5:$AE$5,0))</f>
        <v>5320</v>
      </c>
      <c r="BU244" s="118"/>
      <c r="BV244" s="118"/>
      <c r="BW244" s="118">
        <f>INDEX('Dist Plant Depreciation'!$E$7:$AD$94,MATCH($C244,'Dist Plant Depreciation'!$D$7:$D$94,0),MATCH(Calculation!$G244,'Dist Plant Depreciation'!$E$5:$AD$5,0))</f>
        <v>363333</v>
      </c>
      <c r="BX244" s="118">
        <f>INDEX('Gen. Plant Depreciation'!$E$7:$AD$94,MATCH($C244,'Gen. Plant Depreciation'!$D$7:$D$94,0),MATCH(Calculation!$G244,'Gen. Plant Depreciation'!$E$5:$AD$5,0))</f>
        <v>25700</v>
      </c>
      <c r="BY244" s="118"/>
      <c r="BZ244" s="118"/>
      <c r="CA244" s="118"/>
      <c r="CB244" s="118"/>
      <c r="CC244" s="118"/>
      <c r="CD244" s="118"/>
      <c r="CE244" s="118">
        <f>INDEX('Gross Dx Plant'!$E$7:$AD$91,MATCH($C244,'Gross Dx Plant'!$D$7:$D$91,0),MATCH(Calculation!$G244,'Gross Dx Plant'!$E$5:$AD$5,0))</f>
        <v>700157</v>
      </c>
      <c r="CF244" s="118">
        <f>INDEX('Gross Gen Plant'!$E$7:$AD$91,MATCH($C244,'Gross Gen Plant'!$D$7:$D$91,0),MATCH(Calculation!$G244,'Gross Gen Plant'!$E$5:$AD$5,0))</f>
        <v>55532</v>
      </c>
      <c r="CG244" s="118">
        <f t="shared" si="637"/>
        <v>366656</v>
      </c>
      <c r="CH244" s="118"/>
      <c r="CI244" s="121">
        <v>2014</v>
      </c>
      <c r="CJ244" s="118"/>
      <c r="CK244" s="118"/>
      <c r="CL244" s="118"/>
      <c r="CM244" s="183"/>
      <c r="CN244" s="118">
        <f t="shared" si="599"/>
        <v>31637</v>
      </c>
      <c r="CO244" s="118">
        <f t="shared" si="600"/>
        <v>46.221221702193461</v>
      </c>
      <c r="CP244" s="186">
        <v>0.89743589743589747</v>
      </c>
      <c r="CQ244" s="118">
        <f>+CQ228*CP244+CO229*CP243+CO230*CP242+CO231*CP241+CO232*CP240+CO233*CP239+CO234*CP238+CO235*CP237+CO236*CP236+CO237*CP235+CO238*CP234+CO239*CP233+CO240*CP232+CO241*CP231+CO242*CP230+CO243*CP229+CO244</f>
        <v>1921.0670180538452</v>
      </c>
      <c r="CR244" s="119">
        <f t="shared" si="601"/>
        <v>1.6120785769020037E-2</v>
      </c>
      <c r="CS244" s="119"/>
      <c r="CT244" s="177">
        <f t="shared" si="602"/>
        <v>8.1997673765092354E-3</v>
      </c>
      <c r="CU244" s="177">
        <f t="shared" si="610"/>
        <v>7.928765645149367E-3</v>
      </c>
      <c r="CV244" s="119">
        <f>VLOOKUP($H244,RoR!$E:$F,2,FALSE)</f>
        <v>4.1625000000000002E-2</v>
      </c>
      <c r="CW244" s="177">
        <v>1.841352814597208E-2</v>
      </c>
      <c r="CX244" s="177">
        <f t="shared" si="608"/>
        <v>2.3211471854027922E-2</v>
      </c>
      <c r="CY244" s="177">
        <f t="shared" si="611"/>
        <v>2.297317596338426E-2</v>
      </c>
      <c r="CZ244" s="177">
        <f t="shared" si="612"/>
        <v>3.9072621432650924E-2</v>
      </c>
      <c r="DA244" s="187">
        <f t="shared" si="603"/>
        <v>0.86875000000000002</v>
      </c>
      <c r="DB244" s="188">
        <f t="shared" si="604"/>
        <v>1.2320012320012319</v>
      </c>
      <c r="DC244" s="188">
        <f t="shared" si="605"/>
        <v>0.37439939939939942</v>
      </c>
      <c r="DD244" s="188">
        <f t="shared" si="606"/>
        <v>0.80432100613819935</v>
      </c>
      <c r="DE244" s="188">
        <f t="shared" si="607"/>
        <v>0.37100152660040037</v>
      </c>
      <c r="DF244" s="189">
        <f>INDEX('State Tax Lookup'!$D$7:$Z$91,MATCH(Calculation!$C244,'State Tax Lookup'!$B$7:$B$91,0),MATCH($H244,'State Tax Lookup'!$D$6:$Z$6,0))</f>
        <v>0.35</v>
      </c>
      <c r="DG244" s="189">
        <v>0.375</v>
      </c>
      <c r="DH244" s="190">
        <f t="shared" si="609"/>
        <v>20.964083499903939</v>
      </c>
      <c r="DI244" s="190">
        <v>20.598965723877999</v>
      </c>
      <c r="DJ244" s="177"/>
      <c r="DK244" s="189">
        <f>VLOOKUP($H244,RoR!$E:$F,2,FALSE)</f>
        <v>4.1625000000000002E-2</v>
      </c>
      <c r="DL244" s="191">
        <f>HLOOKUP($H244,'GDP-PI'!$D$8:$CQ$11,3,FALSE)</f>
        <v>1.841352814597208E-2</v>
      </c>
      <c r="DM244" s="189">
        <f>VLOOKUP(H244,'HW Dx Data'!$E:$F,2,FALSE)</f>
        <v>684.46914285042885</v>
      </c>
      <c r="DN244" s="183">
        <f>VLOOKUP(H244,'ECI - Input Price'!$G$17:$H$37,2,FALSE)</f>
        <v>121.2</v>
      </c>
      <c r="DO244" s="177">
        <f t="shared" ref="DO244" si="654">LN(DN244/DN243)</f>
        <v>2.0632179200028689E-2</v>
      </c>
      <c r="DP244" s="183">
        <f>HLOOKUP(H244,'GDP-PI'!$8:$9,2,FALSE)</f>
        <v>103.64700000000001</v>
      </c>
      <c r="DQ244" s="177">
        <f t="shared" ref="DQ244" si="655">LN(DP244/DP243)</f>
        <v>1.8246051898256087E-2</v>
      </c>
    </row>
    <row r="245" spans="1:121" s="167" customFormat="1" ht="21" x14ac:dyDescent="0.35">
      <c r="A245" s="167" t="s">
        <v>40</v>
      </c>
      <c r="B245" s="168" t="s">
        <v>40</v>
      </c>
      <c r="C245" s="168">
        <v>4057112</v>
      </c>
      <c r="D245" s="168" t="s">
        <v>133</v>
      </c>
      <c r="E245" s="168"/>
      <c r="F245" s="168"/>
      <c r="G245" s="168" t="s">
        <v>21</v>
      </c>
      <c r="H245" s="169">
        <v>2015</v>
      </c>
      <c r="I245" s="170"/>
      <c r="J245" s="166">
        <f>IFERROR(INDEX('Labor Expenditures'!$F$7:$X$91,MATCH($C245,'Labor Expenditures'!$D$7:$D$91,0),MATCH($G245,'Labor Expenditures'!$F$5:$X$5,0)),"NA")</f>
        <v>18946.90271693371</v>
      </c>
      <c r="K245" s="166">
        <f t="shared" si="615"/>
        <v>153.10628458128249</v>
      </c>
      <c r="L245" s="172">
        <f t="shared" si="622"/>
        <v>-3.2782878677568787E-2</v>
      </c>
      <c r="M245" s="172">
        <f t="shared" si="625"/>
        <v>-2.4454866388914459E-4</v>
      </c>
      <c r="N245" s="196"/>
      <c r="O245" s="172"/>
      <c r="P245" s="166">
        <f>IFERROR(INDEX('Non-Labor Expenditures'!$F$7:$AB$91,MATCH($C245,'Non-Labor Expenditures'!$D$7:$D$91,0),MATCH($G245,'Non-Labor Expenditures'!$F$5:$AB$5,0)),"NA")</f>
        <v>27438.653927408177</v>
      </c>
      <c r="Q245" s="166">
        <f t="shared" si="616"/>
        <v>262.22205800330829</v>
      </c>
      <c r="R245" s="172">
        <f t="shared" si="626"/>
        <v>-2.1486987049425851E-2</v>
      </c>
      <c r="S245" s="172">
        <f t="shared" si="631"/>
        <v>-1.60285313124007E-4</v>
      </c>
      <c r="T245" s="172"/>
      <c r="U245" s="172"/>
      <c r="V245" s="166">
        <f t="shared" si="597"/>
        <v>39361.118568588769</v>
      </c>
      <c r="W245" s="170"/>
      <c r="X245" s="174">
        <v>2006.9781415958421</v>
      </c>
      <c r="Y245" s="175">
        <v>4.374940842769455E-2</v>
      </c>
      <c r="Z245" s="175">
        <f t="shared" si="632"/>
        <v>3.263550916977198E-4</v>
      </c>
      <c r="AA245" s="175"/>
      <c r="AB245" s="175"/>
      <c r="AC245" s="170">
        <f t="shared" si="490"/>
        <v>85746.675212930655</v>
      </c>
      <c r="AD245" s="175">
        <f t="shared" si="627"/>
        <v>-9.5919121991842465E-3</v>
      </c>
      <c r="AE245" s="170"/>
      <c r="AF245" s="170"/>
      <c r="AG245" s="121">
        <f t="shared" si="628"/>
        <v>313.40159069053601</v>
      </c>
      <c r="AH245" s="119">
        <f>+AZ245/$BB$53</f>
        <v>7.4071524899724751E-3</v>
      </c>
      <c r="AI245" s="119"/>
      <c r="AJ245" s="176">
        <f t="shared" si="633"/>
        <v>2.3214133728447384</v>
      </c>
      <c r="AK245" s="176">
        <f t="shared" si="634"/>
        <v>0</v>
      </c>
      <c r="AL245" s="120">
        <f t="shared" si="617"/>
        <v>0.22096370115673597</v>
      </c>
      <c r="AM245" s="120">
        <f t="shared" si="618"/>
        <v>0.31999670960152177</v>
      </c>
      <c r="AN245" s="120">
        <f t="shared" si="619"/>
        <v>0.45903958924174226</v>
      </c>
      <c r="AO245" s="120">
        <f t="shared" si="635"/>
        <v>-1.4136340363749573E-2</v>
      </c>
      <c r="AP245" s="173">
        <f t="shared" si="640"/>
        <v>103.70485372495688</v>
      </c>
      <c r="AQ245" s="175">
        <f t="shared" si="641"/>
        <v>-1.4136340363749597E-2</v>
      </c>
      <c r="AR245" s="177">
        <f>+AC245/$AE$53</f>
        <v>7.4596458198307493E-3</v>
      </c>
      <c r="AS245" s="177">
        <f t="shared" si="636"/>
        <v>-1.0545209230214938E-4</v>
      </c>
      <c r="AT245" s="177"/>
      <c r="AU245" s="177"/>
      <c r="AV245" s="177"/>
      <c r="AW245" s="190"/>
      <c r="AX245" s="120"/>
      <c r="AY245" s="120"/>
      <c r="AZ245" s="118">
        <f>IFERROR(INDEX('Total Customers'!$F$7:$AB$91,MATCH($C245,'Total Customers'!$D$7:$D$91,0),MATCH($G245,'Total Customers'!$F$5:$AB$5,0)),"NA")</f>
        <v>273600</v>
      </c>
      <c r="BA245" s="119">
        <f t="shared" si="598"/>
        <v>1.5555300323977738E-2</v>
      </c>
      <c r="BB245" s="119"/>
      <c r="BC245" s="121"/>
      <c r="BD245" s="119"/>
      <c r="BE245" s="119"/>
      <c r="BF245" s="119"/>
      <c r="BG245" s="173"/>
      <c r="BH245" s="173"/>
      <c r="BI245" s="173"/>
      <c r="BJ245" s="173"/>
      <c r="BK245" s="173"/>
      <c r="BL245" s="173"/>
      <c r="BM245" s="173"/>
      <c r="BN245" s="173"/>
      <c r="BO245" s="173"/>
      <c r="BP245" s="173"/>
      <c r="BQ245" s="118"/>
      <c r="BR245" s="118"/>
      <c r="BS245" s="118">
        <f>INDEX('Dist. Plant Gas Additions'!$F$7:$AE$91,MATCH($C245,'Dist. Plant Gas Additions'!$D$7:$D$91,0),MATCH(Calculation!$G245,'Dist. Plant Gas Additions'!$F$5:$AE$5,0))</f>
        <v>58575</v>
      </c>
      <c r="BT245" s="118">
        <f>INDEX('Gen. Plant Additions'!$F$7:$AE$91,MATCH($C245,'Gen. Plant Additions'!$D$7:$D$91,0),MATCH(Calculation!$G245,'Gen. Plant Additions'!$F$5:$AE$5,0))</f>
        <v>10492</v>
      </c>
      <c r="BU245" s="118"/>
      <c r="BV245" s="118"/>
      <c r="BW245" s="118">
        <f>INDEX('Dist Plant Depreciation'!$E$7:$AD$94,MATCH($C245,'Dist Plant Depreciation'!$D$7:$D$94,0),MATCH(Calculation!$G245,'Dist Plant Depreciation'!$E$5:$AD$5,0))</f>
        <v>383849</v>
      </c>
      <c r="BX245" s="118">
        <f>INDEX('Gen. Plant Depreciation'!$E$7:$AD$94,MATCH($C245,'Gen. Plant Depreciation'!$D$7:$D$94,0),MATCH(Calculation!$G245,'Gen. Plant Depreciation'!$E$5:$AD$5,0))</f>
        <v>25786</v>
      </c>
      <c r="BY245" s="118"/>
      <c r="BZ245" s="118"/>
      <c r="CA245" s="118"/>
      <c r="CB245" s="118"/>
      <c r="CC245" s="118"/>
      <c r="CD245" s="118"/>
      <c r="CE245" s="118">
        <f>INDEX('Gross Dx Plant'!$E$7:$AD$91,MATCH($C245,'Gross Dx Plant'!$D$7:$D$91,0),MATCH(Calculation!$G245,'Gross Dx Plant'!$E$5:$AD$5,0))</f>
        <v>750455</v>
      </c>
      <c r="CF245" s="118">
        <f>INDEX('Gross Gen Plant'!$E$7:$AD$91,MATCH($C245,'Gross Gen Plant'!$D$7:$D$91,0),MATCH(Calculation!$G245,'Gross Gen Plant'!$E$5:$AD$5,0))</f>
        <v>62440</v>
      </c>
      <c r="CG245" s="118">
        <f t="shared" si="637"/>
        <v>403260</v>
      </c>
      <c r="CH245" s="118"/>
      <c r="CI245" s="121">
        <v>2015</v>
      </c>
      <c r="CJ245" s="118"/>
      <c r="CK245" s="118"/>
      <c r="CL245" s="118"/>
      <c r="CM245" s="183"/>
      <c r="CN245" s="118">
        <f t="shared" si="599"/>
        <v>69067</v>
      </c>
      <c r="CO245" s="118">
        <f t="shared" si="600"/>
        <v>102.22839562319118</v>
      </c>
      <c r="CP245" s="186">
        <v>0.88888888888888884</v>
      </c>
      <c r="CQ245" s="118">
        <f>+CQ228*CP245+CO229*CP244+CO230*CP243+CO231*CP242+CO232*CP241+CO233*CP240+CO234*CP239+CO235*CP238+CO236*CP237+CO237*CP236+CO238*CP235+CO239*CP234+CO240*CP233+CO241*CP232+CO242*CP231+CO243*CP230+CO244*CP229+CO245</f>
        <v>2006.9781415958421</v>
      </c>
      <c r="CR245" s="119">
        <f t="shared" si="601"/>
        <v>4.374940842769455E-2</v>
      </c>
      <c r="CS245" s="119"/>
      <c r="CT245" s="177">
        <f t="shared" si="602"/>
        <v>8.4938588439900879E-3</v>
      </c>
      <c r="CU245" s="177">
        <f t="shared" si="610"/>
        <v>8.2062032718215067E-3</v>
      </c>
      <c r="CV245" s="119">
        <f>VLOOKUP($H245,RoR!$E:$F,2,FALSE)</f>
        <v>3.8866666666666674E-2</v>
      </c>
      <c r="CW245" s="177">
        <v>9.5709475431029478E-3</v>
      </c>
      <c r="CX245" s="177">
        <f t="shared" si="608"/>
        <v>2.9295719123563727E-2</v>
      </c>
      <c r="CY245" s="177">
        <f t="shared" si="611"/>
        <v>2.2695738336712117E-2</v>
      </c>
      <c r="CZ245" s="177">
        <f t="shared" si="612"/>
        <v>3.5270373279175926E-3</v>
      </c>
      <c r="DA245" s="187">
        <f t="shared" si="603"/>
        <v>0.86875000000000002</v>
      </c>
      <c r="DB245" s="188">
        <f t="shared" si="604"/>
        <v>1.3194352816994324</v>
      </c>
      <c r="DC245" s="188">
        <f t="shared" si="605"/>
        <v>0.33177530017152673</v>
      </c>
      <c r="DD245" s="188">
        <f t="shared" si="606"/>
        <v>0.78242572977668579</v>
      </c>
      <c r="DE245" s="188">
        <f t="shared" si="607"/>
        <v>0.34251158643433932</v>
      </c>
      <c r="DF245" s="189">
        <f>INDEX('State Tax Lookup'!$D$7:$Z$91,MATCH(Calculation!$C245,'State Tax Lookup'!$B$7:$B$91,0),MATCH($H245,'State Tax Lookup'!$D$6:$Z$6,0))</f>
        <v>0.35</v>
      </c>
      <c r="DG245" s="189">
        <v>0.375</v>
      </c>
      <c r="DH245" s="190">
        <f t="shared" si="609"/>
        <v>20.489195951354116</v>
      </c>
      <c r="DI245" s="190">
        <v>20.089524094842226</v>
      </c>
      <c r="DJ245" s="177"/>
      <c r="DK245" s="189">
        <f>VLOOKUP($H245,RoR!$E:$F,2,FALSE)</f>
        <v>3.8866666666666674E-2</v>
      </c>
      <c r="DL245" s="191">
        <f>HLOOKUP($H245,'GDP-PI'!$D$8:$CQ$11,3,FALSE)</f>
        <v>9.5709475431029478E-3</v>
      </c>
      <c r="DM245" s="189">
        <f>VLOOKUP(H245,'HW Dx Data'!$E:$F,2,FALSE)</f>
        <v>675.61463308665782</v>
      </c>
      <c r="DN245" s="183">
        <f>VLOOKUP(H245,'ECI - Input Price'!$G$17:$H$37,2,FALSE)</f>
        <v>123.75</v>
      </c>
      <c r="DO245" s="177">
        <f t="shared" ref="DO245" si="656">LN(DN245/DN244)</f>
        <v>2.0821327813585516E-2</v>
      </c>
      <c r="DP245" s="183">
        <f>HLOOKUP(H245,'GDP-PI'!$8:$9,2,FALSE)</f>
        <v>104.639</v>
      </c>
      <c r="DQ245" s="177">
        <f t="shared" ref="DQ245" si="657">LN(DP245/DP244)</f>
        <v>9.5254361854427965E-3</v>
      </c>
    </row>
    <row r="246" spans="1:121" s="167" customFormat="1" ht="21" x14ac:dyDescent="0.35">
      <c r="A246" s="167" t="s">
        <v>40</v>
      </c>
      <c r="B246" s="168" t="s">
        <v>40</v>
      </c>
      <c r="C246" s="168">
        <v>4057112</v>
      </c>
      <c r="D246" s="168" t="s">
        <v>133</v>
      </c>
      <c r="E246" s="168"/>
      <c r="F246" s="168"/>
      <c r="G246" s="168" t="s">
        <v>22</v>
      </c>
      <c r="H246" s="169">
        <v>2016</v>
      </c>
      <c r="I246" s="170"/>
      <c r="J246" s="166">
        <f>IFERROR(INDEX('Labor Expenditures'!$F$7:$X$91,MATCH($C246,'Labor Expenditures'!$D$7:$D$91,0),MATCH($G246,'Labor Expenditures'!$F$5:$X$5,0)),"NA")</f>
        <v>19967.978313702592</v>
      </c>
      <c r="K246" s="166">
        <f t="shared" si="615"/>
        <v>157.97451197549518</v>
      </c>
      <c r="L246" s="172">
        <f t="shared" si="622"/>
        <v>3.1301352716763195E-2</v>
      </c>
      <c r="M246" s="172">
        <f t="shared" si="625"/>
        <v>2.3490242470911683E-4</v>
      </c>
      <c r="N246" s="196"/>
      <c r="O246" s="172"/>
      <c r="P246" s="166">
        <f>IFERROR(INDEX('Non-Labor Expenditures'!$F$7:$AB$91,MATCH($C246,'Non-Labor Expenditures'!$D$7:$D$91,0),MATCH($G246,'Non-Labor Expenditures'!$F$5:$AB$5,0)),"NA")</f>
        <v>28917.362102144467</v>
      </c>
      <c r="Q246" s="166">
        <f t="shared" si="616"/>
        <v>273.48643888689253</v>
      </c>
      <c r="R246" s="172">
        <f t="shared" si="626"/>
        <v>4.2060342613515773E-2</v>
      </c>
      <c r="S246" s="172">
        <f t="shared" si="631"/>
        <v>3.156437535915133E-4</v>
      </c>
      <c r="T246" s="172"/>
      <c r="U246" s="172"/>
      <c r="V246" s="166">
        <f t="shared" si="597"/>
        <v>40402.88590137857</v>
      </c>
      <c r="W246" s="170"/>
      <c r="X246" s="174">
        <v>2075.8842994757661</v>
      </c>
      <c r="Y246" s="175">
        <v>3.3757052649142069E-2</v>
      </c>
      <c r="Z246" s="175">
        <f t="shared" si="632"/>
        <v>2.5333133651026348E-4</v>
      </c>
      <c r="AA246" s="175"/>
      <c r="AB246" s="175"/>
      <c r="AC246" s="170">
        <f t="shared" si="490"/>
        <v>89288.226317225635</v>
      </c>
      <c r="AD246" s="175">
        <f t="shared" si="627"/>
        <v>4.0472322770932358E-2</v>
      </c>
      <c r="AE246" s="170"/>
      <c r="AF246" s="170"/>
      <c r="AG246" s="121">
        <f t="shared" si="628"/>
        <v>320.77335727376976</v>
      </c>
      <c r="AH246" s="119">
        <f>+AZ246/$BB$54</f>
        <v>7.4707189189266634E-3</v>
      </c>
      <c r="AI246" s="119"/>
      <c r="AJ246" s="176">
        <f t="shared" si="633"/>
        <v>2.3964075888727736</v>
      </c>
      <c r="AK246" s="176">
        <f t="shared" si="634"/>
        <v>0</v>
      </c>
      <c r="AL246" s="120">
        <f t="shared" si="617"/>
        <v>0.22363506519616388</v>
      </c>
      <c r="AM246" s="120">
        <f t="shared" si="618"/>
        <v>0.32386534367259212</v>
      </c>
      <c r="AN246" s="120">
        <f t="shared" si="619"/>
        <v>0.45249959113124388</v>
      </c>
      <c r="AO246" s="120">
        <f t="shared" si="635"/>
        <v>2.0498800679800443E-2</v>
      </c>
      <c r="AP246" s="173">
        <f t="shared" si="640"/>
        <v>105.85261692877393</v>
      </c>
      <c r="AQ246" s="175">
        <f t="shared" si="641"/>
        <v>2.0498800679800342E-2</v>
      </c>
      <c r="AR246" s="177">
        <f>+AC246/$AE$54</f>
        <v>7.5045454691584834E-3</v>
      </c>
      <c r="AS246" s="177">
        <f t="shared" si="636"/>
        <v>1.5383418176477849E-4</v>
      </c>
      <c r="AT246" s="177"/>
      <c r="AU246" s="177"/>
      <c r="AV246" s="177"/>
      <c r="AW246" s="190"/>
      <c r="AX246" s="120"/>
      <c r="AY246" s="120"/>
      <c r="AZ246" s="118">
        <f>IFERROR(INDEX('Total Customers'!$F$7:$AB$91,MATCH($C246,'Total Customers'!$D$7:$D$91,0),MATCH($G246,'Total Customers'!$F$5:$AB$5,0)),"NA")</f>
        <v>278353</v>
      </c>
      <c r="BA246" s="119">
        <f t="shared" si="598"/>
        <v>1.7222906620777929E-2</v>
      </c>
      <c r="BB246" s="119"/>
      <c r="BC246" s="121"/>
      <c r="BD246" s="119"/>
      <c r="BE246" s="119"/>
      <c r="BF246" s="119"/>
      <c r="BG246" s="173"/>
      <c r="BH246" s="173"/>
      <c r="BI246" s="173"/>
      <c r="BJ246" s="173"/>
      <c r="BK246" s="173"/>
      <c r="BL246" s="173"/>
      <c r="BM246" s="173"/>
      <c r="BN246" s="173"/>
      <c r="BO246" s="173"/>
      <c r="BP246" s="173"/>
      <c r="BQ246" s="118"/>
      <c r="BR246" s="118"/>
      <c r="BS246" s="118">
        <f>INDEX('Dist. Plant Gas Additions'!$F$7:$AE$91,MATCH($C246,'Dist. Plant Gas Additions'!$D$7:$D$91,0),MATCH(Calculation!$G246,'Dist. Plant Gas Additions'!$F$5:$AE$5,0))</f>
        <v>53044</v>
      </c>
      <c r="BT246" s="118">
        <f>INDEX('Gen. Plant Additions'!$F$7:$AE$91,MATCH($C246,'Gen. Plant Additions'!$D$7:$D$91,0),MATCH(Calculation!$G246,'Gen. Plant Additions'!$F$5:$AE$5,0))</f>
        <v>4943</v>
      </c>
      <c r="BU246" s="118"/>
      <c r="BV246" s="118"/>
      <c r="BW246" s="118">
        <f>INDEX('Dist Plant Depreciation'!$E$7:$AD$94,MATCH($C246,'Dist Plant Depreciation'!$D$7:$D$94,0),MATCH(Calculation!$G246,'Dist Plant Depreciation'!$E$5:$AD$5,0))</f>
        <v>401047</v>
      </c>
      <c r="BX246" s="118">
        <f>INDEX('Gen. Plant Depreciation'!$E$7:$AD$94,MATCH($C246,'Gen. Plant Depreciation'!$D$7:$D$94,0),MATCH(Calculation!$G246,'Gen. Plant Depreciation'!$E$5:$AD$5,0))</f>
        <v>26398</v>
      </c>
      <c r="BY246" s="118"/>
      <c r="BZ246" s="118"/>
      <c r="CA246" s="118"/>
      <c r="CB246" s="118"/>
      <c r="CC246" s="118"/>
      <c r="CD246" s="118"/>
      <c r="CE246" s="118">
        <f>INDEX('Gross Dx Plant'!$E$7:$AD$91,MATCH($C246,'Gross Dx Plant'!$D$7:$D$91,0),MATCH(Calculation!$G246,'Gross Dx Plant'!$E$5:$AD$5,0))</f>
        <v>801240</v>
      </c>
      <c r="CF246" s="118">
        <f>INDEX('Gross Gen Plant'!$E$7:$AD$91,MATCH($C246,'Gross Gen Plant'!$D$7:$D$91,0),MATCH(Calculation!$G246,'Gross Gen Plant'!$E$5:$AD$5,0))</f>
        <v>64131</v>
      </c>
      <c r="CG246" s="118">
        <f t="shared" si="637"/>
        <v>437926</v>
      </c>
      <c r="CH246" s="118"/>
      <c r="CI246" s="121">
        <v>2016</v>
      </c>
      <c r="CJ246" s="118"/>
      <c r="CK246" s="118"/>
      <c r="CL246" s="118"/>
      <c r="CM246" s="183"/>
      <c r="CN246" s="118">
        <f t="shared" si="599"/>
        <v>57987</v>
      </c>
      <c r="CO246" s="118">
        <f t="shared" si="600"/>
        <v>86.360038463071447</v>
      </c>
      <c r="CP246" s="186">
        <v>0.88</v>
      </c>
      <c r="CQ246" s="118">
        <f>+CQ228*CP246+CO229*CP245+CO230*CP244+CO231*CP243+CO232*CP242+CO233*CP241+CO234*CP240+CO235*CP239+CO236*CP238+CO237*CP237+CO238*CP236+CO239*CP235+CO240*CP234+CO241*CP233+CO242*CP232+CO243*CP231+CO244*CP230+CO245*CP229+CO246</f>
        <v>2075.8842994757661</v>
      </c>
      <c r="CR246" s="119">
        <f t="shared" si="601"/>
        <v>3.3757052649142069E-2</v>
      </c>
      <c r="CS246" s="119"/>
      <c r="CT246" s="177">
        <f t="shared" si="602"/>
        <v>8.6965972480742039E-3</v>
      </c>
      <c r="CU246" s="177">
        <f t="shared" si="610"/>
        <v>8.4634078228578435E-3</v>
      </c>
      <c r="CV246" s="119">
        <f>VLOOKUP($H246,RoR!$E:$F,2,FALSE)</f>
        <v>3.6658333333333334E-2</v>
      </c>
      <c r="CW246" s="177">
        <v>1.0483662879041455E-2</v>
      </c>
      <c r="CX246" s="177">
        <f t="shared" si="608"/>
        <v>2.6174670454291879E-2</v>
      </c>
      <c r="CY246" s="177">
        <f t="shared" si="611"/>
        <v>2.2438533785675781E-2</v>
      </c>
      <c r="CZ246" s="177">
        <f t="shared" si="612"/>
        <v>4.301363574220729E-3</v>
      </c>
      <c r="DA246" s="187">
        <f t="shared" si="603"/>
        <v>0.86875000000000002</v>
      </c>
      <c r="DB246" s="188">
        <f t="shared" si="604"/>
        <v>1.3989193348138562</v>
      </c>
      <c r="DC246" s="188">
        <f t="shared" si="605"/>
        <v>0.29302682427824522</v>
      </c>
      <c r="DD246" s="188">
        <f t="shared" si="606"/>
        <v>0.76309497491941802</v>
      </c>
      <c r="DE246" s="188">
        <f t="shared" si="607"/>
        <v>0.31280857135128509</v>
      </c>
      <c r="DF246" s="189">
        <f>INDEX('State Tax Lookup'!$D$7:$Z$91,MATCH(Calculation!$C246,'State Tax Lookup'!$B$7:$B$91,0),MATCH($H246,'State Tax Lookup'!$D$6:$Z$6,0))</f>
        <v>0.35</v>
      </c>
      <c r="DG246" s="189">
        <v>0.375</v>
      </c>
      <c r="DH246" s="190">
        <f t="shared" si="609"/>
        <v>20.131203755538834</v>
      </c>
      <c r="DI246" s="190">
        <v>19.760638715693904</v>
      </c>
      <c r="DJ246" s="177"/>
      <c r="DK246" s="189">
        <f>VLOOKUP($H246,RoR!$E:$F,2,FALSE)</f>
        <v>3.6658333333333334E-2</v>
      </c>
      <c r="DL246" s="191">
        <f>HLOOKUP($H246,'GDP-PI'!$D$8:$CQ$11,3,FALSE)</f>
        <v>1.0483662879041455E-2</v>
      </c>
      <c r="DM246" s="189">
        <f>VLOOKUP(H246,'HW Dx Data'!$E:$F,2,FALSE)</f>
        <v>671.45639385971219</v>
      </c>
      <c r="DN246" s="183">
        <f>VLOOKUP(H246,'ECI - Input Price'!$G$17:$H$37,2,FALSE)</f>
        <v>126.4</v>
      </c>
      <c r="DO246" s="177">
        <f t="shared" ref="DO246" si="658">LN(DN246/DN245)</f>
        <v>2.11880802639575E-2</v>
      </c>
      <c r="DP246" s="183">
        <f>HLOOKUP(H246,'GDP-PI'!$8:$9,2,FALSE)</f>
        <v>105.736</v>
      </c>
      <c r="DQ246" s="177">
        <f t="shared" ref="DQ246" si="659">LN(DP246/DP245)</f>
        <v>1.0429090367205095E-2</v>
      </c>
    </row>
    <row r="247" spans="1:121" s="167" customFormat="1" ht="21" x14ac:dyDescent="0.35">
      <c r="A247" s="167" t="s">
        <v>40</v>
      </c>
      <c r="B247" s="168" t="s">
        <v>40</v>
      </c>
      <c r="C247" s="168">
        <v>4057112</v>
      </c>
      <c r="D247" s="168" t="s">
        <v>133</v>
      </c>
      <c r="E247" s="168"/>
      <c r="F247" s="168"/>
      <c r="G247" s="168" t="s">
        <v>23</v>
      </c>
      <c r="H247" s="169">
        <v>2017</v>
      </c>
      <c r="I247" s="170"/>
      <c r="J247" s="166">
        <f>IFERROR(INDEX('Labor Expenditures'!$F$7:$X$91,MATCH($C247,'Labor Expenditures'!$D$7:$D$91,0),MATCH($G247,'Labor Expenditures'!$F$5:$X$5,0)),"NA")</f>
        <v>21516.265551134897</v>
      </c>
      <c r="K247" s="166">
        <f t="shared" si="615"/>
        <v>166.1487687346324</v>
      </c>
      <c r="L247" s="172">
        <f t="shared" si="622"/>
        <v>5.044988080493519E-2</v>
      </c>
      <c r="M247" s="172">
        <f t="shared" si="625"/>
        <v>3.8713632721308616E-4</v>
      </c>
      <c r="N247" s="196"/>
      <c r="O247" s="172"/>
      <c r="P247" s="166">
        <f>IFERROR(INDEX('Non-Labor Expenditures'!$F$7:$AB$91,MATCH($C247,'Non-Labor Expenditures'!$D$7:$D$91,0),MATCH($G247,'Non-Labor Expenditures'!$F$5:$AB$5,0)),"NA")</f>
        <v>31159.571202113028</v>
      </c>
      <c r="Q247" s="166">
        <f t="shared" si="616"/>
        <v>289.18127165514034</v>
      </c>
      <c r="R247" s="172">
        <f t="shared" si="626"/>
        <v>5.5801692004025051E-2</v>
      </c>
      <c r="S247" s="172">
        <f t="shared" si="631"/>
        <v>4.2820442288539219E-4</v>
      </c>
      <c r="T247" s="172"/>
      <c r="U247" s="172"/>
      <c r="V247" s="166">
        <f t="shared" si="597"/>
        <v>38237.121180111499</v>
      </c>
      <c r="W247" s="170"/>
      <c r="X247" s="174">
        <v>2154.3769369114298</v>
      </c>
      <c r="Y247" s="175">
        <v>3.7114326027396505E-2</v>
      </c>
      <c r="Z247" s="175">
        <f t="shared" si="632"/>
        <v>2.8480352452745091E-4</v>
      </c>
      <c r="AA247" s="175"/>
      <c r="AB247" s="175"/>
      <c r="AC247" s="170">
        <f t="shared" si="490"/>
        <v>90912.95793335943</v>
      </c>
      <c r="AD247" s="175">
        <f t="shared" si="627"/>
        <v>1.8032907507795813E-2</v>
      </c>
      <c r="AE247" s="170"/>
      <c r="AF247" s="170"/>
      <c r="AG247" s="121">
        <f t="shared" si="628"/>
        <v>320.71456568017578</v>
      </c>
      <c r="AH247" s="119">
        <f>+AZ247/$BB$55</f>
        <v>7.5508929954302834E-3</v>
      </c>
      <c r="AI247" s="119"/>
      <c r="AJ247" s="176">
        <f t="shared" si="633"/>
        <v>2.4216813675269049</v>
      </c>
      <c r="AK247" s="176">
        <f t="shared" si="634"/>
        <v>0</v>
      </c>
      <c r="AL247" s="120">
        <f t="shared" si="617"/>
        <v>0.23666885381626945</v>
      </c>
      <c r="AM247" s="120">
        <f t="shared" si="618"/>
        <v>0.34274070397042261</v>
      </c>
      <c r="AN247" s="120">
        <f t="shared" si="619"/>
        <v>0.42059044221330788</v>
      </c>
      <c r="AO247" s="120">
        <f t="shared" si="635"/>
        <v>3.021001160340888E-2</v>
      </c>
      <c r="AP247" s="173">
        <f t="shared" si="640"/>
        <v>109.09921874122317</v>
      </c>
      <c r="AQ247" s="175">
        <f t="shared" si="641"/>
        <v>3.021001160340887E-2</v>
      </c>
      <c r="AR247" s="177">
        <f>+AC247/$AE$55</f>
        <v>7.6736817022413084E-3</v>
      </c>
      <c r="AS247" s="177">
        <f t="shared" si="636"/>
        <v>2.3182201326557626E-4</v>
      </c>
      <c r="AT247" s="177"/>
      <c r="AU247" s="177"/>
      <c r="AV247" s="177"/>
      <c r="AW247" s="190"/>
      <c r="AX247" s="120"/>
      <c r="AY247" s="120"/>
      <c r="AZ247" s="118">
        <f>IFERROR(INDEX('Total Customers'!$F$7:$AB$91,MATCH($C247,'Total Customers'!$D$7:$D$91,0),MATCH($G247,'Total Customers'!$F$5:$AB$5,0)),"NA")</f>
        <v>283470</v>
      </c>
      <c r="BA247" s="119">
        <f t="shared" si="598"/>
        <v>1.8216205093470741E-2</v>
      </c>
      <c r="BB247" s="119"/>
      <c r="BC247" s="121"/>
      <c r="BD247" s="119"/>
      <c r="BE247" s="119"/>
      <c r="BF247" s="119"/>
      <c r="BG247" s="173"/>
      <c r="BH247" s="173"/>
      <c r="BI247" s="173"/>
      <c r="BJ247" s="173"/>
      <c r="BK247" s="173"/>
      <c r="BL247" s="173"/>
      <c r="BM247" s="173"/>
      <c r="BN247" s="173"/>
      <c r="BO247" s="173"/>
      <c r="BP247" s="173"/>
      <c r="BQ247" s="118"/>
      <c r="BR247" s="118"/>
      <c r="BS247" s="118">
        <f>INDEX('Dist. Plant Gas Additions'!$F$7:$AE$91,MATCH($C247,'Dist. Plant Gas Additions'!$D$7:$D$91,0),MATCH(Calculation!$G247,'Dist. Plant Gas Additions'!$F$5:$AE$5,0))</f>
        <v>64716</v>
      </c>
      <c r="BT247" s="118">
        <f>INDEX('Gen. Plant Additions'!$F$7:$AE$91,MATCH($C247,'Gen. Plant Additions'!$D$7:$D$91,0),MATCH(Calculation!$G247,'Gen. Plant Additions'!$F$5:$AE$5,0))</f>
        <v>4430</v>
      </c>
      <c r="BU247" s="118"/>
      <c r="BV247" s="118"/>
      <c r="BW247" s="118">
        <f>INDEX('Dist Plant Depreciation'!$E$7:$AD$94,MATCH($C247,'Dist Plant Depreciation'!$D$7:$D$94,0),MATCH(Calculation!$G247,'Dist Plant Depreciation'!$E$5:$AD$5,0))</f>
        <v>420420</v>
      </c>
      <c r="BX247" s="118">
        <f>INDEX('Gen. Plant Depreciation'!$E$7:$AD$94,MATCH($C247,'Gen. Plant Depreciation'!$D$7:$D$94,0),MATCH(Calculation!$G247,'Gen. Plant Depreciation'!$E$5:$AD$5,0))</f>
        <v>27375</v>
      </c>
      <c r="BY247" s="118"/>
      <c r="BZ247" s="118"/>
      <c r="CA247" s="118"/>
      <c r="CB247" s="118"/>
      <c r="CC247" s="118"/>
      <c r="CD247" s="118"/>
      <c r="CE247" s="118">
        <f>INDEX('Gross Dx Plant'!$E$7:$AD$91,MATCH($C247,'Gross Dx Plant'!$D$7:$D$91,0),MATCH(Calculation!$G247,'Gross Dx Plant'!$E$5:$AD$5,0))</f>
        <v>864003</v>
      </c>
      <c r="CF247" s="118">
        <f>INDEX('Gross Gen Plant'!$E$7:$AD$91,MATCH($C247,'Gross Gen Plant'!$D$7:$D$91,0),MATCH(Calculation!$G247,'Gross Gen Plant'!$E$5:$AD$5,0))</f>
        <v>66262</v>
      </c>
      <c r="CG247" s="118">
        <f t="shared" si="637"/>
        <v>482470</v>
      </c>
      <c r="CH247" s="118"/>
      <c r="CI247" s="121">
        <v>2017</v>
      </c>
      <c r="CJ247" s="118"/>
      <c r="CK247" s="118"/>
      <c r="CL247" s="118"/>
      <c r="CM247" s="183"/>
      <c r="CN247" s="118">
        <f t="shared" si="599"/>
        <v>69146</v>
      </c>
      <c r="CO247" s="118">
        <f t="shared" si="600"/>
        <v>97.056745871518899</v>
      </c>
      <c r="CP247" s="186">
        <v>0.87074829931972786</v>
      </c>
      <c r="CQ247" s="118">
        <f>+CQ228*CP247+CO229*CP246+CO230*CP245+CO231*CP244+CO232*CP243+CO233*CP242+CO234*CP241+CO235*CP240+CO236*CP239+CO237*CP238+CO238*CP237+CO239*CP236+CO240*CP235+CO241*CP234+CO242*CP233+CO243*CP232+CO244*CP231+CO245*CP230+CO246*CP229+CO247</f>
        <v>2154.3769369114298</v>
      </c>
      <c r="CR247" s="119">
        <f t="shared" si="601"/>
        <v>3.7114326027396505E-2</v>
      </c>
      <c r="CS247" s="119"/>
      <c r="CT247" s="177">
        <f t="shared" si="602"/>
        <v>8.9427471658913172E-3</v>
      </c>
      <c r="CU247" s="177">
        <f t="shared" si="610"/>
        <v>8.7110677526518691E-3</v>
      </c>
      <c r="CV247" s="119">
        <f>VLOOKUP($H247,RoR!$E:$F,2,FALSE)</f>
        <v>3.7433333333333339E-2</v>
      </c>
      <c r="CW247" s="177">
        <v>1.9056896421275615E-2</v>
      </c>
      <c r="CX247" s="177">
        <f t="shared" si="608"/>
        <v>1.8376436912057724E-2</v>
      </c>
      <c r="CY247" s="177">
        <f t="shared" si="611"/>
        <v>2.2190873855881754E-2</v>
      </c>
      <c r="CZ247" s="177">
        <f t="shared" si="612"/>
        <v>1.3976271617800498E-2</v>
      </c>
      <c r="DA247" s="187">
        <f t="shared" si="603"/>
        <v>0.92125000000000001</v>
      </c>
      <c r="DB247" s="188">
        <f t="shared" si="604"/>
        <v>1.3699568463593395</v>
      </c>
      <c r="DC247" s="188">
        <f t="shared" si="605"/>
        <v>0.30714603739982199</v>
      </c>
      <c r="DD247" s="188">
        <f t="shared" si="606"/>
        <v>0.77007188472689425</v>
      </c>
      <c r="DE247" s="188">
        <f t="shared" si="607"/>
        <v>0.32402839633793828</v>
      </c>
      <c r="DF247" s="189">
        <f>INDEX('State Tax Lookup'!$D$7:$Z$91,MATCH(Calculation!$C247,'State Tax Lookup'!$B$7:$B$91,0),MATCH($H247,'State Tax Lookup'!$D$6:$Z$6,0))</f>
        <v>0.20999999999999996</v>
      </c>
      <c r="DG247" s="189">
        <v>0.375</v>
      </c>
      <c r="DH247" s="190">
        <f t="shared" si="609"/>
        <v>18.419678394295733</v>
      </c>
      <c r="DI247" s="190">
        <v>18.112676323056892</v>
      </c>
      <c r="DJ247" s="177"/>
      <c r="DK247" s="189">
        <f>VLOOKUP($H247,RoR!$E:$F,2,FALSE)</f>
        <v>3.7433333333333339E-2</v>
      </c>
      <c r="DL247" s="191">
        <f>HLOOKUP($H247,'GDP-PI'!$D$8:$CQ$11,3,FALSE)</f>
        <v>1.9056896421275615E-2</v>
      </c>
      <c r="DM247" s="189">
        <f>VLOOKUP(H247,'HW Dx Data'!$E:$F,2,FALSE)</f>
        <v>712.42858370229726</v>
      </c>
      <c r="DN247" s="183">
        <f>VLOOKUP(H247,'ECI - Input Price'!$G$17:$H$37,2,FALSE)</f>
        <v>129.5</v>
      </c>
      <c r="DO247" s="177">
        <f t="shared" ref="DO247" si="660">LN(DN247/DN246)</f>
        <v>2.4229399426835413E-2</v>
      </c>
      <c r="DP247" s="183">
        <f>HLOOKUP(H247,'GDP-PI'!$8:$9,2,FALSE)</f>
        <v>107.751</v>
      </c>
      <c r="DQ247" s="177">
        <f t="shared" ref="DQ247" si="661">LN(DP247/DP246)</f>
        <v>1.8877588227745139E-2</v>
      </c>
    </row>
    <row r="248" spans="1:121" s="167" customFormat="1" ht="21" x14ac:dyDescent="0.35">
      <c r="A248" s="167" t="s">
        <v>40</v>
      </c>
      <c r="B248" s="168" t="s">
        <v>40</v>
      </c>
      <c r="C248" s="168">
        <v>4057112</v>
      </c>
      <c r="D248" s="168" t="s">
        <v>133</v>
      </c>
      <c r="E248" s="168"/>
      <c r="F248" s="168"/>
      <c r="G248" s="168" t="s">
        <v>24</v>
      </c>
      <c r="H248" s="169">
        <v>2018</v>
      </c>
      <c r="I248" s="170"/>
      <c r="J248" s="166">
        <f>IFERROR(INDEX('Labor Expenditures'!$F$7:$X$91,MATCH($C248,'Labor Expenditures'!$D$7:$D$91,0),MATCH($G248,'Labor Expenditures'!$F$5:$X$5,0)),"NA")</f>
        <v>21690.932886911934</v>
      </c>
      <c r="K248" s="166">
        <f t="shared" si="615"/>
        <v>162.78373648714398</v>
      </c>
      <c r="L248" s="172">
        <f t="shared" si="622"/>
        <v>-2.0461034357575111E-2</v>
      </c>
      <c r="M248" s="172">
        <f t="shared" si="625"/>
        <v>-1.5036935120712634E-4</v>
      </c>
      <c r="N248" s="196"/>
      <c r="O248" s="172"/>
      <c r="P248" s="166">
        <f>IFERROR(INDEX('Non-Labor Expenditures'!$F$7:$AB$91,MATCH($C248,'Non-Labor Expenditures'!$D$7:$D$91,0),MATCH($G248,'Non-Labor Expenditures'!$F$5:$AB$5,0)),"NA")</f>
        <v>31412.52212767645</v>
      </c>
      <c r="Q248" s="166">
        <f t="shared" si="616"/>
        <v>284.73488631167356</v>
      </c>
      <c r="R248" s="172">
        <f t="shared" si="626"/>
        <v>-1.549520516772232E-2</v>
      </c>
      <c r="S248" s="172">
        <f t="shared" si="631"/>
        <v>-1.1387517889725351E-4</v>
      </c>
      <c r="T248" s="172"/>
      <c r="U248" s="172"/>
      <c r="V248" s="166">
        <f t="shared" si="597"/>
        <v>41567.730987749637</v>
      </c>
      <c r="W248" s="170"/>
      <c r="X248" s="174">
        <v>2262.3114405854285</v>
      </c>
      <c r="Y248" s="175">
        <v>4.8885494593020072E-2</v>
      </c>
      <c r="Z248" s="175">
        <f t="shared" si="632"/>
        <v>3.5926239001062319E-4</v>
      </c>
      <c r="AA248" s="175"/>
      <c r="AB248" s="175"/>
      <c r="AC248" s="170">
        <f t="shared" si="490"/>
        <v>94671.186002338014</v>
      </c>
      <c r="AD248" s="175">
        <f t="shared" si="627"/>
        <v>4.050714526888527E-2</v>
      </c>
      <c r="AE248" s="170"/>
      <c r="AF248" s="170"/>
      <c r="AG248" s="121">
        <f t="shared" si="628"/>
        <v>327.08171586134011</v>
      </c>
      <c r="AH248" s="119">
        <f>+AZ248/$BB$56</f>
        <v>7.6430004104017816E-3</v>
      </c>
      <c r="AI248" s="119"/>
      <c r="AJ248" s="176">
        <f t="shared" si="633"/>
        <v>2.4998856885631415</v>
      </c>
      <c r="AK248" s="176">
        <f t="shared" si="634"/>
        <v>0</v>
      </c>
      <c r="AL248" s="120">
        <f t="shared" si="617"/>
        <v>0.22911863474886912</v>
      </c>
      <c r="AM248" s="120">
        <f t="shared" si="618"/>
        <v>0.33180657657442553</v>
      </c>
      <c r="AN248" s="120">
        <f t="shared" si="619"/>
        <v>0.43907478867670546</v>
      </c>
      <c r="AO248" s="120">
        <f t="shared" si="635"/>
        <v>-9.9913711571157464E-3</v>
      </c>
      <c r="AP248" s="173">
        <f t="shared" si="640"/>
        <v>108.01459541386394</v>
      </c>
      <c r="AQ248" s="175">
        <f t="shared" si="641"/>
        <v>-9.9913711571156978E-3</v>
      </c>
      <c r="AR248" s="177">
        <f>+AC248/$AE$56</f>
        <v>7.3490591227836138E-3</v>
      </c>
      <c r="AS248" s="177">
        <f t="shared" si="636"/>
        <v>-7.3427177351318188E-5</v>
      </c>
      <c r="AT248" s="177"/>
      <c r="AU248" s="177"/>
      <c r="AV248" s="177"/>
      <c r="AW248" s="190"/>
      <c r="AX248" s="120"/>
      <c r="AY248" s="120"/>
      <c r="AZ248" s="118">
        <f>IFERROR(INDEX('Total Customers'!$F$7:$AB$91,MATCH($C248,'Total Customers'!$D$7:$D$91,0),MATCH($G248,'Total Customers'!$F$5:$AB$5,0)),"NA")</f>
        <v>289442</v>
      </c>
      <c r="BA248" s="119">
        <f t="shared" si="598"/>
        <v>2.084863405543725E-2</v>
      </c>
      <c r="BB248" s="119"/>
      <c r="BC248" s="121"/>
      <c r="BD248" s="119"/>
      <c r="BE248" s="119"/>
      <c r="BF248" s="119"/>
      <c r="BG248" s="173"/>
      <c r="BH248" s="173"/>
      <c r="BI248" s="173"/>
      <c r="BJ248" s="173"/>
      <c r="BK248" s="173"/>
      <c r="BL248" s="173"/>
      <c r="BM248" s="173"/>
      <c r="BN248" s="173"/>
      <c r="BO248" s="173"/>
      <c r="BP248" s="173"/>
      <c r="BQ248" s="118"/>
      <c r="BR248" s="118"/>
      <c r="BS248" s="118">
        <f>INDEX('Dist. Plant Gas Additions'!$F$7:$AE$91,MATCH($C248,'Dist. Plant Gas Additions'!$D$7:$D$91,0),MATCH(Calculation!$G248,'Dist. Plant Gas Additions'!$F$5:$AE$5,0))</f>
        <v>88477</v>
      </c>
      <c r="BT248" s="118">
        <f>INDEX('Gen. Plant Additions'!$F$7:$AE$91,MATCH($C248,'Gen. Plant Additions'!$D$7:$D$91,0),MATCH(Calculation!$G248,'Gen. Plant Additions'!$F$5:$AE$5,0))</f>
        <v>7966</v>
      </c>
      <c r="BU248" s="118"/>
      <c r="BV248" s="118"/>
      <c r="BW248" s="118">
        <f>INDEX('Dist Plant Depreciation'!$E$7:$AD$94,MATCH($C248,'Dist Plant Depreciation'!$D$7:$D$94,0),MATCH(Calculation!$G248,'Dist Plant Depreciation'!$E$5:$AD$5,0))</f>
        <v>428550</v>
      </c>
      <c r="BX248" s="118">
        <f>INDEX('Gen. Plant Depreciation'!$E$7:$AD$94,MATCH($C248,'Gen. Plant Depreciation'!$D$7:$D$94,0),MATCH(Calculation!$G248,'Gen. Plant Depreciation'!$E$5:$AD$5,0))</f>
        <v>29116</v>
      </c>
      <c r="BY248" s="118"/>
      <c r="BZ248" s="118"/>
      <c r="CA248" s="118"/>
      <c r="CB248" s="118"/>
      <c r="CC248" s="118"/>
      <c r="CD248" s="118"/>
      <c r="CE248" s="118">
        <f>INDEX('Gross Dx Plant'!$E$7:$AD$91,MATCH($C248,'Gross Dx Plant'!$D$7:$D$91,0),MATCH(Calculation!$G248,'Gross Dx Plant'!$E$5:$AD$5,0))</f>
        <v>938699</v>
      </c>
      <c r="CF248" s="118">
        <f>INDEX('Gross Gen Plant'!$E$7:$AD$91,MATCH($C248,'Gross Gen Plant'!$D$7:$D$91,0),MATCH(Calculation!$G248,'Gross Gen Plant'!$E$5:$AD$5,0))</f>
        <v>70302</v>
      </c>
      <c r="CG248" s="118">
        <f t="shared" si="637"/>
        <v>551335</v>
      </c>
      <c r="CH248" s="118"/>
      <c r="CI248" s="121">
        <v>2018</v>
      </c>
      <c r="CJ248" s="118"/>
      <c r="CK248" s="118"/>
      <c r="CL248" s="118"/>
      <c r="CM248" s="183"/>
      <c r="CN248" s="118">
        <f t="shared" si="599"/>
        <v>96443</v>
      </c>
      <c r="CO248" s="118">
        <f t="shared" si="600"/>
        <v>127.71594622315408</v>
      </c>
      <c r="CP248" s="186">
        <v>0.86111111111111116</v>
      </c>
      <c r="CQ248" s="118">
        <f>+CQ228*CP248++CO229*CP247+CO230*CP246+CO231*CP245+CO232*CP244+CO233*CP243+CO234*CP242+CO235*CP241+CO236*CP240+CO237*CP239+CO238*CP238+CO239*CP237+CO240*CP236+CO241*CP235+CO242*CP234+CO243*CP233+CO244*CP232+CO245*CP231+CO246*CP230+CO247*CP229+CO248</f>
        <v>2262.3114405854285</v>
      </c>
      <c r="CR248" s="119">
        <f t="shared" si="601"/>
        <v>4.8885494593020072E-2</v>
      </c>
      <c r="CS248" s="119"/>
      <c r="CT248" s="177">
        <f t="shared" si="602"/>
        <v>9.1819784227334562E-3</v>
      </c>
      <c r="CU248" s="177">
        <f t="shared" si="610"/>
        <v>8.9404409455663258E-3</v>
      </c>
      <c r="CV248" s="119">
        <f>VLOOKUP($H248,RoR!$E:$F,2,FALSE)</f>
        <v>3.9299999999999995E-2</v>
      </c>
      <c r="CW248" s="177">
        <v>2.386056741932796E-2</v>
      </c>
      <c r="CX248" s="177">
        <f t="shared" si="608"/>
        <v>1.5439432580672034E-2</v>
      </c>
      <c r="CY248" s="177">
        <f t="shared" si="611"/>
        <v>2.1961500662967301E-2</v>
      </c>
      <c r="CZ248" s="177">
        <f t="shared" si="612"/>
        <v>3.8270792163076606E-2</v>
      </c>
      <c r="DA248" s="187">
        <f t="shared" si="603"/>
        <v>0.92125000000000001</v>
      </c>
      <c r="DB248" s="188">
        <f t="shared" si="604"/>
        <v>1.3048868010700074</v>
      </c>
      <c r="DC248" s="188">
        <f t="shared" si="605"/>
        <v>0.33886768447837151</v>
      </c>
      <c r="DD248" s="188">
        <f t="shared" si="606"/>
        <v>0.78602506232557801</v>
      </c>
      <c r="DE248" s="188">
        <f t="shared" si="607"/>
        <v>0.34756768162358759</v>
      </c>
      <c r="DF248" s="189">
        <f>INDEX('State Tax Lookup'!$D$7:$Z$91,MATCH(Calculation!$C248,'State Tax Lookup'!$B$7:$B$91,0),MATCH($H248,'State Tax Lookup'!$D$6:$Z$6,0))</f>
        <v>0.20999999999999996</v>
      </c>
      <c r="DG248" s="189">
        <v>0.375</v>
      </c>
      <c r="DH248" s="190">
        <f t="shared" si="609"/>
        <v>19.294548820849432</v>
      </c>
      <c r="DI248" s="190">
        <v>18.976591652490214</v>
      </c>
      <c r="DJ248" s="177"/>
      <c r="DK248" s="189">
        <f>VLOOKUP($H248,RoR!$E:$F,2,FALSE)</f>
        <v>3.9299999999999995E-2</v>
      </c>
      <c r="DL248" s="191">
        <f>HLOOKUP($H248,'GDP-PI'!$D$8:$CQ$11,3,FALSE)</f>
        <v>2.386056741932796E-2</v>
      </c>
      <c r="DM248" s="189">
        <f>VLOOKUP(H248,'HW Dx Data'!$E:$F,2,FALSE)</f>
        <v>755.13671434174842</v>
      </c>
      <c r="DN248" s="183">
        <f>VLOOKUP(H248,'ECI - Input Price'!$G$17:$H$37,2,FALSE)</f>
        <v>133.25</v>
      </c>
      <c r="DO248" s="177">
        <f t="shared" ref="DO248" si="662">LN(DN248/DN247)</f>
        <v>2.8546181906361531E-2</v>
      </c>
      <c r="DP248" s="183">
        <f>HLOOKUP(H248,'GDP-PI'!$8:$9,2,FALSE)</f>
        <v>110.322</v>
      </c>
      <c r="DQ248" s="177">
        <f t="shared" ref="DQ248" si="663">LN(DP248/DP247)</f>
        <v>2.3580352716508712E-2</v>
      </c>
    </row>
    <row r="249" spans="1:121" s="167" customFormat="1" ht="21" x14ac:dyDescent="0.35">
      <c r="A249" s="167" t="s">
        <v>40</v>
      </c>
      <c r="B249" s="168" t="s">
        <v>40</v>
      </c>
      <c r="C249" s="168">
        <v>4057112</v>
      </c>
      <c r="D249" s="168" t="s">
        <v>133</v>
      </c>
      <c r="E249" s="168"/>
      <c r="F249" s="168"/>
      <c r="G249" s="168" t="s">
        <v>25</v>
      </c>
      <c r="H249" s="169">
        <v>2019</v>
      </c>
      <c r="I249" s="170"/>
      <c r="J249" s="166">
        <f>IFERROR(INDEX('Labor Expenditures'!$F$7:$X$91,MATCH($C249,'Labor Expenditures'!$D$7:$D$91,0),MATCH($G249,'Labor Expenditures'!$F$5:$X$5,0)),"NA")</f>
        <v>22926.441436848672</v>
      </c>
      <c r="K249" s="166">
        <f t="shared" si="615"/>
        <v>167.52971455497752</v>
      </c>
      <c r="L249" s="172">
        <f t="shared" si="622"/>
        <v>2.8738186009154711E-2</v>
      </c>
      <c r="M249" s="172">
        <f t="shared" si="625"/>
        <v>2.1708656343406968E-4</v>
      </c>
      <c r="N249" s="196"/>
      <c r="O249" s="172"/>
      <c r="P249" s="166">
        <f>IFERROR(INDEX('Non-Labor Expenditures'!$F$7:$AB$91,MATCH($C249,'Non-Labor Expenditures'!$D$7:$D$91,0),MATCH($G249,'Non-Labor Expenditures'!$F$5:$AB$5,0)),"NA")</f>
        <v>33201.7692691509</v>
      </c>
      <c r="Q249" s="166">
        <f t="shared" si="616"/>
        <v>295.60506124709218</v>
      </c>
      <c r="R249" s="172">
        <f t="shared" si="626"/>
        <v>3.7465786998487155E-2</v>
      </c>
      <c r="S249" s="172">
        <f t="shared" si="631"/>
        <v>2.8301434694811672E-4</v>
      </c>
      <c r="T249" s="172"/>
      <c r="U249" s="172"/>
      <c r="V249" s="166">
        <f t="shared" si="597"/>
        <v>44227.687501681583</v>
      </c>
      <c r="W249" s="170"/>
      <c r="X249" s="174">
        <v>2349.4390565693448</v>
      </c>
      <c r="Y249" s="175">
        <v>3.7789548389489939E-2</v>
      </c>
      <c r="Z249" s="175">
        <f t="shared" si="632"/>
        <v>2.854600214149407E-4</v>
      </c>
      <c r="AA249" s="175"/>
      <c r="AB249" s="175"/>
      <c r="AC249" s="170">
        <f t="shared" si="490"/>
        <v>100355.89820768117</v>
      </c>
      <c r="AD249" s="175">
        <f t="shared" si="627"/>
        <v>5.8313162059716268E-2</v>
      </c>
      <c r="AE249" s="170"/>
      <c r="AF249" s="170"/>
      <c r="AG249" s="121">
        <f t="shared" si="628"/>
        <v>340.17334163016386</v>
      </c>
      <c r="AH249" s="119">
        <f>+AZ249/$BB$57</f>
        <v>7.7264013638886917E-3</v>
      </c>
      <c r="AI249" s="119"/>
      <c r="AJ249" s="176">
        <f t="shared" si="633"/>
        <v>2.6283157707298721</v>
      </c>
      <c r="AK249" s="176">
        <f t="shared" si="634"/>
        <v>0</v>
      </c>
      <c r="AL249" s="120">
        <f t="shared" si="617"/>
        <v>0.22845136007256522</v>
      </c>
      <c r="AM249" s="120">
        <f t="shared" si="618"/>
        <v>0.33084023821341935</v>
      </c>
      <c r="AN249" s="120">
        <f t="shared" si="619"/>
        <v>0.44070840171401532</v>
      </c>
      <c r="AO249" s="120">
        <f t="shared" si="635"/>
        <v>1.8988158020726849E-2</v>
      </c>
      <c r="AP249" s="173">
        <f t="shared" si="640"/>
        <v>110.08518979438955</v>
      </c>
      <c r="AQ249" s="175">
        <f t="shared" si="641"/>
        <v>1.8988158020726807E-2</v>
      </c>
      <c r="AR249" s="177">
        <f>+AC249/$AE$57</f>
        <v>7.5539410652055603E-3</v>
      </c>
      <c r="AS249" s="177">
        <f t="shared" si="636"/>
        <v>1.4343542662538056E-4</v>
      </c>
      <c r="AT249" s="177"/>
      <c r="AU249" s="177"/>
      <c r="AV249" s="177"/>
      <c r="AW249" s="190"/>
      <c r="AX249" s="120"/>
      <c r="AY249" s="120"/>
      <c r="AZ249" s="118">
        <f>IFERROR(INDEX('Total Customers'!$F$7:$AB$91,MATCH($C249,'Total Customers'!$D$7:$D$91,0),MATCH($G249,'Total Customers'!$F$5:$AB$5,0)),"NA")</f>
        <v>295014</v>
      </c>
      <c r="BA249" s="119">
        <f t="shared" si="598"/>
        <v>1.9067881322779597E-2</v>
      </c>
      <c r="BB249" s="119"/>
      <c r="BC249" s="121"/>
      <c r="BD249" s="119"/>
      <c r="BE249" s="119"/>
      <c r="BF249" s="119"/>
      <c r="BG249" s="173"/>
      <c r="BH249" s="173"/>
      <c r="BI249" s="173"/>
      <c r="BJ249" s="173"/>
      <c r="BK249" s="173"/>
      <c r="BL249" s="173"/>
      <c r="BM249" s="173"/>
      <c r="BN249" s="173"/>
      <c r="BO249" s="173"/>
      <c r="BP249" s="173"/>
      <c r="BQ249" s="118"/>
      <c r="BR249" s="118"/>
      <c r="BS249" s="118">
        <f>INDEX('Dist. Plant Gas Additions'!$F$7:$AE$91,MATCH($C249,'Dist. Plant Gas Additions'!$D$7:$D$91,0),MATCH(Calculation!$G249,'Dist. Plant Gas Additions'!$F$5:$AE$5,0))</f>
        <v>73360</v>
      </c>
      <c r="BT249" s="118">
        <f>INDEX('Gen. Plant Additions'!$F$7:$AE$91,MATCH($C249,'Gen. Plant Additions'!$D$7:$D$91,0),MATCH(Calculation!$G249,'Gen. Plant Additions'!$F$5:$AE$5,0))</f>
        <v>10444</v>
      </c>
      <c r="BU249" s="118"/>
      <c r="BV249" s="118"/>
      <c r="BW249" s="118">
        <f>INDEX('Dist Plant Depreciation'!$E$7:$AD$94,MATCH($C249,'Dist Plant Depreciation'!$D$7:$D$94,0),MATCH(Calculation!$G249,'Dist Plant Depreciation'!$E$5:$AD$5,0))</f>
        <v>445692</v>
      </c>
      <c r="BX249" s="118">
        <f>INDEX('Gen. Plant Depreciation'!$E$7:$AD$94,MATCH($C249,'Gen. Plant Depreciation'!$D$7:$D$94,0),MATCH(Calculation!$G249,'Gen. Plant Depreciation'!$E$5:$AD$5,0))</f>
        <v>25911</v>
      </c>
      <c r="BY249" s="118"/>
      <c r="BZ249" s="118"/>
      <c r="CA249" s="118"/>
      <c r="CB249" s="118"/>
      <c r="CC249" s="118"/>
      <c r="CD249" s="118"/>
      <c r="CE249" s="118">
        <f>INDEX('Gross Dx Plant'!$E$7:$AD$91,MATCH($C249,'Gross Dx Plant'!$D$7:$D$91,0),MATCH(Calculation!$G249,'Gross Dx Plant'!$E$5:$AD$5,0))</f>
        <v>1003218</v>
      </c>
      <c r="CF249" s="118">
        <f>INDEX('Gross Gen Plant'!$E$7:$AD$91,MATCH($C249,'Gross Gen Plant'!$D$7:$D$91,0),MATCH(Calculation!$G249,'Gross Gen Plant'!$E$5:$AD$5,0))</f>
        <v>75039</v>
      </c>
      <c r="CG249" s="118">
        <f t="shared" si="637"/>
        <v>606654</v>
      </c>
      <c r="CH249" s="118"/>
      <c r="CI249" s="121">
        <v>2019</v>
      </c>
      <c r="CJ249" s="118"/>
      <c r="CK249" s="118"/>
      <c r="CL249" s="118"/>
      <c r="CM249" s="183"/>
      <c r="CN249" s="118">
        <f t="shared" si="599"/>
        <v>83804</v>
      </c>
      <c r="CO249" s="118">
        <f t="shared" si="600"/>
        <v>108.33838723287035</v>
      </c>
      <c r="CP249" s="186">
        <v>0.85106382978723405</v>
      </c>
      <c r="CQ249" s="118">
        <f>CQ228*CP249+CO229*CP248+CO230*CP247+CO231*CP246+CO232*CP245+CO233*CP244+CO234*CP243+CO235*CP242+CO236*CP241+CO237*CP240+CO238*CP239+CO239*CP238+CO240*CP237+CO241*CP236+CO242*CP235+CO243*CP234+CO244*CP233+CO245*CP232+CO246*CP231+CO247*CP230+CO248*CP229+CO249</f>
        <v>2349.4390565693448</v>
      </c>
      <c r="CR249" s="119">
        <f t="shared" si="601"/>
        <v>3.7789548389489939E-2</v>
      </c>
      <c r="CS249" s="119"/>
      <c r="CT249" s="177">
        <f t="shared" si="602"/>
        <v>9.3757079014131148E-3</v>
      </c>
      <c r="CU249" s="177">
        <f t="shared" si="610"/>
        <v>9.1668111633459639E-3</v>
      </c>
      <c r="CV249" s="119">
        <f>VLOOKUP($H249,RoR!$E:$F,2,FALSE)</f>
        <v>3.3875000000000009E-2</v>
      </c>
      <c r="CW249" s="177">
        <v>1.8092492884465461E-2</v>
      </c>
      <c r="CX249" s="177">
        <f t="shared" si="608"/>
        <v>1.5782507115534548E-2</v>
      </c>
      <c r="CY249" s="177">
        <f t="shared" si="611"/>
        <v>2.1735130445187663E-2</v>
      </c>
      <c r="CZ249" s="177">
        <f t="shared" si="612"/>
        <v>4.8445665544254078E-2</v>
      </c>
      <c r="DA249" s="187">
        <f t="shared" si="603"/>
        <v>0.92125000000000001</v>
      </c>
      <c r="DB249" s="188">
        <f t="shared" si="604"/>
        <v>1.513861292459078</v>
      </c>
      <c r="DC249" s="188">
        <f t="shared" si="605"/>
        <v>0.23699261992619944</v>
      </c>
      <c r="DD249" s="188">
        <f t="shared" si="606"/>
        <v>0.73619765810468829</v>
      </c>
      <c r="DE249" s="188">
        <f t="shared" si="607"/>
        <v>0.26412854465362851</v>
      </c>
      <c r="DF249" s="189">
        <f>INDEX('State Tax Lookup'!$D$7:$Z$91,MATCH(Calculation!$C249,'State Tax Lookup'!$B$7:$B$91,0),MATCH($H249,'State Tax Lookup'!$D$6:$Z$6,0))</f>
        <v>0.20999999999999996</v>
      </c>
      <c r="DG249" s="189">
        <v>0.375</v>
      </c>
      <c r="DH249" s="190">
        <f t="shared" si="609"/>
        <v>19.549778473575941</v>
      </c>
      <c r="DI249" s="190">
        <v>19.263804031421905</v>
      </c>
      <c r="DJ249" s="177"/>
      <c r="DK249" s="189">
        <f>VLOOKUP($H249,RoR!$E:$F,2,FALSE)</f>
        <v>3.3875000000000009E-2</v>
      </c>
      <c r="DL249" s="191">
        <f>HLOOKUP($H249,'GDP-PI'!$D$8:$CQ$11,3,FALSE)</f>
        <v>1.8092492884465461E-2</v>
      </c>
      <c r="DM249" s="189">
        <f>VLOOKUP(H249,'HW Dx Data'!$E:$F,2,FALSE)</f>
        <v>773.53929793938721</v>
      </c>
      <c r="DN249" s="183">
        <f>VLOOKUP(H249,'ECI - Input Price'!$G$17:$H$37,2,FALSE)</f>
        <v>136.85</v>
      </c>
      <c r="DO249" s="177">
        <f t="shared" ref="DO249" si="664">LN(DN249/DN248)</f>
        <v>2.6658372440734168E-2</v>
      </c>
      <c r="DP249" s="183">
        <f>HLOOKUP(H249,'GDP-PI'!$8:$9,2,FALSE)</f>
        <v>112.318</v>
      </c>
      <c r="DQ249" s="177">
        <f t="shared" ref="DQ249" si="665">LN(DP249/DP248)</f>
        <v>1.7930771451401852E-2</v>
      </c>
    </row>
    <row r="250" spans="1:121" s="167" customFormat="1" ht="21" x14ac:dyDescent="0.35">
      <c r="A250" s="167" t="s">
        <v>40</v>
      </c>
      <c r="B250" s="167" t="s">
        <v>40</v>
      </c>
      <c r="C250" s="167">
        <v>4057112</v>
      </c>
      <c r="D250" s="167" t="s">
        <v>133</v>
      </c>
      <c r="G250" s="168" t="s">
        <v>26</v>
      </c>
      <c r="H250" s="169">
        <v>2020</v>
      </c>
      <c r="I250" s="170"/>
      <c r="J250" s="166">
        <f>IFERROR(INDEX('Labor Expenditures'!$F$7:$X$91,MATCH($C250,'Labor Expenditures'!$D$7:$D$91,0),MATCH($G250,'Labor Expenditures'!$F$5:$X$5,0)),"NA")</f>
        <v>22975.710343798259</v>
      </c>
      <c r="K250" s="166">
        <f t="shared" si="615"/>
        <v>163.58640330223039</v>
      </c>
      <c r="L250" s="172">
        <f t="shared" si="622"/>
        <v>-2.3819424544468153E-2</v>
      </c>
      <c r="M250" s="172">
        <f t="shared" si="625"/>
        <v>-1.8092778269951723E-4</v>
      </c>
      <c r="N250" s="196"/>
      <c r="O250" s="172"/>
      <c r="P250" s="166">
        <f>IFERROR(INDEX('Non-Labor Expenditures'!$F$7:$AB$91,MATCH($C250,'Non-Labor Expenditures'!$D$7:$D$91,0),MATCH($G250,'Non-Labor Expenditures'!$F$5:$AB$5,0)),"NA")</f>
        <v>33273.119848576374</v>
      </c>
      <c r="Q250" s="166">
        <f t="shared" si="616"/>
        <v>292.83789240361875</v>
      </c>
      <c r="R250" s="172">
        <f t="shared" si="626"/>
        <v>-9.4051232122964509E-3</v>
      </c>
      <c r="S250" s="172">
        <f t="shared" si="631"/>
        <v>-7.1439512975629386E-5</v>
      </c>
      <c r="T250" s="172"/>
      <c r="U250" s="172"/>
      <c r="V250" s="166">
        <f t="shared" si="597"/>
        <v>47788.443560859268</v>
      </c>
      <c r="W250" s="170"/>
      <c r="X250" s="174">
        <v>2453.0825467650834</v>
      </c>
      <c r="Y250" s="175">
        <v>4.3168815730944679E-2</v>
      </c>
      <c r="Z250" s="175">
        <f t="shared" si="632"/>
        <v>3.2790204890897602E-4</v>
      </c>
      <c r="AA250" s="175"/>
      <c r="AB250" s="175"/>
      <c r="AC250" s="170">
        <f t="shared" si="490"/>
        <v>104037.27375323389</v>
      </c>
      <c r="AD250" s="175">
        <f t="shared" si="627"/>
        <v>3.60263865296713E-2</v>
      </c>
      <c r="AE250" s="170"/>
      <c r="AF250" s="170"/>
      <c r="AG250" s="121">
        <f t="shared" si="628"/>
        <v>345.8410025570895</v>
      </c>
      <c r="AH250" s="119">
        <f>+AZ250/$BB$58</f>
        <v>7.823173762336379E-3</v>
      </c>
      <c r="AI250" s="119"/>
      <c r="AJ250" s="176">
        <f t="shared" si="633"/>
        <v>2.7055742571447312</v>
      </c>
      <c r="AK250" s="176">
        <f t="shared" si="634"/>
        <v>0</v>
      </c>
      <c r="AL250" s="120">
        <f t="shared" si="617"/>
        <v>0.22084114197661855</v>
      </c>
      <c r="AM250" s="120">
        <f t="shared" si="618"/>
        <v>0.3198192210178144</v>
      </c>
      <c r="AN250" s="120">
        <f t="shared" si="619"/>
        <v>0.45933963700556707</v>
      </c>
      <c r="AO250" s="120">
        <f t="shared" si="635"/>
        <v>-8.4107106171358859E-3</v>
      </c>
      <c r="AP250" s="173">
        <f t="shared" si="640"/>
        <v>109.16317794248994</v>
      </c>
      <c r="AQ250" s="175">
        <f t="shared" si="641"/>
        <v>-8.4107106171359258E-3</v>
      </c>
      <c r="AR250" s="177">
        <f>+AC250/$AE$58</f>
        <v>7.5958083018229788E-3</v>
      </c>
      <c r="AS250" s="177">
        <f t="shared" si="636"/>
        <v>-6.3886145529871741E-5</v>
      </c>
      <c r="AT250" s="177"/>
      <c r="AU250" s="177"/>
      <c r="AV250" s="177"/>
      <c r="AW250" s="190"/>
      <c r="AX250" s="120"/>
      <c r="AY250" s="120"/>
      <c r="AZ250" s="118">
        <f>IFERROR(INDEX('Total Customers'!$F$7:$AB$91,MATCH($C250,'Total Customers'!$D$7:$D$91,0),MATCH($G250,'Total Customers'!$F$5:$AB$5,0)),"NA")</f>
        <v>300824</v>
      </c>
      <c r="BA250" s="119">
        <f t="shared" si="598"/>
        <v>1.9502563286034353E-2</v>
      </c>
      <c r="BB250" s="119"/>
      <c r="BC250" s="121"/>
      <c r="BD250" s="119"/>
      <c r="BE250" s="119"/>
      <c r="BF250" s="119"/>
      <c r="BG250" s="173"/>
      <c r="BH250" s="173"/>
      <c r="BI250" s="173"/>
      <c r="BJ250" s="173"/>
      <c r="BK250" s="173"/>
      <c r="BL250" s="173"/>
      <c r="BM250" s="173"/>
      <c r="BN250" s="173"/>
      <c r="BO250" s="173"/>
      <c r="BP250" s="173"/>
      <c r="BQ250" s="118"/>
      <c r="BR250" s="118"/>
      <c r="BS250" s="118">
        <f>INDEX('Dist. Plant Gas Additions'!$F$7:$AE$91,MATCH($C250,'Dist. Plant Gas Additions'!$D$7:$D$91,0),MATCH(Calculation!$G250,'Dist. Plant Gas Additions'!$F$5:$AE$5,0))</f>
        <v>96416</v>
      </c>
      <c r="BT250" s="118">
        <f>INDEX('Gen. Plant Additions'!$F$7:$AE$91,MATCH($C250,'Gen. Plant Additions'!$D$7:$D$91,0),MATCH(Calculation!$G250,'Gen. Plant Additions'!$F$5:$AE$5,0))</f>
        <v>6240</v>
      </c>
      <c r="BU250" s="118"/>
      <c r="BV250" s="118"/>
      <c r="BW250" s="118">
        <f>INDEX('Dist Plant Depreciation'!$E$7:$AD$94,MATCH($C250,'Dist Plant Depreciation'!$D$7:$D$94,0),MATCH(Calculation!$G250,'Dist Plant Depreciation'!$E$5:$AD$5,0))</f>
        <v>464076</v>
      </c>
      <c r="BX250" s="118">
        <f>INDEX('Gen. Plant Depreciation'!$E$7:$AD$94,MATCH($C250,'Gen. Plant Depreciation'!$D$7:$D$94,0),MATCH(Calculation!$G250,'Gen. Plant Depreciation'!$E$5:$AD$5,0))</f>
        <v>31306</v>
      </c>
      <c r="BY250" s="118"/>
      <c r="BZ250" s="118"/>
      <c r="CA250" s="118"/>
      <c r="CB250" s="118"/>
      <c r="CC250" s="118"/>
      <c r="CD250" s="118"/>
      <c r="CE250" s="118">
        <f>INDEX('Gross Dx Plant'!$E$7:$AD$91,MATCH($C250,'Gross Dx Plant'!$D$7:$D$91,0),MATCH(Calculation!$G250,'Gross Dx Plant'!$E$5:$AD$5,0))</f>
        <v>1097470</v>
      </c>
      <c r="CF250" s="118">
        <f>INDEX('Gross Gen Plant'!$E$7:$AD$91,MATCH($C250,'Gross Gen Plant'!$D$7:$D$91,0),MATCH(Calculation!$G250,'Gross Gen Plant'!$E$5:$AD$5,0))</f>
        <v>78091</v>
      </c>
      <c r="CG250" s="118">
        <f t="shared" si="637"/>
        <v>680179</v>
      </c>
      <c r="CH250" s="118"/>
      <c r="CI250" s="121">
        <v>2020</v>
      </c>
      <c r="CJ250" s="118"/>
      <c r="CK250" s="118"/>
      <c r="CL250" s="118"/>
      <c r="CM250" s="183"/>
      <c r="CN250" s="118">
        <f t="shared" si="599"/>
        <v>102656</v>
      </c>
      <c r="CO250" s="118">
        <f t="shared" si="600"/>
        <v>126.25569376770716</v>
      </c>
      <c r="CP250" s="186">
        <v>0.84057971014492749</v>
      </c>
      <c r="CQ250" s="118">
        <f>CQ228*CP250+CO229*CP249+CO230*CP248+CO231*CP247+CO232*CP246+CO233*CP245+CO234*CP244+CO235*CP243+CO236*CP242+CO237*CP241+CO238*CP240+CO239*CP239+CO240*CP238+CO241*CP237+CO242*CP236+CO243*CP235+CO244*CP234+CO245*CP233+CO246*CP232+CO247*CP231+CO248*CP230+CO249*CP229+CO250</f>
        <v>2453.0825467650834</v>
      </c>
      <c r="CR250" s="119">
        <f t="shared" si="601"/>
        <v>4.3168815730944679E-2</v>
      </c>
      <c r="CS250" s="119"/>
      <c r="CT250" s="177">
        <f t="shared" si="602"/>
        <v>9.624511650447698E-3</v>
      </c>
      <c r="CU250" s="177">
        <f t="shared" si="610"/>
        <v>9.394065991531423E-3</v>
      </c>
      <c r="CV250" s="119">
        <f>VLOOKUP($H250,RoR!$E:$F,2,FALSE)</f>
        <v>2.4766666666666666E-2</v>
      </c>
      <c r="CW250" s="177">
        <v>1.1618796630994188E-2</v>
      </c>
      <c r="CX250" s="177">
        <f t="shared" si="608"/>
        <v>1.3147870035672478E-2</v>
      </c>
      <c r="CY250" s="177">
        <f t="shared" si="611"/>
        <v>2.1507875617002202E-2</v>
      </c>
      <c r="CZ250" s="177">
        <f t="shared" si="612"/>
        <v>4.5144642961987357E-2</v>
      </c>
      <c r="DA250" s="187">
        <f t="shared" si="603"/>
        <v>0.92125000000000001</v>
      </c>
      <c r="DB250" s="188">
        <f t="shared" si="604"/>
        <v>2.0706077233668081</v>
      </c>
      <c r="DC250" s="188">
        <f t="shared" si="605"/>
        <v>-3.4421265141318998E-2</v>
      </c>
      <c r="DD250" s="188">
        <f t="shared" si="606"/>
        <v>0.62416226176410472</v>
      </c>
      <c r="DE250" s="188">
        <f t="shared" si="607"/>
        <v>-4.4485877841158712E-2</v>
      </c>
      <c r="DF250" s="189">
        <f>INDEX('State Tax Lookup'!$D$7:$Z$91,MATCH(Calculation!$C250,'State Tax Lookup'!$B$7:$B$91,0),MATCH($H250,'State Tax Lookup'!$D$6:$Z$6,0))</f>
        <v>0.20999999999999996</v>
      </c>
      <c r="DG250" s="189">
        <v>0.375</v>
      </c>
      <c r="DH250" s="190">
        <f t="shared" si="609"/>
        <v>20.340363129333536</v>
      </c>
      <c r="DI250" s="190">
        <v>20.05668163034678</v>
      </c>
      <c r="DJ250" s="177"/>
      <c r="DK250" s="189">
        <f>VLOOKUP($H250,RoR!$E:$F,2,FALSE)</f>
        <v>2.4766666666666666E-2</v>
      </c>
      <c r="DL250" s="191">
        <f>HLOOKUP($H250,'GDP-PI'!$D$8:$CQ$11,3,FALSE)</f>
        <v>1.1618796630994188E-2</v>
      </c>
      <c r="DM250" s="189">
        <f>VLOOKUP(H250,'HW Dx Data'!$E:$F,2,FALSE)</f>
        <v>813.080162458833</v>
      </c>
      <c r="DN250" s="183">
        <f>VLOOKUP(H250,'ECI - Input Price'!$G$17:$H$37,2,FALSE)</f>
        <v>140.44999999999999</v>
      </c>
      <c r="DO250" s="177">
        <f t="shared" ref="DO250" si="666">LN(DN250/DN249)</f>
        <v>2.5966118063564539E-2</v>
      </c>
      <c r="DP250" s="183">
        <f>HLOOKUP(H250,'GDP-PI'!$8:$9,2,FALSE)</f>
        <v>113.623</v>
      </c>
      <c r="DQ250" s="177">
        <f t="shared" ref="DQ250" si="667">LN(DP250/DP249)</f>
        <v>1.1551816731392881E-2</v>
      </c>
    </row>
    <row r="251" spans="1:121" s="167" customFormat="1" ht="21" x14ac:dyDescent="0.35">
      <c r="A251" s="167" t="s">
        <v>40</v>
      </c>
      <c r="B251" s="167" t="s">
        <v>40</v>
      </c>
      <c r="C251" s="167">
        <v>4057112</v>
      </c>
      <c r="D251" s="167" t="s">
        <v>133</v>
      </c>
      <c r="G251" s="168" t="s">
        <v>462</v>
      </c>
      <c r="H251" s="169">
        <v>2021</v>
      </c>
      <c r="I251" s="170"/>
      <c r="J251" s="166">
        <f>IFERROR(INDEX('Labor Expenditures'!$E$7:$X$91,MATCH($C251,'Labor Expenditures'!$D$7:$D$91,0),MATCH($G251,'Labor Expenditures'!$E$5:$X$5,0)),"NA")</f>
        <v>24247.879940624462</v>
      </c>
      <c r="K251" s="166">
        <f t="shared" si="615"/>
        <v>166.68073511341782</v>
      </c>
      <c r="L251" s="171">
        <f t="shared" si="622"/>
        <v>1.8738905556908565E-2</v>
      </c>
      <c r="M251" s="172">
        <f t="shared" si="625"/>
        <v>1.5470548013049823E-4</v>
      </c>
      <c r="N251" s="196"/>
      <c r="O251" s="172"/>
      <c r="P251" s="166">
        <f>IFERROR(INDEX('Non-Labor Expenditures'!$E$7:$AB$91,MATCH($C251,'Non-Labor Expenditures'!$D$7:$D$91,0),MATCH($G251,'Non-Labor Expenditures'!$E$5:$AB$5,0)),"NA")</f>
        <v>34180.746422326047</v>
      </c>
      <c r="Q251" s="166">
        <f t="shared" si="616"/>
        <v>288.46946090240567</v>
      </c>
      <c r="R251" s="172">
        <f t="shared" si="626"/>
        <v>-1.5029962073228062E-2</v>
      </c>
      <c r="S251" s="172">
        <f t="shared" si="631"/>
        <v>-1.2408502149820999E-4</v>
      </c>
      <c r="T251" s="172"/>
      <c r="U251" s="172"/>
      <c r="V251" s="166">
        <f t="shared" si="597"/>
        <v>63332.087238207139</v>
      </c>
      <c r="W251" s="170"/>
      <c r="X251" s="174">
        <v>2516.6615436114989</v>
      </c>
      <c r="Y251" s="175"/>
      <c r="Z251" s="175">
        <f t="shared" si="632"/>
        <v>0</v>
      </c>
      <c r="AA251" s="175"/>
      <c r="AB251" s="175"/>
      <c r="AC251" s="170">
        <f t="shared" si="490"/>
        <v>121760.71360115765</v>
      </c>
      <c r="AD251" s="175">
        <f t="shared" si="627"/>
        <v>0.15730851841099297</v>
      </c>
      <c r="AE251" s="118"/>
      <c r="AF251" s="119"/>
      <c r="AG251" s="121">
        <f t="shared" si="628"/>
        <v>397.09328376596437</v>
      </c>
      <c r="AH251" s="119">
        <f>+AZ251/$BB$59</f>
        <v>7.8671137745573768E-3</v>
      </c>
      <c r="AI251" s="119"/>
      <c r="AJ251" s="176">
        <f t="shared" si="633"/>
        <v>3.1239780424994397</v>
      </c>
      <c r="AK251" s="176">
        <f t="shared" si="634"/>
        <v>0</v>
      </c>
      <c r="AL251" s="120">
        <f t="shared" si="617"/>
        <v>0.19914370755128297</v>
      </c>
      <c r="AM251" s="120">
        <f t="shared" si="618"/>
        <v>0.28072064799397717</v>
      </c>
      <c r="AN251" s="120">
        <f t="shared" si="619"/>
        <v>0.52013564445473981</v>
      </c>
      <c r="AO251" s="120">
        <f t="shared" si="635"/>
        <v>-5.7801751203638736E-4</v>
      </c>
      <c r="AP251" s="173">
        <f t="shared" si="640"/>
        <v>109.1000979463971</v>
      </c>
      <c r="AQ251" s="175">
        <f t="shared" si="641"/>
        <v>-5.7801751203643171E-4</v>
      </c>
      <c r="AR251" s="177">
        <f>+AC251/$AE$59</f>
        <v>8.2558439531417675E-3</v>
      </c>
      <c r="AS251" s="177">
        <f t="shared" si="636"/>
        <v>-4.7720223815560238E-6</v>
      </c>
      <c r="AT251" s="177"/>
      <c r="AU251" s="177"/>
      <c r="AV251" s="177"/>
      <c r="AW251" s="190"/>
      <c r="AX251" s="120"/>
      <c r="AY251" s="120"/>
      <c r="AZ251" s="118">
        <f>INDEX('Total Customers'!$E$7:$E$91,MATCH(Calculation!$C251,'Total Customers'!$D$7:$D$91,0))</f>
        <v>306630</v>
      </c>
      <c r="BA251" s="119">
        <f t="shared" si="598"/>
        <v>1.9116432882199323E-2</v>
      </c>
      <c r="BB251" s="118"/>
      <c r="BC251" s="121"/>
      <c r="BD251" s="118"/>
      <c r="BE251" s="119"/>
      <c r="BF251" s="119"/>
      <c r="BG251" s="173"/>
      <c r="BH251" s="173"/>
      <c r="BI251" s="173"/>
      <c r="BJ251" s="173"/>
      <c r="BK251" s="173"/>
      <c r="BL251" s="173"/>
      <c r="BM251" s="173"/>
      <c r="BN251" s="173"/>
      <c r="BO251" s="173"/>
      <c r="BP251" s="173"/>
      <c r="BQ251" s="118"/>
      <c r="BR251" s="118"/>
      <c r="BS251" s="118">
        <f>INDEX('Dist. Plant Gas Additions'!$E$7:$AE$91,MATCH($C251,'Dist. Plant Gas Additions'!$D$7:$D$91,0),MATCH(Calculation!$G251,'Dist. Plant Gas Additions'!$E$5:$AE$5,0))</f>
        <v>56437</v>
      </c>
      <c r="BT251" s="118">
        <f>INDEX('Gen. Plant Additions'!$E$7:$AE$91,MATCH($C251,'Gen. Plant Additions'!$D$7:$D$91,0),MATCH(Calculation!$G251,'Gen. Plant Additions'!$E$5:$AE$5,0))</f>
        <v>8105</v>
      </c>
      <c r="BU251" s="118"/>
      <c r="BV251" s="118"/>
      <c r="BW251" s="118"/>
      <c r="BX251" s="118"/>
      <c r="BY251" s="183"/>
      <c r="BZ251" s="183"/>
      <c r="CA251" s="178"/>
      <c r="CB251" s="184"/>
      <c r="CC251" s="185"/>
      <c r="CD251" s="185"/>
      <c r="CE251" s="118"/>
      <c r="CF251" s="118"/>
      <c r="CG251" s="118"/>
      <c r="CH251" s="118"/>
      <c r="CI251" s="121">
        <v>2021</v>
      </c>
      <c r="CJ251" s="118"/>
      <c r="CK251" s="118"/>
      <c r="CL251" s="118"/>
      <c r="CM251" s="183"/>
      <c r="CN251" s="118">
        <f t="shared" si="599"/>
        <v>64542</v>
      </c>
      <c r="CO251" s="118">
        <f t="shared" si="600"/>
        <v>69.175180720925866</v>
      </c>
      <c r="CP251" s="186">
        <f>+(51-23)/(51-23*0.75)</f>
        <v>0.82962962962962961</v>
      </c>
      <c r="CQ251" s="118">
        <f>CQ228*CP251+CO229*CP250+CO230*CP249+CO231*CP248+CO232*CP247+CO233*CP246+CO234*CP245+CO235*CP244+CO236*CP243+CO237*CP242+CO238*CP241+CO239*CP240+CO240*CP239+CO241*CP238+CO242*CP237+CO233*CP236+CO244*CP235+CO245*CP234+CO246*CP233+CO247*CP232+CO248*CP231+CO249*CP230+CO251+CO250*CP229</f>
        <v>2516.6615436114989</v>
      </c>
      <c r="CR251" s="119"/>
      <c r="CS251" s="118"/>
      <c r="CT251" s="177">
        <f t="shared" si="602"/>
        <v>2.2812864091712346E-3</v>
      </c>
      <c r="CU251" s="177">
        <f t="shared" si="610"/>
        <v>7.0938353203440158E-3</v>
      </c>
      <c r="CV251" s="119">
        <f>VLOOKUP($H251,RoR!$E:$F,2,FALSE)</f>
        <v>2.7033333333333336E-2</v>
      </c>
      <c r="CW251" s="177"/>
      <c r="CX251" s="177"/>
      <c r="CY251" s="177">
        <f t="shared" si="611"/>
        <v>2.380810628818961E-2</v>
      </c>
      <c r="CZ251" s="177">
        <f t="shared" si="612"/>
        <v>7.433422950153494E-2</v>
      </c>
      <c r="DA251" s="187">
        <f t="shared" si="603"/>
        <v>0.92125000000000001</v>
      </c>
      <c r="DB251" s="188">
        <f t="shared" si="604"/>
        <v>1.8969932656739068</v>
      </c>
      <c r="DC251" s="188">
        <f t="shared" si="605"/>
        <v>5.0215782983970621E-2</v>
      </c>
      <c r="DD251" s="188">
        <f t="shared" si="606"/>
        <v>0.655952481704143</v>
      </c>
      <c r="DE251" s="188">
        <f t="shared" si="607"/>
        <v>6.2485378865697057E-2</v>
      </c>
      <c r="DF251" s="189">
        <f>DF250</f>
        <v>0.20999999999999996</v>
      </c>
      <c r="DG251" s="189">
        <v>0.375</v>
      </c>
      <c r="DH251" s="190">
        <f t="shared" si="609"/>
        <v>25.817348593394915</v>
      </c>
      <c r="DI251" s="190"/>
      <c r="DJ251" s="177">
        <f t="shared" ref="DJ251" si="668">LN(DH251/DH250)</f>
        <v>0.23843944862371363</v>
      </c>
      <c r="DK251" s="189">
        <f>VLOOKUP($H251,RoR!$E:$F,2,FALSE)</f>
        <v>2.7033333333333336E-2</v>
      </c>
      <c r="DL251" s="191">
        <f>HLOOKUP($H251,'GDP-PI'!$D$8:$CR$11,3,FALSE)</f>
        <v>4.2834637353352578E-2</v>
      </c>
      <c r="DM251" s="189">
        <f>VLOOKUP(H251,'HW Dx Data'!$E:$F,2,FALSE)</f>
        <v>933.02249921662576</v>
      </c>
      <c r="DN251" s="183">
        <f>VLOOKUP(H251,'ECI - Input Price'!$G$17:$H$37,2,FALSE)</f>
        <v>145.47500000000002</v>
      </c>
      <c r="DO251" s="177">
        <f t="shared" ref="DO251" si="669">LN(DN251/DN250)</f>
        <v>3.5152696992481205E-2</v>
      </c>
      <c r="DP251" s="183">
        <f>HLOOKUP(H251,'GDP-PI'!$8:$9,2,FALSE)</f>
        <v>118.49</v>
      </c>
      <c r="DQ251" s="177">
        <f t="shared" ref="DQ251" si="670">LN(DP251/DP250)</f>
        <v>4.194261824609434E-2</v>
      </c>
    </row>
    <row r="252" spans="1:121" s="167" customFormat="1" ht="21" x14ac:dyDescent="0.35">
      <c r="A252" s="167" t="s">
        <v>41</v>
      </c>
      <c r="B252" s="168" t="s">
        <v>41</v>
      </c>
      <c r="C252" s="168">
        <v>4057076</v>
      </c>
      <c r="D252" s="168" t="s">
        <v>136</v>
      </c>
      <c r="E252" s="168" t="s">
        <v>126</v>
      </c>
      <c r="F252" s="168"/>
      <c r="G252" s="168" t="s">
        <v>4</v>
      </c>
      <c r="H252" s="169">
        <v>1998</v>
      </c>
      <c r="I252" s="170"/>
      <c r="J252" s="166"/>
      <c r="K252" s="166"/>
      <c r="L252" s="166"/>
      <c r="M252" s="166"/>
      <c r="N252" s="196"/>
      <c r="O252" s="166"/>
      <c r="P252" s="172"/>
      <c r="Q252" s="172"/>
      <c r="R252" s="172"/>
      <c r="S252" s="166"/>
      <c r="T252" s="172"/>
      <c r="U252" s="172"/>
      <c r="V252" s="166"/>
      <c r="W252" s="170"/>
      <c r="X252" s="174">
        <v>409.45979493697843</v>
      </c>
      <c r="Y252" s="175"/>
      <c r="Z252" s="166"/>
      <c r="AA252" s="175"/>
      <c r="AB252" s="175"/>
      <c r="AC252" s="170">
        <f t="shared" si="490"/>
        <v>0</v>
      </c>
      <c r="AD252" s="170"/>
      <c r="AE252" s="170"/>
      <c r="AF252" s="119"/>
      <c r="AG252" s="174"/>
      <c r="AH252" s="175"/>
      <c r="AI252" s="175"/>
      <c r="AJ252" s="174"/>
      <c r="AK252" s="174"/>
      <c r="AL252" s="120"/>
      <c r="AM252" s="120"/>
      <c r="AN252" s="120"/>
      <c r="AO252" s="120"/>
      <c r="AP252" s="120"/>
      <c r="AQ252" s="175">
        <f>AVERAGE(AQ261:AQ275)</f>
        <v>3.0602379085077944E-2</v>
      </c>
      <c r="AR252" s="120"/>
      <c r="AS252" s="120"/>
      <c r="AT252" s="120"/>
      <c r="AU252" s="120"/>
      <c r="AV252" s="120"/>
      <c r="AW252" s="120"/>
      <c r="AX252" s="120"/>
      <c r="AY252" s="120"/>
      <c r="AZ252" s="118">
        <f>IFERROR(INDEX('Total Customers'!$F$7:$AB$91,MATCH($C252,'Total Customers'!$D$7:$D$91,0),MATCH($G252,'Total Customers'!$F$5:$AB$5,0)),"NA")</f>
        <v>62104</v>
      </c>
      <c r="BA252" s="119"/>
      <c r="BB252" s="119"/>
      <c r="BC252" s="121"/>
      <c r="BD252" s="119"/>
      <c r="BE252" s="119"/>
      <c r="BF252" s="119"/>
      <c r="BG252" s="173"/>
      <c r="BH252" s="173"/>
      <c r="BI252" s="173"/>
      <c r="BJ252" s="173"/>
      <c r="BK252" s="173"/>
      <c r="BL252" s="173"/>
      <c r="BM252" s="173"/>
      <c r="BN252" s="173"/>
      <c r="BO252" s="173"/>
      <c r="BP252" s="173"/>
      <c r="BQ252" s="118">
        <f>INDEX('Gross Dx Plant'!$E$7:$AD$91,MATCH($C252,'Gross Dx Plant'!$D$7:$D$91,0),MATCH(Calculation!$G252,'Gross Dx Plant'!$E$5:$AD$5,0))</f>
        <v>115543</v>
      </c>
      <c r="BR252" s="118">
        <f>INDEX('Gross Gen Plant'!$E$7:$AD$91,MATCH($C252,'Gross Gen Plant'!$D$7:$D$91,0),MATCH(Calculation!$G252,'Gross Gen Plant'!$E$5:$AD$5,0))</f>
        <v>0</v>
      </c>
      <c r="BS252" s="118">
        <f>INDEX('Dist. Plant Gas Additions'!$F$7:$AE$91,MATCH($C252,'Dist. Plant Gas Additions'!$D$7:$D$91,0),MATCH(Calculation!$G252,'Dist. Plant Gas Additions'!$F$5:$AE$5,0))</f>
        <v>7337</v>
      </c>
      <c r="BT252" s="118">
        <f>INDEX('Gen. Plant Additions'!$F$7:$AE$91,MATCH($C252,'Gen. Plant Additions'!$D$7:$D$91,0),MATCH(Calculation!$G252,'Gen. Plant Additions'!$F$5:$AE$5,0))</f>
        <v>0</v>
      </c>
      <c r="BU252" s="118" t="e">
        <f>INDEX('Dist Plant Depreciation'!$E$7:$AA$94,MATCH($C252,'Dist Plant Depreciation'!$D$7:$D$94,0),MATCH(#REF!,'Dist Plant Depreciation'!$E$5:$AA$5,0))</f>
        <v>#REF!</v>
      </c>
      <c r="BV252" s="118" t="e">
        <f>INDEX('Gen. Plant Depreciation'!$E$7:$AA$94,MATCH($C252,'Gen. Plant Depreciation'!$D$7:$D$94,0),MATCH(#REF!,'Gen. Plant Depreciation'!$E$5:$AA$5,0))</f>
        <v>#REF!</v>
      </c>
      <c r="BW252" s="118">
        <f>INDEX('Dist Plant Depreciation'!$E$7:$AD$94,MATCH($C252,'Dist Plant Depreciation'!$D$7:$D$94,0),MATCH(Calculation!$G252,'Dist Plant Depreciation'!$E$5:$AD$5,0))</f>
        <v>32003</v>
      </c>
      <c r="BX252" s="118">
        <f>INDEX('Gen. Plant Depreciation'!$E$7:$AD$94,MATCH($C252,'Gen. Plant Depreciation'!$D$7:$D$94,0),MATCH(Calculation!$G252,'Gen. Plant Depreciation'!$E$5:$AD$5,0))</f>
        <v>944</v>
      </c>
      <c r="BY252" s="118"/>
      <c r="BZ252" s="118"/>
      <c r="CA252" s="118"/>
      <c r="CB252" s="118"/>
      <c r="CC252" s="118"/>
      <c r="CD252" s="118"/>
      <c r="CE252" s="118">
        <f>INDEX('Gross Dx Plant'!$E$7:$AD$91,MATCH($C252,'Gross Dx Plant'!$D$7:$D$91,0),MATCH(Calculation!$G252,'Gross Dx Plant'!$E$5:$AD$5,0))</f>
        <v>115543</v>
      </c>
      <c r="CF252" s="118">
        <f>INDEX('Gross Gen Plant'!$E$7:$AD$91,MATCH($C252,'Gross Gen Plant'!$D$7:$D$91,0),MATCH(Calculation!$G252,'Gross Gen Plant'!$E$5:$AD$5,0))</f>
        <v>0</v>
      </c>
      <c r="CG252" s="118">
        <f t="shared" si="637"/>
        <v>82596</v>
      </c>
      <c r="CH252" s="118"/>
      <c r="CI252" s="121">
        <v>1998</v>
      </c>
      <c r="CJ252" s="118">
        <f>BQ252+BR252</f>
        <v>115543</v>
      </c>
      <c r="CK252" s="118">
        <f>32003+944</f>
        <v>32947</v>
      </c>
      <c r="CL252" s="118">
        <f>+CJ252-CK252</f>
        <v>82596</v>
      </c>
      <c r="CM252" s="118">
        <f>CL252/$CD$36</f>
        <v>409.45979493697843</v>
      </c>
      <c r="CN252" s="183"/>
      <c r="CO252" s="183"/>
      <c r="CP252" s="186">
        <v>1</v>
      </c>
      <c r="CQ252" s="118">
        <f>+CM252</f>
        <v>409.45979493697843</v>
      </c>
      <c r="CR252" s="119"/>
      <c r="CS252" s="119"/>
      <c r="CT252" s="177"/>
      <c r="CU252" s="177"/>
      <c r="CV252" s="119" t="e">
        <f>VLOOKUP($H252,RoR!$E:$F,2,FALSE)</f>
        <v>#N/A</v>
      </c>
      <c r="CW252" s="177">
        <v>1.1028127770464469E-2</v>
      </c>
      <c r="CX252" s="177"/>
      <c r="CY252" s="177"/>
      <c r="CZ252" s="177"/>
      <c r="DA252" s="187"/>
      <c r="DB252" s="190" t="e">
        <f>2/(DK252*39)</f>
        <v>#N/A</v>
      </c>
      <c r="DC252" s="188" t="e">
        <f>+(DK252*40-(1+DK252))/(DK252*40)</f>
        <v>#N/A</v>
      </c>
      <c r="DD252" s="188" t="e">
        <f>+(1-(1/(1+DK252)^40))</f>
        <v>#N/A</v>
      </c>
      <c r="DE252" s="188" t="e">
        <f>+DD252*DC252*DB252</f>
        <v>#N/A</v>
      </c>
      <c r="DF252" s="189">
        <f>INDEX('State Tax Lookup'!$D$7:$Z$91,MATCH(Calculation!$C252,'State Tax Lookup'!$B$7:$B$91,0),MATCH($H252,'State Tax Lookup'!$D$6:$Z$6,0))</f>
        <v>0.39649667</v>
      </c>
      <c r="DG252" s="189">
        <v>0.375</v>
      </c>
      <c r="DH252" s="183"/>
      <c r="DI252" s="183"/>
      <c r="DJ252" s="177"/>
      <c r="DK252" s="189" t="e">
        <f>VLOOKUP($H252,RoR!$E:$F,2,FALSE)</f>
        <v>#N/A</v>
      </c>
      <c r="DL252" s="191">
        <f>HLOOKUP($H252,'GDP-PI'!$D$8:$CQ$11,3,FALSE)</f>
        <v>1.1028127770464469E-2</v>
      </c>
      <c r="DM252" s="189">
        <f>VLOOKUP(H252,'HW Dx Data'!$E:$F,2,FALSE)</f>
        <v>329.24564746449528</v>
      </c>
      <c r="DN252" s="183" t="e">
        <f>VLOOKUP(H252,'ECI - Input Price'!$G$17:$H$37,2,FALSE)</f>
        <v>#N/A</v>
      </c>
      <c r="DO252" s="177"/>
      <c r="DP252" s="183">
        <f>HLOOKUP(H252,'GDP-PI'!$8:$9,2,FALSE)</f>
        <v>75.266999999999996</v>
      </c>
    </row>
    <row r="253" spans="1:121" s="167" customFormat="1" ht="21" x14ac:dyDescent="0.35">
      <c r="A253" s="167" t="s">
        <v>41</v>
      </c>
      <c r="B253" s="168" t="s">
        <v>41</v>
      </c>
      <c r="C253" s="168">
        <v>4057076</v>
      </c>
      <c r="D253" s="168" t="s">
        <v>136</v>
      </c>
      <c r="E253" s="168" t="s">
        <v>126</v>
      </c>
      <c r="F253" s="168"/>
      <c r="G253" s="168" t="s">
        <v>5</v>
      </c>
      <c r="H253" s="169">
        <v>1999</v>
      </c>
      <c r="I253" s="170"/>
      <c r="J253" s="166"/>
      <c r="K253" s="166"/>
      <c r="L253" s="166"/>
      <c r="M253" s="166"/>
      <c r="N253" s="173"/>
      <c r="O253" s="170"/>
      <c r="P253" s="177"/>
      <c r="Q253" s="177"/>
      <c r="R253" s="177"/>
      <c r="S253" s="195"/>
      <c r="T253" s="177"/>
      <c r="U253" s="177"/>
      <c r="V253" s="166">
        <f t="shared" ref="V253:V275" si="671">+CQ252*DH253</f>
        <v>0</v>
      </c>
      <c r="W253" s="170"/>
      <c r="X253" s="174">
        <v>426.30585505094001</v>
      </c>
      <c r="Y253" s="175">
        <v>4.0318340644652173E-2</v>
      </c>
      <c r="Z253" s="175"/>
      <c r="AA253" s="175"/>
      <c r="AB253" s="175"/>
      <c r="AC253" s="170">
        <f t="shared" si="490"/>
        <v>0</v>
      </c>
      <c r="AD253" s="175"/>
      <c r="AE253" s="170"/>
      <c r="AF253" s="119"/>
      <c r="AG253" s="174"/>
      <c r="AH253" s="175"/>
      <c r="AI253" s="175"/>
      <c r="AJ253" s="174"/>
      <c r="AK253" s="174"/>
      <c r="AL253" s="120"/>
      <c r="AM253" s="120"/>
      <c r="AN253" s="120"/>
      <c r="AO253" s="120"/>
      <c r="AP253" s="120"/>
      <c r="AQ253" s="175"/>
      <c r="AR253" s="120"/>
      <c r="AS253" s="120"/>
      <c r="AT253" s="120"/>
      <c r="AU253" s="120"/>
      <c r="AV253" s="120"/>
      <c r="AW253" s="120"/>
      <c r="AX253" s="120"/>
      <c r="AY253" s="120"/>
      <c r="AZ253" s="118">
        <f>IFERROR(INDEX('Total Customers'!$F$7:$AB$91,MATCH($C253,'Total Customers'!$D$7:$D$91,0),MATCH($G253,'Total Customers'!$F$5:$AB$5,0)),"NA")</f>
        <v>62605</v>
      </c>
      <c r="BA253" s="119">
        <f t="shared" ref="BA253:BA275" si="672">LN(AZ253/AZ252)</f>
        <v>8.0347480175318332E-3</v>
      </c>
      <c r="BB253" s="119"/>
      <c r="BC253" s="121"/>
      <c r="BD253" s="119"/>
      <c r="BE253" s="119"/>
      <c r="BF253" s="119"/>
      <c r="BG253" s="173"/>
      <c r="BH253" s="173"/>
      <c r="BI253" s="173"/>
      <c r="BJ253" s="173"/>
      <c r="BK253" s="173"/>
      <c r="BL253" s="173"/>
      <c r="BM253" s="173"/>
      <c r="BN253" s="173"/>
      <c r="BO253" s="173"/>
      <c r="BP253" s="173"/>
      <c r="BQ253" s="118"/>
      <c r="BR253" s="118"/>
      <c r="BS253" s="118">
        <f>INDEX('Dist. Plant Gas Additions'!$F$7:$AE$91,MATCH($C253,'Dist. Plant Gas Additions'!$D$7:$D$91,0),MATCH(Calculation!$G253,'Dist. Plant Gas Additions'!$F$5:$AE$5,0))</f>
        <v>6332</v>
      </c>
      <c r="BT253" s="118">
        <f>INDEX('Gen. Plant Additions'!$F$7:$AE$91,MATCH($C253,'Gen. Plant Additions'!$D$7:$D$91,0),MATCH(Calculation!$G253,'Gen. Plant Additions'!$F$5:$AE$5,0))</f>
        <v>0</v>
      </c>
      <c r="BU253" s="118"/>
      <c r="BV253" s="118"/>
      <c r="BW253" s="118">
        <f>INDEX('Dist Plant Depreciation'!$E$7:$AD$94,MATCH($C253,'Dist Plant Depreciation'!$D$7:$D$94,0),MATCH(Calculation!$G253,'Dist Plant Depreciation'!$E$5:$AD$5,0))</f>
        <v>34373</v>
      </c>
      <c r="BX253" s="118">
        <f>INDEX('Gen. Plant Depreciation'!$E$7:$AD$94,MATCH($C253,'Gen. Plant Depreciation'!$D$7:$D$94,0),MATCH(Calculation!$G253,'Gen. Plant Depreciation'!$E$5:$AD$5,0))</f>
        <v>636</v>
      </c>
      <c r="BY253" s="118"/>
      <c r="BZ253" s="118"/>
      <c r="CA253" s="118"/>
      <c r="CB253" s="118"/>
      <c r="CC253" s="118"/>
      <c r="CD253" s="118"/>
      <c r="CE253" s="118">
        <f>INDEX('Gross Dx Plant'!$E$7:$AD$91,MATCH($C253,'Gross Dx Plant'!$D$7:$D$91,0),MATCH(Calculation!$G253,'Gross Dx Plant'!$E$5:$AD$5,0))</f>
        <v>121513</v>
      </c>
      <c r="CF253" s="118">
        <f>INDEX('Gross Gen Plant'!$E$7:$AD$91,MATCH($C253,'Gross Gen Plant'!$D$7:$D$91,0),MATCH(Calculation!$G253,'Gross Gen Plant'!$E$5:$AD$5,0))</f>
        <v>0</v>
      </c>
      <c r="CG253" s="118">
        <f t="shared" si="637"/>
        <v>86504</v>
      </c>
      <c r="CH253" s="118"/>
      <c r="CI253" s="121">
        <v>1999</v>
      </c>
      <c r="CJ253" s="118"/>
      <c r="CK253" s="118"/>
      <c r="CL253" s="118"/>
      <c r="CM253" s="183"/>
      <c r="CN253" s="118">
        <f t="shared" ref="CN253:CN273" si="673">+BT253+BS253</f>
        <v>6332</v>
      </c>
      <c r="CO253" s="118">
        <f t="shared" ref="CO253:CO275" si="674">+CN253/$DM253</f>
        <v>18.883173521608246</v>
      </c>
      <c r="CP253" s="186">
        <v>0.99502487562189057</v>
      </c>
      <c r="CQ253" s="118">
        <f>+CQ252*CP253+CO253</f>
        <v>426.30585505094001</v>
      </c>
      <c r="CR253" s="119">
        <f t="shared" ref="CR253:CR274" si="675">LN(CQ253/CQ252)</f>
        <v>4.0318340644652173E-2</v>
      </c>
      <c r="CS253" s="119"/>
      <c r="CT253" s="177">
        <f t="shared" ref="CT253:CT275" si="676">+(CQ252-CQ253+CO253)/CQ252</f>
        <v>4.9751243781094578E-3</v>
      </c>
      <c r="CU253" s="177"/>
      <c r="CV253" s="119">
        <f>VLOOKUP($H253,RoR!$E:$F,2,FALSE)</f>
        <v>7.0416666666666669E-2</v>
      </c>
      <c r="CW253" s="177">
        <v>1.4335631817396832E-2</v>
      </c>
      <c r="CX253" s="177">
        <f>+CV253-CW253</f>
        <v>5.6081034849269837E-2</v>
      </c>
      <c r="CY253" s="177"/>
      <c r="CZ253" s="177"/>
      <c r="DA253" s="187">
        <f t="shared" ref="DA253:DA275" si="677">1-DF253*DG253</f>
        <v>0.85131374874999999</v>
      </c>
      <c r="DB253" s="188">
        <f t="shared" ref="DB253:DB275" si="678">2/(DK253*39)</f>
        <v>0.72826581702321336</v>
      </c>
      <c r="DC253" s="188">
        <f t="shared" ref="DC253:DC275" si="679">+(DK253*40-(1+DK253))/(DK253*40)</f>
        <v>0.61997041420118348</v>
      </c>
      <c r="DD253" s="188">
        <f t="shared" ref="DD253:DD275" si="680">+(1-(1/(1+DK253)^40))</f>
        <v>0.93425155319585029</v>
      </c>
      <c r="DE253" s="188">
        <f t="shared" ref="DE253:DE275" si="681">+DD253*DC253*DB253</f>
        <v>0.42181762214141483</v>
      </c>
      <c r="DF253" s="189">
        <f>INDEX('State Tax Lookup'!$D$7:$Z$91,MATCH(Calculation!$C253,'State Tax Lookup'!$B$7:$B$91,0),MATCH($H253,'State Tax Lookup'!$D$6:$Z$6,0))</f>
        <v>0.39649667</v>
      </c>
      <c r="DG253" s="189">
        <v>0.375</v>
      </c>
      <c r="DH253" s="190"/>
      <c r="DI253" s="190"/>
      <c r="DJ253" s="177"/>
      <c r="DK253" s="189">
        <f>VLOOKUP($H253,RoR!$E:$F,2,FALSE)</f>
        <v>7.0416666666666669E-2</v>
      </c>
      <c r="DL253" s="191">
        <f>HLOOKUP($H253,'GDP-PI'!$D$8:$CQ$11,3,FALSE)</f>
        <v>1.4335631817396832E-2</v>
      </c>
      <c r="DM253" s="189">
        <f>VLOOKUP(H253,'HW Dx Data'!$E:$F,2,FALSE)</f>
        <v>335.32499146683239</v>
      </c>
      <c r="DN253" s="183" t="e">
        <f>VLOOKUP(H253,'ECI - Input Price'!$G$17:$H$37,2,FALSE)</f>
        <v>#N/A</v>
      </c>
      <c r="DO253" s="177"/>
      <c r="DP253" s="183">
        <f>HLOOKUP(H253,'GDP-PI'!$8:$9,2,FALSE)</f>
        <v>76.346000000000004</v>
      </c>
    </row>
    <row r="254" spans="1:121" s="167" customFormat="1" ht="21" x14ac:dyDescent="0.35">
      <c r="A254" s="167" t="s">
        <v>41</v>
      </c>
      <c r="B254" s="168" t="s">
        <v>41</v>
      </c>
      <c r="C254" s="168">
        <v>4057076</v>
      </c>
      <c r="D254" s="168" t="s">
        <v>136</v>
      </c>
      <c r="E254" s="168" t="s">
        <v>126</v>
      </c>
      <c r="F254" s="168"/>
      <c r="G254" s="168" t="s">
        <v>6</v>
      </c>
      <c r="H254" s="169">
        <v>2000</v>
      </c>
      <c r="I254" s="170"/>
      <c r="J254" s="166"/>
      <c r="K254" s="166"/>
      <c r="L254" s="166"/>
      <c r="M254" s="166"/>
      <c r="N254" s="196"/>
      <c r="O254" s="166"/>
      <c r="P254" s="166"/>
      <c r="Q254" s="166"/>
      <c r="R254" s="166"/>
      <c r="S254" s="166"/>
      <c r="T254" s="166"/>
      <c r="U254" s="166"/>
      <c r="V254" s="166">
        <f t="shared" si="671"/>
        <v>0</v>
      </c>
      <c r="W254" s="170"/>
      <c r="X254" s="174">
        <v>445.83966631603175</v>
      </c>
      <c r="Y254" s="175">
        <v>4.4802336566529814E-2</v>
      </c>
      <c r="Z254" s="175"/>
      <c r="AA254" s="175"/>
      <c r="AB254" s="175"/>
      <c r="AC254" s="170">
        <f t="shared" ref="AC254:AC317" si="682">+J254+P254+V254</f>
        <v>0</v>
      </c>
      <c r="AD254" s="175"/>
      <c r="AE254" s="170"/>
      <c r="AF254" s="170"/>
      <c r="AG254" s="174"/>
      <c r="AH254" s="175"/>
      <c r="AI254" s="175"/>
      <c r="AJ254" s="174"/>
      <c r="AK254" s="174"/>
      <c r="AL254" s="120"/>
      <c r="AM254" s="120"/>
      <c r="AN254" s="120"/>
      <c r="AO254" s="120"/>
      <c r="AP254" s="120"/>
      <c r="AQ254" s="175"/>
      <c r="AR254" s="120"/>
      <c r="AS254" s="120"/>
      <c r="AT254" s="120"/>
      <c r="AU254" s="120"/>
      <c r="AV254" s="120"/>
      <c r="AW254" s="120"/>
      <c r="AX254" s="120"/>
      <c r="AY254" s="120"/>
      <c r="AZ254" s="118">
        <f>IFERROR(INDEX('Total Customers'!$F$7:$AB$91,MATCH($C254,'Total Customers'!$D$7:$D$91,0),MATCH($G254,'Total Customers'!$F$5:$AB$5,0)),"NA")</f>
        <v>63852</v>
      </c>
      <c r="BA254" s="119">
        <f t="shared" si="672"/>
        <v>1.9722758281321445E-2</v>
      </c>
      <c r="BB254" s="119"/>
      <c r="BC254" s="121"/>
      <c r="BD254" s="119"/>
      <c r="BE254" s="119"/>
      <c r="BF254" s="119"/>
      <c r="BG254" s="173"/>
      <c r="BH254" s="173"/>
      <c r="BI254" s="173"/>
      <c r="BJ254" s="173"/>
      <c r="BK254" s="173"/>
      <c r="BL254" s="173"/>
      <c r="BM254" s="173"/>
      <c r="BN254" s="173"/>
      <c r="BO254" s="173"/>
      <c r="BP254" s="173"/>
      <c r="BQ254" s="118"/>
      <c r="BR254" s="118"/>
      <c r="BS254" s="118">
        <f>INDEX('Dist. Plant Gas Additions'!$F$7:$AE$91,MATCH($C254,'Dist. Plant Gas Additions'!$D$7:$D$91,0),MATCH(Calculation!$G254,'Dist. Plant Gas Additions'!$F$5:$AE$5,0))</f>
        <v>7529</v>
      </c>
      <c r="BT254" s="118">
        <f>INDEX('Gen. Plant Additions'!$F$7:$AE$91,MATCH($C254,'Gen. Plant Additions'!$D$7:$D$91,0),MATCH(Calculation!$G254,'Gen. Plant Additions'!$F$5:$AE$5,0))</f>
        <v>0</v>
      </c>
      <c r="BU254" s="118"/>
      <c r="BV254" s="118"/>
      <c r="BW254" s="118">
        <f>INDEX('Dist Plant Depreciation'!$E$7:$AD$94,MATCH($C254,'Dist Plant Depreciation'!$D$7:$D$94,0),MATCH(Calculation!$G254,'Dist Plant Depreciation'!$E$5:$AD$5,0))</f>
        <v>36972</v>
      </c>
      <c r="BX254" s="118">
        <f>INDEX('Gen. Plant Depreciation'!$E$7:$AD$94,MATCH($C254,'Gen. Plant Depreciation'!$D$7:$D$94,0),MATCH(Calculation!$G254,'Gen. Plant Depreciation'!$E$5:$AD$5,0))</f>
        <v>328</v>
      </c>
      <c r="BY254" s="118"/>
      <c r="BZ254" s="118"/>
      <c r="CA254" s="118"/>
      <c r="CB254" s="118"/>
      <c r="CC254" s="118"/>
      <c r="CD254" s="118"/>
      <c r="CE254" s="118">
        <f>INDEX('Gross Dx Plant'!$E$7:$AD$91,MATCH($C254,'Gross Dx Plant'!$D$7:$D$91,0),MATCH(Calculation!$G254,'Gross Dx Plant'!$E$5:$AD$5,0))</f>
        <v>128712</v>
      </c>
      <c r="CF254" s="118">
        <f>INDEX('Gross Gen Plant'!$E$7:$AD$91,MATCH($C254,'Gross Gen Plant'!$D$7:$D$91,0),MATCH(Calculation!$G254,'Gross Gen Plant'!$E$5:$AD$5,0))</f>
        <v>0</v>
      </c>
      <c r="CG254" s="118">
        <f t="shared" si="637"/>
        <v>91412</v>
      </c>
      <c r="CH254" s="118"/>
      <c r="CI254" s="121">
        <v>2000</v>
      </c>
      <c r="CJ254" s="118"/>
      <c r="CK254" s="118"/>
      <c r="CL254" s="118"/>
      <c r="CM254" s="183"/>
      <c r="CN254" s="118">
        <f t="shared" si="673"/>
        <v>7529</v>
      </c>
      <c r="CO254" s="118">
        <f t="shared" si="674"/>
        <v>21.726601518984438</v>
      </c>
      <c r="CP254" s="186">
        <v>0.98989898989898994</v>
      </c>
      <c r="CQ254" s="118">
        <f>+CQ252*CP254+CO253*CP253+CO254</f>
        <v>445.83966631603175</v>
      </c>
      <c r="CR254" s="119">
        <f t="shared" si="675"/>
        <v>4.4802336566529814E-2</v>
      </c>
      <c r="CS254" s="119"/>
      <c r="CT254" s="177">
        <f t="shared" si="676"/>
        <v>5.1437019405484721E-3</v>
      </c>
      <c r="CU254" s="177"/>
      <c r="CV254" s="119">
        <f>VLOOKUP($H254,RoR!$E:$F,2,FALSE)</f>
        <v>7.6225000000000001E-2</v>
      </c>
      <c r="CW254" s="177">
        <v>2.2568307442433211E-2</v>
      </c>
      <c r="CX254" s="177">
        <f t="shared" ref="CX254:CX274" si="683">+CV254-CW254</f>
        <v>5.365669255756679E-2</v>
      </c>
      <c r="CY254" s="177"/>
      <c r="CZ254" s="177"/>
      <c r="DA254" s="187">
        <f t="shared" si="677"/>
        <v>0.85131374874999999</v>
      </c>
      <c r="DB254" s="188">
        <f t="shared" si="678"/>
        <v>0.67277207323124022</v>
      </c>
      <c r="DC254" s="188">
        <f t="shared" si="679"/>
        <v>0.6470236142997704</v>
      </c>
      <c r="DD254" s="188">
        <f t="shared" si="680"/>
        <v>0.94704866037543145</v>
      </c>
      <c r="DE254" s="188">
        <f t="shared" si="681"/>
        <v>0.41224973107878493</v>
      </c>
      <c r="DF254" s="189">
        <f>INDEX('State Tax Lookup'!$D$7:$Z$91,MATCH(Calculation!$C254,'State Tax Lookup'!$B$7:$B$91,0),MATCH($H254,'State Tax Lookup'!$D$6:$Z$6,0))</f>
        <v>0.39649667</v>
      </c>
      <c r="DG254" s="189">
        <v>0.375</v>
      </c>
      <c r="DH254" s="190"/>
      <c r="DI254" s="190"/>
      <c r="DJ254" s="177"/>
      <c r="DK254" s="189">
        <f>VLOOKUP($H254,RoR!$E:$F,2,FALSE)</f>
        <v>7.6225000000000001E-2</v>
      </c>
      <c r="DL254" s="191">
        <f>HLOOKUP($H254,'GDP-PI'!$D$8:$CQ$11,3,FALSE)</f>
        <v>2.2568307442433211E-2</v>
      </c>
      <c r="DM254" s="189">
        <f>VLOOKUP(H254,'HW Dx Data'!$E:$F,2,FALSE)</f>
        <v>346.53371782150339</v>
      </c>
      <c r="DN254" s="183" t="e">
        <f>VLOOKUP(H254,'ECI - Input Price'!$G$17:$H$37,2,FALSE)</f>
        <v>#N/A</v>
      </c>
      <c r="DO254" s="177"/>
      <c r="DP254" s="183">
        <f>HLOOKUP(H254,'GDP-PI'!$8:$9,2,FALSE)</f>
        <v>78.069000000000003</v>
      </c>
    </row>
    <row r="255" spans="1:121" s="167" customFormat="1" ht="21" x14ac:dyDescent="0.35">
      <c r="A255" s="167" t="s">
        <v>41</v>
      </c>
      <c r="B255" s="168" t="s">
        <v>41</v>
      </c>
      <c r="C255" s="168">
        <v>4057076</v>
      </c>
      <c r="D255" s="168" t="s">
        <v>136</v>
      </c>
      <c r="E255" s="168" t="s">
        <v>126</v>
      </c>
      <c r="F255" s="168"/>
      <c r="G255" s="168" t="s">
        <v>7</v>
      </c>
      <c r="H255" s="169">
        <v>2001</v>
      </c>
      <c r="I255" s="170"/>
      <c r="J255" s="166"/>
      <c r="K255" s="166"/>
      <c r="L255" s="166"/>
      <c r="M255" s="166"/>
      <c r="N255" s="196"/>
      <c r="O255" s="166"/>
      <c r="P255" s="166"/>
      <c r="Q255" s="166"/>
      <c r="R255" s="166"/>
      <c r="S255" s="166"/>
      <c r="T255" s="166"/>
      <c r="U255" s="166"/>
      <c r="V255" s="166">
        <f t="shared" si="671"/>
        <v>5728.6364531922754</v>
      </c>
      <c r="W255" s="170"/>
      <c r="X255" s="174">
        <v>463.44662168792689</v>
      </c>
      <c r="Y255" s="175">
        <v>3.8731819987564017E-2</v>
      </c>
      <c r="Z255" s="175"/>
      <c r="AA255" s="175"/>
      <c r="AB255" s="175"/>
      <c r="AC255" s="170">
        <f t="shared" si="682"/>
        <v>5728.6364531922754</v>
      </c>
      <c r="AD255" s="175"/>
      <c r="AE255" s="170"/>
      <c r="AF255" s="170"/>
      <c r="AG255" s="174"/>
      <c r="AH255" s="175"/>
      <c r="AI255" s="175"/>
      <c r="AJ255" s="174"/>
      <c r="AK255" s="174"/>
      <c r="AL255" s="120"/>
      <c r="AM255" s="120"/>
      <c r="AN255" s="120"/>
      <c r="AO255" s="120"/>
      <c r="AP255" s="120"/>
      <c r="AQ255" s="175"/>
      <c r="AR255" s="120"/>
      <c r="AS255" s="120"/>
      <c r="AT255" s="120"/>
      <c r="AU255" s="120"/>
      <c r="AV255" s="120"/>
      <c r="AW255" s="120"/>
      <c r="AX255" s="120"/>
      <c r="AY255" s="120"/>
      <c r="AZ255" s="118">
        <f>IFERROR(INDEX('Total Customers'!$F$7:$AB$91,MATCH($C255,'Total Customers'!$D$7:$D$91,0),MATCH($G255,'Total Customers'!$F$5:$AB$5,0)),"NA")</f>
        <v>65784</v>
      </c>
      <c r="BA255" s="119">
        <f t="shared" si="672"/>
        <v>2.98087422663618E-2</v>
      </c>
      <c r="BB255" s="119"/>
      <c r="BC255" s="121"/>
      <c r="BD255" s="119"/>
      <c r="BE255" s="119"/>
      <c r="BF255" s="119"/>
      <c r="BG255" s="173"/>
      <c r="BH255" s="173"/>
      <c r="BI255" s="173"/>
      <c r="BJ255" s="173"/>
      <c r="BK255" s="173"/>
      <c r="BL255" s="173"/>
      <c r="BM255" s="173"/>
      <c r="BN255" s="173"/>
      <c r="BO255" s="173"/>
      <c r="BP255" s="173"/>
      <c r="BQ255" s="118"/>
      <c r="BR255" s="118"/>
      <c r="BS255" s="118">
        <f>INDEX('Dist. Plant Gas Additions'!$F$7:$AE$91,MATCH($C255,'Dist. Plant Gas Additions'!$D$7:$D$91,0),MATCH(Calculation!$G255,'Dist. Plant Gas Additions'!$F$5:$AE$5,0))</f>
        <v>7022</v>
      </c>
      <c r="BT255" s="118">
        <f>INDEX('Gen. Plant Additions'!$F$7:$AE$91,MATCH($C255,'Gen. Plant Additions'!$D$7:$D$91,0),MATCH(Calculation!$G255,'Gen. Plant Additions'!$F$5:$AE$5,0))</f>
        <v>0</v>
      </c>
      <c r="BU255" s="118"/>
      <c r="BV255" s="118"/>
      <c r="BW255" s="118">
        <f>INDEX('Dist Plant Depreciation'!$E$7:$AD$94,MATCH($C255,'Dist Plant Depreciation'!$D$7:$D$94,0),MATCH(Calculation!$G255,'Dist Plant Depreciation'!$E$5:$AD$5,0))</f>
        <v>39224</v>
      </c>
      <c r="BX255" s="118">
        <f>INDEX('Gen. Plant Depreciation'!$E$7:$AD$94,MATCH($C255,'Gen. Plant Depreciation'!$D$7:$D$94,0),MATCH(Calculation!$G255,'Gen. Plant Depreciation'!$E$5:$AD$5,0))</f>
        <v>0</v>
      </c>
      <c r="BY255" s="118"/>
      <c r="BZ255" s="118"/>
      <c r="CA255" s="118"/>
      <c r="CB255" s="118"/>
      <c r="CC255" s="118"/>
      <c r="CD255" s="118"/>
      <c r="CE255" s="118">
        <f>INDEX('Gross Dx Plant'!$E$7:$AD$91,MATCH($C255,'Gross Dx Plant'!$D$7:$D$91,0),MATCH(Calculation!$G255,'Gross Dx Plant'!$E$5:$AD$5,0))</f>
        <v>135245</v>
      </c>
      <c r="CF255" s="118">
        <f>INDEX('Gross Gen Plant'!$E$7:$AD$91,MATCH($C255,'Gross Gen Plant'!$D$7:$D$91,0),MATCH(Calculation!$G255,'Gross Gen Plant'!$E$5:$AD$5,0))</f>
        <v>0</v>
      </c>
      <c r="CG255" s="118">
        <f t="shared" si="637"/>
        <v>96021</v>
      </c>
      <c r="CH255" s="118"/>
      <c r="CI255" s="121">
        <v>2001</v>
      </c>
      <c r="CJ255" s="118"/>
      <c r="CK255" s="118"/>
      <c r="CL255" s="118"/>
      <c r="CM255" s="183"/>
      <c r="CN255" s="118">
        <f t="shared" si="673"/>
        <v>7022</v>
      </c>
      <c r="CO255" s="118">
        <f t="shared" si="674"/>
        <v>19.867172297405613</v>
      </c>
      <c r="CP255" s="186">
        <v>0.98461538461538467</v>
      </c>
      <c r="CQ255" s="118">
        <f>+CQ252*CP255+CO253*CP254+CO254*CP252+CO255</f>
        <v>463.44662168792689</v>
      </c>
      <c r="CR255" s="119">
        <f t="shared" si="675"/>
        <v>3.8731819987564017E-2</v>
      </c>
      <c r="CS255" s="119"/>
      <c r="CT255" s="177">
        <f t="shared" si="676"/>
        <v>5.069573428014203E-3</v>
      </c>
      <c r="CU255" s="177">
        <f>+(CT255+CT254+CT253)/3</f>
        <v>5.0627999155573771E-3</v>
      </c>
      <c r="CV255" s="119">
        <f>VLOOKUP($H255,RoR!$E:$F,2,FALSE)</f>
        <v>7.0824999999999999E-2</v>
      </c>
      <c r="CW255" s="177">
        <v>2.2454495382290052E-2</v>
      </c>
      <c r="CX255" s="177">
        <f t="shared" si="683"/>
        <v>4.8370504617709947E-2</v>
      </c>
      <c r="CY255" s="177">
        <f>+$CX$35-CU255</f>
        <v>2.5839141692976249E-2</v>
      </c>
      <c r="CZ255" s="177">
        <f>+((DM253/DM252-1)+(DM254/DM253-1)+(DM255/DM254-1))/3</f>
        <v>2.3947275901631187E-2</v>
      </c>
      <c r="DA255" s="187">
        <f t="shared" si="677"/>
        <v>0.85131374874999999</v>
      </c>
      <c r="DB255" s="188">
        <f t="shared" si="678"/>
        <v>0.72406708481540816</v>
      </c>
      <c r="DC255" s="188">
        <f t="shared" si="679"/>
        <v>0.62201729615248857</v>
      </c>
      <c r="DD255" s="188">
        <f t="shared" si="680"/>
        <v>0.9352469954311422</v>
      </c>
      <c r="DE255" s="188">
        <f t="shared" si="681"/>
        <v>0.42121864641655071</v>
      </c>
      <c r="DF255" s="189">
        <f>INDEX('State Tax Lookup'!$D$7:$Z$91,MATCH(Calculation!$C255,'State Tax Lookup'!$B$7:$B$91,0),MATCH($H255,'State Tax Lookup'!$D$6:$Z$6,0))</f>
        <v>0.39649667</v>
      </c>
      <c r="DG255" s="189">
        <v>0.375</v>
      </c>
      <c r="DH255" s="190">
        <f t="shared" ref="DH255:DH275" si="684">+(DM255*CY255-CZ255)*DA255/(1-DF255)</f>
        <v>12.849095506750073</v>
      </c>
      <c r="DI255" s="190"/>
      <c r="DJ255" s="177"/>
      <c r="DK255" s="189">
        <f>VLOOKUP($H255,RoR!$E:$F,2,FALSE)</f>
        <v>7.0824999999999999E-2</v>
      </c>
      <c r="DL255" s="191">
        <f>HLOOKUP($H255,'GDP-PI'!$D$8:$CQ$11,3,FALSE)</f>
        <v>2.2454495382290052E-2</v>
      </c>
      <c r="DM255" s="189">
        <f>VLOOKUP(H255,'HW Dx Data'!$E:$F,2,FALSE)</f>
        <v>353.44738017483138</v>
      </c>
      <c r="DN255" s="183">
        <f>VLOOKUP(H255,'ECI - Input Price'!$G$17:$H$37,2,FALSE)</f>
        <v>86.2</v>
      </c>
      <c r="DO255" s="177"/>
      <c r="DP255" s="183">
        <f>HLOOKUP(H255,'GDP-PI'!$8:$9,2,FALSE)</f>
        <v>79.822000000000003</v>
      </c>
    </row>
    <row r="256" spans="1:121" s="167" customFormat="1" ht="21" x14ac:dyDescent="0.35">
      <c r="A256" s="167" t="s">
        <v>41</v>
      </c>
      <c r="B256" s="168" t="s">
        <v>41</v>
      </c>
      <c r="C256" s="168">
        <v>4057076</v>
      </c>
      <c r="D256" s="168" t="s">
        <v>136</v>
      </c>
      <c r="E256" s="168" t="s">
        <v>126</v>
      </c>
      <c r="F256" s="168"/>
      <c r="G256" s="168" t="s">
        <v>8</v>
      </c>
      <c r="H256" s="169">
        <v>2002</v>
      </c>
      <c r="I256" s="170"/>
      <c r="J256" s="166"/>
      <c r="K256" s="166"/>
      <c r="L256" s="166"/>
      <c r="M256" s="166"/>
      <c r="N256" s="196"/>
      <c r="O256" s="166"/>
      <c r="P256" s="166"/>
      <c r="Q256" s="166"/>
      <c r="R256" s="166"/>
      <c r="S256" s="166"/>
      <c r="T256" s="166"/>
      <c r="U256" s="166"/>
      <c r="V256" s="166">
        <f t="shared" si="671"/>
        <v>6029.1380698580488</v>
      </c>
      <c r="W256" s="170"/>
      <c r="X256" s="174">
        <v>485.31957336675146</v>
      </c>
      <c r="Y256" s="175">
        <v>4.611637329737818E-2</v>
      </c>
      <c r="Z256" s="175"/>
      <c r="AA256" s="175"/>
      <c r="AB256" s="175"/>
      <c r="AC256" s="170">
        <f t="shared" si="682"/>
        <v>6029.1380698580488</v>
      </c>
      <c r="AD256" s="175"/>
      <c r="AE256" s="170"/>
      <c r="AF256" s="170"/>
      <c r="AG256" s="174"/>
      <c r="AH256" s="175"/>
      <c r="AI256" s="175"/>
      <c r="AJ256" s="174"/>
      <c r="AK256" s="174"/>
      <c r="AL256" s="120"/>
      <c r="AM256" s="120"/>
      <c r="AN256" s="120"/>
      <c r="AO256" s="120"/>
      <c r="AP256" s="120"/>
      <c r="AQ256" s="175"/>
      <c r="AR256" s="120"/>
      <c r="AS256" s="120"/>
      <c r="AT256" s="120"/>
      <c r="AU256" s="120"/>
      <c r="AV256" s="120"/>
      <c r="AW256" s="120"/>
      <c r="AX256" s="120"/>
      <c r="AY256" s="120"/>
      <c r="AZ256" s="118">
        <f>IFERROR(INDEX('Total Customers'!$F$7:$AB$91,MATCH($C256,'Total Customers'!$D$7:$D$91,0),MATCH($G256,'Total Customers'!$F$5:$AB$5,0)),"NA")</f>
        <v>66757</v>
      </c>
      <c r="BA256" s="119">
        <f t="shared" si="672"/>
        <v>1.4682513027262025E-2</v>
      </c>
      <c r="BB256" s="119"/>
      <c r="BC256" s="121"/>
      <c r="BD256" s="119"/>
      <c r="BE256" s="119"/>
      <c r="BF256" s="119"/>
      <c r="BG256" s="173"/>
      <c r="BH256" s="173"/>
      <c r="BI256" s="173"/>
      <c r="BJ256" s="173"/>
      <c r="BK256" s="173"/>
      <c r="BL256" s="173"/>
      <c r="BM256" s="173"/>
      <c r="BN256" s="173"/>
      <c r="BO256" s="173"/>
      <c r="BP256" s="173"/>
      <c r="BQ256" s="118"/>
      <c r="BR256" s="118"/>
      <c r="BS256" s="118">
        <f>INDEX('Dist. Plant Gas Additions'!$F$7:$AE$91,MATCH($C256,'Dist. Plant Gas Additions'!$D$7:$D$91,0),MATCH(Calculation!$G256,'Dist. Plant Gas Additions'!$F$5:$AE$5,0))</f>
        <v>8861</v>
      </c>
      <c r="BT256" s="118">
        <f>INDEX('Gen. Plant Additions'!$F$7:$AE$91,MATCH($C256,'Gen. Plant Additions'!$D$7:$D$91,0),MATCH(Calculation!$G256,'Gen. Plant Additions'!$F$5:$AE$5,0))</f>
        <v>0</v>
      </c>
      <c r="BU256" s="118"/>
      <c r="BV256" s="118"/>
      <c r="BW256" s="118">
        <f>INDEX('Dist Plant Depreciation'!$E$7:$AD$94,MATCH($C256,'Dist Plant Depreciation'!$D$7:$D$94,0),MATCH(Calculation!$G256,'Dist Plant Depreciation'!$E$5:$AD$5,0))</f>
        <v>41719</v>
      </c>
      <c r="BX256" s="118">
        <f>INDEX('Gen. Plant Depreciation'!$E$7:$AD$94,MATCH($C256,'Gen. Plant Depreciation'!$D$7:$D$94,0),MATCH(Calculation!$G256,'Gen. Plant Depreciation'!$E$5:$AD$5,0))</f>
        <v>0</v>
      </c>
      <c r="BY256" s="118"/>
      <c r="BZ256" s="118"/>
      <c r="CA256" s="118"/>
      <c r="CB256" s="118"/>
      <c r="CC256" s="118"/>
      <c r="CD256" s="118"/>
      <c r="CE256" s="118">
        <f>INDEX('Gross Dx Plant'!$E$7:$AD$91,MATCH($C256,'Gross Dx Plant'!$D$7:$D$91,0),MATCH(Calculation!$G256,'Gross Dx Plant'!$E$5:$AD$5,0))</f>
        <v>143692</v>
      </c>
      <c r="CF256" s="118">
        <f>INDEX('Gross Gen Plant'!$E$7:$AD$91,MATCH($C256,'Gross Gen Plant'!$D$7:$D$91,0),MATCH(Calculation!$G256,'Gross Gen Plant'!$E$5:$AD$5,0))</f>
        <v>0</v>
      </c>
      <c r="CG256" s="118">
        <f t="shared" si="637"/>
        <v>101973</v>
      </c>
      <c r="CH256" s="118"/>
      <c r="CI256" s="121">
        <v>2002</v>
      </c>
      <c r="CJ256" s="118"/>
      <c r="CK256" s="118"/>
      <c r="CL256" s="118"/>
      <c r="CM256" s="183"/>
      <c r="CN256" s="118">
        <f t="shared" si="673"/>
        <v>8861</v>
      </c>
      <c r="CO256" s="118">
        <f t="shared" si="674"/>
        <v>24.522056122790815</v>
      </c>
      <c r="CP256" s="186">
        <v>0.97916666666666663</v>
      </c>
      <c r="CQ256" s="118">
        <f>+CQ252*CP256+CO253*CP255+CO254*CP254+CO255*CP253+CO256</f>
        <v>485.31957336675146</v>
      </c>
      <c r="CR256" s="119">
        <f t="shared" si="675"/>
        <v>4.611637329737818E-2</v>
      </c>
      <c r="CS256" s="119"/>
      <c r="CT256" s="177">
        <f t="shared" si="676"/>
        <v>5.7160939793193507E-3</v>
      </c>
      <c r="CU256" s="177">
        <f t="shared" ref="CU256:CU275" si="685">+(CT256+CT255+CT254)/3</f>
        <v>5.3097897826273428E-3</v>
      </c>
      <c r="CV256" s="119">
        <f>VLOOKUP($H256,RoR!$E:$F,2,FALSE)</f>
        <v>6.4916666666666664E-2</v>
      </c>
      <c r="CW256" s="177">
        <v>1.5246423291824351E-2</v>
      </c>
      <c r="CX256" s="177">
        <f t="shared" si="683"/>
        <v>4.9670243374842313E-2</v>
      </c>
      <c r="CY256" s="177">
        <f t="shared" ref="CY256:CY275" si="686">+$CX$35-CU256</f>
        <v>2.5592151825906281E-2</v>
      </c>
      <c r="CZ256" s="177">
        <f t="shared" ref="CZ256:CZ275" si="687">+((DM254/DM253-1)+(DM255/DM254-1)+(DM256/DM255-1))/3</f>
        <v>2.5243621214759093E-2</v>
      </c>
      <c r="DA256" s="187">
        <f t="shared" si="677"/>
        <v>0.85131374874999999</v>
      </c>
      <c r="DB256" s="188">
        <f t="shared" si="678"/>
        <v>0.78996741384417901</v>
      </c>
      <c r="DC256" s="188">
        <f t="shared" si="679"/>
        <v>0.58989088575096271</v>
      </c>
      <c r="DD256" s="188">
        <f t="shared" si="680"/>
        <v>0.91920675783645744</v>
      </c>
      <c r="DE256" s="188">
        <f t="shared" si="681"/>
        <v>0.42834536472275586</v>
      </c>
      <c r="DF256" s="189">
        <f>INDEX('State Tax Lookup'!$D$7:$Z$91,MATCH(Calculation!$C256,'State Tax Lookup'!$B$7:$B$91,0),MATCH($H256,'State Tax Lookup'!$D$6:$Z$6,0))</f>
        <v>0.39649667</v>
      </c>
      <c r="DG256" s="189">
        <v>0.375</v>
      </c>
      <c r="DH256" s="190">
        <f t="shared" si="684"/>
        <v>13.009347328715487</v>
      </c>
      <c r="DI256" s="190"/>
      <c r="DJ256" s="177"/>
      <c r="DK256" s="189">
        <f>VLOOKUP($H256,RoR!$E:$F,2,FALSE)</f>
        <v>6.4916666666666664E-2</v>
      </c>
      <c r="DL256" s="191">
        <f>HLOOKUP($H256,'GDP-PI'!$D$8:$CQ$11,3,FALSE)</f>
        <v>1.5246423291824351E-2</v>
      </c>
      <c r="DM256" s="189">
        <f>VLOOKUP(H256,'HW Dx Data'!$E:$F,2,FALSE)</f>
        <v>361.34816573413599</v>
      </c>
      <c r="DN256" s="183">
        <f>VLOOKUP(H256,'ECI - Input Price'!$G$17:$H$37,2,FALSE)</f>
        <v>89.275000000000006</v>
      </c>
      <c r="DO256" s="177">
        <f>LN(DN256/DN255)</f>
        <v>3.5051315810864674E-2</v>
      </c>
      <c r="DP256" s="183">
        <f>HLOOKUP(H256,'GDP-PI'!$8:$9,2,FALSE)</f>
        <v>81.039000000000001</v>
      </c>
      <c r="DQ256" s="177">
        <f>LN(DP256/DP255)</f>
        <v>1.513136459537477E-2</v>
      </c>
    </row>
    <row r="257" spans="1:121" s="167" customFormat="1" ht="21" x14ac:dyDescent="0.35">
      <c r="A257" s="167" t="s">
        <v>41</v>
      </c>
      <c r="B257" s="168" t="s">
        <v>41</v>
      </c>
      <c r="C257" s="168">
        <v>4057076</v>
      </c>
      <c r="D257" s="168" t="s">
        <v>136</v>
      </c>
      <c r="E257" s="168" t="s">
        <v>126</v>
      </c>
      <c r="F257" s="168"/>
      <c r="G257" s="168" t="s">
        <v>9</v>
      </c>
      <c r="H257" s="169">
        <v>2003</v>
      </c>
      <c r="I257" s="170"/>
      <c r="J257" s="166"/>
      <c r="K257" s="166"/>
      <c r="L257" s="172"/>
      <c r="M257" s="172"/>
      <c r="N257" s="196"/>
      <c r="O257" s="172"/>
      <c r="P257" s="166"/>
      <c r="Q257" s="166"/>
      <c r="R257" s="166"/>
      <c r="S257" s="166"/>
      <c r="T257" s="166"/>
      <c r="U257" s="166"/>
      <c r="V257" s="166">
        <f t="shared" si="671"/>
        <v>6411.5952848644729</v>
      </c>
      <c r="W257" s="170"/>
      <c r="X257" s="174">
        <v>509.82998791315896</v>
      </c>
      <c r="Y257" s="175">
        <v>4.9269725002430355E-2</v>
      </c>
      <c r="Z257" s="175"/>
      <c r="AA257" s="175"/>
      <c r="AB257" s="175"/>
      <c r="AC257" s="170">
        <f t="shared" si="682"/>
        <v>6411.5952848644729</v>
      </c>
      <c r="AD257" s="175"/>
      <c r="AE257" s="170"/>
      <c r="AF257" s="170"/>
      <c r="AG257" s="174"/>
      <c r="AH257" s="175"/>
      <c r="AI257" s="175"/>
      <c r="AJ257" s="174"/>
      <c r="AK257" s="174"/>
      <c r="AL257" s="120"/>
      <c r="AM257" s="120"/>
      <c r="AN257" s="120"/>
      <c r="AO257" s="120"/>
      <c r="AP257" s="120"/>
      <c r="AQ257" s="175"/>
      <c r="AR257" s="120"/>
      <c r="AS257" s="120"/>
      <c r="AT257" s="120"/>
      <c r="AU257" s="120"/>
      <c r="AV257" s="120"/>
      <c r="AW257" s="120"/>
      <c r="AX257" s="120"/>
      <c r="AY257" s="120"/>
      <c r="AZ257" s="118">
        <f>IFERROR(INDEX('Total Customers'!$F$7:$AB$91,MATCH($C257,'Total Customers'!$D$7:$D$91,0),MATCH($G257,'Total Customers'!$F$5:$AB$5,0)),"NA")</f>
        <v>67914</v>
      </c>
      <c r="BA257" s="119">
        <f t="shared" si="672"/>
        <v>1.7183038182481632E-2</v>
      </c>
      <c r="BB257" s="119"/>
      <c r="BC257" s="121"/>
      <c r="BD257" s="119"/>
      <c r="BE257" s="119"/>
      <c r="BF257" s="119"/>
      <c r="BG257" s="173"/>
      <c r="BH257" s="173"/>
      <c r="BI257" s="173"/>
      <c r="BJ257" s="173"/>
      <c r="BK257" s="173"/>
      <c r="BL257" s="173"/>
      <c r="BM257" s="173"/>
      <c r="BN257" s="173"/>
      <c r="BO257" s="173"/>
      <c r="BP257" s="173"/>
      <c r="BQ257" s="118"/>
      <c r="BR257" s="118"/>
      <c r="BS257" s="118">
        <f>INDEX('Dist. Plant Gas Additions'!$F$7:$AE$91,MATCH($C257,'Dist. Plant Gas Additions'!$D$7:$D$91,0),MATCH(Calculation!$G257,'Dist. Plant Gas Additions'!$F$5:$AE$5,0))</f>
        <v>10063</v>
      </c>
      <c r="BT257" s="118">
        <f>INDEX('Gen. Plant Additions'!$F$7:$AE$91,MATCH($C257,'Gen. Plant Additions'!$D$7:$D$91,0),MATCH(Calculation!$G257,'Gen. Plant Additions'!$F$5:$AE$5,0))</f>
        <v>0</v>
      </c>
      <c r="BU257" s="118"/>
      <c r="BV257" s="118"/>
      <c r="BW257" s="118">
        <f>INDEX('Dist Plant Depreciation'!$E$7:$AD$94,MATCH($C257,'Dist Plant Depreciation'!$D$7:$D$94,0),MATCH(Calculation!$G257,'Dist Plant Depreciation'!$E$5:$AD$5,0))</f>
        <v>44335</v>
      </c>
      <c r="BX257" s="118">
        <f>INDEX('Gen. Plant Depreciation'!$E$7:$AD$94,MATCH($C257,'Gen. Plant Depreciation'!$D$7:$D$94,0),MATCH(Calculation!$G257,'Gen. Plant Depreciation'!$E$5:$AD$5,0))</f>
        <v>0</v>
      </c>
      <c r="BY257" s="118"/>
      <c r="BZ257" s="118"/>
      <c r="CA257" s="118"/>
      <c r="CB257" s="118"/>
      <c r="CC257" s="118"/>
      <c r="CD257" s="118"/>
      <c r="CE257" s="118">
        <f>INDEX('Gross Dx Plant'!$E$7:$AD$91,MATCH($C257,'Gross Dx Plant'!$D$7:$D$91,0),MATCH(Calculation!$G257,'Gross Dx Plant'!$E$5:$AD$5,0))</f>
        <v>153214</v>
      </c>
      <c r="CF257" s="118">
        <f>INDEX('Gross Gen Plant'!$E$7:$AD$91,MATCH($C257,'Gross Gen Plant'!$D$7:$D$91,0),MATCH(Calculation!$G257,'Gross Gen Plant'!$E$5:$AD$5,0))</f>
        <v>0</v>
      </c>
      <c r="CG257" s="118">
        <f t="shared" si="637"/>
        <v>108879</v>
      </c>
      <c r="CH257" s="118"/>
      <c r="CI257" s="121">
        <v>2003</v>
      </c>
      <c r="CJ257" s="118"/>
      <c r="CK257" s="118"/>
      <c r="CL257" s="118"/>
      <c r="CM257" s="183"/>
      <c r="CN257" s="118">
        <f t="shared" si="673"/>
        <v>10063</v>
      </c>
      <c r="CO257" s="118">
        <f t="shared" si="674"/>
        <v>27.253792866342646</v>
      </c>
      <c r="CP257" s="186">
        <v>0.97354497354497349</v>
      </c>
      <c r="CQ257" s="118">
        <f>+CQ252*CP257+CO253*CP256+CO254*CP255+CO255*CP254+CO256*CP253+CO257</f>
        <v>509.82998791315896</v>
      </c>
      <c r="CR257" s="119">
        <f t="shared" si="675"/>
        <v>4.9269725002430355E-2</v>
      </c>
      <c r="CS257" s="119"/>
      <c r="CT257" s="177">
        <f t="shared" si="676"/>
        <v>5.6527254833424944E-3</v>
      </c>
      <c r="CU257" s="177">
        <f t="shared" si="685"/>
        <v>5.4794642968920169E-3</v>
      </c>
      <c r="CV257" s="119">
        <f>VLOOKUP($H257,RoR!$E:$F,2,FALSE)</f>
        <v>5.6666666666666671E-2</v>
      </c>
      <c r="CW257" s="177">
        <v>1.8855119140166909E-2</v>
      </c>
      <c r="CX257" s="177">
        <f t="shared" si="683"/>
        <v>3.7811547526499761E-2</v>
      </c>
      <c r="CY257" s="177">
        <f t="shared" si="686"/>
        <v>2.5422477311641607E-2</v>
      </c>
      <c r="CZ257" s="177">
        <f t="shared" si="687"/>
        <v>2.1375012817671957E-2</v>
      </c>
      <c r="DA257" s="187">
        <f t="shared" si="677"/>
        <v>0.85131374874999999</v>
      </c>
      <c r="DB257" s="188">
        <f t="shared" si="678"/>
        <v>0.90497737556561086</v>
      </c>
      <c r="DC257" s="188">
        <f t="shared" si="679"/>
        <v>0.5338235294117647</v>
      </c>
      <c r="DD257" s="188">
        <f t="shared" si="680"/>
        <v>0.88972433127405692</v>
      </c>
      <c r="DE257" s="188">
        <f t="shared" si="681"/>
        <v>0.42982423775949252</v>
      </c>
      <c r="DF257" s="189">
        <f>INDEX('State Tax Lookup'!$D$7:$Z$91,MATCH(Calculation!$C257,'State Tax Lookup'!$B$7:$B$91,0),MATCH($H257,'State Tax Lookup'!$D$6:$Z$6,0))</f>
        <v>0.39649667</v>
      </c>
      <c r="DG257" s="189">
        <v>0.375</v>
      </c>
      <c r="DH257" s="190">
        <f t="shared" si="684"/>
        <v>13.211079125422561</v>
      </c>
      <c r="DI257" s="190"/>
      <c r="DJ257" s="177"/>
      <c r="DK257" s="189">
        <f>VLOOKUP($H257,RoR!$E:$F,2,FALSE)</f>
        <v>5.6666666666666671E-2</v>
      </c>
      <c r="DL257" s="191">
        <f>HLOOKUP($H257,'GDP-PI'!$D$8:$CQ$11,3,FALSE)</f>
        <v>1.8855119140166909E-2</v>
      </c>
      <c r="DM257" s="189">
        <f>VLOOKUP(H257,'HW Dx Data'!$E:$F,2,FALSE)</f>
        <v>369.23301095560191</v>
      </c>
      <c r="DN257" s="183">
        <f>VLOOKUP(H257,'ECI - Input Price'!$G$17:$H$37,2,FALSE)</f>
        <v>92.625</v>
      </c>
      <c r="DO257" s="177">
        <f t="shared" ref="DO257" si="688">LN(DN257/DN256)</f>
        <v>3.6837590135738785E-2</v>
      </c>
      <c r="DP257" s="183">
        <f>HLOOKUP(H257,'GDP-PI'!$8:$9,2,FALSE)</f>
        <v>82.566999999999993</v>
      </c>
      <c r="DQ257" s="177">
        <f t="shared" ref="DQ257" si="689">LN(DP257/DP256)</f>
        <v>1.8679564681853753E-2</v>
      </c>
    </row>
    <row r="258" spans="1:121" s="167" customFormat="1" ht="21" x14ac:dyDescent="0.35">
      <c r="A258" s="167" t="s">
        <v>41</v>
      </c>
      <c r="B258" s="168" t="s">
        <v>41</v>
      </c>
      <c r="C258" s="168">
        <v>4057076</v>
      </c>
      <c r="D258" s="168" t="s">
        <v>136</v>
      </c>
      <c r="E258" s="168" t="s">
        <v>126</v>
      </c>
      <c r="F258" s="168"/>
      <c r="G258" s="168" t="s">
        <v>10</v>
      </c>
      <c r="H258" s="169">
        <v>2004</v>
      </c>
      <c r="I258" s="170"/>
      <c r="J258" s="166"/>
      <c r="K258" s="166">
        <f t="shared" ref="K258:K275" si="690">+J258/DN258</f>
        <v>0</v>
      </c>
      <c r="L258" s="172"/>
      <c r="M258" s="172"/>
      <c r="N258" s="196"/>
      <c r="O258" s="172"/>
      <c r="P258" s="166"/>
      <c r="Q258" s="166">
        <f t="shared" ref="Q258:Q275" si="691">+P258/DP258</f>
        <v>0</v>
      </c>
      <c r="R258" s="166"/>
      <c r="S258" s="166"/>
      <c r="T258" s="166"/>
      <c r="U258" s="166"/>
      <c r="V258" s="166">
        <f t="shared" si="671"/>
        <v>7470.6749755459477</v>
      </c>
      <c r="W258" s="170"/>
      <c r="X258" s="174">
        <v>544.79628392057282</v>
      </c>
      <c r="Y258" s="175">
        <v>6.6334620705016709E-2</v>
      </c>
      <c r="Z258" s="175"/>
      <c r="AA258" s="175"/>
      <c r="AB258" s="175"/>
      <c r="AC258" s="170">
        <f t="shared" si="682"/>
        <v>7470.6749755459477</v>
      </c>
      <c r="AD258" s="175"/>
      <c r="AE258" s="170"/>
      <c r="AF258" s="170"/>
      <c r="AG258" s="174"/>
      <c r="AH258" s="175"/>
      <c r="AI258" s="175"/>
      <c r="AJ258" s="174"/>
      <c r="AK258" s="174"/>
      <c r="AL258" s="120">
        <f t="shared" ref="AL258:AL275" si="692">+J258/AC258</f>
        <v>0</v>
      </c>
      <c r="AM258" s="120">
        <f t="shared" ref="AM258:AM275" si="693">+P258/AC258</f>
        <v>0</v>
      </c>
      <c r="AN258" s="120">
        <f t="shared" ref="AN258:AN275" si="694">+V258/AC258</f>
        <v>1</v>
      </c>
      <c r="AO258" s="120"/>
      <c r="AP258" s="120"/>
      <c r="AQ258" s="175"/>
      <c r="AR258" s="120"/>
      <c r="AS258" s="120"/>
      <c r="AT258" s="120"/>
      <c r="AU258" s="120"/>
      <c r="AV258" s="120"/>
      <c r="AW258" s="120"/>
      <c r="AX258" s="120"/>
      <c r="AY258" s="120"/>
      <c r="AZ258" s="118">
        <f>IFERROR(INDEX('Total Customers'!$F$7:$AB$91,MATCH($C258,'Total Customers'!$D$7:$D$91,0),MATCH($G258,'Total Customers'!$F$5:$AB$5,0)),"NA")</f>
        <v>69081</v>
      </c>
      <c r="BA258" s="119">
        <f t="shared" si="672"/>
        <v>1.703753026525387E-2</v>
      </c>
      <c r="BB258" s="119"/>
      <c r="BC258" s="121"/>
      <c r="BD258" s="119"/>
      <c r="BE258" s="119"/>
      <c r="BF258" s="119"/>
      <c r="BG258" s="173"/>
      <c r="BH258" s="173"/>
      <c r="BI258" s="173"/>
      <c r="BJ258" s="173"/>
      <c r="BK258" s="173"/>
      <c r="BL258" s="173"/>
      <c r="BM258" s="173"/>
      <c r="BN258" s="173"/>
      <c r="BO258" s="173"/>
      <c r="BP258" s="173"/>
      <c r="BQ258" s="118"/>
      <c r="BR258" s="118"/>
      <c r="BS258" s="118">
        <f>INDEX('Dist. Plant Gas Additions'!$F$7:$AE$91,MATCH($C258,'Dist. Plant Gas Additions'!$D$7:$D$91,0),MATCH(Calculation!$G258,'Dist. Plant Gas Additions'!$F$5:$AE$5,0))</f>
        <v>15738</v>
      </c>
      <c r="BT258" s="118">
        <f>INDEX('Gen. Plant Additions'!$F$7:$AE$91,MATCH($C258,'Gen. Plant Additions'!$D$7:$D$91,0),MATCH(Calculation!$G258,'Gen. Plant Additions'!$F$5:$AE$5,0))</f>
        <v>0</v>
      </c>
      <c r="BU258" s="118"/>
      <c r="BV258" s="118"/>
      <c r="BW258" s="118">
        <f>INDEX('Dist Plant Depreciation'!$E$7:$AD$94,MATCH($C258,'Dist Plant Depreciation'!$D$7:$D$94,0),MATCH(Calculation!$G258,'Dist Plant Depreciation'!$E$5:$AD$5,0))</f>
        <v>46729</v>
      </c>
      <c r="BX258" s="118">
        <f>INDEX('Gen. Plant Depreciation'!$E$7:$AD$94,MATCH($C258,'Gen. Plant Depreciation'!$D$7:$D$94,0),MATCH(Calculation!$G258,'Gen. Plant Depreciation'!$E$5:$AD$5,0))</f>
        <v>0</v>
      </c>
      <c r="BY258" s="118"/>
      <c r="BZ258" s="118"/>
      <c r="CA258" s="118"/>
      <c r="CB258" s="118"/>
      <c r="CC258" s="118"/>
      <c r="CD258" s="118"/>
      <c r="CE258" s="118">
        <f>INDEX('Gross Dx Plant'!$E$7:$AD$91,MATCH($C258,'Gross Dx Plant'!$D$7:$D$91,0),MATCH(Calculation!$G258,'Gross Dx Plant'!$E$5:$AD$5,0))</f>
        <v>168147</v>
      </c>
      <c r="CF258" s="118">
        <f>INDEX('Gross Gen Plant'!$E$7:$AD$91,MATCH($C258,'Gross Gen Plant'!$D$7:$D$91,0),MATCH(Calculation!$G258,'Gross Gen Plant'!$E$5:$AD$5,0))</f>
        <v>0</v>
      </c>
      <c r="CG258" s="118">
        <f t="shared" si="637"/>
        <v>121418</v>
      </c>
      <c r="CH258" s="118"/>
      <c r="CI258" s="121">
        <v>2004</v>
      </c>
      <c r="CJ258" s="118"/>
      <c r="CK258" s="118"/>
      <c r="CL258" s="118"/>
      <c r="CM258" s="183"/>
      <c r="CN258" s="118">
        <f t="shared" si="673"/>
        <v>15738</v>
      </c>
      <c r="CO258" s="118">
        <f t="shared" si="674"/>
        <v>37.933202875469718</v>
      </c>
      <c r="CP258" s="186">
        <v>0.967741935483871</v>
      </c>
      <c r="CQ258" s="118">
        <f>+CQ252*CP258+CO253*CP257+CO254*CP256+CO255*CP255+CO256*CP254+CO257*CP253+CO258</f>
        <v>544.79628392057282</v>
      </c>
      <c r="CR258" s="119">
        <f t="shared" si="675"/>
        <v>6.6334620705016709E-2</v>
      </c>
      <c r="CS258" s="119"/>
      <c r="CT258" s="177">
        <f t="shared" si="676"/>
        <v>5.8194043865486024E-3</v>
      </c>
      <c r="CU258" s="177">
        <f t="shared" si="685"/>
        <v>5.7294079497368158E-3</v>
      </c>
      <c r="CV258" s="119">
        <f>VLOOKUP($H258,RoR!$E:$F,2,FALSE)</f>
        <v>5.6283333333333331E-2</v>
      </c>
      <c r="CW258" s="177">
        <v>2.6778252812867276E-2</v>
      </c>
      <c r="CX258" s="177">
        <f t="shared" si="683"/>
        <v>2.9505080520466055E-2</v>
      </c>
      <c r="CY258" s="177">
        <f t="shared" si="686"/>
        <v>2.5172533658796809E-2</v>
      </c>
      <c r="CZ258" s="177">
        <f t="shared" si="687"/>
        <v>5.5940039414565046E-2</v>
      </c>
      <c r="DA258" s="187">
        <f t="shared" si="677"/>
        <v>0.85131374874999999</v>
      </c>
      <c r="DB258" s="188">
        <f t="shared" si="678"/>
        <v>0.91114097628755619</v>
      </c>
      <c r="DC258" s="188">
        <f t="shared" si="679"/>
        <v>0.53081877405981637</v>
      </c>
      <c r="DD258" s="188">
        <f t="shared" si="680"/>
        <v>0.88811215519385678</v>
      </c>
      <c r="DE258" s="188">
        <f t="shared" si="681"/>
        <v>0.42953609753547711</v>
      </c>
      <c r="DF258" s="189">
        <f>INDEX('State Tax Lookup'!$D$7:$Z$91,MATCH(Calculation!$C258,'State Tax Lookup'!$B$7:$B$91,0),MATCH($H258,'State Tax Lookup'!$D$6:$Z$6,0))</f>
        <v>0.39649667</v>
      </c>
      <c r="DG258" s="189">
        <v>0.375</v>
      </c>
      <c r="DH258" s="190">
        <f t="shared" si="684"/>
        <v>14.653267074628125</v>
      </c>
      <c r="DI258" s="190"/>
      <c r="DJ258" s="177"/>
      <c r="DK258" s="189">
        <f>VLOOKUP($H258,RoR!$E:$F,2,FALSE)</f>
        <v>5.6283333333333331E-2</v>
      </c>
      <c r="DL258" s="191">
        <f>HLOOKUP($H258,'GDP-PI'!$D$8:$CQ$11,3,FALSE)</f>
        <v>2.6778252812867276E-2</v>
      </c>
      <c r="DM258" s="189">
        <f>VLOOKUP(H258,'HW Dx Data'!$E:$F,2,FALSE)</f>
        <v>414.88719135228365</v>
      </c>
      <c r="DN258" s="183">
        <f>VLOOKUP(H258,'ECI - Input Price'!$G$17:$H$37,2,FALSE)</f>
        <v>96.174999999999997</v>
      </c>
      <c r="DO258" s="177">
        <f t="shared" ref="DO258" si="695">LN(DN258/DN257)</f>
        <v>3.7610365022107912E-2</v>
      </c>
      <c r="DP258" s="183">
        <f>HLOOKUP(H258,'GDP-PI'!$8:$9,2,FALSE)</f>
        <v>84.778000000000006</v>
      </c>
      <c r="DQ258" s="177">
        <f t="shared" ref="DQ258" si="696">LN(DP258/DP257)</f>
        <v>2.6425990216022755E-2</v>
      </c>
    </row>
    <row r="259" spans="1:121" s="167" customFormat="1" ht="21" x14ac:dyDescent="0.35">
      <c r="A259" s="167" t="s">
        <v>41</v>
      </c>
      <c r="B259" s="168" t="s">
        <v>41</v>
      </c>
      <c r="C259" s="168">
        <v>4057076</v>
      </c>
      <c r="D259" s="168" t="s">
        <v>136</v>
      </c>
      <c r="E259" s="168" t="s">
        <v>126</v>
      </c>
      <c r="F259" s="168"/>
      <c r="G259" s="168" t="s">
        <v>11</v>
      </c>
      <c r="H259" s="169">
        <v>2005</v>
      </c>
      <c r="I259" s="170"/>
      <c r="J259" s="166">
        <f>IFERROR(INDEX('Labor Expenditures'!$F$7:$X$91,MATCH($C259,'Labor Expenditures'!$D$7:$D$91,0),MATCH($G259,'Labor Expenditures'!$F$5:$X$5,0)),"NA")</f>
        <v>5599.9993822991601</v>
      </c>
      <c r="K259" s="166">
        <f t="shared" si="690"/>
        <v>56.480074455866465</v>
      </c>
      <c r="L259" s="172"/>
      <c r="M259" s="172"/>
      <c r="N259" s="196"/>
      <c r="O259" s="172"/>
      <c r="P259" s="166">
        <f>IFERROR(INDEX('Non-Labor Expenditures'!$F$7:$AB$91,MATCH($C259,'Non-Labor Expenditures'!$D$7:$D$91,0),MATCH($G259,'Non-Labor Expenditures'!$F$5:$AB$5,0)),"NA")</f>
        <v>8109.8450411779668</v>
      </c>
      <c r="Q259" s="166">
        <f t="shared" si="691"/>
        <v>92.782557932178975</v>
      </c>
      <c r="R259" s="172"/>
      <c r="S259" s="172"/>
      <c r="T259" s="172"/>
      <c r="U259" s="172"/>
      <c r="V259" s="166">
        <f t="shared" si="671"/>
        <v>8975.6033656607051</v>
      </c>
      <c r="W259" s="170"/>
      <c r="X259" s="174">
        <v>567.8441072225454</v>
      </c>
      <c r="Y259" s="175">
        <v>4.1434988120559166E-2</v>
      </c>
      <c r="Z259" s="175"/>
      <c r="AA259" s="175"/>
      <c r="AB259" s="175"/>
      <c r="AC259" s="170">
        <f t="shared" si="682"/>
        <v>22685.447789137834</v>
      </c>
      <c r="AD259" s="175">
        <f>LN(AC259/AC258)</f>
        <v>1.1107382991237049</v>
      </c>
      <c r="AE259" s="170"/>
      <c r="AF259" s="170"/>
      <c r="AG259" s="121"/>
      <c r="AH259" s="119"/>
      <c r="AI259" s="119"/>
      <c r="AJ259" s="121"/>
      <c r="AK259" s="121"/>
      <c r="AL259" s="120">
        <f t="shared" si="692"/>
        <v>0.24685425804028133</v>
      </c>
      <c r="AM259" s="120">
        <f t="shared" si="693"/>
        <v>0.35749107165788874</v>
      </c>
      <c r="AN259" s="120">
        <f t="shared" si="694"/>
        <v>0.39565467030182988</v>
      </c>
      <c r="AO259" s="120">
        <f>+(((AL259+AL258)/2)*L259+((AM258+AM259)/2)*R259+((AN258+AN259)/2)*Y259)</f>
        <v>2.8914467342179624E-2</v>
      </c>
      <c r="AP259" s="173">
        <v>100</v>
      </c>
      <c r="AQ259" s="175"/>
      <c r="AR259" s="120"/>
      <c r="AS259" s="120"/>
      <c r="AT259" s="120"/>
      <c r="AU259" s="120"/>
      <c r="AV259" s="120"/>
      <c r="AW259" s="120"/>
      <c r="AX259" s="120"/>
      <c r="AY259" s="120"/>
      <c r="AZ259" s="118">
        <f>IFERROR(INDEX('Total Customers'!$F$7:$AB$91,MATCH($C259,'Total Customers'!$D$7:$D$91,0),MATCH($G259,'Total Customers'!$F$5:$AB$5,0)),"NA")</f>
        <v>70714</v>
      </c>
      <c r="BA259" s="119">
        <f t="shared" si="672"/>
        <v>2.3363843957582169E-2</v>
      </c>
      <c r="BB259" s="119"/>
      <c r="BC259" s="121"/>
      <c r="BD259" s="119"/>
      <c r="BE259" s="119"/>
      <c r="BF259" s="119"/>
      <c r="BG259" s="173"/>
      <c r="BH259" s="173"/>
      <c r="BI259" s="173"/>
      <c r="BJ259" s="173"/>
      <c r="BK259" s="173"/>
      <c r="BL259" s="173"/>
      <c r="BM259" s="173"/>
      <c r="BN259" s="173"/>
      <c r="BO259" s="173"/>
      <c r="BP259" s="173"/>
      <c r="BQ259" s="118"/>
      <c r="BR259" s="118"/>
      <c r="BS259" s="118">
        <f>INDEX('Dist. Plant Gas Additions'!$F$7:$AE$91,MATCH($C259,'Dist. Plant Gas Additions'!$D$7:$D$91,0),MATCH(Calculation!$G259,'Dist. Plant Gas Additions'!$F$5:$AE$5,0))</f>
        <v>12340</v>
      </c>
      <c r="BT259" s="118">
        <f>INDEX('Gen. Plant Additions'!$F$7:$AE$91,MATCH($C259,'Gen. Plant Additions'!$D$7:$D$91,0),MATCH(Calculation!$G259,'Gen. Plant Additions'!$F$5:$AE$5,0))</f>
        <v>0</v>
      </c>
      <c r="BU259" s="118"/>
      <c r="BV259" s="118"/>
      <c r="BW259" s="118">
        <f>INDEX('Dist Plant Depreciation'!$E$7:$AD$94,MATCH($C259,'Dist Plant Depreciation'!$D$7:$D$94,0),MATCH(Calculation!$G259,'Dist Plant Depreciation'!$E$5:$AD$5,0))</f>
        <v>49636</v>
      </c>
      <c r="BX259" s="118">
        <f>INDEX('Gen. Plant Depreciation'!$E$7:$AD$94,MATCH($C259,'Gen. Plant Depreciation'!$D$7:$D$94,0),MATCH(Calculation!$G259,'Gen. Plant Depreciation'!$E$5:$AD$5,0))</f>
        <v>0</v>
      </c>
      <c r="BY259" s="118"/>
      <c r="BZ259" s="118"/>
      <c r="CA259" s="118"/>
      <c r="CB259" s="118"/>
      <c r="CC259" s="118"/>
      <c r="CD259" s="118"/>
      <c r="CE259" s="118">
        <f>INDEX('Gross Dx Plant'!$E$7:$AD$91,MATCH($C259,'Gross Dx Plant'!$D$7:$D$91,0),MATCH(Calculation!$G259,'Gross Dx Plant'!$E$5:$AD$5,0))</f>
        <v>179702</v>
      </c>
      <c r="CF259" s="118">
        <f>INDEX('Gross Gen Plant'!$E$7:$AD$91,MATCH($C259,'Gross Gen Plant'!$D$7:$D$91,0),MATCH(Calculation!$G259,'Gross Gen Plant'!$E$5:$AD$5,0))</f>
        <v>0</v>
      </c>
      <c r="CG259" s="118">
        <f t="shared" si="637"/>
        <v>130066</v>
      </c>
      <c r="CH259" s="118"/>
      <c r="CI259" s="121">
        <v>2005</v>
      </c>
      <c r="CJ259" s="118"/>
      <c r="CK259" s="118"/>
      <c r="CL259" s="118"/>
      <c r="CM259" s="183"/>
      <c r="CN259" s="118">
        <f t="shared" si="673"/>
        <v>12340</v>
      </c>
      <c r="CO259" s="118">
        <f t="shared" si="674"/>
        <v>26.299797122452315</v>
      </c>
      <c r="CP259" s="186">
        <v>0.96174863387978138</v>
      </c>
      <c r="CQ259" s="118">
        <f>+CQ252*CP259+CO253*CP258+CO254*CP257+CO255*CP256+CO256*CP255+CO257*CP254+CO258*CP253+CO259</f>
        <v>567.8441072225454</v>
      </c>
      <c r="CR259" s="119">
        <f t="shared" si="675"/>
        <v>4.1434988120559166E-2</v>
      </c>
      <c r="CS259" s="119"/>
      <c r="CT259" s="177">
        <f t="shared" si="676"/>
        <v>5.96915565773911E-3</v>
      </c>
      <c r="CU259" s="177">
        <f t="shared" si="685"/>
        <v>5.8137618425434029E-3</v>
      </c>
      <c r="CV259" s="119">
        <f>VLOOKUP($H259,RoR!$E:$F,2,FALSE)</f>
        <v>5.2350000000000001E-2</v>
      </c>
      <c r="CW259" s="177">
        <v>3.1010403642454332E-2</v>
      </c>
      <c r="CX259" s="177">
        <f t="shared" si="683"/>
        <v>2.1339596357545669E-2</v>
      </c>
      <c r="CY259" s="177">
        <f t="shared" si="686"/>
        <v>2.5088179765990221E-2</v>
      </c>
      <c r="CZ259" s="177">
        <f t="shared" si="687"/>
        <v>9.2129610649277341E-2</v>
      </c>
      <c r="DA259" s="187">
        <f t="shared" si="677"/>
        <v>0.85131374874999999</v>
      </c>
      <c r="DB259" s="188">
        <f t="shared" si="678"/>
        <v>0.97959983346802826</v>
      </c>
      <c r="DC259" s="188">
        <f t="shared" si="679"/>
        <v>0.49744508118433622</v>
      </c>
      <c r="DD259" s="188">
        <f t="shared" si="680"/>
        <v>0.87010519444335932</v>
      </c>
      <c r="DE259" s="188">
        <f t="shared" si="681"/>
        <v>0.42399975420741998</v>
      </c>
      <c r="DF259" s="189">
        <f>INDEX('State Tax Lookup'!$D$7:$Z$91,MATCH(Calculation!$C259,'State Tax Lookup'!$B$7:$B$91,0),MATCH($H259,'State Tax Lookup'!$D$6:$Z$6,0))</f>
        <v>0.39649667</v>
      </c>
      <c r="DG259" s="189">
        <v>0.375</v>
      </c>
      <c r="DH259" s="190">
        <f t="shared" si="684"/>
        <v>16.475155265503389</v>
      </c>
      <c r="DI259" s="190"/>
      <c r="DJ259" s="177"/>
      <c r="DK259" s="189">
        <f>VLOOKUP($H259,RoR!$E:$F,2,FALSE)</f>
        <v>5.2350000000000001E-2</v>
      </c>
      <c r="DL259" s="191">
        <f>HLOOKUP($H259,'GDP-PI'!$D$8:$CQ$11,3,FALSE)</f>
        <v>3.1010403642454332E-2</v>
      </c>
      <c r="DM259" s="189">
        <f>VLOOKUP(H259,'HW Dx Data'!$E:$F,2,FALSE)</f>
        <v>469.20514034936258</v>
      </c>
      <c r="DN259" s="183">
        <f>VLOOKUP(H259,'ECI - Input Price'!$G$17:$H$37,2,FALSE)</f>
        <v>99.15</v>
      </c>
      <c r="DO259" s="177">
        <f t="shared" ref="DO259" si="697">LN(DN259/DN258)</f>
        <v>3.046440632744625E-2</v>
      </c>
      <c r="DP259" s="183">
        <f>HLOOKUP(H259,'GDP-PI'!$8:$9,2,FALSE)</f>
        <v>87.406999999999996</v>
      </c>
      <c r="DQ259" s="177">
        <f t="shared" ref="DQ259" si="698">LN(DP259/DP258)</f>
        <v>3.0539295810733648E-2</v>
      </c>
    </row>
    <row r="260" spans="1:121" s="167" customFormat="1" ht="21" x14ac:dyDescent="0.35">
      <c r="A260" s="167" t="s">
        <v>41</v>
      </c>
      <c r="B260" s="168" t="s">
        <v>41</v>
      </c>
      <c r="C260" s="168">
        <v>4057076</v>
      </c>
      <c r="D260" s="168" t="s">
        <v>136</v>
      </c>
      <c r="E260" s="168" t="s">
        <v>126</v>
      </c>
      <c r="F260" s="168"/>
      <c r="G260" s="168" t="s">
        <v>12</v>
      </c>
      <c r="H260" s="169">
        <v>2006</v>
      </c>
      <c r="I260" s="170"/>
      <c r="J260" s="166">
        <f>IFERROR(INDEX('Labor Expenditures'!$F$7:$X$91,MATCH($C260,'Labor Expenditures'!$D$7:$D$91,0),MATCH($G260,'Labor Expenditures'!$F$5:$X$5,0)),"NA")</f>
        <v>6216.7600738173915</v>
      </c>
      <c r="K260" s="166">
        <f t="shared" si="690"/>
        <v>60.918766034467339</v>
      </c>
      <c r="L260" s="172">
        <f t="shared" ref="L260:L275" si="699">LN(K260/K259)</f>
        <v>7.5653360860348684E-2</v>
      </c>
      <c r="M260" s="172">
        <f t="shared" ref="M260:M275" si="700">+L260*AR260</f>
        <v>2.3169749822260244E-4</v>
      </c>
      <c r="N260" s="196"/>
      <c r="O260" s="172"/>
      <c r="P260" s="166">
        <f>IFERROR(INDEX('Non-Labor Expenditures'!$F$7:$AB$91,MATCH($C260,'Non-Labor Expenditures'!$D$7:$D$91,0),MATCH($G260,'Non-Labor Expenditures'!$F$5:$AB$5,0)),"NA")</f>
        <v>9003.0297175036012</v>
      </c>
      <c r="Q260" s="166">
        <f t="shared" si="691"/>
        <v>99.951481198832084</v>
      </c>
      <c r="R260" s="172">
        <f t="shared" ref="R260:R275" si="701">LN(Q260/Q259)</f>
        <v>7.4426211424942906E-2</v>
      </c>
      <c r="S260" s="172">
        <f>+R260*AR260</f>
        <v>2.2793920578330622E-4</v>
      </c>
      <c r="T260" s="172"/>
      <c r="U260" s="172"/>
      <c r="V260" s="166">
        <f t="shared" si="671"/>
        <v>9141.9386150766295</v>
      </c>
      <c r="W260" s="170"/>
      <c r="X260" s="174">
        <v>591.58583437749394</v>
      </c>
      <c r="Y260" s="175">
        <v>4.0959864019673928E-2</v>
      </c>
      <c r="Z260" s="175">
        <f>+Y260*AR260</f>
        <v>1.2544449992664473E-4</v>
      </c>
      <c r="AA260" s="175"/>
      <c r="AB260" s="175"/>
      <c r="AC260" s="170">
        <f t="shared" si="682"/>
        <v>24361.728406397622</v>
      </c>
      <c r="AD260" s="175">
        <f t="shared" ref="AD260:AD275" si="702">LN(AC260/AC259)</f>
        <v>7.1289740609731783E-2</v>
      </c>
      <c r="AE260" s="170"/>
      <c r="AF260" s="170"/>
      <c r="AG260" s="121">
        <f t="shared" ref="AG260:AG275" si="703">+(AC260*1000)/AZ260</f>
        <v>338.24928712213631</v>
      </c>
      <c r="AH260" s="119">
        <f>+AZ260/$BB$44</f>
        <v>2.0487613915647742E-3</v>
      </c>
      <c r="AI260" s="119">
        <f>+AZ260/$BC$44</f>
        <v>8.7328371190015935E-3</v>
      </c>
      <c r="AJ260" s="176">
        <f>+AH260*AG260</f>
        <v>0.6929920801801408</v>
      </c>
      <c r="AK260" s="176">
        <f>+AI260*AG260</f>
        <v>2.9538759300560198</v>
      </c>
      <c r="AL260" s="120">
        <f t="shared" si="692"/>
        <v>0.25518550942324808</v>
      </c>
      <c r="AM260" s="120">
        <f t="shared" si="693"/>
        <v>0.36955627972354044</v>
      </c>
      <c r="AN260" s="120">
        <f t="shared" si="694"/>
        <v>0.37525821085321143</v>
      </c>
      <c r="AO260" s="120">
        <f>+(((AL260+AL259)/2)*L260+((AM259+AM260)/2)*R260+((AN259+AN260)/2)*Y260)</f>
        <v>6.1834431183574241E-2</v>
      </c>
      <c r="AP260" s="173">
        <f>+AP259*EXP(AO260)</f>
        <v>106.37862003243082</v>
      </c>
      <c r="AQ260" s="175">
        <f>LN(AP260/AP259)</f>
        <v>6.1834431183574304E-2</v>
      </c>
      <c r="AR260" s="177">
        <f>+AC260/$AE$44</f>
        <v>3.0626200288748754E-3</v>
      </c>
      <c r="AS260" s="177">
        <f>+AR260*AQ260</f>
        <v>1.8937536741689984E-4</v>
      </c>
      <c r="AT260" s="177"/>
      <c r="AU260" s="177"/>
      <c r="AV260" s="177"/>
      <c r="AW260" s="190"/>
      <c r="AX260" s="120"/>
      <c r="AY260" s="120"/>
      <c r="AZ260" s="118">
        <f>IFERROR(INDEX('Total Customers'!$F$7:$AB$91,MATCH($C260,'Total Customers'!$D$7:$D$91,0),MATCH($G260,'Total Customers'!$F$5:$AB$5,0)),"NA")</f>
        <v>72023</v>
      </c>
      <c r="BA260" s="119">
        <f t="shared" si="672"/>
        <v>1.8341939347812343E-2</v>
      </c>
      <c r="BB260" s="119"/>
      <c r="BC260" s="121">
        <v>8247377</v>
      </c>
      <c r="BD260" s="119"/>
      <c r="BE260" s="119"/>
      <c r="BF260" s="119"/>
      <c r="BG260" s="173"/>
      <c r="BH260" s="173"/>
      <c r="BI260" s="173"/>
      <c r="BJ260" s="173"/>
      <c r="BK260" s="173"/>
      <c r="BL260" s="173"/>
      <c r="BM260" s="173"/>
      <c r="BN260" s="173"/>
      <c r="BO260" s="173"/>
      <c r="BP260" s="173"/>
      <c r="BQ260" s="118"/>
      <c r="BR260" s="118"/>
      <c r="BS260" s="118">
        <f>INDEX('Dist. Plant Gas Additions'!$F$7:$AE$91,MATCH($C260,'Dist. Plant Gas Additions'!$D$7:$D$91,0),MATCH(Calculation!$G260,'Dist. Plant Gas Additions'!$F$5:$AE$5,0))</f>
        <v>12556</v>
      </c>
      <c r="BT260" s="118">
        <f>INDEX('Gen. Plant Additions'!$F$7:$AE$91,MATCH($C260,'Gen. Plant Additions'!$D$7:$D$91,0),MATCH(Calculation!$G260,'Gen. Plant Additions'!$F$5:$AE$5,0))</f>
        <v>0</v>
      </c>
      <c r="BU260" s="118"/>
      <c r="BV260" s="118"/>
      <c r="BW260" s="118">
        <f>INDEX('Dist Plant Depreciation'!$E$7:$AD$94,MATCH($C260,'Dist Plant Depreciation'!$D$7:$D$94,0),MATCH(Calculation!$G260,'Dist Plant Depreciation'!$E$5:$AD$5,0))</f>
        <v>52862</v>
      </c>
      <c r="BX260" s="118">
        <f>INDEX('Gen. Plant Depreciation'!$E$7:$AD$94,MATCH($C260,'Gen. Plant Depreciation'!$D$7:$D$94,0),MATCH(Calculation!$G260,'Gen. Plant Depreciation'!$E$5:$AD$5,0))</f>
        <v>0</v>
      </c>
      <c r="BY260" s="118"/>
      <c r="BZ260" s="118"/>
      <c r="CA260" s="118"/>
      <c r="CB260" s="118"/>
      <c r="CC260" s="118"/>
      <c r="CD260" s="118"/>
      <c r="CE260" s="118">
        <f>INDEX('Gross Dx Plant'!$E$7:$AD$91,MATCH($C260,'Gross Dx Plant'!$D$7:$D$91,0),MATCH(Calculation!$G260,'Gross Dx Plant'!$E$5:$AD$5,0))</f>
        <v>191746</v>
      </c>
      <c r="CF260" s="118">
        <f>INDEX('Gross Gen Plant'!$E$7:$AD$91,MATCH($C260,'Gross Gen Plant'!$D$7:$D$91,0),MATCH(Calculation!$G260,'Gross Gen Plant'!$E$5:$AD$5,0))</f>
        <v>0</v>
      </c>
      <c r="CG260" s="118">
        <f t="shared" si="637"/>
        <v>138884</v>
      </c>
      <c r="CH260" s="119" t="e">
        <f>SUM(#REF!)/15</f>
        <v>#REF!</v>
      </c>
      <c r="CI260" s="121">
        <v>2006</v>
      </c>
      <c r="CJ260" s="118"/>
      <c r="CK260" s="118"/>
      <c r="CL260" s="118"/>
      <c r="CM260" s="183"/>
      <c r="CN260" s="118">
        <f t="shared" si="673"/>
        <v>12556</v>
      </c>
      <c r="CO260" s="118">
        <f t="shared" si="674"/>
        <v>27.231381807346128</v>
      </c>
      <c r="CP260" s="186">
        <v>0.9555555555555556</v>
      </c>
      <c r="CQ260" s="118">
        <f>+CQ252*CP260+CO253*CP259+CO254*CP258+CO255*CP257+CO256*CP256+CO257*CP255+CO258*CP254+CO259*CP253+CO260</f>
        <v>591.58583437749394</v>
      </c>
      <c r="CR260" s="119">
        <f t="shared" si="675"/>
        <v>4.0959864019673928E-2</v>
      </c>
      <c r="CS260" s="119"/>
      <c r="CT260" s="177">
        <f t="shared" si="676"/>
        <v>6.1454448642009997E-3</v>
      </c>
      <c r="CU260" s="177">
        <f t="shared" si="685"/>
        <v>5.9780016361629038E-3</v>
      </c>
      <c r="CV260" s="119">
        <f>VLOOKUP($H260,RoR!$E:$F,2,FALSE)</f>
        <v>5.5874999999999994E-2</v>
      </c>
      <c r="CW260" s="177">
        <v>3.0512430354548314E-2</v>
      </c>
      <c r="CX260" s="177">
        <f t="shared" si="683"/>
        <v>2.536256964545168E-2</v>
      </c>
      <c r="CY260" s="177">
        <f t="shared" si="686"/>
        <v>2.4923939972370721E-2</v>
      </c>
      <c r="CZ260" s="177">
        <f t="shared" si="687"/>
        <v>7.9087823893859641E-2</v>
      </c>
      <c r="DA260" s="187">
        <f t="shared" si="677"/>
        <v>0.85131374874999999</v>
      </c>
      <c r="DB260" s="188">
        <f t="shared" si="678"/>
        <v>0.91779957551769631</v>
      </c>
      <c r="DC260" s="188">
        <f t="shared" si="679"/>
        <v>0.52757270693512304</v>
      </c>
      <c r="DD260" s="188">
        <f t="shared" si="680"/>
        <v>0.88636824549024895</v>
      </c>
      <c r="DE260" s="188">
        <f t="shared" si="681"/>
        <v>0.42918482841932087</v>
      </c>
      <c r="DF260" s="189">
        <f>INDEX('State Tax Lookup'!$D$7:$Z$91,MATCH(Calculation!$C260,'State Tax Lookup'!$B$7:$B$91,0),MATCH($H260,'State Tax Lookup'!$D$6:$Z$6,0))</f>
        <v>0.39649667</v>
      </c>
      <c r="DG260" s="189">
        <v>0.375</v>
      </c>
      <c r="DH260" s="190">
        <f t="shared" si="684"/>
        <v>16.099380972344555</v>
      </c>
      <c r="DI260" s="190">
        <v>15.648849802338422</v>
      </c>
      <c r="DJ260" s="177"/>
      <c r="DK260" s="189">
        <f>VLOOKUP($H260,RoR!$E:$F,2,FALSE)</f>
        <v>5.5874999999999994E-2</v>
      </c>
      <c r="DL260" s="191">
        <f>HLOOKUP($H260,'GDP-PI'!$D$8:$CQ$11,3,FALSE)</f>
        <v>3.0512430354548314E-2</v>
      </c>
      <c r="DM260" s="189">
        <f>VLOOKUP(H260,'HW Dx Data'!$E:$F,2,FALSE)</f>
        <v>461.08567272971823</v>
      </c>
      <c r="DN260" s="183">
        <f>VLOOKUP(H260,'ECI - Input Price'!$G$17:$H$37,2,FALSE)</f>
        <v>102.05</v>
      </c>
      <c r="DO260" s="177">
        <f t="shared" ref="DO260" si="704">LN(DN260/DN259)</f>
        <v>2.8829034290048662E-2</v>
      </c>
      <c r="DP260" s="183">
        <f>HLOOKUP(H260,'GDP-PI'!$8:$9,2,FALSE)</f>
        <v>90.073999999999998</v>
      </c>
      <c r="DQ260" s="177">
        <f t="shared" ref="DQ260" si="705">LN(DP260/DP259)</f>
        <v>3.005618372545445E-2</v>
      </c>
    </row>
    <row r="261" spans="1:121" s="167" customFormat="1" ht="21" x14ac:dyDescent="0.35">
      <c r="A261" s="167" t="s">
        <v>41</v>
      </c>
      <c r="B261" s="168" t="s">
        <v>41</v>
      </c>
      <c r="C261" s="168">
        <v>4057076</v>
      </c>
      <c r="D261" s="168" t="s">
        <v>136</v>
      </c>
      <c r="E261" s="168" t="s">
        <v>126</v>
      </c>
      <c r="F261" s="168"/>
      <c r="G261" s="168" t="s">
        <v>13</v>
      </c>
      <c r="H261" s="169">
        <v>2007</v>
      </c>
      <c r="I261" s="170"/>
      <c r="J261" s="166">
        <f>IFERROR(INDEX('Labor Expenditures'!$F$7:$X$91,MATCH($C261,'Labor Expenditures'!$D$7:$D$91,0),MATCH($G261,'Labor Expenditures'!$F$5:$X$5,0)),"NA")</f>
        <v>8715.5998550258519</v>
      </c>
      <c r="K261" s="166">
        <f t="shared" si="690"/>
        <v>82.828223853892624</v>
      </c>
      <c r="L261" s="172">
        <f t="shared" si="699"/>
        <v>0.30722759879556255</v>
      </c>
      <c r="M261" s="172">
        <f t="shared" si="700"/>
        <v>1.1544681164560146E-3</v>
      </c>
      <c r="N261" s="196"/>
      <c r="O261" s="172"/>
      <c r="P261" s="166">
        <f>IFERROR(INDEX('Non-Labor Expenditures'!$F$7:$AB$91,MATCH($C261,'Non-Labor Expenditures'!$D$7:$D$91,0),MATCH($G261,'Non-Labor Expenditures'!$F$5:$AB$5,0)),"NA")</f>
        <v>12621.816439585611</v>
      </c>
      <c r="Q261" s="166">
        <f t="shared" si="691"/>
        <v>136.45501999595245</v>
      </c>
      <c r="R261" s="172">
        <f t="shared" si="701"/>
        <v>0.31131015624630515</v>
      </c>
      <c r="S261" s="172">
        <f t="shared" ref="S261:S275" si="706">+R261*AR261</f>
        <v>1.1698091288811989E-3</v>
      </c>
      <c r="T261" s="172"/>
      <c r="U261" s="172"/>
      <c r="V261" s="166">
        <f t="shared" si="671"/>
        <v>10234.597572344483</v>
      </c>
      <c r="W261" s="170"/>
      <c r="X261" s="174">
        <v>612.39765850308459</v>
      </c>
      <c r="Y261" s="175">
        <v>3.4575054345078952E-2</v>
      </c>
      <c r="Z261" s="175">
        <f t="shared" ref="Z261:Z275" si="707">+Y261*AR261</f>
        <v>1.2992256562434899E-4</v>
      </c>
      <c r="AA261" s="175"/>
      <c r="AB261" s="175"/>
      <c r="AC261" s="170">
        <f t="shared" si="682"/>
        <v>31572.013866955946</v>
      </c>
      <c r="AD261" s="175">
        <f t="shared" si="702"/>
        <v>0.25925769809470178</v>
      </c>
      <c r="AE261" s="170"/>
      <c r="AF261" s="170"/>
      <c r="AG261" s="121">
        <f t="shared" si="703"/>
        <v>431.25275053894205</v>
      </c>
      <c r="AH261" s="119">
        <f>+AZ261/$BB$45</f>
        <v>2.0669123729662097E-3</v>
      </c>
      <c r="AI261" s="119">
        <f>+AZ261/$BC$45</f>
        <v>8.941398724949947E-3</v>
      </c>
      <c r="AJ261" s="176">
        <f t="shared" ref="AJ261:AJ275" si="708">+AH261*AG261</f>
        <v>0.89136164596464962</v>
      </c>
      <c r="AK261" s="176">
        <f t="shared" ref="AK261:AK275" si="709">+AI261*AG261</f>
        <v>3.8560027938000538</v>
      </c>
      <c r="AL261" s="120">
        <f t="shared" si="692"/>
        <v>0.27605460620134259</v>
      </c>
      <c r="AM261" s="120">
        <f t="shared" si="693"/>
        <v>0.3997786296678375</v>
      </c>
      <c r="AN261" s="120">
        <f t="shared" si="694"/>
        <v>0.32416676413081991</v>
      </c>
      <c r="AO261" s="120">
        <f t="shared" ref="AO261:AO275" si="710">+(((AL261+AL260)/2)*L261+((AM260+AM261)/2)*R261+((AN260+AN261)/2)*W261)</f>
        <v>0.20135669797779343</v>
      </c>
      <c r="AP261" s="173">
        <f>+AP260*EXP(AO261)</f>
        <v>130.1075368632948</v>
      </c>
      <c r="AQ261" s="175">
        <f>LN(AP261/AP260)</f>
        <v>0.20135669797779343</v>
      </c>
      <c r="AR261" s="177">
        <f>+AC261/$AE$45</f>
        <v>3.7576966424303191E-3</v>
      </c>
      <c r="AS261" s="177">
        <f t="shared" ref="AS261:AS275" si="711">+AR261*AQ261</f>
        <v>7.5663738792201016E-4</v>
      </c>
      <c r="AT261" s="177"/>
      <c r="AU261" s="177"/>
      <c r="AV261" s="177"/>
      <c r="AW261" s="190"/>
      <c r="AX261" s="120"/>
      <c r="AY261" s="120"/>
      <c r="AZ261" s="118">
        <f>IFERROR(INDEX('Total Customers'!$F$7:$AB$91,MATCH($C261,'Total Customers'!$D$7:$D$91,0),MATCH($G261,'Total Customers'!$F$5:$AB$5,0)),"NA")</f>
        <v>73210</v>
      </c>
      <c r="BA261" s="119">
        <f t="shared" si="672"/>
        <v>1.6346511209564745E-2</v>
      </c>
      <c r="BB261" s="119"/>
      <c r="BC261" s="121">
        <v>8187757</v>
      </c>
      <c r="BD261" s="119"/>
      <c r="BE261" s="119"/>
      <c r="BF261" s="119"/>
      <c r="BG261" s="173"/>
      <c r="BH261" s="173"/>
      <c r="BI261" s="173"/>
      <c r="BJ261" s="173"/>
      <c r="BK261" s="173"/>
      <c r="BL261" s="173"/>
      <c r="BM261" s="173"/>
      <c r="BN261" s="173"/>
      <c r="BO261" s="173"/>
      <c r="BP261" s="173"/>
      <c r="BQ261" s="118"/>
      <c r="BR261" s="118"/>
      <c r="BS261" s="118">
        <f>INDEX('Dist. Plant Gas Additions'!$F$7:$AE$91,MATCH($C261,'Dist. Plant Gas Additions'!$D$7:$D$91,0),MATCH(Calculation!$G261,'Dist. Plant Gas Additions'!$F$5:$AE$5,0))</f>
        <v>12228</v>
      </c>
      <c r="BT261" s="118">
        <f>INDEX('Gen. Plant Additions'!$F$7:$AE$91,MATCH($C261,'Gen. Plant Additions'!$D$7:$D$91,0),MATCH(Calculation!$G261,'Gen. Plant Additions'!$F$5:$AE$5,0))</f>
        <v>0</v>
      </c>
      <c r="BU261" s="118"/>
      <c r="BV261" s="118"/>
      <c r="BW261" s="118">
        <f>INDEX('Dist Plant Depreciation'!$E$7:$AD$94,MATCH($C261,'Dist Plant Depreciation'!$D$7:$D$94,0),MATCH(Calculation!$G261,'Dist Plant Depreciation'!$E$5:$AD$5,0))</f>
        <v>53593</v>
      </c>
      <c r="BX261" s="118">
        <f>INDEX('Gen. Plant Depreciation'!$E$7:$AD$94,MATCH($C261,'Gen. Plant Depreciation'!$D$7:$D$94,0),MATCH(Calculation!$G261,'Gen. Plant Depreciation'!$E$5:$AD$5,0))</f>
        <v>0</v>
      </c>
      <c r="BY261" s="118"/>
      <c r="BZ261" s="118"/>
      <c r="CA261" s="118"/>
      <c r="CB261" s="118"/>
      <c r="CC261" s="118"/>
      <c r="CD261" s="118"/>
      <c r="CE261" s="118">
        <f>INDEX('Gross Dx Plant'!$E$7:$AD$91,MATCH($C261,'Gross Dx Plant'!$D$7:$D$91,0),MATCH(Calculation!$G261,'Gross Dx Plant'!$E$5:$AD$5,0))</f>
        <v>200954</v>
      </c>
      <c r="CF261" s="118">
        <f>INDEX('Gross Gen Plant'!$E$7:$AD$91,MATCH($C261,'Gross Gen Plant'!$D$7:$D$91,0),MATCH(Calculation!$G261,'Gross Gen Plant'!$E$5:$AD$5,0))</f>
        <v>0</v>
      </c>
      <c r="CG261" s="118">
        <f t="shared" si="637"/>
        <v>147361</v>
      </c>
      <c r="CH261" s="118"/>
      <c r="CI261" s="121">
        <v>2007</v>
      </c>
      <c r="CJ261" s="118"/>
      <c r="CK261" s="118"/>
      <c r="CL261" s="118"/>
      <c r="CM261" s="183"/>
      <c r="CN261" s="118">
        <f t="shared" si="673"/>
        <v>12228</v>
      </c>
      <c r="CO261" s="118">
        <f t="shared" si="674"/>
        <v>24.553116637517917</v>
      </c>
      <c r="CP261" s="186">
        <v>0.94915254237288138</v>
      </c>
      <c r="CQ261" s="118">
        <f>+CQ252*CP261+CO253*CP260+CO254*CP259+CO255*CP258+CO256*CP257+CO257*CP256+CO258*CP255+CO259*CP254+CO260*CP253+CO261</f>
        <v>612.39765850308459</v>
      </c>
      <c r="CR261" s="119">
        <f t="shared" si="675"/>
        <v>3.4575054345078952E-2</v>
      </c>
      <c r="CS261" s="119"/>
      <c r="CT261" s="177">
        <f t="shared" si="676"/>
        <v>6.3241752836494256E-3</v>
      </c>
      <c r="CU261" s="177">
        <f t="shared" si="685"/>
        <v>6.146258601863179E-3</v>
      </c>
      <c r="CV261" s="119">
        <f>VLOOKUP($H261,RoR!$E:$F,2,FALSE)</f>
        <v>5.5558333333333321E-2</v>
      </c>
      <c r="CW261" s="177">
        <v>2.691120634145272E-2</v>
      </c>
      <c r="CX261" s="177">
        <f t="shared" si="683"/>
        <v>2.86471269918806E-2</v>
      </c>
      <c r="CY261" s="177">
        <f t="shared" si="686"/>
        <v>2.4755683006670446E-2</v>
      </c>
      <c r="CZ261" s="177">
        <f t="shared" si="687"/>
        <v>6.4575155250632399E-2</v>
      </c>
      <c r="DA261" s="187">
        <f t="shared" si="677"/>
        <v>0.85131374874999999</v>
      </c>
      <c r="DB261" s="188">
        <f t="shared" si="678"/>
        <v>0.92303077153834634</v>
      </c>
      <c r="DC261" s="188">
        <f t="shared" si="679"/>
        <v>0.52502249887505614</v>
      </c>
      <c r="DD261" s="188">
        <f t="shared" si="680"/>
        <v>0.88499666072084604</v>
      </c>
      <c r="DE261" s="188">
        <f t="shared" si="681"/>
        <v>0.42887993290280618</v>
      </c>
      <c r="DF261" s="189">
        <f>INDEX('State Tax Lookup'!$D$7:$Z$91,MATCH(Calculation!$C261,'State Tax Lookup'!$B$7:$B$91,0),MATCH($H261,'State Tax Lookup'!$D$6:$Z$6,0))</f>
        <v>0.39649667</v>
      </c>
      <c r="DG261" s="189">
        <v>0.375</v>
      </c>
      <c r="DH261" s="190">
        <f t="shared" si="684"/>
        <v>17.30027491803283</v>
      </c>
      <c r="DI261" s="190">
        <v>17.064832121750229</v>
      </c>
      <c r="DJ261" s="177"/>
      <c r="DK261" s="189">
        <f>VLOOKUP($H261,RoR!$E:$F,2,FALSE)</f>
        <v>5.5558333333333321E-2</v>
      </c>
      <c r="DL261" s="191">
        <f>HLOOKUP($H261,'GDP-PI'!$D$8:$CQ$11,3,FALSE)</f>
        <v>2.691120634145272E-2</v>
      </c>
      <c r="DM261" s="189">
        <f>VLOOKUP(H261,'HW Dx Data'!$E:$F,2,FALSE)</f>
        <v>498.0223154772637</v>
      </c>
      <c r="DN261" s="183">
        <f>VLOOKUP(H261,'ECI - Input Price'!$G$17:$H$37,2,FALSE)</f>
        <v>105.22500000000001</v>
      </c>
      <c r="DO261" s="177">
        <f t="shared" ref="DO261" si="712">LN(DN261/DN260)</f>
        <v>3.0638025400780679E-2</v>
      </c>
      <c r="DP261" s="183">
        <f>HLOOKUP(H261,'GDP-PI'!$8:$9,2,FALSE)</f>
        <v>92.498000000000005</v>
      </c>
      <c r="DQ261" s="177">
        <f t="shared" ref="DQ261" si="713">LN(DP261/DP260)</f>
        <v>2.6555467950038037E-2</v>
      </c>
    </row>
    <row r="262" spans="1:121" s="167" customFormat="1" ht="21" x14ac:dyDescent="0.35">
      <c r="A262" s="167" t="s">
        <v>41</v>
      </c>
      <c r="B262" s="168" t="s">
        <v>41</v>
      </c>
      <c r="C262" s="168">
        <v>4057076</v>
      </c>
      <c r="D262" s="168" t="s">
        <v>136</v>
      </c>
      <c r="E262" s="168" t="s">
        <v>126</v>
      </c>
      <c r="F262" s="168"/>
      <c r="G262" s="168" t="s">
        <v>14</v>
      </c>
      <c r="H262" s="169">
        <v>2008</v>
      </c>
      <c r="I262" s="170"/>
      <c r="J262" s="166">
        <f>IFERROR(INDEX('Labor Expenditures'!$F$7:$X$91,MATCH($C262,'Labor Expenditures'!$D$7:$D$91,0),MATCH($G262,'Labor Expenditures'!$F$5:$X$5,0)),"NA")</f>
        <v>9822.3257407589626</v>
      </c>
      <c r="K262" s="166">
        <f t="shared" si="690"/>
        <v>90.758380602993427</v>
      </c>
      <c r="L262" s="172">
        <f t="shared" si="699"/>
        <v>9.143194601385625E-2</v>
      </c>
      <c r="M262" s="172">
        <f t="shared" si="700"/>
        <v>3.6732298456392274E-4</v>
      </c>
      <c r="N262" s="196"/>
      <c r="O262" s="172"/>
      <c r="P262" s="166">
        <f>IFERROR(INDEX('Non-Labor Expenditures'!$F$7:$AB$91,MATCH($C262,'Non-Labor Expenditures'!$D$7:$D$91,0),MATCH($G262,'Non-Labor Expenditures'!$F$5:$AB$5,0)),"NA")</f>
        <v>14224.562230009429</v>
      </c>
      <c r="Q262" s="166">
        <f t="shared" si="691"/>
        <v>150.90132213792572</v>
      </c>
      <c r="R262" s="172">
        <f t="shared" si="701"/>
        <v>0.10063109093723377</v>
      </c>
      <c r="S262" s="172">
        <f t="shared" si="706"/>
        <v>4.0428006046580725E-4</v>
      </c>
      <c r="T262" s="172"/>
      <c r="U262" s="172"/>
      <c r="V262" s="166">
        <f t="shared" si="671"/>
        <v>12038.002531585051</v>
      </c>
      <c r="W262" s="170"/>
      <c r="X262" s="174">
        <v>634.49418103034884</v>
      </c>
      <c r="Y262" s="175">
        <v>3.5446275859560707E-2</v>
      </c>
      <c r="Z262" s="175">
        <f t="shared" si="707"/>
        <v>1.4240352970762305E-4</v>
      </c>
      <c r="AA262" s="175"/>
      <c r="AB262" s="175"/>
      <c r="AC262" s="170">
        <f t="shared" si="682"/>
        <v>36084.890502353446</v>
      </c>
      <c r="AD262" s="175">
        <f t="shared" si="702"/>
        <v>0.13360314102002277</v>
      </c>
      <c r="AE262" s="170"/>
      <c r="AF262" s="170"/>
      <c r="AG262" s="121">
        <f t="shared" si="703"/>
        <v>486.58814846955119</v>
      </c>
      <c r="AH262" s="119">
        <f>+AZ262/$BB$46</f>
        <v>2.0825417731384858E-3</v>
      </c>
      <c r="AI262" s="119">
        <f>+AZ262/$BC$46</f>
        <v>8.9953951349733812E-3</v>
      </c>
      <c r="AJ262" s="176">
        <f t="shared" si="708"/>
        <v>1.0133401455019519</v>
      </c>
      <c r="AK262" s="176">
        <f t="shared" si="709"/>
        <v>4.3770526634787057</v>
      </c>
      <c r="AL262" s="120">
        <f t="shared" si="692"/>
        <v>0.27220051395523437</v>
      </c>
      <c r="AM262" s="120">
        <f t="shared" si="693"/>
        <v>0.39419718425033623</v>
      </c>
      <c r="AN262" s="120">
        <f t="shared" si="694"/>
        <v>0.33360230179442935</v>
      </c>
      <c r="AO262" s="120">
        <f t="shared" si="710"/>
        <v>6.501334244017018E-2</v>
      </c>
      <c r="AP262" s="173">
        <f t="shared" ref="AP262:AP275" si="714">+AP261*EXP(AO262)</f>
        <v>138.84728465329354</v>
      </c>
      <c r="AQ262" s="175">
        <f t="shared" ref="AQ262:AQ275" si="715">LN(AP262/AP261)</f>
        <v>6.5013342440170249E-2</v>
      </c>
      <c r="AR262" s="177">
        <f>+AC262/$AE$46</f>
        <v>4.0174468616062924E-3</v>
      </c>
      <c r="AS262" s="177">
        <f t="shared" si="711"/>
        <v>2.6118764854879715E-4</v>
      </c>
      <c r="AT262" s="177"/>
      <c r="AU262" s="177"/>
      <c r="AV262" s="177"/>
      <c r="AW262" s="190"/>
      <c r="AX262" s="120"/>
      <c r="AY262" s="120"/>
      <c r="AZ262" s="118">
        <f>IFERROR(INDEX('Total Customers'!$F$7:$AB$91,MATCH($C262,'Total Customers'!$D$7:$D$91,0),MATCH($G262,'Total Customers'!$F$5:$AB$5,0)),"NA")</f>
        <v>74159</v>
      </c>
      <c r="BA262" s="119">
        <f t="shared" si="672"/>
        <v>1.2879413149988998E-2</v>
      </c>
      <c r="BB262" s="119"/>
      <c r="BC262" s="121">
        <v>8244107</v>
      </c>
      <c r="BD262" s="119"/>
      <c r="BE262" s="119"/>
      <c r="BF262" s="119"/>
      <c r="BG262" s="173"/>
      <c r="BH262" s="173"/>
      <c r="BI262" s="173"/>
      <c r="BJ262" s="173"/>
      <c r="BK262" s="173"/>
      <c r="BL262" s="173"/>
      <c r="BM262" s="173"/>
      <c r="BN262" s="173"/>
      <c r="BO262" s="173"/>
      <c r="BP262" s="173"/>
      <c r="BQ262" s="118"/>
      <c r="BR262" s="118"/>
      <c r="BS262" s="118">
        <f>INDEX('Dist. Plant Gas Additions'!$F$7:$AE$91,MATCH($C262,'Dist. Plant Gas Additions'!$D$7:$D$91,0),MATCH(Calculation!$G262,'Dist. Plant Gas Additions'!$F$5:$AE$5,0))</f>
        <v>14866</v>
      </c>
      <c r="BT262" s="118">
        <f>INDEX('Gen. Plant Additions'!$F$7:$AE$91,MATCH($C262,'Gen. Plant Additions'!$D$7:$D$91,0),MATCH(Calculation!$G262,'Gen. Plant Additions'!$F$5:$AE$5,0))</f>
        <v>0</v>
      </c>
      <c r="BU262" s="118"/>
      <c r="BV262" s="118"/>
      <c r="BW262" s="118">
        <f>INDEX('Dist Plant Depreciation'!$E$7:$AD$94,MATCH($C262,'Dist Plant Depreciation'!$D$7:$D$94,0),MATCH(Calculation!$G262,'Dist Plant Depreciation'!$E$5:$AD$5,0))</f>
        <v>56075</v>
      </c>
      <c r="BX262" s="118">
        <f>INDEX('Gen. Plant Depreciation'!$E$7:$AD$94,MATCH($C262,'Gen. Plant Depreciation'!$D$7:$D$94,0),MATCH(Calculation!$G262,'Gen. Plant Depreciation'!$E$5:$AD$5,0))</f>
        <v>0</v>
      </c>
      <c r="BY262" s="118"/>
      <c r="BZ262" s="118"/>
      <c r="CA262" s="118"/>
      <c r="CB262" s="118"/>
      <c r="CC262" s="118"/>
      <c r="CD262" s="118"/>
      <c r="CE262" s="118">
        <f>INDEX('Gross Dx Plant'!$E$7:$AD$91,MATCH($C262,'Gross Dx Plant'!$D$7:$D$91,0),MATCH(Calculation!$G262,'Gross Dx Plant'!$E$5:$AD$5,0))</f>
        <v>214171</v>
      </c>
      <c r="CF262" s="118">
        <f>INDEX('Gross Gen Plant'!$E$7:$AD$91,MATCH($C262,'Gross Gen Plant'!$D$7:$D$91,0),MATCH(Calculation!$G262,'Gross Gen Plant'!$E$5:$AD$5,0))</f>
        <v>0</v>
      </c>
      <c r="CG262" s="118">
        <f t="shared" si="637"/>
        <v>158096</v>
      </c>
      <c r="CH262" s="118"/>
      <c r="CI262" s="121">
        <v>2008</v>
      </c>
      <c r="CJ262" s="118"/>
      <c r="CK262" s="118"/>
      <c r="CL262" s="118"/>
      <c r="CM262" s="183"/>
      <c r="CN262" s="118">
        <f t="shared" si="673"/>
        <v>14866</v>
      </c>
      <c r="CO262" s="118">
        <f t="shared" si="674"/>
        <v>26.086138502197993</v>
      </c>
      <c r="CP262" s="186">
        <v>0.94252873563218387</v>
      </c>
      <c r="CQ262" s="118">
        <f>+CQ252*CP262+CO253*CP261+CO254*CP260+CO255*CP259+CO256*CP258+CO257*CP257+CO258*CP256+CO259*CP255+CO260*CP254+CO261*CP253+CO262</f>
        <v>634.49418103034884</v>
      </c>
      <c r="CR262" s="119">
        <f t="shared" si="675"/>
        <v>3.5446275859560707E-2</v>
      </c>
      <c r="CS262" s="119"/>
      <c r="CT262" s="177">
        <f t="shared" si="676"/>
        <v>6.5147472717086534E-3</v>
      </c>
      <c r="CU262" s="177">
        <f t="shared" si="685"/>
        <v>6.3281224731863593E-3</v>
      </c>
      <c r="CV262" s="119">
        <f>VLOOKUP($H262,RoR!$E:$F,2,FALSE)</f>
        <v>5.6316666666666668E-2</v>
      </c>
      <c r="CW262" s="177">
        <v>1.9092304698479889E-2</v>
      </c>
      <c r="CX262" s="177">
        <f t="shared" si="683"/>
        <v>3.7224361968186778E-2</v>
      </c>
      <c r="CY262" s="177">
        <f t="shared" si="686"/>
        <v>2.4573819135347265E-2</v>
      </c>
      <c r="CZ262" s="177">
        <f t="shared" si="687"/>
        <v>6.9030581091053131E-2</v>
      </c>
      <c r="DA262" s="187">
        <f t="shared" si="677"/>
        <v>0.85131374874999999</v>
      </c>
      <c r="DB262" s="188">
        <f t="shared" si="678"/>
        <v>0.91060168006009956</v>
      </c>
      <c r="DC262" s="188">
        <f t="shared" si="679"/>
        <v>0.53108168097070152</v>
      </c>
      <c r="DD262" s="188">
        <f t="shared" si="680"/>
        <v>0.88825329850328805</v>
      </c>
      <c r="DE262" s="188">
        <f t="shared" si="681"/>
        <v>0.4295627335323573</v>
      </c>
      <c r="DF262" s="189">
        <f>INDEX('State Tax Lookup'!$D$7:$Z$91,MATCH(Calculation!$C262,'State Tax Lookup'!$B$7:$B$91,0),MATCH($H262,'State Tax Lookup'!$D$6:$Z$6,0))</f>
        <v>0.39649667</v>
      </c>
      <c r="DG262" s="189">
        <v>0.375</v>
      </c>
      <c r="DH262" s="190">
        <f t="shared" si="684"/>
        <v>19.657166163910826</v>
      </c>
      <c r="DI262" s="190">
        <v>19.395987357694676</v>
      </c>
      <c r="DJ262" s="177"/>
      <c r="DK262" s="189">
        <f>VLOOKUP($H262,RoR!$E:$F,2,FALSE)</f>
        <v>5.6316666666666668E-2</v>
      </c>
      <c r="DL262" s="191">
        <f>HLOOKUP($H262,'GDP-PI'!$D$8:$CQ$11,3,FALSE)</f>
        <v>1.9092304698479889E-2</v>
      </c>
      <c r="DM262" s="189">
        <f>VLOOKUP(H262,'HW Dx Data'!$E:$F,2,FALSE)</f>
        <v>569.88120333515076</v>
      </c>
      <c r="DN262" s="183">
        <f>VLOOKUP(H262,'ECI - Input Price'!$G$17:$H$37,2,FALSE)</f>
        <v>108.22499999999999</v>
      </c>
      <c r="DO262" s="177">
        <f t="shared" ref="DO262" si="716">LN(DN262/DN261)</f>
        <v>2.8111478671409691E-2</v>
      </c>
      <c r="DP262" s="183">
        <f>HLOOKUP(H262,'GDP-PI'!$8:$9,2,FALSE)</f>
        <v>94.263999999999996</v>
      </c>
      <c r="DQ262" s="177">
        <f t="shared" ref="DQ262" si="717">LN(DP262/DP261)</f>
        <v>1.8912333748032254E-2</v>
      </c>
    </row>
    <row r="263" spans="1:121" s="167" customFormat="1" ht="21" x14ac:dyDescent="0.35">
      <c r="A263" s="167" t="s">
        <v>41</v>
      </c>
      <c r="B263" s="168" t="s">
        <v>41</v>
      </c>
      <c r="C263" s="168">
        <v>4057076</v>
      </c>
      <c r="D263" s="168" t="s">
        <v>136</v>
      </c>
      <c r="E263" s="168" t="s">
        <v>126</v>
      </c>
      <c r="F263" s="168"/>
      <c r="G263" s="168" t="s">
        <v>15</v>
      </c>
      <c r="H263" s="169">
        <v>2009</v>
      </c>
      <c r="I263" s="170"/>
      <c r="J263" s="166">
        <f>IFERROR(INDEX('Labor Expenditures'!$F$7:$X$91,MATCH($C263,'Labor Expenditures'!$D$7:$D$91,0),MATCH($G263,'Labor Expenditures'!$F$5:$X$5,0)),"NA")</f>
        <v>10880.157355897276</v>
      </c>
      <c r="K263" s="166">
        <f t="shared" si="690"/>
        <v>99.113253071257361</v>
      </c>
      <c r="L263" s="172">
        <f t="shared" si="699"/>
        <v>8.8062349592296446E-2</v>
      </c>
      <c r="M263" s="172">
        <f t="shared" si="700"/>
        <v>3.6286402979417934E-4</v>
      </c>
      <c r="N263" s="196"/>
      <c r="O263" s="172"/>
      <c r="P263" s="166">
        <f>IFERROR(INDEX('Non-Labor Expenditures'!$F$7:$AB$91,MATCH($C263,'Non-Labor Expenditures'!$D$7:$D$91,0),MATCH($G263,'Non-Labor Expenditures'!$F$5:$AB$5,0)),"NA")</f>
        <v>15756.499984421926</v>
      </c>
      <c r="Q263" s="166">
        <f t="shared" si="691"/>
        <v>165.85964046381463</v>
      </c>
      <c r="R263" s="172">
        <f t="shared" si="701"/>
        <v>9.4515763893723598E-2</v>
      </c>
      <c r="S263" s="172">
        <f t="shared" si="706"/>
        <v>3.8945555193944009E-4</v>
      </c>
      <c r="T263" s="172"/>
      <c r="U263" s="172"/>
      <c r="V263" s="166">
        <f t="shared" si="671"/>
        <v>11968.167022729909</v>
      </c>
      <c r="W263" s="170"/>
      <c r="X263" s="174">
        <v>661.4813414686422</v>
      </c>
      <c r="Y263" s="175">
        <v>4.1653660601160047E-2</v>
      </c>
      <c r="Z263" s="175">
        <f t="shared" si="707"/>
        <v>1.7163538346855756E-4</v>
      </c>
      <c r="AA263" s="175"/>
      <c r="AB263" s="175"/>
      <c r="AC263" s="170">
        <f t="shared" si="682"/>
        <v>38604.824363049112</v>
      </c>
      <c r="AD263" s="175">
        <f t="shared" si="702"/>
        <v>6.7503020076698519E-2</v>
      </c>
      <c r="AE263" s="170"/>
      <c r="AF263" s="170"/>
      <c r="AG263" s="121">
        <f t="shared" si="703"/>
        <v>519.23797714897455</v>
      </c>
      <c r="AH263" s="119">
        <f>+AZ263/$BB$47</f>
        <v>2.0848648495335139E-3</v>
      </c>
      <c r="AI263" s="119">
        <f>+AZ263/$BC$47</f>
        <v>8.9181572044565709E-3</v>
      </c>
      <c r="AJ263" s="176">
        <f t="shared" si="708"/>
        <v>1.082541007100783</v>
      </c>
      <c r="AK263" s="176">
        <f t="shared" si="709"/>
        <v>4.6306459067385841</v>
      </c>
      <c r="AL263" s="120">
        <f t="shared" si="692"/>
        <v>0.28183413693526083</v>
      </c>
      <c r="AM263" s="120">
        <f t="shared" si="693"/>
        <v>0.40814846963799101</v>
      </c>
      <c r="AN263" s="120">
        <f t="shared" si="694"/>
        <v>0.31001739342674817</v>
      </c>
      <c r="AO263" s="120">
        <f t="shared" si="710"/>
        <v>6.231195274851456E-2</v>
      </c>
      <c r="AP263" s="173">
        <f t="shared" si="714"/>
        <v>147.77437397141099</v>
      </c>
      <c r="AQ263" s="175">
        <f t="shared" si="715"/>
        <v>6.2311952748514497E-2</v>
      </c>
      <c r="AR263" s="177">
        <f>+AC263/$AE$47</f>
        <v>4.1205354101285768E-3</v>
      </c>
      <c r="AS263" s="177">
        <f t="shared" si="711"/>
        <v>2.5675860777451268E-4</v>
      </c>
      <c r="AT263" s="177"/>
      <c r="AU263" s="177"/>
      <c r="AV263" s="177"/>
      <c r="AW263" s="190"/>
      <c r="AX263" s="120"/>
      <c r="AY263" s="120"/>
      <c r="AZ263" s="118">
        <f>IFERROR(INDEX('Total Customers'!$F$7:$AB$91,MATCH($C263,'Total Customers'!$D$7:$D$91,0),MATCH($G263,'Total Customers'!$F$5:$AB$5,0)),"NA")</f>
        <v>74349</v>
      </c>
      <c r="BA263" s="119">
        <f t="shared" si="672"/>
        <v>2.5587861080471732E-3</v>
      </c>
      <c r="BB263" s="119"/>
      <c r="BC263" s="121">
        <v>8336812</v>
      </c>
      <c r="BD263" s="119"/>
      <c r="BE263" s="119"/>
      <c r="BF263" s="119"/>
      <c r="BG263" s="173"/>
      <c r="BH263" s="173"/>
      <c r="BI263" s="173"/>
      <c r="BJ263" s="173"/>
      <c r="BK263" s="173"/>
      <c r="BL263" s="173"/>
      <c r="BM263" s="173"/>
      <c r="BN263" s="173"/>
      <c r="BO263" s="173"/>
      <c r="BP263" s="173"/>
      <c r="BQ263" s="118"/>
      <c r="BR263" s="118"/>
      <c r="BS263" s="118">
        <f>INDEX('Dist. Plant Gas Additions'!$F$7:$AE$91,MATCH($C263,'Dist. Plant Gas Additions'!$D$7:$D$91,0),MATCH(Calculation!$G263,'Dist. Plant Gas Additions'!$F$5:$AE$5,0))</f>
        <v>17213</v>
      </c>
      <c r="BT263" s="118">
        <f>INDEX('Gen. Plant Additions'!$F$7:$AE$91,MATCH($C263,'Gen. Plant Additions'!$D$7:$D$91,0),MATCH(Calculation!$G263,'Gen. Plant Additions'!$F$5:$AE$5,0))</f>
        <v>0</v>
      </c>
      <c r="BU263" s="118"/>
      <c r="BV263" s="118"/>
      <c r="BW263" s="118">
        <f>INDEX('Dist Plant Depreciation'!$E$7:$AD$94,MATCH($C263,'Dist Plant Depreciation'!$D$7:$D$94,0),MATCH(Calculation!$G263,'Dist Plant Depreciation'!$E$5:$AD$5,0))</f>
        <v>62761</v>
      </c>
      <c r="BX263" s="118">
        <f>INDEX('Gen. Plant Depreciation'!$E$7:$AD$94,MATCH($C263,'Gen. Plant Depreciation'!$D$7:$D$94,0),MATCH(Calculation!$G263,'Gen. Plant Depreciation'!$E$5:$AD$5,0))</f>
        <v>0</v>
      </c>
      <c r="BY263" s="118"/>
      <c r="BZ263" s="118"/>
      <c r="CA263" s="118"/>
      <c r="CB263" s="118"/>
      <c r="CC263" s="118"/>
      <c r="CD263" s="118"/>
      <c r="CE263" s="118">
        <f>INDEX('Gross Dx Plant'!$E$7:$AD$91,MATCH($C263,'Gross Dx Plant'!$D$7:$D$91,0),MATCH(Calculation!$G263,'Gross Dx Plant'!$E$5:$AD$5,0))</f>
        <v>230224</v>
      </c>
      <c r="CF263" s="118">
        <f>INDEX('Gross Gen Plant'!$E$7:$AD$91,MATCH($C263,'Gross Gen Plant'!$D$7:$D$91,0),MATCH(Calculation!$G263,'Gross Gen Plant'!$E$5:$AD$5,0))</f>
        <v>0</v>
      </c>
      <c r="CG263" s="118">
        <f t="shared" si="637"/>
        <v>167463</v>
      </c>
      <c r="CH263" s="118"/>
      <c r="CI263" s="121">
        <v>2009</v>
      </c>
      <c r="CJ263" s="118"/>
      <c r="CK263" s="118"/>
      <c r="CL263" s="118"/>
      <c r="CM263" s="183"/>
      <c r="CN263" s="118">
        <f t="shared" si="673"/>
        <v>17213</v>
      </c>
      <c r="CO263" s="118">
        <f t="shared" si="674"/>
        <v>31.242930454492072</v>
      </c>
      <c r="CP263" s="186">
        <v>0.93567251461988299</v>
      </c>
      <c r="CQ263" s="118">
        <f>+CQ252*CP263+CO253*CP262+CO254*CP261+CO255*CP260+CO256*CP259+CO257*CP258+CO258*CP257+CO259*CP256+CO260*CP255+CO261*CP254+CO262*CP253+CO263</f>
        <v>661.4813414686422</v>
      </c>
      <c r="CR263" s="119">
        <f t="shared" si="675"/>
        <v>4.1653660601160047E-2</v>
      </c>
      <c r="CS263" s="119"/>
      <c r="CT263" s="177">
        <f t="shared" si="676"/>
        <v>6.7073428621328103E-3</v>
      </c>
      <c r="CU263" s="177">
        <f t="shared" si="685"/>
        <v>6.5154218058302961E-3</v>
      </c>
      <c r="CV263" s="119">
        <f>VLOOKUP($H263,RoR!$E:$F,2,FALSE)</f>
        <v>5.3133333333333324E-2</v>
      </c>
      <c r="CW263" s="177">
        <v>7.7972502758210105E-3</v>
      </c>
      <c r="CX263" s="177">
        <f t="shared" si="683"/>
        <v>4.5336083057512314E-2</v>
      </c>
      <c r="CY263" s="177">
        <f t="shared" si="686"/>
        <v>2.438651980270333E-2</v>
      </c>
      <c r="CZ263" s="177">
        <f t="shared" si="687"/>
        <v>6.3720160300892073E-2</v>
      </c>
      <c r="DA263" s="187">
        <f t="shared" si="677"/>
        <v>0.85131374874999999</v>
      </c>
      <c r="DB263" s="188">
        <f t="shared" si="678"/>
        <v>0.96515780330083989</v>
      </c>
      <c r="DC263" s="188">
        <f t="shared" si="679"/>
        <v>0.50448557089084056</v>
      </c>
      <c r="DD263" s="188">
        <f t="shared" si="680"/>
        <v>0.87391435735465484</v>
      </c>
      <c r="DE263" s="188">
        <f t="shared" si="681"/>
        <v>0.42551605393279146</v>
      </c>
      <c r="DF263" s="189">
        <f>INDEX('State Tax Lookup'!$D$7:$Z$91,MATCH(Calculation!$C263,'State Tax Lookup'!$B$7:$B$91,0),MATCH($H263,'State Tax Lookup'!$D$6:$Z$6,0))</f>
        <v>0.39649667</v>
      </c>
      <c r="DG263" s="189">
        <v>0.375</v>
      </c>
      <c r="DH263" s="190">
        <f t="shared" si="684"/>
        <v>18.86253236128174</v>
      </c>
      <c r="DI263" s="190">
        <v>18.543167229296809</v>
      </c>
      <c r="DJ263" s="177"/>
      <c r="DK263" s="189">
        <f>VLOOKUP($H263,RoR!$E:$F,2,FALSE)</f>
        <v>5.3133333333333324E-2</v>
      </c>
      <c r="DL263" s="191">
        <f>HLOOKUP($H263,'GDP-PI'!$D$8:$CQ$11,3,FALSE)</f>
        <v>7.7972502758210105E-3</v>
      </c>
      <c r="DM263" s="189">
        <f>VLOOKUP(H263,'HW Dx Data'!$E:$F,2,FALSE)</f>
        <v>550.94063679692806</v>
      </c>
      <c r="DN263" s="183">
        <f>VLOOKUP(H263,'ECI - Input Price'!$G$17:$H$37,2,FALSE)</f>
        <v>109.77499999999999</v>
      </c>
      <c r="DO263" s="177">
        <f t="shared" ref="DO263" si="718">LN(DN263/DN262)</f>
        <v>1.4220423119736749E-2</v>
      </c>
      <c r="DP263" s="183">
        <f>HLOOKUP(H263,'GDP-PI'!$8:$9,2,FALSE)</f>
        <v>94.998999999999995</v>
      </c>
      <c r="DQ263" s="177">
        <f t="shared" ref="DQ263" si="719">LN(DP263/DP262)</f>
        <v>7.7670088183096342E-3</v>
      </c>
    </row>
    <row r="264" spans="1:121" s="167" customFormat="1" ht="21" x14ac:dyDescent="0.35">
      <c r="A264" s="167" t="s">
        <v>41</v>
      </c>
      <c r="B264" s="168" t="s">
        <v>41</v>
      </c>
      <c r="C264" s="168">
        <v>4057076</v>
      </c>
      <c r="D264" s="168" t="s">
        <v>136</v>
      </c>
      <c r="E264" s="168" t="s">
        <v>126</v>
      </c>
      <c r="F264" s="168"/>
      <c r="G264" s="168" t="s">
        <v>16</v>
      </c>
      <c r="H264" s="169">
        <v>2010</v>
      </c>
      <c r="I264" s="170"/>
      <c r="J264" s="166">
        <f>IFERROR(INDEX('Labor Expenditures'!$F$7:$X$91,MATCH($C264,'Labor Expenditures'!$D$7:$D$91,0),MATCH($G264,'Labor Expenditures'!$F$5:$X$5,0)),"NA")</f>
        <v>12820.685218056511</v>
      </c>
      <c r="K264" s="166">
        <f t="shared" si="690"/>
        <v>114.59830362508613</v>
      </c>
      <c r="L264" s="172">
        <f t="shared" si="699"/>
        <v>0.14516983488188859</v>
      </c>
      <c r="M264" s="172">
        <f t="shared" si="700"/>
        <v>6.6058088975850724E-4</v>
      </c>
      <c r="N264" s="196"/>
      <c r="O264" s="172"/>
      <c r="P264" s="166">
        <f>IFERROR(INDEX('Non-Labor Expenditures'!$F$7:$AB$91,MATCH($C264,'Non-Labor Expenditures'!$D$7:$D$91,0),MATCH($G264,'Non-Labor Expenditures'!$F$5:$AB$5,0)),"NA")</f>
        <v>18566.746769438272</v>
      </c>
      <c r="Q264" s="166">
        <f t="shared" si="691"/>
        <v>193.1842675445408</v>
      </c>
      <c r="R264" s="172">
        <f t="shared" si="701"/>
        <v>0.15250259622197643</v>
      </c>
      <c r="S264" s="172">
        <f t="shared" si="706"/>
        <v>6.9394789065344541E-4</v>
      </c>
      <c r="T264" s="172"/>
      <c r="U264" s="172"/>
      <c r="V264" s="166">
        <f t="shared" si="671"/>
        <v>12802.229241816129</v>
      </c>
      <c r="W264" s="170"/>
      <c r="X264" s="174">
        <v>676.20952420141441</v>
      </c>
      <c r="Y264" s="175">
        <v>2.2021198302222569E-2</v>
      </c>
      <c r="Z264" s="175">
        <f t="shared" si="707"/>
        <v>1.0020527184498143E-4</v>
      </c>
      <c r="AA264" s="175"/>
      <c r="AB264" s="175"/>
      <c r="AC264" s="170">
        <f t="shared" si="682"/>
        <v>44189.661229310914</v>
      </c>
      <c r="AD264" s="175">
        <f t="shared" si="702"/>
        <v>0.13511360072391343</v>
      </c>
      <c r="AE264" s="170"/>
      <c r="AF264" s="170"/>
      <c r="AG264" s="121">
        <f t="shared" si="703"/>
        <v>589.73017174652909</v>
      </c>
      <c r="AH264" s="119">
        <f>+AZ264/$BB$48</f>
        <v>2.0896456741427193E-3</v>
      </c>
      <c r="AI264" s="119">
        <f>+AZ264/$BC$48</f>
        <v>8.9168234774302576E-3</v>
      </c>
      <c r="AJ264" s="176">
        <f t="shared" si="708"/>
        <v>1.2323271023015774</v>
      </c>
      <c r="AK264" s="176">
        <f t="shared" si="709"/>
        <v>5.2585198407784288</v>
      </c>
      <c r="AL264" s="120">
        <f t="shared" si="692"/>
        <v>0.29012861518731392</v>
      </c>
      <c r="AM264" s="120">
        <f t="shared" si="693"/>
        <v>0.42016042334180614</v>
      </c>
      <c r="AN264" s="120">
        <f t="shared" si="694"/>
        <v>0.28971096147087988</v>
      </c>
      <c r="AO264" s="120">
        <f t="shared" si="710"/>
        <v>0.10467549746869752</v>
      </c>
      <c r="AP264" s="173">
        <f t="shared" si="714"/>
        <v>164.08131166777164</v>
      </c>
      <c r="AQ264" s="175">
        <f t="shared" si="715"/>
        <v>0.10467549746869759</v>
      </c>
      <c r="AR264" s="177">
        <f>+AC264/$AE$48</f>
        <v>4.5504005036305336E-3</v>
      </c>
      <c r="AS264" s="177">
        <f t="shared" si="711"/>
        <v>4.7631543639933816E-4</v>
      </c>
      <c r="AT264" s="177"/>
      <c r="AU264" s="177"/>
      <c r="AV264" s="177"/>
      <c r="AW264" s="190"/>
      <c r="AX264" s="120"/>
      <c r="AY264" s="120"/>
      <c r="AZ264" s="118">
        <f>IFERROR(INDEX('Total Customers'!$F$7:$AB$91,MATCH($C264,'Total Customers'!$D$7:$D$91,0),MATCH($G264,'Total Customers'!$F$5:$AB$5,0)),"NA")</f>
        <v>74932</v>
      </c>
      <c r="BA264" s="119">
        <f t="shared" si="672"/>
        <v>7.8108126822246746E-3</v>
      </c>
      <c r="BB264" s="119"/>
      <c r="BC264" s="121">
        <v>8403441</v>
      </c>
      <c r="BD264" s="119"/>
      <c r="BE264" s="119"/>
      <c r="BF264" s="119"/>
      <c r="BG264" s="173"/>
      <c r="BH264" s="173"/>
      <c r="BI264" s="173"/>
      <c r="BJ264" s="173"/>
      <c r="BK264" s="173"/>
      <c r="BL264" s="173"/>
      <c r="BM264" s="173"/>
      <c r="BN264" s="173"/>
      <c r="BO264" s="173"/>
      <c r="BP264" s="173"/>
      <c r="BQ264" s="118"/>
      <c r="BR264" s="118"/>
      <c r="BS264" s="118">
        <f>INDEX('Dist. Plant Gas Additions'!$F$7:$AE$91,MATCH($C264,'Dist. Plant Gas Additions'!$D$7:$D$91,0),MATCH(Calculation!$G264,'Dist. Plant Gas Additions'!$F$5:$AE$5,0))</f>
        <v>10974</v>
      </c>
      <c r="BT264" s="118">
        <f>INDEX('Gen. Plant Additions'!$F$7:$AE$91,MATCH($C264,'Gen. Plant Additions'!$D$7:$D$91,0),MATCH(Calculation!$G264,'Gen. Plant Additions'!$F$5:$AE$5,0))</f>
        <v>0</v>
      </c>
      <c r="BU264" s="118"/>
      <c r="BV264" s="118"/>
      <c r="BW264" s="118">
        <f>INDEX('Dist Plant Depreciation'!$E$7:$AD$94,MATCH($C264,'Dist Plant Depreciation'!$D$7:$D$94,0),MATCH(Calculation!$G264,'Dist Plant Depreciation'!$E$5:$AD$5,0))</f>
        <v>67170</v>
      </c>
      <c r="BX264" s="118">
        <f>INDEX('Gen. Plant Depreciation'!$E$7:$AD$94,MATCH($C264,'Gen. Plant Depreciation'!$D$7:$D$94,0),MATCH(Calculation!$G264,'Gen. Plant Depreciation'!$E$5:$AD$5,0))</f>
        <v>0</v>
      </c>
      <c r="BY264" s="118"/>
      <c r="BZ264" s="118"/>
      <c r="CA264" s="118"/>
      <c r="CB264" s="118"/>
      <c r="CC264" s="118"/>
      <c r="CD264" s="118"/>
      <c r="CE264" s="118">
        <f>INDEX('Gross Dx Plant'!$E$7:$AD$91,MATCH($C264,'Gross Dx Plant'!$D$7:$D$91,0),MATCH(Calculation!$G264,'Gross Dx Plant'!$E$5:$AD$5,0))</f>
        <v>240247</v>
      </c>
      <c r="CF264" s="118">
        <f>INDEX('Gross Gen Plant'!$E$7:$AD$91,MATCH($C264,'Gross Gen Plant'!$D$7:$D$91,0),MATCH(Calculation!$G264,'Gross Gen Plant'!$E$5:$AD$5,0))</f>
        <v>0</v>
      </c>
      <c r="CG264" s="118">
        <f t="shared" si="637"/>
        <v>173077</v>
      </c>
      <c r="CH264" s="118"/>
      <c r="CI264" s="121">
        <v>2010</v>
      </c>
      <c r="CJ264" s="118"/>
      <c r="CK264" s="118"/>
      <c r="CL264" s="118"/>
      <c r="CM264" s="183"/>
      <c r="CN264" s="118">
        <f t="shared" si="673"/>
        <v>10974</v>
      </c>
      <c r="CO264" s="118">
        <f t="shared" si="674"/>
        <v>19.28682330566927</v>
      </c>
      <c r="CP264" s="186">
        <v>0.9285714285714286</v>
      </c>
      <c r="CQ264" s="118">
        <f>+CQ252*CP264+CO253*CP263+CO254*CP262+CO255*CP261+CO256*CP260+CO257*CP259+CO258*CP258+CO259*CP257+CO260*CP256+CO261*CP255+CO262*CP254+CO263*CP253+CO264</f>
        <v>676.20952420141441</v>
      </c>
      <c r="CR264" s="119">
        <f t="shared" si="675"/>
        <v>2.2021198302222569E-2</v>
      </c>
      <c r="CS264" s="119"/>
      <c r="CT264" s="177">
        <f t="shared" si="676"/>
        <v>6.8915633550234653E-3</v>
      </c>
      <c r="CU264" s="177">
        <f t="shared" si="685"/>
        <v>6.7045511629549763E-3</v>
      </c>
      <c r="CV264" s="119">
        <f>VLOOKUP($H264,RoR!$E:$F,2,FALSE)</f>
        <v>4.9433333333333322E-2</v>
      </c>
      <c r="CW264" s="177">
        <v>1.1684333519300205E-2</v>
      </c>
      <c r="CX264" s="177">
        <f t="shared" si="683"/>
        <v>3.7748999814033117E-2</v>
      </c>
      <c r="CY264" s="177">
        <f t="shared" si="686"/>
        <v>2.419739044557865E-2</v>
      </c>
      <c r="CZ264" s="177">
        <f t="shared" si="687"/>
        <v>4.7937530248493419E-2</v>
      </c>
      <c r="DA264" s="187">
        <f t="shared" si="677"/>
        <v>0.85131374874999999</v>
      </c>
      <c r="DB264" s="188">
        <f t="shared" si="678"/>
        <v>1.037398205301105</v>
      </c>
      <c r="DC264" s="188">
        <f t="shared" si="679"/>
        <v>0.46926837491571133</v>
      </c>
      <c r="DD264" s="188">
        <f t="shared" si="680"/>
        <v>0.8548537519972772</v>
      </c>
      <c r="DE264" s="188">
        <f t="shared" si="681"/>
        <v>0.41615833911547367</v>
      </c>
      <c r="DF264" s="189">
        <f>INDEX('State Tax Lookup'!$D$7:$Z$91,MATCH(Calculation!$C264,'State Tax Lookup'!$B$7:$B$91,0),MATCH($H264,'State Tax Lookup'!$D$6:$Z$6,0))</f>
        <v>0.39649667</v>
      </c>
      <c r="DG264" s="189">
        <v>0.375</v>
      </c>
      <c r="DH264" s="190">
        <f t="shared" si="684"/>
        <v>19.353878090336163</v>
      </c>
      <c r="DI264" s="190">
        <v>19.060116606232377</v>
      </c>
      <c r="DJ264" s="177"/>
      <c r="DK264" s="189">
        <f>VLOOKUP($H264,RoR!$E:$F,2,FALSE)</f>
        <v>4.9433333333333322E-2</v>
      </c>
      <c r="DL264" s="191">
        <f>HLOOKUP($H264,'GDP-PI'!$D$8:$CQ$11,3,FALSE)</f>
        <v>1.1684333519300205E-2</v>
      </c>
      <c r="DM264" s="189">
        <f>VLOOKUP(H264,'HW Dx Data'!$E:$F,2,FALSE)</f>
        <v>568.98950262971744</v>
      </c>
      <c r="DN264" s="183">
        <f>VLOOKUP(H264,'ECI - Input Price'!$G$17:$H$37,2,FALSE)</f>
        <v>111.875</v>
      </c>
      <c r="DO264" s="177">
        <f t="shared" ref="DO264" si="720">LN(DN264/DN263)</f>
        <v>1.8949360147238387E-2</v>
      </c>
      <c r="DP264" s="183">
        <f>HLOOKUP(H264,'GDP-PI'!$8:$9,2,FALSE)</f>
        <v>96.108999999999995</v>
      </c>
      <c r="DQ264" s="177">
        <f t="shared" ref="DQ264" si="721">LN(DP264/DP263)</f>
        <v>1.1616598807150427E-2</v>
      </c>
    </row>
    <row r="265" spans="1:121" s="167" customFormat="1" ht="21" x14ac:dyDescent="0.35">
      <c r="A265" s="167" t="s">
        <v>41</v>
      </c>
      <c r="B265" s="168" t="s">
        <v>41</v>
      </c>
      <c r="C265" s="168">
        <v>4057076</v>
      </c>
      <c r="D265" s="168" t="s">
        <v>136</v>
      </c>
      <c r="E265" s="168" t="s">
        <v>126</v>
      </c>
      <c r="F265" s="168"/>
      <c r="G265" s="168" t="s">
        <v>17</v>
      </c>
      <c r="H265" s="169">
        <v>2011</v>
      </c>
      <c r="I265" s="170"/>
      <c r="J265" s="166">
        <f>IFERROR(INDEX('Labor Expenditures'!$F$7:$X$91,MATCH($C265,'Labor Expenditures'!$D$7:$D$91,0),MATCH($G265,'Labor Expenditures'!$F$5:$X$5,0)),"NA")</f>
        <v>13750.100596054281</v>
      </c>
      <c r="K265" s="166">
        <f t="shared" si="690"/>
        <v>120.29834292260963</v>
      </c>
      <c r="L265" s="172">
        <f t="shared" si="699"/>
        <v>4.8541846746204501E-2</v>
      </c>
      <c r="M265" s="172">
        <f t="shared" si="700"/>
        <v>2.2673608939429492E-4</v>
      </c>
      <c r="N265" s="196"/>
      <c r="O265" s="172"/>
      <c r="P265" s="166">
        <f>IFERROR(INDEX('Non-Labor Expenditures'!$F$7:$AB$91,MATCH($C265,'Non-Labor Expenditures'!$D$7:$D$91,0),MATCH($G265,'Non-Labor Expenditures'!$F$5:$AB$5,0)),"NA")</f>
        <v>19912.71382762662</v>
      </c>
      <c r="Q265" s="166">
        <f t="shared" si="691"/>
        <v>202.95900427701628</v>
      </c>
      <c r="R265" s="172">
        <f t="shared" si="701"/>
        <v>4.9359521739100916E-2</v>
      </c>
      <c r="S265" s="172">
        <f t="shared" si="706"/>
        <v>2.3055540082787441E-4</v>
      </c>
      <c r="T265" s="172"/>
      <c r="U265" s="172"/>
      <c r="V265" s="166">
        <f t="shared" si="671"/>
        <v>13975.412644491271</v>
      </c>
      <c r="W265" s="170"/>
      <c r="X265" s="174">
        <v>692.79418918676663</v>
      </c>
      <c r="Y265" s="175">
        <v>2.4229994717739938E-2</v>
      </c>
      <c r="Z265" s="175">
        <f t="shared" si="707"/>
        <v>1.1317686937352335E-4</v>
      </c>
      <c r="AA265" s="175"/>
      <c r="AB265" s="175"/>
      <c r="AC265" s="170">
        <f t="shared" si="682"/>
        <v>47638.227068172171</v>
      </c>
      <c r="AD265" s="175">
        <f t="shared" si="702"/>
        <v>7.5144675717304016E-2</v>
      </c>
      <c r="AE265" s="170"/>
      <c r="AF265" s="170"/>
      <c r="AG265" s="121">
        <f t="shared" si="703"/>
        <v>631.8486248182528</v>
      </c>
      <c r="AH265" s="119">
        <f>+AZ265/$BB$49</f>
        <v>2.0923361262934672E-3</v>
      </c>
      <c r="AI265" s="119">
        <f>+AZ265/$BC$49</f>
        <v>8.9353425834878854E-3</v>
      </c>
      <c r="AJ265" s="176">
        <f t="shared" si="708"/>
        <v>1.3220397040560774</v>
      </c>
      <c r="AK265" s="176">
        <f t="shared" si="709"/>
        <v>5.6457839236567944</v>
      </c>
      <c r="AL265" s="120">
        <f t="shared" si="692"/>
        <v>0.28863585910486023</v>
      </c>
      <c r="AM265" s="120">
        <f t="shared" si="693"/>
        <v>0.41799863372603574</v>
      </c>
      <c r="AN265" s="120">
        <f t="shared" si="694"/>
        <v>0.29336550716910409</v>
      </c>
      <c r="AO265" s="120">
        <f t="shared" si="710"/>
        <v>3.47327133057014E-2</v>
      </c>
      <c r="AP265" s="173">
        <f t="shared" si="714"/>
        <v>169.88042736212779</v>
      </c>
      <c r="AQ265" s="175">
        <f t="shared" si="715"/>
        <v>3.4732713305701497E-2</v>
      </c>
      <c r="AR265" s="177">
        <f>+AC265/$AE$49</f>
        <v>4.670940736551674E-3</v>
      </c>
      <c r="AS265" s="177">
        <f t="shared" si="711"/>
        <v>1.6223444547057149E-4</v>
      </c>
      <c r="AT265" s="177"/>
      <c r="AU265" s="177"/>
      <c r="AV265" s="177"/>
      <c r="AW265" s="190"/>
      <c r="AX265" s="120"/>
      <c r="AY265" s="120"/>
      <c r="AZ265" s="118">
        <f>IFERROR(INDEX('Total Customers'!$F$7:$AB$91,MATCH($C265,'Total Customers'!$D$7:$D$91,0),MATCH($G265,'Total Customers'!$F$5:$AB$5,0)),"NA")</f>
        <v>75395</v>
      </c>
      <c r="BA265" s="119">
        <f t="shared" si="672"/>
        <v>6.1599242189464025E-3</v>
      </c>
      <c r="BB265" s="119"/>
      <c r="BC265" s="121">
        <v>8437841</v>
      </c>
      <c r="BD265" s="119"/>
      <c r="BE265" s="119"/>
      <c r="BF265" s="119"/>
      <c r="BG265" s="173"/>
      <c r="BH265" s="173"/>
      <c r="BI265" s="173"/>
      <c r="BJ265" s="173"/>
      <c r="BK265" s="173"/>
      <c r="BL265" s="173"/>
      <c r="BM265" s="173"/>
      <c r="BN265" s="173"/>
      <c r="BO265" s="173"/>
      <c r="BP265" s="173"/>
      <c r="BQ265" s="118"/>
      <c r="BR265" s="118"/>
      <c r="BS265" s="118">
        <f>INDEX('Dist. Plant Gas Additions'!$F$7:$AE$91,MATCH($C265,'Dist. Plant Gas Additions'!$D$7:$D$91,0),MATCH(Calculation!$G265,'Dist. Plant Gas Additions'!$F$5:$AE$5,0))</f>
        <v>13088</v>
      </c>
      <c r="BT265" s="118">
        <f>INDEX('Gen. Plant Additions'!$F$7:$AE$91,MATCH($C265,'Gen. Plant Additions'!$D$7:$D$91,0),MATCH(Calculation!$G265,'Gen. Plant Additions'!$F$5:$AE$5,0))</f>
        <v>0</v>
      </c>
      <c r="BU265" s="118"/>
      <c r="BV265" s="118"/>
      <c r="BW265" s="118">
        <f>INDEX('Dist Plant Depreciation'!$E$7:$AD$94,MATCH($C265,'Dist Plant Depreciation'!$D$7:$D$94,0),MATCH(Calculation!$G265,'Dist Plant Depreciation'!$E$5:$AD$5,0))</f>
        <v>71549</v>
      </c>
      <c r="BX265" s="118">
        <f>INDEX('Gen. Plant Depreciation'!$E$7:$AD$94,MATCH($C265,'Gen. Plant Depreciation'!$D$7:$D$94,0),MATCH(Calculation!$G265,'Gen. Plant Depreciation'!$E$5:$AD$5,0))</f>
        <v>0</v>
      </c>
      <c r="BY265" s="118"/>
      <c r="BZ265" s="118"/>
      <c r="CA265" s="118"/>
      <c r="CB265" s="118"/>
      <c r="CC265" s="118"/>
      <c r="CD265" s="118"/>
      <c r="CE265" s="118">
        <f>INDEX('Gross Dx Plant'!$E$7:$AD$91,MATCH($C265,'Gross Dx Plant'!$D$7:$D$91,0),MATCH(Calculation!$G265,'Gross Dx Plant'!$E$5:$AD$5,0))</f>
        <v>252699</v>
      </c>
      <c r="CF265" s="118">
        <f>INDEX('Gross Gen Plant'!$E$7:$AD$91,MATCH($C265,'Gross Gen Plant'!$D$7:$D$91,0),MATCH(Calculation!$G265,'Gross Gen Plant'!$E$5:$AD$5,0))</f>
        <v>0</v>
      </c>
      <c r="CG265" s="118">
        <f t="shared" si="637"/>
        <v>181150</v>
      </c>
      <c r="CH265" s="118"/>
      <c r="CI265" s="121">
        <v>2011</v>
      </c>
      <c r="CJ265" s="118"/>
      <c r="CK265" s="118"/>
      <c r="CL265" s="118"/>
      <c r="CM265" s="183"/>
      <c r="CN265" s="118">
        <f t="shared" si="673"/>
        <v>13088</v>
      </c>
      <c r="CO265" s="118">
        <f t="shared" si="674"/>
        <v>21.399219345378736</v>
      </c>
      <c r="CP265" s="186">
        <v>0.92121212121212126</v>
      </c>
      <c r="CQ265" s="118">
        <f>+CQ252*CP265+CO253*CP264+CO254*CP263+CO255*CP262+CO256*CP261+CO257*CP260+CO258*CP259+CO259*CP258+CO260*CP257+CO261*CP256+CO262*CP255+CO263*CP254+CO264*CP253+CO265</f>
        <v>692.79418918676663</v>
      </c>
      <c r="CR265" s="119">
        <f t="shared" si="675"/>
        <v>2.4229994717739938E-2</v>
      </c>
      <c r="CS265" s="119"/>
      <c r="CT265" s="177">
        <f t="shared" si="676"/>
        <v>7.1199150377427439E-3</v>
      </c>
      <c r="CU265" s="177">
        <f t="shared" si="685"/>
        <v>6.9062737516330068E-3</v>
      </c>
      <c r="CV265" s="119">
        <f>VLOOKUP($H265,RoR!$E:$F,2,FALSE)</f>
        <v>4.6391666666666664E-2</v>
      </c>
      <c r="CW265" s="177">
        <v>2.0840920205183799E-2</v>
      </c>
      <c r="CX265" s="177">
        <f t="shared" si="683"/>
        <v>2.5550746461482865E-2</v>
      </c>
      <c r="CY265" s="177">
        <f t="shared" si="686"/>
        <v>2.3995667856900618E-2</v>
      </c>
      <c r="CZ265" s="177">
        <f t="shared" si="687"/>
        <v>2.4810540821321614E-2</v>
      </c>
      <c r="DA265" s="187">
        <f t="shared" si="677"/>
        <v>0.85131374874999999</v>
      </c>
      <c r="DB265" s="188">
        <f t="shared" si="678"/>
        <v>1.1054151524782025</v>
      </c>
      <c r="DC265" s="188">
        <f t="shared" si="679"/>
        <v>0.43611011316687626</v>
      </c>
      <c r="DD265" s="188">
        <f t="shared" si="680"/>
        <v>0.83698442246886229</v>
      </c>
      <c r="DE265" s="188">
        <f t="shared" si="681"/>
        <v>0.40349573304423936</v>
      </c>
      <c r="DF265" s="189">
        <f>INDEX('State Tax Lookup'!$D$7:$Z$91,MATCH(Calculation!$C265,'State Tax Lookup'!$B$7:$B$91,0),MATCH($H265,'State Tax Lookup'!$D$6:$Z$6,0))</f>
        <v>0.39649667</v>
      </c>
      <c r="DG265" s="189">
        <v>0.375</v>
      </c>
      <c r="DH265" s="190">
        <f t="shared" si="684"/>
        <v>20.667281581098496</v>
      </c>
      <c r="DI265" s="190">
        <v>20.33538276970086</v>
      </c>
      <c r="DJ265" s="177"/>
      <c r="DK265" s="189">
        <f>VLOOKUP($H265,RoR!$E:$F,2,FALSE)</f>
        <v>4.6391666666666664E-2</v>
      </c>
      <c r="DL265" s="191">
        <f>HLOOKUP($H265,'GDP-PI'!$D$8:$CQ$11,3,FALSE)</f>
        <v>2.0840920205183799E-2</v>
      </c>
      <c r="DM265" s="189">
        <f>VLOOKUP(H265,'HW Dx Data'!$E:$F,2,FALSE)</f>
        <v>611.61109612283201</v>
      </c>
      <c r="DN265" s="183">
        <f>VLOOKUP(H265,'ECI - Input Price'!$G$17:$H$37,2,FALSE)</f>
        <v>114.3</v>
      </c>
      <c r="DO265" s="177">
        <f t="shared" ref="DO265" si="722">LN(DN265/DN264)</f>
        <v>2.1444394205745516E-2</v>
      </c>
      <c r="DP265" s="183">
        <f>HLOOKUP(H265,'GDP-PI'!$8:$9,2,FALSE)</f>
        <v>98.111999999999995</v>
      </c>
      <c r="DQ265" s="177">
        <f t="shared" ref="DQ265" si="723">LN(DP265/DP264)</f>
        <v>2.0626719212849295E-2</v>
      </c>
    </row>
    <row r="266" spans="1:121" s="167" customFormat="1" ht="21" x14ac:dyDescent="0.35">
      <c r="A266" s="167" t="s">
        <v>41</v>
      </c>
      <c r="B266" s="168" t="s">
        <v>41</v>
      </c>
      <c r="C266" s="168">
        <v>4057076</v>
      </c>
      <c r="D266" s="168" t="s">
        <v>136</v>
      </c>
      <c r="E266" s="168" t="s">
        <v>126</v>
      </c>
      <c r="F266" s="168"/>
      <c r="G266" s="168" t="s">
        <v>18</v>
      </c>
      <c r="H266" s="169">
        <v>2012</v>
      </c>
      <c r="I266" s="170"/>
      <c r="J266" s="166">
        <f>IFERROR(INDEX('Labor Expenditures'!$F$7:$X$91,MATCH($C266,'Labor Expenditures'!$D$7:$D$91,0),MATCH($G266,'Labor Expenditures'!$F$5:$X$5,0)),"NA")</f>
        <v>13681.900192801932</v>
      </c>
      <c r="K266" s="166">
        <f t="shared" si="690"/>
        <v>117.44120337169041</v>
      </c>
      <c r="L266" s="172">
        <f t="shared" si="699"/>
        <v>-2.4037036836607462E-2</v>
      </c>
      <c r="M266" s="172">
        <f t="shared" si="700"/>
        <v>-1.10162837704491E-4</v>
      </c>
      <c r="N266" s="196"/>
      <c r="O266" s="172"/>
      <c r="P266" s="166">
        <f>IFERROR(INDEX('Non-Labor Expenditures'!$F$7:$AB$91,MATCH($C266,'Non-Labor Expenditures'!$D$7:$D$91,0),MATCH($G266,'Non-Labor Expenditures'!$F$5:$AB$5,0)),"NA")</f>
        <v>19813.946905638975</v>
      </c>
      <c r="Q266" s="166">
        <f t="shared" si="691"/>
        <v>198.13946905638974</v>
      </c>
      <c r="R266" s="172">
        <f t="shared" si="701"/>
        <v>-2.4032837370359762E-2</v>
      </c>
      <c r="S266" s="172">
        <f t="shared" si="706"/>
        <v>-1.1014359135886881E-4</v>
      </c>
      <c r="T266" s="172"/>
      <c r="U266" s="172"/>
      <c r="V266" s="166">
        <f t="shared" si="671"/>
        <v>15480.535042795434</v>
      </c>
      <c r="W266" s="170"/>
      <c r="X266" s="174">
        <v>716.77546683201854</v>
      </c>
      <c r="Y266" s="175">
        <v>3.4029665334649156E-2</v>
      </c>
      <c r="Z266" s="175">
        <f t="shared" si="707"/>
        <v>1.5595951052044054E-4</v>
      </c>
      <c r="AA266" s="175"/>
      <c r="AB266" s="175"/>
      <c r="AC266" s="170">
        <f t="shared" si="682"/>
        <v>48976.38214123634</v>
      </c>
      <c r="AD266" s="175">
        <f t="shared" si="702"/>
        <v>2.7702656194153037E-2</v>
      </c>
      <c r="AE266" s="170"/>
      <c r="AF266" s="170"/>
      <c r="AG266" s="121">
        <f t="shared" si="703"/>
        <v>646.97994902557912</v>
      </c>
      <c r="AH266" s="119">
        <f>+AZ266/$BB$50</f>
        <v>2.0906910416697414E-3</v>
      </c>
      <c r="AI266" s="119">
        <f>+AZ266/$BC$50</f>
        <v>8.9215506951502589E-3</v>
      </c>
      <c r="AJ266" s="176">
        <f t="shared" si="708"/>
        <v>1.3526351835677242</v>
      </c>
      <c r="AK266" s="176">
        <f t="shared" si="709"/>
        <v>5.772064413977434</v>
      </c>
      <c r="AL266" s="120">
        <f t="shared" si="692"/>
        <v>0.27935710223238941</v>
      </c>
      <c r="AM266" s="120">
        <f t="shared" si="693"/>
        <v>0.40456126074196791</v>
      </c>
      <c r="AN266" s="120">
        <f t="shared" si="694"/>
        <v>0.31608163702564268</v>
      </c>
      <c r="AO266" s="120">
        <f t="shared" si="710"/>
        <v>-1.6710657952863524E-2</v>
      </c>
      <c r="AP266" s="173">
        <f t="shared" si="714"/>
        <v>167.0652012989282</v>
      </c>
      <c r="AQ266" s="175">
        <f t="shared" si="715"/>
        <v>-1.6710657952863476E-2</v>
      </c>
      <c r="AR266" s="177">
        <f>+AC266/$AE$50</f>
        <v>4.5830456746114951E-3</v>
      </c>
      <c r="AS266" s="177">
        <f t="shared" si="711"/>
        <v>-7.6585708650783141E-5</v>
      </c>
      <c r="AT266" s="177"/>
      <c r="AU266" s="177"/>
      <c r="AV266" s="177"/>
      <c r="AW266" s="190"/>
      <c r="AX266" s="120"/>
      <c r="AY266" s="120"/>
      <c r="AZ266" s="118">
        <f>IFERROR(INDEX('Total Customers'!$F$7:$AB$91,MATCH($C266,'Total Customers'!$D$7:$D$91,0),MATCH($G266,'Total Customers'!$F$5:$AB$5,0)),"NA")</f>
        <v>75700</v>
      </c>
      <c r="BA266" s="119">
        <f t="shared" si="672"/>
        <v>4.0372006256442087E-3</v>
      </c>
      <c r="BB266" s="119"/>
      <c r="BC266" s="121">
        <v>8485072</v>
      </c>
      <c r="BD266" s="119"/>
      <c r="BE266" s="119"/>
      <c r="BF266" s="119"/>
      <c r="BG266" s="173"/>
      <c r="BH266" s="173"/>
      <c r="BI266" s="173"/>
      <c r="BJ266" s="173"/>
      <c r="BK266" s="173"/>
      <c r="BL266" s="173"/>
      <c r="BM266" s="173"/>
      <c r="BN266" s="173"/>
      <c r="BO266" s="173"/>
      <c r="BP266" s="173"/>
      <c r="BQ266" s="118"/>
      <c r="BR266" s="118"/>
      <c r="BS266" s="118">
        <f>INDEX('Dist. Plant Gas Additions'!$F$7:$AE$91,MATCH($C266,'Dist. Plant Gas Additions'!$D$7:$D$91,0),MATCH(Calculation!$G266,'Dist. Plant Gas Additions'!$F$5:$AE$5,0))</f>
        <v>19448</v>
      </c>
      <c r="BT266" s="118">
        <f>INDEX('Gen. Plant Additions'!$F$7:$AE$91,MATCH($C266,'Gen. Plant Additions'!$D$7:$D$91,0),MATCH(Calculation!$G266,'Gen. Plant Additions'!$F$5:$AE$5,0))</f>
        <v>0</v>
      </c>
      <c r="BU266" s="118"/>
      <c r="BV266" s="118"/>
      <c r="BW266" s="118">
        <f>INDEX('Dist Plant Depreciation'!$E$7:$AD$94,MATCH($C266,'Dist Plant Depreciation'!$D$7:$D$94,0),MATCH(Calculation!$G266,'Dist Plant Depreciation'!$E$5:$AD$5,0))</f>
        <v>75443</v>
      </c>
      <c r="BX266" s="118">
        <f>INDEX('Gen. Plant Depreciation'!$E$7:$AD$94,MATCH($C266,'Gen. Plant Depreciation'!$D$7:$D$94,0),MATCH(Calculation!$G266,'Gen. Plant Depreciation'!$E$5:$AD$5,0))</f>
        <v>0</v>
      </c>
      <c r="BY266" s="118"/>
      <c r="BZ266" s="118"/>
      <c r="CA266" s="118"/>
      <c r="CB266" s="118"/>
      <c r="CC266" s="118"/>
      <c r="CD266" s="118"/>
      <c r="CE266" s="118">
        <f>INDEX('Gross Dx Plant'!$E$7:$AD$91,MATCH($C266,'Gross Dx Plant'!$D$7:$D$91,0),MATCH(Calculation!$G266,'Gross Dx Plant'!$E$5:$AD$5,0))</f>
        <v>270716</v>
      </c>
      <c r="CF266" s="118">
        <f>INDEX('Gross Gen Plant'!$E$7:$AD$91,MATCH($C266,'Gross Gen Plant'!$D$7:$D$91,0),MATCH(Calculation!$G266,'Gross Gen Plant'!$E$5:$AD$5,0))</f>
        <v>0</v>
      </c>
      <c r="CG266" s="118">
        <f t="shared" si="637"/>
        <v>195273</v>
      </c>
      <c r="CH266" s="118"/>
      <c r="CI266" s="121">
        <v>2012</v>
      </c>
      <c r="CJ266" s="118"/>
      <c r="CK266" s="118"/>
      <c r="CL266" s="118"/>
      <c r="CM266" s="183"/>
      <c r="CN266" s="118">
        <f t="shared" si="673"/>
        <v>19448</v>
      </c>
      <c r="CO266" s="118">
        <f t="shared" si="674"/>
        <v>29.073760253446029</v>
      </c>
      <c r="CP266" s="186">
        <v>0.9135802469135802</v>
      </c>
      <c r="CQ266" s="118">
        <f>+CQ252*CP266+CO253*CP265+CO254*CP264+CO255*CP263+CO256*CP262+CO257*CP261+CO258*CP260+CO259*CP259+CO260*CP258+CO261*CP257+CO262*CP256+CO263*CP255+CO264*CP254+CO265*CP253+CO266</f>
        <v>716.77546683201854</v>
      </c>
      <c r="CR266" s="119">
        <f t="shared" si="675"/>
        <v>3.4029665334649156E-2</v>
      </c>
      <c r="CS266" s="119"/>
      <c r="CT266" s="177">
        <f t="shared" si="676"/>
        <v>7.3506427849400835E-3</v>
      </c>
      <c r="CU266" s="177">
        <f t="shared" si="685"/>
        <v>7.1207070592354304E-3</v>
      </c>
      <c r="CV266" s="119">
        <f>VLOOKUP($H266,RoR!$E:$F,2,FALSE)</f>
        <v>3.6733333333333333E-2</v>
      </c>
      <c r="CW266" s="177">
        <v>1.924331376386168E-2</v>
      </c>
      <c r="CX266" s="177">
        <f t="shared" si="683"/>
        <v>1.7490019569471653E-2</v>
      </c>
      <c r="CY266" s="177">
        <f t="shared" si="686"/>
        <v>2.3781234549298196E-2</v>
      </c>
      <c r="CZ266" s="177">
        <f t="shared" si="687"/>
        <v>6.7122682943869583E-2</v>
      </c>
      <c r="DA266" s="187">
        <f t="shared" si="677"/>
        <v>0.85131374874999999</v>
      </c>
      <c r="DB266" s="188">
        <f t="shared" si="678"/>
        <v>1.3960631020522127</v>
      </c>
      <c r="DC266" s="188">
        <f t="shared" si="679"/>
        <v>0.29441923774954631</v>
      </c>
      <c r="DD266" s="188">
        <f t="shared" si="680"/>
        <v>0.76377954189366437</v>
      </c>
      <c r="DE266" s="188">
        <f t="shared" si="681"/>
        <v>0.31393465103033691</v>
      </c>
      <c r="DF266" s="189">
        <f>INDEX('State Tax Lookup'!$D$7:$Z$91,MATCH(Calculation!$C266,'State Tax Lookup'!$B$7:$B$91,0),MATCH($H266,'State Tax Lookup'!$D$6:$Z$6,0))</f>
        <v>0.39649667</v>
      </c>
      <c r="DG266" s="189">
        <v>0.375</v>
      </c>
      <c r="DH266" s="190">
        <f t="shared" si="684"/>
        <v>22.345070562683546</v>
      </c>
      <c r="DI266" s="190">
        <v>22.018193631659539</v>
      </c>
      <c r="DJ266" s="177"/>
      <c r="DK266" s="189">
        <f>VLOOKUP($H266,RoR!$E:$F,2,FALSE)</f>
        <v>3.6733333333333333E-2</v>
      </c>
      <c r="DL266" s="191">
        <f>HLOOKUP($H266,'GDP-PI'!$D$8:$CQ$11,3,FALSE)</f>
        <v>1.924331376386168E-2</v>
      </c>
      <c r="DM266" s="189">
        <f>VLOOKUP(H266,'HW Dx Data'!$E:$F,2,FALSE)</f>
        <v>668.91932211262167</v>
      </c>
      <c r="DN266" s="183">
        <f>VLOOKUP(H266,'ECI - Input Price'!$G$17:$H$37,2,FALSE)</f>
        <v>116.5</v>
      </c>
      <c r="DO266" s="177">
        <f t="shared" ref="DO266" si="724">LN(DN266/DN265)</f>
        <v>1.9064702204990347E-2</v>
      </c>
      <c r="DP266" s="183">
        <f>HLOOKUP(H266,'GDP-PI'!$8:$9,2,FALSE)</f>
        <v>100</v>
      </c>
      <c r="DQ266" s="177">
        <f t="shared" ref="DQ266" si="725">LN(DP266/DP265)</f>
        <v>1.9060502738742411E-2</v>
      </c>
    </row>
    <row r="267" spans="1:121" s="167" customFormat="1" ht="21" x14ac:dyDescent="0.35">
      <c r="A267" s="167" t="s">
        <v>41</v>
      </c>
      <c r="B267" s="168" t="s">
        <v>41</v>
      </c>
      <c r="C267" s="168">
        <v>4057076</v>
      </c>
      <c r="D267" s="168" t="s">
        <v>136</v>
      </c>
      <c r="E267" s="168" t="s">
        <v>126</v>
      </c>
      <c r="F267" s="168"/>
      <c r="G267" s="168" t="s">
        <v>19</v>
      </c>
      <c r="H267" s="169">
        <v>2013</v>
      </c>
      <c r="I267" s="170"/>
      <c r="J267" s="166">
        <f>IFERROR(INDEX('Labor Expenditures'!$F$7:$X$91,MATCH($C267,'Labor Expenditures'!$D$7:$D$91,0),MATCH($G267,'Labor Expenditures'!$F$5:$X$5,0)),"NA")</f>
        <v>14451.438658423232</v>
      </c>
      <c r="K267" s="166">
        <f t="shared" si="690"/>
        <v>121.72195121855745</v>
      </c>
      <c r="L267" s="172">
        <f t="shared" si="699"/>
        <v>3.5801543778809959E-2</v>
      </c>
      <c r="M267" s="172">
        <f t="shared" si="700"/>
        <v>1.651173243891332E-4</v>
      </c>
      <c r="N267" s="196"/>
      <c r="O267" s="172"/>
      <c r="P267" s="166">
        <f>IFERROR(INDEX('Non-Labor Expenditures'!$F$7:$AB$91,MATCH($C267,'Non-Labor Expenditures'!$D$7:$D$91,0),MATCH($G267,'Non-Labor Expenditures'!$F$5:$AB$5,0)),"NA")</f>
        <v>20928.382333817957</v>
      </c>
      <c r="Q267" s="166">
        <f t="shared" si="691"/>
        <v>205.63786400929479</v>
      </c>
      <c r="R267" s="172">
        <f t="shared" si="701"/>
        <v>3.7145508191729786E-2</v>
      </c>
      <c r="S267" s="172">
        <f t="shared" si="706"/>
        <v>1.7131571095331478E-4</v>
      </c>
      <c r="T267" s="172"/>
      <c r="U267" s="172"/>
      <c r="V267" s="166">
        <f t="shared" si="671"/>
        <v>15743.783874975972</v>
      </c>
      <c r="W267" s="170"/>
      <c r="X267" s="174">
        <v>765.64013199788974</v>
      </c>
      <c r="Y267" s="175">
        <v>6.5949622664719723E-2</v>
      </c>
      <c r="Z267" s="175">
        <f t="shared" si="707"/>
        <v>3.0416077323784673E-4</v>
      </c>
      <c r="AA267" s="175"/>
      <c r="AB267" s="175"/>
      <c r="AC267" s="170">
        <f t="shared" si="682"/>
        <v>51123.60486721716</v>
      </c>
      <c r="AD267" s="175">
        <f t="shared" si="702"/>
        <v>4.2908140534783902E-2</v>
      </c>
      <c r="AE267" s="170"/>
      <c r="AF267" s="170"/>
      <c r="AG267" s="121">
        <f t="shared" si="703"/>
        <v>666.47031427252909</v>
      </c>
      <c r="AH267" s="119">
        <f>+AZ267/$BB$51</f>
        <v>2.1049856672624339E-3</v>
      </c>
      <c r="AI267" s="119">
        <f>+AZ267/$BC$51</f>
        <v>8.9875465748306283E-3</v>
      </c>
      <c r="AJ267" s="176">
        <f t="shared" si="708"/>
        <v>1.4029104591995636</v>
      </c>
      <c r="AK267" s="176">
        <f t="shared" si="709"/>
        <v>5.9899329902663609</v>
      </c>
      <c r="AL267" s="120">
        <f t="shared" si="692"/>
        <v>0.28267644067662701</v>
      </c>
      <c r="AM267" s="120">
        <f t="shared" si="693"/>
        <v>0.40936828277612741</v>
      </c>
      <c r="AN267" s="120">
        <f t="shared" si="694"/>
        <v>0.30795527654724558</v>
      </c>
      <c r="AO267" s="120">
        <f t="shared" si="710"/>
        <v>2.5177747508929555E-2</v>
      </c>
      <c r="AP267" s="173">
        <f t="shared" si="714"/>
        <v>171.32492687794394</v>
      </c>
      <c r="AQ267" s="175">
        <f t="shared" si="715"/>
        <v>2.5177747508929486E-2</v>
      </c>
      <c r="AR267" s="177">
        <f>+AC267/$AE$51</f>
        <v>4.6120168842233569E-3</v>
      </c>
      <c r="AS267" s="177">
        <f t="shared" si="711"/>
        <v>1.1612019661789535E-4</v>
      </c>
      <c r="AT267" s="177"/>
      <c r="AU267" s="177"/>
      <c r="AV267" s="177"/>
      <c r="AW267" s="190"/>
      <c r="AX267" s="120"/>
      <c r="AY267" s="120"/>
      <c r="AZ267" s="118">
        <f>IFERROR(INDEX('Total Customers'!$F$7:$AB$91,MATCH($C267,'Total Customers'!$D$7:$D$91,0),MATCH($G267,'Total Customers'!$F$5:$AB$5,0)),"NA")</f>
        <v>76708</v>
      </c>
      <c r="BA267" s="119">
        <f t="shared" si="672"/>
        <v>1.3227844967866088E-2</v>
      </c>
      <c r="BB267" s="119"/>
      <c r="BC267" s="121">
        <v>8534921</v>
      </c>
      <c r="BD267" s="119"/>
      <c r="BE267" s="119"/>
      <c r="BF267" s="119"/>
      <c r="BG267" s="173"/>
      <c r="BH267" s="173"/>
      <c r="BI267" s="173"/>
      <c r="BJ267" s="173"/>
      <c r="BK267" s="173"/>
      <c r="BL267" s="173"/>
      <c r="BM267" s="173"/>
      <c r="BN267" s="173"/>
      <c r="BO267" s="173"/>
      <c r="BP267" s="173"/>
      <c r="BQ267" s="118"/>
      <c r="BR267" s="118"/>
      <c r="BS267" s="118">
        <f>INDEX('Dist. Plant Gas Additions'!$F$7:$AE$91,MATCH($C267,'Dist. Plant Gas Additions'!$D$7:$D$91,0),MATCH(Calculation!$G267,'Dist. Plant Gas Additions'!$F$5:$AE$5,0))</f>
        <v>36005</v>
      </c>
      <c r="BT267" s="118">
        <f>INDEX('Gen. Plant Additions'!$F$7:$AE$91,MATCH($C267,'Gen. Plant Additions'!$D$7:$D$91,0),MATCH(Calculation!$G267,'Gen. Plant Additions'!$F$5:$AE$5,0))</f>
        <v>0</v>
      </c>
      <c r="BU267" s="118"/>
      <c r="BV267" s="118"/>
      <c r="BW267" s="118">
        <f>INDEX('Dist Plant Depreciation'!$E$7:$AD$94,MATCH($C267,'Dist Plant Depreciation'!$D$7:$D$94,0),MATCH(Calculation!$G267,'Dist Plant Depreciation'!$E$5:$AD$5,0))</f>
        <v>78709</v>
      </c>
      <c r="BX267" s="118">
        <f>INDEX('Gen. Plant Depreciation'!$E$7:$AD$94,MATCH($C267,'Gen. Plant Depreciation'!$D$7:$D$94,0),MATCH(Calculation!$G267,'Gen. Plant Depreciation'!$E$5:$AD$5,0))</f>
        <v>0</v>
      </c>
      <c r="BY267" s="118"/>
      <c r="BZ267" s="118"/>
      <c r="CA267" s="118"/>
      <c r="CB267" s="118"/>
      <c r="CC267" s="118"/>
      <c r="CD267" s="118"/>
      <c r="CE267" s="118">
        <f>INDEX('Gross Dx Plant'!$E$7:$AD$91,MATCH($C267,'Gross Dx Plant'!$D$7:$D$91,0),MATCH(Calculation!$G267,'Gross Dx Plant'!$E$5:$AD$5,0))</f>
        <v>304469</v>
      </c>
      <c r="CF267" s="118">
        <f>INDEX('Gross Gen Plant'!$E$7:$AD$91,MATCH($C267,'Gross Gen Plant'!$D$7:$D$91,0),MATCH(Calculation!$G267,'Gross Gen Plant'!$E$5:$AD$5,0))</f>
        <v>0</v>
      </c>
      <c r="CG267" s="118">
        <f t="shared" si="637"/>
        <v>225760</v>
      </c>
      <c r="CH267" s="118"/>
      <c r="CI267" s="121">
        <v>2013</v>
      </c>
      <c r="CJ267" s="118"/>
      <c r="CK267" s="118"/>
      <c r="CL267" s="118"/>
      <c r="CM267" s="183"/>
      <c r="CN267" s="118">
        <f t="shared" si="673"/>
        <v>36005</v>
      </c>
      <c r="CO267" s="118">
        <f t="shared" si="674"/>
        <v>54.285844793696704</v>
      </c>
      <c r="CP267" s="186">
        <v>0.90566037735849059</v>
      </c>
      <c r="CQ267" s="118">
        <f>+CQ252*CP267+CO253*CP266+CO254*CP265+CO255*CP264+CO256*CP263+CO257*CP262+CO258*CP261+CO259*CP260+CO260*CP259+CO261*CP258+CO262*CP257+CO263*CP256+CO264*CP255+CO265*CP254+CO266*CP253+CO267</f>
        <v>765.64013199788974</v>
      </c>
      <c r="CR267" s="119">
        <f t="shared" si="675"/>
        <v>6.5949622664719723E-2</v>
      </c>
      <c r="CS267" s="119"/>
      <c r="CT267" s="177">
        <f t="shared" si="676"/>
        <v>7.5632884755192026E-3</v>
      </c>
      <c r="CU267" s="177">
        <f t="shared" si="685"/>
        <v>7.3446154327340097E-3</v>
      </c>
      <c r="CV267" s="119">
        <f>VLOOKUP($H267,RoR!$E:$F,2,FALSE)</f>
        <v>4.2350000000000006E-2</v>
      </c>
      <c r="CW267" s="177">
        <v>1.7730000000000024E-2</v>
      </c>
      <c r="CX267" s="177">
        <f t="shared" si="683"/>
        <v>2.4619999999999982E-2</v>
      </c>
      <c r="CY267" s="177">
        <f t="shared" si="686"/>
        <v>2.3557326175799614E-2</v>
      </c>
      <c r="CZ267" s="177">
        <f t="shared" si="687"/>
        <v>5.3376742735721204E-2</v>
      </c>
      <c r="DA267" s="187">
        <f t="shared" si="677"/>
        <v>0.85131374874999999</v>
      </c>
      <c r="DB267" s="188">
        <f t="shared" si="678"/>
        <v>1.2109103018193925</v>
      </c>
      <c r="DC267" s="188">
        <f t="shared" si="679"/>
        <v>0.38468122786304604</v>
      </c>
      <c r="DD267" s="188">
        <f t="shared" si="680"/>
        <v>0.80969194503422559</v>
      </c>
      <c r="DE267" s="188">
        <f t="shared" si="681"/>
        <v>0.37716621754800816</v>
      </c>
      <c r="DF267" s="189">
        <f>INDEX('State Tax Lookup'!$D$7:$Z$91,MATCH(Calculation!$C267,'State Tax Lookup'!$B$7:$B$91,0),MATCH($H267,'State Tax Lookup'!$D$6:$Z$6,0))</f>
        <v>0.39649667</v>
      </c>
      <c r="DG267" s="189">
        <v>0.375</v>
      </c>
      <c r="DH267" s="190">
        <f t="shared" si="684"/>
        <v>21.964735964750368</v>
      </c>
      <c r="DI267" s="190">
        <v>21.648722394390042</v>
      </c>
      <c r="DJ267" s="177"/>
      <c r="DK267" s="189">
        <f>VLOOKUP($H267,RoR!$E:$F,2,FALSE)</f>
        <v>4.2350000000000006E-2</v>
      </c>
      <c r="DL267" s="191">
        <f>HLOOKUP($H267,'GDP-PI'!$D$8:$CQ$11,3,FALSE)</f>
        <v>1.7730000000000024E-2</v>
      </c>
      <c r="DM267" s="189">
        <f>VLOOKUP(H267,'HW Dx Data'!$E:$F,2,FALSE)</f>
        <v>663.24840548821396</v>
      </c>
      <c r="DN267" s="183">
        <f>VLOOKUP(H267,'ECI - Input Price'!$G$17:$H$37,2,FALSE)</f>
        <v>118.72499999999999</v>
      </c>
      <c r="DO267" s="177">
        <f t="shared" ref="DO267" si="726">LN(DN267/DN266)</f>
        <v>1.8918621429430321E-2</v>
      </c>
      <c r="DP267" s="183">
        <f>HLOOKUP(H267,'GDP-PI'!$8:$9,2,FALSE)</f>
        <v>101.773</v>
      </c>
      <c r="DQ267" s="177">
        <f t="shared" ref="DQ267" si="727">LN(DP267/DP266)</f>
        <v>1.7574657016510519E-2</v>
      </c>
    </row>
    <row r="268" spans="1:121" s="167" customFormat="1" ht="21" x14ac:dyDescent="0.35">
      <c r="A268" s="167" t="s">
        <v>41</v>
      </c>
      <c r="B268" s="168" t="s">
        <v>41</v>
      </c>
      <c r="C268" s="168">
        <v>4057076</v>
      </c>
      <c r="D268" s="168" t="s">
        <v>136</v>
      </c>
      <c r="E268" s="168" t="s">
        <v>126</v>
      </c>
      <c r="F268" s="168"/>
      <c r="G268" s="168" t="s">
        <v>20</v>
      </c>
      <c r="H268" s="169">
        <v>2014</v>
      </c>
      <c r="I268" s="170"/>
      <c r="J268" s="166">
        <f>IFERROR(INDEX('Labor Expenditures'!$F$7:$X$91,MATCH($C268,'Labor Expenditures'!$D$7:$D$91,0),MATCH($G268,'Labor Expenditures'!$F$5:$X$5,0)),"NA")</f>
        <v>14691.301987625618</v>
      </c>
      <c r="K268" s="166">
        <f t="shared" si="690"/>
        <v>121.21536293420478</v>
      </c>
      <c r="L268" s="172">
        <f t="shared" si="699"/>
        <v>-4.1705328009507018E-3</v>
      </c>
      <c r="M268" s="172">
        <f t="shared" si="700"/>
        <v>-1.9496412897863027E-5</v>
      </c>
      <c r="N268" s="196"/>
      <c r="O268" s="172"/>
      <c r="P268" s="166">
        <f>IFERROR(INDEX('Non-Labor Expenditures'!$F$7:$AB$91,MATCH($C268,'Non-Labor Expenditures'!$D$7:$D$91,0),MATCH($G268,'Non-Labor Expenditures'!$F$5:$AB$5,0)),"NA")</f>
        <v>21275.74923479318</v>
      </c>
      <c r="Q268" s="166">
        <f t="shared" si="691"/>
        <v>205.27124986534275</v>
      </c>
      <c r="R268" s="172">
        <f t="shared" si="701"/>
        <v>-1.7844054991780136E-3</v>
      </c>
      <c r="S268" s="172">
        <f t="shared" si="706"/>
        <v>-8.3417414631678314E-6</v>
      </c>
      <c r="T268" s="172"/>
      <c r="U268" s="172"/>
      <c r="V268" s="166">
        <f t="shared" si="671"/>
        <v>17231.279898646808</v>
      </c>
      <c r="W268" s="170"/>
      <c r="X268" s="174">
        <v>794.11993402431949</v>
      </c>
      <c r="Y268" s="175">
        <v>3.6522242468710747E-2</v>
      </c>
      <c r="Z268" s="175">
        <f t="shared" si="707"/>
        <v>1.7073423303697209E-4</v>
      </c>
      <c r="AA268" s="175"/>
      <c r="AB268" s="175"/>
      <c r="AC268" s="170">
        <f t="shared" si="682"/>
        <v>53198.33112106561</v>
      </c>
      <c r="AD268" s="175">
        <f t="shared" si="702"/>
        <v>3.9780700620936645E-2</v>
      </c>
      <c r="AE268" s="170"/>
      <c r="AF268" s="170"/>
      <c r="AG268" s="121">
        <f t="shared" si="703"/>
        <v>683.47570014859139</v>
      </c>
      <c r="AH268" s="119">
        <f>+AZ268/$BB$52</f>
        <v>2.1244465385885534E-3</v>
      </c>
      <c r="AI268" s="119">
        <f>+AZ268/$BC$52</f>
        <v>9.0508402914781048E-3</v>
      </c>
      <c r="AJ268" s="176">
        <f t="shared" si="708"/>
        <v>1.4520075853900629</v>
      </c>
      <c r="AK268" s="176">
        <f t="shared" si="709"/>
        <v>6.1860294051510785</v>
      </c>
      <c r="AL268" s="120">
        <f t="shared" si="692"/>
        <v>0.27616095614338021</v>
      </c>
      <c r="AM268" s="120">
        <f t="shared" si="693"/>
        <v>0.39993264424733721</v>
      </c>
      <c r="AN268" s="120">
        <f t="shared" si="694"/>
        <v>0.32390639960928252</v>
      </c>
      <c r="AO268" s="120">
        <f t="shared" si="710"/>
        <v>-1.8873853592531391E-3</v>
      </c>
      <c r="AP268" s="173">
        <f t="shared" si="714"/>
        <v>171.00187567623195</v>
      </c>
      <c r="AQ268" s="175">
        <f t="shared" si="715"/>
        <v>-1.8873853592532995E-3</v>
      </c>
      <c r="AR268" s="177">
        <f>+AC268/$AE$52</f>
        <v>4.6748014770243949E-3</v>
      </c>
      <c r="AS268" s="177">
        <f t="shared" si="711"/>
        <v>-8.8231518651515425E-6</v>
      </c>
      <c r="AT268" s="177"/>
      <c r="AU268" s="177"/>
      <c r="AV268" s="177"/>
      <c r="AW268" s="190"/>
      <c r="AX268" s="120"/>
      <c r="AY268" s="120"/>
      <c r="AZ268" s="118">
        <f>IFERROR(INDEX('Total Customers'!$F$7:$AB$91,MATCH($C268,'Total Customers'!$D$7:$D$91,0),MATCH($G268,'Total Customers'!$F$5:$AB$5,0)),"NA")</f>
        <v>77835</v>
      </c>
      <c r="BA268" s="119">
        <f t="shared" si="672"/>
        <v>1.4585196076543471E-2</v>
      </c>
      <c r="BB268" s="119"/>
      <c r="BC268" s="121">
        <v>8599754</v>
      </c>
      <c r="BD268" s="119"/>
      <c r="BE268" s="119"/>
      <c r="BF268" s="119"/>
      <c r="BG268" s="173"/>
      <c r="BH268" s="173"/>
      <c r="BI268" s="173"/>
      <c r="BJ268" s="173"/>
      <c r="BK268" s="173"/>
      <c r="BL268" s="173"/>
      <c r="BM268" s="173"/>
      <c r="BN268" s="173"/>
      <c r="BO268" s="173"/>
      <c r="BP268" s="173"/>
      <c r="BQ268" s="118"/>
      <c r="BR268" s="118"/>
      <c r="BS268" s="118">
        <f>INDEX('Dist. Plant Gas Additions'!$F$7:$AE$91,MATCH($C268,'Dist. Plant Gas Additions'!$D$7:$D$91,0),MATCH(Calculation!$G268,'Dist. Plant Gas Additions'!$F$5:$AE$5,0))</f>
        <v>23525</v>
      </c>
      <c r="BT268" s="118">
        <f>INDEX('Gen. Plant Additions'!$F$7:$AE$91,MATCH($C268,'Gen. Plant Additions'!$D$7:$D$91,0),MATCH(Calculation!$G268,'Gen. Plant Additions'!$F$5:$AE$5,0))</f>
        <v>0</v>
      </c>
      <c r="BU268" s="118"/>
      <c r="BV268" s="118"/>
      <c r="BW268" s="118">
        <f>INDEX('Dist Plant Depreciation'!$E$7:$AD$94,MATCH($C268,'Dist Plant Depreciation'!$D$7:$D$94,0),MATCH(Calculation!$G268,'Dist Plant Depreciation'!$E$5:$AD$5,0))</f>
        <v>84618</v>
      </c>
      <c r="BX268" s="118">
        <f>INDEX('Gen. Plant Depreciation'!$E$7:$AD$94,MATCH($C268,'Gen. Plant Depreciation'!$D$7:$D$94,0),MATCH(Calculation!$G268,'Gen. Plant Depreciation'!$E$5:$AD$5,0))</f>
        <v>0</v>
      </c>
      <c r="BY268" s="118"/>
      <c r="BZ268" s="118"/>
      <c r="CA268" s="118"/>
      <c r="CB268" s="118"/>
      <c r="CC268" s="118"/>
      <c r="CD268" s="118"/>
      <c r="CE268" s="118">
        <f>INDEX('Gross Dx Plant'!$E$7:$AD$91,MATCH($C268,'Gross Dx Plant'!$D$7:$D$91,0),MATCH(Calculation!$G268,'Gross Dx Plant'!$E$5:$AD$5,0))</f>
        <v>326724</v>
      </c>
      <c r="CF268" s="118">
        <f>INDEX('Gross Gen Plant'!$E$7:$AD$91,MATCH($C268,'Gross Gen Plant'!$D$7:$D$91,0),MATCH(Calculation!$G268,'Gross Gen Plant'!$E$5:$AD$5,0))</f>
        <v>0</v>
      </c>
      <c r="CG268" s="118">
        <f t="shared" si="637"/>
        <v>242106</v>
      </c>
      <c r="CH268" s="118"/>
      <c r="CI268" s="121">
        <v>2014</v>
      </c>
      <c r="CJ268" s="118"/>
      <c r="CK268" s="118"/>
      <c r="CL268" s="118"/>
      <c r="CM268" s="183"/>
      <c r="CN268" s="118">
        <f t="shared" si="673"/>
        <v>23525</v>
      </c>
      <c r="CO268" s="118">
        <f t="shared" si="674"/>
        <v>34.369701316310056</v>
      </c>
      <c r="CP268" s="186">
        <v>0.89743589743589747</v>
      </c>
      <c r="CQ268" s="118">
        <f>+CQ252*CP268+CO253*CP267+CO254*CP266+CO255*CP265+CO256*CP264+CO257*CP263+CO258*CP262+CO259*CP261+CO260*CP260+CO261*CP259+CO262*CP258+CO263*CP257+CO264*CP256+CO265*CP255+CO266*CP254+CO267*CP253+CO268</f>
        <v>794.11993402431949</v>
      </c>
      <c r="CR268" s="119">
        <f t="shared" si="675"/>
        <v>3.6522242468710747E-2</v>
      </c>
      <c r="CS268" s="119"/>
      <c r="CT268" s="177">
        <f t="shared" si="676"/>
        <v>7.6927776428215473E-3</v>
      </c>
      <c r="CU268" s="177">
        <f t="shared" si="685"/>
        <v>7.5355696344269439E-3</v>
      </c>
      <c r="CV268" s="119">
        <f>VLOOKUP($H268,RoR!$E:$F,2,FALSE)</f>
        <v>4.1625000000000002E-2</v>
      </c>
      <c r="CW268" s="177">
        <v>1.841352814597208E-2</v>
      </c>
      <c r="CX268" s="177">
        <f t="shared" si="683"/>
        <v>2.3211471854027922E-2</v>
      </c>
      <c r="CY268" s="177">
        <f t="shared" si="686"/>
        <v>2.3366371974106681E-2</v>
      </c>
      <c r="CZ268" s="177">
        <f t="shared" si="687"/>
        <v>3.9072621432650924E-2</v>
      </c>
      <c r="DA268" s="187">
        <f t="shared" si="677"/>
        <v>0.85131374874999999</v>
      </c>
      <c r="DB268" s="188">
        <f t="shared" si="678"/>
        <v>1.2320012320012319</v>
      </c>
      <c r="DC268" s="188">
        <f t="shared" si="679"/>
        <v>0.37439939939939942</v>
      </c>
      <c r="DD268" s="188">
        <f t="shared" si="680"/>
        <v>0.80432100613819935</v>
      </c>
      <c r="DE268" s="188">
        <f t="shared" si="681"/>
        <v>0.37100152660040037</v>
      </c>
      <c r="DF268" s="189">
        <f>INDEX('State Tax Lookup'!$D$7:$Z$91,MATCH(Calculation!$C268,'State Tax Lookup'!$B$7:$B$91,0),MATCH($H268,'State Tax Lookup'!$D$6:$Z$6,0))</f>
        <v>0.39649667</v>
      </c>
      <c r="DG268" s="189">
        <v>0.375</v>
      </c>
      <c r="DH268" s="190">
        <f t="shared" si="684"/>
        <v>22.505716691839112</v>
      </c>
      <c r="DI268" s="190">
        <v>22.226438601201753</v>
      </c>
      <c r="DJ268" s="177"/>
      <c r="DK268" s="189">
        <f>VLOOKUP($H268,RoR!$E:$F,2,FALSE)</f>
        <v>4.1625000000000002E-2</v>
      </c>
      <c r="DL268" s="191">
        <f>HLOOKUP($H268,'GDP-PI'!$D$8:$CQ$11,3,FALSE)</f>
        <v>1.841352814597208E-2</v>
      </c>
      <c r="DM268" s="189">
        <f>VLOOKUP(H268,'HW Dx Data'!$E:$F,2,FALSE)</f>
        <v>684.46914285042885</v>
      </c>
      <c r="DN268" s="183">
        <f>VLOOKUP(H268,'ECI - Input Price'!$G$17:$H$37,2,FALSE)</f>
        <v>121.2</v>
      </c>
      <c r="DO268" s="177">
        <f t="shared" ref="DO268" si="728">LN(DN268/DN267)</f>
        <v>2.0632179200028689E-2</v>
      </c>
      <c r="DP268" s="183">
        <f>HLOOKUP(H268,'GDP-PI'!$8:$9,2,FALSE)</f>
        <v>103.64700000000001</v>
      </c>
      <c r="DQ268" s="177">
        <f t="shared" ref="DQ268" si="729">LN(DP268/DP267)</f>
        <v>1.8246051898256087E-2</v>
      </c>
    </row>
    <row r="269" spans="1:121" s="167" customFormat="1" ht="21" x14ac:dyDescent="0.35">
      <c r="A269" s="167" t="s">
        <v>41</v>
      </c>
      <c r="B269" s="168" t="s">
        <v>41</v>
      </c>
      <c r="C269" s="168">
        <v>4057076</v>
      </c>
      <c r="D269" s="168" t="s">
        <v>136</v>
      </c>
      <c r="E269" s="168" t="s">
        <v>126</v>
      </c>
      <c r="F269" s="168"/>
      <c r="G269" s="168" t="s">
        <v>21</v>
      </c>
      <c r="H269" s="169">
        <v>2015</v>
      </c>
      <c r="I269" s="170"/>
      <c r="J269" s="166">
        <f>IFERROR(INDEX('Labor Expenditures'!$F$7:$X$91,MATCH($C269,'Labor Expenditures'!$D$7:$D$91,0),MATCH($G269,'Labor Expenditures'!$F$5:$X$5,0)),"NA")</f>
        <v>14166.783364681485</v>
      </c>
      <c r="K269" s="166">
        <f t="shared" si="690"/>
        <v>114.47905749237563</v>
      </c>
      <c r="L269" s="172">
        <f t="shared" si="699"/>
        <v>-5.7176920216517803E-2</v>
      </c>
      <c r="M269" s="172">
        <f t="shared" si="700"/>
        <v>-2.5976637235278774E-4</v>
      </c>
      <c r="N269" s="196"/>
      <c r="O269" s="172"/>
      <c r="P269" s="166">
        <f>IFERROR(INDEX('Non-Labor Expenditures'!$F$7:$AB$91,MATCH($C269,'Non-Labor Expenditures'!$D$7:$D$91,0),MATCH($G269,'Non-Labor Expenditures'!$F$5:$AB$5,0)),"NA")</f>
        <v>20516.148302204769</v>
      </c>
      <c r="Q269" s="166">
        <f t="shared" si="691"/>
        <v>196.0659821118777</v>
      </c>
      <c r="R269" s="172">
        <f t="shared" si="701"/>
        <v>-4.588102858837495E-2</v>
      </c>
      <c r="S269" s="172">
        <f t="shared" si="706"/>
        <v>-2.0844684028248209E-4</v>
      </c>
      <c r="T269" s="172"/>
      <c r="U269" s="172"/>
      <c r="V269" s="166">
        <f t="shared" si="671"/>
        <v>17540.00046854846</v>
      </c>
      <c r="W269" s="170"/>
      <c r="X269" s="174">
        <v>842.11753915286272</v>
      </c>
      <c r="Y269" s="175">
        <v>5.8685099444613718E-2</v>
      </c>
      <c r="Z269" s="175">
        <f t="shared" si="707"/>
        <v>2.666183371920399E-4</v>
      </c>
      <c r="AA269" s="175"/>
      <c r="AB269" s="175"/>
      <c r="AC269" s="170">
        <f t="shared" si="682"/>
        <v>52222.932135434712</v>
      </c>
      <c r="AD269" s="175">
        <f t="shared" si="702"/>
        <v>-1.8505314592492644E-2</v>
      </c>
      <c r="AE269" s="170"/>
      <c r="AF269" s="170"/>
      <c r="AG269" s="121">
        <f t="shared" si="703"/>
        <v>660.24744785368046</v>
      </c>
      <c r="AH269" s="119">
        <f>+AZ269/$BB$53</f>
        <v>2.141360136501692E-3</v>
      </c>
      <c r="AI269" s="119">
        <f>+AZ269/$BC$53</f>
        <v>9.1344271102257752E-3</v>
      </c>
      <c r="AJ269" s="176">
        <f t="shared" si="708"/>
        <v>1.4138275650608509</v>
      </c>
      <c r="AK269" s="176">
        <f t="shared" si="709"/>
        <v>6.0309821871320377</v>
      </c>
      <c r="AL269" s="120">
        <f t="shared" si="692"/>
        <v>0.27127514265076907</v>
      </c>
      <c r="AM269" s="120">
        <f t="shared" si="693"/>
        <v>0.3928570737659518</v>
      </c>
      <c r="AN269" s="120">
        <f t="shared" si="694"/>
        <v>0.33586778358327918</v>
      </c>
      <c r="AO269" s="120">
        <f t="shared" si="710"/>
        <v>-3.3837358930566129E-2</v>
      </c>
      <c r="AP269" s="173">
        <f t="shared" si="714"/>
        <v>165.31242467143733</v>
      </c>
      <c r="AQ269" s="175">
        <f t="shared" si="715"/>
        <v>-3.3837358930566053E-2</v>
      </c>
      <c r="AR269" s="177">
        <f>+AC269/$AE$53</f>
        <v>4.5432032954748763E-3</v>
      </c>
      <c r="AS269" s="177">
        <f t="shared" si="711"/>
        <v>-1.5373000060351394E-4</v>
      </c>
      <c r="AT269" s="177"/>
      <c r="AU269" s="177"/>
      <c r="AV269" s="177"/>
      <c r="AW269" s="190"/>
      <c r="AX269" s="120"/>
      <c r="AY269" s="120"/>
      <c r="AZ269" s="118">
        <f>IFERROR(INDEX('Total Customers'!$F$7:$AB$91,MATCH($C269,'Total Customers'!$D$7:$D$91,0),MATCH($G269,'Total Customers'!$F$5:$AB$5,0)),"NA")</f>
        <v>79096</v>
      </c>
      <c r="BA269" s="119">
        <f t="shared" si="672"/>
        <v>1.6071103107019223E-2</v>
      </c>
      <c r="BB269" s="119"/>
      <c r="BC269" s="121">
        <v>8659109</v>
      </c>
      <c r="BD269" s="119"/>
      <c r="BE269" s="119"/>
      <c r="BF269" s="119"/>
      <c r="BG269" s="173"/>
      <c r="BH269" s="173"/>
      <c r="BI269" s="173"/>
      <c r="BJ269" s="173"/>
      <c r="BK269" s="173"/>
      <c r="BL269" s="173"/>
      <c r="BM269" s="173"/>
      <c r="BN269" s="173"/>
      <c r="BO269" s="173"/>
      <c r="BP269" s="173"/>
      <c r="BQ269" s="118"/>
      <c r="BR269" s="118"/>
      <c r="BS269" s="118">
        <f>INDEX('Dist. Plant Gas Additions'!$F$7:$AE$91,MATCH($C269,'Dist. Plant Gas Additions'!$D$7:$D$91,0),MATCH(Calculation!$G269,'Dist. Plant Gas Additions'!$F$5:$AE$5,0))</f>
        <v>36670</v>
      </c>
      <c r="BT269" s="118">
        <f>INDEX('Gen. Plant Additions'!$F$7:$AE$91,MATCH($C269,'Gen. Plant Additions'!$D$7:$D$91,0),MATCH(Calculation!$G269,'Gen. Plant Additions'!$F$5:$AE$5,0))</f>
        <v>0</v>
      </c>
      <c r="BU269" s="118"/>
      <c r="BV269" s="118"/>
      <c r="BW269" s="118">
        <f>INDEX('Dist Plant Depreciation'!$E$7:$AD$94,MATCH($C269,'Dist Plant Depreciation'!$D$7:$D$94,0),MATCH(Calculation!$G269,'Dist Plant Depreciation'!$E$5:$AD$5,0))</f>
        <v>87192</v>
      </c>
      <c r="BX269" s="118">
        <f>INDEX('Gen. Plant Depreciation'!$E$7:$AD$94,MATCH($C269,'Gen. Plant Depreciation'!$D$7:$D$94,0),MATCH(Calculation!$G269,'Gen. Plant Depreciation'!$E$5:$AD$5,0))</f>
        <v>0</v>
      </c>
      <c r="BY269" s="118"/>
      <c r="BZ269" s="118"/>
      <c r="CA269" s="118"/>
      <c r="CB269" s="118"/>
      <c r="CC269" s="118"/>
      <c r="CD269" s="118"/>
      <c r="CE269" s="118">
        <f>INDEX('Gross Dx Plant'!$E$7:$AD$91,MATCH($C269,'Gross Dx Plant'!$D$7:$D$91,0),MATCH(Calculation!$G269,'Gross Dx Plant'!$E$5:$AD$5,0))</f>
        <v>360938</v>
      </c>
      <c r="CF269" s="118">
        <f>INDEX('Gross Gen Plant'!$E$7:$AD$91,MATCH($C269,'Gross Gen Plant'!$D$7:$D$91,0),MATCH(Calculation!$G269,'Gross Gen Plant'!$E$5:$AD$5,0))</f>
        <v>0</v>
      </c>
      <c r="CG269" s="118">
        <f t="shared" si="637"/>
        <v>273746</v>
      </c>
      <c r="CH269" s="118"/>
      <c r="CI269" s="121">
        <v>2015</v>
      </c>
      <c r="CJ269" s="118"/>
      <c r="CK269" s="118"/>
      <c r="CL269" s="118"/>
      <c r="CM269" s="183"/>
      <c r="CN269" s="118">
        <f t="shared" si="673"/>
        <v>36670</v>
      </c>
      <c r="CO269" s="118">
        <f t="shared" si="674"/>
        <v>54.276503503879134</v>
      </c>
      <c r="CP269" s="186">
        <v>0.88888888888888884</v>
      </c>
      <c r="CQ269" s="118">
        <f>+CQ252*CP269+CO253*CP268+CO254*CP267+CO255*CP266+CO256*CP265+CO257*CP264+CO258*CP263+CO259*CP262+CO260*CP261+CO261*CP260+CO262*CP259+CO263*CP258+CO264*CP257+CO265*CP256+CO266*CP255+CO267*CP254+CO268*CP253+CO269</f>
        <v>842.11753915286272</v>
      </c>
      <c r="CR269" s="119">
        <f t="shared" si="675"/>
        <v>5.8685099444613718E-2</v>
      </c>
      <c r="CS269" s="119"/>
      <c r="CT269" s="177">
        <f t="shared" si="676"/>
        <v>7.9067381466130255E-3</v>
      </c>
      <c r="CU269" s="177">
        <f t="shared" si="685"/>
        <v>7.7209347549845918E-3</v>
      </c>
      <c r="CV269" s="119">
        <f>VLOOKUP($H269,RoR!$E:$F,2,FALSE)</f>
        <v>3.8866666666666674E-2</v>
      </c>
      <c r="CW269" s="177">
        <v>9.5709475431029478E-3</v>
      </c>
      <c r="CX269" s="177">
        <f t="shared" si="683"/>
        <v>2.9295719123563727E-2</v>
      </c>
      <c r="CY269" s="177">
        <f t="shared" si="686"/>
        <v>2.3181006853549034E-2</v>
      </c>
      <c r="CZ269" s="177">
        <f t="shared" si="687"/>
        <v>3.5270373279175926E-3</v>
      </c>
      <c r="DA269" s="187">
        <f t="shared" si="677"/>
        <v>0.85131374874999999</v>
      </c>
      <c r="DB269" s="188">
        <f t="shared" si="678"/>
        <v>1.3194352816994324</v>
      </c>
      <c r="DC269" s="188">
        <f t="shared" si="679"/>
        <v>0.33177530017152673</v>
      </c>
      <c r="DD269" s="188">
        <f t="shared" si="680"/>
        <v>0.78242572977668579</v>
      </c>
      <c r="DE269" s="188">
        <f t="shared" si="681"/>
        <v>0.34251158643433932</v>
      </c>
      <c r="DF269" s="189">
        <f>INDEX('State Tax Lookup'!$D$7:$Z$91,MATCH(Calculation!$C269,'State Tax Lookup'!$B$7:$B$91,0),MATCH($H269,'State Tax Lookup'!$D$6:$Z$6,0))</f>
        <v>0.39649667</v>
      </c>
      <c r="DG269" s="189">
        <v>0.375</v>
      </c>
      <c r="DH269" s="190">
        <f t="shared" si="684"/>
        <v>22.087344388475341</v>
      </c>
      <c r="DI269" s="190">
        <v>21.75718140189894</v>
      </c>
      <c r="DJ269" s="177"/>
      <c r="DK269" s="189">
        <f>VLOOKUP($H269,RoR!$E:$F,2,FALSE)</f>
        <v>3.8866666666666674E-2</v>
      </c>
      <c r="DL269" s="191">
        <f>HLOOKUP($H269,'GDP-PI'!$D$8:$CQ$11,3,FALSE)</f>
        <v>9.5709475431029478E-3</v>
      </c>
      <c r="DM269" s="189">
        <f>VLOOKUP(H269,'HW Dx Data'!$E:$F,2,FALSE)</f>
        <v>675.61463308665782</v>
      </c>
      <c r="DN269" s="183">
        <f>VLOOKUP(H269,'ECI - Input Price'!$G$17:$H$37,2,FALSE)</f>
        <v>123.75</v>
      </c>
      <c r="DO269" s="177">
        <f t="shared" ref="DO269" si="730">LN(DN269/DN268)</f>
        <v>2.0821327813585516E-2</v>
      </c>
      <c r="DP269" s="183">
        <f>HLOOKUP(H269,'GDP-PI'!$8:$9,2,FALSE)</f>
        <v>104.639</v>
      </c>
      <c r="DQ269" s="177">
        <f t="shared" ref="DQ269" si="731">LN(DP269/DP268)</f>
        <v>9.5254361854427965E-3</v>
      </c>
    </row>
    <row r="270" spans="1:121" s="167" customFormat="1" ht="21" x14ac:dyDescent="0.35">
      <c r="A270" s="167" t="s">
        <v>41</v>
      </c>
      <c r="B270" s="168" t="s">
        <v>41</v>
      </c>
      <c r="C270" s="168">
        <v>4057076</v>
      </c>
      <c r="D270" s="168" t="s">
        <v>136</v>
      </c>
      <c r="E270" s="168" t="s">
        <v>126</v>
      </c>
      <c r="F270" s="168"/>
      <c r="G270" s="168" t="s">
        <v>22</v>
      </c>
      <c r="H270" s="169">
        <v>2016</v>
      </c>
      <c r="I270" s="170"/>
      <c r="J270" s="166">
        <f>IFERROR(INDEX('Labor Expenditures'!$F$7:$X$91,MATCH($C270,'Labor Expenditures'!$D$7:$D$91,0),MATCH($G270,'Labor Expenditures'!$F$5:$X$5,0)),"NA")</f>
        <v>13486.558108553112</v>
      </c>
      <c r="K270" s="166">
        <f t="shared" si="690"/>
        <v>106.69745339045183</v>
      </c>
      <c r="L270" s="172">
        <f t="shared" si="699"/>
        <v>-7.0394611251787628E-2</v>
      </c>
      <c r="M270" s="172">
        <f t="shared" si="700"/>
        <v>-3.0394096777145964E-4</v>
      </c>
      <c r="N270" s="196"/>
      <c r="O270" s="172"/>
      <c r="P270" s="166">
        <f>IFERROR(INDEX('Non-Labor Expenditures'!$F$7:$AB$91,MATCH($C270,'Non-Labor Expenditures'!$D$7:$D$91,0),MATCH($G270,'Non-Labor Expenditures'!$F$5:$AB$5,0)),"NA")</f>
        <v>19531.05508277805</v>
      </c>
      <c r="Q270" s="166">
        <f t="shared" si="691"/>
        <v>184.71528223857578</v>
      </c>
      <c r="R270" s="172">
        <f t="shared" si="701"/>
        <v>-5.9635621355035487E-2</v>
      </c>
      <c r="S270" s="172">
        <f t="shared" si="706"/>
        <v>-2.5748715911605408E-4</v>
      </c>
      <c r="T270" s="172"/>
      <c r="U270" s="172"/>
      <c r="V270" s="166">
        <f t="shared" si="671"/>
        <v>18353.577225444744</v>
      </c>
      <c r="W270" s="170"/>
      <c r="X270" s="174">
        <v>899.83160758071676</v>
      </c>
      <c r="Y270" s="175">
        <v>6.6288043437078656E-2</v>
      </c>
      <c r="Z270" s="175">
        <f t="shared" si="707"/>
        <v>2.8621014756197838E-4</v>
      </c>
      <c r="AA270" s="175"/>
      <c r="AB270" s="175"/>
      <c r="AC270" s="170">
        <f t="shared" si="682"/>
        <v>51371.190416775906</v>
      </c>
      <c r="AD270" s="175">
        <f t="shared" si="702"/>
        <v>-1.6444193762825503E-2</v>
      </c>
      <c r="AE270" s="170"/>
      <c r="AF270" s="170"/>
      <c r="AG270" s="121">
        <f t="shared" si="703"/>
        <v>621.23531196217175</v>
      </c>
      <c r="AH270" s="119">
        <f>+AZ270/$BB$54</f>
        <v>2.2193714055314066E-3</v>
      </c>
      <c r="AI270" s="119">
        <f>+AZ270/$BC$54</f>
        <v>9.440718596098973E-3</v>
      </c>
      <c r="AJ270" s="176">
        <f t="shared" si="708"/>
        <v>1.3787518874752269</v>
      </c>
      <c r="AK270" s="176">
        <f t="shared" si="709"/>
        <v>5.8649077621946217</v>
      </c>
      <c r="AL270" s="120">
        <f t="shared" si="692"/>
        <v>0.26253154733492234</v>
      </c>
      <c r="AM270" s="120">
        <f t="shared" si="693"/>
        <v>0.38019471467026661</v>
      </c>
      <c r="AN270" s="120">
        <f t="shared" si="694"/>
        <v>0.35727373799481105</v>
      </c>
      <c r="AO270" s="120">
        <f t="shared" si="710"/>
        <v>-4.1839269084080796E-2</v>
      </c>
      <c r="AP270" s="173">
        <f t="shared" si="714"/>
        <v>158.53856837214263</v>
      </c>
      <c r="AQ270" s="175">
        <f t="shared" si="715"/>
        <v>-4.1839269084080741E-2</v>
      </c>
      <c r="AR270" s="177">
        <f>+AC270/$AE$54</f>
        <v>4.3176737873346985E-3</v>
      </c>
      <c r="AS270" s="177">
        <f t="shared" si="711"/>
        <v>-1.8064831540557844E-4</v>
      </c>
      <c r="AT270" s="177"/>
      <c r="AU270" s="177"/>
      <c r="AV270" s="177"/>
      <c r="AW270" s="190"/>
      <c r="AX270" s="120"/>
      <c r="AY270" s="120"/>
      <c r="AZ270" s="118">
        <f>IFERROR(INDEX('Total Customers'!$F$7:$AB$91,MATCH($C270,'Total Customers'!$D$7:$D$91,0),MATCH($G270,'Total Customers'!$F$5:$AB$5,0)),"NA")</f>
        <v>82692</v>
      </c>
      <c r="BA270" s="119">
        <f t="shared" si="672"/>
        <v>4.4460557568239377E-2</v>
      </c>
      <c r="BB270" s="119"/>
      <c r="BC270" s="121">
        <v>8759079</v>
      </c>
      <c r="BD270" s="119"/>
      <c r="BE270" s="119"/>
      <c r="BF270" s="119"/>
      <c r="BG270" s="173"/>
      <c r="BH270" s="173"/>
      <c r="BI270" s="173"/>
      <c r="BJ270" s="173"/>
      <c r="BK270" s="173"/>
      <c r="BL270" s="173"/>
      <c r="BM270" s="173"/>
      <c r="BN270" s="173"/>
      <c r="BO270" s="173"/>
      <c r="BP270" s="173"/>
      <c r="BQ270" s="118"/>
      <c r="BR270" s="118"/>
      <c r="BS270" s="118">
        <f>INDEX('Dist. Plant Gas Additions'!$F$7:$AE$91,MATCH($C270,'Dist. Plant Gas Additions'!$D$7:$D$91,0),MATCH(Calculation!$G270,'Dist. Plant Gas Additions'!$F$5:$AE$5,0))</f>
        <v>43308</v>
      </c>
      <c r="BT270" s="118">
        <f>INDEX('Gen. Plant Additions'!$F$7:$AE$91,MATCH($C270,'Gen. Plant Additions'!$D$7:$D$91,0),MATCH(Calculation!$G270,'Gen. Plant Additions'!$F$5:$AE$5,0))</f>
        <v>0</v>
      </c>
      <c r="BU270" s="118"/>
      <c r="BV270" s="118"/>
      <c r="BW270" s="118">
        <f>INDEX('Dist Plant Depreciation'!$E$7:$AD$94,MATCH($C270,'Dist Plant Depreciation'!$D$7:$D$94,0),MATCH(Calculation!$G270,'Dist Plant Depreciation'!$E$5:$AD$5,0))</f>
        <v>90203</v>
      </c>
      <c r="BX270" s="118">
        <f>INDEX('Gen. Plant Depreciation'!$E$7:$AD$94,MATCH($C270,'Gen. Plant Depreciation'!$D$7:$D$94,0),MATCH(Calculation!$G270,'Gen. Plant Depreciation'!$E$5:$AD$5,0))</f>
        <v>0</v>
      </c>
      <c r="BY270" s="118"/>
      <c r="BZ270" s="118"/>
      <c r="CA270" s="118"/>
      <c r="CB270" s="118"/>
      <c r="CC270" s="118"/>
      <c r="CD270" s="118"/>
      <c r="CE270" s="118">
        <f>INDEX('Gross Dx Plant'!$E$7:$AD$91,MATCH($C270,'Gross Dx Plant'!$D$7:$D$91,0),MATCH(Calculation!$G270,'Gross Dx Plant'!$E$5:$AD$5,0))</f>
        <v>400854</v>
      </c>
      <c r="CF270" s="118">
        <f>INDEX('Gross Gen Plant'!$E$7:$AD$91,MATCH($C270,'Gross Gen Plant'!$D$7:$D$91,0),MATCH(Calculation!$G270,'Gross Gen Plant'!$E$5:$AD$5,0))</f>
        <v>0</v>
      </c>
      <c r="CG270" s="118">
        <f t="shared" si="637"/>
        <v>310651</v>
      </c>
      <c r="CH270" s="118"/>
      <c r="CI270" s="121">
        <v>2016</v>
      </c>
      <c r="CJ270" s="118"/>
      <c r="CK270" s="118"/>
      <c r="CL270" s="118"/>
      <c r="CM270" s="183"/>
      <c r="CN270" s="118">
        <f t="shared" si="673"/>
        <v>43308</v>
      </c>
      <c r="CO270" s="118">
        <f t="shared" si="674"/>
        <v>64.498603924305428</v>
      </c>
      <c r="CP270" s="186">
        <v>0.88</v>
      </c>
      <c r="CQ270" s="118">
        <f>+CQ252*CP270+CO253*CP269+CO254*CP268+CO255*CP267+CO256*CP266+CO257*CP265+CO258*CP264+CO259*CP263+CO260*CP262+CO261*CP261+CO262*CP260+CO263*CP259+CO264*CP258+CO265*CP257+CO266*CP256+CO267*CP255+CO268*CP254+CO269*CP253+CO270</f>
        <v>899.83160758071676</v>
      </c>
      <c r="CR270" s="119">
        <f t="shared" si="675"/>
        <v>6.6288043437078656E-2</v>
      </c>
      <c r="CS270" s="119"/>
      <c r="CT270" s="177">
        <f t="shared" si="676"/>
        <v>8.056518456172234E-3</v>
      </c>
      <c r="CU270" s="177">
        <f t="shared" si="685"/>
        <v>7.8853447485356023E-3</v>
      </c>
      <c r="CV270" s="119">
        <f>VLOOKUP($H270,RoR!$E:$F,2,FALSE)</f>
        <v>3.6658333333333334E-2</v>
      </c>
      <c r="CW270" s="177">
        <v>1.0483662879041455E-2</v>
      </c>
      <c r="CX270" s="177">
        <f t="shared" si="683"/>
        <v>2.6174670454291879E-2</v>
      </c>
      <c r="CY270" s="177">
        <f t="shared" si="686"/>
        <v>2.3016596859998024E-2</v>
      </c>
      <c r="CZ270" s="177">
        <f t="shared" si="687"/>
        <v>4.301363574220729E-3</v>
      </c>
      <c r="DA270" s="187">
        <f t="shared" si="677"/>
        <v>0.85131374874999999</v>
      </c>
      <c r="DB270" s="188">
        <f t="shared" si="678"/>
        <v>1.3989193348138562</v>
      </c>
      <c r="DC270" s="188">
        <f t="shared" si="679"/>
        <v>0.29302682427824522</v>
      </c>
      <c r="DD270" s="188">
        <f t="shared" si="680"/>
        <v>0.76309497491941802</v>
      </c>
      <c r="DE270" s="188">
        <f t="shared" si="681"/>
        <v>0.31280857135128509</v>
      </c>
      <c r="DF270" s="189">
        <f>INDEX('State Tax Lookup'!$D$7:$Z$91,MATCH(Calculation!$C270,'State Tax Lookup'!$B$7:$B$91,0),MATCH($H270,'State Tax Lookup'!$D$6:$Z$6,0))</f>
        <v>0.39649667</v>
      </c>
      <c r="DG270" s="189">
        <v>0.375</v>
      </c>
      <c r="DH270" s="190">
        <f t="shared" si="684"/>
        <v>21.794555239768222</v>
      </c>
      <c r="DI270" s="190">
        <v>21.4550894780687</v>
      </c>
      <c r="DJ270" s="177"/>
      <c r="DK270" s="189">
        <f>VLOOKUP($H270,RoR!$E:$F,2,FALSE)</f>
        <v>3.6658333333333334E-2</v>
      </c>
      <c r="DL270" s="191">
        <f>HLOOKUP($H270,'GDP-PI'!$D$8:$CQ$11,3,FALSE)</f>
        <v>1.0483662879041455E-2</v>
      </c>
      <c r="DM270" s="189">
        <f>VLOOKUP(H270,'HW Dx Data'!$E:$F,2,FALSE)</f>
        <v>671.45639385971219</v>
      </c>
      <c r="DN270" s="183">
        <f>VLOOKUP(H270,'ECI - Input Price'!$G$17:$H$37,2,FALSE)</f>
        <v>126.4</v>
      </c>
      <c r="DO270" s="177">
        <f t="shared" ref="DO270" si="732">LN(DN270/DN269)</f>
        <v>2.11880802639575E-2</v>
      </c>
      <c r="DP270" s="183">
        <f>HLOOKUP(H270,'GDP-PI'!$8:$9,2,FALSE)</f>
        <v>105.736</v>
      </c>
      <c r="DQ270" s="177">
        <f t="shared" ref="DQ270" si="733">LN(DP270/DP269)</f>
        <v>1.0429090367205095E-2</v>
      </c>
    </row>
    <row r="271" spans="1:121" s="167" customFormat="1" ht="21" x14ac:dyDescent="0.35">
      <c r="A271" s="167" t="s">
        <v>41</v>
      </c>
      <c r="B271" s="168" t="s">
        <v>41</v>
      </c>
      <c r="C271" s="168">
        <v>4057076</v>
      </c>
      <c r="D271" s="168" t="s">
        <v>136</v>
      </c>
      <c r="E271" s="168" t="s">
        <v>126</v>
      </c>
      <c r="F271" s="168"/>
      <c r="G271" s="168" t="s">
        <v>23</v>
      </c>
      <c r="H271" s="169">
        <v>2017</v>
      </c>
      <c r="I271" s="170"/>
      <c r="J271" s="166">
        <f>IFERROR(INDEX('Labor Expenditures'!$F$7:$X$91,MATCH($C271,'Labor Expenditures'!$D$7:$D$91,0),MATCH($G271,'Labor Expenditures'!$F$5:$X$5,0)),"NA")</f>
        <v>14763.719502983</v>
      </c>
      <c r="K271" s="166">
        <f t="shared" si="690"/>
        <v>114.00555600759073</v>
      </c>
      <c r="L271" s="172">
        <f t="shared" si="699"/>
        <v>6.6249893098769982E-2</v>
      </c>
      <c r="M271" s="172">
        <f t="shared" si="700"/>
        <v>3.0162096880934698E-4</v>
      </c>
      <c r="N271" s="196"/>
      <c r="O271" s="172"/>
      <c r="P271" s="166">
        <f>IFERROR(INDEX('Non-Labor Expenditures'!$F$7:$AB$91,MATCH($C271,'Non-Labor Expenditures'!$D$7:$D$91,0),MATCH($G271,'Non-Labor Expenditures'!$F$5:$AB$5,0)),"NA")</f>
        <v>21380.623322756805</v>
      </c>
      <c r="Q271" s="166">
        <f t="shared" si="691"/>
        <v>198.42621713725907</v>
      </c>
      <c r="R271" s="172">
        <f t="shared" si="701"/>
        <v>7.160170429786028E-2</v>
      </c>
      <c r="S271" s="172">
        <f t="shared" si="706"/>
        <v>3.2598657006922734E-4</v>
      </c>
      <c r="T271" s="172"/>
      <c r="U271" s="172"/>
      <c r="V271" s="166">
        <f t="shared" si="671"/>
        <v>17794.093960704708</v>
      </c>
      <c r="W271" s="170"/>
      <c r="X271" s="174">
        <v>960.3576816577463</v>
      </c>
      <c r="Y271" s="175">
        <v>6.5098156999129936E-2</v>
      </c>
      <c r="Z271" s="175">
        <f t="shared" si="707"/>
        <v>2.9637737154545078E-4</v>
      </c>
      <c r="AA271" s="175"/>
      <c r="AB271" s="175"/>
      <c r="AC271" s="170">
        <f t="shared" si="682"/>
        <v>53938.436786444508</v>
      </c>
      <c r="AD271" s="175">
        <f t="shared" si="702"/>
        <v>4.8765819096342887E-2</v>
      </c>
      <c r="AE271" s="170"/>
      <c r="AF271" s="170"/>
      <c r="AG271" s="121">
        <f t="shared" si="703"/>
        <v>664.7494705074439</v>
      </c>
      <c r="AH271" s="119">
        <f>+AZ271/$BB$55</f>
        <v>2.1613821869764303E-3</v>
      </c>
      <c r="AI271" s="119">
        <f>+AZ271/$BC$56</f>
        <v>9.1053482769625632E-3</v>
      </c>
      <c r="AJ271" s="176">
        <f t="shared" si="708"/>
        <v>1.4367776643568031</v>
      </c>
      <c r="AK271" s="176">
        <f t="shared" si="709"/>
        <v>6.0527754458967307</v>
      </c>
      <c r="AL271" s="120">
        <f t="shared" si="692"/>
        <v>0.27371426356748496</v>
      </c>
      <c r="AM271" s="120">
        <f t="shared" si="693"/>
        <v>0.39638937641830319</v>
      </c>
      <c r="AN271" s="120">
        <f t="shared" si="694"/>
        <v>0.32989636001421191</v>
      </c>
      <c r="AO271" s="120">
        <f t="shared" si="710"/>
        <v>4.5565486049747035E-2</v>
      </c>
      <c r="AP271" s="173">
        <f t="shared" si="714"/>
        <v>165.92956371580678</v>
      </c>
      <c r="AQ271" s="175">
        <f t="shared" si="715"/>
        <v>4.5565486049747014E-2</v>
      </c>
      <c r="AR271" s="177">
        <f>+AC271/$AE$55</f>
        <v>4.5527766868947144E-3</v>
      </c>
      <c r="AS271" s="177">
        <f t="shared" si="711"/>
        <v>2.0744948261431455E-4</v>
      </c>
      <c r="AT271" s="177"/>
      <c r="AU271" s="177"/>
      <c r="AV271" s="177"/>
      <c r="AW271" s="190"/>
      <c r="AX271" s="120"/>
      <c r="AY271" s="120"/>
      <c r="AZ271" s="118">
        <f>IFERROR(INDEX('Total Customers'!$F$7:$AB$91,MATCH($C271,'Total Customers'!$D$7:$D$91,0),MATCH($G271,'Total Customers'!$F$5:$AB$5,0)),"NA")</f>
        <v>81141</v>
      </c>
      <c r="BA271" s="119">
        <f t="shared" si="672"/>
        <v>-1.8934480083095638E-2</v>
      </c>
      <c r="BB271" s="119"/>
      <c r="BC271" s="121">
        <v>8824403</v>
      </c>
      <c r="BD271" s="119"/>
      <c r="BE271" s="119"/>
      <c r="BF271" s="119"/>
      <c r="BG271" s="173"/>
      <c r="BH271" s="173"/>
      <c r="BI271" s="173"/>
      <c r="BJ271" s="173"/>
      <c r="BK271" s="173"/>
      <c r="BL271" s="173"/>
      <c r="BM271" s="173"/>
      <c r="BN271" s="173"/>
      <c r="BO271" s="173"/>
      <c r="BP271" s="173"/>
      <c r="BQ271" s="118"/>
      <c r="BR271" s="118"/>
      <c r="BS271" s="118">
        <f>INDEX('Dist. Plant Gas Additions'!$F$7:$AE$91,MATCH($C271,'Dist. Plant Gas Additions'!$D$7:$D$91,0),MATCH(Calculation!$G271,'Dist. Plant Gas Additions'!$F$5:$AE$5,0))</f>
        <v>48366</v>
      </c>
      <c r="BT271" s="118">
        <f>INDEX('Gen. Plant Additions'!$F$7:$AE$91,MATCH($C271,'Gen. Plant Additions'!$D$7:$D$91,0),MATCH(Calculation!$G271,'Gen. Plant Additions'!$F$5:$AE$5,0))</f>
        <v>0</v>
      </c>
      <c r="BU271" s="118"/>
      <c r="BV271" s="118"/>
      <c r="BW271" s="118">
        <f>INDEX('Dist Plant Depreciation'!$E$7:$AD$94,MATCH($C271,'Dist Plant Depreciation'!$D$7:$D$94,0),MATCH(Calculation!$G271,'Dist Plant Depreciation'!$E$5:$AD$5,0))</f>
        <v>92315</v>
      </c>
      <c r="BX271" s="118">
        <f>INDEX('Gen. Plant Depreciation'!$E$7:$AD$94,MATCH($C271,'Gen. Plant Depreciation'!$D$7:$D$94,0),MATCH(Calculation!$G271,'Gen. Plant Depreciation'!$E$5:$AD$5,0))</f>
        <v>0</v>
      </c>
      <c r="BY271" s="118"/>
      <c r="BZ271" s="118"/>
      <c r="CA271" s="118"/>
      <c r="CB271" s="118"/>
      <c r="CC271" s="118"/>
      <c r="CD271" s="118"/>
      <c r="CE271" s="118">
        <f>INDEX('Gross Dx Plant'!$E$7:$AD$91,MATCH($C271,'Gross Dx Plant'!$D$7:$D$91,0),MATCH(Calculation!$G271,'Gross Dx Plant'!$E$5:$AD$5,0))</f>
        <v>444474</v>
      </c>
      <c r="CF271" s="118">
        <f>INDEX('Gross Gen Plant'!$E$7:$AD$91,MATCH($C271,'Gross Gen Plant'!$D$7:$D$91,0),MATCH(Calculation!$G271,'Gross Gen Plant'!$E$5:$AD$5,0))</f>
        <v>0</v>
      </c>
      <c r="CG271" s="118">
        <f t="shared" si="637"/>
        <v>352159</v>
      </c>
      <c r="CH271" s="118"/>
      <c r="CI271" s="121">
        <v>2017</v>
      </c>
      <c r="CJ271" s="118"/>
      <c r="CK271" s="118"/>
      <c r="CL271" s="118"/>
      <c r="CM271" s="183"/>
      <c r="CN271" s="118">
        <f t="shared" si="673"/>
        <v>48366</v>
      </c>
      <c r="CO271" s="118">
        <f t="shared" si="674"/>
        <v>67.888909999448757</v>
      </c>
      <c r="CP271" s="186">
        <v>0.87074829931972786</v>
      </c>
      <c r="CQ271" s="118">
        <f>+CQ252*CP271+CO253*CP270+CO254*CP269+CO255*CP268+CO256*CP267+CO257*CP266+CO258*CP265+CO259*CP264+CO260*CP263+CO261*CP262+CO262*CP261+CO263*CP260+CO264*CP259+CO265*CP258+CO266*CP257+CO267*CP256+CO268*CP255+CO269*CP254+CO270*CP253+CO271</f>
        <v>960.3576816577463</v>
      </c>
      <c r="CR271" s="119">
        <f t="shared" si="675"/>
        <v>6.5098156999129936E-2</v>
      </c>
      <c r="CS271" s="119"/>
      <c r="CT271" s="177">
        <f t="shared" si="676"/>
        <v>8.1824597629048725E-3</v>
      </c>
      <c r="CU271" s="177">
        <f t="shared" si="685"/>
        <v>8.0485721218967101E-3</v>
      </c>
      <c r="CV271" s="119">
        <f>VLOOKUP($H271,RoR!$E:$F,2,FALSE)</f>
        <v>3.7433333333333339E-2</v>
      </c>
      <c r="CW271" s="177">
        <v>1.9056896421275615E-2</v>
      </c>
      <c r="CX271" s="177">
        <f t="shared" si="683"/>
        <v>1.8376436912057724E-2</v>
      </c>
      <c r="CY271" s="177">
        <f t="shared" si="686"/>
        <v>2.2853369486636917E-2</v>
      </c>
      <c r="CZ271" s="177">
        <f t="shared" si="687"/>
        <v>1.3976271617800498E-2</v>
      </c>
      <c r="DA271" s="187">
        <f t="shared" si="677"/>
        <v>0.90381374874999998</v>
      </c>
      <c r="DB271" s="188">
        <f t="shared" si="678"/>
        <v>1.3699568463593395</v>
      </c>
      <c r="DC271" s="188">
        <f t="shared" si="679"/>
        <v>0.30714603739982199</v>
      </c>
      <c r="DD271" s="188">
        <f t="shared" si="680"/>
        <v>0.77007188472689425</v>
      </c>
      <c r="DE271" s="188">
        <f t="shared" si="681"/>
        <v>0.32402839633793828</v>
      </c>
      <c r="DF271" s="189">
        <f>INDEX('State Tax Lookup'!$D$7:$Z$91,MATCH(Calculation!$C271,'State Tax Lookup'!$B$7:$B$91,0),MATCH($H271,'State Tax Lookup'!$D$6:$Z$6,0))</f>
        <v>0.25649666999999998</v>
      </c>
      <c r="DG271" s="189">
        <v>0.375</v>
      </c>
      <c r="DH271" s="190">
        <f t="shared" si="684"/>
        <v>19.774915451731939</v>
      </c>
      <c r="DI271" s="190">
        <v>19.532759716661744</v>
      </c>
      <c r="DJ271" s="177"/>
      <c r="DK271" s="189">
        <f>VLOOKUP($H271,RoR!$E:$F,2,FALSE)</f>
        <v>3.7433333333333339E-2</v>
      </c>
      <c r="DL271" s="191">
        <f>HLOOKUP($H271,'GDP-PI'!$D$8:$CQ$11,3,FALSE)</f>
        <v>1.9056896421275615E-2</v>
      </c>
      <c r="DM271" s="189">
        <f>VLOOKUP(H271,'HW Dx Data'!$E:$F,2,FALSE)</f>
        <v>712.42858370229726</v>
      </c>
      <c r="DN271" s="183">
        <f>VLOOKUP(H271,'ECI - Input Price'!$G$17:$H$37,2,FALSE)</f>
        <v>129.5</v>
      </c>
      <c r="DO271" s="177">
        <f t="shared" ref="DO271" si="734">LN(DN271/DN270)</f>
        <v>2.4229399426835413E-2</v>
      </c>
      <c r="DP271" s="183">
        <f>HLOOKUP(H271,'GDP-PI'!$8:$9,2,FALSE)</f>
        <v>107.751</v>
      </c>
      <c r="DQ271" s="177">
        <f t="shared" ref="DQ271" si="735">LN(DP271/DP270)</f>
        <v>1.8877588227745139E-2</v>
      </c>
    </row>
    <row r="272" spans="1:121" s="167" customFormat="1" ht="21" x14ac:dyDescent="0.35">
      <c r="A272" s="167" t="s">
        <v>41</v>
      </c>
      <c r="B272" s="168" t="s">
        <v>41</v>
      </c>
      <c r="C272" s="168">
        <v>4057076</v>
      </c>
      <c r="D272" s="168" t="s">
        <v>136</v>
      </c>
      <c r="E272" s="168" t="s">
        <v>126</v>
      </c>
      <c r="F272" s="168"/>
      <c r="G272" s="168" t="s">
        <v>24</v>
      </c>
      <c r="H272" s="169">
        <v>2018</v>
      </c>
      <c r="I272" s="170"/>
      <c r="J272" s="166">
        <f>IFERROR(INDEX('Labor Expenditures'!$F$7:$X$91,MATCH($C272,'Labor Expenditures'!$D$7:$D$91,0),MATCH($G272,'Labor Expenditures'!$F$5:$X$5,0)),"NA")</f>
        <v>14215.607213268248</v>
      </c>
      <c r="K272" s="166">
        <f t="shared" si="690"/>
        <v>106.68373143165664</v>
      </c>
      <c r="L272" s="172">
        <f t="shared" si="699"/>
        <v>-6.6378507613920876E-2</v>
      </c>
      <c r="M272" s="172">
        <f t="shared" si="700"/>
        <v>-2.8229669115047422E-4</v>
      </c>
      <c r="N272" s="196"/>
      <c r="O272" s="172"/>
      <c r="P272" s="166">
        <f>IFERROR(INDEX('Non-Labor Expenditures'!$F$7:$AB$91,MATCH($C272,'Non-Labor Expenditures'!$D$7:$D$91,0),MATCH($G272,'Non-Labor Expenditures'!$F$5:$AB$5,0)),"NA")</f>
        <v>20586.854353995441</v>
      </c>
      <c r="Q272" s="166">
        <f t="shared" si="691"/>
        <v>186.60697190039556</v>
      </c>
      <c r="R272" s="172">
        <f t="shared" si="701"/>
        <v>-6.1412678424067994E-2</v>
      </c>
      <c r="S272" s="172">
        <f t="shared" si="706"/>
        <v>-2.6117785013543587E-4</v>
      </c>
      <c r="T272" s="172"/>
      <c r="U272" s="172"/>
      <c r="V272" s="166">
        <f t="shared" si="671"/>
        <v>19982.88084061386</v>
      </c>
      <c r="W272" s="170"/>
      <c r="X272" s="174">
        <v>1041.4607283173036</v>
      </c>
      <c r="Y272" s="175">
        <v>8.1073753012164698E-2</v>
      </c>
      <c r="Z272" s="175">
        <f t="shared" si="707"/>
        <v>3.447931120657655E-4</v>
      </c>
      <c r="AA272" s="175"/>
      <c r="AB272" s="175"/>
      <c r="AC272" s="170">
        <f t="shared" si="682"/>
        <v>54785.342407877542</v>
      </c>
      <c r="AD272" s="175">
        <f t="shared" si="702"/>
        <v>1.5579347175737191E-2</v>
      </c>
      <c r="AE272" s="170"/>
      <c r="AF272" s="170"/>
      <c r="AG272" s="121">
        <f t="shared" si="703"/>
        <v>664.3707696621176</v>
      </c>
      <c r="AH272" s="119">
        <f>+AZ272/$BB$56</f>
        <v>2.1774901356491167E-3</v>
      </c>
      <c r="AI272" s="119">
        <f>+AZ272/$BC$57</f>
        <v>9.1996108723688148E-3</v>
      </c>
      <c r="AJ272" s="176">
        <f t="shared" si="708"/>
        <v>1.4466607973528725</v>
      </c>
      <c r="AK272" s="176">
        <f t="shared" si="709"/>
        <v>6.1119525558676546</v>
      </c>
      <c r="AL272" s="120">
        <f t="shared" si="692"/>
        <v>0.25947829453054938</v>
      </c>
      <c r="AM272" s="120">
        <f t="shared" si="693"/>
        <v>0.37577303434057341</v>
      </c>
      <c r="AN272" s="120">
        <f t="shared" si="694"/>
        <v>0.36474867112887727</v>
      </c>
      <c r="AO272" s="120">
        <f t="shared" si="710"/>
        <v>-4.1406544050242154E-2</v>
      </c>
      <c r="AP272" s="173">
        <f t="shared" si="714"/>
        <v>159.19929409028688</v>
      </c>
      <c r="AQ272" s="175">
        <f t="shared" si="715"/>
        <v>-4.1406544050242154E-2</v>
      </c>
      <c r="AR272" s="177">
        <f>+AC272/$AE$56</f>
        <v>4.2528327511128176E-3</v>
      </c>
      <c r="AS272" s="177">
        <f t="shared" si="711"/>
        <v>-1.760951066472654E-4</v>
      </c>
      <c r="AT272" s="177"/>
      <c r="AU272" s="177"/>
      <c r="AV272" s="177"/>
      <c r="AW272" s="190"/>
      <c r="AX272" s="120"/>
      <c r="AY272" s="120"/>
      <c r="AZ272" s="118">
        <f>IFERROR(INDEX('Total Customers'!$F$7:$AB$91,MATCH($C272,'Total Customers'!$D$7:$D$91,0),MATCH($G272,'Total Customers'!$F$5:$AB$5,0)),"NA")</f>
        <v>82462</v>
      </c>
      <c r="BA272" s="119">
        <f t="shared" si="672"/>
        <v>1.6149199088497067E-2</v>
      </c>
      <c r="BB272" s="119"/>
      <c r="BC272" s="121">
        <v>8911356</v>
      </c>
      <c r="BD272" s="119"/>
      <c r="BE272" s="119"/>
      <c r="BF272" s="119"/>
      <c r="BG272" s="173"/>
      <c r="BH272" s="173"/>
      <c r="BI272" s="173"/>
      <c r="BJ272" s="173"/>
      <c r="BK272" s="173"/>
      <c r="BL272" s="173"/>
      <c r="BM272" s="173"/>
      <c r="BN272" s="173"/>
      <c r="BO272" s="173"/>
      <c r="BP272" s="173"/>
      <c r="BQ272" s="118"/>
      <c r="BR272" s="118"/>
      <c r="BS272" s="118">
        <f>INDEX('Dist. Plant Gas Additions'!$F$7:$AE$91,MATCH($C272,'Dist. Plant Gas Additions'!$D$7:$D$91,0),MATCH(Calculation!$G272,'Dist. Plant Gas Additions'!$F$5:$AE$5,0))</f>
        <v>67272</v>
      </c>
      <c r="BT272" s="118">
        <f>INDEX('Gen. Plant Additions'!$F$7:$AE$91,MATCH($C272,'Gen. Plant Additions'!$D$7:$D$91,0),MATCH(Calculation!$G272,'Gen. Plant Additions'!$F$5:$AE$5,0))</f>
        <v>0</v>
      </c>
      <c r="BU272" s="118"/>
      <c r="BV272" s="118"/>
      <c r="BW272" s="118">
        <f>INDEX('Dist Plant Depreciation'!$E$7:$AD$94,MATCH($C272,'Dist Plant Depreciation'!$D$7:$D$94,0),MATCH(Calculation!$G272,'Dist Plant Depreciation'!$E$5:$AD$5,0))</f>
        <v>95576</v>
      </c>
      <c r="BX272" s="118">
        <f>INDEX('Gen. Plant Depreciation'!$E$7:$AD$94,MATCH($C272,'Gen. Plant Depreciation'!$D$7:$D$94,0),MATCH(Calculation!$G272,'Gen. Plant Depreciation'!$E$5:$AD$5,0))</f>
        <v>0</v>
      </c>
      <c r="BY272" s="118"/>
      <c r="BZ272" s="118"/>
      <c r="CA272" s="118"/>
      <c r="CB272" s="118"/>
      <c r="CC272" s="118"/>
      <c r="CD272" s="118"/>
      <c r="CE272" s="118">
        <f>INDEX('Gross Dx Plant'!$E$7:$AD$91,MATCH($C272,'Gross Dx Plant'!$D$7:$D$91,0),MATCH(Calculation!$G272,'Gross Dx Plant'!$E$5:$AD$5,0))</f>
        <v>507034</v>
      </c>
      <c r="CF272" s="118">
        <f>INDEX('Gross Gen Plant'!$E$7:$AD$91,MATCH($C272,'Gross Gen Plant'!$D$7:$D$91,0),MATCH(Calculation!$G272,'Gross Gen Plant'!$E$5:$AD$5,0))</f>
        <v>0</v>
      </c>
      <c r="CG272" s="118">
        <f t="shared" si="637"/>
        <v>411458</v>
      </c>
      <c r="CH272" s="118"/>
      <c r="CI272" s="121">
        <v>2018</v>
      </c>
      <c r="CJ272" s="118"/>
      <c r="CK272" s="118"/>
      <c r="CL272" s="118"/>
      <c r="CM272" s="183"/>
      <c r="CN272" s="118">
        <f t="shared" si="673"/>
        <v>67272</v>
      </c>
      <c r="CO272" s="118">
        <f t="shared" si="674"/>
        <v>89.085855213172763</v>
      </c>
      <c r="CP272" s="186">
        <v>0.86111111111111116</v>
      </c>
      <c r="CQ272" s="118">
        <f>+CQ252*CP272++CO253*CP271+CO254*CP270+CO255*CP269+CO256*CP268+CO257*CP267+CO258*CP266+CO259*CP265+CO260*CP264+CO261*CP263+CO262*CP262+CO263*CP261+CO264*CP260+CO265*CP259+CO266*CP258+CO267*CP257+CO268*CP256+CO269*CP255+CO270*CP254+CO271*CP253+CO272</f>
        <v>1041.4607283173036</v>
      </c>
      <c r="CR272" s="119">
        <f t="shared" si="675"/>
        <v>8.1073753012164698E-2</v>
      </c>
      <c r="CS272" s="119"/>
      <c r="CT272" s="177">
        <f t="shared" si="676"/>
        <v>8.3123285272584165E-3</v>
      </c>
      <c r="CU272" s="177">
        <f t="shared" si="685"/>
        <v>8.1837689154451738E-3</v>
      </c>
      <c r="CV272" s="119">
        <f>VLOOKUP($H272,RoR!$E:$F,2,FALSE)</f>
        <v>3.9299999999999995E-2</v>
      </c>
      <c r="CW272" s="177">
        <v>2.386056741932796E-2</v>
      </c>
      <c r="CX272" s="177">
        <f t="shared" si="683"/>
        <v>1.5439432580672034E-2</v>
      </c>
      <c r="CY272" s="177">
        <f t="shared" si="686"/>
        <v>2.2718172693088449E-2</v>
      </c>
      <c r="CZ272" s="177">
        <f t="shared" si="687"/>
        <v>3.8270792163076606E-2</v>
      </c>
      <c r="DA272" s="187">
        <f t="shared" si="677"/>
        <v>0.90381374874999998</v>
      </c>
      <c r="DB272" s="188">
        <f t="shared" si="678"/>
        <v>1.3048868010700074</v>
      </c>
      <c r="DC272" s="188">
        <f t="shared" si="679"/>
        <v>0.33886768447837151</v>
      </c>
      <c r="DD272" s="188">
        <f t="shared" si="680"/>
        <v>0.78602506232557801</v>
      </c>
      <c r="DE272" s="188">
        <f t="shared" si="681"/>
        <v>0.34756768162358759</v>
      </c>
      <c r="DF272" s="189">
        <f>INDEX('State Tax Lookup'!$D$7:$Z$91,MATCH(Calculation!$C272,'State Tax Lookup'!$B$7:$B$91,0),MATCH($H272,'State Tax Lookup'!$D$6:$Z$6,0))</f>
        <v>0.25649666999999998</v>
      </c>
      <c r="DG272" s="189">
        <v>0.375</v>
      </c>
      <c r="DH272" s="190">
        <f t="shared" si="684"/>
        <v>20.807748219517432</v>
      </c>
      <c r="DI272" s="190">
        <v>20.571823476381535</v>
      </c>
      <c r="DJ272" s="177"/>
      <c r="DK272" s="189">
        <f>VLOOKUP($H272,RoR!$E:$F,2,FALSE)</f>
        <v>3.9299999999999995E-2</v>
      </c>
      <c r="DL272" s="191">
        <f>HLOOKUP($H272,'GDP-PI'!$D$8:$CQ$11,3,FALSE)</f>
        <v>2.386056741932796E-2</v>
      </c>
      <c r="DM272" s="189">
        <f>VLOOKUP(H272,'HW Dx Data'!$E:$F,2,FALSE)</f>
        <v>755.13671434174842</v>
      </c>
      <c r="DN272" s="183">
        <f>VLOOKUP(H272,'ECI - Input Price'!$G$17:$H$37,2,FALSE)</f>
        <v>133.25</v>
      </c>
      <c r="DO272" s="177">
        <f t="shared" ref="DO272" si="736">LN(DN272/DN271)</f>
        <v>2.8546181906361531E-2</v>
      </c>
      <c r="DP272" s="183">
        <f>HLOOKUP(H272,'GDP-PI'!$8:$9,2,FALSE)</f>
        <v>110.322</v>
      </c>
      <c r="DQ272" s="177">
        <f t="shared" ref="DQ272" si="737">LN(DP272/DP271)</f>
        <v>2.3580352716508712E-2</v>
      </c>
    </row>
    <row r="273" spans="1:121" s="167" customFormat="1" ht="21" x14ac:dyDescent="0.35">
      <c r="A273" s="167" t="s">
        <v>41</v>
      </c>
      <c r="B273" s="168" t="s">
        <v>41</v>
      </c>
      <c r="C273" s="168">
        <v>4057076</v>
      </c>
      <c r="D273" s="168" t="s">
        <v>136</v>
      </c>
      <c r="E273" s="168" t="s">
        <v>126</v>
      </c>
      <c r="F273" s="168"/>
      <c r="G273" s="168" t="s">
        <v>25</v>
      </c>
      <c r="H273" s="169">
        <v>2019</v>
      </c>
      <c r="I273" s="170"/>
      <c r="J273" s="166">
        <f>IFERROR(INDEX('Labor Expenditures'!$F$7:$X$91,MATCH($C273,'Labor Expenditures'!$D$7:$D$91,0),MATCH($G273,'Labor Expenditures'!$F$5:$X$5,0)),"NA")</f>
        <v>15791.30565927831</v>
      </c>
      <c r="K273" s="166">
        <f t="shared" si="690"/>
        <v>115.39134570170486</v>
      </c>
      <c r="L273" s="172">
        <f t="shared" si="699"/>
        <v>7.8460680840785418E-2</v>
      </c>
      <c r="M273" s="172">
        <f t="shared" si="700"/>
        <v>3.5871506271517811E-4</v>
      </c>
      <c r="N273" s="196"/>
      <c r="O273" s="172"/>
      <c r="P273" s="166">
        <f>IFERROR(INDEX('Non-Labor Expenditures'!$F$7:$AB$91,MATCH($C273,'Non-Labor Expenditures'!$D$7:$D$91,0),MATCH($G273,'Non-Labor Expenditures'!$F$5:$AB$5,0)),"NA")</f>
        <v>22868.76000369215</v>
      </c>
      <c r="Q273" s="166">
        <f t="shared" si="691"/>
        <v>203.60725799686739</v>
      </c>
      <c r="R273" s="172">
        <f t="shared" si="701"/>
        <v>8.718828183011787E-2</v>
      </c>
      <c r="S273" s="172">
        <f t="shared" si="706"/>
        <v>3.9861685687108642E-4</v>
      </c>
      <c r="T273" s="172"/>
      <c r="U273" s="172"/>
      <c r="V273" s="166">
        <f t="shared" si="671"/>
        <v>22078.824364493903</v>
      </c>
      <c r="W273" s="170"/>
      <c r="X273" s="174">
        <v>1101.455052083397</v>
      </c>
      <c r="Y273" s="175">
        <v>5.600780617049738E-2</v>
      </c>
      <c r="Z273" s="175">
        <f t="shared" si="707"/>
        <v>2.5606257156700438E-4</v>
      </c>
      <c r="AA273" s="175"/>
      <c r="AB273" s="175"/>
      <c r="AC273" s="170">
        <f t="shared" si="682"/>
        <v>60738.890027464367</v>
      </c>
      <c r="AD273" s="175">
        <f t="shared" si="702"/>
        <v>0.1031615014221529</v>
      </c>
      <c r="AE273" s="170"/>
      <c r="AF273" s="170"/>
      <c r="AG273" s="121">
        <f t="shared" si="703"/>
        <v>725.19718258568878</v>
      </c>
      <c r="AH273" s="119">
        <f>+AZ273/$BB$57</f>
        <v>2.1935391074067584E-3</v>
      </c>
      <c r="AI273" s="119">
        <f>+AZ273/$BC$58</f>
        <v>9.2442241120887138E-3</v>
      </c>
      <c r="AJ273" s="176">
        <f t="shared" si="708"/>
        <v>1.5907483805829077</v>
      </c>
      <c r="AK273" s="176">
        <f t="shared" si="709"/>
        <v>6.7038852812774259</v>
      </c>
      <c r="AL273" s="120">
        <f t="shared" si="692"/>
        <v>0.2599867342346549</v>
      </c>
      <c r="AM273" s="120">
        <f t="shared" si="693"/>
        <v>0.37650934999555574</v>
      </c>
      <c r="AN273" s="120">
        <f t="shared" si="694"/>
        <v>0.3635039157697893</v>
      </c>
      <c r="AO273" s="120">
        <f t="shared" si="710"/>
        <v>5.3173894185613794E-2</v>
      </c>
      <c r="AP273" s="173">
        <f t="shared" si="714"/>
        <v>167.89364836178814</v>
      </c>
      <c r="AQ273" s="175">
        <f t="shared" si="715"/>
        <v>5.3173894185613871E-2</v>
      </c>
      <c r="AR273" s="177">
        <f>+AC273/$AE$57</f>
        <v>4.5719086155152364E-3</v>
      </c>
      <c r="AS273" s="177">
        <f t="shared" si="711"/>
        <v>2.431061849477036E-4</v>
      </c>
      <c r="AT273" s="177"/>
      <c r="AU273" s="177"/>
      <c r="AV273" s="177"/>
      <c r="AW273" s="190"/>
      <c r="AX273" s="120"/>
      <c r="AY273" s="120"/>
      <c r="AZ273" s="118">
        <f>IFERROR(INDEX('Total Customers'!$F$7:$AB$91,MATCH($C273,'Total Customers'!$D$7:$D$91,0),MATCH($G273,'Total Customers'!$F$5:$AB$5,0)),"NA")</f>
        <v>83755</v>
      </c>
      <c r="BA273" s="119">
        <f t="shared" si="672"/>
        <v>1.5558289247177141E-2</v>
      </c>
      <c r="BB273" s="119"/>
      <c r="BC273" s="121">
        <v>8963640</v>
      </c>
      <c r="BD273" s="119"/>
      <c r="BE273" s="119"/>
      <c r="BF273" s="119"/>
      <c r="BG273" s="173"/>
      <c r="BH273" s="173"/>
      <c r="BI273" s="173"/>
      <c r="BJ273" s="173"/>
      <c r="BK273" s="173"/>
      <c r="BL273" s="173"/>
      <c r="BM273" s="173"/>
      <c r="BN273" s="173"/>
      <c r="BO273" s="173"/>
      <c r="BP273" s="173"/>
      <c r="BQ273" s="118"/>
      <c r="BR273" s="118"/>
      <c r="BS273" s="118">
        <f>INDEX('Dist. Plant Gas Additions'!$F$7:$AE$91,MATCH($C273,'Dist. Plant Gas Additions'!$D$7:$D$91,0),MATCH(Calculation!$G273,'Dist. Plant Gas Additions'!$F$5:$AE$5,0))</f>
        <v>53165</v>
      </c>
      <c r="BT273" s="118">
        <f>INDEX('Gen. Plant Additions'!$F$7:$AE$91,MATCH($C273,'Gen. Plant Additions'!$D$7:$D$91,0),MATCH(Calculation!$G273,'Gen. Plant Additions'!$F$5:$AE$5,0))</f>
        <v>0</v>
      </c>
      <c r="BU273" s="118"/>
      <c r="BV273" s="118"/>
      <c r="BW273" s="118">
        <f>INDEX('Dist Plant Depreciation'!$E$7:$AD$94,MATCH($C273,'Dist Plant Depreciation'!$D$7:$D$94,0),MATCH(Calculation!$G273,'Dist Plant Depreciation'!$E$5:$AD$5,0))</f>
        <v>100143</v>
      </c>
      <c r="BX273" s="118">
        <f>INDEX('Gen. Plant Depreciation'!$E$7:$AD$94,MATCH($C273,'Gen. Plant Depreciation'!$D$7:$D$94,0),MATCH(Calculation!$G273,'Gen. Plant Depreciation'!$E$5:$AD$5,0))</f>
        <v>0</v>
      </c>
      <c r="BY273" s="118"/>
      <c r="BZ273" s="118"/>
      <c r="CA273" s="118"/>
      <c r="CB273" s="118"/>
      <c r="CC273" s="118"/>
      <c r="CD273" s="118"/>
      <c r="CE273" s="118">
        <f>INDEX('Gross Dx Plant'!$E$7:$AD$91,MATCH($C273,'Gross Dx Plant'!$D$7:$D$91,0),MATCH(Calculation!$G273,'Gross Dx Plant'!$E$5:$AD$5,0))</f>
        <v>555806</v>
      </c>
      <c r="CF273" s="118">
        <f>INDEX('Gross Gen Plant'!$E$7:$AD$91,MATCH($C273,'Gross Gen Plant'!$D$7:$D$91,0),MATCH(Calculation!$G273,'Gross Gen Plant'!$E$5:$AD$5,0))</f>
        <v>0</v>
      </c>
      <c r="CG273" s="118">
        <f t="shared" si="637"/>
        <v>455663</v>
      </c>
      <c r="CH273" s="118"/>
      <c r="CI273" s="121">
        <v>2019</v>
      </c>
      <c r="CJ273" s="118"/>
      <c r="CK273" s="118"/>
      <c r="CL273" s="118"/>
      <c r="CM273" s="183"/>
      <c r="CN273" s="118">
        <f t="shared" si="673"/>
        <v>53165</v>
      </c>
      <c r="CO273" s="118">
        <f t="shared" si="674"/>
        <v>68.729539845777666</v>
      </c>
      <c r="CP273" s="186">
        <v>0.85106382978723405</v>
      </c>
      <c r="CQ273" s="118">
        <f>CQ252*CP273+CO253*CP272+CO254*CP271+CO255*CP270+CO256*CP269+CO257*CP268+CO258*CP267+CO259*CP266+CO260*CP265+CO261*CP264+CO262*CP263+CO263*CP262+CO264*CP261+CO265*CP260+CO266*CP259+CO267*CP258+CO268*CP257+CO269*CP256+CO270*CP255+CO271*CP254+CO272*CP253+CO273</f>
        <v>1101.455052083397</v>
      </c>
      <c r="CR273" s="119">
        <f t="shared" si="675"/>
        <v>5.600780617049738E-2</v>
      </c>
      <c r="CS273" s="119"/>
      <c r="CT273" s="177">
        <f t="shared" si="676"/>
        <v>8.3874656452939834E-3</v>
      </c>
      <c r="CU273" s="177">
        <f t="shared" si="685"/>
        <v>8.2940846451524247E-3</v>
      </c>
      <c r="CV273" s="119">
        <f>VLOOKUP($H273,RoR!$E:$F,2,FALSE)</f>
        <v>3.3875000000000009E-2</v>
      </c>
      <c r="CW273" s="177">
        <v>1.8092492884465461E-2</v>
      </c>
      <c r="CX273" s="177">
        <f t="shared" si="683"/>
        <v>1.5782507115534548E-2</v>
      </c>
      <c r="CY273" s="177">
        <f t="shared" si="686"/>
        <v>2.26078569633812E-2</v>
      </c>
      <c r="CZ273" s="177">
        <f t="shared" si="687"/>
        <v>4.8445665544254078E-2</v>
      </c>
      <c r="DA273" s="187">
        <f t="shared" si="677"/>
        <v>0.90381374874999998</v>
      </c>
      <c r="DB273" s="188">
        <f t="shared" si="678"/>
        <v>1.513861292459078</v>
      </c>
      <c r="DC273" s="188">
        <f t="shared" si="679"/>
        <v>0.23699261992619944</v>
      </c>
      <c r="DD273" s="188">
        <f t="shared" si="680"/>
        <v>0.73619765810468829</v>
      </c>
      <c r="DE273" s="188">
        <f t="shared" si="681"/>
        <v>0.26412854465362851</v>
      </c>
      <c r="DF273" s="189">
        <f>INDEX('State Tax Lookup'!$D$7:$Z$91,MATCH(Calculation!$C273,'State Tax Lookup'!$B$7:$B$91,0),MATCH($H273,'State Tax Lookup'!$D$6:$Z$6,0))</f>
        <v>0.25649666999999998</v>
      </c>
      <c r="DG273" s="189">
        <v>0.375</v>
      </c>
      <c r="DH273" s="190">
        <f t="shared" si="684"/>
        <v>21.199862620040253</v>
      </c>
      <c r="DI273" s="190">
        <v>21.000569296802571</v>
      </c>
      <c r="DJ273" s="177"/>
      <c r="DK273" s="189">
        <f>VLOOKUP($H273,RoR!$E:$F,2,FALSE)</f>
        <v>3.3875000000000009E-2</v>
      </c>
      <c r="DL273" s="191">
        <f>HLOOKUP($H273,'GDP-PI'!$D$8:$CQ$11,3,FALSE)</f>
        <v>1.8092492884465461E-2</v>
      </c>
      <c r="DM273" s="189">
        <f>VLOOKUP(H273,'HW Dx Data'!$E:$F,2,FALSE)</f>
        <v>773.53929793938721</v>
      </c>
      <c r="DN273" s="183">
        <f>VLOOKUP(H273,'ECI - Input Price'!$G$17:$H$37,2,FALSE)</f>
        <v>136.85</v>
      </c>
      <c r="DO273" s="177">
        <f t="shared" ref="DO273" si="738">LN(DN273/DN272)</f>
        <v>2.6658372440734168E-2</v>
      </c>
      <c r="DP273" s="183">
        <f>HLOOKUP(H273,'GDP-PI'!$8:$9,2,FALSE)</f>
        <v>112.318</v>
      </c>
      <c r="DQ273" s="177">
        <f t="shared" ref="DQ273" si="739">LN(DP273/DP272)</f>
        <v>1.7930771451401852E-2</v>
      </c>
    </row>
    <row r="274" spans="1:121" s="167" customFormat="1" ht="21" x14ac:dyDescent="0.35">
      <c r="A274" s="167" t="s">
        <v>41</v>
      </c>
      <c r="B274" s="167" t="s">
        <v>41</v>
      </c>
      <c r="C274" s="167">
        <v>4057076</v>
      </c>
      <c r="D274" s="167" t="s">
        <v>136</v>
      </c>
      <c r="E274" s="167" t="s">
        <v>126</v>
      </c>
      <c r="G274" s="168" t="s">
        <v>26</v>
      </c>
      <c r="H274" s="169">
        <v>2020</v>
      </c>
      <c r="I274" s="170"/>
      <c r="J274" s="166">
        <v>15791</v>
      </c>
      <c r="K274" s="166">
        <f t="shared" si="690"/>
        <v>112.43147027411891</v>
      </c>
      <c r="L274" s="172">
        <f t="shared" si="699"/>
        <v>-2.5985474426055446E-2</v>
      </c>
      <c r="M274" s="172">
        <f t="shared" si="700"/>
        <v>-1.1967298160263497E-4</v>
      </c>
      <c r="N274" s="196"/>
      <c r="O274" s="172"/>
      <c r="P274" s="166">
        <v>22869</v>
      </c>
      <c r="Q274" s="166">
        <f t="shared" si="691"/>
        <v>201.27086945424782</v>
      </c>
      <c r="R274" s="172">
        <f t="shared" si="701"/>
        <v>-1.1541322281825089E-2</v>
      </c>
      <c r="S274" s="172">
        <f t="shared" si="706"/>
        <v>-5.315217365121613E-5</v>
      </c>
      <c r="T274" s="172"/>
      <c r="U274" s="172"/>
      <c r="V274" s="166">
        <f t="shared" si="671"/>
        <v>24418.36510757788</v>
      </c>
      <c r="W274" s="170"/>
      <c r="X274" s="174">
        <v>1157.423848904607</v>
      </c>
      <c r="Y274" s="175">
        <v>4.9564635200783809E-2</v>
      </c>
      <c r="Z274" s="175">
        <f t="shared" si="707"/>
        <v>2.2826397468337904E-4</v>
      </c>
      <c r="AA274" s="175"/>
      <c r="AB274" s="175"/>
      <c r="AC274" s="170">
        <f t="shared" si="682"/>
        <v>63078.365107577876</v>
      </c>
      <c r="AD274" s="175">
        <f t="shared" si="702"/>
        <v>3.7793658707357354E-2</v>
      </c>
      <c r="AE274" s="170"/>
      <c r="AF274" s="170"/>
      <c r="AG274" s="121">
        <f t="shared" si="703"/>
        <v>753.12954578924098</v>
      </c>
      <c r="AH274" s="119">
        <f>+AZ274/$BB$58</f>
        <v>2.1781171663979053E-3</v>
      </c>
      <c r="AI274" s="119">
        <f>+AZ274/$BC$59</f>
        <v>9.1896264691963998E-3</v>
      </c>
      <c r="AJ274" s="176">
        <f t="shared" si="708"/>
        <v>1.6404043922050029</v>
      </c>
      <c r="AK274" s="176">
        <f t="shared" si="709"/>
        <v>6.9209792087186708</v>
      </c>
      <c r="AL274" s="120">
        <f t="shared" si="692"/>
        <v>0.25033939882666617</v>
      </c>
      <c r="AM274" s="120">
        <f t="shared" si="693"/>
        <v>0.36254902867247346</v>
      </c>
      <c r="AN274" s="120">
        <f t="shared" si="694"/>
        <v>0.38711157250086048</v>
      </c>
      <c r="AO274" s="120">
        <f t="shared" si="710"/>
        <v>-1.089538880645179E-2</v>
      </c>
      <c r="AP274" s="173">
        <f t="shared" si="714"/>
        <v>166.07431097652727</v>
      </c>
      <c r="AQ274" s="175">
        <f t="shared" si="715"/>
        <v>-1.0895388806451823E-2</v>
      </c>
      <c r="AR274" s="177">
        <f>+AC274/$AE$58</f>
        <v>4.6053798995734224E-3</v>
      </c>
      <c r="AS274" s="177">
        <f t="shared" si="711"/>
        <v>-5.0177404607270483E-5</v>
      </c>
      <c r="AT274" s="177"/>
      <c r="AU274" s="177"/>
      <c r="AV274" s="177"/>
      <c r="AW274" s="190"/>
      <c r="AX274" s="120"/>
      <c r="AY274" s="120"/>
      <c r="AZ274" s="118">
        <v>83755</v>
      </c>
      <c r="BA274" s="119">
        <f t="shared" si="672"/>
        <v>0</v>
      </c>
      <c r="BB274" s="119"/>
      <c r="BC274" s="121">
        <v>9060252</v>
      </c>
      <c r="BD274" s="119"/>
      <c r="BE274" s="119"/>
      <c r="BF274" s="119"/>
      <c r="BG274" s="173"/>
      <c r="BH274" s="173"/>
      <c r="BI274" s="173"/>
      <c r="BJ274" s="173"/>
      <c r="BK274" s="173"/>
      <c r="BL274" s="173"/>
      <c r="BM274" s="173"/>
      <c r="BN274" s="173"/>
      <c r="BO274" s="173"/>
      <c r="BP274" s="173"/>
      <c r="BQ274" s="118"/>
      <c r="BR274" s="118"/>
      <c r="BS274" s="118" t="str">
        <f>INDEX('Dist. Plant Gas Additions'!$F$7:$AE$91,MATCH($C274,'Dist. Plant Gas Additions'!$D$7:$D$91,0),MATCH(Calculation!$G274,'Dist. Plant Gas Additions'!$F$5:$AE$5,0))</f>
        <v>NA</v>
      </c>
      <c r="BT274" s="118" t="str">
        <f>INDEX('Gen. Plant Additions'!$F$7:$AE$91,MATCH($C274,'Gen. Plant Additions'!$D$7:$D$91,0),MATCH(Calculation!$G274,'Gen. Plant Additions'!$F$5:$AE$5,0))</f>
        <v>NA</v>
      </c>
      <c r="BU274" s="118"/>
      <c r="BV274" s="118"/>
      <c r="BW274" s="118" t="str">
        <f>INDEX('Dist Plant Depreciation'!$E$7:$AD$94,MATCH($C274,'Dist Plant Depreciation'!$D$7:$D$94,0),MATCH(Calculation!$G274,'Dist Plant Depreciation'!$E$5:$AD$5,0))</f>
        <v>NA</v>
      </c>
      <c r="BX274" s="118" t="str">
        <f>INDEX('Gen. Plant Depreciation'!$E$7:$AD$94,MATCH($C274,'Gen. Plant Depreciation'!$D$7:$D$94,0),MATCH(Calculation!$G274,'Gen. Plant Depreciation'!$E$5:$AD$5,0))</f>
        <v>NA</v>
      </c>
      <c r="BY274" s="118"/>
      <c r="BZ274" s="118"/>
      <c r="CA274" s="118"/>
      <c r="CB274" s="118"/>
      <c r="CC274" s="118"/>
      <c r="CD274" s="118"/>
      <c r="CE274" s="118" t="str">
        <f>INDEX('Gross Dx Plant'!$E$7:$AD$91,MATCH($C274,'Gross Dx Plant'!$D$7:$D$91,0),MATCH(Calculation!$G274,'Gross Dx Plant'!$E$5:$AD$5,0))</f>
        <v>NA</v>
      </c>
      <c r="CF274" s="118" t="str">
        <f>INDEX('Gross Gen Plant'!$E$7:$AD$91,MATCH($C274,'Gross Gen Plant'!$D$7:$D$91,0),MATCH(Calculation!$G274,'Gross Gen Plant'!$E$5:$AD$5,0))</f>
        <v>NA</v>
      </c>
      <c r="CG274" s="118" t="str">
        <f t="shared" si="637"/>
        <v>NA</v>
      </c>
      <c r="CH274" s="118"/>
      <c r="CI274" s="121">
        <v>2020</v>
      </c>
      <c r="CJ274" s="118"/>
      <c r="CK274" s="118"/>
      <c r="CL274" s="118"/>
      <c r="CM274" s="183"/>
      <c r="CN274" s="118">
        <v>53165</v>
      </c>
      <c r="CO274" s="118">
        <f t="shared" si="674"/>
        <v>65.387156709399846</v>
      </c>
      <c r="CP274" s="186">
        <v>0.84057971014492749</v>
      </c>
      <c r="CQ274" s="118">
        <f>CQ252*CP274+CO253*CP273+CO254*CP272+CO255*CP271+CO256*CP270+CO257*CP269+CO258*CP268+CO259*CP267+CO260*CP266+CO261*CP265+CO262*CP264+CO263*CP263+CO264*CP262+CO265*CP261+CO266*CP260+CO267*CP259+CO268*CP258+CO269*CP257+CO270*CP256+CO271*CP255+CO272*CP254+CO273*CP253+CO274</f>
        <v>1157.423848904607</v>
      </c>
      <c r="CR274" s="119">
        <f t="shared" si="675"/>
        <v>4.9564635200783809E-2</v>
      </c>
      <c r="CS274" s="119"/>
      <c r="CT274" s="177">
        <f t="shared" si="676"/>
        <v>8.5508345259982486E-3</v>
      </c>
      <c r="CU274" s="177">
        <f t="shared" si="685"/>
        <v>8.4168762328502168E-3</v>
      </c>
      <c r="CV274" s="119">
        <f>VLOOKUP($H274,RoR!$E:$F,2,FALSE)</f>
        <v>2.4766666666666666E-2</v>
      </c>
      <c r="CW274" s="177">
        <v>1.1618796630994188E-2</v>
      </c>
      <c r="CX274" s="177">
        <f t="shared" si="683"/>
        <v>1.3147870035672478E-2</v>
      </c>
      <c r="CY274" s="177">
        <f t="shared" si="686"/>
        <v>2.2485065375683407E-2</v>
      </c>
      <c r="CZ274" s="177">
        <f t="shared" si="687"/>
        <v>4.5144642961987357E-2</v>
      </c>
      <c r="DA274" s="187">
        <f t="shared" si="677"/>
        <v>0.90381374874999998</v>
      </c>
      <c r="DB274" s="188">
        <f t="shared" si="678"/>
        <v>2.0706077233668081</v>
      </c>
      <c r="DC274" s="188">
        <f t="shared" si="679"/>
        <v>-3.4421265141318998E-2</v>
      </c>
      <c r="DD274" s="188">
        <f t="shared" si="680"/>
        <v>0.62416226176410472</v>
      </c>
      <c r="DE274" s="188">
        <f t="shared" si="681"/>
        <v>-4.4485877841158712E-2</v>
      </c>
      <c r="DF274" s="189">
        <f>INDEX('State Tax Lookup'!$D$7:$Z$91,MATCH(Calculation!$C274,'State Tax Lookup'!$B$7:$B$91,0),MATCH($H274,'State Tax Lookup'!$D$6:$Z$6,0))</f>
        <v>0.25649666999999998</v>
      </c>
      <c r="DG274" s="189">
        <v>0.375</v>
      </c>
      <c r="DH274" s="190">
        <f t="shared" si="684"/>
        <v>22.169188893718957</v>
      </c>
      <c r="DI274" s="190">
        <v>21.958857926121166</v>
      </c>
      <c r="DJ274" s="177"/>
      <c r="DK274" s="189">
        <f>VLOOKUP($H274,RoR!$E:$F,2,FALSE)</f>
        <v>2.4766666666666666E-2</v>
      </c>
      <c r="DL274" s="191">
        <f>HLOOKUP($H274,'GDP-PI'!$D$8:$CQ$11,3,FALSE)</f>
        <v>1.1618796630994188E-2</v>
      </c>
      <c r="DM274" s="189">
        <f>VLOOKUP(H274,'HW Dx Data'!$E:$F,2,FALSE)</f>
        <v>813.080162458833</v>
      </c>
      <c r="DN274" s="183">
        <f>VLOOKUP(H274,'ECI - Input Price'!$G$17:$H$37,2,FALSE)</f>
        <v>140.44999999999999</v>
      </c>
      <c r="DO274" s="177">
        <f t="shared" ref="DO274" si="740">LN(DN274/DN273)</f>
        <v>2.5966118063564539E-2</v>
      </c>
      <c r="DP274" s="183">
        <f>HLOOKUP(H274,'GDP-PI'!$8:$9,2,FALSE)</f>
        <v>113.623</v>
      </c>
      <c r="DQ274" s="177">
        <f t="shared" ref="DQ274" si="741">LN(DP274/DP273)</f>
        <v>1.1551816731392881E-2</v>
      </c>
    </row>
    <row r="275" spans="1:121" s="167" customFormat="1" ht="21" x14ac:dyDescent="0.35">
      <c r="A275" s="167" t="s">
        <v>41</v>
      </c>
      <c r="B275" s="167" t="s">
        <v>41</v>
      </c>
      <c r="C275" s="167">
        <v>4057076</v>
      </c>
      <c r="D275" s="167" t="s">
        <v>136</v>
      </c>
      <c r="E275" s="167" t="s">
        <v>126</v>
      </c>
      <c r="G275" s="168" t="s">
        <v>462</v>
      </c>
      <c r="H275" s="169">
        <v>2021</v>
      </c>
      <c r="I275" s="170"/>
      <c r="J275" s="166">
        <f>IFERROR(INDEX('Labor Expenditures'!$E$7:$X$91,MATCH($C275,'Labor Expenditures'!$D$7:$D$91,0),MATCH($G275,'Labor Expenditures'!$E$5:$X$5,0)),"NA")</f>
        <v>17039.617857770394</v>
      </c>
      <c r="K275" s="166">
        <f t="shared" si="690"/>
        <v>117.13090123918468</v>
      </c>
      <c r="L275" s="171">
        <f t="shared" si="699"/>
        <v>4.0948240485528219E-2</v>
      </c>
      <c r="M275" s="172">
        <f t="shared" si="700"/>
        <v>1.680280261455671E-4</v>
      </c>
      <c r="N275" s="196"/>
      <c r="O275" s="172"/>
      <c r="P275" s="166">
        <f>IFERROR(INDEX('Non-Labor Expenditures'!$E$7:$AB$91,MATCH($C275,'Non-Labor Expenditures'!$D$7:$D$91,0),MATCH($G275,'Non-Labor Expenditures'!$E$5:$AB$5,0)),"NA")</f>
        <v>24019.702281435373</v>
      </c>
      <c r="Q275" s="166">
        <f t="shared" si="691"/>
        <v>202.71501630040825</v>
      </c>
      <c r="R275" s="172">
        <f t="shared" si="701"/>
        <v>7.1495220433326701E-3</v>
      </c>
      <c r="S275" s="172">
        <f t="shared" si="706"/>
        <v>2.9337526169164127E-5</v>
      </c>
      <c r="T275" s="172"/>
      <c r="U275" s="172"/>
      <c r="V275" s="166">
        <f t="shared" si="671"/>
        <v>19459.742059489741</v>
      </c>
      <c r="W275" s="170"/>
      <c r="X275" s="174">
        <v>1184.9044400613809</v>
      </c>
      <c r="Y275" s="175"/>
      <c r="Z275" s="175">
        <f t="shared" si="707"/>
        <v>0</v>
      </c>
      <c r="AA275" s="175"/>
      <c r="AB275" s="175"/>
      <c r="AC275" s="170">
        <f t="shared" si="682"/>
        <v>60519.062198695508</v>
      </c>
      <c r="AD275" s="175">
        <f t="shared" si="702"/>
        <v>-4.1419450922402339E-2</v>
      </c>
      <c r="AE275" s="118"/>
      <c r="AF275" s="119"/>
      <c r="AG275" s="121">
        <f t="shared" si="703"/>
        <v>722.35691332890326</v>
      </c>
      <c r="AH275" s="119">
        <f>+AZ275/$BB$59</f>
        <v>2.1495182859877283E-3</v>
      </c>
      <c r="AI275" s="119">
        <f t="shared" ref="AI275" si="742">+AZ275/$BC$44</f>
        <v>1.015838126473423E-2</v>
      </c>
      <c r="AJ275" s="176">
        <f t="shared" si="708"/>
        <v>1.5527193942101301</v>
      </c>
      <c r="AK275" s="176">
        <f t="shared" si="709"/>
        <v>7.3379769348115795</v>
      </c>
      <c r="AL275" s="120">
        <f t="shared" si="692"/>
        <v>0.28155786356745105</v>
      </c>
      <c r="AM275" s="120">
        <f t="shared" si="693"/>
        <v>0.3968948197276117</v>
      </c>
      <c r="AN275" s="120">
        <f t="shared" si="694"/>
        <v>0.32154731670493725</v>
      </c>
      <c r="AO275" s="120">
        <f t="shared" si="710"/>
        <v>1.3604958774459108E-2</v>
      </c>
      <c r="AP275" s="173">
        <f t="shared" si="714"/>
        <v>168.34918482446409</v>
      </c>
      <c r="AQ275" s="175">
        <f t="shared" si="715"/>
        <v>1.3604958774459049E-2</v>
      </c>
      <c r="AR275" s="177">
        <f>+AC275/$AE$59</f>
        <v>4.1034248151627165E-3</v>
      </c>
      <c r="AS275" s="177">
        <f t="shared" si="711"/>
        <v>5.5826925444381003E-5</v>
      </c>
      <c r="AT275" s="177"/>
      <c r="AU275" s="177"/>
      <c r="AV275" s="177"/>
      <c r="AW275" s="190"/>
      <c r="AX275" s="120"/>
      <c r="AY275" s="120"/>
      <c r="AZ275" s="118">
        <f>INDEX('Total Customers'!$E$7:$E$91,MATCH(Calculation!$C275,'Total Customers'!$D$7:$D$91,0))</f>
        <v>83780</v>
      </c>
      <c r="BA275" s="119">
        <f t="shared" si="672"/>
        <v>2.9844510323887046E-4</v>
      </c>
      <c r="BB275" s="118"/>
      <c r="BC275" s="121"/>
      <c r="BD275" s="118"/>
      <c r="BE275" s="119"/>
      <c r="BF275" s="119"/>
      <c r="BG275" s="173"/>
      <c r="BH275" s="173"/>
      <c r="BI275" s="173"/>
      <c r="BJ275" s="173"/>
      <c r="BK275" s="173"/>
      <c r="BL275" s="173"/>
      <c r="BM275" s="173"/>
      <c r="BN275" s="173"/>
      <c r="BO275" s="173"/>
      <c r="BP275" s="173"/>
      <c r="BQ275" s="118"/>
      <c r="BR275" s="118"/>
      <c r="BS275" s="118">
        <f>INDEX('Dist. Plant Gas Additions'!$E$7:$AE$91,MATCH($C275,'Dist. Plant Gas Additions'!$D$7:$D$91,0),MATCH(Calculation!$G275,'Dist. Plant Gas Additions'!$E$5:$AE$5,0))</f>
        <v>59179</v>
      </c>
      <c r="BT275" s="118">
        <f>INDEX('Gen. Plant Additions'!$E$7:$AE$91,MATCH($C275,'Gen. Plant Additions'!$D$7:$D$91,0),MATCH(Calculation!$G275,'Gen. Plant Additions'!$E$5:$AE$5,0))</f>
        <v>0</v>
      </c>
      <c r="BU275" s="118"/>
      <c r="BV275" s="118"/>
      <c r="BW275" s="118"/>
      <c r="BX275" s="118"/>
      <c r="BY275" s="183"/>
      <c r="BZ275" s="183"/>
      <c r="CA275" s="178"/>
      <c r="CB275" s="184"/>
      <c r="CC275" s="185"/>
      <c r="CD275" s="185"/>
      <c r="CE275" s="118"/>
      <c r="CF275" s="118"/>
      <c r="CG275" s="118"/>
      <c r="CH275" s="118"/>
      <c r="CI275" s="121">
        <v>2021</v>
      </c>
      <c r="CJ275" s="118"/>
      <c r="CK275" s="118"/>
      <c r="CL275" s="118"/>
      <c r="CM275" s="183"/>
      <c r="CN275" s="118">
        <f t="shared" ref="CN275" si="743">+BT275+BS275</f>
        <v>59179</v>
      </c>
      <c r="CO275" s="118">
        <f t="shared" si="674"/>
        <v>63.427195003000712</v>
      </c>
      <c r="CP275" s="186">
        <f>+(51-23)/(51-23*0.75)</f>
        <v>0.82962962962962961</v>
      </c>
      <c r="CQ275" s="118">
        <f>CQ252*CP275+CO253*CP274+CO254*CP273+CO255*CP272+CO256*CP271+CO257*CP270+CO258*CP269+CO259*CP268+CO260*CP267+CO261*CP266+CO262*CP265+CO263*CP264+CO264*CP263+CO265*CP262+CO266*CP261+CO257*CP260+CO268*CP259+CO269*CP258+CO270*CP257+CO271*CP256+CO272*CP255+CO273*CP254+CO275+CO274*CP253</f>
        <v>1184.9044400613809</v>
      </c>
      <c r="CR275" s="119"/>
      <c r="CS275" s="118"/>
      <c r="CT275" s="177">
        <f t="shared" si="676"/>
        <v>3.1057424538337337E-2</v>
      </c>
      <c r="CU275" s="177">
        <f t="shared" si="685"/>
        <v>1.5998574903209856E-2</v>
      </c>
      <c r="CV275" s="119">
        <f>VLOOKUP($H275,RoR!$E:$F,2,FALSE)</f>
        <v>2.7033333333333336E-2</v>
      </c>
      <c r="CW275" s="177">
        <v>1.4335631817396832E-2</v>
      </c>
      <c r="CX275" s="177">
        <f>+CV275-CW275</f>
        <v>1.2697701515936504E-2</v>
      </c>
      <c r="CY275" s="177">
        <f t="shared" si="686"/>
        <v>1.4903366705323769E-2</v>
      </c>
      <c r="CZ275" s="177">
        <f t="shared" si="687"/>
        <v>7.433422950153494E-2</v>
      </c>
      <c r="DA275" s="187">
        <f t="shared" si="677"/>
        <v>0.90381374874999998</v>
      </c>
      <c r="DB275" s="188">
        <f t="shared" si="678"/>
        <v>1.8969932656739068</v>
      </c>
      <c r="DC275" s="188">
        <f t="shared" si="679"/>
        <v>5.0215782983970621E-2</v>
      </c>
      <c r="DD275" s="188">
        <f t="shared" si="680"/>
        <v>0.655952481704143</v>
      </c>
      <c r="DE275" s="188">
        <f t="shared" si="681"/>
        <v>6.2485378865697057E-2</v>
      </c>
      <c r="DF275" s="189">
        <f>DF274</f>
        <v>0.25649666999999998</v>
      </c>
      <c r="DG275" s="189">
        <v>0.375</v>
      </c>
      <c r="DH275" s="190">
        <f t="shared" si="684"/>
        <v>16.812978303416298</v>
      </c>
      <c r="DI275" s="190"/>
      <c r="DJ275" s="177">
        <f t="shared" ref="DJ275" si="744">LN(DH275/DH274)</f>
        <v>-0.27655233096854709</v>
      </c>
      <c r="DK275" s="189">
        <f>VLOOKUP($H275,RoR!$E:$F,2,FALSE)</f>
        <v>2.7033333333333336E-2</v>
      </c>
      <c r="DL275" s="191">
        <f>HLOOKUP($H275,'GDP-PI'!$D$8:$CR$11,3,FALSE)</f>
        <v>4.2834637353352578E-2</v>
      </c>
      <c r="DM275" s="189">
        <f>VLOOKUP(H275,'HW Dx Data'!$E:$F,2,FALSE)</f>
        <v>933.02249921662576</v>
      </c>
      <c r="DN275" s="183">
        <f>VLOOKUP(H275,'ECI - Input Price'!$G$17:$H$37,2,FALSE)</f>
        <v>145.47500000000002</v>
      </c>
      <c r="DO275" s="177">
        <f t="shared" ref="DO275" si="745">LN(DN275/DN274)</f>
        <v>3.5152696992481205E-2</v>
      </c>
      <c r="DP275" s="183">
        <f>HLOOKUP(H275,'GDP-PI'!$8:$9,2,FALSE)</f>
        <v>118.49</v>
      </c>
      <c r="DQ275" s="177">
        <f t="shared" ref="DQ275" si="746">LN(DP275/DP274)</f>
        <v>4.194261824609434E-2</v>
      </c>
    </row>
    <row r="276" spans="1:121" s="167" customFormat="1" ht="21" x14ac:dyDescent="0.35">
      <c r="A276" s="167" t="s">
        <v>44</v>
      </c>
      <c r="B276" s="168" t="s">
        <v>44</v>
      </c>
      <c r="C276" s="168">
        <v>4057114</v>
      </c>
      <c r="D276" s="168" t="s">
        <v>333</v>
      </c>
      <c r="E276" s="168" t="s">
        <v>126</v>
      </c>
      <c r="F276" s="168"/>
      <c r="G276" s="168" t="s">
        <v>4</v>
      </c>
      <c r="H276" s="169">
        <v>1998</v>
      </c>
      <c r="I276" s="170"/>
      <c r="J276" s="166"/>
      <c r="K276" s="166"/>
      <c r="L276" s="166"/>
      <c r="M276" s="166"/>
      <c r="N276" s="196"/>
      <c r="O276" s="166"/>
      <c r="P276" s="172"/>
      <c r="Q276" s="172"/>
      <c r="R276" s="172"/>
      <c r="S276" s="166"/>
      <c r="T276" s="172"/>
      <c r="U276" s="172"/>
      <c r="V276" s="166"/>
      <c r="W276" s="170"/>
      <c r="X276" s="174">
        <v>1435.0476180320077</v>
      </c>
      <c r="Y276" s="175"/>
      <c r="Z276" s="166"/>
      <c r="AA276" s="175"/>
      <c r="AB276" s="175"/>
      <c r="AC276" s="170">
        <f t="shared" si="682"/>
        <v>0</v>
      </c>
      <c r="AD276" s="170"/>
      <c r="AE276" s="170"/>
      <c r="AF276" s="119"/>
      <c r="AG276" s="174"/>
      <c r="AH276" s="175"/>
      <c r="AI276" s="175"/>
      <c r="AJ276" s="174"/>
      <c r="AK276" s="174"/>
      <c r="AL276" s="120"/>
      <c r="AM276" s="120"/>
      <c r="AN276" s="120"/>
      <c r="AO276" s="120"/>
      <c r="AP276" s="120"/>
      <c r="AQ276" s="175">
        <f>AVERAGE(AQ285:AQ299)</f>
        <v>-9.1251520350645141E-4</v>
      </c>
      <c r="AR276" s="120"/>
      <c r="AS276" s="120"/>
      <c r="AT276" s="120"/>
      <c r="AU276" s="120"/>
      <c r="AV276" s="120"/>
      <c r="AW276" s="120"/>
      <c r="AX276" s="120"/>
      <c r="AY276" s="120"/>
      <c r="AZ276" s="118">
        <f>IFERROR(INDEX('Total Customers'!$F$7:$AB$91,MATCH($C276,'Total Customers'!$D$7:$D$91,0),MATCH($G276,'Total Customers'!$F$5:$AB$5,0)),"NA")</f>
        <v>139490</v>
      </c>
      <c r="BA276" s="119"/>
      <c r="BB276" s="119"/>
      <c r="BC276" s="121"/>
      <c r="BD276" s="119"/>
      <c r="BE276" s="119"/>
      <c r="BF276" s="119"/>
      <c r="BG276" s="173"/>
      <c r="BH276" s="173"/>
      <c r="BI276" s="173"/>
      <c r="BJ276" s="173"/>
      <c r="BK276" s="173"/>
      <c r="BL276" s="173"/>
      <c r="BM276" s="173"/>
      <c r="BN276" s="173"/>
      <c r="BO276" s="173"/>
      <c r="BP276" s="173"/>
      <c r="BQ276" s="118">
        <f>INDEX('Gross Dx Plant'!$E$7:$AD$91,MATCH($C276,'Gross Dx Plant'!$D$7:$D$91,0),MATCH(Calculation!$G276,'Gross Dx Plant'!$E$5:$AD$5,0))</f>
        <v>330984</v>
      </c>
      <c r="BR276" s="118">
        <f>INDEX('Gross Gen Plant'!$E$7:$AD$91,MATCH($C276,'Gross Gen Plant'!$D$7:$D$91,0),MATCH(Calculation!$G276,'Gross Gen Plant'!$E$5:$AD$5,0))</f>
        <v>19804</v>
      </c>
      <c r="BS276" s="118">
        <f>INDEX('Dist. Plant Gas Additions'!$F$7:$AE$91,MATCH($C276,'Dist. Plant Gas Additions'!$D$7:$D$91,0),MATCH(Calculation!$G276,'Dist. Plant Gas Additions'!$F$5:$AE$5,0))</f>
        <v>22978</v>
      </c>
      <c r="BT276" s="118">
        <f>INDEX('Gen. Plant Additions'!$F$7:$AE$91,MATCH($C276,'Gen. Plant Additions'!$D$7:$D$91,0),MATCH(Calculation!$G276,'Gen. Plant Additions'!$F$5:$AE$5,0))</f>
        <v>3885</v>
      </c>
      <c r="BU276" s="118" t="e">
        <f>INDEX('Dist Plant Depreciation'!$E$7:$AA$94,MATCH($C276,'Dist Plant Depreciation'!$D$7:$D$94,0),MATCH(#REF!,'Dist Plant Depreciation'!$E$5:$AA$5,0))</f>
        <v>#REF!</v>
      </c>
      <c r="BV276" s="118" t="e">
        <f>INDEX('Gen. Plant Depreciation'!$E$7:$AA$94,MATCH($C276,'Gen. Plant Depreciation'!$D$7:$D$94,0),MATCH(#REF!,'Gen. Plant Depreciation'!$E$5:$AA$5,0))</f>
        <v>#REF!</v>
      </c>
      <c r="BW276" s="118" t="str">
        <f>INDEX('Dist Plant Depreciation'!$E$7:$AD$94,MATCH($C276,'Dist Plant Depreciation'!$D$7:$D$94,0),MATCH(Calculation!$G276,'Dist Plant Depreciation'!$E$5:$AD$5,0))</f>
        <v>NA</v>
      </c>
      <c r="BX276" s="118" t="str">
        <f>INDEX('Gen. Plant Depreciation'!$E$7:$AD$94,MATCH($C276,'Gen. Plant Depreciation'!$D$7:$D$94,0),MATCH(Calculation!$G276,'Gen. Plant Depreciation'!$E$5:$AD$5,0))</f>
        <v>NA</v>
      </c>
      <c r="BY276" s="118"/>
      <c r="BZ276" s="118"/>
      <c r="CA276" s="118"/>
      <c r="CB276" s="118"/>
      <c r="CC276" s="118"/>
      <c r="CD276" s="118"/>
      <c r="CE276" s="118">
        <f>INDEX('Gross Dx Plant'!$E$7:$AD$91,MATCH($C276,'Gross Dx Plant'!$D$7:$D$91,0),MATCH(Calculation!$G276,'Gross Dx Plant'!$E$5:$AD$5,0))</f>
        <v>330984</v>
      </c>
      <c r="CF276" s="118">
        <f>INDEX('Gross Gen Plant'!$E$7:$AD$91,MATCH($C276,'Gross Gen Plant'!$D$7:$D$91,0),MATCH(Calculation!$G276,'Gross Gen Plant'!$E$5:$AD$5,0))</f>
        <v>19804</v>
      </c>
      <c r="CG276" s="118" t="str">
        <f t="shared" si="637"/>
        <v>NA</v>
      </c>
      <c r="CH276" s="118"/>
      <c r="CI276" s="121">
        <v>1998</v>
      </c>
      <c r="CJ276" s="118">
        <v>389086</v>
      </c>
      <c r="CK276" s="118">
        <v>99609</v>
      </c>
      <c r="CL276" s="118">
        <f>+CJ276-CK276</f>
        <v>289477</v>
      </c>
      <c r="CM276" s="118">
        <f>CL276/$CD$36</f>
        <v>1435.0476180320077</v>
      </c>
      <c r="CN276" s="183"/>
      <c r="CO276" s="183"/>
      <c r="CP276" s="186">
        <v>1</v>
      </c>
      <c r="CQ276" s="118">
        <f>+CM276</f>
        <v>1435.0476180320077</v>
      </c>
      <c r="CR276" s="119"/>
      <c r="CS276" s="119"/>
      <c r="CT276" s="177"/>
      <c r="CU276" s="177"/>
      <c r="CV276" s="119" t="e">
        <f>VLOOKUP($H276,RoR!$E:$F,2,FALSE)</f>
        <v>#N/A</v>
      </c>
      <c r="CW276" s="177">
        <v>1.1028127770464469E-2</v>
      </c>
      <c r="CX276" s="177"/>
      <c r="CY276" s="177"/>
      <c r="CZ276" s="177"/>
      <c r="DA276" s="187"/>
      <c r="DB276" s="190" t="e">
        <f>2/(DK276*39)</f>
        <v>#N/A</v>
      </c>
      <c r="DC276" s="188" t="e">
        <f>+(DK276*40-(1+DK276))/(DK276*40)</f>
        <v>#N/A</v>
      </c>
      <c r="DD276" s="188" t="e">
        <f>+(1-(1/(1+DK276)^40))</f>
        <v>#N/A</v>
      </c>
      <c r="DE276" s="188" t="e">
        <f>+DD276*DC276*DB276</f>
        <v>#N/A</v>
      </c>
      <c r="DF276" s="189">
        <f>INDEX('State Tax Lookup'!$D$7:$Z$91,MATCH(Calculation!$C276,'State Tax Lookup'!$B$7:$B$91,0),MATCH($H276,'State Tax Lookup'!$D$6:$Z$6,0))</f>
        <v>0.40700500000000001</v>
      </c>
      <c r="DG276" s="189">
        <v>0.375</v>
      </c>
      <c r="DH276" s="183"/>
      <c r="DI276" s="183"/>
      <c r="DJ276" s="177"/>
      <c r="DK276" s="189" t="e">
        <f>VLOOKUP($H276,RoR!$E:$F,2,FALSE)</f>
        <v>#N/A</v>
      </c>
      <c r="DL276" s="191">
        <f>HLOOKUP($H276,'GDP-PI'!$D$8:$CQ$11,3,FALSE)</f>
        <v>1.1028127770464469E-2</v>
      </c>
      <c r="DM276" s="189">
        <f>VLOOKUP(H276,'HW Dx Data'!$E:$F,2,FALSE)</f>
        <v>329.24564746449528</v>
      </c>
      <c r="DN276" s="183" t="e">
        <f>VLOOKUP(H276,'ECI - Input Price'!$G$17:$H$37,2,FALSE)</f>
        <v>#N/A</v>
      </c>
      <c r="DO276" s="177"/>
      <c r="DP276" s="183">
        <f>HLOOKUP(H276,'GDP-PI'!$8:$9,2,FALSE)</f>
        <v>75.266999999999996</v>
      </c>
    </row>
    <row r="277" spans="1:121" s="167" customFormat="1" ht="21" x14ac:dyDescent="0.35">
      <c r="A277" s="167" t="s">
        <v>44</v>
      </c>
      <c r="B277" s="168" t="s">
        <v>44</v>
      </c>
      <c r="C277" s="168">
        <v>4057114</v>
      </c>
      <c r="D277" s="168" t="s">
        <v>333</v>
      </c>
      <c r="E277" s="168" t="s">
        <v>126</v>
      </c>
      <c r="F277" s="168"/>
      <c r="G277" s="168" t="s">
        <v>5</v>
      </c>
      <c r="H277" s="169">
        <v>1999</v>
      </c>
      <c r="I277" s="170"/>
      <c r="J277" s="166"/>
      <c r="K277" s="170"/>
      <c r="L277" s="170"/>
      <c r="M277" s="166"/>
      <c r="N277" s="173"/>
      <c r="O277" s="170"/>
      <c r="P277" s="177"/>
      <c r="Q277" s="177"/>
      <c r="R277" s="177"/>
      <c r="S277" s="195"/>
      <c r="T277" s="177"/>
      <c r="U277" s="177"/>
      <c r="V277" s="166">
        <f t="shared" ref="V277:V299" si="747">+CQ276*DH277</f>
        <v>0</v>
      </c>
      <c r="W277" s="170"/>
      <c r="X277" s="174">
        <v>1500.3154454745925</v>
      </c>
      <c r="Y277" s="175">
        <v>4.4477351023317908E-2</v>
      </c>
      <c r="Z277" s="175"/>
      <c r="AA277" s="175"/>
      <c r="AB277" s="175"/>
      <c r="AC277" s="170">
        <f t="shared" si="682"/>
        <v>0</v>
      </c>
      <c r="AD277" s="175"/>
      <c r="AE277" s="170"/>
      <c r="AF277" s="119"/>
      <c r="AG277" s="174"/>
      <c r="AH277" s="175"/>
      <c r="AI277" s="175"/>
      <c r="AJ277" s="174"/>
      <c r="AK277" s="174"/>
      <c r="AL277" s="120"/>
      <c r="AM277" s="120"/>
      <c r="AN277" s="120"/>
      <c r="AO277" s="120"/>
      <c r="AP277" s="120"/>
      <c r="AQ277" s="175"/>
      <c r="AR277" s="120"/>
      <c r="AS277" s="120"/>
      <c r="AT277" s="120"/>
      <c r="AU277" s="120"/>
      <c r="AV277" s="120"/>
      <c r="AW277" s="120"/>
      <c r="AX277" s="120"/>
      <c r="AY277" s="120"/>
      <c r="AZ277" s="118">
        <f>IFERROR(INDEX('Total Customers'!$F$7:$AB$91,MATCH($C277,'Total Customers'!$D$7:$D$91,0),MATCH($G277,'Total Customers'!$F$5:$AB$5,0)),"NA")</f>
        <v>157101</v>
      </c>
      <c r="BA277" s="119">
        <f t="shared" ref="BA277:BA298" si="748">LN(AZ277/AZ276)</f>
        <v>0.11889599650954694</v>
      </c>
      <c r="BB277" s="119"/>
      <c r="BC277" s="121"/>
      <c r="BD277" s="119"/>
      <c r="BE277" s="119"/>
      <c r="BF277" s="119"/>
      <c r="BG277" s="173"/>
      <c r="BH277" s="173"/>
      <c r="BI277" s="173"/>
      <c r="BJ277" s="173"/>
      <c r="BK277" s="173"/>
      <c r="BL277" s="173"/>
      <c r="BM277" s="173"/>
      <c r="BN277" s="173"/>
      <c r="BO277" s="173"/>
      <c r="BP277" s="173"/>
      <c r="BQ277" s="118"/>
      <c r="BR277" s="118"/>
      <c r="BS277" s="118">
        <f>INDEX('Dist. Plant Gas Additions'!$F$7:$AE$91,MATCH($C277,'Dist. Plant Gas Additions'!$D$7:$D$91,0),MATCH(Calculation!$G277,'Dist. Plant Gas Additions'!$F$5:$AE$5,0))</f>
        <v>24088</v>
      </c>
      <c r="BT277" s="118">
        <f>INDEX('Gen. Plant Additions'!$F$7:$AE$91,MATCH($C277,'Gen. Plant Additions'!$D$7:$D$91,0),MATCH(Calculation!$G277,'Gen. Plant Additions'!$F$5:$AE$5,0))</f>
        <v>192</v>
      </c>
      <c r="BU277" s="118"/>
      <c r="BV277" s="118"/>
      <c r="BW277" s="118" t="str">
        <f>INDEX('Dist Plant Depreciation'!$E$7:$AD$94,MATCH($C277,'Dist Plant Depreciation'!$D$7:$D$94,0),MATCH(Calculation!$G277,'Dist Plant Depreciation'!$E$5:$AD$5,0))</f>
        <v>NA</v>
      </c>
      <c r="BX277" s="118" t="str">
        <f>INDEX('Gen. Plant Depreciation'!$E$7:$AD$94,MATCH($C277,'Gen. Plant Depreciation'!$D$7:$D$94,0),MATCH(Calculation!$G277,'Gen. Plant Depreciation'!$E$5:$AD$5,0))</f>
        <v>NA</v>
      </c>
      <c r="BY277" s="118"/>
      <c r="BZ277" s="118"/>
      <c r="CA277" s="118"/>
      <c r="CB277" s="118"/>
      <c r="CC277" s="118"/>
      <c r="CD277" s="118"/>
      <c r="CE277" s="118">
        <f>INDEX('Gross Dx Plant'!$E$7:$AD$91,MATCH($C277,'Gross Dx Plant'!$D$7:$D$91,0),MATCH(Calculation!$G277,'Gross Dx Plant'!$E$5:$AD$5,0))</f>
        <v>354136</v>
      </c>
      <c r="CF277" s="118">
        <f>INDEX('Gross Gen Plant'!$E$7:$AD$91,MATCH($C277,'Gross Gen Plant'!$D$7:$D$91,0),MATCH(Calculation!$G277,'Gross Gen Plant'!$E$5:$AD$5,0))</f>
        <v>14311</v>
      </c>
      <c r="CG277" s="118" t="str">
        <f t="shared" si="637"/>
        <v>NA</v>
      </c>
      <c r="CH277" s="118"/>
      <c r="CI277" s="121">
        <v>1999</v>
      </c>
      <c r="CJ277" s="118"/>
      <c r="CK277" s="118"/>
      <c r="CL277" s="118"/>
      <c r="CM277" s="183"/>
      <c r="CN277" s="118">
        <f t="shared" ref="CN277:CN298" si="749">+BT277+BS277</f>
        <v>24280</v>
      </c>
      <c r="CO277" s="118">
        <f t="shared" ref="CO277:CO299" si="750">+CN277/$DM277</f>
        <v>72.407367830803565</v>
      </c>
      <c r="CP277" s="186">
        <v>0.99502487562189057</v>
      </c>
      <c r="CQ277" s="118">
        <f>+CQ276*CP277+CO277</f>
        <v>1500.3154454745925</v>
      </c>
      <c r="CR277" s="119">
        <f t="shared" ref="CR277:CR298" si="751">LN(CQ277/CQ276)</f>
        <v>4.4477351023317908E-2</v>
      </c>
      <c r="CS277" s="119"/>
      <c r="CT277" s="177">
        <f t="shared" ref="CT277:CT299" si="752">+(CQ276-CQ277+CO277)/CQ276</f>
        <v>4.975124378109326E-3</v>
      </c>
      <c r="CU277" s="177"/>
      <c r="CV277" s="119">
        <f>VLOOKUP($H277,RoR!$E:$F,2,FALSE)</f>
        <v>7.0416666666666669E-2</v>
      </c>
      <c r="CW277" s="177">
        <v>1.4335631817396832E-2</v>
      </c>
      <c r="CX277" s="177">
        <f>+CV277-CW277</f>
        <v>5.6081034849269837E-2</v>
      </c>
      <c r="CY277" s="177"/>
      <c r="CZ277" s="177"/>
      <c r="DA277" s="187">
        <f t="shared" ref="DA277:DA299" si="753">1-DF277*DG277</f>
        <v>0.84737312500000006</v>
      </c>
      <c r="DB277" s="188">
        <f t="shared" ref="DB277:DB299" si="754">2/(DK277*39)</f>
        <v>0.72826581702321336</v>
      </c>
      <c r="DC277" s="188">
        <f t="shared" ref="DC277:DC299" si="755">+(DK277*40-(1+DK277))/(DK277*40)</f>
        <v>0.61997041420118348</v>
      </c>
      <c r="DD277" s="188">
        <f t="shared" ref="DD277:DD299" si="756">+(1-(1/(1+DK277)^40))</f>
        <v>0.93425155319585029</v>
      </c>
      <c r="DE277" s="188">
        <f t="shared" ref="DE277:DE299" si="757">+DD277*DC277*DB277</f>
        <v>0.42181762214141483</v>
      </c>
      <c r="DF277" s="189">
        <f>INDEX('State Tax Lookup'!$D$7:$Z$91,MATCH(Calculation!$C277,'State Tax Lookup'!$B$7:$B$91,0),MATCH($H277,'State Tax Lookup'!$D$6:$Z$6,0))</f>
        <v>0.40700500000000001</v>
      </c>
      <c r="DG277" s="189">
        <v>0.375</v>
      </c>
      <c r="DH277" s="190"/>
      <c r="DI277" s="190"/>
      <c r="DJ277" s="177"/>
      <c r="DK277" s="189">
        <f>VLOOKUP($H277,RoR!$E:$F,2,FALSE)</f>
        <v>7.0416666666666669E-2</v>
      </c>
      <c r="DL277" s="191">
        <f>HLOOKUP($H277,'GDP-PI'!$D$8:$CQ$11,3,FALSE)</f>
        <v>1.4335631817396832E-2</v>
      </c>
      <c r="DM277" s="189">
        <f>VLOOKUP(H277,'HW Dx Data'!$E:$F,2,FALSE)</f>
        <v>335.32499146683239</v>
      </c>
      <c r="DN277" s="183" t="e">
        <f>VLOOKUP(H277,'ECI - Input Price'!$G$17:$H$37,2,FALSE)</f>
        <v>#N/A</v>
      </c>
      <c r="DO277" s="177"/>
      <c r="DP277" s="183">
        <f>HLOOKUP(H277,'GDP-PI'!$8:$9,2,FALSE)</f>
        <v>76.346000000000004</v>
      </c>
    </row>
    <row r="278" spans="1:121" s="167" customFormat="1" ht="21" x14ac:dyDescent="0.35">
      <c r="A278" s="167" t="s">
        <v>44</v>
      </c>
      <c r="B278" s="168" t="s">
        <v>44</v>
      </c>
      <c r="C278" s="168">
        <v>4057114</v>
      </c>
      <c r="D278" s="168" t="s">
        <v>333</v>
      </c>
      <c r="E278" s="168" t="s">
        <v>126</v>
      </c>
      <c r="F278" s="168"/>
      <c r="G278" s="168" t="s">
        <v>6</v>
      </c>
      <c r="H278" s="169">
        <v>2000</v>
      </c>
      <c r="I278" s="170"/>
      <c r="J278" s="166"/>
      <c r="K278" s="166"/>
      <c r="L278" s="166"/>
      <c r="M278" s="166"/>
      <c r="N278" s="196"/>
      <c r="O278" s="166"/>
      <c r="P278" s="166"/>
      <c r="Q278" s="166"/>
      <c r="R278" s="166"/>
      <c r="S278" s="166"/>
      <c r="T278" s="166"/>
      <c r="U278" s="166"/>
      <c r="V278" s="166">
        <f t="shared" si="747"/>
        <v>0</v>
      </c>
      <c r="W278" s="170"/>
      <c r="X278" s="174">
        <v>1529.4153619772762</v>
      </c>
      <c r="Y278" s="175">
        <v>1.9210163042649914E-2</v>
      </c>
      <c r="Z278" s="175"/>
      <c r="AA278" s="175"/>
      <c r="AB278" s="175"/>
      <c r="AC278" s="170">
        <f t="shared" si="682"/>
        <v>0</v>
      </c>
      <c r="AD278" s="175"/>
      <c r="AE278" s="170"/>
      <c r="AF278" s="170"/>
      <c r="AG278" s="174"/>
      <c r="AH278" s="175"/>
      <c r="AI278" s="175"/>
      <c r="AJ278" s="174"/>
      <c r="AK278" s="174"/>
      <c r="AL278" s="120"/>
      <c r="AM278" s="120"/>
      <c r="AN278" s="120"/>
      <c r="AO278" s="120"/>
      <c r="AP278" s="120"/>
      <c r="AQ278" s="175"/>
      <c r="AR278" s="120"/>
      <c r="AS278" s="120"/>
      <c r="AT278" s="120"/>
      <c r="AU278" s="120"/>
      <c r="AV278" s="120"/>
      <c r="AW278" s="120"/>
      <c r="AX278" s="120"/>
      <c r="AY278" s="120"/>
      <c r="AZ278" s="118">
        <f>IFERROR(INDEX('Total Customers'!$F$7:$AB$91,MATCH($C278,'Total Customers'!$D$7:$D$91,0),MATCH($G278,'Total Customers'!$F$5:$AB$5,0)),"NA")</f>
        <v>160712</v>
      </c>
      <c r="BA278" s="119">
        <f t="shared" si="748"/>
        <v>2.2725032646157273E-2</v>
      </c>
      <c r="BB278" s="119"/>
      <c r="BC278" s="121"/>
      <c r="BD278" s="119"/>
      <c r="BE278" s="119"/>
      <c r="BF278" s="119"/>
      <c r="BG278" s="173"/>
      <c r="BH278" s="173"/>
      <c r="BI278" s="173"/>
      <c r="BJ278" s="173"/>
      <c r="BK278" s="173"/>
      <c r="BL278" s="173"/>
      <c r="BM278" s="173"/>
      <c r="BN278" s="173"/>
      <c r="BO278" s="173"/>
      <c r="BP278" s="173"/>
      <c r="BQ278" s="118"/>
      <c r="BR278" s="118"/>
      <c r="BS278" s="118">
        <f>INDEX('Dist. Plant Gas Additions'!$F$7:$AE$91,MATCH($C278,'Dist. Plant Gas Additions'!$D$7:$D$91,0),MATCH(Calculation!$G278,'Dist. Plant Gas Additions'!$F$5:$AE$5,0))</f>
        <v>12467</v>
      </c>
      <c r="BT278" s="118">
        <f>INDEX('Gen. Plant Additions'!$F$7:$AE$91,MATCH($C278,'Gen. Plant Additions'!$D$7:$D$91,0),MATCH(Calculation!$G278,'Gen. Plant Additions'!$F$5:$AE$5,0))</f>
        <v>291</v>
      </c>
      <c r="BU278" s="118"/>
      <c r="BV278" s="118"/>
      <c r="BW278" s="118" t="str">
        <f>INDEX('Dist Plant Depreciation'!$E$7:$AD$94,MATCH($C278,'Dist Plant Depreciation'!$D$7:$D$94,0),MATCH(Calculation!$G278,'Dist Plant Depreciation'!$E$5:$AD$5,0))</f>
        <v>NA</v>
      </c>
      <c r="BX278" s="118" t="str">
        <f>INDEX('Gen. Plant Depreciation'!$E$7:$AD$94,MATCH($C278,'Gen. Plant Depreciation'!$D$7:$D$94,0),MATCH(Calculation!$G278,'Gen. Plant Depreciation'!$E$5:$AD$5,0))</f>
        <v>NA</v>
      </c>
      <c r="BY278" s="118"/>
      <c r="BZ278" s="118"/>
      <c r="CA278" s="118"/>
      <c r="CB278" s="118"/>
      <c r="CC278" s="118"/>
      <c r="CD278" s="118"/>
      <c r="CE278" s="118">
        <f>INDEX('Gross Dx Plant'!$E$7:$AD$91,MATCH($C278,'Gross Dx Plant'!$D$7:$D$91,0),MATCH(Calculation!$G278,'Gross Dx Plant'!$E$5:$AD$5,0))</f>
        <v>357967</v>
      </c>
      <c r="CF278" s="118">
        <f>INDEX('Gross Gen Plant'!$E$7:$AD$91,MATCH($C278,'Gross Gen Plant'!$D$7:$D$91,0),MATCH(Calculation!$G278,'Gross Gen Plant'!$E$5:$AD$5,0))</f>
        <v>14602</v>
      </c>
      <c r="CG278" s="118" t="str">
        <f t="shared" si="637"/>
        <v>NA</v>
      </c>
      <c r="CH278" s="118"/>
      <c r="CI278" s="121">
        <v>2000</v>
      </c>
      <c r="CJ278" s="118"/>
      <c r="CK278" s="118"/>
      <c r="CL278" s="118"/>
      <c r="CM278" s="183"/>
      <c r="CN278" s="118">
        <f t="shared" si="749"/>
        <v>12758</v>
      </c>
      <c r="CO278" s="118">
        <f t="shared" si="750"/>
        <v>36.816042260486583</v>
      </c>
      <c r="CP278" s="186">
        <v>0.98989898989898994</v>
      </c>
      <c r="CQ278" s="118">
        <f>+CQ276*CP278+CO277*CP277+CO278</f>
        <v>1529.4153619772762</v>
      </c>
      <c r="CR278" s="119">
        <f t="shared" si="751"/>
        <v>1.9210163042649914E-2</v>
      </c>
      <c r="CS278" s="119"/>
      <c r="CT278" s="177">
        <f t="shared" si="752"/>
        <v>5.1430022806717149E-3</v>
      </c>
      <c r="CU278" s="177"/>
      <c r="CV278" s="119">
        <f>VLOOKUP($H278,RoR!$E:$F,2,FALSE)</f>
        <v>7.6225000000000001E-2</v>
      </c>
      <c r="CW278" s="177">
        <v>2.2568307442433211E-2</v>
      </c>
      <c r="CX278" s="177">
        <f t="shared" ref="CX278:CX298" si="758">+CV278-CW278</f>
        <v>5.365669255756679E-2</v>
      </c>
      <c r="CY278" s="177"/>
      <c r="CZ278" s="177"/>
      <c r="DA278" s="187">
        <f t="shared" si="753"/>
        <v>0.84737312500000006</v>
      </c>
      <c r="DB278" s="188">
        <f t="shared" si="754"/>
        <v>0.67277207323124022</v>
      </c>
      <c r="DC278" s="188">
        <f t="shared" si="755"/>
        <v>0.6470236142997704</v>
      </c>
      <c r="DD278" s="188">
        <f t="shared" si="756"/>
        <v>0.94704866037543145</v>
      </c>
      <c r="DE278" s="188">
        <f t="shared" si="757"/>
        <v>0.41224973107878493</v>
      </c>
      <c r="DF278" s="189">
        <f>INDEX('State Tax Lookup'!$D$7:$Z$91,MATCH(Calculation!$C278,'State Tax Lookup'!$B$7:$B$91,0),MATCH($H278,'State Tax Lookup'!$D$6:$Z$6,0))</f>
        <v>0.40700500000000001</v>
      </c>
      <c r="DG278" s="189">
        <v>0.375</v>
      </c>
      <c r="DH278" s="190"/>
      <c r="DI278" s="190"/>
      <c r="DJ278" s="177"/>
      <c r="DK278" s="189">
        <f>VLOOKUP($H278,RoR!$E:$F,2,FALSE)</f>
        <v>7.6225000000000001E-2</v>
      </c>
      <c r="DL278" s="191">
        <f>HLOOKUP($H278,'GDP-PI'!$D$8:$CQ$11,3,FALSE)</f>
        <v>2.2568307442433211E-2</v>
      </c>
      <c r="DM278" s="189">
        <f>VLOOKUP(H278,'HW Dx Data'!$E:$F,2,FALSE)</f>
        <v>346.53371782150339</v>
      </c>
      <c r="DN278" s="183" t="e">
        <f>VLOOKUP(H278,'ECI - Input Price'!$G$17:$H$37,2,FALSE)</f>
        <v>#N/A</v>
      </c>
      <c r="DO278" s="177"/>
      <c r="DP278" s="183">
        <f>HLOOKUP(H278,'GDP-PI'!$8:$9,2,FALSE)</f>
        <v>78.069000000000003</v>
      </c>
    </row>
    <row r="279" spans="1:121" s="167" customFormat="1" ht="21" x14ac:dyDescent="0.35">
      <c r="A279" s="167" t="s">
        <v>44</v>
      </c>
      <c r="B279" s="168" t="s">
        <v>44</v>
      </c>
      <c r="C279" s="168">
        <v>4057114</v>
      </c>
      <c r="D279" s="168" t="s">
        <v>333</v>
      </c>
      <c r="E279" s="168" t="s">
        <v>126</v>
      </c>
      <c r="F279" s="168"/>
      <c r="G279" s="168" t="s">
        <v>7</v>
      </c>
      <c r="H279" s="169">
        <v>2001</v>
      </c>
      <c r="I279" s="170"/>
      <c r="J279" s="166"/>
      <c r="K279" s="166"/>
      <c r="L279" s="166"/>
      <c r="M279" s="166"/>
      <c r="N279" s="196"/>
      <c r="O279" s="166"/>
      <c r="P279" s="166"/>
      <c r="Q279" s="166"/>
      <c r="R279" s="166"/>
      <c r="S279" s="166"/>
      <c r="T279" s="166"/>
      <c r="U279" s="166"/>
      <c r="V279" s="166">
        <f t="shared" si="747"/>
        <v>19873.795897118682</v>
      </c>
      <c r="W279" s="170"/>
      <c r="X279" s="174">
        <v>1587.4265423147135</v>
      </c>
      <c r="Y279" s="175">
        <v>3.7228632131875994E-2</v>
      </c>
      <c r="Z279" s="175"/>
      <c r="AA279" s="175"/>
      <c r="AB279" s="175"/>
      <c r="AC279" s="170">
        <f t="shared" si="682"/>
        <v>19873.795897118682</v>
      </c>
      <c r="AD279" s="175"/>
      <c r="AE279" s="170"/>
      <c r="AF279" s="170"/>
      <c r="AG279" s="174"/>
      <c r="AH279" s="175"/>
      <c r="AI279" s="175"/>
      <c r="AJ279" s="174"/>
      <c r="AK279" s="174"/>
      <c r="AL279" s="120"/>
      <c r="AM279" s="120"/>
      <c r="AN279" s="120"/>
      <c r="AO279" s="120"/>
      <c r="AP279" s="120"/>
      <c r="AQ279" s="175"/>
      <c r="AR279" s="120"/>
      <c r="AS279" s="120"/>
      <c r="AT279" s="120"/>
      <c r="AU279" s="120"/>
      <c r="AV279" s="120"/>
      <c r="AW279" s="120"/>
      <c r="AX279" s="120"/>
      <c r="AY279" s="120"/>
      <c r="AZ279" s="118">
        <f>IFERROR(INDEX('Total Customers'!$F$7:$AB$91,MATCH($C279,'Total Customers'!$D$7:$D$91,0),MATCH($G279,'Total Customers'!$F$5:$AB$5,0)),"NA")</f>
        <v>165342</v>
      </c>
      <c r="BA279" s="119">
        <f t="shared" si="748"/>
        <v>2.8402112777961872E-2</v>
      </c>
      <c r="BB279" s="119"/>
      <c r="BC279" s="121"/>
      <c r="BD279" s="119"/>
      <c r="BE279" s="119"/>
      <c r="BF279" s="119"/>
      <c r="BG279" s="173"/>
      <c r="BH279" s="173"/>
      <c r="BI279" s="173"/>
      <c r="BJ279" s="173"/>
      <c r="BK279" s="173"/>
      <c r="BL279" s="173"/>
      <c r="BM279" s="173"/>
      <c r="BN279" s="173"/>
      <c r="BO279" s="173"/>
      <c r="BP279" s="173"/>
      <c r="BQ279" s="118"/>
      <c r="BR279" s="118"/>
      <c r="BS279" s="118">
        <f>INDEX('Dist. Plant Gas Additions'!$F$7:$AE$91,MATCH($C279,'Dist. Plant Gas Additions'!$D$7:$D$91,0),MATCH(Calculation!$G279,'Dist. Plant Gas Additions'!$F$5:$AE$5,0))</f>
        <v>22350</v>
      </c>
      <c r="BT279" s="118">
        <f>INDEX('Gen. Plant Additions'!$F$7:$AE$91,MATCH($C279,'Gen. Plant Additions'!$D$7:$D$91,0),MATCH(Calculation!$G279,'Gen. Plant Additions'!$F$5:$AE$5,0))</f>
        <v>965</v>
      </c>
      <c r="BU279" s="118"/>
      <c r="BV279" s="118"/>
      <c r="BW279" s="118" t="str">
        <f>INDEX('Dist Plant Depreciation'!$E$7:$AD$94,MATCH($C279,'Dist Plant Depreciation'!$D$7:$D$94,0),MATCH(Calculation!$G279,'Dist Plant Depreciation'!$E$5:$AD$5,0))</f>
        <v>NA</v>
      </c>
      <c r="BX279" s="118" t="str">
        <f>INDEX('Gen. Plant Depreciation'!$E$7:$AD$94,MATCH($C279,'Gen. Plant Depreciation'!$D$7:$D$94,0),MATCH(Calculation!$G279,'Gen. Plant Depreciation'!$E$5:$AD$5,0))</f>
        <v>NA</v>
      </c>
      <c r="BY279" s="118"/>
      <c r="BZ279" s="118"/>
      <c r="CA279" s="118"/>
      <c r="CB279" s="118"/>
      <c r="CC279" s="118"/>
      <c r="CD279" s="118"/>
      <c r="CE279" s="118">
        <f>INDEX('Gross Dx Plant'!$E$7:$AD$91,MATCH($C279,'Gross Dx Plant'!$D$7:$D$91,0),MATCH(Calculation!$G279,'Gross Dx Plant'!$E$5:$AD$5,0))</f>
        <v>379852</v>
      </c>
      <c r="CF279" s="118">
        <f>INDEX('Gross Gen Plant'!$E$7:$AD$91,MATCH($C279,'Gross Gen Plant'!$D$7:$D$91,0),MATCH(Calculation!$G279,'Gross Gen Plant'!$E$5:$AD$5,0))</f>
        <v>15567</v>
      </c>
      <c r="CG279" s="118" t="str">
        <f t="shared" si="637"/>
        <v>NA</v>
      </c>
      <c r="CH279" s="118"/>
      <c r="CI279" s="121">
        <v>2001</v>
      </c>
      <c r="CJ279" s="118"/>
      <c r="CK279" s="118"/>
      <c r="CL279" s="118"/>
      <c r="CM279" s="183"/>
      <c r="CN279" s="118">
        <f t="shared" si="749"/>
        <v>23315</v>
      </c>
      <c r="CO279" s="118">
        <f t="shared" si="750"/>
        <v>65.964557407293057</v>
      </c>
      <c r="CP279" s="186">
        <v>0.98461538461538467</v>
      </c>
      <c r="CQ279" s="118">
        <f>+CQ276*CP279+CO277*CP278+CO278*CP276+CO279</f>
        <v>1587.4265423147135</v>
      </c>
      <c r="CR279" s="119">
        <f t="shared" si="751"/>
        <v>3.7228632131875994E-2</v>
      </c>
      <c r="CS279" s="119"/>
      <c r="CT279" s="177">
        <f t="shared" si="752"/>
        <v>5.200272775849067E-3</v>
      </c>
      <c r="CU279" s="177">
        <f>+(CT279+CT278+CT277)/3</f>
        <v>5.1061331448767023E-3</v>
      </c>
      <c r="CV279" s="119">
        <f>VLOOKUP($H279,RoR!$E:$F,2,FALSE)</f>
        <v>7.0824999999999999E-2</v>
      </c>
      <c r="CW279" s="177">
        <v>2.2454495382290052E-2</v>
      </c>
      <c r="CX279" s="177">
        <f t="shared" si="758"/>
        <v>4.8370504617709947E-2</v>
      </c>
      <c r="CY279" s="177">
        <f>+$CX$35-CU279</f>
        <v>2.5795808463656922E-2</v>
      </c>
      <c r="CZ279" s="177">
        <f>+((DM277/DM276-1)+(DM278/DM277-1)+(DM279/DM278-1))/3</f>
        <v>2.3947275901631187E-2</v>
      </c>
      <c r="DA279" s="187">
        <f t="shared" si="753"/>
        <v>0.84737312500000006</v>
      </c>
      <c r="DB279" s="188">
        <f t="shared" si="754"/>
        <v>0.72406708481540816</v>
      </c>
      <c r="DC279" s="188">
        <f t="shared" si="755"/>
        <v>0.62201729615248857</v>
      </c>
      <c r="DD279" s="188">
        <f t="shared" si="756"/>
        <v>0.9352469954311422</v>
      </c>
      <c r="DE279" s="188">
        <f t="shared" si="757"/>
        <v>0.42121864641655071</v>
      </c>
      <c r="DF279" s="189">
        <f>INDEX('State Tax Lookup'!$D$7:$Z$91,MATCH(Calculation!$C279,'State Tax Lookup'!$B$7:$B$91,0),MATCH($H279,'State Tax Lookup'!$D$6:$Z$6,0))</f>
        <v>0.40700500000000001</v>
      </c>
      <c r="DG279" s="189">
        <v>0.375</v>
      </c>
      <c r="DH279" s="190">
        <f t="shared" ref="DH279:DH299" si="759">+(DM279*CY279-CZ279)*DA279/(1-DF279)</f>
        <v>12.994374446079327</v>
      </c>
      <c r="DI279" s="190"/>
      <c r="DJ279" s="177"/>
      <c r="DK279" s="189">
        <f>VLOOKUP($H279,RoR!$E:$F,2,FALSE)</f>
        <v>7.0824999999999999E-2</v>
      </c>
      <c r="DL279" s="191">
        <f>HLOOKUP($H279,'GDP-PI'!$D$8:$CQ$11,3,FALSE)</f>
        <v>2.2454495382290052E-2</v>
      </c>
      <c r="DM279" s="189">
        <f>VLOOKUP(H279,'HW Dx Data'!$E:$F,2,FALSE)</f>
        <v>353.44738017483138</v>
      </c>
      <c r="DN279" s="183">
        <f>VLOOKUP(H279,'ECI - Input Price'!$G$17:$H$37,2,FALSE)</f>
        <v>86.2</v>
      </c>
      <c r="DO279" s="177"/>
      <c r="DP279" s="183">
        <f>HLOOKUP(H279,'GDP-PI'!$8:$9,2,FALSE)</f>
        <v>79.822000000000003</v>
      </c>
    </row>
    <row r="280" spans="1:121" s="167" customFormat="1" ht="21" x14ac:dyDescent="0.35">
      <c r="A280" s="167" t="s">
        <v>44</v>
      </c>
      <c r="B280" s="168" t="s">
        <v>44</v>
      </c>
      <c r="C280" s="168">
        <v>4057114</v>
      </c>
      <c r="D280" s="168" t="s">
        <v>333</v>
      </c>
      <c r="E280" s="168" t="s">
        <v>126</v>
      </c>
      <c r="F280" s="168"/>
      <c r="G280" s="168" t="s">
        <v>8</v>
      </c>
      <c r="H280" s="169">
        <v>2002</v>
      </c>
      <c r="I280" s="170"/>
      <c r="J280" s="166"/>
      <c r="K280" s="166"/>
      <c r="L280" s="166"/>
      <c r="M280" s="166"/>
      <c r="N280" s="196"/>
      <c r="O280" s="166"/>
      <c r="P280" s="166"/>
      <c r="Q280" s="166"/>
      <c r="R280" s="166"/>
      <c r="S280" s="166"/>
      <c r="T280" s="166"/>
      <c r="U280" s="166"/>
      <c r="V280" s="166">
        <f t="shared" si="747"/>
        <v>20914.153431892752</v>
      </c>
      <c r="W280" s="170"/>
      <c r="X280" s="174">
        <v>1636.4273442586139</v>
      </c>
      <c r="Y280" s="175">
        <v>3.0401238785985205E-2</v>
      </c>
      <c r="Z280" s="175"/>
      <c r="AA280" s="175"/>
      <c r="AB280" s="175"/>
      <c r="AC280" s="170">
        <f t="shared" si="682"/>
        <v>20914.153431892752</v>
      </c>
      <c r="AD280" s="175"/>
      <c r="AE280" s="170"/>
      <c r="AF280" s="170"/>
      <c r="AG280" s="174"/>
      <c r="AH280" s="175"/>
      <c r="AI280" s="175"/>
      <c r="AJ280" s="174"/>
      <c r="AK280" s="174"/>
      <c r="AL280" s="120"/>
      <c r="AM280" s="120"/>
      <c r="AN280" s="120"/>
      <c r="AO280" s="120"/>
      <c r="AP280" s="120"/>
      <c r="AQ280" s="175"/>
      <c r="AR280" s="120"/>
      <c r="AS280" s="120"/>
      <c r="AT280" s="120"/>
      <c r="AU280" s="120"/>
      <c r="AV280" s="120"/>
      <c r="AW280" s="120"/>
      <c r="AX280" s="120"/>
      <c r="AY280" s="120"/>
      <c r="AZ280" s="118">
        <f>IFERROR(INDEX('Total Customers'!$F$7:$AB$91,MATCH($C280,'Total Customers'!$D$7:$D$91,0),MATCH($G280,'Total Customers'!$F$5:$AB$5,0)),"NA")</f>
        <v>168558</v>
      </c>
      <c r="BA280" s="119">
        <f t="shared" si="748"/>
        <v>1.9263848176530561E-2</v>
      </c>
      <c r="BB280" s="119"/>
      <c r="BC280" s="121"/>
      <c r="BD280" s="119"/>
      <c r="BE280" s="119"/>
      <c r="BF280" s="119"/>
      <c r="BG280" s="173"/>
      <c r="BH280" s="173"/>
      <c r="BI280" s="173"/>
      <c r="BJ280" s="173"/>
      <c r="BK280" s="173"/>
      <c r="BL280" s="173"/>
      <c r="BM280" s="173"/>
      <c r="BN280" s="173"/>
      <c r="BO280" s="173"/>
      <c r="BP280" s="173"/>
      <c r="BQ280" s="118"/>
      <c r="BR280" s="118"/>
      <c r="BS280" s="118">
        <f>INDEX('Dist. Plant Gas Additions'!$F$7:$AE$91,MATCH($C280,'Dist. Plant Gas Additions'!$D$7:$D$91,0),MATCH(Calculation!$G280,'Dist. Plant Gas Additions'!$F$5:$AE$5,0))</f>
        <v>20282</v>
      </c>
      <c r="BT280" s="118">
        <f>INDEX('Gen. Plant Additions'!$F$7:$AE$91,MATCH($C280,'Gen. Plant Additions'!$D$7:$D$91,0),MATCH(Calculation!$G280,'Gen. Plant Additions'!$F$5:$AE$5,0))</f>
        <v>641</v>
      </c>
      <c r="BU280" s="118"/>
      <c r="BV280" s="118"/>
      <c r="BW280" s="118" t="str">
        <f>INDEX('Dist Plant Depreciation'!$E$7:$AD$94,MATCH($C280,'Dist Plant Depreciation'!$D$7:$D$94,0),MATCH(Calculation!$G280,'Dist Plant Depreciation'!$E$5:$AD$5,0))</f>
        <v>NA</v>
      </c>
      <c r="BX280" s="118" t="str">
        <f>INDEX('Gen. Plant Depreciation'!$E$7:$AD$94,MATCH($C280,'Gen. Plant Depreciation'!$D$7:$D$94,0),MATCH(Calculation!$G280,'Gen. Plant Depreciation'!$E$5:$AD$5,0))</f>
        <v>NA</v>
      </c>
      <c r="BY280" s="118"/>
      <c r="BZ280" s="118"/>
      <c r="CA280" s="118"/>
      <c r="CB280" s="118"/>
      <c r="CC280" s="118"/>
      <c r="CD280" s="118"/>
      <c r="CE280" s="118">
        <f>INDEX('Gross Dx Plant'!$E$7:$AD$91,MATCH($C280,'Gross Dx Plant'!$D$7:$D$91,0),MATCH(Calculation!$G280,'Gross Dx Plant'!$E$5:$AD$5,0))</f>
        <v>396950</v>
      </c>
      <c r="CF280" s="118">
        <f>INDEX('Gross Gen Plant'!$E$7:$AD$91,MATCH($C280,'Gross Gen Plant'!$D$7:$D$91,0),MATCH(Calculation!$G280,'Gross Gen Plant'!$E$5:$AD$5,0))</f>
        <v>16221</v>
      </c>
      <c r="CG280" s="118" t="str">
        <f t="shared" si="637"/>
        <v>NA</v>
      </c>
      <c r="CH280" s="118"/>
      <c r="CI280" s="121">
        <v>2002</v>
      </c>
      <c r="CJ280" s="118"/>
      <c r="CK280" s="118"/>
      <c r="CL280" s="118"/>
      <c r="CM280" s="183"/>
      <c r="CN280" s="118">
        <f t="shared" si="749"/>
        <v>20923</v>
      </c>
      <c r="CO280" s="118">
        <f t="shared" si="750"/>
        <v>57.902604701179577</v>
      </c>
      <c r="CP280" s="186">
        <v>0.97916666666666663</v>
      </c>
      <c r="CQ280" s="118">
        <f>+CQ276*CP280+CO277*CP279+CO278*CP278+CO279*CP277+CO280</f>
        <v>1636.4273442586139</v>
      </c>
      <c r="CR280" s="119">
        <f t="shared" si="751"/>
        <v>3.0401238785985205E-2</v>
      </c>
      <c r="CS280" s="119"/>
      <c r="CT280" s="177">
        <f t="shared" si="752"/>
        <v>5.6076942900923337E-3</v>
      </c>
      <c r="CU280" s="177">
        <f t="shared" ref="CU280:CU299" si="760">+(CT280+CT279+CT278)/3</f>
        <v>5.3169897822043719E-3</v>
      </c>
      <c r="CV280" s="119">
        <f>VLOOKUP($H280,RoR!$E:$F,2,FALSE)</f>
        <v>6.4916666666666664E-2</v>
      </c>
      <c r="CW280" s="177">
        <v>1.5246423291824351E-2</v>
      </c>
      <c r="CX280" s="177">
        <f t="shared" si="758"/>
        <v>4.9670243374842313E-2</v>
      </c>
      <c r="CY280" s="177">
        <f t="shared" ref="CY280:CY299" si="761">+$CX$35-CU280</f>
        <v>2.5584951826329253E-2</v>
      </c>
      <c r="CZ280" s="177">
        <f t="shared" ref="CZ280:CZ299" si="762">+((DM278/DM277-1)+(DM279/DM278-1)+(DM280/DM279-1))/3</f>
        <v>2.5243621214759093E-2</v>
      </c>
      <c r="DA280" s="187">
        <f t="shared" si="753"/>
        <v>0.84737312500000006</v>
      </c>
      <c r="DB280" s="188">
        <f t="shared" si="754"/>
        <v>0.78996741384417901</v>
      </c>
      <c r="DC280" s="188">
        <f t="shared" si="755"/>
        <v>0.58989088575096271</v>
      </c>
      <c r="DD280" s="188">
        <f t="shared" si="756"/>
        <v>0.91920675783645744</v>
      </c>
      <c r="DE280" s="188">
        <f t="shared" si="757"/>
        <v>0.42834536472275586</v>
      </c>
      <c r="DF280" s="189">
        <f>INDEX('State Tax Lookup'!$D$7:$Z$91,MATCH(Calculation!$C280,'State Tax Lookup'!$B$7:$B$91,0),MATCH($H280,'State Tax Lookup'!$D$6:$Z$6,0))</f>
        <v>0.40700500000000001</v>
      </c>
      <c r="DG280" s="189">
        <v>0.375</v>
      </c>
      <c r="DH280" s="190">
        <f t="shared" si="759"/>
        <v>13.174879513729612</v>
      </c>
      <c r="DI280" s="190"/>
      <c r="DJ280" s="177"/>
      <c r="DK280" s="189">
        <f>VLOOKUP($H280,RoR!$E:$F,2,FALSE)</f>
        <v>6.4916666666666664E-2</v>
      </c>
      <c r="DL280" s="191">
        <f>HLOOKUP($H280,'GDP-PI'!$D$8:$CQ$11,3,FALSE)</f>
        <v>1.5246423291824351E-2</v>
      </c>
      <c r="DM280" s="189">
        <f>VLOOKUP(H280,'HW Dx Data'!$E:$F,2,FALSE)</f>
        <v>361.34816573413599</v>
      </c>
      <c r="DN280" s="183">
        <f>VLOOKUP(H280,'ECI - Input Price'!$G$17:$H$37,2,FALSE)</f>
        <v>89.275000000000006</v>
      </c>
      <c r="DO280" s="177">
        <f>LN(DN280/DN279)</f>
        <v>3.5051315810864674E-2</v>
      </c>
      <c r="DP280" s="183">
        <f>HLOOKUP(H280,'GDP-PI'!$8:$9,2,FALSE)</f>
        <v>81.039000000000001</v>
      </c>
      <c r="DQ280" s="177">
        <f>LN(DP280/DP279)</f>
        <v>1.513136459537477E-2</v>
      </c>
    </row>
    <row r="281" spans="1:121" s="167" customFormat="1" ht="21" x14ac:dyDescent="0.35">
      <c r="A281" s="167" t="s">
        <v>44</v>
      </c>
      <c r="B281" s="168" t="s">
        <v>44</v>
      </c>
      <c r="C281" s="168">
        <v>4057114</v>
      </c>
      <c r="D281" s="168" t="s">
        <v>333</v>
      </c>
      <c r="E281" s="168" t="s">
        <v>126</v>
      </c>
      <c r="F281" s="168"/>
      <c r="G281" s="168" t="s">
        <v>9</v>
      </c>
      <c r="H281" s="169">
        <v>2003</v>
      </c>
      <c r="I281" s="170"/>
      <c r="J281" s="166"/>
      <c r="K281" s="166"/>
      <c r="L281" s="166"/>
      <c r="M281" s="172"/>
      <c r="N281" s="196"/>
      <c r="O281" s="172"/>
      <c r="P281" s="166"/>
      <c r="Q281" s="166"/>
      <c r="R281" s="166"/>
      <c r="S281" s="166"/>
      <c r="T281" s="166"/>
      <c r="U281" s="166"/>
      <c r="V281" s="166">
        <f t="shared" si="747"/>
        <v>21888.119983970781</v>
      </c>
      <c r="W281" s="170"/>
      <c r="X281" s="174">
        <v>1658.7967982277257</v>
      </c>
      <c r="Y281" s="175">
        <v>1.3577102272015383E-2</v>
      </c>
      <c r="Z281" s="175"/>
      <c r="AA281" s="175"/>
      <c r="AB281" s="175"/>
      <c r="AC281" s="170">
        <f t="shared" si="682"/>
        <v>21888.119983970781</v>
      </c>
      <c r="AD281" s="175"/>
      <c r="AE281" s="170"/>
      <c r="AF281" s="170"/>
      <c r="AG281" s="174"/>
      <c r="AH281" s="175"/>
      <c r="AI281" s="175"/>
      <c r="AJ281" s="174"/>
      <c r="AK281" s="174"/>
      <c r="AL281" s="120"/>
      <c r="AM281" s="120"/>
      <c r="AN281" s="120"/>
      <c r="AO281" s="120"/>
      <c r="AP281" s="120"/>
      <c r="AQ281" s="175"/>
      <c r="AR281" s="120"/>
      <c r="AS281" s="120"/>
      <c r="AT281" s="120"/>
      <c r="AU281" s="120"/>
      <c r="AV281" s="120"/>
      <c r="AW281" s="120"/>
      <c r="AX281" s="120"/>
      <c r="AY281" s="120"/>
      <c r="AZ281" s="118">
        <f>IFERROR(INDEX('Total Customers'!$F$7:$AB$91,MATCH($C281,'Total Customers'!$D$7:$D$91,0),MATCH($G281,'Total Customers'!$F$5:$AB$5,0)),"NA")</f>
        <v>175810</v>
      </c>
      <c r="BA281" s="119">
        <f t="shared" si="748"/>
        <v>4.2123962240357526E-2</v>
      </c>
      <c r="BB281" s="119"/>
      <c r="BC281" s="121"/>
      <c r="BD281" s="119"/>
      <c r="BE281" s="119"/>
      <c r="BF281" s="119"/>
      <c r="BG281" s="173"/>
      <c r="BH281" s="173"/>
      <c r="BI281" s="173"/>
      <c r="BJ281" s="173"/>
      <c r="BK281" s="173"/>
      <c r="BL281" s="173"/>
      <c r="BM281" s="173"/>
      <c r="BN281" s="173"/>
      <c r="BO281" s="173"/>
      <c r="BP281" s="173"/>
      <c r="BQ281" s="118"/>
      <c r="BR281" s="118"/>
      <c r="BS281" s="118">
        <f>INDEX('Dist. Plant Gas Additions'!$F$7:$AE$91,MATCH($C281,'Dist. Plant Gas Additions'!$D$7:$D$91,0),MATCH(Calculation!$G281,'Dist. Plant Gas Additions'!$F$5:$AE$5,0))</f>
        <v>10170</v>
      </c>
      <c r="BT281" s="118">
        <f>INDEX('Gen. Plant Additions'!$F$7:$AE$91,MATCH($C281,'Gen. Plant Additions'!$D$7:$D$91,0),MATCH(Calculation!$G281,'Gen. Plant Additions'!$F$5:$AE$5,0))</f>
        <v>1517</v>
      </c>
      <c r="BU281" s="118"/>
      <c r="BV281" s="118"/>
      <c r="BW281" s="118" t="str">
        <f>INDEX('Dist Plant Depreciation'!$E$7:$AD$94,MATCH($C281,'Dist Plant Depreciation'!$D$7:$D$94,0),MATCH(Calculation!$G281,'Dist Plant Depreciation'!$E$5:$AD$5,0))</f>
        <v>NA</v>
      </c>
      <c r="BX281" s="118" t="str">
        <f>INDEX('Gen. Plant Depreciation'!$E$7:$AD$94,MATCH($C281,'Gen. Plant Depreciation'!$D$7:$D$94,0),MATCH(Calculation!$G281,'Gen. Plant Depreciation'!$E$5:$AD$5,0))</f>
        <v>NA</v>
      </c>
      <c r="BY281" s="118"/>
      <c r="BZ281" s="118"/>
      <c r="CA281" s="118"/>
      <c r="CB281" s="118"/>
      <c r="CC281" s="118"/>
      <c r="CD281" s="118"/>
      <c r="CE281" s="118">
        <f>INDEX('Gross Dx Plant'!$E$7:$AD$91,MATCH($C281,'Gross Dx Plant'!$D$7:$D$91,0),MATCH(Calculation!$G281,'Gross Dx Plant'!$E$5:$AD$5,0))</f>
        <v>193273</v>
      </c>
      <c r="CF281" s="118">
        <f>INDEX('Gross Gen Plant'!$E$7:$AD$91,MATCH($C281,'Gross Gen Plant'!$D$7:$D$91,0),MATCH(Calculation!$G281,'Gross Gen Plant'!$E$5:$AD$5,0))</f>
        <v>14070</v>
      </c>
      <c r="CG281" s="118" t="str">
        <f t="shared" si="637"/>
        <v>NA</v>
      </c>
      <c r="CH281" s="118"/>
      <c r="CI281" s="121">
        <v>2003</v>
      </c>
      <c r="CJ281" s="118"/>
      <c r="CK281" s="118"/>
      <c r="CL281" s="118"/>
      <c r="CM281" s="183"/>
      <c r="CN281" s="118">
        <f t="shared" si="749"/>
        <v>11687</v>
      </c>
      <c r="CO281" s="118">
        <f t="shared" si="750"/>
        <v>31.652099496069415</v>
      </c>
      <c r="CP281" s="186">
        <v>0.97354497354497349</v>
      </c>
      <c r="CQ281" s="118">
        <f>+CQ276*CP281+CO277*CP280+CO278*CP279+CO279*CP278+CO280*CP277+CO281</f>
        <v>1658.7967982277257</v>
      </c>
      <c r="CR281" s="119">
        <f t="shared" si="751"/>
        <v>1.3577102272015383E-2</v>
      </c>
      <c r="CS281" s="119"/>
      <c r="CT281" s="177">
        <f t="shared" si="752"/>
        <v>5.6725069765703896E-3</v>
      </c>
      <c r="CU281" s="177">
        <f t="shared" si="760"/>
        <v>5.4934913475039307E-3</v>
      </c>
      <c r="CV281" s="119">
        <f>VLOOKUP($H281,RoR!$E:$F,2,FALSE)</f>
        <v>5.6666666666666671E-2</v>
      </c>
      <c r="CW281" s="177">
        <v>1.8855119140166909E-2</v>
      </c>
      <c r="CX281" s="177">
        <f t="shared" si="758"/>
        <v>3.7811547526499761E-2</v>
      </c>
      <c r="CY281" s="177">
        <f t="shared" si="761"/>
        <v>2.5408450261029693E-2</v>
      </c>
      <c r="CZ281" s="177">
        <f t="shared" si="762"/>
        <v>2.1375012817671957E-2</v>
      </c>
      <c r="DA281" s="187">
        <f t="shared" si="753"/>
        <v>0.84737312500000006</v>
      </c>
      <c r="DB281" s="188">
        <f t="shared" si="754"/>
        <v>0.90497737556561086</v>
      </c>
      <c r="DC281" s="188">
        <f t="shared" si="755"/>
        <v>0.5338235294117647</v>
      </c>
      <c r="DD281" s="188">
        <f t="shared" si="756"/>
        <v>0.88972433127405692</v>
      </c>
      <c r="DE281" s="188">
        <f t="shared" si="757"/>
        <v>0.42982423775949252</v>
      </c>
      <c r="DF281" s="189">
        <f>INDEX('State Tax Lookup'!$D$7:$Z$91,MATCH(Calculation!$C281,'State Tax Lookup'!$B$7:$B$91,0),MATCH($H281,'State Tax Lookup'!$D$6:$Z$6,0))</f>
        <v>0.40700500000000001</v>
      </c>
      <c r="DG281" s="189">
        <v>0.375</v>
      </c>
      <c r="DH281" s="190">
        <f t="shared" si="759"/>
        <v>13.375552578466127</v>
      </c>
      <c r="DI281" s="190"/>
      <c r="DJ281" s="177"/>
      <c r="DK281" s="189">
        <f>VLOOKUP($H281,RoR!$E:$F,2,FALSE)</f>
        <v>5.6666666666666671E-2</v>
      </c>
      <c r="DL281" s="191">
        <f>HLOOKUP($H281,'GDP-PI'!$D$8:$CQ$11,3,FALSE)</f>
        <v>1.8855119140166909E-2</v>
      </c>
      <c r="DM281" s="189">
        <f>VLOOKUP(H281,'HW Dx Data'!$E:$F,2,FALSE)</f>
        <v>369.23301095560191</v>
      </c>
      <c r="DN281" s="183">
        <f>VLOOKUP(H281,'ECI - Input Price'!$G$17:$H$37,2,FALSE)</f>
        <v>92.625</v>
      </c>
      <c r="DO281" s="177">
        <f t="shared" ref="DO281" si="763">LN(DN281/DN280)</f>
        <v>3.6837590135738785E-2</v>
      </c>
      <c r="DP281" s="183">
        <f>HLOOKUP(H281,'GDP-PI'!$8:$9,2,FALSE)</f>
        <v>82.566999999999993</v>
      </c>
      <c r="DQ281" s="177">
        <f t="shared" ref="DQ281" si="764">LN(DP281/DP280)</f>
        <v>1.8679564681853753E-2</v>
      </c>
    </row>
    <row r="282" spans="1:121" s="167" customFormat="1" ht="21" x14ac:dyDescent="0.35">
      <c r="A282" s="167" t="s">
        <v>44</v>
      </c>
      <c r="B282" s="168" t="s">
        <v>44</v>
      </c>
      <c r="C282" s="168">
        <v>4057114</v>
      </c>
      <c r="D282" s="168" t="s">
        <v>333</v>
      </c>
      <c r="E282" s="168" t="s">
        <v>126</v>
      </c>
      <c r="F282" s="168"/>
      <c r="G282" s="168" t="s">
        <v>10</v>
      </c>
      <c r="H282" s="169">
        <v>2004</v>
      </c>
      <c r="I282" s="170"/>
      <c r="J282" s="166">
        <f>IFERROR(INDEX('Labor Expenditures'!$F$7:$X$91,MATCH($C282,'Labor Expenditures'!$D$7:$D$91,0),MATCH($G282,'Labor Expenditures'!$F$5:$X$5,0)),"NA")</f>
        <v>9633.9267908357033</v>
      </c>
      <c r="K282" s="166">
        <f t="shared" ref="K282:K299" si="765">+J282/DN282</f>
        <v>100.17080104846066</v>
      </c>
      <c r="L282" s="172"/>
      <c r="M282" s="172"/>
      <c r="N282" s="196"/>
      <c r="O282" s="172"/>
      <c r="P282" s="166">
        <f>IFERROR(INDEX('Non-Labor Expenditures'!$F$7:$AB$91,MATCH($C282,'Non-Labor Expenditures'!$D$7:$D$91,0),MATCH($G282,'Non-Labor Expenditures'!$F$5:$AB$5,0)),"NA")</f>
        <v>13951.725362450528</v>
      </c>
      <c r="Q282" s="166">
        <f t="shared" ref="Q282:Q298" si="766">+P282/DP282</f>
        <v>164.56775770188642</v>
      </c>
      <c r="R282" s="166"/>
      <c r="S282" s="166"/>
      <c r="T282" s="166"/>
      <c r="U282" s="166"/>
      <c r="V282" s="166">
        <f t="shared" si="747"/>
        <v>24635.295951914319</v>
      </c>
      <c r="W282" s="170"/>
      <c r="X282" s="174">
        <v>1677.4519643519259</v>
      </c>
      <c r="Y282" s="175">
        <v>1.1183434979604747E-2</v>
      </c>
      <c r="Z282" s="175"/>
      <c r="AA282" s="175"/>
      <c r="AB282" s="175"/>
      <c r="AC282" s="170">
        <f t="shared" si="682"/>
        <v>48220.94810520055</v>
      </c>
      <c r="AD282" s="175"/>
      <c r="AE282" s="170"/>
      <c r="AF282" s="170"/>
      <c r="AG282" s="174"/>
      <c r="AH282" s="175"/>
      <c r="AI282" s="175"/>
      <c r="AJ282" s="174"/>
      <c r="AK282" s="174"/>
      <c r="AL282" s="120">
        <f t="shared" ref="AL282:AL299" si="767">+J282/AC282</f>
        <v>0.19978717070883764</v>
      </c>
      <c r="AM282" s="120">
        <f t="shared" ref="AM282:AM299" si="768">+P282/AC282</f>
        <v>0.28932913828265971</v>
      </c>
      <c r="AN282" s="120">
        <f t="shared" ref="AN282:AN299" si="769">+V282/AC282</f>
        <v>0.51088369100850262</v>
      </c>
      <c r="AO282" s="120"/>
      <c r="AP282" s="120"/>
      <c r="AQ282" s="175"/>
      <c r="AR282" s="120"/>
      <c r="AS282" s="120"/>
      <c r="AT282" s="120"/>
      <c r="AU282" s="120"/>
      <c r="AV282" s="120"/>
      <c r="AW282" s="120"/>
      <c r="AX282" s="120"/>
      <c r="AY282" s="120"/>
      <c r="AZ282" s="118">
        <f>IFERROR(INDEX('Total Customers'!$F$7:$AB$91,MATCH($C282,'Total Customers'!$D$7:$D$91,0),MATCH($G282,'Total Customers'!$F$5:$AB$5,0)),"NA")</f>
        <v>181999</v>
      </c>
      <c r="BA282" s="119">
        <f t="shared" si="748"/>
        <v>3.4597326101507751E-2</v>
      </c>
      <c r="BB282" s="119"/>
      <c r="BC282" s="121"/>
      <c r="BD282" s="119"/>
      <c r="BE282" s="119"/>
      <c r="BF282" s="119"/>
      <c r="BG282" s="173"/>
      <c r="BH282" s="173"/>
      <c r="BI282" s="173"/>
      <c r="BJ282" s="173"/>
      <c r="BK282" s="173"/>
      <c r="BL282" s="173"/>
      <c r="BM282" s="173"/>
      <c r="BN282" s="173"/>
      <c r="BO282" s="173"/>
      <c r="BP282" s="173"/>
      <c r="BQ282" s="118"/>
      <c r="BR282" s="118"/>
      <c r="BS282" s="118">
        <f>INDEX('Dist. Plant Gas Additions'!$F$7:$AE$91,MATCH($C282,'Dist. Plant Gas Additions'!$D$7:$D$91,0),MATCH(Calculation!$G282,'Dist. Plant Gas Additions'!$F$5:$AE$5,0))</f>
        <v>10670</v>
      </c>
      <c r="BT282" s="118">
        <f>INDEX('Gen. Plant Additions'!$F$7:$AE$91,MATCH($C282,'Gen. Plant Additions'!$D$7:$D$91,0),MATCH(Calculation!$G282,'Gen. Plant Additions'!$F$5:$AE$5,0))</f>
        <v>1110</v>
      </c>
      <c r="BU282" s="118"/>
      <c r="BV282" s="118"/>
      <c r="BW282" s="118" t="str">
        <f>INDEX('Dist Plant Depreciation'!$E$7:$AD$94,MATCH($C282,'Dist Plant Depreciation'!$D$7:$D$94,0),MATCH(Calculation!$G282,'Dist Plant Depreciation'!$E$5:$AD$5,0))</f>
        <v>NA</v>
      </c>
      <c r="BX282" s="118" t="str">
        <f>INDEX('Gen. Plant Depreciation'!$E$7:$AD$94,MATCH($C282,'Gen. Plant Depreciation'!$D$7:$D$94,0),MATCH(Calculation!$G282,'Gen. Plant Depreciation'!$E$5:$AD$5,0))</f>
        <v>NA</v>
      </c>
      <c r="BY282" s="118"/>
      <c r="BZ282" s="118"/>
      <c r="CA282" s="118"/>
      <c r="CB282" s="118"/>
      <c r="CC282" s="118"/>
      <c r="CD282" s="118"/>
      <c r="CE282" s="118">
        <f>INDEX('Gross Dx Plant'!$E$7:$AD$91,MATCH($C282,'Gross Dx Plant'!$D$7:$D$91,0),MATCH(Calculation!$G282,'Gross Dx Plant'!$E$5:$AD$5,0))</f>
        <v>202883</v>
      </c>
      <c r="CF282" s="118">
        <f>INDEX('Gross Gen Plant'!$E$7:$AD$91,MATCH($C282,'Gross Gen Plant'!$D$7:$D$91,0),MATCH(Calculation!$G282,'Gross Gen Plant'!$E$5:$AD$5,0))</f>
        <v>15550</v>
      </c>
      <c r="CG282" s="118" t="str">
        <f t="shared" si="637"/>
        <v>NA</v>
      </c>
      <c r="CH282" s="118"/>
      <c r="CI282" s="121">
        <v>2004</v>
      </c>
      <c r="CJ282" s="118"/>
      <c r="CK282" s="118"/>
      <c r="CL282" s="118"/>
      <c r="CM282" s="183"/>
      <c r="CN282" s="118">
        <f t="shared" si="749"/>
        <v>11780</v>
      </c>
      <c r="CO282" s="118">
        <f t="shared" si="750"/>
        <v>28.39326025371923</v>
      </c>
      <c r="CP282" s="186">
        <v>0.967741935483871</v>
      </c>
      <c r="CQ282" s="118">
        <f>+CQ276*CP282+CO277*CP281+CO278*CP280+CO279*CP279+CO280*CP278+CO281*CP277+CO282</f>
        <v>1677.4519643519259</v>
      </c>
      <c r="CR282" s="119">
        <f t="shared" si="751"/>
        <v>1.1183434979604747E-2</v>
      </c>
      <c r="CS282" s="119"/>
      <c r="CT282" s="177">
        <f t="shared" si="752"/>
        <v>5.8705768783273229E-3</v>
      </c>
      <c r="CU282" s="177">
        <f t="shared" si="760"/>
        <v>5.7169260483300151E-3</v>
      </c>
      <c r="CV282" s="119">
        <f>VLOOKUP($H282,RoR!$E:$F,2,FALSE)</f>
        <v>5.6283333333333331E-2</v>
      </c>
      <c r="CW282" s="177">
        <v>2.6778252812867276E-2</v>
      </c>
      <c r="CX282" s="177">
        <f t="shared" si="758"/>
        <v>2.9505080520466055E-2</v>
      </c>
      <c r="CY282" s="177">
        <f t="shared" si="761"/>
        <v>2.5185015560203611E-2</v>
      </c>
      <c r="CZ282" s="177">
        <f t="shared" si="762"/>
        <v>5.5940039414565046E-2</v>
      </c>
      <c r="DA282" s="187">
        <f t="shared" si="753"/>
        <v>0.84737312500000006</v>
      </c>
      <c r="DB282" s="188">
        <f t="shared" si="754"/>
        <v>0.91114097628755619</v>
      </c>
      <c r="DC282" s="188">
        <f t="shared" si="755"/>
        <v>0.53081877405981637</v>
      </c>
      <c r="DD282" s="188">
        <f t="shared" si="756"/>
        <v>0.88811215519385678</v>
      </c>
      <c r="DE282" s="188">
        <f t="shared" si="757"/>
        <v>0.42953609753547711</v>
      </c>
      <c r="DF282" s="189">
        <f>INDEX('State Tax Lookup'!$D$7:$Z$91,MATCH(Calculation!$C282,'State Tax Lookup'!$B$7:$B$91,0),MATCH($H282,'State Tax Lookup'!$D$6:$Z$6,0))</f>
        <v>0.40700500000000001</v>
      </c>
      <c r="DG282" s="189">
        <v>0.375</v>
      </c>
      <c r="DH282" s="190">
        <f t="shared" si="759"/>
        <v>14.851304257540708</v>
      </c>
      <c r="DI282" s="190"/>
      <c r="DJ282" s="177"/>
      <c r="DK282" s="189">
        <f>VLOOKUP($H282,RoR!$E:$F,2,FALSE)</f>
        <v>5.6283333333333331E-2</v>
      </c>
      <c r="DL282" s="191">
        <f>HLOOKUP($H282,'GDP-PI'!$D$8:$CQ$11,3,FALSE)</f>
        <v>2.6778252812867276E-2</v>
      </c>
      <c r="DM282" s="189">
        <f>VLOOKUP(H282,'HW Dx Data'!$E:$F,2,FALSE)</f>
        <v>414.88719135228365</v>
      </c>
      <c r="DN282" s="183">
        <f>VLOOKUP(H282,'ECI - Input Price'!$G$17:$H$37,2,FALSE)</f>
        <v>96.174999999999997</v>
      </c>
      <c r="DO282" s="177">
        <f t="shared" ref="DO282" si="770">LN(DN282/DN281)</f>
        <v>3.7610365022107912E-2</v>
      </c>
      <c r="DP282" s="183">
        <f>HLOOKUP(H282,'GDP-PI'!$8:$9,2,FALSE)</f>
        <v>84.778000000000006</v>
      </c>
      <c r="DQ282" s="177">
        <f t="shared" ref="DQ282" si="771">LN(DP282/DP281)</f>
        <v>2.6425990216022755E-2</v>
      </c>
    </row>
    <row r="283" spans="1:121" s="167" customFormat="1" ht="21" x14ac:dyDescent="0.35">
      <c r="A283" s="167" t="s">
        <v>44</v>
      </c>
      <c r="B283" s="168" t="s">
        <v>44</v>
      </c>
      <c r="C283" s="168">
        <v>4057114</v>
      </c>
      <c r="D283" s="168" t="s">
        <v>333</v>
      </c>
      <c r="E283" s="168" t="s">
        <v>126</v>
      </c>
      <c r="F283" s="168"/>
      <c r="G283" s="168" t="s">
        <v>11</v>
      </c>
      <c r="H283" s="169">
        <v>2005</v>
      </c>
      <c r="I283" s="170"/>
      <c r="J283" s="166">
        <f>IFERROR(INDEX('Labor Expenditures'!$F$7:$X$91,MATCH($C283,'Labor Expenditures'!$D$7:$D$91,0),MATCH($G283,'Labor Expenditures'!$F$5:$X$5,0)),"NA")</f>
        <v>7994.33991280585</v>
      </c>
      <c r="K283" s="166">
        <f t="shared" si="765"/>
        <v>80.62874344736106</v>
      </c>
      <c r="L283" s="172">
        <f t="shared" ref="L283:L298" si="772">LN(K283/K282)</f>
        <v>-0.21702153508864475</v>
      </c>
      <c r="M283" s="172"/>
      <c r="N283" s="196"/>
      <c r="O283" s="172"/>
      <c r="P283" s="166">
        <f>IFERROR(INDEX('Non-Labor Expenditures'!$F$7:$AB$91,MATCH($C283,'Non-Labor Expenditures'!$D$7:$D$91,0),MATCH($G283,'Non-Labor Expenditures'!$F$5:$AB$5,0)),"NA")</f>
        <v>11577.297330476054</v>
      </c>
      <c r="Q283" s="166">
        <f t="shared" si="766"/>
        <v>132.45274784028803</v>
      </c>
      <c r="R283" s="172">
        <f>LN(Q283/Q282)</f>
        <v>-0.21709642457193196</v>
      </c>
      <c r="S283" s="172"/>
      <c r="T283" s="172"/>
      <c r="U283" s="172"/>
      <c r="V283" s="166">
        <f t="shared" si="747"/>
        <v>27928.16644163325</v>
      </c>
      <c r="W283" s="170"/>
      <c r="X283" s="174">
        <v>1688.5828364666197</v>
      </c>
      <c r="Y283" s="175">
        <v>6.6136646504699097E-3</v>
      </c>
      <c r="Z283" s="175"/>
      <c r="AA283" s="175"/>
      <c r="AB283" s="175"/>
      <c r="AC283" s="170">
        <f t="shared" si="682"/>
        <v>47499.803684915154</v>
      </c>
      <c r="AD283" s="175">
        <f>LN(AC283/AC282)</f>
        <v>-1.5067956550668468E-2</v>
      </c>
      <c r="AE283" s="170"/>
      <c r="AF283" s="170"/>
      <c r="AG283" s="121"/>
      <c r="AH283" s="119"/>
      <c r="AI283" s="119"/>
      <c r="AJ283" s="121"/>
      <c r="AK283" s="121"/>
      <c r="AL283" s="120">
        <f t="shared" si="767"/>
        <v>0.1683025884872166</v>
      </c>
      <c r="AM283" s="120">
        <f t="shared" si="768"/>
        <v>0.24373358271694789</v>
      </c>
      <c r="AN283" s="120">
        <f t="shared" si="769"/>
        <v>0.58796382879583553</v>
      </c>
      <c r="AO283" s="120">
        <f>+(((AL283+AL282)/2)*L283+((AM282+AM283)/2)*R283+((AN282+AN283)/2)*Y283)</f>
        <v>-9.4171003197375466E-2</v>
      </c>
      <c r="AP283" s="173">
        <v>100</v>
      </c>
      <c r="AQ283" s="175"/>
      <c r="AR283" s="120"/>
      <c r="AS283" s="120"/>
      <c r="AT283" s="120"/>
      <c r="AU283" s="120"/>
      <c r="AV283" s="120"/>
      <c r="AW283" s="120"/>
      <c r="AX283" s="120"/>
      <c r="AY283" s="120"/>
      <c r="AZ283" s="118">
        <f>IFERROR(INDEX('Total Customers'!$F$7:$AB$91,MATCH($C283,'Total Customers'!$D$7:$D$91,0),MATCH($G283,'Total Customers'!$F$5:$AB$5,0)),"NA")</f>
        <v>183569</v>
      </c>
      <c r="BA283" s="119">
        <f t="shared" si="748"/>
        <v>8.5894260583049883E-3</v>
      </c>
      <c r="BB283" s="119"/>
      <c r="BC283" s="121"/>
      <c r="BD283" s="119"/>
      <c r="BE283" s="119"/>
      <c r="BF283" s="119"/>
      <c r="BG283" s="173"/>
      <c r="BH283" s="173"/>
      <c r="BI283" s="173"/>
      <c r="BJ283" s="173"/>
      <c r="BK283" s="173"/>
      <c r="BL283" s="173"/>
      <c r="BM283" s="173"/>
      <c r="BN283" s="173"/>
      <c r="BO283" s="173"/>
      <c r="BP283" s="173"/>
      <c r="BQ283" s="118"/>
      <c r="BR283" s="118"/>
      <c r="BS283" s="118">
        <f>INDEX('Dist. Plant Gas Additions'!$F$7:$AE$91,MATCH($C283,'Dist. Plant Gas Additions'!$D$7:$D$91,0),MATCH(Calculation!$G283,'Dist. Plant Gas Additions'!$F$5:$AE$5,0))</f>
        <v>8863</v>
      </c>
      <c r="BT283" s="118">
        <f>INDEX('Gen. Plant Additions'!$F$7:$AE$91,MATCH($C283,'Gen. Plant Additions'!$D$7:$D$91,0),MATCH(Calculation!$G283,'Gen. Plant Additions'!$F$5:$AE$5,0))</f>
        <v>1144</v>
      </c>
      <c r="BU283" s="118"/>
      <c r="BV283" s="118"/>
      <c r="BW283" s="118" t="str">
        <f>INDEX('Dist Plant Depreciation'!$E$7:$AD$94,MATCH($C283,'Dist Plant Depreciation'!$D$7:$D$94,0),MATCH(Calculation!$G283,'Dist Plant Depreciation'!$E$5:$AD$5,0))</f>
        <v>NA</v>
      </c>
      <c r="BX283" s="118" t="str">
        <f>INDEX('Gen. Plant Depreciation'!$E$7:$AD$94,MATCH($C283,'Gen. Plant Depreciation'!$D$7:$D$94,0),MATCH(Calculation!$G283,'Gen. Plant Depreciation'!$E$5:$AD$5,0))</f>
        <v>NA</v>
      </c>
      <c r="BY283" s="118"/>
      <c r="BZ283" s="118"/>
      <c r="CA283" s="118"/>
      <c r="CB283" s="118"/>
      <c r="CC283" s="118"/>
      <c r="CD283" s="118"/>
      <c r="CE283" s="118">
        <f>INDEX('Gross Dx Plant'!$E$7:$AD$91,MATCH($C283,'Gross Dx Plant'!$D$7:$D$91,0),MATCH(Calculation!$G283,'Gross Dx Plant'!$E$5:$AD$5,0))</f>
        <v>210981</v>
      </c>
      <c r="CF283" s="118">
        <f>INDEX('Gross Gen Plant'!$E$7:$AD$91,MATCH($C283,'Gross Gen Plant'!$D$7:$D$91,0),MATCH(Calculation!$G283,'Gross Gen Plant'!$E$5:$AD$5,0))</f>
        <v>14506</v>
      </c>
      <c r="CG283" s="118" t="str">
        <f t="shared" si="637"/>
        <v>NA</v>
      </c>
      <c r="CH283" s="118"/>
      <c r="CI283" s="121">
        <v>2005</v>
      </c>
      <c r="CJ283" s="118"/>
      <c r="CK283" s="118"/>
      <c r="CL283" s="118"/>
      <c r="CM283" s="183"/>
      <c r="CN283" s="118">
        <f t="shared" si="749"/>
        <v>10007</v>
      </c>
      <c r="CO283" s="118">
        <f t="shared" si="750"/>
        <v>21.32755833098706</v>
      </c>
      <c r="CP283" s="186">
        <v>0.96174863387978138</v>
      </c>
      <c r="CQ283" s="118">
        <f>+CQ276*CP283+CO277*CP282+CO278*CP281+CO279*CP280+CO280*CP279+CO281*CP278+CO282*CP277+CO283</f>
        <v>1688.5828364666197</v>
      </c>
      <c r="CR283" s="119">
        <f t="shared" si="751"/>
        <v>6.6136646504699097E-3</v>
      </c>
      <c r="CS283" s="119"/>
      <c r="CT283" s="177">
        <f t="shared" si="752"/>
        <v>6.078675534671815E-3</v>
      </c>
      <c r="CU283" s="177">
        <f t="shared" si="760"/>
        <v>5.8739197965231764E-3</v>
      </c>
      <c r="CV283" s="119">
        <f>VLOOKUP($H283,RoR!$E:$F,2,FALSE)</f>
        <v>5.2350000000000001E-2</v>
      </c>
      <c r="CW283" s="177">
        <v>3.1010403642454332E-2</v>
      </c>
      <c r="CX283" s="177">
        <f t="shared" si="758"/>
        <v>2.1339596357545669E-2</v>
      </c>
      <c r="CY283" s="177">
        <f t="shared" si="761"/>
        <v>2.5028021812010449E-2</v>
      </c>
      <c r="CZ283" s="177">
        <f t="shared" si="762"/>
        <v>9.2129610649277341E-2</v>
      </c>
      <c r="DA283" s="187">
        <f t="shared" si="753"/>
        <v>0.84737312500000006</v>
      </c>
      <c r="DB283" s="188">
        <f t="shared" si="754"/>
        <v>0.97959983346802826</v>
      </c>
      <c r="DC283" s="188">
        <f t="shared" si="755"/>
        <v>0.49744508118433622</v>
      </c>
      <c r="DD283" s="188">
        <f t="shared" si="756"/>
        <v>0.87010519444335932</v>
      </c>
      <c r="DE283" s="188">
        <f t="shared" si="757"/>
        <v>0.42399975420741998</v>
      </c>
      <c r="DF283" s="189">
        <f>INDEX('State Tax Lookup'!$D$7:$Z$91,MATCH(Calculation!$C283,'State Tax Lookup'!$B$7:$B$91,0),MATCH($H283,'State Tax Lookup'!$D$6:$Z$6,0))</f>
        <v>0.40700500000000001</v>
      </c>
      <c r="DG283" s="189">
        <v>0.375</v>
      </c>
      <c r="DH283" s="190">
        <f t="shared" si="759"/>
        <v>16.64916017575689</v>
      </c>
      <c r="DI283" s="190"/>
      <c r="DJ283" s="177"/>
      <c r="DK283" s="189">
        <f>VLOOKUP($H283,RoR!$E:$F,2,FALSE)</f>
        <v>5.2350000000000001E-2</v>
      </c>
      <c r="DL283" s="191">
        <f>HLOOKUP($H283,'GDP-PI'!$D$8:$CQ$11,3,FALSE)</f>
        <v>3.1010403642454332E-2</v>
      </c>
      <c r="DM283" s="189">
        <f>VLOOKUP(H283,'HW Dx Data'!$E:$F,2,FALSE)</f>
        <v>469.20514034936258</v>
      </c>
      <c r="DN283" s="183">
        <f>VLOOKUP(H283,'ECI - Input Price'!$G$17:$H$37,2,FALSE)</f>
        <v>99.15</v>
      </c>
      <c r="DO283" s="177">
        <f t="shared" ref="DO283" si="773">LN(DN283/DN282)</f>
        <v>3.046440632744625E-2</v>
      </c>
      <c r="DP283" s="183">
        <f>HLOOKUP(H283,'GDP-PI'!$8:$9,2,FALSE)</f>
        <v>87.406999999999996</v>
      </c>
      <c r="DQ283" s="177">
        <f t="shared" ref="DQ283" si="774">LN(DP283/DP282)</f>
        <v>3.0539295810733648E-2</v>
      </c>
    </row>
    <row r="284" spans="1:121" s="167" customFormat="1" ht="21" x14ac:dyDescent="0.35">
      <c r="A284" s="167" t="s">
        <v>44</v>
      </c>
      <c r="B284" s="168" t="s">
        <v>44</v>
      </c>
      <c r="C284" s="168">
        <v>4057114</v>
      </c>
      <c r="D284" s="168" t="s">
        <v>333</v>
      </c>
      <c r="E284" s="168" t="s">
        <v>126</v>
      </c>
      <c r="F284" s="168"/>
      <c r="G284" s="168" t="s">
        <v>12</v>
      </c>
      <c r="H284" s="169">
        <v>2006</v>
      </c>
      <c r="I284" s="170"/>
      <c r="J284" s="166">
        <f>IFERROR(INDEX('Labor Expenditures'!$F$7:$X$91,MATCH($C284,'Labor Expenditures'!$D$7:$D$91,0),MATCH($G284,'Labor Expenditures'!$F$5:$X$5,0)),"NA")</f>
        <v>8812.1784266913746</v>
      </c>
      <c r="K284" s="166">
        <f t="shared" si="765"/>
        <v>86.351576939650911</v>
      </c>
      <c r="L284" s="172">
        <f t="shared" si="772"/>
        <v>6.8571862217713053E-2</v>
      </c>
      <c r="M284" s="172">
        <f t="shared" ref="M284:M299" si="775">+L284*AR284</f>
        <v>4.2236251418822424E-4</v>
      </c>
      <c r="N284" s="196"/>
      <c r="O284" s="172"/>
      <c r="P284" s="166">
        <f>IFERROR(INDEX('Non-Labor Expenditures'!$F$7:$AB$91,MATCH($C284,'Non-Labor Expenditures'!$D$7:$D$91,0),MATCH($G284,'Non-Labor Expenditures'!$F$5:$AB$5,0)),"NA")</f>
        <v>12761.68024974627</v>
      </c>
      <c r="Q284" s="166">
        <f t="shared" si="766"/>
        <v>141.67995481211304</v>
      </c>
      <c r="R284" s="172">
        <f t="shared" ref="R284:R298" si="776">LN(Q284/Q283)</f>
        <v>6.7344712782307248E-2</v>
      </c>
      <c r="S284" s="172">
        <f>+R284*AR284</f>
        <v>4.1480399230971567E-4</v>
      </c>
      <c r="T284" s="172"/>
      <c r="U284" s="172"/>
      <c r="V284" s="166">
        <f t="shared" si="747"/>
        <v>27421.439090363114</v>
      </c>
      <c r="W284" s="170"/>
      <c r="X284" s="174">
        <v>1697.3056534782054</v>
      </c>
      <c r="Y284" s="175">
        <v>5.1524652008984448E-3</v>
      </c>
      <c r="Z284" s="175">
        <f>+Y284*AR284</f>
        <v>3.1736168249440607E-5</v>
      </c>
      <c r="AA284" s="175"/>
      <c r="AB284" s="175"/>
      <c r="AC284" s="170">
        <f t="shared" si="682"/>
        <v>48995.297766800759</v>
      </c>
      <c r="AD284" s="175">
        <f t="shared" ref="AD284:AD299" si="777">LN(AC284/AC283)</f>
        <v>3.0998751480050889E-2</v>
      </c>
      <c r="AE284" s="170"/>
      <c r="AF284" s="170"/>
      <c r="AG284" s="121">
        <f t="shared" ref="AG284:AG298" si="778">+(AC284*1000)/AZ284</f>
        <v>268.00480139376288</v>
      </c>
      <c r="AH284" s="119">
        <f>+AZ284/$BB$44</f>
        <v>5.2003431375937433E-3</v>
      </c>
      <c r="AI284" s="119">
        <f>+AZ284/$BC$44</f>
        <v>2.2166441524377994E-2</v>
      </c>
      <c r="AJ284" s="176">
        <f>+AH284*AG284</f>
        <v>1.3937169297702288</v>
      </c>
      <c r="AK284" s="176">
        <f>+AI284*AG284</f>
        <v>5.9407127583473827</v>
      </c>
      <c r="AL284" s="120">
        <f t="shared" si="767"/>
        <v>0.17985763590281742</v>
      </c>
      <c r="AM284" s="120">
        <f t="shared" si="768"/>
        <v>0.2604674495598962</v>
      </c>
      <c r="AN284" s="120">
        <f t="shared" si="769"/>
        <v>0.55967491453728635</v>
      </c>
      <c r="AO284" s="120">
        <f>+(((AL284+AL283)/2)*L284+((AM283+AM284)/2)*R284+((AN283+AN284)/2)*Y284)</f>
        <v>3.187121866400755E-2</v>
      </c>
      <c r="AP284" s="173">
        <f>+AP283*EXP(AO284)</f>
        <v>103.23845448829438</v>
      </c>
      <c r="AQ284" s="175">
        <f>LN(AP284/AP283)</f>
        <v>3.1871218664007599E-2</v>
      </c>
      <c r="AR284" s="177">
        <f>+AC284/$AE$44</f>
        <v>6.1594143797238481E-3</v>
      </c>
      <c r="AS284" s="177">
        <f>+AR284*AQ284</f>
        <v>1.9630804253841151E-4</v>
      </c>
      <c r="AT284" s="177"/>
      <c r="AU284" s="177"/>
      <c r="AV284" s="177"/>
      <c r="AW284" s="190"/>
      <c r="AX284" s="120"/>
      <c r="AY284" s="120"/>
      <c r="AZ284" s="118">
        <f>IFERROR(INDEX('Total Customers'!$F$7:$AB$91,MATCH($C284,'Total Customers'!$D$7:$D$91,0),MATCH($G284,'Total Customers'!$F$5:$AB$5,0)),"NA")</f>
        <v>182815</v>
      </c>
      <c r="BA284" s="119">
        <f t="shared" si="748"/>
        <v>-4.1159060681649588E-3</v>
      </c>
      <c r="BB284" s="119"/>
      <c r="BC284" s="121">
        <v>8247377</v>
      </c>
      <c r="BD284" s="119"/>
      <c r="BE284" s="119"/>
      <c r="BF284" s="119"/>
      <c r="BG284" s="173"/>
      <c r="BH284" s="173"/>
      <c r="BI284" s="173"/>
      <c r="BJ284" s="173"/>
      <c r="BK284" s="173"/>
      <c r="BL284" s="173"/>
      <c r="BM284" s="173"/>
      <c r="BN284" s="173"/>
      <c r="BO284" s="173"/>
      <c r="BP284" s="173"/>
      <c r="BQ284" s="118"/>
      <c r="BR284" s="118"/>
      <c r="BS284" s="118">
        <f>INDEX('Dist. Plant Gas Additions'!$F$7:$AE$91,MATCH($C284,'Dist. Plant Gas Additions'!$D$7:$D$91,0),MATCH(Calculation!$G284,'Dist. Plant Gas Additions'!$F$5:$AE$5,0))</f>
        <v>7201</v>
      </c>
      <c r="BT284" s="118">
        <f>INDEX('Gen. Plant Additions'!$F$7:$AE$91,MATCH($C284,'Gen. Plant Additions'!$D$7:$D$91,0),MATCH(Calculation!$G284,'Gen. Plant Additions'!$F$5:$AE$5,0))</f>
        <v>1727</v>
      </c>
      <c r="BU284" s="118"/>
      <c r="BV284" s="118"/>
      <c r="BW284" s="118" t="str">
        <f>INDEX('Dist Plant Depreciation'!$E$7:$AD$94,MATCH($C284,'Dist Plant Depreciation'!$D$7:$D$94,0),MATCH(Calculation!$G284,'Dist Plant Depreciation'!$E$5:$AD$5,0))</f>
        <v>NA</v>
      </c>
      <c r="BX284" s="118" t="str">
        <f>INDEX('Gen. Plant Depreciation'!$E$7:$AD$94,MATCH($C284,'Gen. Plant Depreciation'!$D$7:$D$94,0),MATCH(Calculation!$G284,'Gen. Plant Depreciation'!$E$5:$AD$5,0))</f>
        <v>NA</v>
      </c>
      <c r="BY284" s="118"/>
      <c r="BZ284" s="118"/>
      <c r="CA284" s="118"/>
      <c r="CB284" s="118"/>
      <c r="CC284" s="118"/>
      <c r="CD284" s="118"/>
      <c r="CE284" s="118">
        <f>INDEX('Gross Dx Plant'!$E$7:$AD$91,MATCH($C284,'Gross Dx Plant'!$D$7:$D$91,0),MATCH(Calculation!$G284,'Gross Dx Plant'!$E$5:$AD$5,0))</f>
        <v>216942</v>
      </c>
      <c r="CF284" s="118">
        <f>INDEX('Gross Gen Plant'!$E$7:$AD$91,MATCH($C284,'Gross Gen Plant'!$D$7:$D$91,0),MATCH(Calculation!$G284,'Gross Gen Plant'!$E$5:$AD$5,0))</f>
        <v>15916</v>
      </c>
      <c r="CG284" s="118" t="str">
        <f t="shared" si="637"/>
        <v>NA</v>
      </c>
      <c r="CH284" s="119" t="e">
        <f>SUM(#REF!)/15</f>
        <v>#REF!</v>
      </c>
      <c r="CI284" s="121">
        <v>2006</v>
      </c>
      <c r="CJ284" s="118"/>
      <c r="CK284" s="118"/>
      <c r="CL284" s="118"/>
      <c r="CM284" s="183"/>
      <c r="CN284" s="118">
        <f t="shared" si="749"/>
        <v>8928</v>
      </c>
      <c r="CO284" s="118">
        <f t="shared" si="750"/>
        <v>19.362995920355704</v>
      </c>
      <c r="CP284" s="186">
        <v>0.9555555555555556</v>
      </c>
      <c r="CQ284" s="118">
        <f>+CQ276*CP284+CO277*CP283+CO278*CP282+CO279*CP281+CO280*CP280+CO281*CP279+CO282*CP278+CO283*CP277+CO284</f>
        <v>1697.3056534782054</v>
      </c>
      <c r="CR284" s="119">
        <f t="shared" si="751"/>
        <v>5.1524652008984448E-3</v>
      </c>
      <c r="CS284" s="119"/>
      <c r="CT284" s="177">
        <f t="shared" si="752"/>
        <v>6.301247815022646E-3</v>
      </c>
      <c r="CU284" s="177">
        <f t="shared" si="760"/>
        <v>6.0835000760072616E-3</v>
      </c>
      <c r="CV284" s="119">
        <f>VLOOKUP($H284,RoR!$E:$F,2,FALSE)</f>
        <v>5.5874999999999994E-2</v>
      </c>
      <c r="CW284" s="177">
        <v>3.0512430354548314E-2</v>
      </c>
      <c r="CX284" s="177">
        <f t="shared" si="758"/>
        <v>2.536256964545168E-2</v>
      </c>
      <c r="CY284" s="177">
        <f t="shared" si="761"/>
        <v>2.4818441532526363E-2</v>
      </c>
      <c r="CZ284" s="177">
        <f t="shared" si="762"/>
        <v>7.9087823893859641E-2</v>
      </c>
      <c r="DA284" s="187">
        <f t="shared" si="753"/>
        <v>0.84737312500000006</v>
      </c>
      <c r="DB284" s="188">
        <f t="shared" si="754"/>
        <v>0.91779957551769631</v>
      </c>
      <c r="DC284" s="188">
        <f t="shared" si="755"/>
        <v>0.52757270693512304</v>
      </c>
      <c r="DD284" s="188">
        <f t="shared" si="756"/>
        <v>0.88636824549024895</v>
      </c>
      <c r="DE284" s="188">
        <f t="shared" si="757"/>
        <v>0.42918482841932087</v>
      </c>
      <c r="DF284" s="189">
        <f>INDEX('State Tax Lookup'!$D$7:$Z$91,MATCH(Calculation!$C284,'State Tax Lookup'!$B$7:$B$91,0),MATCH($H284,'State Tax Lookup'!$D$6:$Z$6,0))</f>
        <v>0.40700500000000001</v>
      </c>
      <c r="DG284" s="189">
        <v>0.375</v>
      </c>
      <c r="DH284" s="190">
        <f t="shared" si="759"/>
        <v>16.239321221423054</v>
      </c>
      <c r="DI284" s="190">
        <v>15.751758146643704</v>
      </c>
      <c r="DJ284" s="177"/>
      <c r="DK284" s="189">
        <f>VLOOKUP($H284,RoR!$E:$F,2,FALSE)</f>
        <v>5.5874999999999994E-2</v>
      </c>
      <c r="DL284" s="191">
        <f>HLOOKUP($H284,'GDP-PI'!$D$8:$CQ$11,3,FALSE)</f>
        <v>3.0512430354548314E-2</v>
      </c>
      <c r="DM284" s="189">
        <f>VLOOKUP(H284,'HW Dx Data'!$E:$F,2,FALSE)</f>
        <v>461.08567272971823</v>
      </c>
      <c r="DN284" s="183">
        <f>VLOOKUP(H284,'ECI - Input Price'!$G$17:$H$37,2,FALSE)</f>
        <v>102.05</v>
      </c>
      <c r="DO284" s="177">
        <f t="shared" ref="DO284" si="779">LN(DN284/DN283)</f>
        <v>2.8829034290048662E-2</v>
      </c>
      <c r="DP284" s="183">
        <f>HLOOKUP(H284,'GDP-PI'!$8:$9,2,FALSE)</f>
        <v>90.073999999999998</v>
      </c>
      <c r="DQ284" s="177">
        <f t="shared" ref="DQ284" si="780">LN(DP284/DP283)</f>
        <v>3.005618372545445E-2</v>
      </c>
    </row>
    <row r="285" spans="1:121" s="167" customFormat="1" ht="21" x14ac:dyDescent="0.35">
      <c r="A285" s="167" t="s">
        <v>44</v>
      </c>
      <c r="B285" s="168" t="s">
        <v>44</v>
      </c>
      <c r="C285" s="168">
        <v>4057114</v>
      </c>
      <c r="D285" s="168" t="s">
        <v>333</v>
      </c>
      <c r="E285" s="168" t="s">
        <v>126</v>
      </c>
      <c r="F285" s="168"/>
      <c r="G285" s="168" t="s">
        <v>13</v>
      </c>
      <c r="H285" s="169">
        <v>2007</v>
      </c>
      <c r="I285" s="170"/>
      <c r="J285" s="166">
        <f>IFERROR(INDEX('Labor Expenditures'!$F$7:$X$91,MATCH($C285,'Labor Expenditures'!$D$7:$D$91,0),MATCH($G285,'Labor Expenditures'!$F$5:$X$5,0)),"NA")</f>
        <v>8659.7867179072291</v>
      </c>
      <c r="K285" s="166">
        <f t="shared" si="765"/>
        <v>82.297806775074633</v>
      </c>
      <c r="L285" s="172">
        <f t="shared" si="772"/>
        <v>-4.8082608431276999E-2</v>
      </c>
      <c r="M285" s="172">
        <f t="shared" si="775"/>
        <v>-2.9045654169012778E-4</v>
      </c>
      <c r="N285" s="196"/>
      <c r="O285" s="172"/>
      <c r="P285" s="166">
        <f>IFERROR(INDEX('Non-Labor Expenditures'!$F$7:$AB$91,MATCH($C285,'Non-Labor Expenditures'!$D$7:$D$91,0),MATCH($G285,'Non-Labor Expenditures'!$F$5:$AB$5,0)),"NA")</f>
        <v>12540.988592581778</v>
      </c>
      <c r="Q285" s="166">
        <f t="shared" si="766"/>
        <v>135.5811865400525</v>
      </c>
      <c r="R285" s="172">
        <f t="shared" si="776"/>
        <v>-4.4000050980534264E-2</v>
      </c>
      <c r="S285" s="172">
        <f t="shared" ref="S285:S299" si="781">+R285*AR285</f>
        <v>-2.6579470330236987E-4</v>
      </c>
      <c r="T285" s="172"/>
      <c r="U285" s="172"/>
      <c r="V285" s="166">
        <f t="shared" si="747"/>
        <v>29553.626158130934</v>
      </c>
      <c r="W285" s="170"/>
      <c r="X285" s="174">
        <v>1713.2062812172335</v>
      </c>
      <c r="Y285" s="175">
        <v>9.3245490723607074E-3</v>
      </c>
      <c r="Z285" s="175">
        <f t="shared" ref="Z285:Z299" si="782">+Y285*AR285</f>
        <v>5.632756551152543E-5</v>
      </c>
      <c r="AA285" s="175"/>
      <c r="AB285" s="175"/>
      <c r="AC285" s="170">
        <f t="shared" si="682"/>
        <v>50754.401468619937</v>
      </c>
      <c r="AD285" s="175">
        <f t="shared" si="777"/>
        <v>3.5274013043964346E-2</v>
      </c>
      <c r="AE285" s="170"/>
      <c r="AF285" s="170"/>
      <c r="AG285" s="121">
        <f t="shared" si="778"/>
        <v>271.82237195261291</v>
      </c>
      <c r="AH285" s="119">
        <f>+AZ285/$BB$45</f>
        <v>5.271572344869249E-3</v>
      </c>
      <c r="AI285" s="119">
        <f>+AZ285/$BC$45</f>
        <v>2.2804658223247221E-2</v>
      </c>
      <c r="AJ285" s="176">
        <f t="shared" ref="AJ285:AJ299" si="783">+AH285*AG285</f>
        <v>1.4329312987021567</v>
      </c>
      <c r="AK285" s="176">
        <f t="shared" ref="AK285:AK299" si="784">+AI285*AG285</f>
        <v>6.1988162898117185</v>
      </c>
      <c r="AL285" s="120">
        <f t="shared" si="767"/>
        <v>0.17062139375757074</v>
      </c>
      <c r="AM285" s="120">
        <f t="shared" si="768"/>
        <v>0.24709164584150459</v>
      </c>
      <c r="AN285" s="120">
        <f t="shared" si="769"/>
        <v>0.58228696040092476</v>
      </c>
      <c r="AO285" s="120">
        <f t="shared" ref="AO285:AO299" si="785">+(((AL285+AL284)/2)*L285+((AM284+AM285)/2)*R285+((AN284+AN285)/2)*W285)</f>
        <v>-1.9592286009914923E-2</v>
      </c>
      <c r="AP285" s="173">
        <f>+AP284*EXP(AO285)</f>
        <v>101.23546282507512</v>
      </c>
      <c r="AQ285" s="175">
        <f>LN(AP285/AP284)</f>
        <v>-1.9592286009914934E-2</v>
      </c>
      <c r="AR285" s="177">
        <f>+AC285/$AE$45</f>
        <v>6.0407817122747915E-3</v>
      </c>
      <c r="AS285" s="177">
        <f t="shared" ref="AS285:AS299" si="786">+AR285*AQ285</f>
        <v>-1.1835272303035138E-4</v>
      </c>
      <c r="AT285" s="177"/>
      <c r="AU285" s="177"/>
      <c r="AV285" s="177"/>
      <c r="AW285" s="190"/>
      <c r="AX285" s="120"/>
      <c r="AY285" s="120"/>
      <c r="AZ285" s="118">
        <f>IFERROR(INDEX('Total Customers'!$F$7:$AB$91,MATCH($C285,'Total Customers'!$D$7:$D$91,0),MATCH($G285,'Total Customers'!$F$5:$AB$5,0)),"NA")</f>
        <v>186719</v>
      </c>
      <c r="BA285" s="119">
        <f t="shared" si="748"/>
        <v>2.1130100364876434E-2</v>
      </c>
      <c r="BB285" s="119"/>
      <c r="BC285" s="121">
        <v>8187757</v>
      </c>
      <c r="BD285" s="119"/>
      <c r="BE285" s="119"/>
      <c r="BF285" s="119"/>
      <c r="BG285" s="173"/>
      <c r="BH285" s="173"/>
      <c r="BI285" s="173"/>
      <c r="BJ285" s="173"/>
      <c r="BK285" s="173"/>
      <c r="BL285" s="173"/>
      <c r="BM285" s="173"/>
      <c r="BN285" s="173"/>
      <c r="BO285" s="173"/>
      <c r="BP285" s="173"/>
      <c r="BQ285" s="118"/>
      <c r="BR285" s="118"/>
      <c r="BS285" s="118">
        <f>INDEX('Dist. Plant Gas Additions'!$F$7:$AE$91,MATCH($C285,'Dist. Plant Gas Additions'!$D$7:$D$91,0),MATCH(Calculation!$G285,'Dist. Plant Gas Additions'!$F$5:$AE$5,0))</f>
        <v>12350</v>
      </c>
      <c r="BT285" s="118">
        <f>INDEX('Gen. Plant Additions'!$F$7:$AE$91,MATCH($C285,'Gen. Plant Additions'!$D$7:$D$91,0),MATCH(Calculation!$G285,'Gen. Plant Additions'!$F$5:$AE$5,0))</f>
        <v>1094</v>
      </c>
      <c r="BU285" s="118"/>
      <c r="BV285" s="118"/>
      <c r="BW285" s="118" t="str">
        <f>INDEX('Dist Plant Depreciation'!$E$7:$AD$94,MATCH($C285,'Dist Plant Depreciation'!$D$7:$D$94,0),MATCH(Calculation!$G285,'Dist Plant Depreciation'!$E$5:$AD$5,0))</f>
        <v>NA</v>
      </c>
      <c r="BX285" s="118" t="str">
        <f>INDEX('Gen. Plant Depreciation'!$E$7:$AD$94,MATCH($C285,'Gen. Plant Depreciation'!$D$7:$D$94,0),MATCH(Calculation!$G285,'Gen. Plant Depreciation'!$E$5:$AD$5,0))</f>
        <v>NA</v>
      </c>
      <c r="BY285" s="118"/>
      <c r="BZ285" s="118"/>
      <c r="CA285" s="118"/>
      <c r="CB285" s="118"/>
      <c r="CC285" s="118"/>
      <c r="CD285" s="118"/>
      <c r="CE285" s="118">
        <f>INDEX('Gross Dx Plant'!$E$7:$AD$91,MATCH($C285,'Gross Dx Plant'!$D$7:$D$91,0),MATCH(Calculation!$G285,'Gross Dx Plant'!$E$5:$AD$5,0))</f>
        <v>228701</v>
      </c>
      <c r="CF285" s="118">
        <f>INDEX('Gross Gen Plant'!$E$7:$AD$91,MATCH($C285,'Gross Gen Plant'!$D$7:$D$91,0),MATCH(Calculation!$G285,'Gross Gen Plant'!$E$5:$AD$5,0))</f>
        <v>16912</v>
      </c>
      <c r="CG285" s="118" t="str">
        <f t="shared" si="637"/>
        <v>NA</v>
      </c>
      <c r="CH285" s="118"/>
      <c r="CI285" s="121">
        <v>2007</v>
      </c>
      <c r="CJ285" s="118"/>
      <c r="CK285" s="118"/>
      <c r="CL285" s="118"/>
      <c r="CM285" s="183"/>
      <c r="CN285" s="118">
        <f t="shared" si="749"/>
        <v>13444</v>
      </c>
      <c r="CO285" s="118">
        <f t="shared" si="750"/>
        <v>26.994774294634517</v>
      </c>
      <c r="CP285" s="186">
        <v>0.94915254237288138</v>
      </c>
      <c r="CQ285" s="118">
        <f>+CQ276*CP285+CO277*CP284+CO278*CP283+CO279*CP282+CO280*CP281+CO281*CP280+CO282*CP279+CO283*CP278+CO284*CP277+CO285</f>
        <v>1713.2062812172335</v>
      </c>
      <c r="CR285" s="119">
        <f t="shared" si="751"/>
        <v>9.3245490723607074E-3</v>
      </c>
      <c r="CS285" s="119"/>
      <c r="CT285" s="177">
        <f t="shared" si="752"/>
        <v>6.5363280519756296E-3</v>
      </c>
      <c r="CU285" s="177">
        <f t="shared" si="760"/>
        <v>6.3054171338900308E-3</v>
      </c>
      <c r="CV285" s="119">
        <f>VLOOKUP($H285,RoR!$E:$F,2,FALSE)</f>
        <v>5.5558333333333321E-2</v>
      </c>
      <c r="CW285" s="177">
        <v>2.691120634145272E-2</v>
      </c>
      <c r="CX285" s="177">
        <f t="shared" si="758"/>
        <v>2.86471269918806E-2</v>
      </c>
      <c r="CY285" s="177">
        <f t="shared" si="761"/>
        <v>2.4596524474643593E-2</v>
      </c>
      <c r="CZ285" s="177">
        <f t="shared" si="762"/>
        <v>6.4575155250632399E-2</v>
      </c>
      <c r="DA285" s="187">
        <f t="shared" si="753"/>
        <v>0.84737312500000006</v>
      </c>
      <c r="DB285" s="188">
        <f t="shared" si="754"/>
        <v>0.92303077153834634</v>
      </c>
      <c r="DC285" s="188">
        <f t="shared" si="755"/>
        <v>0.52502249887505614</v>
      </c>
      <c r="DD285" s="188">
        <f t="shared" si="756"/>
        <v>0.88499666072084604</v>
      </c>
      <c r="DE285" s="188">
        <f t="shared" si="757"/>
        <v>0.42887993290280618</v>
      </c>
      <c r="DF285" s="189">
        <f>INDEX('State Tax Lookup'!$D$7:$Z$91,MATCH(Calculation!$C285,'State Tax Lookup'!$B$7:$B$91,0),MATCH($H285,'State Tax Lookup'!$D$6:$Z$6,0))</f>
        <v>0.40700500000000001</v>
      </c>
      <c r="DG285" s="189">
        <v>0.375</v>
      </c>
      <c r="DH285" s="190">
        <f t="shared" si="759"/>
        <v>17.412082554234196</v>
      </c>
      <c r="DI285" s="190">
        <v>17.136072806087128</v>
      </c>
      <c r="DJ285" s="177"/>
      <c r="DK285" s="189">
        <f>VLOOKUP($H285,RoR!$E:$F,2,FALSE)</f>
        <v>5.5558333333333321E-2</v>
      </c>
      <c r="DL285" s="191">
        <f>HLOOKUP($H285,'GDP-PI'!$D$8:$CQ$11,3,FALSE)</f>
        <v>2.691120634145272E-2</v>
      </c>
      <c r="DM285" s="189">
        <f>VLOOKUP(H285,'HW Dx Data'!$E:$F,2,FALSE)</f>
        <v>498.0223154772637</v>
      </c>
      <c r="DN285" s="183">
        <f>VLOOKUP(H285,'ECI - Input Price'!$G$17:$H$37,2,FALSE)</f>
        <v>105.22500000000001</v>
      </c>
      <c r="DO285" s="177">
        <f t="shared" ref="DO285" si="787">LN(DN285/DN284)</f>
        <v>3.0638025400780679E-2</v>
      </c>
      <c r="DP285" s="183">
        <f>HLOOKUP(H285,'GDP-PI'!$8:$9,2,FALSE)</f>
        <v>92.498000000000005</v>
      </c>
      <c r="DQ285" s="177">
        <f t="shared" ref="DQ285" si="788">LN(DP285/DP284)</f>
        <v>2.6555467950038037E-2</v>
      </c>
    </row>
    <row r="286" spans="1:121" s="167" customFormat="1" ht="21" x14ac:dyDescent="0.35">
      <c r="A286" s="167" t="s">
        <v>44</v>
      </c>
      <c r="B286" s="168" t="s">
        <v>44</v>
      </c>
      <c r="C286" s="168">
        <v>4057114</v>
      </c>
      <c r="D286" s="168" t="s">
        <v>333</v>
      </c>
      <c r="E286" s="168" t="s">
        <v>126</v>
      </c>
      <c r="F286" s="168"/>
      <c r="G286" s="168" t="s">
        <v>14</v>
      </c>
      <c r="H286" s="169">
        <v>2008</v>
      </c>
      <c r="I286" s="170"/>
      <c r="J286" s="166">
        <f>IFERROR(INDEX('Labor Expenditures'!$F$7:$X$91,MATCH($C286,'Labor Expenditures'!$D$7:$D$91,0),MATCH($G286,'Labor Expenditures'!$F$5:$X$5,0)),"NA")</f>
        <v>9942.8555052792763</v>
      </c>
      <c r="K286" s="166">
        <f t="shared" si="765"/>
        <v>91.872076740857253</v>
      </c>
      <c r="L286" s="172">
        <f t="shared" si="772"/>
        <v>0.11005268106083367</v>
      </c>
      <c r="M286" s="172">
        <f t="shared" si="775"/>
        <v>7.1266321602631423E-4</v>
      </c>
      <c r="N286" s="196"/>
      <c r="O286" s="172"/>
      <c r="P286" s="166">
        <f>IFERROR(INDEX('Non-Labor Expenditures'!$F$7:$AB$91,MATCH($C286,'Non-Labor Expenditures'!$D$7:$D$91,0),MATCH($G286,'Non-Labor Expenditures'!$F$5:$AB$5,0)),"NA")</f>
        <v>14399.111840889582</v>
      </c>
      <c r="Q286" s="166">
        <f t="shared" si="766"/>
        <v>152.75303234415665</v>
      </c>
      <c r="R286" s="172">
        <f t="shared" si="776"/>
        <v>0.11925182598421107</v>
      </c>
      <c r="S286" s="172">
        <f t="shared" si="781"/>
        <v>7.7223370665491036E-4</v>
      </c>
      <c r="T286" s="172"/>
      <c r="U286" s="172"/>
      <c r="V286" s="166">
        <f t="shared" si="747"/>
        <v>33822.662269313907</v>
      </c>
      <c r="W286" s="170"/>
      <c r="X286" s="174">
        <v>1723.1016572495478</v>
      </c>
      <c r="Y286" s="175">
        <v>5.7593228324103723E-3</v>
      </c>
      <c r="Z286" s="175">
        <f t="shared" si="782"/>
        <v>3.7295388829378371E-5</v>
      </c>
      <c r="AA286" s="175"/>
      <c r="AB286" s="175"/>
      <c r="AC286" s="170">
        <f t="shared" si="682"/>
        <v>58164.629615482765</v>
      </c>
      <c r="AD286" s="175">
        <f t="shared" si="777"/>
        <v>0.13627908881695014</v>
      </c>
      <c r="AE286" s="170"/>
      <c r="AF286" s="170"/>
      <c r="AG286" s="121">
        <f t="shared" si="778"/>
        <v>307.32496190701073</v>
      </c>
      <c r="AH286" s="119">
        <f>+AZ286/$BB$46</f>
        <v>5.3148496949252683E-3</v>
      </c>
      <c r="AI286" s="119">
        <f>+AZ286/$BC$46</f>
        <v>2.2957125617122629E-2</v>
      </c>
      <c r="AJ286" s="176">
        <f t="shared" si="783"/>
        <v>1.6333859800343957</v>
      </c>
      <c r="AK286" s="176">
        <f t="shared" si="784"/>
        <v>7.0552977557766718</v>
      </c>
      <c r="AL286" s="120">
        <f t="shared" si="767"/>
        <v>0.17094333052595595</v>
      </c>
      <c r="AM286" s="120">
        <f t="shared" si="768"/>
        <v>0.24755787041162042</v>
      </c>
      <c r="AN286" s="120">
        <f t="shared" si="769"/>
        <v>0.58149879906242363</v>
      </c>
      <c r="AO286" s="120">
        <f t="shared" si="785"/>
        <v>4.82889858492992E-2</v>
      </c>
      <c r="AP286" s="173">
        <f t="shared" ref="AP286:AP299" si="789">+AP285*EXP(AO286)</f>
        <v>106.24397544379696</v>
      </c>
      <c r="AQ286" s="175">
        <f t="shared" ref="AQ286:AQ299" si="790">LN(AP286/AP285)</f>
        <v>4.8288985849299249E-2</v>
      </c>
      <c r="AR286" s="177">
        <f>+AC286/$AE$46</f>
        <v>6.4756551967359733E-3</v>
      </c>
      <c r="AS286" s="177">
        <f t="shared" si="786"/>
        <v>3.1270282216012458E-4</v>
      </c>
      <c r="AT286" s="177"/>
      <c r="AU286" s="177"/>
      <c r="AV286" s="177"/>
      <c r="AW286" s="190"/>
      <c r="AX286" s="120"/>
      <c r="AY286" s="120"/>
      <c r="AZ286" s="118">
        <f>IFERROR(INDEX('Total Customers'!$F$7:$AB$91,MATCH($C286,'Total Customers'!$D$7:$D$91,0),MATCH($G286,'Total Customers'!$F$5:$AB$5,0)),"NA")</f>
        <v>189261</v>
      </c>
      <c r="BA286" s="119">
        <f t="shared" si="748"/>
        <v>1.3522201891563905E-2</v>
      </c>
      <c r="BB286" s="119"/>
      <c r="BC286" s="121">
        <v>8244107</v>
      </c>
      <c r="BD286" s="119"/>
      <c r="BE286" s="119"/>
      <c r="BF286" s="119"/>
      <c r="BG286" s="173"/>
      <c r="BH286" s="173"/>
      <c r="BI286" s="173"/>
      <c r="BJ286" s="173"/>
      <c r="BK286" s="173"/>
      <c r="BL286" s="173"/>
      <c r="BM286" s="173"/>
      <c r="BN286" s="173"/>
      <c r="BO286" s="173"/>
      <c r="BP286" s="173"/>
      <c r="BQ286" s="118"/>
      <c r="BR286" s="118"/>
      <c r="BS286" s="118">
        <f>INDEX('Dist. Plant Gas Additions'!$F$7:$AE$91,MATCH($C286,'Dist. Plant Gas Additions'!$D$7:$D$91,0),MATCH(Calculation!$G286,'Dist. Plant Gas Additions'!$F$5:$AE$5,0))</f>
        <v>9098</v>
      </c>
      <c r="BT286" s="118">
        <f>INDEX('Gen. Plant Additions'!$F$7:$AE$91,MATCH($C286,'Gen. Plant Additions'!$D$7:$D$91,0),MATCH(Calculation!$G286,'Gen. Plant Additions'!$F$5:$AE$5,0))</f>
        <v>3156</v>
      </c>
      <c r="BU286" s="118"/>
      <c r="BV286" s="118"/>
      <c r="BW286" s="118" t="str">
        <f>INDEX('Dist Plant Depreciation'!$E$7:$AD$94,MATCH($C286,'Dist Plant Depreciation'!$D$7:$D$94,0),MATCH(Calculation!$G286,'Dist Plant Depreciation'!$E$5:$AD$5,0))</f>
        <v>NA</v>
      </c>
      <c r="BX286" s="118" t="str">
        <f>INDEX('Gen. Plant Depreciation'!$E$7:$AD$94,MATCH($C286,'Gen. Plant Depreciation'!$D$7:$D$94,0),MATCH(Calculation!$G286,'Gen. Plant Depreciation'!$E$5:$AD$5,0))</f>
        <v>NA</v>
      </c>
      <c r="BY286" s="118"/>
      <c r="BZ286" s="118"/>
      <c r="CA286" s="118"/>
      <c r="CB286" s="118"/>
      <c r="CC286" s="118"/>
      <c r="CD286" s="118"/>
      <c r="CE286" s="118">
        <f>INDEX('Gross Dx Plant'!$E$7:$AD$91,MATCH($C286,'Gross Dx Plant'!$D$7:$D$91,0),MATCH(Calculation!$G286,'Gross Dx Plant'!$E$5:$AD$5,0))</f>
        <v>237138</v>
      </c>
      <c r="CF286" s="118">
        <f>INDEX('Gross Gen Plant'!$E$7:$AD$91,MATCH($C286,'Gross Gen Plant'!$D$7:$D$91,0),MATCH(Calculation!$G286,'Gross Gen Plant'!$E$5:$AD$5,0))</f>
        <v>19757</v>
      </c>
      <c r="CG286" s="118" t="str">
        <f t="shared" si="637"/>
        <v>NA</v>
      </c>
      <c r="CH286" s="118"/>
      <c r="CI286" s="121">
        <v>2008</v>
      </c>
      <c r="CJ286" s="118"/>
      <c r="CK286" s="118"/>
      <c r="CL286" s="118"/>
      <c r="CM286" s="183"/>
      <c r="CN286" s="118">
        <f t="shared" si="749"/>
        <v>12254</v>
      </c>
      <c r="CO286" s="118">
        <f t="shared" si="750"/>
        <v>21.50272710923814</v>
      </c>
      <c r="CP286" s="186">
        <v>0.94252873563218387</v>
      </c>
      <c r="CQ286" s="118">
        <f>+CQ276*CP286+CO277*CP285+CO278*CP284+CO279*CP283+CO280*CP282+CO281*CP281+CO282*CP280+CO283*CP279+CO284*CP278+CO285*CP277+CO286</f>
        <v>1723.1016572495478</v>
      </c>
      <c r="CR286" s="119">
        <f t="shared" si="751"/>
        <v>5.7593228324103723E-3</v>
      </c>
      <c r="CS286" s="119"/>
      <c r="CT286" s="177">
        <f t="shared" si="752"/>
        <v>6.7752209434329335E-3</v>
      </c>
      <c r="CU286" s="177">
        <f t="shared" si="760"/>
        <v>6.5375989368104031E-3</v>
      </c>
      <c r="CV286" s="119">
        <f>VLOOKUP($H286,RoR!$E:$F,2,FALSE)</f>
        <v>5.6316666666666668E-2</v>
      </c>
      <c r="CW286" s="177">
        <v>1.9092304698479889E-2</v>
      </c>
      <c r="CX286" s="177">
        <f t="shared" si="758"/>
        <v>3.7224361968186778E-2</v>
      </c>
      <c r="CY286" s="177">
        <f t="shared" si="761"/>
        <v>2.4364342671723223E-2</v>
      </c>
      <c r="CZ286" s="177">
        <f t="shared" si="762"/>
        <v>6.9030581091053131E-2</v>
      </c>
      <c r="DA286" s="187">
        <f t="shared" si="753"/>
        <v>0.84737312500000006</v>
      </c>
      <c r="DB286" s="188">
        <f t="shared" si="754"/>
        <v>0.91060168006009956</v>
      </c>
      <c r="DC286" s="188">
        <f t="shared" si="755"/>
        <v>0.53108168097070152</v>
      </c>
      <c r="DD286" s="188">
        <f t="shared" si="756"/>
        <v>0.88825329850328805</v>
      </c>
      <c r="DE286" s="188">
        <f t="shared" si="757"/>
        <v>0.4295627335323573</v>
      </c>
      <c r="DF286" s="189">
        <f>INDEX('State Tax Lookup'!$D$7:$Z$91,MATCH(Calculation!$C286,'State Tax Lookup'!$B$7:$B$91,0),MATCH($H286,'State Tax Lookup'!$D$6:$Z$6,0))</f>
        <v>0.40700500000000001</v>
      </c>
      <c r="DG286" s="189">
        <v>0.375</v>
      </c>
      <c r="DH286" s="190">
        <f t="shared" si="759"/>
        <v>19.742317454780107</v>
      </c>
      <c r="DI286" s="190">
        <v>19.436639268690453</v>
      </c>
      <c r="DJ286" s="177"/>
      <c r="DK286" s="189">
        <f>VLOOKUP($H286,RoR!$E:$F,2,FALSE)</f>
        <v>5.6316666666666668E-2</v>
      </c>
      <c r="DL286" s="191">
        <f>HLOOKUP($H286,'GDP-PI'!$D$8:$CQ$11,3,FALSE)</f>
        <v>1.9092304698479889E-2</v>
      </c>
      <c r="DM286" s="189">
        <f>VLOOKUP(H286,'HW Dx Data'!$E:$F,2,FALSE)</f>
        <v>569.88120333515076</v>
      </c>
      <c r="DN286" s="183">
        <f>VLOOKUP(H286,'ECI - Input Price'!$G$17:$H$37,2,FALSE)</f>
        <v>108.22499999999999</v>
      </c>
      <c r="DO286" s="177">
        <f t="shared" ref="DO286" si="791">LN(DN286/DN285)</f>
        <v>2.8111478671409691E-2</v>
      </c>
      <c r="DP286" s="183">
        <f>HLOOKUP(H286,'GDP-PI'!$8:$9,2,FALSE)</f>
        <v>94.263999999999996</v>
      </c>
      <c r="DQ286" s="177">
        <f t="shared" ref="DQ286" si="792">LN(DP286/DP285)</f>
        <v>1.8912333748032254E-2</v>
      </c>
    </row>
    <row r="287" spans="1:121" s="167" customFormat="1" ht="21" x14ac:dyDescent="0.35">
      <c r="A287" s="167" t="s">
        <v>44</v>
      </c>
      <c r="B287" s="168" t="s">
        <v>44</v>
      </c>
      <c r="C287" s="168">
        <v>4057114</v>
      </c>
      <c r="D287" s="168" t="s">
        <v>333</v>
      </c>
      <c r="E287" s="168" t="s">
        <v>126</v>
      </c>
      <c r="F287" s="168"/>
      <c r="G287" s="168" t="s">
        <v>15</v>
      </c>
      <c r="H287" s="169">
        <v>2009</v>
      </c>
      <c r="I287" s="170"/>
      <c r="J287" s="166">
        <f>IFERROR(INDEX('Labor Expenditures'!$F$7:$X$91,MATCH($C287,'Labor Expenditures'!$D$7:$D$91,0),MATCH($G287,'Labor Expenditures'!$F$5:$X$5,0)),"NA")</f>
        <v>11162.441092217234</v>
      </c>
      <c r="K287" s="166">
        <f t="shared" si="765"/>
        <v>101.68472869248221</v>
      </c>
      <c r="L287" s="172">
        <f t="shared" si="772"/>
        <v>0.10147999218986303</v>
      </c>
      <c r="M287" s="172">
        <f t="shared" si="775"/>
        <v>6.4872679163322574E-4</v>
      </c>
      <c r="N287" s="196"/>
      <c r="O287" s="172"/>
      <c r="P287" s="166">
        <f>IFERROR(INDEX('Non-Labor Expenditures'!$F$7:$AB$91,MATCH($C287,'Non-Labor Expenditures'!$D$7:$D$91,0),MATCH($G287,'Non-Labor Expenditures'!$F$5:$AB$5,0)),"NA")</f>
        <v>16165.299557942539</v>
      </c>
      <c r="Q287" s="166">
        <f t="shared" si="766"/>
        <v>170.16283916612321</v>
      </c>
      <c r="R287" s="172">
        <f t="shared" si="776"/>
        <v>0.10793340649129014</v>
      </c>
      <c r="S287" s="172">
        <f t="shared" si="781"/>
        <v>6.8998125632624711E-4</v>
      </c>
      <c r="T287" s="172"/>
      <c r="U287" s="172"/>
      <c r="V287" s="166">
        <f t="shared" si="747"/>
        <v>32564.331528549737</v>
      </c>
      <c r="W287" s="170"/>
      <c r="X287" s="174">
        <v>1740.0439865973044</v>
      </c>
      <c r="Y287" s="175">
        <v>9.7844366103500609E-3</v>
      </c>
      <c r="Z287" s="175">
        <f t="shared" si="782"/>
        <v>6.2548548075323188E-5</v>
      </c>
      <c r="AA287" s="175"/>
      <c r="AB287" s="175"/>
      <c r="AC287" s="170">
        <f t="shared" si="682"/>
        <v>59892.07217870951</v>
      </c>
      <c r="AD287" s="175">
        <f t="shared" si="777"/>
        <v>2.9266713998638238E-2</v>
      </c>
      <c r="AE287" s="170"/>
      <c r="AF287" s="170"/>
      <c r="AG287" s="121">
        <f t="shared" si="778"/>
        <v>305.57647402107943</v>
      </c>
      <c r="AH287" s="119">
        <f>+AZ287/$BB$47</f>
        <v>5.4960692936558688E-3</v>
      </c>
      <c r="AI287" s="119">
        <f>+AZ287/$BC$47</f>
        <v>2.3509826058210261E-2</v>
      </c>
      <c r="AJ287" s="176">
        <f t="shared" si="783"/>
        <v>1.679469475730885</v>
      </c>
      <c r="AK287" s="176">
        <f t="shared" si="784"/>
        <v>7.1840497517167838</v>
      </c>
      <c r="AL287" s="120">
        <f t="shared" si="767"/>
        <v>0.1863759373512755</v>
      </c>
      <c r="AM287" s="120">
        <f t="shared" si="768"/>
        <v>0.2699071675080395</v>
      </c>
      <c r="AN287" s="120">
        <f t="shared" si="769"/>
        <v>0.543716895140685</v>
      </c>
      <c r="AO287" s="120">
        <f t="shared" si="785"/>
        <v>4.6056260398141272E-2</v>
      </c>
      <c r="AP287" s="173">
        <f t="shared" si="789"/>
        <v>111.25160688916914</v>
      </c>
      <c r="AQ287" s="175">
        <f t="shared" si="790"/>
        <v>4.6056260398141181E-2</v>
      </c>
      <c r="AR287" s="177">
        <f>+AC287/$AE$47</f>
        <v>6.3926570906656802E-3</v>
      </c>
      <c r="AS287" s="177">
        <f t="shared" si="786"/>
        <v>2.9442187960372217E-4</v>
      </c>
      <c r="AT287" s="177"/>
      <c r="AU287" s="177"/>
      <c r="AV287" s="177"/>
      <c r="AW287" s="190"/>
      <c r="AX287" s="120"/>
      <c r="AY287" s="120"/>
      <c r="AZ287" s="118">
        <f>IFERROR(INDEX('Total Customers'!$F$7:$AB$91,MATCH($C287,'Total Customers'!$D$7:$D$91,0),MATCH($G287,'Total Customers'!$F$5:$AB$5,0)),"NA")</f>
        <v>195997</v>
      </c>
      <c r="BA287" s="119">
        <f t="shared" si="748"/>
        <v>3.4972338188142042E-2</v>
      </c>
      <c r="BB287" s="119"/>
      <c r="BC287" s="121">
        <v>8336812</v>
      </c>
      <c r="BD287" s="119"/>
      <c r="BE287" s="119"/>
      <c r="BF287" s="119"/>
      <c r="BG287" s="173"/>
      <c r="BH287" s="173"/>
      <c r="BI287" s="173"/>
      <c r="BJ287" s="173"/>
      <c r="BK287" s="173"/>
      <c r="BL287" s="173"/>
      <c r="BM287" s="173"/>
      <c r="BN287" s="173"/>
      <c r="BO287" s="173"/>
      <c r="BP287" s="173"/>
      <c r="BQ287" s="118"/>
      <c r="BR287" s="118"/>
      <c r="BS287" s="118">
        <f>INDEX('Dist. Plant Gas Additions'!$F$7:$AE$91,MATCH($C287,'Dist. Plant Gas Additions'!$D$7:$D$91,0),MATCH(Calculation!$G287,'Dist. Plant Gas Additions'!$F$5:$AE$5,0))</f>
        <v>13753</v>
      </c>
      <c r="BT287" s="118">
        <f>INDEX('Gen. Plant Additions'!$F$7:$AE$91,MATCH($C287,'Gen. Plant Additions'!$D$7:$D$91,0),MATCH(Calculation!$G287,'Gen. Plant Additions'!$F$5:$AE$5,0))</f>
        <v>2257</v>
      </c>
      <c r="BU287" s="118"/>
      <c r="BV287" s="118"/>
      <c r="BW287" s="118" t="str">
        <f>INDEX('Dist Plant Depreciation'!$E$7:$AD$94,MATCH($C287,'Dist Plant Depreciation'!$D$7:$D$94,0),MATCH(Calculation!$G287,'Dist Plant Depreciation'!$E$5:$AD$5,0))</f>
        <v>NA</v>
      </c>
      <c r="BX287" s="118" t="str">
        <f>INDEX('Gen. Plant Depreciation'!$E$7:$AD$94,MATCH($C287,'Gen. Plant Depreciation'!$D$7:$D$94,0),MATCH(Calculation!$G287,'Gen. Plant Depreciation'!$E$5:$AD$5,0))</f>
        <v>NA</v>
      </c>
      <c r="BY287" s="118"/>
      <c r="BZ287" s="118"/>
      <c r="CA287" s="118"/>
      <c r="CB287" s="118"/>
      <c r="CC287" s="118"/>
      <c r="CD287" s="118"/>
      <c r="CE287" s="118">
        <f>INDEX('Gross Dx Plant'!$E$7:$AD$91,MATCH($C287,'Gross Dx Plant'!$D$7:$D$91,0),MATCH(Calculation!$G287,'Gross Dx Plant'!$E$5:$AD$5,0))</f>
        <v>249579</v>
      </c>
      <c r="CF287" s="118">
        <f>INDEX('Gross Gen Plant'!$E$7:$AD$91,MATCH($C287,'Gross Gen Plant'!$D$7:$D$91,0),MATCH(Calculation!$G287,'Gross Gen Plant'!$E$5:$AD$5,0))</f>
        <v>21342</v>
      </c>
      <c r="CG287" s="118" t="str">
        <f t="shared" si="637"/>
        <v>NA</v>
      </c>
      <c r="CH287" s="118"/>
      <c r="CI287" s="121">
        <v>2009</v>
      </c>
      <c r="CJ287" s="118"/>
      <c r="CK287" s="118"/>
      <c r="CL287" s="118"/>
      <c r="CM287" s="183"/>
      <c r="CN287" s="118">
        <f t="shared" si="749"/>
        <v>16010</v>
      </c>
      <c r="CO287" s="118">
        <f t="shared" si="750"/>
        <v>29.05939212086319</v>
      </c>
      <c r="CP287" s="186">
        <v>0.93567251461988299</v>
      </c>
      <c r="CQ287" s="118">
        <f>+CQ276*CP287+CO277*CP286+CO278*CP285+CO279*CP284+CO280*CP283+CO281*CP282+CO282*CP281+CO283*CP280+CO284*CP279+CO285*CP278+CO286*CP277+CO287</f>
        <v>1740.0439865973044</v>
      </c>
      <c r="CR287" s="119">
        <f t="shared" si="751"/>
        <v>9.7844366103500609E-3</v>
      </c>
      <c r="CS287" s="119"/>
      <c r="CT287" s="177">
        <f t="shared" si="752"/>
        <v>7.0321229871301199E-3</v>
      </c>
      <c r="CU287" s="177">
        <f t="shared" si="760"/>
        <v>6.781223994179561E-3</v>
      </c>
      <c r="CV287" s="119">
        <f>VLOOKUP($H287,RoR!$E:$F,2,FALSE)</f>
        <v>5.3133333333333324E-2</v>
      </c>
      <c r="CW287" s="177">
        <v>7.7972502758210105E-3</v>
      </c>
      <c r="CX287" s="177">
        <f t="shared" si="758"/>
        <v>4.5336083057512314E-2</v>
      </c>
      <c r="CY287" s="177">
        <f t="shared" si="761"/>
        <v>2.4120717614354064E-2</v>
      </c>
      <c r="CZ287" s="177">
        <f t="shared" si="762"/>
        <v>6.3720160300892073E-2</v>
      </c>
      <c r="DA287" s="187">
        <f t="shared" si="753"/>
        <v>0.84737312500000006</v>
      </c>
      <c r="DB287" s="188">
        <f t="shared" si="754"/>
        <v>0.96515780330083989</v>
      </c>
      <c r="DC287" s="188">
        <f t="shared" si="755"/>
        <v>0.50448557089084056</v>
      </c>
      <c r="DD287" s="188">
        <f t="shared" si="756"/>
        <v>0.87391435735465484</v>
      </c>
      <c r="DE287" s="188">
        <f t="shared" si="757"/>
        <v>0.42551605393279146</v>
      </c>
      <c r="DF287" s="189">
        <f>INDEX('State Tax Lookup'!$D$7:$Z$91,MATCH(Calculation!$C287,'State Tax Lookup'!$B$7:$B$91,0),MATCH($H287,'State Tax Lookup'!$D$6:$Z$6,0))</f>
        <v>0.40700500000000001</v>
      </c>
      <c r="DG287" s="189">
        <v>0.375</v>
      </c>
      <c r="DH287" s="190">
        <f t="shared" si="759"/>
        <v>18.89867112108152</v>
      </c>
      <c r="DI287" s="190">
        <v>18.530316353693458</v>
      </c>
      <c r="DJ287" s="177"/>
      <c r="DK287" s="189">
        <f>VLOOKUP($H287,RoR!$E:$F,2,FALSE)</f>
        <v>5.3133333333333324E-2</v>
      </c>
      <c r="DL287" s="191">
        <f>HLOOKUP($H287,'GDP-PI'!$D$8:$CQ$11,3,FALSE)</f>
        <v>7.7972502758210105E-3</v>
      </c>
      <c r="DM287" s="189">
        <f>VLOOKUP(H287,'HW Dx Data'!$E:$F,2,FALSE)</f>
        <v>550.94063679692806</v>
      </c>
      <c r="DN287" s="183">
        <f>VLOOKUP(H287,'ECI - Input Price'!$G$17:$H$37,2,FALSE)</f>
        <v>109.77499999999999</v>
      </c>
      <c r="DO287" s="177">
        <f t="shared" ref="DO287" si="793">LN(DN287/DN286)</f>
        <v>1.4220423119736749E-2</v>
      </c>
      <c r="DP287" s="183">
        <f>HLOOKUP(H287,'GDP-PI'!$8:$9,2,FALSE)</f>
        <v>94.998999999999995</v>
      </c>
      <c r="DQ287" s="177">
        <f t="shared" ref="DQ287" si="794">LN(DP287/DP286)</f>
        <v>7.7670088183096342E-3</v>
      </c>
    </row>
    <row r="288" spans="1:121" s="167" customFormat="1" ht="21" x14ac:dyDescent="0.35">
      <c r="A288" s="167" t="s">
        <v>44</v>
      </c>
      <c r="B288" s="168" t="s">
        <v>44</v>
      </c>
      <c r="C288" s="168">
        <v>4057114</v>
      </c>
      <c r="D288" s="168" t="s">
        <v>333</v>
      </c>
      <c r="E288" s="168" t="s">
        <v>126</v>
      </c>
      <c r="F288" s="168"/>
      <c r="G288" s="168" t="s">
        <v>16</v>
      </c>
      <c r="H288" s="169">
        <v>2010</v>
      </c>
      <c r="I288" s="170"/>
      <c r="J288" s="166">
        <f>IFERROR(INDEX('Labor Expenditures'!$F$7:$X$91,MATCH($C288,'Labor Expenditures'!$D$7:$D$91,0),MATCH($G288,'Labor Expenditures'!$F$5:$X$5,0)),"NA")</f>
        <v>10761.044173848548</v>
      </c>
      <c r="K288" s="166">
        <f t="shared" si="765"/>
        <v>96.188104347249592</v>
      </c>
      <c r="L288" s="172">
        <f t="shared" si="772"/>
        <v>-5.5571436838378119E-2</v>
      </c>
      <c r="M288" s="172">
        <f t="shared" si="775"/>
        <v>-3.4331598541950496E-4</v>
      </c>
      <c r="N288" s="196"/>
      <c r="O288" s="172"/>
      <c r="P288" s="166">
        <f>IFERROR(INDEX('Non-Labor Expenditures'!$F$7:$AB$91,MATCH($C288,'Non-Labor Expenditures'!$D$7:$D$91,0),MATCH($G288,'Non-Labor Expenditures'!$F$5:$AB$5,0)),"NA")</f>
        <v>15584.001849541737</v>
      </c>
      <c r="Q288" s="166">
        <f t="shared" si="766"/>
        <v>162.14924564340217</v>
      </c>
      <c r="R288" s="172">
        <f t="shared" si="776"/>
        <v>-4.8238675498290078E-2</v>
      </c>
      <c r="S288" s="172">
        <f t="shared" si="781"/>
        <v>-2.9801476003208077E-4</v>
      </c>
      <c r="T288" s="172"/>
      <c r="U288" s="172"/>
      <c r="V288" s="166">
        <f t="shared" si="747"/>
        <v>33649.731734611945</v>
      </c>
      <c r="W288" s="170"/>
      <c r="X288" s="174">
        <v>1745.8843669181967</v>
      </c>
      <c r="Y288" s="175">
        <v>3.3508352400286791E-3</v>
      </c>
      <c r="Z288" s="175">
        <f t="shared" si="782"/>
        <v>2.0701197734991376E-5</v>
      </c>
      <c r="AA288" s="175"/>
      <c r="AB288" s="175"/>
      <c r="AC288" s="170">
        <f t="shared" si="682"/>
        <v>59994.77775800223</v>
      </c>
      <c r="AD288" s="175">
        <f t="shared" si="777"/>
        <v>1.7133756449957244E-3</v>
      </c>
      <c r="AE288" s="170"/>
      <c r="AF288" s="170"/>
      <c r="AG288" s="121">
        <f t="shared" si="778"/>
        <v>299.47825228248365</v>
      </c>
      <c r="AH288" s="119">
        <f>+AZ288/$BB$48</f>
        <v>5.5866760202141286E-3</v>
      </c>
      <c r="AI288" s="119">
        <f>+AZ288/$BC$48</f>
        <v>2.3839163028573654E-2</v>
      </c>
      <c r="AJ288" s="176">
        <f t="shared" si="783"/>
        <v>1.6730879706021886</v>
      </c>
      <c r="AK288" s="176">
        <f t="shared" si="784"/>
        <v>7.1393108796744373</v>
      </c>
      <c r="AL288" s="120">
        <f t="shared" si="767"/>
        <v>0.17936634780538407</v>
      </c>
      <c r="AM288" s="120">
        <f t="shared" si="768"/>
        <v>0.25975597263485339</v>
      </c>
      <c r="AN288" s="120">
        <f t="shared" si="769"/>
        <v>0.56087767955976253</v>
      </c>
      <c r="AO288" s="120">
        <f t="shared" si="785"/>
        <v>-2.2937536319732867E-2</v>
      </c>
      <c r="AP288" s="173">
        <f t="shared" si="789"/>
        <v>108.72881306198278</v>
      </c>
      <c r="AQ288" s="175">
        <f t="shared" si="790"/>
        <v>-2.2937536319732891E-2</v>
      </c>
      <c r="AR288" s="177">
        <f>+AC288/$AE$48</f>
        <v>6.1779216977598094E-3</v>
      </c>
      <c r="AS288" s="177">
        <f t="shared" si="786"/>
        <v>-1.4170630332283152E-4</v>
      </c>
      <c r="AT288" s="177"/>
      <c r="AU288" s="177"/>
      <c r="AV288" s="177"/>
      <c r="AW288" s="190"/>
      <c r="AX288" s="120"/>
      <c r="AY288" s="120"/>
      <c r="AZ288" s="118">
        <f>IFERROR(INDEX('Total Customers'!$F$7:$AB$91,MATCH($C288,'Total Customers'!$D$7:$D$91,0),MATCH($G288,'Total Customers'!$F$5:$AB$5,0)),"NA")</f>
        <v>200331</v>
      </c>
      <c r="BA288" s="119">
        <f t="shared" si="748"/>
        <v>2.1871645553764071E-2</v>
      </c>
      <c r="BB288" s="119"/>
      <c r="BC288" s="121">
        <v>8403441</v>
      </c>
      <c r="BD288" s="119"/>
      <c r="BE288" s="119"/>
      <c r="BF288" s="119"/>
      <c r="BG288" s="173"/>
      <c r="BH288" s="173"/>
      <c r="BI288" s="173"/>
      <c r="BJ288" s="173"/>
      <c r="BK288" s="173"/>
      <c r="BL288" s="173"/>
      <c r="BM288" s="173"/>
      <c r="BN288" s="173"/>
      <c r="BO288" s="173"/>
      <c r="BP288" s="173"/>
      <c r="BQ288" s="118"/>
      <c r="BR288" s="118"/>
      <c r="BS288" s="118">
        <f>INDEX('Dist. Plant Gas Additions'!$F$7:$AE$91,MATCH($C288,'Dist. Plant Gas Additions'!$D$7:$D$91,0),MATCH(Calculation!$G288,'Dist. Plant Gas Additions'!$F$5:$AE$5,0))</f>
        <v>10193</v>
      </c>
      <c r="BT288" s="118">
        <f>INDEX('Gen. Plant Additions'!$F$7:$AE$91,MATCH($C288,'Gen. Plant Additions'!$D$7:$D$91,0),MATCH(Calculation!$G288,'Gen. Plant Additions'!$F$5:$AE$5,0))</f>
        <v>350</v>
      </c>
      <c r="BU288" s="118"/>
      <c r="BV288" s="118"/>
      <c r="BW288" s="118" t="str">
        <f>INDEX('Dist Plant Depreciation'!$E$7:$AD$94,MATCH($C288,'Dist Plant Depreciation'!$D$7:$D$94,0),MATCH(Calculation!$G288,'Dist Plant Depreciation'!$E$5:$AD$5,0))</f>
        <v>NA</v>
      </c>
      <c r="BX288" s="118" t="str">
        <f>INDEX('Gen. Plant Depreciation'!$E$7:$AD$94,MATCH($C288,'Gen. Plant Depreciation'!$D$7:$D$94,0),MATCH(Calculation!$G288,'Gen. Plant Depreciation'!$E$5:$AD$5,0))</f>
        <v>NA</v>
      </c>
      <c r="BY288" s="118"/>
      <c r="BZ288" s="118"/>
      <c r="CA288" s="118"/>
      <c r="CB288" s="118"/>
      <c r="CC288" s="118"/>
      <c r="CD288" s="118"/>
      <c r="CE288" s="118">
        <f>INDEX('Gross Dx Plant'!$E$7:$AD$91,MATCH($C288,'Gross Dx Plant'!$D$7:$D$91,0),MATCH(Calculation!$G288,'Gross Dx Plant'!$E$5:$AD$5,0))</f>
        <v>258530</v>
      </c>
      <c r="CF288" s="118">
        <f>INDEX('Gross Gen Plant'!$E$7:$AD$91,MATCH($C288,'Gross Gen Plant'!$D$7:$D$91,0),MATCH(Calculation!$G288,'Gross Gen Plant'!$E$5:$AD$5,0))</f>
        <v>19756</v>
      </c>
      <c r="CG288" s="118" t="str">
        <f t="shared" si="637"/>
        <v>NA</v>
      </c>
      <c r="CH288" s="118"/>
      <c r="CI288" s="121">
        <v>2010</v>
      </c>
      <c r="CJ288" s="118"/>
      <c r="CK288" s="118"/>
      <c r="CL288" s="118"/>
      <c r="CM288" s="183"/>
      <c r="CN288" s="118">
        <f t="shared" si="749"/>
        <v>10543</v>
      </c>
      <c r="CO288" s="118">
        <f t="shared" si="750"/>
        <v>18.529340086720531</v>
      </c>
      <c r="CP288" s="186">
        <v>0.9285714285714286</v>
      </c>
      <c r="CQ288" s="118">
        <f>+CQ276*CP288+CO277*CP287+CO278*CP286+CO279*CP285+CO280*CP284+CO281*CP283+CO282*CP282+CO283*CP281+CO284*CP280+CO285*CP279+CO286*CP278+CO287*CP277+CO288</f>
        <v>1745.8843669181967</v>
      </c>
      <c r="CR288" s="119">
        <f t="shared" si="751"/>
        <v>3.3508352400286791E-3</v>
      </c>
      <c r="CS288" s="119"/>
      <c r="CT288" s="177">
        <f t="shared" si="752"/>
        <v>7.2923212651892456E-3</v>
      </c>
      <c r="CU288" s="177">
        <f t="shared" si="760"/>
        <v>7.033221731917433E-3</v>
      </c>
      <c r="CV288" s="119">
        <f>VLOOKUP($H288,RoR!$E:$F,2,FALSE)</f>
        <v>4.9433333333333322E-2</v>
      </c>
      <c r="CW288" s="177">
        <v>1.1684333519300205E-2</v>
      </c>
      <c r="CX288" s="177">
        <f t="shared" si="758"/>
        <v>3.7748999814033117E-2</v>
      </c>
      <c r="CY288" s="177">
        <f t="shared" si="761"/>
        <v>2.3868719876616193E-2</v>
      </c>
      <c r="CZ288" s="177">
        <f t="shared" si="762"/>
        <v>4.7937530248493419E-2</v>
      </c>
      <c r="DA288" s="187">
        <f t="shared" si="753"/>
        <v>0.84737312500000006</v>
      </c>
      <c r="DB288" s="188">
        <f t="shared" si="754"/>
        <v>1.037398205301105</v>
      </c>
      <c r="DC288" s="188">
        <f t="shared" si="755"/>
        <v>0.46926837491571133</v>
      </c>
      <c r="DD288" s="188">
        <f t="shared" si="756"/>
        <v>0.8548537519972772</v>
      </c>
      <c r="DE288" s="188">
        <f t="shared" si="757"/>
        <v>0.41615833911547367</v>
      </c>
      <c r="DF288" s="189">
        <f>INDEX('State Tax Lookup'!$D$7:$Z$91,MATCH(Calculation!$C288,'State Tax Lookup'!$B$7:$B$91,0),MATCH($H288,'State Tax Lookup'!$D$6:$Z$6,0))</f>
        <v>0.40700500000000001</v>
      </c>
      <c r="DG288" s="189">
        <v>0.375</v>
      </c>
      <c r="DH288" s="190">
        <f t="shared" si="759"/>
        <v>19.338437415260266</v>
      </c>
      <c r="DI288" s="190">
        <v>18.984104097558216</v>
      </c>
      <c r="DJ288" s="177"/>
      <c r="DK288" s="189">
        <f>VLOOKUP($H288,RoR!$E:$F,2,FALSE)</f>
        <v>4.9433333333333322E-2</v>
      </c>
      <c r="DL288" s="191">
        <f>HLOOKUP($H288,'GDP-PI'!$D$8:$CQ$11,3,FALSE)</f>
        <v>1.1684333519300205E-2</v>
      </c>
      <c r="DM288" s="189">
        <f>VLOOKUP(H288,'HW Dx Data'!$E:$F,2,FALSE)</f>
        <v>568.98950262971744</v>
      </c>
      <c r="DN288" s="183">
        <f>VLOOKUP(H288,'ECI - Input Price'!$G$17:$H$37,2,FALSE)</f>
        <v>111.875</v>
      </c>
      <c r="DO288" s="177">
        <f t="shared" ref="DO288" si="795">LN(DN288/DN287)</f>
        <v>1.8949360147238387E-2</v>
      </c>
      <c r="DP288" s="183">
        <f>HLOOKUP(H288,'GDP-PI'!$8:$9,2,FALSE)</f>
        <v>96.108999999999995</v>
      </c>
      <c r="DQ288" s="177">
        <f t="shared" ref="DQ288" si="796">LN(DP288/DP287)</f>
        <v>1.1616598807150427E-2</v>
      </c>
    </row>
    <row r="289" spans="1:121" s="167" customFormat="1" ht="21" x14ac:dyDescent="0.35">
      <c r="A289" s="167" t="s">
        <v>44</v>
      </c>
      <c r="B289" s="168" t="s">
        <v>44</v>
      </c>
      <c r="C289" s="168">
        <v>4057114</v>
      </c>
      <c r="D289" s="168" t="s">
        <v>333</v>
      </c>
      <c r="E289" s="168" t="s">
        <v>126</v>
      </c>
      <c r="F289" s="168"/>
      <c r="G289" s="168" t="s">
        <v>17</v>
      </c>
      <c r="H289" s="169">
        <v>2011</v>
      </c>
      <c r="I289" s="170"/>
      <c r="J289" s="166">
        <f>IFERROR(INDEX('Labor Expenditures'!$F$7:$X$91,MATCH($C289,'Labor Expenditures'!$D$7:$D$91,0),MATCH($G289,'Labor Expenditures'!$F$5:$X$5,0)),"NA")</f>
        <v>10654.301479713831</v>
      </c>
      <c r="K289" s="166">
        <f t="shared" si="765"/>
        <v>93.213486261713314</v>
      </c>
      <c r="L289" s="172">
        <f t="shared" si="772"/>
        <v>-3.1413280989637082E-2</v>
      </c>
      <c r="M289" s="172">
        <f t="shared" si="775"/>
        <v>-1.9106416099199446E-4</v>
      </c>
      <c r="N289" s="196"/>
      <c r="O289" s="172"/>
      <c r="P289" s="166">
        <f>IFERROR(INDEX('Non-Labor Expenditures'!$F$7:$AB$91,MATCH($C289,'Non-Labor Expenditures'!$D$7:$D$91,0),MATCH($G289,'Non-Labor Expenditures'!$F$5:$AB$5,0)),"NA")</f>
        <v>15429.418491649474</v>
      </c>
      <c r="Q289" s="166">
        <f t="shared" si="766"/>
        <v>157.26331632878217</v>
      </c>
      <c r="R289" s="172">
        <f t="shared" si="776"/>
        <v>-3.0595605996740702E-2</v>
      </c>
      <c r="S289" s="172">
        <f t="shared" si="781"/>
        <v>-1.86090838194754E-4</v>
      </c>
      <c r="T289" s="172"/>
      <c r="U289" s="172"/>
      <c r="V289" s="166">
        <f t="shared" si="747"/>
        <v>35948.477407268721</v>
      </c>
      <c r="W289" s="170"/>
      <c r="X289" s="174">
        <v>1758.1745072303875</v>
      </c>
      <c r="Y289" s="175">
        <v>7.0148311721829884E-3</v>
      </c>
      <c r="Z289" s="175">
        <f t="shared" si="782"/>
        <v>4.2666120513033236E-5</v>
      </c>
      <c r="AA289" s="175"/>
      <c r="AB289" s="175"/>
      <c r="AC289" s="170">
        <f t="shared" si="682"/>
        <v>62032.19737863203</v>
      </c>
      <c r="AD289" s="175">
        <f t="shared" si="777"/>
        <v>3.3396041740071616E-2</v>
      </c>
      <c r="AE289" s="170"/>
      <c r="AF289" s="170"/>
      <c r="AG289" s="121">
        <f t="shared" si="778"/>
        <v>317.31971977119838</v>
      </c>
      <c r="AH289" s="119">
        <f>+AZ289/$BB$49</f>
        <v>5.4251157856204961E-3</v>
      </c>
      <c r="AI289" s="119">
        <f>+AZ289/$BC$49</f>
        <v>2.3168011817240926E-2</v>
      </c>
      <c r="AJ289" s="176">
        <f t="shared" si="783"/>
        <v>1.7214962208194005</v>
      </c>
      <c r="AK289" s="176">
        <f t="shared" si="784"/>
        <v>7.3516670175027032</v>
      </c>
      <c r="AL289" s="120">
        <f t="shared" si="767"/>
        <v>0.17175437804793731</v>
      </c>
      <c r="AM289" s="120">
        <f t="shared" si="768"/>
        <v>0.24873241870623111</v>
      </c>
      <c r="AN289" s="120">
        <f t="shared" si="769"/>
        <v>0.57951320324583155</v>
      </c>
      <c r="AO289" s="120">
        <f t="shared" si="785"/>
        <v>-1.3293682248952016E-2</v>
      </c>
      <c r="AP289" s="173">
        <f t="shared" si="789"/>
        <v>107.29297172441417</v>
      </c>
      <c r="AQ289" s="175">
        <f t="shared" si="790"/>
        <v>-1.3293682248952044E-2</v>
      </c>
      <c r="AR289" s="177">
        <f>+AC289/$AE$49</f>
        <v>6.0822733242995074E-3</v>
      </c>
      <c r="AS289" s="177">
        <f t="shared" si="786"/>
        <v>-8.0855808924514908E-5</v>
      </c>
      <c r="AT289" s="177"/>
      <c r="AU289" s="177"/>
      <c r="AV289" s="177"/>
      <c r="AW289" s="190"/>
      <c r="AX289" s="120"/>
      <c r="AY289" s="120"/>
      <c r="AZ289" s="118">
        <f>IFERROR(INDEX('Total Customers'!$F$7:$AB$91,MATCH($C289,'Total Customers'!$D$7:$D$91,0),MATCH($G289,'Total Customers'!$F$5:$AB$5,0)),"NA")</f>
        <v>195488</v>
      </c>
      <c r="BA289" s="119">
        <f t="shared" si="748"/>
        <v>-2.4472002077335984E-2</v>
      </c>
      <c r="BB289" s="119"/>
      <c r="BC289" s="121">
        <v>8437841</v>
      </c>
      <c r="BD289" s="119"/>
      <c r="BE289" s="119"/>
      <c r="BF289" s="119"/>
      <c r="BG289" s="173"/>
      <c r="BH289" s="173"/>
      <c r="BI289" s="173"/>
      <c r="BJ289" s="173"/>
      <c r="BK289" s="173"/>
      <c r="BL289" s="173"/>
      <c r="BM289" s="173"/>
      <c r="BN289" s="173"/>
      <c r="BO289" s="173"/>
      <c r="BP289" s="173"/>
      <c r="BQ289" s="118"/>
      <c r="BR289" s="118"/>
      <c r="BS289" s="118">
        <f>INDEX('Dist. Plant Gas Additions'!$F$7:$AE$91,MATCH($C289,'Dist. Plant Gas Additions'!$D$7:$D$91,0),MATCH(Calculation!$G289,'Dist. Plant Gas Additions'!$F$5:$AE$5,0))</f>
        <v>15303</v>
      </c>
      <c r="BT289" s="118">
        <f>INDEX('Gen. Plant Additions'!$F$7:$AE$91,MATCH($C289,'Gen. Plant Additions'!$D$7:$D$91,0),MATCH(Calculation!$G289,'Gen. Plant Additions'!$F$5:$AE$5,0))</f>
        <v>309</v>
      </c>
      <c r="BU289" s="118"/>
      <c r="BV289" s="118"/>
      <c r="BW289" s="118" t="str">
        <f>INDEX('Dist Plant Depreciation'!$E$7:$AD$94,MATCH($C289,'Dist Plant Depreciation'!$D$7:$D$94,0),MATCH(Calculation!$G289,'Dist Plant Depreciation'!$E$5:$AD$5,0))</f>
        <v>NA</v>
      </c>
      <c r="BX289" s="118" t="str">
        <f>INDEX('Gen. Plant Depreciation'!$E$7:$AD$94,MATCH($C289,'Gen. Plant Depreciation'!$D$7:$D$94,0),MATCH(Calculation!$G289,'Gen. Plant Depreciation'!$E$5:$AD$5,0))</f>
        <v>NA</v>
      </c>
      <c r="BY289" s="118"/>
      <c r="BZ289" s="118"/>
      <c r="CA289" s="118"/>
      <c r="CB289" s="118"/>
      <c r="CC289" s="118"/>
      <c r="CD289" s="118"/>
      <c r="CE289" s="118">
        <f>INDEX('Gross Dx Plant'!$E$7:$AD$91,MATCH($C289,'Gross Dx Plant'!$D$7:$D$91,0),MATCH(Calculation!$G289,'Gross Dx Plant'!$E$5:$AD$5,0))</f>
        <v>272165</v>
      </c>
      <c r="CF289" s="118">
        <f>INDEX('Gross Gen Plant'!$E$7:$AD$91,MATCH($C289,'Gross Gen Plant'!$D$7:$D$91,0),MATCH(Calculation!$G289,'Gross Gen Plant'!$E$5:$AD$5,0))</f>
        <v>19754</v>
      </c>
      <c r="CG289" s="118" t="str">
        <f t="shared" si="637"/>
        <v>NA</v>
      </c>
      <c r="CH289" s="118"/>
      <c r="CI289" s="121">
        <v>2011</v>
      </c>
      <c r="CJ289" s="118"/>
      <c r="CK289" s="118"/>
      <c r="CL289" s="118"/>
      <c r="CM289" s="183"/>
      <c r="CN289" s="118">
        <f t="shared" si="749"/>
        <v>15612</v>
      </c>
      <c r="CO289" s="118">
        <f t="shared" si="750"/>
        <v>25.526024787595723</v>
      </c>
      <c r="CP289" s="186">
        <v>0.92121212121212126</v>
      </c>
      <c r="CQ289" s="118">
        <f>+CQ276*CP289+CO277*CP288+CO278*CP287+CO279*CP286+CO280*CP285+CO281*CP284+CO282*CP283+CO283*CP282+CO284*CP281+CO285*CP280+CO286*CP279+CO287*CP278+CO288*CP277+CO289</f>
        <v>1758.1745072303875</v>
      </c>
      <c r="CR289" s="119">
        <f t="shared" si="751"/>
        <v>7.0148311721829884E-3</v>
      </c>
      <c r="CS289" s="119"/>
      <c r="CT289" s="177">
        <f t="shared" si="752"/>
        <v>7.58119193126676E-3</v>
      </c>
      <c r="CU289" s="177">
        <f t="shared" si="760"/>
        <v>7.3018787278620418E-3</v>
      </c>
      <c r="CV289" s="119">
        <f>VLOOKUP($H289,RoR!$E:$F,2,FALSE)</f>
        <v>4.6391666666666664E-2</v>
      </c>
      <c r="CW289" s="177">
        <v>2.0840920205183799E-2</v>
      </c>
      <c r="CX289" s="177">
        <f t="shared" si="758"/>
        <v>2.5550746461482865E-2</v>
      </c>
      <c r="CY289" s="177">
        <f t="shared" si="761"/>
        <v>2.3600062880671582E-2</v>
      </c>
      <c r="CZ289" s="177">
        <f t="shared" si="762"/>
        <v>2.4810540821321614E-2</v>
      </c>
      <c r="DA289" s="187">
        <f t="shared" si="753"/>
        <v>0.84737312500000006</v>
      </c>
      <c r="DB289" s="188">
        <f t="shared" si="754"/>
        <v>1.1054151524782025</v>
      </c>
      <c r="DC289" s="188">
        <f t="shared" si="755"/>
        <v>0.43611011316687626</v>
      </c>
      <c r="DD289" s="188">
        <f t="shared" si="756"/>
        <v>0.83698442246886229</v>
      </c>
      <c r="DE289" s="188">
        <f t="shared" si="757"/>
        <v>0.40349573304423936</v>
      </c>
      <c r="DF289" s="189">
        <f>INDEX('State Tax Lookup'!$D$7:$Z$91,MATCH(Calculation!$C289,'State Tax Lookup'!$B$7:$B$91,0),MATCH($H289,'State Tax Lookup'!$D$6:$Z$6,0))</f>
        <v>0.40700500000000001</v>
      </c>
      <c r="DG289" s="189">
        <v>0.375</v>
      </c>
      <c r="DH289" s="190">
        <f t="shared" si="759"/>
        <v>20.59041142038766</v>
      </c>
      <c r="DI289" s="190">
        <v>20.199204675158043</v>
      </c>
      <c r="DJ289" s="177"/>
      <c r="DK289" s="189">
        <f>VLOOKUP($H289,RoR!$E:$F,2,FALSE)</f>
        <v>4.6391666666666664E-2</v>
      </c>
      <c r="DL289" s="191">
        <f>HLOOKUP($H289,'GDP-PI'!$D$8:$CQ$11,3,FALSE)</f>
        <v>2.0840920205183799E-2</v>
      </c>
      <c r="DM289" s="189">
        <f>VLOOKUP(H289,'HW Dx Data'!$E:$F,2,FALSE)</f>
        <v>611.61109612283201</v>
      </c>
      <c r="DN289" s="183">
        <f>VLOOKUP(H289,'ECI - Input Price'!$G$17:$H$37,2,FALSE)</f>
        <v>114.3</v>
      </c>
      <c r="DO289" s="177">
        <f t="shared" ref="DO289" si="797">LN(DN289/DN288)</f>
        <v>2.1444394205745516E-2</v>
      </c>
      <c r="DP289" s="183">
        <f>HLOOKUP(H289,'GDP-PI'!$8:$9,2,FALSE)</f>
        <v>98.111999999999995</v>
      </c>
      <c r="DQ289" s="177">
        <f t="shared" ref="DQ289" si="798">LN(DP289/DP288)</f>
        <v>2.0626719212849295E-2</v>
      </c>
    </row>
    <row r="290" spans="1:121" s="167" customFormat="1" ht="21" x14ac:dyDescent="0.35">
      <c r="A290" s="167" t="s">
        <v>44</v>
      </c>
      <c r="B290" s="168" t="s">
        <v>44</v>
      </c>
      <c r="C290" s="168">
        <v>4057114</v>
      </c>
      <c r="D290" s="168" t="s">
        <v>333</v>
      </c>
      <c r="E290" s="168" t="s">
        <v>126</v>
      </c>
      <c r="F290" s="168"/>
      <c r="G290" s="168" t="s">
        <v>18</v>
      </c>
      <c r="H290" s="169">
        <v>2012</v>
      </c>
      <c r="I290" s="170"/>
      <c r="J290" s="166">
        <f>IFERROR(INDEX('Labor Expenditures'!$F$7:$X$91,MATCH($C290,'Labor Expenditures'!$D$7:$D$91,0),MATCH($G290,'Labor Expenditures'!$F$5:$X$5,0)),"NA")</f>
        <v>8384.0890162192154</v>
      </c>
      <c r="K290" s="166">
        <f t="shared" si="765"/>
        <v>71.966429323770086</v>
      </c>
      <c r="L290" s="172">
        <f t="shared" si="772"/>
        <v>-0.25869266271080132</v>
      </c>
      <c r="M290" s="172">
        <f t="shared" si="775"/>
        <v>-1.4414872140413085E-3</v>
      </c>
      <c r="N290" s="196"/>
      <c r="O290" s="172"/>
      <c r="P290" s="166">
        <f>IFERROR(INDEX('Non-Labor Expenditures'!$F$7:$AB$91,MATCH($C290,'Non-Labor Expenditures'!$D$7:$D$91,0),MATCH($G290,'Non-Labor Expenditures'!$F$5:$AB$5,0)),"NA")</f>
        <v>12141.726827309809</v>
      </c>
      <c r="Q290" s="166">
        <f t="shared" si="766"/>
        <v>121.41726827309809</v>
      </c>
      <c r="R290" s="172">
        <f t="shared" si="776"/>
        <v>-0.25868846324455336</v>
      </c>
      <c r="S290" s="172">
        <f t="shared" si="781"/>
        <v>-1.4414638137761491E-3</v>
      </c>
      <c r="T290" s="172"/>
      <c r="U290" s="172"/>
      <c r="V290" s="166">
        <f t="shared" si="747"/>
        <v>39021.089895387784</v>
      </c>
      <c r="W290" s="170"/>
      <c r="X290" s="174">
        <v>1770.2680234376805</v>
      </c>
      <c r="Y290" s="175">
        <v>6.854901820286495E-3</v>
      </c>
      <c r="Z290" s="175">
        <f t="shared" si="782"/>
        <v>3.8196882833503335E-5</v>
      </c>
      <c r="AA290" s="175"/>
      <c r="AB290" s="175"/>
      <c r="AC290" s="170">
        <f t="shared" si="682"/>
        <v>59546.905738916808</v>
      </c>
      <c r="AD290" s="175">
        <f t="shared" si="777"/>
        <v>-4.0889229079746757E-2</v>
      </c>
      <c r="AE290" s="170"/>
      <c r="AF290" s="170"/>
      <c r="AG290" s="121">
        <f t="shared" si="778"/>
        <v>300.50063705870946</v>
      </c>
      <c r="AH290" s="119">
        <f>+AZ290/$BB$50</f>
        <v>5.4727773596596344E-3</v>
      </c>
      <c r="AI290" s="119">
        <f>+AZ290/$BC$50</f>
        <v>2.3353838364600796E-2</v>
      </c>
      <c r="AJ290" s="176">
        <f t="shared" si="783"/>
        <v>1.6445730830582019</v>
      </c>
      <c r="AK290" s="176">
        <f t="shared" si="784"/>
        <v>7.0178433063286683</v>
      </c>
      <c r="AL290" s="120">
        <f t="shared" si="767"/>
        <v>0.14079806351280827</v>
      </c>
      <c r="AM290" s="120">
        <f t="shared" si="768"/>
        <v>0.20390189341735349</v>
      </c>
      <c r="AN290" s="120">
        <f t="shared" si="769"/>
        <v>0.65530004306983825</v>
      </c>
      <c r="AO290" s="120">
        <f t="shared" si="785"/>
        <v>-9.8973148979558501E-2</v>
      </c>
      <c r="AP290" s="173">
        <f t="shared" si="789"/>
        <v>97.182436174112325</v>
      </c>
      <c r="AQ290" s="175">
        <f t="shared" si="790"/>
        <v>-9.8973148979558459E-2</v>
      </c>
      <c r="AR290" s="177">
        <f>+AC290/$AE$50</f>
        <v>5.5721998410630663E-3</v>
      </c>
      <c r="AS290" s="177">
        <f t="shared" si="786"/>
        <v>-5.5149816501340679E-4</v>
      </c>
      <c r="AT290" s="177"/>
      <c r="AU290" s="177"/>
      <c r="AV290" s="177"/>
      <c r="AW290" s="190"/>
      <c r="AX290" s="120"/>
      <c r="AY290" s="120"/>
      <c r="AZ290" s="118">
        <f>IFERROR(INDEX('Total Customers'!$F$7:$AB$91,MATCH($C290,'Total Customers'!$D$7:$D$91,0),MATCH($G290,'Total Customers'!$F$5:$AB$5,0)),"NA")</f>
        <v>198159</v>
      </c>
      <c r="BA290" s="119">
        <f t="shared" si="748"/>
        <v>1.357074227388478E-2</v>
      </c>
      <c r="BB290" s="119"/>
      <c r="BC290" s="121">
        <v>8485072</v>
      </c>
      <c r="BD290" s="119"/>
      <c r="BE290" s="119"/>
      <c r="BF290" s="119"/>
      <c r="BG290" s="173"/>
      <c r="BH290" s="173"/>
      <c r="BI290" s="173"/>
      <c r="BJ290" s="173"/>
      <c r="BK290" s="173"/>
      <c r="BL290" s="173"/>
      <c r="BM290" s="173"/>
      <c r="BN290" s="173"/>
      <c r="BO290" s="173"/>
      <c r="BP290" s="173"/>
      <c r="BQ290" s="118"/>
      <c r="BR290" s="118"/>
      <c r="BS290" s="118">
        <f>INDEX('Dist. Plant Gas Additions'!$F$7:$AE$91,MATCH($C290,'Dist. Plant Gas Additions'!$D$7:$D$91,0),MATCH(Calculation!$G290,'Dist. Plant Gas Additions'!$F$5:$AE$5,0))</f>
        <v>17040</v>
      </c>
      <c r="BT290" s="118">
        <f>INDEX('Gen. Plant Additions'!$F$7:$AE$91,MATCH($C290,'Gen. Plant Additions'!$D$7:$D$91,0),MATCH(Calculation!$G290,'Gen. Plant Additions'!$F$5:$AE$5,0))</f>
        <v>311</v>
      </c>
      <c r="BU290" s="118"/>
      <c r="BV290" s="118"/>
      <c r="BW290" s="118" t="str">
        <f>INDEX('Dist Plant Depreciation'!$E$7:$AD$94,MATCH($C290,'Dist Plant Depreciation'!$D$7:$D$94,0),MATCH(Calculation!$G290,'Dist Plant Depreciation'!$E$5:$AD$5,0))</f>
        <v>NA</v>
      </c>
      <c r="BX290" s="118" t="str">
        <f>INDEX('Gen. Plant Depreciation'!$E$7:$AD$94,MATCH($C290,'Gen. Plant Depreciation'!$D$7:$D$94,0),MATCH(Calculation!$G290,'Gen. Plant Depreciation'!$E$5:$AD$5,0))</f>
        <v>NA</v>
      </c>
      <c r="BY290" s="118"/>
      <c r="BZ290" s="118"/>
      <c r="CA290" s="118"/>
      <c r="CB290" s="118"/>
      <c r="CC290" s="118"/>
      <c r="CD290" s="118"/>
      <c r="CE290" s="118">
        <f>INDEX('Gross Dx Plant'!$E$7:$AD$91,MATCH($C290,'Gross Dx Plant'!$D$7:$D$91,0),MATCH(Calculation!$G290,'Gross Dx Plant'!$E$5:$AD$5,0))</f>
        <v>286003</v>
      </c>
      <c r="CF290" s="118">
        <f>INDEX('Gross Gen Plant'!$E$7:$AD$91,MATCH($C290,'Gross Gen Plant'!$D$7:$D$91,0),MATCH(Calculation!$G290,'Gross Gen Plant'!$E$5:$AD$5,0))</f>
        <v>19004</v>
      </c>
      <c r="CG290" s="118" t="str">
        <f t="shared" si="637"/>
        <v>NA</v>
      </c>
      <c r="CH290" s="118"/>
      <c r="CI290" s="121">
        <v>2012</v>
      </c>
      <c r="CJ290" s="118"/>
      <c r="CK290" s="118"/>
      <c r="CL290" s="118"/>
      <c r="CM290" s="183"/>
      <c r="CN290" s="118">
        <f t="shared" si="749"/>
        <v>17351</v>
      </c>
      <c r="CO290" s="118">
        <f t="shared" si="750"/>
        <v>25.938853052115487</v>
      </c>
      <c r="CP290" s="186">
        <v>0.9135802469135802</v>
      </c>
      <c r="CQ290" s="118">
        <f>+CQ276*CP290+CO277*CP289+CO278*CP288+CO279*CP287+CO280*CP286+CO281*CP285+CO282*CP284+CO283*CP283+CO284*CP282+CO285*CP281+CO286*CP280+CO287*CP279+CO288*CP278+CO289*CP277+CO290</f>
        <v>1770.2680234376805</v>
      </c>
      <c r="CR290" s="119">
        <f t="shared" si="751"/>
        <v>6.854901820286495E-3</v>
      </c>
      <c r="CS290" s="119"/>
      <c r="CT290" s="177">
        <f t="shared" si="752"/>
        <v>7.8748365352155261E-3</v>
      </c>
      <c r="CU290" s="177">
        <f t="shared" si="760"/>
        <v>7.5827832438905111E-3</v>
      </c>
      <c r="CV290" s="119">
        <f>VLOOKUP($H290,RoR!$E:$F,2,FALSE)</f>
        <v>3.6733333333333333E-2</v>
      </c>
      <c r="CW290" s="177">
        <v>1.924331376386168E-2</v>
      </c>
      <c r="CX290" s="177">
        <f t="shared" si="758"/>
        <v>1.7490019569471653E-2</v>
      </c>
      <c r="CY290" s="177">
        <f t="shared" si="761"/>
        <v>2.3319158364643114E-2</v>
      </c>
      <c r="CZ290" s="177">
        <f t="shared" si="762"/>
        <v>6.7122682943869583E-2</v>
      </c>
      <c r="DA290" s="187">
        <f t="shared" si="753"/>
        <v>0.84737312500000006</v>
      </c>
      <c r="DB290" s="188">
        <f t="shared" si="754"/>
        <v>1.3960631020522127</v>
      </c>
      <c r="DC290" s="188">
        <f t="shared" si="755"/>
        <v>0.29441923774954631</v>
      </c>
      <c r="DD290" s="188">
        <f t="shared" si="756"/>
        <v>0.76377954189366437</v>
      </c>
      <c r="DE290" s="188">
        <f t="shared" si="757"/>
        <v>0.31393465103033691</v>
      </c>
      <c r="DF290" s="189">
        <f>INDEX('State Tax Lookup'!$D$7:$Z$91,MATCH(Calculation!$C290,'State Tax Lookup'!$B$7:$B$91,0),MATCH($H290,'State Tax Lookup'!$D$6:$Z$6,0))</f>
        <v>0.40700500000000001</v>
      </c>
      <c r="DG290" s="189">
        <v>0.375</v>
      </c>
      <c r="DH290" s="190">
        <f t="shared" si="759"/>
        <v>22.194093780177045</v>
      </c>
      <c r="DI290" s="190">
        <v>21.805671317506373</v>
      </c>
      <c r="DJ290" s="177"/>
      <c r="DK290" s="189">
        <f>VLOOKUP($H290,RoR!$E:$F,2,FALSE)</f>
        <v>3.6733333333333333E-2</v>
      </c>
      <c r="DL290" s="191">
        <f>HLOOKUP($H290,'GDP-PI'!$D$8:$CQ$11,3,FALSE)</f>
        <v>1.924331376386168E-2</v>
      </c>
      <c r="DM290" s="189">
        <f>VLOOKUP(H290,'HW Dx Data'!$E:$F,2,FALSE)</f>
        <v>668.91932211262167</v>
      </c>
      <c r="DN290" s="183">
        <f>VLOOKUP(H290,'ECI - Input Price'!$G$17:$H$37,2,FALSE)</f>
        <v>116.5</v>
      </c>
      <c r="DO290" s="177">
        <f t="shared" ref="DO290" si="799">LN(DN290/DN289)</f>
        <v>1.9064702204990347E-2</v>
      </c>
      <c r="DP290" s="183">
        <f>HLOOKUP(H290,'GDP-PI'!$8:$9,2,FALSE)</f>
        <v>100</v>
      </c>
      <c r="DQ290" s="177">
        <f t="shared" ref="DQ290" si="800">LN(DP290/DP289)</f>
        <v>1.9060502738742411E-2</v>
      </c>
    </row>
    <row r="291" spans="1:121" s="167" customFormat="1" ht="21" x14ac:dyDescent="0.35">
      <c r="A291" s="167" t="s">
        <v>44</v>
      </c>
      <c r="B291" s="168" t="s">
        <v>44</v>
      </c>
      <c r="C291" s="168">
        <v>4057114</v>
      </c>
      <c r="D291" s="168" t="s">
        <v>333</v>
      </c>
      <c r="E291" s="168" t="s">
        <v>126</v>
      </c>
      <c r="F291" s="168"/>
      <c r="G291" s="168" t="s">
        <v>19</v>
      </c>
      <c r="H291" s="169">
        <v>2013</v>
      </c>
      <c r="I291" s="170"/>
      <c r="J291" s="166">
        <f>IFERROR(INDEX('Labor Expenditures'!$F$7:$X$91,MATCH($C291,'Labor Expenditures'!$D$7:$D$91,0),MATCH($G291,'Labor Expenditures'!$F$5:$X$5,0)),"NA")</f>
        <v>10460.506545021377</v>
      </c>
      <c r="K291" s="166">
        <f t="shared" si="765"/>
        <v>88.107025015972852</v>
      </c>
      <c r="L291" s="172">
        <f t="shared" si="772"/>
        <v>0.20235251798621087</v>
      </c>
      <c r="M291" s="172">
        <f t="shared" si="775"/>
        <v>1.1701428502372952E-3</v>
      </c>
      <c r="N291" s="196"/>
      <c r="O291" s="172"/>
      <c r="P291" s="166">
        <f>IFERROR(INDEX('Non-Labor Expenditures'!$F$7:$AB$91,MATCH($C291,'Non-Labor Expenditures'!$D$7:$D$91,0),MATCH($G291,'Non-Labor Expenditures'!$F$5:$AB$5,0)),"NA")</f>
        <v>15148.767230313842</v>
      </c>
      <c r="Q291" s="166">
        <f t="shared" si="766"/>
        <v>148.84858685814353</v>
      </c>
      <c r="R291" s="172">
        <f t="shared" si="776"/>
        <v>0.20369648239913049</v>
      </c>
      <c r="S291" s="172">
        <f t="shared" si="781"/>
        <v>1.1779145862374294E-3</v>
      </c>
      <c r="T291" s="172"/>
      <c r="U291" s="172"/>
      <c r="V291" s="166">
        <f t="shared" si="747"/>
        <v>38491.142726473423</v>
      </c>
      <c r="W291" s="170"/>
      <c r="X291" s="174">
        <v>1775.1909458958817</v>
      </c>
      <c r="Y291" s="175">
        <v>2.7770315011626519E-3</v>
      </c>
      <c r="Z291" s="175">
        <f t="shared" si="782"/>
        <v>1.6058725576079343E-5</v>
      </c>
      <c r="AA291" s="175"/>
      <c r="AB291" s="175"/>
      <c r="AC291" s="170">
        <f t="shared" si="682"/>
        <v>64100.416501808642</v>
      </c>
      <c r="AD291" s="175">
        <f t="shared" si="777"/>
        <v>7.3686527865812076E-2</v>
      </c>
      <c r="AE291" s="170"/>
      <c r="AF291" s="170"/>
      <c r="AG291" s="121">
        <f t="shared" si="778"/>
        <v>318.99959441932816</v>
      </c>
      <c r="AH291" s="119">
        <f>+AZ291/$BB$51</f>
        <v>5.5141579750618962E-3</v>
      </c>
      <c r="AI291" s="119">
        <f>+AZ291/$BC$51</f>
        <v>2.3543510244558797E-2</v>
      </c>
      <c r="AJ291" s="176">
        <f t="shared" si="783"/>
        <v>1.7590141576088487</v>
      </c>
      <c r="AK291" s="176">
        <f t="shared" si="784"/>
        <v>7.5103702192215538</v>
      </c>
      <c r="AL291" s="120">
        <f t="shared" si="767"/>
        <v>0.16318936936589523</v>
      </c>
      <c r="AM291" s="120">
        <f t="shared" si="768"/>
        <v>0.23632868641167734</v>
      </c>
      <c r="AN291" s="120">
        <f t="shared" si="769"/>
        <v>0.6004819442224274</v>
      </c>
      <c r="AO291" s="120">
        <f t="shared" si="785"/>
        <v>7.5593021517436548E-2</v>
      </c>
      <c r="AP291" s="173">
        <f t="shared" si="789"/>
        <v>104.81354595802077</v>
      </c>
      <c r="AQ291" s="175">
        <f t="shared" si="790"/>
        <v>7.5593021517436493E-2</v>
      </c>
      <c r="AR291" s="177">
        <f>+AC291/$AE$51</f>
        <v>5.7826947837487912E-3</v>
      </c>
      <c r="AS291" s="177">
        <f t="shared" si="786"/>
        <v>4.3713137121669014E-4</v>
      </c>
      <c r="AT291" s="177"/>
      <c r="AU291" s="177"/>
      <c r="AV291" s="177"/>
      <c r="AW291" s="190"/>
      <c r="AX291" s="120"/>
      <c r="AY291" s="120"/>
      <c r="AZ291" s="118">
        <f>IFERROR(INDEX('Total Customers'!$F$7:$AB$91,MATCH($C291,'Total Customers'!$D$7:$D$91,0),MATCH($G291,'Total Customers'!$F$5:$AB$5,0)),"NA")</f>
        <v>200942</v>
      </c>
      <c r="BA291" s="119">
        <f t="shared" si="748"/>
        <v>1.3946570463260659E-2</v>
      </c>
      <c r="BB291" s="119"/>
      <c r="BC291" s="121">
        <v>8534921</v>
      </c>
      <c r="BD291" s="119"/>
      <c r="BE291" s="119"/>
      <c r="BF291" s="119"/>
      <c r="BG291" s="173"/>
      <c r="BH291" s="173"/>
      <c r="BI291" s="173"/>
      <c r="BJ291" s="173"/>
      <c r="BK291" s="173"/>
      <c r="BL291" s="173"/>
      <c r="BM291" s="173"/>
      <c r="BN291" s="173"/>
      <c r="BO291" s="173"/>
      <c r="BP291" s="173"/>
      <c r="BQ291" s="118"/>
      <c r="BR291" s="118"/>
      <c r="BS291" s="118">
        <f>INDEX('Dist. Plant Gas Additions'!$F$7:$AE$91,MATCH($C291,'Dist. Plant Gas Additions'!$D$7:$D$91,0),MATCH(Calculation!$G291,'Dist. Plant Gas Additions'!$F$5:$AE$5,0))</f>
        <v>11885</v>
      </c>
      <c r="BT291" s="118">
        <f>INDEX('Gen. Plant Additions'!$F$7:$AE$91,MATCH($C291,'Gen. Plant Additions'!$D$7:$D$91,0),MATCH(Calculation!$G291,'Gen. Plant Additions'!$F$5:$AE$5,0))</f>
        <v>989</v>
      </c>
      <c r="BU291" s="118"/>
      <c r="BV291" s="118"/>
      <c r="BW291" s="118" t="str">
        <f>INDEX('Dist Plant Depreciation'!$E$7:$AD$94,MATCH($C291,'Dist Plant Depreciation'!$D$7:$D$94,0),MATCH(Calculation!$G291,'Dist Plant Depreciation'!$E$5:$AD$5,0))</f>
        <v>NA</v>
      </c>
      <c r="BX291" s="118" t="str">
        <f>INDEX('Gen. Plant Depreciation'!$E$7:$AD$94,MATCH($C291,'Gen. Plant Depreciation'!$D$7:$D$94,0),MATCH(Calculation!$G291,'Gen. Plant Depreciation'!$E$5:$AD$5,0))</f>
        <v>NA</v>
      </c>
      <c r="BY291" s="118"/>
      <c r="BZ291" s="118"/>
      <c r="CA291" s="118"/>
      <c r="CB291" s="118"/>
      <c r="CC291" s="118"/>
      <c r="CD291" s="118"/>
      <c r="CE291" s="118">
        <f>INDEX('Gross Dx Plant'!$E$7:$AD$91,MATCH($C291,'Gross Dx Plant'!$D$7:$D$91,0),MATCH(Calculation!$G291,'Gross Dx Plant'!$E$5:$AD$5,0))</f>
        <v>294600</v>
      </c>
      <c r="CF291" s="118">
        <f>INDEX('Gross Gen Plant'!$E$7:$AD$91,MATCH($C291,'Gross Gen Plant'!$D$7:$D$91,0),MATCH(Calculation!$G291,'Gross Gen Plant'!$E$5:$AD$5,0))</f>
        <v>19991</v>
      </c>
      <c r="CG291" s="118" t="str">
        <f t="shared" si="637"/>
        <v>NA</v>
      </c>
      <c r="CH291" s="118"/>
      <c r="CI291" s="121">
        <v>2013</v>
      </c>
      <c r="CJ291" s="118"/>
      <c r="CK291" s="118"/>
      <c r="CL291" s="118"/>
      <c r="CM291" s="183"/>
      <c r="CN291" s="118">
        <f t="shared" si="749"/>
        <v>12874</v>
      </c>
      <c r="CO291" s="118">
        <f t="shared" si="750"/>
        <v>19.410525367978096</v>
      </c>
      <c r="CP291" s="186">
        <v>0.90566037735849059</v>
      </c>
      <c r="CQ291" s="118">
        <f>+CQ276*CP291+CO277*CP290+CO278*CP289+CO279*CP288+CO280*CP287+CO281*CP286+CO282*CP285+CO283*CP284+CO284*CP283+CO285*CP282+CO286*CP281+CO287*CP280+CO288*CP279+CO289*CP278+CO290*CP277+CO291</f>
        <v>1775.1909458958817</v>
      </c>
      <c r="CR291" s="119">
        <f t="shared" si="751"/>
        <v>2.7770315011626519E-3</v>
      </c>
      <c r="CS291" s="119"/>
      <c r="CT291" s="177">
        <f t="shared" si="752"/>
        <v>8.1838471451591357E-3</v>
      </c>
      <c r="CU291" s="177">
        <f t="shared" si="760"/>
        <v>7.8799585372138076E-3</v>
      </c>
      <c r="CV291" s="119">
        <f>VLOOKUP($H291,RoR!$E:$F,2,FALSE)</f>
        <v>4.2350000000000006E-2</v>
      </c>
      <c r="CW291" s="177">
        <v>1.7730000000000024E-2</v>
      </c>
      <c r="CX291" s="177">
        <f t="shared" si="758"/>
        <v>2.4619999999999982E-2</v>
      </c>
      <c r="CY291" s="177">
        <f t="shared" si="761"/>
        <v>2.3021983071319817E-2</v>
      </c>
      <c r="CZ291" s="177">
        <f t="shared" si="762"/>
        <v>5.3376742735721204E-2</v>
      </c>
      <c r="DA291" s="187">
        <f t="shared" si="753"/>
        <v>0.84737312500000006</v>
      </c>
      <c r="DB291" s="188">
        <f t="shared" si="754"/>
        <v>1.2109103018193925</v>
      </c>
      <c r="DC291" s="188">
        <f t="shared" si="755"/>
        <v>0.38468122786304604</v>
      </c>
      <c r="DD291" s="188">
        <f t="shared" si="756"/>
        <v>0.80969194503422559</v>
      </c>
      <c r="DE291" s="188">
        <f t="shared" si="757"/>
        <v>0.37716621754800816</v>
      </c>
      <c r="DF291" s="189">
        <f>INDEX('State Tax Lookup'!$D$7:$Z$91,MATCH(Calculation!$C291,'State Tax Lookup'!$B$7:$B$91,0),MATCH($H291,'State Tax Lookup'!$D$6:$Z$6,0))</f>
        <v>0.40700500000000001</v>
      </c>
      <c r="DG291" s="189">
        <v>0.375</v>
      </c>
      <c r="DH291" s="190">
        <f t="shared" si="759"/>
        <v>21.74311585413351</v>
      </c>
      <c r="DI291" s="190">
        <v>21.345262426378589</v>
      </c>
      <c r="DJ291" s="177"/>
      <c r="DK291" s="189">
        <f>VLOOKUP($H291,RoR!$E:$F,2,FALSE)</f>
        <v>4.2350000000000006E-2</v>
      </c>
      <c r="DL291" s="191">
        <f>HLOOKUP($H291,'GDP-PI'!$D$8:$CQ$11,3,FALSE)</f>
        <v>1.7730000000000024E-2</v>
      </c>
      <c r="DM291" s="189">
        <f>VLOOKUP(H291,'HW Dx Data'!$E:$F,2,FALSE)</f>
        <v>663.24840548821396</v>
      </c>
      <c r="DN291" s="183">
        <f>VLOOKUP(H291,'ECI - Input Price'!$G$17:$H$37,2,FALSE)</f>
        <v>118.72499999999999</v>
      </c>
      <c r="DO291" s="177">
        <f t="shared" ref="DO291" si="801">LN(DN291/DN290)</f>
        <v>1.8918621429430321E-2</v>
      </c>
      <c r="DP291" s="183">
        <f>HLOOKUP(H291,'GDP-PI'!$8:$9,2,FALSE)</f>
        <v>101.773</v>
      </c>
      <c r="DQ291" s="177">
        <f t="shared" ref="DQ291" si="802">LN(DP291/DP290)</f>
        <v>1.7574657016510519E-2</v>
      </c>
    </row>
    <row r="292" spans="1:121" s="167" customFormat="1" ht="21" x14ac:dyDescent="0.35">
      <c r="A292" s="167" t="s">
        <v>44</v>
      </c>
      <c r="B292" s="168" t="s">
        <v>44</v>
      </c>
      <c r="C292" s="168">
        <v>4057114</v>
      </c>
      <c r="D292" s="168" t="s">
        <v>333</v>
      </c>
      <c r="E292" s="168" t="s">
        <v>126</v>
      </c>
      <c r="F292" s="168"/>
      <c r="G292" s="168" t="s">
        <v>20</v>
      </c>
      <c r="H292" s="169">
        <v>2014</v>
      </c>
      <c r="I292" s="170"/>
      <c r="J292" s="166">
        <f>IFERROR(INDEX('Labor Expenditures'!$F$7:$X$91,MATCH($C292,'Labor Expenditures'!$D$7:$D$91,0),MATCH($G292,'Labor Expenditures'!$F$5:$X$5,0)),"NA")</f>
        <v>10814.407376252071</v>
      </c>
      <c r="K292" s="166">
        <f t="shared" si="765"/>
        <v>89.227783632442822</v>
      </c>
      <c r="L292" s="172">
        <f t="shared" si="772"/>
        <v>1.264019791003594E-2</v>
      </c>
      <c r="M292" s="172">
        <f t="shared" si="775"/>
        <v>7.3092475780726094E-5</v>
      </c>
      <c r="N292" s="196"/>
      <c r="O292" s="172"/>
      <c r="P292" s="166">
        <f>IFERROR(INDEX('Non-Labor Expenditures'!$F$7:$AB$91,MATCH($C292,'Non-Labor Expenditures'!$D$7:$D$91,0),MATCH($G292,'Non-Labor Expenditures'!$F$5:$AB$5,0)),"NA")</f>
        <v>15661.281733493423</v>
      </c>
      <c r="Q292" s="166">
        <f t="shared" si="766"/>
        <v>151.10212291232185</v>
      </c>
      <c r="R292" s="172">
        <f t="shared" si="776"/>
        <v>1.5026325211808689E-2</v>
      </c>
      <c r="S292" s="172">
        <f t="shared" si="781"/>
        <v>8.6890357210737501E-5</v>
      </c>
      <c r="T292" s="172"/>
      <c r="U292" s="172"/>
      <c r="V292" s="166">
        <f t="shared" si="747"/>
        <v>39328.514033328793</v>
      </c>
      <c r="W292" s="170"/>
      <c r="X292" s="174">
        <v>1784.8855922718926</v>
      </c>
      <c r="Y292" s="175">
        <v>5.4463269179734252E-3</v>
      </c>
      <c r="Z292" s="175">
        <f t="shared" si="782"/>
        <v>3.1493614354710467E-5</v>
      </c>
      <c r="AA292" s="175"/>
      <c r="AB292" s="175"/>
      <c r="AC292" s="170">
        <f t="shared" si="682"/>
        <v>65804.203143074294</v>
      </c>
      <c r="AD292" s="175">
        <f t="shared" si="777"/>
        <v>2.6232852251871153E-2</v>
      </c>
      <c r="AE292" s="170"/>
      <c r="AF292" s="170"/>
      <c r="AG292" s="121">
        <f t="shared" si="778"/>
        <v>322.73415438789527</v>
      </c>
      <c r="AH292" s="119">
        <f>+AZ292/$BB$52</f>
        <v>5.5651847039513286E-3</v>
      </c>
      <c r="AI292" s="119">
        <f>+AZ292/$BC$52</f>
        <v>2.3709515411719916E-2</v>
      </c>
      <c r="AJ292" s="176">
        <f t="shared" si="783"/>
        <v>1.7960751794421814</v>
      </c>
      <c r="AK292" s="176">
        <f t="shared" si="784"/>
        <v>7.6518704073481976</v>
      </c>
      <c r="AL292" s="120">
        <f t="shared" si="767"/>
        <v>0.16434219791004728</v>
      </c>
      <c r="AM292" s="120">
        <f t="shared" si="768"/>
        <v>0.23799819746228063</v>
      </c>
      <c r="AN292" s="120">
        <f t="shared" si="769"/>
        <v>0.59765960462767198</v>
      </c>
      <c r="AO292" s="120">
        <f t="shared" si="785"/>
        <v>5.6337269229730352E-3</v>
      </c>
      <c r="AP292" s="173">
        <f t="shared" si="789"/>
        <v>105.40570331399618</v>
      </c>
      <c r="AQ292" s="175">
        <f t="shared" si="790"/>
        <v>5.6337269229731002E-3</v>
      </c>
      <c r="AR292" s="177">
        <f>+AC292/$AE$52</f>
        <v>5.7825420377866747E-3</v>
      </c>
      <c r="AS292" s="177">
        <f t="shared" si="786"/>
        <v>3.2577262761502521E-5</v>
      </c>
      <c r="AT292" s="177"/>
      <c r="AU292" s="177"/>
      <c r="AV292" s="177"/>
      <c r="AW292" s="190"/>
      <c r="AX292" s="120"/>
      <c r="AY292" s="120"/>
      <c r="AZ292" s="118">
        <f>IFERROR(INDEX('Total Customers'!$F$7:$AB$91,MATCH($C292,'Total Customers'!$D$7:$D$91,0),MATCH($G292,'Total Customers'!$F$5:$AB$5,0)),"NA")</f>
        <v>203896</v>
      </c>
      <c r="BA292" s="119">
        <f t="shared" si="748"/>
        <v>1.459375072394384E-2</v>
      </c>
      <c r="BB292" s="119"/>
      <c r="BC292" s="121">
        <v>8599754</v>
      </c>
      <c r="BD292" s="119"/>
      <c r="BE292" s="119"/>
      <c r="BF292" s="119"/>
      <c r="BG292" s="173"/>
      <c r="BH292" s="173"/>
      <c r="BI292" s="173"/>
      <c r="BJ292" s="173"/>
      <c r="BK292" s="173"/>
      <c r="BL292" s="173"/>
      <c r="BM292" s="173"/>
      <c r="BN292" s="173"/>
      <c r="BO292" s="173"/>
      <c r="BP292" s="173"/>
      <c r="BQ292" s="118"/>
      <c r="BR292" s="118"/>
      <c r="BS292" s="118">
        <f>INDEX('Dist. Plant Gas Additions'!$F$7:$AE$91,MATCH($C292,'Dist. Plant Gas Additions'!$D$7:$D$91,0),MATCH(Calculation!$G292,'Dist. Plant Gas Additions'!$F$5:$AE$5,0))</f>
        <v>15374</v>
      </c>
      <c r="BT292" s="118">
        <f>INDEX('Gen. Plant Additions'!$F$7:$AE$91,MATCH($C292,'Gen. Plant Additions'!$D$7:$D$91,0),MATCH(Calculation!$G292,'Gen. Plant Additions'!$F$5:$AE$5,0))</f>
        <v>1618</v>
      </c>
      <c r="BU292" s="118"/>
      <c r="BV292" s="118"/>
      <c r="BW292" s="118" t="str">
        <f>INDEX('Dist Plant Depreciation'!$E$7:$AD$94,MATCH($C292,'Dist Plant Depreciation'!$D$7:$D$94,0),MATCH(Calculation!$G292,'Dist Plant Depreciation'!$E$5:$AD$5,0))</f>
        <v>NA</v>
      </c>
      <c r="BX292" s="118" t="str">
        <f>INDEX('Gen. Plant Depreciation'!$E$7:$AD$94,MATCH($C292,'Gen. Plant Depreciation'!$D$7:$D$94,0),MATCH(Calculation!$G292,'Gen. Plant Depreciation'!$E$5:$AD$5,0))</f>
        <v>NA</v>
      </c>
      <c r="BY292" s="118"/>
      <c r="BZ292" s="118"/>
      <c r="CA292" s="118"/>
      <c r="CB292" s="118"/>
      <c r="CC292" s="118"/>
      <c r="CD292" s="118"/>
      <c r="CE292" s="118">
        <f>INDEX('Gross Dx Plant'!$E$7:$AD$91,MATCH($C292,'Gross Dx Plant'!$D$7:$D$91,0),MATCH(Calculation!$G292,'Gross Dx Plant'!$E$5:$AD$5,0))</f>
        <v>302670</v>
      </c>
      <c r="CF292" s="118">
        <f>INDEX('Gross Gen Plant'!$E$7:$AD$91,MATCH($C292,'Gross Gen Plant'!$D$7:$D$91,0),MATCH(Calculation!$G292,'Gross Gen Plant'!$E$5:$AD$5,0))</f>
        <v>21590</v>
      </c>
      <c r="CG292" s="118" t="str">
        <f t="shared" si="637"/>
        <v>NA</v>
      </c>
      <c r="CH292" s="118"/>
      <c r="CI292" s="121">
        <v>2014</v>
      </c>
      <c r="CJ292" s="118"/>
      <c r="CK292" s="118"/>
      <c r="CL292" s="118"/>
      <c r="CM292" s="183"/>
      <c r="CN292" s="118">
        <f t="shared" si="749"/>
        <v>16992</v>
      </c>
      <c r="CO292" s="118">
        <f t="shared" si="750"/>
        <v>24.825078204749861</v>
      </c>
      <c r="CP292" s="186">
        <v>0.89743589743589747</v>
      </c>
      <c r="CQ292" s="118">
        <f>+CQ276*CP292+CO277*CP291+CO278*CP290+CO279*CP289+CO280*CP288+CO281*CP287+CO282*CP286+CO283*CP285+CO284*CP284+CO285*CP283+CO286*CP282+CO287*CP281+CO288*CP280+CO289*CP279+CO290*CP278+CO291*CP277+CO292</f>
        <v>1784.8855922718926</v>
      </c>
      <c r="CR292" s="119">
        <f t="shared" si="751"/>
        <v>5.4463269179734252E-3</v>
      </c>
      <c r="CS292" s="119"/>
      <c r="CT292" s="177">
        <f t="shared" si="752"/>
        <v>8.5232700536916426E-3</v>
      </c>
      <c r="CU292" s="177">
        <f t="shared" si="760"/>
        <v>8.193984578022102E-3</v>
      </c>
      <c r="CV292" s="119">
        <f>VLOOKUP($H292,RoR!$E:$F,2,FALSE)</f>
        <v>4.1625000000000002E-2</v>
      </c>
      <c r="CW292" s="177">
        <v>1.841352814597208E-2</v>
      </c>
      <c r="CX292" s="177">
        <f t="shared" si="758"/>
        <v>2.3211471854027922E-2</v>
      </c>
      <c r="CY292" s="177">
        <f t="shared" si="761"/>
        <v>2.2707957030511525E-2</v>
      </c>
      <c r="CZ292" s="177">
        <f t="shared" si="762"/>
        <v>3.9072621432650924E-2</v>
      </c>
      <c r="DA292" s="187">
        <f t="shared" si="753"/>
        <v>0.84737312500000006</v>
      </c>
      <c r="DB292" s="188">
        <f t="shared" si="754"/>
        <v>1.2320012320012319</v>
      </c>
      <c r="DC292" s="188">
        <f t="shared" si="755"/>
        <v>0.37439939939939942</v>
      </c>
      <c r="DD292" s="188">
        <f t="shared" si="756"/>
        <v>0.80432100613819935</v>
      </c>
      <c r="DE292" s="188">
        <f t="shared" si="757"/>
        <v>0.37100152660040037</v>
      </c>
      <c r="DF292" s="189">
        <f>INDEX('State Tax Lookup'!$D$7:$Z$91,MATCH(Calculation!$C292,'State Tax Lookup'!$B$7:$B$91,0),MATCH($H292,'State Tax Lookup'!$D$6:$Z$6,0))</f>
        <v>0.40700500000000001</v>
      </c>
      <c r="DG292" s="189">
        <v>0.375</v>
      </c>
      <c r="DH292" s="190">
        <f t="shared" si="759"/>
        <v>22.154526038031904</v>
      </c>
      <c r="DI292" s="190">
        <v>21.708793771553502</v>
      </c>
      <c r="DJ292" s="177"/>
      <c r="DK292" s="189">
        <f>VLOOKUP($H292,RoR!$E:$F,2,FALSE)</f>
        <v>4.1625000000000002E-2</v>
      </c>
      <c r="DL292" s="191">
        <f>HLOOKUP($H292,'GDP-PI'!$D$8:$CQ$11,3,FALSE)</f>
        <v>1.841352814597208E-2</v>
      </c>
      <c r="DM292" s="189">
        <f>VLOOKUP(H292,'HW Dx Data'!$E:$F,2,FALSE)</f>
        <v>684.46914285042885</v>
      </c>
      <c r="DN292" s="183">
        <f>VLOOKUP(H292,'ECI - Input Price'!$G$17:$H$37,2,FALSE)</f>
        <v>121.2</v>
      </c>
      <c r="DO292" s="177">
        <f t="shared" ref="DO292" si="803">LN(DN292/DN291)</f>
        <v>2.0632179200028689E-2</v>
      </c>
      <c r="DP292" s="183">
        <f>HLOOKUP(H292,'GDP-PI'!$8:$9,2,FALSE)</f>
        <v>103.64700000000001</v>
      </c>
      <c r="DQ292" s="177">
        <f t="shared" ref="DQ292" si="804">LN(DP292/DP291)</f>
        <v>1.8246051898256087E-2</v>
      </c>
    </row>
    <row r="293" spans="1:121" s="167" customFormat="1" ht="21" x14ac:dyDescent="0.35">
      <c r="A293" s="167" t="s">
        <v>44</v>
      </c>
      <c r="B293" s="168" t="s">
        <v>44</v>
      </c>
      <c r="C293" s="168">
        <v>4057114</v>
      </c>
      <c r="D293" s="168" t="s">
        <v>333</v>
      </c>
      <c r="E293" s="168" t="s">
        <v>126</v>
      </c>
      <c r="F293" s="168"/>
      <c r="G293" s="168" t="s">
        <v>21</v>
      </c>
      <c r="H293" s="169">
        <v>2015</v>
      </c>
      <c r="I293" s="170"/>
      <c r="J293" s="166">
        <f>IFERROR(INDEX('Labor Expenditures'!$F$7:$X$91,MATCH($C293,'Labor Expenditures'!$D$7:$D$91,0),MATCH($G293,'Labor Expenditures'!$F$5:$X$5,0)),"NA")</f>
        <v>10744.200366256906</v>
      </c>
      <c r="K293" s="166">
        <f t="shared" si="765"/>
        <v>86.82182114146994</v>
      </c>
      <c r="L293" s="172">
        <f t="shared" si="772"/>
        <v>-2.7334481076739466E-2</v>
      </c>
      <c r="M293" s="172">
        <f t="shared" si="775"/>
        <v>-1.5421903438046859E-4</v>
      </c>
      <c r="N293" s="196"/>
      <c r="O293" s="172"/>
      <c r="P293" s="166">
        <f>IFERROR(INDEX('Non-Labor Expenditures'!$F$7:$AB$91,MATCH($C293,'Non-Labor Expenditures'!$D$7:$D$91,0),MATCH($G293,'Non-Labor Expenditures'!$F$5:$AB$5,0)),"NA")</f>
        <v>15559.608870159738</v>
      </c>
      <c r="Q293" s="166">
        <f t="shared" si="766"/>
        <v>148.69798899224705</v>
      </c>
      <c r="R293" s="172">
        <f t="shared" si="776"/>
        <v>-1.6038589448596704E-2</v>
      </c>
      <c r="S293" s="172">
        <f t="shared" si="781"/>
        <v>-9.0488484878981887E-5</v>
      </c>
      <c r="T293" s="172"/>
      <c r="U293" s="172"/>
      <c r="V293" s="166">
        <f t="shared" si="747"/>
        <v>38548.616873210296</v>
      </c>
      <c r="W293" s="170"/>
      <c r="X293" s="174">
        <v>1791.2810321298016</v>
      </c>
      <c r="Y293" s="175">
        <v>3.5767050854086653E-3</v>
      </c>
      <c r="Z293" s="175">
        <f t="shared" si="782"/>
        <v>2.0179494280022078E-5</v>
      </c>
      <c r="AA293" s="175"/>
      <c r="AB293" s="175"/>
      <c r="AC293" s="170">
        <f t="shared" si="682"/>
        <v>64852.42610962694</v>
      </c>
      <c r="AD293" s="175">
        <f t="shared" si="777"/>
        <v>-1.4569392686041068E-2</v>
      </c>
      <c r="AE293" s="170"/>
      <c r="AF293" s="170"/>
      <c r="AG293" s="121">
        <f t="shared" si="778"/>
        <v>317.71404409924918</v>
      </c>
      <c r="AH293" s="119">
        <f>+AZ293/$BB$53</f>
        <v>5.5261797535020524E-3</v>
      </c>
      <c r="AI293" s="119">
        <f>+AZ293/$BC$53</f>
        <v>2.3573095107129384E-2</v>
      </c>
      <c r="AJ293" s="176">
        <f t="shared" si="783"/>
        <v>1.755744917904529</v>
      </c>
      <c r="AK293" s="176">
        <f t="shared" si="784"/>
        <v>7.4895033784222997</v>
      </c>
      <c r="AL293" s="120">
        <f t="shared" si="767"/>
        <v>0.16567152550461017</v>
      </c>
      <c r="AM293" s="120">
        <f t="shared" si="768"/>
        <v>0.23992331210335416</v>
      </c>
      <c r="AN293" s="120">
        <f t="shared" si="769"/>
        <v>0.59440516239203567</v>
      </c>
      <c r="AO293" s="120">
        <f t="shared" si="785"/>
        <v>-8.3429703791595422E-3</v>
      </c>
      <c r="AP293" s="173">
        <f t="shared" si="789"/>
        <v>104.52996486308427</v>
      </c>
      <c r="AQ293" s="175">
        <f t="shared" si="790"/>
        <v>-8.3429703791595301E-3</v>
      </c>
      <c r="AR293" s="177">
        <f>+AC293/$AE$53</f>
        <v>5.6419228866101548E-3</v>
      </c>
      <c r="AS293" s="177">
        <f t="shared" si="786"/>
        <v>-4.7070395524490752E-5</v>
      </c>
      <c r="AT293" s="177"/>
      <c r="AU293" s="177"/>
      <c r="AV293" s="177"/>
      <c r="AW293" s="190"/>
      <c r="AX293" s="120"/>
      <c r="AY293" s="120"/>
      <c r="AZ293" s="118">
        <f>IFERROR(INDEX('Total Customers'!$F$7:$AB$91,MATCH($C293,'Total Customers'!$D$7:$D$91,0),MATCH($G293,'Total Customers'!$F$5:$AB$5,0)),"NA")</f>
        <v>204122</v>
      </c>
      <c r="BA293" s="119">
        <f t="shared" si="748"/>
        <v>1.107794377269748E-3</v>
      </c>
      <c r="BB293" s="119"/>
      <c r="BC293" s="121">
        <v>8659109</v>
      </c>
      <c r="BD293" s="119"/>
      <c r="BE293" s="119"/>
      <c r="BF293" s="119"/>
      <c r="BG293" s="173"/>
      <c r="BH293" s="173"/>
      <c r="BI293" s="173"/>
      <c r="BJ293" s="173"/>
      <c r="BK293" s="173"/>
      <c r="BL293" s="173"/>
      <c r="BM293" s="173"/>
      <c r="BN293" s="173"/>
      <c r="BO293" s="173"/>
      <c r="BP293" s="173"/>
      <c r="BQ293" s="118"/>
      <c r="BR293" s="118"/>
      <c r="BS293" s="118">
        <f>INDEX('Dist. Plant Gas Additions'!$F$7:$AE$91,MATCH($C293,'Dist. Plant Gas Additions'!$D$7:$D$91,0),MATCH(Calculation!$G293,'Dist. Plant Gas Additions'!$F$5:$AE$5,0))</f>
        <v>12714</v>
      </c>
      <c r="BT293" s="118">
        <f>INDEX('Gen. Plant Additions'!$F$7:$AE$91,MATCH($C293,'Gen. Plant Additions'!$D$7:$D$91,0),MATCH(Calculation!$G293,'Gen. Plant Additions'!$F$5:$AE$5,0))</f>
        <v>2305</v>
      </c>
      <c r="BU293" s="118"/>
      <c r="BV293" s="118"/>
      <c r="BW293" s="118" t="str">
        <f>INDEX('Dist Plant Depreciation'!$E$7:$AD$94,MATCH($C293,'Dist Plant Depreciation'!$D$7:$D$94,0),MATCH(Calculation!$G293,'Dist Plant Depreciation'!$E$5:$AD$5,0))</f>
        <v>NA</v>
      </c>
      <c r="BX293" s="118" t="str">
        <f>INDEX('Gen. Plant Depreciation'!$E$7:$AD$94,MATCH($C293,'Gen. Plant Depreciation'!$D$7:$D$94,0),MATCH(Calculation!$G293,'Gen. Plant Depreciation'!$E$5:$AD$5,0))</f>
        <v>NA</v>
      </c>
      <c r="BY293" s="118"/>
      <c r="BZ293" s="118"/>
      <c r="CA293" s="118"/>
      <c r="CB293" s="118"/>
      <c r="CC293" s="118"/>
      <c r="CD293" s="118"/>
      <c r="CE293" s="118">
        <f>INDEX('Gross Dx Plant'!$E$7:$AD$91,MATCH($C293,'Gross Dx Plant'!$D$7:$D$91,0),MATCH(Calculation!$G293,'Gross Dx Plant'!$E$5:$AD$5,0))</f>
        <v>307640</v>
      </c>
      <c r="CF293" s="118">
        <f>INDEX('Gross Gen Plant'!$E$7:$AD$91,MATCH($C293,'Gross Gen Plant'!$D$7:$D$91,0),MATCH(Calculation!$G293,'Gross Gen Plant'!$E$5:$AD$5,0))</f>
        <v>23819</v>
      </c>
      <c r="CG293" s="118" t="str">
        <f t="shared" si="637"/>
        <v>NA</v>
      </c>
      <c r="CH293" s="118"/>
      <c r="CI293" s="121">
        <v>2015</v>
      </c>
      <c r="CJ293" s="118"/>
      <c r="CK293" s="118"/>
      <c r="CL293" s="118"/>
      <c r="CM293" s="183"/>
      <c r="CN293" s="118">
        <f t="shared" si="749"/>
        <v>15019</v>
      </c>
      <c r="CO293" s="118">
        <f t="shared" si="750"/>
        <v>22.230128337190095</v>
      </c>
      <c r="CP293" s="186">
        <v>0.88888888888888884</v>
      </c>
      <c r="CQ293" s="118">
        <f>+CQ276*CP293+CO277*CP292+CO278*CP291+CO279*CP290+CO280*CP289+CO281*CP288+CO282*CP287+CO283*CP286+CO284*CP285+CO285*CP284+CO286*CP283+CO287*CP282+CO288*CP281+CO289*CP280+CO290*CP279+CO291*CP278+CO292*CP277+CO293</f>
        <v>1791.2810321298016</v>
      </c>
      <c r="CR293" s="119">
        <f t="shared" si="751"/>
        <v>3.5767050854086653E-3</v>
      </c>
      <c r="CS293" s="119"/>
      <c r="CT293" s="177">
        <f t="shared" si="752"/>
        <v>8.8715425503132304E-3</v>
      </c>
      <c r="CU293" s="177">
        <f t="shared" si="760"/>
        <v>8.5262199163880035E-3</v>
      </c>
      <c r="CV293" s="119">
        <f>VLOOKUP($H293,RoR!$E:$F,2,FALSE)</f>
        <v>3.8866666666666674E-2</v>
      </c>
      <c r="CW293" s="177">
        <v>9.5709475431029478E-3</v>
      </c>
      <c r="CX293" s="177">
        <f t="shared" si="758"/>
        <v>2.9295719123563727E-2</v>
      </c>
      <c r="CY293" s="177">
        <f t="shared" si="761"/>
        <v>2.237572169214562E-2</v>
      </c>
      <c r="CZ293" s="177">
        <f t="shared" si="762"/>
        <v>3.5270373279175926E-3</v>
      </c>
      <c r="DA293" s="187">
        <f t="shared" si="753"/>
        <v>0.84737312500000006</v>
      </c>
      <c r="DB293" s="188">
        <f t="shared" si="754"/>
        <v>1.3194352816994324</v>
      </c>
      <c r="DC293" s="188">
        <f t="shared" si="755"/>
        <v>0.33177530017152673</v>
      </c>
      <c r="DD293" s="188">
        <f t="shared" si="756"/>
        <v>0.78242572977668579</v>
      </c>
      <c r="DE293" s="188">
        <f t="shared" si="757"/>
        <v>0.34251158643433932</v>
      </c>
      <c r="DF293" s="189">
        <f>INDEX('State Tax Lookup'!$D$7:$Z$91,MATCH(Calculation!$C293,'State Tax Lookup'!$B$7:$B$91,0),MATCH($H293,'State Tax Lookup'!$D$6:$Z$6,0))</f>
        <v>0.40700500000000001</v>
      </c>
      <c r="DG293" s="189">
        <v>0.375</v>
      </c>
      <c r="DH293" s="190">
        <f t="shared" si="759"/>
        <v>21.59724804778309</v>
      </c>
      <c r="DI293" s="190">
        <v>21.116834299491011</v>
      </c>
      <c r="DJ293" s="177"/>
      <c r="DK293" s="189">
        <f>VLOOKUP($H293,RoR!$E:$F,2,FALSE)</f>
        <v>3.8866666666666674E-2</v>
      </c>
      <c r="DL293" s="191">
        <f>HLOOKUP($H293,'GDP-PI'!$D$8:$CQ$11,3,FALSE)</f>
        <v>9.5709475431029478E-3</v>
      </c>
      <c r="DM293" s="189">
        <f>VLOOKUP(H293,'HW Dx Data'!$E:$F,2,FALSE)</f>
        <v>675.61463308665782</v>
      </c>
      <c r="DN293" s="183">
        <f>VLOOKUP(H293,'ECI - Input Price'!$G$17:$H$37,2,FALSE)</f>
        <v>123.75</v>
      </c>
      <c r="DO293" s="177">
        <f t="shared" ref="DO293" si="805">LN(DN293/DN292)</f>
        <v>2.0821327813585516E-2</v>
      </c>
      <c r="DP293" s="183">
        <f>HLOOKUP(H293,'GDP-PI'!$8:$9,2,FALSE)</f>
        <v>104.639</v>
      </c>
      <c r="DQ293" s="177">
        <f t="shared" ref="DQ293" si="806">LN(DP293/DP292)</f>
        <v>9.5254361854427965E-3</v>
      </c>
    </row>
    <row r="294" spans="1:121" s="167" customFormat="1" ht="21" x14ac:dyDescent="0.35">
      <c r="A294" s="167" t="s">
        <v>44</v>
      </c>
      <c r="B294" s="168" t="s">
        <v>44</v>
      </c>
      <c r="C294" s="168">
        <v>4057114</v>
      </c>
      <c r="D294" s="168" t="s">
        <v>333</v>
      </c>
      <c r="E294" s="168" t="s">
        <v>126</v>
      </c>
      <c r="F294" s="168"/>
      <c r="G294" s="168" t="s">
        <v>22</v>
      </c>
      <c r="H294" s="169">
        <v>2016</v>
      </c>
      <c r="I294" s="170"/>
      <c r="J294" s="166">
        <f>IFERROR(INDEX('Labor Expenditures'!$F$7:$X$91,MATCH($C294,'Labor Expenditures'!$D$7:$D$91,0),MATCH($G294,'Labor Expenditures'!$F$5:$X$5,0)),"NA")</f>
        <v>11487.015952919062</v>
      </c>
      <c r="K294" s="166">
        <f t="shared" si="765"/>
        <v>90.878290766764735</v>
      </c>
      <c r="L294" s="172">
        <f t="shared" si="772"/>
        <v>4.5663161501191214E-2</v>
      </c>
      <c r="M294" s="172">
        <f t="shared" si="775"/>
        <v>2.5314886841772962E-4</v>
      </c>
      <c r="N294" s="196"/>
      <c r="O294" s="172"/>
      <c r="P294" s="166">
        <f>IFERROR(INDEX('Non-Labor Expenditures'!$F$7:$AB$91,MATCH($C294,'Non-Labor Expenditures'!$D$7:$D$91,0),MATCH($G294,'Non-Labor Expenditures'!$F$5:$AB$5,0)),"NA")</f>
        <v>16635.344578460565</v>
      </c>
      <c r="Q294" s="166">
        <f t="shared" si="766"/>
        <v>157.32905139650228</v>
      </c>
      <c r="R294" s="172">
        <f t="shared" si="776"/>
        <v>5.6422151397943258E-2</v>
      </c>
      <c r="S294" s="172">
        <f t="shared" si="781"/>
        <v>3.1279489440761901E-4</v>
      </c>
      <c r="T294" s="172"/>
      <c r="U294" s="172"/>
      <c r="V294" s="166">
        <f t="shared" si="747"/>
        <v>37837.513317931691</v>
      </c>
      <c r="W294" s="170"/>
      <c r="X294" s="174">
        <v>1800.9332191873921</v>
      </c>
      <c r="Y294" s="175">
        <v>5.3739613572342101E-3</v>
      </c>
      <c r="Z294" s="175">
        <f t="shared" si="782"/>
        <v>2.9792335698634396E-5</v>
      </c>
      <c r="AA294" s="175"/>
      <c r="AB294" s="175"/>
      <c r="AC294" s="170">
        <f t="shared" si="682"/>
        <v>65959.87384931132</v>
      </c>
      <c r="AD294" s="175">
        <f t="shared" si="777"/>
        <v>1.6932263996920341E-2</v>
      </c>
      <c r="AE294" s="170"/>
      <c r="AF294" s="170"/>
      <c r="AG294" s="121">
        <f t="shared" si="778"/>
        <v>312.55863494309546</v>
      </c>
      <c r="AH294" s="119">
        <f>+AZ294/$BB$54</f>
        <v>5.6638899343600816E-3</v>
      </c>
      <c r="AI294" s="119">
        <f>+AZ294/$BC$54</f>
        <v>2.4092944018429336E-2</v>
      </c>
      <c r="AJ294" s="176">
        <f t="shared" si="783"/>
        <v>1.7702977063515257</v>
      </c>
      <c r="AK294" s="176">
        <f t="shared" si="784"/>
        <v>7.53045769416069</v>
      </c>
      <c r="AL294" s="120">
        <f t="shared" si="767"/>
        <v>0.1741515755345702</v>
      </c>
      <c r="AM294" s="120">
        <f t="shared" si="768"/>
        <v>0.25220400840160573</v>
      </c>
      <c r="AN294" s="120">
        <f t="shared" si="769"/>
        <v>0.5736444160638241</v>
      </c>
      <c r="AO294" s="120">
        <f t="shared" si="785"/>
        <v>2.1642139664591352E-2</v>
      </c>
      <c r="AP294" s="173">
        <f t="shared" si="789"/>
        <v>106.81687450914693</v>
      </c>
      <c r="AQ294" s="175">
        <f t="shared" si="790"/>
        <v>2.1642139664591303E-2</v>
      </c>
      <c r="AR294" s="177">
        <f>+AC294/$AE$54</f>
        <v>5.543831397025056E-3</v>
      </c>
      <c r="AS294" s="177">
        <f t="shared" si="786"/>
        <v>1.1998037337136258E-4</v>
      </c>
      <c r="AT294" s="177"/>
      <c r="AU294" s="177"/>
      <c r="AV294" s="177"/>
      <c r="AW294" s="190"/>
      <c r="AX294" s="120"/>
      <c r="AY294" s="120"/>
      <c r="AZ294" s="118">
        <f>IFERROR(INDEX('Total Customers'!$F$7:$AB$91,MATCH($C294,'Total Customers'!$D$7:$D$91,0),MATCH($G294,'Total Customers'!$F$5:$AB$5,0)),"NA")</f>
        <v>211032</v>
      </c>
      <c r="BA294" s="119">
        <f t="shared" si="748"/>
        <v>3.3291926439095315E-2</v>
      </c>
      <c r="BB294" s="119"/>
      <c r="BC294" s="121">
        <v>8759079</v>
      </c>
      <c r="BD294" s="119"/>
      <c r="BE294" s="119"/>
      <c r="BF294" s="119"/>
      <c r="BG294" s="173"/>
      <c r="BH294" s="173"/>
      <c r="BI294" s="173"/>
      <c r="BJ294" s="173"/>
      <c r="BK294" s="173"/>
      <c r="BL294" s="173"/>
      <c r="BM294" s="173"/>
      <c r="BN294" s="173"/>
      <c r="BO294" s="173"/>
      <c r="BP294" s="173"/>
      <c r="BQ294" s="118"/>
      <c r="BR294" s="118"/>
      <c r="BS294" s="118">
        <f>INDEX('Dist. Plant Gas Additions'!$F$7:$AE$91,MATCH($C294,'Dist. Plant Gas Additions'!$D$7:$D$91,0),MATCH(Calculation!$G294,'Dist. Plant Gas Additions'!$F$5:$AE$5,0))</f>
        <v>15411</v>
      </c>
      <c r="BT294" s="118">
        <f>INDEX('Gen. Plant Additions'!$F$7:$AE$91,MATCH($C294,'Gen. Plant Additions'!$D$7:$D$91,0),MATCH(Calculation!$G294,'Gen. Plant Additions'!$F$5:$AE$5,0))</f>
        <v>2192</v>
      </c>
      <c r="BU294" s="118"/>
      <c r="BV294" s="118"/>
      <c r="BW294" s="118" t="str">
        <f>INDEX('Dist Plant Depreciation'!$E$7:$AD$94,MATCH($C294,'Dist Plant Depreciation'!$D$7:$D$94,0),MATCH(Calculation!$G294,'Dist Plant Depreciation'!$E$5:$AD$5,0))</f>
        <v>NA</v>
      </c>
      <c r="BX294" s="118" t="str">
        <f>INDEX('Gen. Plant Depreciation'!$E$7:$AD$94,MATCH($C294,'Gen. Plant Depreciation'!$D$7:$D$94,0),MATCH(Calculation!$G294,'Gen. Plant Depreciation'!$E$5:$AD$5,0))</f>
        <v>NA</v>
      </c>
      <c r="BY294" s="118"/>
      <c r="BZ294" s="118"/>
      <c r="CA294" s="118"/>
      <c r="CB294" s="118"/>
      <c r="CC294" s="118"/>
      <c r="CD294" s="118"/>
      <c r="CE294" s="118">
        <f>INDEX('Gross Dx Plant'!$E$7:$AD$91,MATCH($C294,'Gross Dx Plant'!$D$7:$D$91,0),MATCH(Calculation!$G294,'Gross Dx Plant'!$E$5:$AD$5,0))</f>
        <v>310579</v>
      </c>
      <c r="CF294" s="118">
        <f>INDEX('Gross Gen Plant'!$E$7:$AD$91,MATCH($C294,'Gross Gen Plant'!$D$7:$D$91,0),MATCH(Calculation!$G294,'Gross Gen Plant'!$E$5:$AD$5,0))</f>
        <v>21530</v>
      </c>
      <c r="CG294" s="118" t="str">
        <f t="shared" si="637"/>
        <v>NA</v>
      </c>
      <c r="CH294" s="118"/>
      <c r="CI294" s="121">
        <v>2016</v>
      </c>
      <c r="CJ294" s="118"/>
      <c r="CK294" s="118"/>
      <c r="CL294" s="118"/>
      <c r="CM294" s="183"/>
      <c r="CN294" s="118">
        <f t="shared" si="749"/>
        <v>17603</v>
      </c>
      <c r="CO294" s="118">
        <f t="shared" si="750"/>
        <v>26.216147706648847</v>
      </c>
      <c r="CP294" s="186">
        <v>0.88</v>
      </c>
      <c r="CQ294" s="118">
        <f>+CQ276*CP294+CO277*CP293+CO278*CP292+CO279*CP291+CO280*CP290+CO281*CP289+CO282*CP288+CO283*CP287+CO284*CP286+CO285*CP285+CO286*CP284+CO287*CP283+CO288*CP282+CO289*CP281+CO290*CP280+CO291*CP279+CO292*CP278+CO293*CP277+CO294</f>
        <v>1800.9332191873921</v>
      </c>
      <c r="CR294" s="119">
        <f t="shared" si="751"/>
        <v>5.3739613572342101E-3</v>
      </c>
      <c r="CS294" s="119"/>
      <c r="CT294" s="177">
        <f t="shared" si="752"/>
        <v>9.2469915953746849E-3</v>
      </c>
      <c r="CU294" s="177">
        <f t="shared" si="760"/>
        <v>8.8806013997931865E-3</v>
      </c>
      <c r="CV294" s="119">
        <f>VLOOKUP($H294,RoR!$E:$F,2,FALSE)</f>
        <v>3.6658333333333334E-2</v>
      </c>
      <c r="CW294" s="177">
        <v>1.0483662879041455E-2</v>
      </c>
      <c r="CX294" s="177">
        <f t="shared" si="758"/>
        <v>2.6174670454291879E-2</v>
      </c>
      <c r="CY294" s="177">
        <f t="shared" si="761"/>
        <v>2.2021340208740438E-2</v>
      </c>
      <c r="CZ294" s="177">
        <f t="shared" si="762"/>
        <v>4.301363574220729E-3</v>
      </c>
      <c r="DA294" s="187">
        <f t="shared" si="753"/>
        <v>0.84737312500000006</v>
      </c>
      <c r="DB294" s="188">
        <f t="shared" si="754"/>
        <v>1.3989193348138562</v>
      </c>
      <c r="DC294" s="188">
        <f t="shared" si="755"/>
        <v>0.29302682427824522</v>
      </c>
      <c r="DD294" s="188">
        <f t="shared" si="756"/>
        <v>0.76309497491941802</v>
      </c>
      <c r="DE294" s="188">
        <f t="shared" si="757"/>
        <v>0.31280857135128509</v>
      </c>
      <c r="DF294" s="189">
        <f>INDEX('State Tax Lookup'!$D$7:$Z$91,MATCH(Calculation!$C294,'State Tax Lookup'!$B$7:$B$91,0),MATCH($H294,'State Tax Lookup'!$D$6:$Z$6,0))</f>
        <v>0.40700500000000001</v>
      </c>
      <c r="DG294" s="189">
        <v>0.375</v>
      </c>
      <c r="DH294" s="190">
        <f t="shared" si="759"/>
        <v>21.123158588322433</v>
      </c>
      <c r="DI294" s="190">
        <v>20.603691553569966</v>
      </c>
      <c r="DJ294" s="177"/>
      <c r="DK294" s="189">
        <f>VLOOKUP($H294,RoR!$E:$F,2,FALSE)</f>
        <v>3.6658333333333334E-2</v>
      </c>
      <c r="DL294" s="191">
        <f>HLOOKUP($H294,'GDP-PI'!$D$8:$CQ$11,3,FALSE)</f>
        <v>1.0483662879041455E-2</v>
      </c>
      <c r="DM294" s="189">
        <f>VLOOKUP(H294,'HW Dx Data'!$E:$F,2,FALSE)</f>
        <v>671.45639385971219</v>
      </c>
      <c r="DN294" s="183">
        <f>VLOOKUP(H294,'ECI - Input Price'!$G$17:$H$37,2,FALSE)</f>
        <v>126.4</v>
      </c>
      <c r="DO294" s="177">
        <f t="shared" ref="DO294" si="807">LN(DN294/DN293)</f>
        <v>2.11880802639575E-2</v>
      </c>
      <c r="DP294" s="183">
        <f>HLOOKUP(H294,'GDP-PI'!$8:$9,2,FALSE)</f>
        <v>105.736</v>
      </c>
      <c r="DQ294" s="177">
        <f t="shared" ref="DQ294" si="808">LN(DP294/DP293)</f>
        <v>1.0429090367205095E-2</v>
      </c>
    </row>
    <row r="295" spans="1:121" s="167" customFormat="1" ht="21" x14ac:dyDescent="0.35">
      <c r="A295" s="167" t="s">
        <v>44</v>
      </c>
      <c r="B295" s="168" t="s">
        <v>44</v>
      </c>
      <c r="C295" s="168">
        <v>4057114</v>
      </c>
      <c r="D295" s="168" t="s">
        <v>333</v>
      </c>
      <c r="E295" s="168" t="s">
        <v>126</v>
      </c>
      <c r="F295" s="168"/>
      <c r="G295" s="168" t="s">
        <v>23</v>
      </c>
      <c r="H295" s="169">
        <v>2017</v>
      </c>
      <c r="I295" s="170"/>
      <c r="J295" s="166">
        <f>IFERROR(INDEX('Labor Expenditures'!$F$7:$X$91,MATCH($C295,'Labor Expenditures'!$D$7:$D$91,0),MATCH($G295,'Labor Expenditures'!$F$5:$X$5,0)),"NA")</f>
        <v>11882.023200725536</v>
      </c>
      <c r="K295" s="166">
        <f t="shared" si="765"/>
        <v>91.753074909077498</v>
      </c>
      <c r="L295" s="172">
        <f t="shared" si="772"/>
        <v>9.5798531565317157E-3</v>
      </c>
      <c r="M295" s="172">
        <f t="shared" si="775"/>
        <v>5.107239486760798E-5</v>
      </c>
      <c r="N295" s="196"/>
      <c r="O295" s="172"/>
      <c r="P295" s="166">
        <f>IFERROR(INDEX('Non-Labor Expenditures'!$F$7:$AB$91,MATCH($C295,'Non-Labor Expenditures'!$D$7:$D$91,0),MATCH($G295,'Non-Labor Expenditures'!$F$5:$AB$5,0)),"NA")</f>
        <v>17207.388850461444</v>
      </c>
      <c r="Q295" s="166">
        <f t="shared" si="766"/>
        <v>159.69586222365865</v>
      </c>
      <c r="R295" s="172">
        <f t="shared" si="776"/>
        <v>1.4931664355622116E-2</v>
      </c>
      <c r="S295" s="172">
        <f t="shared" si="781"/>
        <v>7.9604128115572261E-5</v>
      </c>
      <c r="T295" s="172"/>
      <c r="U295" s="172"/>
      <c r="V295" s="166">
        <f t="shared" si="747"/>
        <v>34071.643314887144</v>
      </c>
      <c r="W295" s="170"/>
      <c r="X295" s="174">
        <v>1809.0292736157623</v>
      </c>
      <c r="Y295" s="175">
        <v>4.4854028362383853E-3</v>
      </c>
      <c r="Z295" s="175">
        <f t="shared" si="782"/>
        <v>2.3912711505025999E-5</v>
      </c>
      <c r="AA295" s="175"/>
      <c r="AB295" s="175"/>
      <c r="AC295" s="170">
        <f t="shared" si="682"/>
        <v>63161.055366074128</v>
      </c>
      <c r="AD295" s="175">
        <f t="shared" si="777"/>
        <v>-4.3358686502686386E-2</v>
      </c>
      <c r="AE295" s="170"/>
      <c r="AF295" s="170"/>
      <c r="AG295" s="121">
        <f t="shared" si="778"/>
        <v>297.10406166863822</v>
      </c>
      <c r="AH295" s="119">
        <f>+AZ295/$BB$55</f>
        <v>5.6628101421862228E-3</v>
      </c>
      <c r="AI295" s="119">
        <f>+AZ295/$BC$56</f>
        <v>2.3855965354767559E-2</v>
      </c>
      <c r="AJ295" s="176">
        <f t="shared" si="783"/>
        <v>1.6824438937018855</v>
      </c>
      <c r="AK295" s="176">
        <f t="shared" si="784"/>
        <v>7.0877042019277576</v>
      </c>
      <c r="AL295" s="120">
        <f t="shared" si="767"/>
        <v>0.18812261973551125</v>
      </c>
      <c r="AM295" s="120">
        <f t="shared" si="768"/>
        <v>0.27243668983568153</v>
      </c>
      <c r="AN295" s="120">
        <f t="shared" si="769"/>
        <v>0.53944069042880716</v>
      </c>
      <c r="AO295" s="120">
        <f t="shared" si="785"/>
        <v>5.6521462032332395E-3</v>
      </c>
      <c r="AP295" s="173">
        <f t="shared" si="789"/>
        <v>107.42232854635698</v>
      </c>
      <c r="AQ295" s="175">
        <f t="shared" si="790"/>
        <v>5.6521462032331649E-3</v>
      </c>
      <c r="AR295" s="177">
        <f>+AC295/$AE$55</f>
        <v>5.3312294074973274E-3</v>
      </c>
      <c r="AS295" s="177">
        <f t="shared" si="786"/>
        <v>3.0132888054151014E-5</v>
      </c>
      <c r="AT295" s="177"/>
      <c r="AU295" s="177"/>
      <c r="AV295" s="177"/>
      <c r="AW295" s="190"/>
      <c r="AX295" s="120"/>
      <c r="AY295" s="120"/>
      <c r="AZ295" s="118">
        <f>IFERROR(INDEX('Total Customers'!$F$7:$AB$91,MATCH($C295,'Total Customers'!$D$7:$D$91,0),MATCH($G295,'Total Customers'!$F$5:$AB$5,0)),"NA")</f>
        <v>212589</v>
      </c>
      <c r="BA295" s="119">
        <f t="shared" si="748"/>
        <v>7.350943466979485E-3</v>
      </c>
      <c r="BB295" s="119"/>
      <c r="BC295" s="121">
        <v>8824403</v>
      </c>
      <c r="BD295" s="119"/>
      <c r="BE295" s="119"/>
      <c r="BF295" s="119"/>
      <c r="BG295" s="173"/>
      <c r="BH295" s="173"/>
      <c r="BI295" s="173"/>
      <c r="BJ295" s="173"/>
      <c r="BK295" s="173"/>
      <c r="BL295" s="173"/>
      <c r="BM295" s="173"/>
      <c r="BN295" s="173"/>
      <c r="BO295" s="173"/>
      <c r="BP295" s="173"/>
      <c r="BQ295" s="118"/>
      <c r="BR295" s="118"/>
      <c r="BS295" s="118">
        <f>INDEX('Dist. Plant Gas Additions'!$F$7:$AE$91,MATCH($C295,'Dist. Plant Gas Additions'!$D$7:$D$91,0),MATCH(Calculation!$G295,'Dist. Plant Gas Additions'!$F$5:$AE$5,0))</f>
        <v>16910</v>
      </c>
      <c r="BT295" s="118">
        <f>INDEX('Gen. Plant Additions'!$F$7:$AE$91,MATCH($C295,'Gen. Plant Additions'!$D$7:$D$91,0),MATCH(Calculation!$G295,'Gen. Plant Additions'!$F$5:$AE$5,0))</f>
        <v>1221</v>
      </c>
      <c r="BU295" s="118"/>
      <c r="BV295" s="118"/>
      <c r="BW295" s="118" t="str">
        <f>INDEX('Dist Plant Depreciation'!$E$7:$AD$94,MATCH($C295,'Dist Plant Depreciation'!$D$7:$D$94,0),MATCH(Calculation!$G295,'Dist Plant Depreciation'!$E$5:$AD$5,0))</f>
        <v>NA</v>
      </c>
      <c r="BX295" s="118" t="str">
        <f>INDEX('Gen. Plant Depreciation'!$E$7:$AD$94,MATCH($C295,'Gen. Plant Depreciation'!$D$7:$D$94,0),MATCH(Calculation!$G295,'Gen. Plant Depreciation'!$E$5:$AD$5,0))</f>
        <v>NA</v>
      </c>
      <c r="BY295" s="118"/>
      <c r="BZ295" s="118"/>
      <c r="CA295" s="118"/>
      <c r="CB295" s="118"/>
      <c r="CC295" s="118"/>
      <c r="CD295" s="118"/>
      <c r="CE295" s="118">
        <f>INDEX('Gross Dx Plant'!$E$7:$AD$91,MATCH($C295,'Gross Dx Plant'!$D$7:$D$91,0),MATCH(Calculation!$G295,'Gross Dx Plant'!$E$5:$AD$5,0))</f>
        <v>315941</v>
      </c>
      <c r="CF295" s="118">
        <f>INDEX('Gross Gen Plant'!$E$7:$AD$91,MATCH($C295,'Gross Gen Plant'!$D$7:$D$91,0),MATCH(Calculation!$G295,'Gross Gen Plant'!$E$5:$AD$5,0))</f>
        <v>22661</v>
      </c>
      <c r="CG295" s="118" t="str">
        <f t="shared" si="637"/>
        <v>NA</v>
      </c>
      <c r="CH295" s="118"/>
      <c r="CI295" s="121">
        <v>2017</v>
      </c>
      <c r="CJ295" s="118"/>
      <c r="CK295" s="118"/>
      <c r="CL295" s="118"/>
      <c r="CM295" s="183"/>
      <c r="CN295" s="118">
        <f t="shared" si="749"/>
        <v>18131</v>
      </c>
      <c r="CO295" s="118">
        <f t="shared" si="750"/>
        <v>25.449568440640228</v>
      </c>
      <c r="CP295" s="186">
        <v>0.87074829931972786</v>
      </c>
      <c r="CQ295" s="118">
        <f>+CQ276*CP295+CO277*CP294+CO278*CP293+CO279*CP292+CO280*CP291+CO281*CP290+CO282*CP289+CO283*CP288+CO284*CP287+CO285*CP286+CO286*CP285+CO287*CP284+CO288*CP283+CO289*CP282+CO290*CP281+CO291*CP280+CO292*CP279+CO293*CP278+CO294*CP277+CO295</f>
        <v>1809.0292736157623</v>
      </c>
      <c r="CR295" s="119">
        <f t="shared" si="751"/>
        <v>4.4854028362383853E-3</v>
      </c>
      <c r="CS295" s="119"/>
      <c r="CT295" s="177">
        <f t="shared" si="752"/>
        <v>9.6358453647160287E-3</v>
      </c>
      <c r="CU295" s="177">
        <f t="shared" si="760"/>
        <v>9.2514598368013141E-3</v>
      </c>
      <c r="CV295" s="119">
        <f>VLOOKUP($H295,RoR!$E:$F,2,FALSE)</f>
        <v>3.7433333333333339E-2</v>
      </c>
      <c r="CW295" s="177">
        <v>1.9056896421275615E-2</v>
      </c>
      <c r="CX295" s="177">
        <f t="shared" si="758"/>
        <v>1.8376436912057724E-2</v>
      </c>
      <c r="CY295" s="177">
        <f t="shared" si="761"/>
        <v>2.1650481771732309E-2</v>
      </c>
      <c r="CZ295" s="177">
        <f t="shared" si="762"/>
        <v>1.3976271617800498E-2</v>
      </c>
      <c r="DA295" s="187">
        <f t="shared" si="753"/>
        <v>0.89987312500000005</v>
      </c>
      <c r="DB295" s="188">
        <f t="shared" si="754"/>
        <v>1.3699568463593395</v>
      </c>
      <c r="DC295" s="188">
        <f t="shared" si="755"/>
        <v>0.30714603739982199</v>
      </c>
      <c r="DD295" s="188">
        <f t="shared" si="756"/>
        <v>0.77007188472689425</v>
      </c>
      <c r="DE295" s="188">
        <f t="shared" si="757"/>
        <v>0.32402839633793828</v>
      </c>
      <c r="DF295" s="189">
        <f>INDEX('State Tax Lookup'!$D$7:$Z$91,MATCH(Calculation!$C295,'State Tax Lookup'!$B$7:$B$91,0),MATCH($H295,'State Tax Lookup'!$D$6:$Z$6,0))</f>
        <v>0.26700499999999999</v>
      </c>
      <c r="DG295" s="189">
        <v>0.375</v>
      </c>
      <c r="DH295" s="190">
        <f t="shared" si="759"/>
        <v>18.918882139483649</v>
      </c>
      <c r="DI295" s="190">
        <v>18.466336865897176</v>
      </c>
      <c r="DJ295" s="177"/>
      <c r="DK295" s="189">
        <f>VLOOKUP($H295,RoR!$E:$F,2,FALSE)</f>
        <v>3.7433333333333339E-2</v>
      </c>
      <c r="DL295" s="191">
        <f>HLOOKUP($H295,'GDP-PI'!$D$8:$CQ$11,3,FALSE)</f>
        <v>1.9056896421275615E-2</v>
      </c>
      <c r="DM295" s="189">
        <f>VLOOKUP(H295,'HW Dx Data'!$E:$F,2,FALSE)</f>
        <v>712.42858370229726</v>
      </c>
      <c r="DN295" s="183">
        <f>VLOOKUP(H295,'ECI - Input Price'!$G$17:$H$37,2,FALSE)</f>
        <v>129.5</v>
      </c>
      <c r="DO295" s="177">
        <f t="shared" ref="DO295" si="809">LN(DN295/DN294)</f>
        <v>2.4229399426835413E-2</v>
      </c>
      <c r="DP295" s="183">
        <f>HLOOKUP(H295,'GDP-PI'!$8:$9,2,FALSE)</f>
        <v>107.751</v>
      </c>
      <c r="DQ295" s="177">
        <f t="shared" ref="DQ295" si="810">LN(DP295/DP294)</f>
        <v>1.8877588227745139E-2</v>
      </c>
    </row>
    <row r="296" spans="1:121" s="167" customFormat="1" ht="21" x14ac:dyDescent="0.35">
      <c r="A296" s="167" t="s">
        <v>44</v>
      </c>
      <c r="B296" s="168" t="s">
        <v>44</v>
      </c>
      <c r="C296" s="168">
        <v>4057114</v>
      </c>
      <c r="D296" s="168" t="s">
        <v>333</v>
      </c>
      <c r="E296" s="168" t="s">
        <v>126</v>
      </c>
      <c r="F296" s="168"/>
      <c r="G296" s="168" t="s">
        <v>24</v>
      </c>
      <c r="H296" s="169">
        <v>2018</v>
      </c>
      <c r="I296" s="170"/>
      <c r="J296" s="166">
        <f>IFERROR(INDEX('Labor Expenditures'!$F$7:$X$91,MATCH($C296,'Labor Expenditures'!$D$7:$D$91,0),MATCH($G296,'Labor Expenditures'!$F$5:$X$5,0)),"NA")</f>
        <v>38409.184834861066</v>
      </c>
      <c r="K296" s="166">
        <f t="shared" si="765"/>
        <v>288.24904191265341</v>
      </c>
      <c r="L296" s="172">
        <f t="shared" si="772"/>
        <v>1.1447238349682247</v>
      </c>
      <c r="M296" s="172">
        <f t="shared" si="775"/>
        <v>1.1516265934603736E-2</v>
      </c>
      <c r="N296" s="196"/>
      <c r="O296" s="172"/>
      <c r="P296" s="166">
        <f>IFERROR(INDEX('Non-Labor Expenditures'!$F$7:$AB$91,MATCH($C296,'Non-Labor Expenditures'!$D$7:$D$91,0),MATCH($G296,'Non-Labor Expenditures'!$F$5:$AB$5,0)),"NA")</f>
        <v>55623.673487049251</v>
      </c>
      <c r="Q296" s="166">
        <f t="shared" si="766"/>
        <v>504.19384607829124</v>
      </c>
      <c r="R296" s="172">
        <f t="shared" si="776"/>
        <v>1.1496896641580774</v>
      </c>
      <c r="S296" s="172">
        <f t="shared" si="781"/>
        <v>1.1566223669202447E-2</v>
      </c>
      <c r="T296" s="172"/>
      <c r="U296" s="172"/>
      <c r="V296" s="166">
        <f t="shared" si="747"/>
        <v>35564.764670915443</v>
      </c>
      <c r="W296" s="170"/>
      <c r="X296" s="174">
        <v>1819.3902790851735</v>
      </c>
      <c r="Y296" s="175">
        <v>5.7110449771036065E-3</v>
      </c>
      <c r="Z296" s="175">
        <f t="shared" si="782"/>
        <v>5.7454829463416981E-5</v>
      </c>
      <c r="AA296" s="175"/>
      <c r="AB296" s="175"/>
      <c r="AC296" s="170">
        <f t="shared" si="682"/>
        <v>129597.62299282575</v>
      </c>
      <c r="AD296" s="175">
        <f t="shared" si="777"/>
        <v>0.7187465439915337</v>
      </c>
      <c r="AE296" s="170"/>
      <c r="AF296" s="170"/>
      <c r="AG296" s="121">
        <f t="shared" si="778"/>
        <v>604.66958583491544</v>
      </c>
      <c r="AH296" s="119">
        <f>+AZ296/$BB$56</f>
        <v>5.6595414347627264E-3</v>
      </c>
      <c r="AI296" s="119">
        <f>+AZ296/$BC$57</f>
        <v>2.3910821942871422E-2</v>
      </c>
      <c r="AJ296" s="176">
        <f t="shared" si="783"/>
        <v>3.4221525753735209</v>
      </c>
      <c r="AK296" s="176">
        <f t="shared" si="784"/>
        <v>14.458146801168471</v>
      </c>
      <c r="AL296" s="120">
        <f t="shared" si="767"/>
        <v>0.2963726027366051</v>
      </c>
      <c r="AM296" s="120">
        <f t="shared" si="768"/>
        <v>0.42920288352918678</v>
      </c>
      <c r="AN296" s="120">
        <f t="shared" si="769"/>
        <v>0.27442451373420818</v>
      </c>
      <c r="AO296" s="120">
        <f t="shared" si="785"/>
        <v>0.68064049727696818</v>
      </c>
      <c r="AP296" s="173">
        <f t="shared" si="789"/>
        <v>212.17439587321797</v>
      </c>
      <c r="AQ296" s="175">
        <f t="shared" si="790"/>
        <v>0.68064049727696818</v>
      </c>
      <c r="AR296" s="177">
        <f>+AC296/$AE$56</f>
        <v>1.0060300644411239E-2</v>
      </c>
      <c r="AS296" s="177">
        <f t="shared" si="786"/>
        <v>6.8474480333678691E-3</v>
      </c>
      <c r="AT296" s="177"/>
      <c r="AU296" s="177"/>
      <c r="AV296" s="177"/>
      <c r="AW296" s="190"/>
      <c r="AX296" s="120"/>
      <c r="AY296" s="120"/>
      <c r="AZ296" s="118">
        <f>IFERROR(INDEX('Total Customers'!$F$7:$AB$91,MATCH($C296,'Total Customers'!$D$7:$D$91,0),MATCH($G296,'Total Customers'!$F$5:$AB$5,0)),"NA")</f>
        <v>214328</v>
      </c>
      <c r="BA296" s="119">
        <f t="shared" si="748"/>
        <v>8.1468276888699512E-3</v>
      </c>
      <c r="BB296" s="119"/>
      <c r="BC296" s="121">
        <v>8911356</v>
      </c>
      <c r="BD296" s="119"/>
      <c r="BE296" s="119"/>
      <c r="BF296" s="119"/>
      <c r="BG296" s="173"/>
      <c r="BH296" s="173"/>
      <c r="BI296" s="173"/>
      <c r="BJ296" s="173"/>
      <c r="BK296" s="173"/>
      <c r="BL296" s="173"/>
      <c r="BM296" s="173"/>
      <c r="BN296" s="173"/>
      <c r="BO296" s="173"/>
      <c r="BP296" s="173"/>
      <c r="BQ296" s="118"/>
      <c r="BR296" s="118"/>
      <c r="BS296" s="118">
        <f>INDEX('Dist. Plant Gas Additions'!$F$7:$AE$91,MATCH($C296,'Dist. Plant Gas Additions'!$D$7:$D$91,0),MATCH(Calculation!$G296,'Dist. Plant Gas Additions'!$F$5:$AE$5,0))</f>
        <v>20302</v>
      </c>
      <c r="BT296" s="118">
        <f>INDEX('Gen. Plant Additions'!$F$7:$AE$91,MATCH($C296,'Gen. Plant Additions'!$D$7:$D$91,0),MATCH(Calculation!$G296,'Gen. Plant Additions'!$F$5:$AE$5,0))</f>
        <v>1253</v>
      </c>
      <c r="BU296" s="118"/>
      <c r="BV296" s="118"/>
      <c r="BW296" s="118" t="str">
        <f>INDEX('Dist Plant Depreciation'!$E$7:$AD$94,MATCH($C296,'Dist Plant Depreciation'!$D$7:$D$94,0),MATCH(Calculation!$G296,'Dist Plant Depreciation'!$E$5:$AD$5,0))</f>
        <v>NA</v>
      </c>
      <c r="BX296" s="118" t="str">
        <f>INDEX('Gen. Plant Depreciation'!$E$7:$AD$94,MATCH($C296,'Gen. Plant Depreciation'!$D$7:$D$94,0),MATCH(Calculation!$G296,'Gen. Plant Depreciation'!$E$5:$AD$5,0))</f>
        <v>NA</v>
      </c>
      <c r="BY296" s="118"/>
      <c r="BZ296" s="118"/>
      <c r="CA296" s="118"/>
      <c r="CB296" s="118"/>
      <c r="CC296" s="118"/>
      <c r="CD296" s="118"/>
      <c r="CE296" s="118">
        <f>INDEX('Gross Dx Plant'!$E$7:$AD$91,MATCH($C296,'Gross Dx Plant'!$D$7:$D$91,0),MATCH(Calculation!$G296,'Gross Dx Plant'!$E$5:$AD$5,0))</f>
        <v>323758</v>
      </c>
      <c r="CF296" s="118">
        <f>INDEX('Gross Gen Plant'!$E$7:$AD$91,MATCH($C296,'Gross Gen Plant'!$D$7:$D$91,0),MATCH(Calculation!$G296,'Gross Gen Plant'!$E$5:$AD$5,0))</f>
        <v>23781</v>
      </c>
      <c r="CG296" s="118" t="str">
        <f t="shared" si="637"/>
        <v>NA</v>
      </c>
      <c r="CH296" s="118"/>
      <c r="CI296" s="121">
        <v>2018</v>
      </c>
      <c r="CJ296" s="118"/>
      <c r="CK296" s="118"/>
      <c r="CL296" s="118"/>
      <c r="CM296" s="183"/>
      <c r="CN296" s="118">
        <f t="shared" si="749"/>
        <v>21555</v>
      </c>
      <c r="CO296" s="118">
        <f t="shared" si="750"/>
        <v>28.544500076108022</v>
      </c>
      <c r="CP296" s="186">
        <v>0.86111111111111116</v>
      </c>
      <c r="CQ296" s="118">
        <f>+CQ276*CP296++CO277*CP295+CO278*CP294+CO279*CP293+CO280*CP292+CO281*CP291+CO282*CP290+CO283*CP289+CO284*CP288+CO285*CP287+CO286*CP286+CO287*CP285+CO288*CP284+CO289*CP283+CO290*CP282+CO291*CP281+CO292*CP280+CO293*CP279+CO294*CP278+CO295*CP277+CO296</f>
        <v>1819.3902790851735</v>
      </c>
      <c r="CR296" s="119">
        <f t="shared" si="751"/>
        <v>5.7110449771036065E-3</v>
      </c>
      <c r="CS296" s="119"/>
      <c r="CT296" s="177">
        <f t="shared" si="752"/>
        <v>1.005152037719821E-2</v>
      </c>
      <c r="CU296" s="177">
        <f t="shared" si="760"/>
        <v>9.644785779096306E-3</v>
      </c>
      <c r="CV296" s="119">
        <f>VLOOKUP($H296,RoR!$E:$F,2,FALSE)</f>
        <v>3.9299999999999995E-2</v>
      </c>
      <c r="CW296" s="177">
        <v>2.386056741932796E-2</v>
      </c>
      <c r="CX296" s="177">
        <f t="shared" si="758"/>
        <v>1.5439432580672034E-2</v>
      </c>
      <c r="CY296" s="177">
        <f t="shared" si="761"/>
        <v>2.1257155829437317E-2</v>
      </c>
      <c r="CZ296" s="177">
        <f t="shared" si="762"/>
        <v>3.8270792163076606E-2</v>
      </c>
      <c r="DA296" s="187">
        <f t="shared" si="753"/>
        <v>0.89987312500000005</v>
      </c>
      <c r="DB296" s="188">
        <f t="shared" si="754"/>
        <v>1.3048868010700074</v>
      </c>
      <c r="DC296" s="188">
        <f t="shared" si="755"/>
        <v>0.33886768447837151</v>
      </c>
      <c r="DD296" s="188">
        <f t="shared" si="756"/>
        <v>0.78602506232557801</v>
      </c>
      <c r="DE296" s="188">
        <f t="shared" si="757"/>
        <v>0.34756768162358759</v>
      </c>
      <c r="DF296" s="189">
        <f>INDEX('State Tax Lookup'!$D$7:$Z$91,MATCH(Calculation!$C296,'State Tax Lookup'!$B$7:$B$91,0),MATCH($H296,'State Tax Lookup'!$D$6:$Z$6,0))</f>
        <v>0.26700499999999999</v>
      </c>
      <c r="DG296" s="189">
        <v>0.375</v>
      </c>
      <c r="DH296" s="190">
        <f t="shared" si="759"/>
        <v>19.659584944046294</v>
      </c>
      <c r="DI296" s="190">
        <v>19.177083267250655</v>
      </c>
      <c r="DJ296" s="177"/>
      <c r="DK296" s="189">
        <f>VLOOKUP($H296,RoR!$E:$F,2,FALSE)</f>
        <v>3.9299999999999995E-2</v>
      </c>
      <c r="DL296" s="191">
        <f>HLOOKUP($H296,'GDP-PI'!$D$8:$CQ$11,3,FALSE)</f>
        <v>2.386056741932796E-2</v>
      </c>
      <c r="DM296" s="189">
        <f>VLOOKUP(H296,'HW Dx Data'!$E:$F,2,FALSE)</f>
        <v>755.13671434174842</v>
      </c>
      <c r="DN296" s="183">
        <f>VLOOKUP(H296,'ECI - Input Price'!$G$17:$H$37,2,FALSE)</f>
        <v>133.25</v>
      </c>
      <c r="DO296" s="177">
        <f t="shared" ref="DO296" si="811">LN(DN296/DN295)</f>
        <v>2.8546181906361531E-2</v>
      </c>
      <c r="DP296" s="183">
        <f>HLOOKUP(H296,'GDP-PI'!$8:$9,2,FALSE)</f>
        <v>110.322</v>
      </c>
      <c r="DQ296" s="177">
        <f t="shared" ref="DQ296" si="812">LN(DP296/DP295)</f>
        <v>2.3580352716508712E-2</v>
      </c>
    </row>
    <row r="297" spans="1:121" s="167" customFormat="1" ht="21" x14ac:dyDescent="0.35">
      <c r="A297" s="167" t="s">
        <v>44</v>
      </c>
      <c r="B297" s="168" t="s">
        <v>44</v>
      </c>
      <c r="C297" s="168">
        <v>4057114</v>
      </c>
      <c r="D297" s="168" t="s">
        <v>333</v>
      </c>
      <c r="E297" s="168" t="s">
        <v>126</v>
      </c>
      <c r="F297" s="168"/>
      <c r="G297" s="168" t="s">
        <v>25</v>
      </c>
      <c r="H297" s="169">
        <v>2019</v>
      </c>
      <c r="I297" s="170"/>
      <c r="J297" s="166">
        <f>IFERROR(INDEX('Labor Expenditures'!$F$7:$X$91,MATCH($C297,'Labor Expenditures'!$D$7:$D$91,0),MATCH($G297,'Labor Expenditures'!$F$5:$X$5,0)),"NA")</f>
        <v>19236.025816726495</v>
      </c>
      <c r="K297" s="166">
        <f t="shared" si="765"/>
        <v>140.5628484963573</v>
      </c>
      <c r="L297" s="172">
        <f t="shared" si="772"/>
        <v>-0.71817012632202815</v>
      </c>
      <c r="M297" s="172">
        <f t="shared" si="775"/>
        <v>-4.4867827357658249E-3</v>
      </c>
      <c r="N297" s="196"/>
      <c r="O297" s="172"/>
      <c r="P297" s="166">
        <f>IFERROR(INDEX('Non-Labor Expenditures'!$F$7:$AB$91,MATCH($C297,'Non-Labor Expenditures'!$D$7:$D$91,0),MATCH($G297,'Non-Labor Expenditures'!$F$5:$AB$5,0)),"NA")</f>
        <v>27857.358176654332</v>
      </c>
      <c r="Q297" s="166">
        <f t="shared" si="766"/>
        <v>248.02220638414443</v>
      </c>
      <c r="R297" s="172">
        <f t="shared" si="776"/>
        <v>-0.70944252533269558</v>
      </c>
      <c r="S297" s="172">
        <f t="shared" si="781"/>
        <v>-4.4322568678574308E-3</v>
      </c>
      <c r="T297" s="172"/>
      <c r="U297" s="172"/>
      <c r="V297" s="166">
        <f t="shared" si="747"/>
        <v>35906.409990810345</v>
      </c>
      <c r="W297" s="170"/>
      <c r="X297" s="174">
        <v>1827.6491278717051</v>
      </c>
      <c r="Y297" s="175">
        <v>4.5290779629496881E-3</v>
      </c>
      <c r="Z297" s="175">
        <f t="shared" si="782"/>
        <v>2.8295508359795187E-5</v>
      </c>
      <c r="AA297" s="175"/>
      <c r="AB297" s="175"/>
      <c r="AC297" s="170">
        <f t="shared" si="682"/>
        <v>82999.793984191172</v>
      </c>
      <c r="AD297" s="175">
        <f t="shared" si="777"/>
        <v>-0.44559631696989577</v>
      </c>
      <c r="AE297" s="170"/>
      <c r="AF297" s="170"/>
      <c r="AG297" s="121">
        <f t="shared" si="778"/>
        <v>382.45756776746146</v>
      </c>
      <c r="AH297" s="119">
        <f>+AZ297/$BB$57</f>
        <v>5.6836639779367492E-3</v>
      </c>
      <c r="AI297" s="119">
        <f>+AZ297/$BC$58</f>
        <v>2.3952645025767494E-2</v>
      </c>
      <c r="AJ297" s="176">
        <f t="shared" si="783"/>
        <v>2.1737603010092239</v>
      </c>
      <c r="AK297" s="176">
        <f t="shared" si="784"/>
        <v>9.1608703581524207</v>
      </c>
      <c r="AL297" s="120">
        <f t="shared" si="767"/>
        <v>0.23175992244499241</v>
      </c>
      <c r="AM297" s="120">
        <f t="shared" si="768"/>
        <v>0.33563165448290483</v>
      </c>
      <c r="AN297" s="120">
        <f t="shared" si="769"/>
        <v>0.43260842307210279</v>
      </c>
      <c r="AO297" s="120">
        <f t="shared" si="785"/>
        <v>-0.46094757421670163</v>
      </c>
      <c r="AP297" s="173">
        <f t="shared" si="789"/>
        <v>133.81536602425069</v>
      </c>
      <c r="AQ297" s="175">
        <f t="shared" si="790"/>
        <v>-0.46094757421670168</v>
      </c>
      <c r="AR297" s="177">
        <f>+AC297/$AE$57</f>
        <v>6.2475207075850265E-3</v>
      </c>
      <c r="AS297" s="177">
        <f t="shared" si="786"/>
        <v>-2.8797795150299296E-3</v>
      </c>
      <c r="AT297" s="177"/>
      <c r="AU297" s="177"/>
      <c r="AV297" s="177"/>
      <c r="AW297" s="190"/>
      <c r="AX297" s="120"/>
      <c r="AY297" s="120"/>
      <c r="AZ297" s="118">
        <f>IFERROR(INDEX('Total Customers'!$F$7:$AB$91,MATCH($C297,'Total Customers'!$D$7:$D$91,0),MATCH($G297,'Total Customers'!$F$5:$AB$5,0)),"NA")</f>
        <v>217017</v>
      </c>
      <c r="BA297" s="119">
        <f t="shared" si="748"/>
        <v>1.2468139585127143E-2</v>
      </c>
      <c r="BB297" s="119"/>
      <c r="BC297" s="121">
        <v>8963640</v>
      </c>
      <c r="BD297" s="119"/>
      <c r="BE297" s="119"/>
      <c r="BF297" s="119"/>
      <c r="BG297" s="173"/>
      <c r="BH297" s="173"/>
      <c r="BI297" s="173"/>
      <c r="BJ297" s="173"/>
      <c r="BK297" s="173"/>
      <c r="BL297" s="173"/>
      <c r="BM297" s="173"/>
      <c r="BN297" s="173"/>
      <c r="BO297" s="173"/>
      <c r="BP297" s="173"/>
      <c r="BQ297" s="118"/>
      <c r="BR297" s="118"/>
      <c r="BS297" s="118">
        <f>INDEX('Dist. Plant Gas Additions'!$F$7:$AE$91,MATCH($C297,'Dist. Plant Gas Additions'!$D$7:$D$91,0),MATCH(Calculation!$G297,'Dist. Plant Gas Additions'!$F$5:$AE$5,0))</f>
        <v>20813</v>
      </c>
      <c r="BT297" s="118">
        <f>INDEX('Gen. Plant Additions'!$F$7:$AE$91,MATCH($C297,'Gen. Plant Additions'!$D$7:$D$91,0),MATCH(Calculation!$G297,'Gen. Plant Additions'!$F$5:$AE$5,0))</f>
        <v>332</v>
      </c>
      <c r="BU297" s="118"/>
      <c r="BV297" s="118"/>
      <c r="BW297" s="118" t="str">
        <f>INDEX('Dist Plant Depreciation'!$E$7:$AD$94,MATCH($C297,'Dist Plant Depreciation'!$D$7:$D$94,0),MATCH(Calculation!$G297,'Dist Plant Depreciation'!$E$5:$AD$5,0))</f>
        <v>NA</v>
      </c>
      <c r="BX297" s="118" t="str">
        <f>INDEX('Gen. Plant Depreciation'!$E$7:$AD$94,MATCH($C297,'Gen. Plant Depreciation'!$D$7:$D$94,0),MATCH(Calculation!$G297,'Gen. Plant Depreciation'!$E$5:$AD$5,0))</f>
        <v>NA</v>
      </c>
      <c r="BY297" s="118"/>
      <c r="BZ297" s="118"/>
      <c r="CA297" s="118"/>
      <c r="CB297" s="118"/>
      <c r="CC297" s="118"/>
      <c r="CD297" s="118"/>
      <c r="CE297" s="118">
        <f>INDEX('Gross Dx Plant'!$E$7:$AD$91,MATCH($C297,'Gross Dx Plant'!$D$7:$D$91,0),MATCH(Calculation!$G297,'Gross Dx Plant'!$E$5:$AD$5,0))</f>
        <v>335476</v>
      </c>
      <c r="CF297" s="118">
        <f>INDEX('Gross Gen Plant'!$E$7:$AD$91,MATCH($C297,'Gross Gen Plant'!$D$7:$D$91,0),MATCH(Calculation!$G297,'Gross Gen Plant'!$E$5:$AD$5,0))</f>
        <v>24018</v>
      </c>
      <c r="CG297" s="118" t="str">
        <f t="shared" si="637"/>
        <v>NA</v>
      </c>
      <c r="CH297" s="118"/>
      <c r="CI297" s="121">
        <v>2019</v>
      </c>
      <c r="CJ297" s="118"/>
      <c r="CK297" s="118"/>
      <c r="CL297" s="118"/>
      <c r="CM297" s="183"/>
      <c r="CN297" s="118">
        <f t="shared" si="749"/>
        <v>21145</v>
      </c>
      <c r="CO297" s="118">
        <f t="shared" si="750"/>
        <v>27.335392081989447</v>
      </c>
      <c r="CP297" s="186">
        <v>0.85106382978723405</v>
      </c>
      <c r="CQ297" s="118">
        <f>CQ276*CP297+CO277*CP296+CO278*CP295+CO279*CP294+CO280*CP293+CO281*CP292+CO282*CP291+CO283*CP290+CO284*CP289+CO285*CP288+CO286*CP287+CO287*CP286+CO288*CP285+CO289*CP284+CO290*CP283+CO291*CP282+CO292*CP281+CO293*CP280+CO294*CP279+CO295*CP278+CO296*CP277+CO297</f>
        <v>1827.6491278717051</v>
      </c>
      <c r="CR297" s="119">
        <f t="shared" si="751"/>
        <v>4.5290779629496881E-3</v>
      </c>
      <c r="CS297" s="119"/>
      <c r="CT297" s="177">
        <f t="shared" si="752"/>
        <v>1.0485129834292551E-2</v>
      </c>
      <c r="CU297" s="177">
        <f t="shared" si="760"/>
        <v>1.0057498525402263E-2</v>
      </c>
      <c r="CV297" s="119">
        <f>VLOOKUP($H297,RoR!$E:$F,2,FALSE)</f>
        <v>3.3875000000000009E-2</v>
      </c>
      <c r="CW297" s="177">
        <v>1.8092492884465461E-2</v>
      </c>
      <c r="CX297" s="177">
        <f t="shared" si="758"/>
        <v>1.5782507115534548E-2</v>
      </c>
      <c r="CY297" s="177">
        <f t="shared" si="761"/>
        <v>2.084444308313136E-2</v>
      </c>
      <c r="CZ297" s="177">
        <f t="shared" si="762"/>
        <v>4.8445665544254078E-2</v>
      </c>
      <c r="DA297" s="187">
        <f t="shared" si="753"/>
        <v>0.89987312500000005</v>
      </c>
      <c r="DB297" s="188">
        <f t="shared" si="754"/>
        <v>1.513861292459078</v>
      </c>
      <c r="DC297" s="188">
        <f t="shared" si="755"/>
        <v>0.23699261992619944</v>
      </c>
      <c r="DD297" s="188">
        <f t="shared" si="756"/>
        <v>0.73619765810468829</v>
      </c>
      <c r="DE297" s="188">
        <f t="shared" si="757"/>
        <v>0.26412854465362851</v>
      </c>
      <c r="DF297" s="189">
        <f>INDEX('State Tax Lookup'!$D$7:$Z$91,MATCH(Calculation!$C297,'State Tax Lookup'!$B$7:$B$91,0),MATCH($H297,'State Tax Lookup'!$D$6:$Z$6,0))</f>
        <v>0.26700499999999999</v>
      </c>
      <c r="DG297" s="189">
        <v>0.375</v>
      </c>
      <c r="DH297" s="190">
        <f t="shared" si="759"/>
        <v>19.735408286816185</v>
      </c>
      <c r="DI297" s="190">
        <v>19.233818177615582</v>
      </c>
      <c r="DJ297" s="177"/>
      <c r="DK297" s="189">
        <f>VLOOKUP($H297,RoR!$E:$F,2,FALSE)</f>
        <v>3.3875000000000009E-2</v>
      </c>
      <c r="DL297" s="191">
        <f>HLOOKUP($H297,'GDP-PI'!$D$8:$CQ$11,3,FALSE)</f>
        <v>1.8092492884465461E-2</v>
      </c>
      <c r="DM297" s="189">
        <f>VLOOKUP(H297,'HW Dx Data'!$E:$F,2,FALSE)</f>
        <v>773.53929793938721</v>
      </c>
      <c r="DN297" s="183">
        <f>VLOOKUP(H297,'ECI - Input Price'!$G$17:$H$37,2,FALSE)</f>
        <v>136.85</v>
      </c>
      <c r="DO297" s="177">
        <f t="shared" ref="DO297" si="813">LN(DN297/DN296)</f>
        <v>2.6658372440734168E-2</v>
      </c>
      <c r="DP297" s="183">
        <f>HLOOKUP(H297,'GDP-PI'!$8:$9,2,FALSE)</f>
        <v>112.318</v>
      </c>
      <c r="DQ297" s="177">
        <f t="shared" ref="DQ297" si="814">LN(DP297/DP296)</f>
        <v>1.7930771451401852E-2</v>
      </c>
    </row>
    <row r="298" spans="1:121" s="167" customFormat="1" ht="21" x14ac:dyDescent="0.35">
      <c r="A298" s="167" t="s">
        <v>44</v>
      </c>
      <c r="B298" s="167" t="s">
        <v>44</v>
      </c>
      <c r="C298" s="167">
        <v>4057114</v>
      </c>
      <c r="D298" s="167" t="s">
        <v>333</v>
      </c>
      <c r="E298" s="167" t="s">
        <v>126</v>
      </c>
      <c r="G298" s="168" t="s">
        <v>26</v>
      </c>
      <c r="H298" s="169">
        <v>2020</v>
      </c>
      <c r="I298" s="170"/>
      <c r="J298" s="166">
        <f>IFERROR(INDEX('Labor Expenditures'!$F$7:$X$91,MATCH($C298,'Labor Expenditures'!$D$7:$D$91,0),MATCH($G298,'Labor Expenditures'!$F$5:$X$5,0)),"NA")</f>
        <v>11301.535771974532</v>
      </c>
      <c r="K298" s="166">
        <f t="shared" si="765"/>
        <v>80.46661283000735</v>
      </c>
      <c r="L298" s="172">
        <f t="shared" si="772"/>
        <v>-0.55781235807501051</v>
      </c>
      <c r="M298" s="172">
        <f t="shared" si="775"/>
        <v>-2.6388203293498183E-3</v>
      </c>
      <c r="N298" s="196"/>
      <c r="O298" s="172"/>
      <c r="P298" s="166">
        <f>IFERROR(INDEX('Non-Labor Expenditures'!$F$7:$AB$91,MATCH($C298,'Non-Labor Expenditures'!$D$7:$D$91,0),MATCH($G298,'Non-Labor Expenditures'!$F$5:$AB$5,0)),"NA")</f>
        <v>16366.734633533715</v>
      </c>
      <c r="Q298" s="166">
        <f t="shared" si="766"/>
        <v>144.04420437353102</v>
      </c>
      <c r="R298" s="172">
        <f t="shared" si="776"/>
        <v>-0.54339805674283859</v>
      </c>
      <c r="S298" s="172">
        <f t="shared" si="781"/>
        <v>-2.5706311778581361E-3</v>
      </c>
      <c r="T298" s="172"/>
      <c r="U298" s="172"/>
      <c r="V298" s="166">
        <f t="shared" si="747"/>
        <v>37126.00790970552</v>
      </c>
      <c r="W298" s="170"/>
      <c r="X298" s="174">
        <v>1856.6114546194096</v>
      </c>
      <c r="Y298" s="175">
        <v>1.5722516208991288E-2</v>
      </c>
      <c r="Z298" s="175">
        <f t="shared" si="782"/>
        <v>7.4377870623008185E-5</v>
      </c>
      <c r="AA298" s="175"/>
      <c r="AB298" s="175"/>
      <c r="AC298" s="170">
        <f t="shared" si="682"/>
        <v>64794.278315213771</v>
      </c>
      <c r="AD298" s="175">
        <f t="shared" si="777"/>
        <v>-0.2476208238202986</v>
      </c>
      <c r="AE298" s="170"/>
      <c r="AF298" s="170"/>
      <c r="AG298" s="121">
        <f t="shared" si="778"/>
        <v>299.43701939217129</v>
      </c>
      <c r="AH298" s="119">
        <f>+AZ298/$BB$58</f>
        <v>5.6273206290411741E-3</v>
      </c>
      <c r="AI298" s="119">
        <f>+AZ298/$BC$59</f>
        <v>2.3742053642051238E-2</v>
      </c>
      <c r="AJ298" s="176">
        <f t="shared" si="783"/>
        <v>1.6850281163241676</v>
      </c>
      <c r="AK298" s="176">
        <f t="shared" si="784"/>
        <v>7.1092497768248677</v>
      </c>
      <c r="AL298" s="120">
        <f t="shared" si="767"/>
        <v>0.17442181726285108</v>
      </c>
      <c r="AM298" s="120">
        <f t="shared" si="768"/>
        <v>0.25259536889834894</v>
      </c>
      <c r="AN298" s="120">
        <f t="shared" si="769"/>
        <v>0.5729828138387999</v>
      </c>
      <c r="AO298" s="120">
        <f t="shared" si="785"/>
        <v>-0.27310730773121994</v>
      </c>
      <c r="AP298" s="173">
        <f t="shared" si="789"/>
        <v>101.83498168780611</v>
      </c>
      <c r="AQ298" s="175">
        <f t="shared" si="790"/>
        <v>-0.27310730773121988</v>
      </c>
      <c r="AR298" s="177">
        <f>+AC298/$AE$58</f>
        <v>4.7306594971403791E-3</v>
      </c>
      <c r="AS298" s="177">
        <f t="shared" si="786"/>
        <v>-1.2919776790571355E-3</v>
      </c>
      <c r="AT298" s="177"/>
      <c r="AU298" s="177"/>
      <c r="AV298" s="177"/>
      <c r="AW298" s="190"/>
      <c r="AX298" s="120"/>
      <c r="AY298" s="120"/>
      <c r="AZ298" s="118">
        <f>IFERROR(INDEX('Total Customers'!$F$7:$AB$91,MATCH($C298,'Total Customers'!$D$7:$D$91,0),MATCH($G298,'Total Customers'!$F$5:$AB$5,0)),"NA")</f>
        <v>216387</v>
      </c>
      <c r="BA298" s="119">
        <f t="shared" si="748"/>
        <v>-2.9072202551256865E-3</v>
      </c>
      <c r="BB298" s="119"/>
      <c r="BC298" s="121">
        <v>9060252</v>
      </c>
      <c r="BD298" s="119"/>
      <c r="BE298" s="119"/>
      <c r="BF298" s="119"/>
      <c r="BG298" s="173"/>
      <c r="BH298" s="173"/>
      <c r="BI298" s="173"/>
      <c r="BJ298" s="173"/>
      <c r="BK298" s="173"/>
      <c r="BL298" s="173"/>
      <c r="BM298" s="173"/>
      <c r="BN298" s="173"/>
      <c r="BO298" s="173"/>
      <c r="BP298" s="173"/>
      <c r="BQ298" s="118"/>
      <c r="BR298" s="118"/>
      <c r="BS298" s="118">
        <f>INDEX('Dist. Plant Gas Additions'!$F$7:$AE$91,MATCH($C298,'Dist. Plant Gas Additions'!$D$7:$D$91,0),MATCH(Calculation!$G298,'Dist. Plant Gas Additions'!$F$5:$AE$5,0))</f>
        <v>37935</v>
      </c>
      <c r="BT298" s="118">
        <f>INDEX('Gen. Plant Additions'!$F$7:$AE$91,MATCH($C298,'Gen. Plant Additions'!$D$7:$D$91,0),MATCH(Calculation!$G298,'Gen. Plant Additions'!$F$5:$AE$5,0))</f>
        <v>1888</v>
      </c>
      <c r="BU298" s="118"/>
      <c r="BV298" s="118"/>
      <c r="BW298" s="118" t="str">
        <f>INDEX('Dist Plant Depreciation'!$E$7:$AD$94,MATCH($C298,'Dist Plant Depreciation'!$D$7:$D$94,0),MATCH(Calculation!$G298,'Dist Plant Depreciation'!$E$5:$AD$5,0))</f>
        <v>NA</v>
      </c>
      <c r="BX298" s="118" t="str">
        <f>INDEX('Gen. Plant Depreciation'!$E$7:$AD$94,MATCH($C298,'Gen. Plant Depreciation'!$D$7:$D$94,0),MATCH(Calculation!$G298,'Gen. Plant Depreciation'!$E$5:$AD$5,0))</f>
        <v>NA</v>
      </c>
      <c r="BY298" s="118"/>
      <c r="BZ298" s="118"/>
      <c r="CA298" s="118"/>
      <c r="CB298" s="118"/>
      <c r="CC298" s="118"/>
      <c r="CD298" s="118"/>
      <c r="CE298" s="118">
        <f>INDEX('Gross Dx Plant'!$E$7:$AD$91,MATCH($C298,'Gross Dx Plant'!$D$7:$D$91,0),MATCH(Calculation!$G298,'Gross Dx Plant'!$E$5:$AD$5,0))</f>
        <v>368622</v>
      </c>
      <c r="CF298" s="118">
        <f>INDEX('Gross Gen Plant'!$E$7:$AD$91,MATCH($C298,'Gross Gen Plant'!$D$7:$D$91,0),MATCH(Calculation!$G298,'Gross Gen Plant'!$E$5:$AD$5,0))</f>
        <v>25763</v>
      </c>
      <c r="CG298" s="118" t="str">
        <f t="shared" si="637"/>
        <v>NA</v>
      </c>
      <c r="CH298" s="118"/>
      <c r="CI298" s="121">
        <v>2020</v>
      </c>
      <c r="CJ298" s="118"/>
      <c r="CK298" s="118"/>
      <c r="CL298" s="118"/>
      <c r="CM298" s="183"/>
      <c r="CN298" s="118">
        <f t="shared" si="749"/>
        <v>39823</v>
      </c>
      <c r="CO298" s="118">
        <f t="shared" si="750"/>
        <v>48.97795056218245</v>
      </c>
      <c r="CP298" s="186">
        <v>0.84057971014492749</v>
      </c>
      <c r="CQ298" s="118">
        <f>CQ276*CP298+CO277*CP297+CO278*CP296+CO279*CP295+CO280*CP294+CO281*CP293+CO282*CP292+CO283*CP291+CO284*CP290+CO285*CP289+CO286*CP288+CO287*CP287+CO288*CP286+CO289*CP285+CO290*CP284+CO291*CP283+CO292*CP282+CO293*CP281+CO294*CP280+CO295*CP279+CO296*CP278+CO297*CP277+CO298</f>
        <v>1856.6114546194096</v>
      </c>
      <c r="CR298" s="119">
        <f t="shared" si="751"/>
        <v>1.5722516208991288E-2</v>
      </c>
      <c r="CS298" s="119"/>
      <c r="CT298" s="177">
        <f t="shared" si="752"/>
        <v>1.0951568060432956E-2</v>
      </c>
      <c r="CU298" s="177">
        <f t="shared" si="760"/>
        <v>1.0496072757307906E-2</v>
      </c>
      <c r="CV298" s="119">
        <f>VLOOKUP($H298,RoR!$E:$F,2,FALSE)</f>
        <v>2.4766666666666666E-2</v>
      </c>
      <c r="CW298" s="177">
        <v>1.1618796630994188E-2</v>
      </c>
      <c r="CX298" s="177">
        <f t="shared" si="758"/>
        <v>1.3147870035672478E-2</v>
      </c>
      <c r="CY298" s="177">
        <f t="shared" si="761"/>
        <v>2.0405868851225719E-2</v>
      </c>
      <c r="CZ298" s="177">
        <f t="shared" si="762"/>
        <v>4.5144642961987357E-2</v>
      </c>
      <c r="DA298" s="187">
        <f t="shared" si="753"/>
        <v>0.89987312500000005</v>
      </c>
      <c r="DB298" s="188">
        <f t="shared" si="754"/>
        <v>2.0706077233668081</v>
      </c>
      <c r="DC298" s="188">
        <f t="shared" si="755"/>
        <v>-3.4421265141318998E-2</v>
      </c>
      <c r="DD298" s="188">
        <f t="shared" si="756"/>
        <v>0.62416226176410472</v>
      </c>
      <c r="DE298" s="188">
        <f t="shared" si="757"/>
        <v>-4.4485877841158712E-2</v>
      </c>
      <c r="DF298" s="189">
        <f>INDEX('State Tax Lookup'!$D$7:$Z$91,MATCH(Calculation!$C298,'State Tax Lookup'!$B$7:$B$91,0),MATCH($H298,'State Tax Lookup'!$D$6:$Z$6,0))</f>
        <v>0.26700499999999999</v>
      </c>
      <c r="DG298" s="189">
        <v>0.375</v>
      </c>
      <c r="DH298" s="190">
        <f t="shared" si="759"/>
        <v>20.313531379482399</v>
      </c>
      <c r="DI298" s="190">
        <v>19.797684189492553</v>
      </c>
      <c r="DJ298" s="177"/>
      <c r="DK298" s="189">
        <f>VLOOKUP($H298,RoR!$E:$F,2,FALSE)</f>
        <v>2.4766666666666666E-2</v>
      </c>
      <c r="DL298" s="191">
        <f>HLOOKUP($H298,'GDP-PI'!$D$8:$CQ$11,3,FALSE)</f>
        <v>1.1618796630994188E-2</v>
      </c>
      <c r="DM298" s="189">
        <f>VLOOKUP(H298,'HW Dx Data'!$E:$F,2,FALSE)</f>
        <v>813.080162458833</v>
      </c>
      <c r="DN298" s="183">
        <f>VLOOKUP(H298,'ECI - Input Price'!$G$17:$H$37,2,FALSE)</f>
        <v>140.44999999999999</v>
      </c>
      <c r="DO298" s="177">
        <f t="shared" ref="DO298" si="815">LN(DN298/DN297)</f>
        <v>2.5966118063564539E-2</v>
      </c>
      <c r="DP298" s="183">
        <f>HLOOKUP(H298,'GDP-PI'!$8:$9,2,FALSE)</f>
        <v>113.623</v>
      </c>
      <c r="DQ298" s="177">
        <f t="shared" ref="DQ298" si="816">LN(DP298/DP297)</f>
        <v>1.1551816731392881E-2</v>
      </c>
    </row>
    <row r="299" spans="1:121" s="167" customFormat="1" ht="21" x14ac:dyDescent="0.35">
      <c r="A299" s="167" t="s">
        <v>44</v>
      </c>
      <c r="B299" s="167" t="s">
        <v>44</v>
      </c>
      <c r="C299" s="167">
        <v>4057114</v>
      </c>
      <c r="D299" s="167" t="s">
        <v>333</v>
      </c>
      <c r="E299" s="167" t="s">
        <v>126</v>
      </c>
      <c r="G299" s="168" t="s">
        <v>462</v>
      </c>
      <c r="H299" s="169">
        <v>2021</v>
      </c>
      <c r="I299" s="170"/>
      <c r="J299" s="166">
        <v>0</v>
      </c>
      <c r="K299" s="166">
        <f t="shared" si="765"/>
        <v>0</v>
      </c>
      <c r="L299" s="171"/>
      <c r="M299" s="172">
        <f t="shared" si="775"/>
        <v>0</v>
      </c>
      <c r="N299" s="196"/>
      <c r="O299" s="172"/>
      <c r="P299" s="166"/>
      <c r="Q299" s="166"/>
      <c r="R299" s="172"/>
      <c r="S299" s="172">
        <f t="shared" si="781"/>
        <v>0</v>
      </c>
      <c r="T299" s="172"/>
      <c r="U299" s="172"/>
      <c r="V299" s="166">
        <f t="shared" si="747"/>
        <v>46754.66480100841</v>
      </c>
      <c r="W299" s="170"/>
      <c r="X299" s="174">
        <v>1847.1903647949446</v>
      </c>
      <c r="Y299" s="175"/>
      <c r="Z299" s="175">
        <f t="shared" si="782"/>
        <v>0</v>
      </c>
      <c r="AA299" s="175"/>
      <c r="AB299" s="175"/>
      <c r="AC299" s="170">
        <f t="shared" si="682"/>
        <v>46754.66480100841</v>
      </c>
      <c r="AD299" s="175">
        <f t="shared" si="777"/>
        <v>-0.32630326925846881</v>
      </c>
      <c r="AE299" s="118"/>
      <c r="AF299" s="119"/>
      <c r="AG299" s="121"/>
      <c r="AH299" s="119">
        <f>+AZ299/$BB$59</f>
        <v>0</v>
      </c>
      <c r="AI299" s="119">
        <f t="shared" ref="AI299" si="817">+AZ299/$BC$44</f>
        <v>0</v>
      </c>
      <c r="AJ299" s="176">
        <f t="shared" si="783"/>
        <v>0</v>
      </c>
      <c r="AK299" s="176">
        <f t="shared" si="784"/>
        <v>0</v>
      </c>
      <c r="AL299" s="120">
        <f t="shared" si="767"/>
        <v>0</v>
      </c>
      <c r="AM299" s="120">
        <f t="shared" si="768"/>
        <v>0</v>
      </c>
      <c r="AN299" s="120">
        <f t="shared" si="769"/>
        <v>1</v>
      </c>
      <c r="AO299" s="120">
        <f t="shared" si="785"/>
        <v>0</v>
      </c>
      <c r="AP299" s="173">
        <f t="shared" si="789"/>
        <v>101.83498168780611</v>
      </c>
      <c r="AQ299" s="175">
        <f t="shared" si="790"/>
        <v>0</v>
      </c>
      <c r="AR299" s="177">
        <f>+AC299/$AE$59</f>
        <v>3.1701458152008201E-3</v>
      </c>
      <c r="AS299" s="177">
        <f t="shared" si="786"/>
        <v>0</v>
      </c>
      <c r="AT299" s="177"/>
      <c r="AU299" s="177"/>
      <c r="AV299" s="177"/>
      <c r="AW299" s="190"/>
      <c r="AX299" s="120"/>
      <c r="AY299" s="120"/>
      <c r="AZ299" s="118"/>
      <c r="BA299" s="119"/>
      <c r="BB299" s="118"/>
      <c r="BC299" s="121"/>
      <c r="BD299" s="118"/>
      <c r="BE299" s="119"/>
      <c r="BF299" s="119"/>
      <c r="BG299" s="173"/>
      <c r="BH299" s="173"/>
      <c r="BI299" s="173"/>
      <c r="BJ299" s="173"/>
      <c r="BK299" s="173"/>
      <c r="BL299" s="173"/>
      <c r="BM299" s="173"/>
      <c r="BN299" s="173"/>
      <c r="BO299" s="173"/>
      <c r="BP299" s="173"/>
      <c r="BQ299" s="118"/>
      <c r="BR299" s="118"/>
      <c r="BS299" s="118" t="str">
        <f>INDEX('Dist. Plant Gas Additions'!$E$7:$AE$91,MATCH($C299,'Dist. Plant Gas Additions'!$D$7:$D$91,0),MATCH(Calculation!$G299,'Dist. Plant Gas Additions'!$E$5:$AE$5,0))</f>
        <v>NA</v>
      </c>
      <c r="BT299" s="118" t="str">
        <f>INDEX('Gen. Plant Additions'!$E$7:$AE$91,MATCH($C299,'Gen. Plant Additions'!$D$7:$D$91,0),MATCH(Calculation!$G299,'Gen. Plant Additions'!$E$5:$AE$5,0))</f>
        <v>NA</v>
      </c>
      <c r="BU299" s="118"/>
      <c r="BV299" s="118"/>
      <c r="BW299" s="118"/>
      <c r="BX299" s="118"/>
      <c r="BY299" s="183"/>
      <c r="BZ299" s="183"/>
      <c r="CA299" s="178"/>
      <c r="CB299" s="184"/>
      <c r="CC299" s="185"/>
      <c r="CD299" s="185"/>
      <c r="CE299" s="118"/>
      <c r="CF299" s="118"/>
      <c r="CG299" s="118"/>
      <c r="CH299" s="118"/>
      <c r="CI299" s="121">
        <v>2021</v>
      </c>
      <c r="CJ299" s="118"/>
      <c r="CK299" s="118"/>
      <c r="CL299" s="118"/>
      <c r="CM299" s="183"/>
      <c r="CN299" s="118"/>
      <c r="CO299" s="118">
        <f t="shared" si="750"/>
        <v>0</v>
      </c>
      <c r="CP299" s="186">
        <f>+(51-23)/(51-23*0.75)</f>
        <v>0.82962962962962961</v>
      </c>
      <c r="CQ299" s="118">
        <f>CQ276*CP299+CO277*CP298+CO278*CP297+CO279*CP296+CO280*CP295+CO281*CP294+CO282*CP293+CO283*CP292+CO284*CP291+CO285*CP290+CO286*CP289+CO287*CP288+CO288*CP287+CO289*CP286+CO290*CP285+CO281*CP284+CO292*CP283+CO293*CP282+CO294*CP281+CO295*CP280+CO296*CP279+CO297*CP278+CO299+CO298*CP277</f>
        <v>1847.1903647949446</v>
      </c>
      <c r="CR299" s="119"/>
      <c r="CS299" s="118"/>
      <c r="CT299" s="177">
        <f t="shared" si="752"/>
        <v>5.0743464934596763E-3</v>
      </c>
      <c r="CU299" s="177">
        <f t="shared" si="760"/>
        <v>8.8370147960617276E-3</v>
      </c>
      <c r="CV299" s="119">
        <f>VLOOKUP($H299,RoR!$E:$F,2,FALSE)</f>
        <v>2.7033333333333336E-2</v>
      </c>
      <c r="CW299" s="177"/>
      <c r="CX299" s="177"/>
      <c r="CY299" s="177">
        <f t="shared" si="761"/>
        <v>2.2064926812471897E-2</v>
      </c>
      <c r="CZ299" s="177">
        <f t="shared" si="762"/>
        <v>7.433422950153494E-2</v>
      </c>
      <c r="DA299" s="187">
        <f t="shared" si="753"/>
        <v>0.89987312500000005</v>
      </c>
      <c r="DB299" s="188">
        <f t="shared" si="754"/>
        <v>1.8969932656739068</v>
      </c>
      <c r="DC299" s="188">
        <f t="shared" si="755"/>
        <v>5.0215782983970621E-2</v>
      </c>
      <c r="DD299" s="188">
        <f t="shared" si="756"/>
        <v>0.655952481704143</v>
      </c>
      <c r="DE299" s="188">
        <f t="shared" si="757"/>
        <v>6.2485378865697057E-2</v>
      </c>
      <c r="DF299" s="189">
        <f>DF298</f>
        <v>0.26700499999999999</v>
      </c>
      <c r="DG299" s="189">
        <v>0.375</v>
      </c>
      <c r="DH299" s="190">
        <f t="shared" si="759"/>
        <v>25.182794539309107</v>
      </c>
      <c r="DI299" s="190"/>
      <c r="DJ299" s="177">
        <f t="shared" ref="DJ299" si="818">LN(DH299/DH298)</f>
        <v>0.21487377055026902</v>
      </c>
      <c r="DK299" s="189">
        <f>VLOOKUP($H299,RoR!$E:$F,2,FALSE)</f>
        <v>2.7033333333333336E-2</v>
      </c>
      <c r="DL299" s="191">
        <f>HLOOKUP($H299,'GDP-PI'!$D$8:$CR$11,3,FALSE)</f>
        <v>4.2834637353352578E-2</v>
      </c>
      <c r="DM299" s="189">
        <f>VLOOKUP(H299,'HW Dx Data'!$E:$F,2,FALSE)</f>
        <v>933.02249921662576</v>
      </c>
      <c r="DN299" s="183">
        <f>VLOOKUP(H299,'ECI - Input Price'!$G$17:$H$37,2,FALSE)</f>
        <v>145.47500000000002</v>
      </c>
      <c r="DO299" s="177">
        <f t="shared" ref="DO299" si="819">LN(DN299/DN298)</f>
        <v>3.5152696992481205E-2</v>
      </c>
      <c r="DP299" s="183">
        <f>HLOOKUP(H299,'GDP-PI'!$8:$9,2,FALSE)</f>
        <v>118.49</v>
      </c>
      <c r="DQ299" s="177">
        <f t="shared" ref="DQ299" si="820">LN(DP299/DP298)</f>
        <v>4.194261824609434E-2</v>
      </c>
    </row>
    <row r="300" spans="1:121" s="167" customFormat="1" ht="21" x14ac:dyDescent="0.35">
      <c r="A300" s="167" t="s">
        <v>45</v>
      </c>
      <c r="B300" s="168" t="s">
        <v>45</v>
      </c>
      <c r="C300" s="168">
        <v>4059355</v>
      </c>
      <c r="D300" s="168" t="s">
        <v>138</v>
      </c>
      <c r="E300" s="168"/>
      <c r="F300" s="168"/>
      <c r="G300" s="168" t="s">
        <v>4</v>
      </c>
      <c r="H300" s="169">
        <v>1998</v>
      </c>
      <c r="I300" s="170"/>
      <c r="J300" s="166"/>
      <c r="K300" s="166"/>
      <c r="L300" s="166"/>
      <c r="M300" s="166"/>
      <c r="N300" s="196"/>
      <c r="O300" s="166"/>
      <c r="P300" s="172"/>
      <c r="Q300" s="172"/>
      <c r="R300" s="172"/>
      <c r="S300" s="166"/>
      <c r="T300" s="172"/>
      <c r="U300" s="172"/>
      <c r="V300" s="166"/>
      <c r="W300" s="170"/>
      <c r="X300" s="174">
        <v>564.0160449581681</v>
      </c>
      <c r="Y300" s="175"/>
      <c r="Z300" s="166"/>
      <c r="AA300" s="175"/>
      <c r="AB300" s="175"/>
      <c r="AC300" s="170">
        <f t="shared" si="682"/>
        <v>0</v>
      </c>
      <c r="AD300" s="170"/>
      <c r="AE300" s="170"/>
      <c r="AF300" s="119"/>
      <c r="AG300" s="174"/>
      <c r="AH300" s="175"/>
      <c r="AI300" s="175"/>
      <c r="AJ300" s="174"/>
      <c r="AK300" s="174"/>
      <c r="AL300" s="120"/>
      <c r="AM300" s="120"/>
      <c r="AN300" s="120"/>
      <c r="AO300" s="120"/>
      <c r="AP300" s="120"/>
      <c r="AQ300" s="175">
        <f>AVERAGE(AQ309:AQ323)</f>
        <v>2.8733681160194962E-2</v>
      </c>
      <c r="AR300" s="120"/>
      <c r="AS300" s="120"/>
      <c r="AT300" s="120"/>
      <c r="AU300" s="120"/>
      <c r="AV300" s="120"/>
      <c r="AW300" s="120"/>
      <c r="AX300" s="120"/>
      <c r="AY300" s="120"/>
      <c r="AZ300" s="118">
        <f>IFERROR(INDEX('Total Customers'!$F$7:$AB$91,MATCH($C300,'Total Customers'!$D$7:$D$91,0),MATCH($G300,'Total Customers'!$F$5:$AB$5,0)),"NA")</f>
        <v>140078</v>
      </c>
      <c r="BA300" s="119"/>
      <c r="BB300" s="119"/>
      <c r="BC300" s="121"/>
      <c r="BD300" s="119"/>
      <c r="BE300" s="119"/>
      <c r="BF300" s="119"/>
      <c r="BG300" s="173"/>
      <c r="BH300" s="173"/>
      <c r="BI300" s="173"/>
      <c r="BJ300" s="173"/>
      <c r="BK300" s="173"/>
      <c r="BL300" s="173"/>
      <c r="BM300" s="173"/>
      <c r="BN300" s="173"/>
      <c r="BO300" s="173"/>
      <c r="BP300" s="173"/>
      <c r="BQ300" s="118">
        <f>INDEX('Gross Dx Plant'!$E$7:$AD$91,MATCH($C300,'Gross Dx Plant'!$D$7:$D$91,0),MATCH(Calculation!$G300,'Gross Dx Plant'!$E$5:$AD$5,0))</f>
        <v>186927</v>
      </c>
      <c r="BR300" s="118">
        <f>INDEX('Gross Gen Plant'!$E$7:$AD$91,MATCH($C300,'Gross Gen Plant'!$D$7:$D$91,0),MATCH(Calculation!$G300,'Gross Gen Plant'!$E$5:$AD$5,0))</f>
        <v>5084</v>
      </c>
      <c r="BS300" s="118">
        <f>INDEX('Dist. Plant Gas Additions'!$F$7:$AE$91,MATCH($C300,'Dist. Plant Gas Additions'!$D$7:$D$91,0),MATCH(Calculation!$G300,'Dist. Plant Gas Additions'!$F$5:$AE$5,0))</f>
        <v>10063</v>
      </c>
      <c r="BT300" s="118">
        <f>INDEX('Gen. Plant Additions'!$F$7:$AE$91,MATCH($C300,'Gen. Plant Additions'!$D$7:$D$91,0),MATCH(Calculation!$G300,'Gen. Plant Additions'!$F$5:$AE$5,0))</f>
        <v>482</v>
      </c>
      <c r="BU300" s="118" t="e">
        <f>INDEX('Dist Plant Depreciation'!$E$7:$AA$94,MATCH($C300,'Dist Plant Depreciation'!$D$7:$D$94,0),MATCH(#REF!,'Dist Plant Depreciation'!$E$5:$AA$5,0))</f>
        <v>#REF!</v>
      </c>
      <c r="BV300" s="118" t="e">
        <f>INDEX('Gen. Plant Depreciation'!$E$7:$AA$94,MATCH($C300,'Gen. Plant Depreciation'!$D$7:$D$94,0),MATCH(#REF!,'Gen. Plant Depreciation'!$E$5:$AA$5,0))</f>
        <v>#REF!</v>
      </c>
      <c r="BW300" s="118">
        <f>INDEX('Dist Plant Depreciation'!$E$7:$AD$94,MATCH($C300,'Dist Plant Depreciation'!$D$7:$D$94,0),MATCH(Calculation!$G300,'Dist Plant Depreciation'!$E$5:$AD$5,0))</f>
        <v>77619</v>
      </c>
      <c r="BX300" s="118">
        <f>INDEX('Gen. Plant Depreciation'!$E$7:$AD$94,MATCH($C300,'Gen. Plant Depreciation'!$D$7:$D$94,0),MATCH(Calculation!$G300,'Gen. Plant Depreciation'!$E$5:$AD$5,0))</f>
        <v>619</v>
      </c>
      <c r="BY300" s="118"/>
      <c r="BZ300" s="118"/>
      <c r="CA300" s="118"/>
      <c r="CB300" s="118"/>
      <c r="CC300" s="118"/>
      <c r="CD300" s="118"/>
      <c r="CE300" s="118">
        <f>INDEX('Gross Dx Plant'!$E$7:$AD$91,MATCH($C300,'Gross Dx Plant'!$D$7:$D$91,0),MATCH(Calculation!$G300,'Gross Dx Plant'!$E$5:$AD$5,0))</f>
        <v>186927</v>
      </c>
      <c r="CF300" s="118">
        <f>INDEX('Gross Gen Plant'!$E$7:$AD$91,MATCH($C300,'Gross Gen Plant'!$D$7:$D$91,0),MATCH(Calculation!$G300,'Gross Gen Plant'!$E$5:$AD$5,0))</f>
        <v>5084</v>
      </c>
      <c r="CG300" s="118">
        <f t="shared" si="637"/>
        <v>113773</v>
      </c>
      <c r="CH300" s="118"/>
      <c r="CI300" s="121">
        <v>1998</v>
      </c>
      <c r="CJ300" s="118">
        <f>BQ300+BR300</f>
        <v>192011</v>
      </c>
      <c r="CK300" s="118">
        <f>77619+619</f>
        <v>78238</v>
      </c>
      <c r="CL300" s="118">
        <f>+CJ300-CK300</f>
        <v>113773</v>
      </c>
      <c r="CM300" s="118">
        <f>CL300/$CD$36</f>
        <v>564.0160449581681</v>
      </c>
      <c r="CN300" s="183"/>
      <c r="CO300" s="183"/>
      <c r="CP300" s="186">
        <v>1</v>
      </c>
      <c r="CQ300" s="118">
        <f>+CM300</f>
        <v>564.0160449581681</v>
      </c>
      <c r="CR300" s="119"/>
      <c r="CS300" s="119"/>
      <c r="CT300" s="177"/>
      <c r="CU300" s="177"/>
      <c r="CV300" s="119" t="e">
        <f>VLOOKUP($H300,RoR!$E:$F,2,FALSE)</f>
        <v>#N/A</v>
      </c>
      <c r="CW300" s="177">
        <v>1.1028127770464469E-2</v>
      </c>
      <c r="CX300" s="177"/>
      <c r="CY300" s="177"/>
      <c r="CZ300" s="177"/>
      <c r="DA300" s="187"/>
      <c r="DB300" s="190" t="e">
        <f>2/(DK300*39)</f>
        <v>#N/A</v>
      </c>
      <c r="DC300" s="188" t="e">
        <f>+(DK300*40-(1+DK300))/(DK300*40)</f>
        <v>#N/A</v>
      </c>
      <c r="DD300" s="188" t="e">
        <f>+(1-(1/(1+DK300)^40))</f>
        <v>#N/A</v>
      </c>
      <c r="DE300" s="188" t="e">
        <f>+DD300*DC300*DB300</f>
        <v>#N/A</v>
      </c>
      <c r="DF300" s="189">
        <f>INDEX('State Tax Lookup'!$D$7:$Z$91,MATCH(Calculation!$C300,'State Tax Lookup'!$B$7:$B$91,0),MATCH($H300,'State Tax Lookup'!$D$6:$Z$6,0))</f>
        <v>0.35</v>
      </c>
      <c r="DG300" s="189">
        <v>0.375</v>
      </c>
      <c r="DH300" s="183"/>
      <c r="DI300" s="183"/>
      <c r="DJ300" s="177"/>
      <c r="DK300" s="189" t="e">
        <f>VLOOKUP($H300,RoR!$E:$F,2,FALSE)</f>
        <v>#N/A</v>
      </c>
      <c r="DL300" s="191">
        <f>HLOOKUP($H300,'GDP-PI'!$D$8:$CQ$11,3,FALSE)</f>
        <v>1.1028127770464469E-2</v>
      </c>
      <c r="DM300" s="189">
        <f>VLOOKUP(H300,'HW Dx Data'!$E:$F,2,FALSE)</f>
        <v>329.24564746449528</v>
      </c>
      <c r="DN300" s="183" t="e">
        <f>VLOOKUP(H300,'ECI - Input Price'!$G$17:$H$37,2,FALSE)</f>
        <v>#N/A</v>
      </c>
      <c r="DO300" s="177"/>
      <c r="DP300" s="183">
        <f>HLOOKUP(H300,'GDP-PI'!$8:$9,2,FALSE)</f>
        <v>75.266999999999996</v>
      </c>
    </row>
    <row r="301" spans="1:121" s="167" customFormat="1" ht="21" x14ac:dyDescent="0.35">
      <c r="A301" s="167" t="s">
        <v>45</v>
      </c>
      <c r="B301" s="168" t="s">
        <v>45</v>
      </c>
      <c r="C301" s="168">
        <v>4059355</v>
      </c>
      <c r="D301" s="168" t="s">
        <v>138</v>
      </c>
      <c r="E301" s="168"/>
      <c r="F301" s="168"/>
      <c r="G301" s="168" t="s">
        <v>5</v>
      </c>
      <c r="H301" s="169">
        <v>1999</v>
      </c>
      <c r="I301" s="170"/>
      <c r="J301" s="166"/>
      <c r="K301" s="170"/>
      <c r="L301" s="170"/>
      <c r="M301" s="166"/>
      <c r="N301" s="173"/>
      <c r="O301" s="170"/>
      <c r="P301" s="177"/>
      <c r="Q301" s="177"/>
      <c r="R301" s="177"/>
      <c r="S301" s="195"/>
      <c r="T301" s="177"/>
      <c r="U301" s="177"/>
      <c r="V301" s="166">
        <f t="shared" ref="V301:V323" si="821">+CQ300*DH301</f>
        <v>0</v>
      </c>
      <c r="W301" s="170"/>
      <c r="X301" s="174">
        <v>591.44335145230809</v>
      </c>
      <c r="Y301" s="175">
        <v>4.7483208229293077E-2</v>
      </c>
      <c r="Z301" s="175"/>
      <c r="AA301" s="175"/>
      <c r="AB301" s="175"/>
      <c r="AC301" s="170">
        <f t="shared" si="682"/>
        <v>0</v>
      </c>
      <c r="AD301" s="175"/>
      <c r="AE301" s="170"/>
      <c r="AF301" s="170"/>
      <c r="AG301" s="174"/>
      <c r="AH301" s="175"/>
      <c r="AI301" s="175"/>
      <c r="AJ301" s="174"/>
      <c r="AK301" s="174"/>
      <c r="AL301" s="120"/>
      <c r="AM301" s="120"/>
      <c r="AN301" s="120"/>
      <c r="AO301" s="120"/>
      <c r="AP301" s="120"/>
      <c r="AQ301" s="175"/>
      <c r="AR301" s="120"/>
      <c r="AS301" s="120"/>
      <c r="AT301" s="120"/>
      <c r="AU301" s="120"/>
      <c r="AV301" s="120"/>
      <c r="AW301" s="120"/>
      <c r="AX301" s="120"/>
      <c r="AY301" s="120"/>
      <c r="AZ301" s="118">
        <f>IFERROR(INDEX('Total Customers'!$F$7:$AB$91,MATCH($C301,'Total Customers'!$D$7:$D$91,0),MATCH($G301,'Total Customers'!$F$5:$AB$5,0)),"NA")</f>
        <v>141815</v>
      </c>
      <c r="BA301" s="119">
        <f t="shared" ref="BA301:BA323" si="822">LN(AZ301/AZ300)</f>
        <v>1.2323980976099007E-2</v>
      </c>
      <c r="BB301" s="119"/>
      <c r="BC301" s="121"/>
      <c r="BD301" s="119"/>
      <c r="BE301" s="119"/>
      <c r="BF301" s="119"/>
      <c r="BG301" s="173"/>
      <c r="BH301" s="173"/>
      <c r="BI301" s="173"/>
      <c r="BJ301" s="173"/>
      <c r="BK301" s="173"/>
      <c r="BL301" s="173"/>
      <c r="BM301" s="173"/>
      <c r="BN301" s="173"/>
      <c r="BO301" s="173"/>
      <c r="BP301" s="173"/>
      <c r="BQ301" s="118"/>
      <c r="BR301" s="118"/>
      <c r="BS301" s="118">
        <f>INDEX('Dist. Plant Gas Additions'!$F$7:$AE$91,MATCH($C301,'Dist. Plant Gas Additions'!$D$7:$D$91,0),MATCH(Calculation!$G301,'Dist. Plant Gas Additions'!$F$5:$AE$5,0))</f>
        <v>9952</v>
      </c>
      <c r="BT301" s="118">
        <f>INDEX('Gen. Plant Additions'!$F$7:$AE$91,MATCH($C301,'Gen. Plant Additions'!$D$7:$D$91,0),MATCH(Calculation!$G301,'Gen. Plant Additions'!$F$5:$AE$5,0))</f>
        <v>186</v>
      </c>
      <c r="BU301" s="118"/>
      <c r="BV301" s="118"/>
      <c r="BW301" s="118">
        <f>INDEX('Dist Plant Depreciation'!$E$7:$AD$94,MATCH($C301,'Dist Plant Depreciation'!$D$7:$D$94,0),MATCH(Calculation!$G301,'Dist Plant Depreciation'!$E$5:$AD$5,0))</f>
        <v>83207</v>
      </c>
      <c r="BX301" s="118">
        <f>INDEX('Gen. Plant Depreciation'!$E$7:$AD$94,MATCH($C301,'Gen. Plant Depreciation'!$D$7:$D$94,0),MATCH(Calculation!$G301,'Gen. Plant Depreciation'!$E$5:$AD$5,0))</f>
        <v>650</v>
      </c>
      <c r="BY301" s="118"/>
      <c r="BZ301" s="118"/>
      <c r="CA301" s="118"/>
      <c r="CB301" s="118"/>
      <c r="CC301" s="118"/>
      <c r="CD301" s="118"/>
      <c r="CE301" s="118">
        <f>INDEX('Gross Dx Plant'!$E$7:$AD$91,MATCH($C301,'Gross Dx Plant'!$D$7:$D$91,0),MATCH(Calculation!$G301,'Gross Dx Plant'!$E$5:$AD$5,0))</f>
        <v>195708</v>
      </c>
      <c r="CF301" s="118">
        <f>INDEX('Gross Gen Plant'!$E$7:$AD$91,MATCH($C301,'Gross Gen Plant'!$D$7:$D$91,0),MATCH(Calculation!$G301,'Gross Gen Plant'!$E$5:$AD$5,0))</f>
        <v>5078</v>
      </c>
      <c r="CG301" s="118">
        <f t="shared" si="637"/>
        <v>116929</v>
      </c>
      <c r="CH301" s="118"/>
      <c r="CI301" s="121">
        <v>1999</v>
      </c>
      <c r="CJ301" s="118"/>
      <c r="CK301" s="118"/>
      <c r="CL301" s="118"/>
      <c r="CM301" s="183"/>
      <c r="CN301" s="118">
        <f t="shared" ref="CN301:CN323" si="823">+BT301+BS301</f>
        <v>10138</v>
      </c>
      <c r="CO301" s="118">
        <f t="shared" ref="CO301:CO323" si="824">+CN301/$DM301</f>
        <v>30.233356469056282</v>
      </c>
      <c r="CP301" s="186">
        <v>0.99502487562189057</v>
      </c>
      <c r="CQ301" s="118">
        <f>+CQ300*CP301+CO301</f>
        <v>591.44335145230809</v>
      </c>
      <c r="CR301" s="119">
        <f t="shared" ref="CR301:CR322" si="825">LN(CQ301/CQ300)</f>
        <v>4.7483208229293077E-2</v>
      </c>
      <c r="CS301" s="119"/>
      <c r="CT301" s="177">
        <f t="shared" ref="CT301:CT323" si="826">+(CQ300-CQ301+CO301)/CQ300</f>
        <v>4.9751243781094977E-3</v>
      </c>
      <c r="CU301" s="177"/>
      <c r="CV301" s="119">
        <f>VLOOKUP($H301,RoR!$E:$F,2,FALSE)</f>
        <v>7.0416666666666669E-2</v>
      </c>
      <c r="CW301" s="177">
        <v>1.4335631817396832E-2</v>
      </c>
      <c r="CX301" s="177">
        <f>+CV301-CW301</f>
        <v>5.6081034849269837E-2</v>
      </c>
      <c r="CY301" s="177"/>
      <c r="CZ301" s="177"/>
      <c r="DA301" s="187">
        <f t="shared" ref="DA301:DA323" si="827">1-DF301*DG301</f>
        <v>0.86875000000000002</v>
      </c>
      <c r="DB301" s="188">
        <f t="shared" ref="DB301:DB323" si="828">2/(DK301*39)</f>
        <v>0.72826581702321336</v>
      </c>
      <c r="DC301" s="188">
        <f t="shared" ref="DC301:DC323" si="829">+(DK301*40-(1+DK301))/(DK301*40)</f>
        <v>0.61997041420118348</v>
      </c>
      <c r="DD301" s="188">
        <f t="shared" ref="DD301:DD323" si="830">+(1-(1/(1+DK301)^40))</f>
        <v>0.93425155319585029</v>
      </c>
      <c r="DE301" s="188">
        <f t="shared" ref="DE301:DE323" si="831">+DD301*DC301*DB301</f>
        <v>0.42181762214141483</v>
      </c>
      <c r="DF301" s="189">
        <f>INDEX('State Tax Lookup'!$D$7:$Z$91,MATCH(Calculation!$C301,'State Tax Lookup'!$B$7:$B$91,0),MATCH($H301,'State Tax Lookup'!$D$6:$Z$6,0))</f>
        <v>0.35</v>
      </c>
      <c r="DG301" s="189">
        <v>0.375</v>
      </c>
      <c r="DH301" s="190"/>
      <c r="DI301" s="190"/>
      <c r="DJ301" s="177"/>
      <c r="DK301" s="189">
        <f>VLOOKUP($H301,RoR!$E:$F,2,FALSE)</f>
        <v>7.0416666666666669E-2</v>
      </c>
      <c r="DL301" s="191">
        <f>HLOOKUP($H301,'GDP-PI'!$D$8:$CQ$11,3,FALSE)</f>
        <v>1.4335631817396832E-2</v>
      </c>
      <c r="DM301" s="189">
        <f>VLOOKUP(H301,'HW Dx Data'!$E:$F,2,FALSE)</f>
        <v>335.32499146683239</v>
      </c>
      <c r="DN301" s="183" t="e">
        <f>VLOOKUP(H301,'ECI - Input Price'!$G$17:$H$37,2,FALSE)</f>
        <v>#N/A</v>
      </c>
      <c r="DO301" s="177"/>
      <c r="DP301" s="183">
        <f>HLOOKUP(H301,'GDP-PI'!$8:$9,2,FALSE)</f>
        <v>76.346000000000004</v>
      </c>
    </row>
    <row r="302" spans="1:121" s="167" customFormat="1" ht="21" x14ac:dyDescent="0.35">
      <c r="A302" s="167" t="s">
        <v>45</v>
      </c>
      <c r="B302" s="168" t="s">
        <v>45</v>
      </c>
      <c r="C302" s="168">
        <v>4059355</v>
      </c>
      <c r="D302" s="168" t="s">
        <v>138</v>
      </c>
      <c r="E302" s="168"/>
      <c r="F302" s="168"/>
      <c r="G302" s="168" t="s">
        <v>6</v>
      </c>
      <c r="H302" s="169">
        <v>2000</v>
      </c>
      <c r="I302" s="170"/>
      <c r="J302" s="166"/>
      <c r="K302" s="166"/>
      <c r="L302" s="166"/>
      <c r="M302" s="166"/>
      <c r="N302" s="196"/>
      <c r="O302" s="166"/>
      <c r="P302" s="166"/>
      <c r="Q302" s="166"/>
      <c r="R302" s="166"/>
      <c r="S302" s="166"/>
      <c r="T302" s="166"/>
      <c r="U302" s="166"/>
      <c r="V302" s="166">
        <f t="shared" si="821"/>
        <v>0</v>
      </c>
      <c r="W302" s="170"/>
      <c r="X302" s="174">
        <v>588.40185495116896</v>
      </c>
      <c r="Y302" s="175">
        <v>-5.1557665735003496E-3</v>
      </c>
      <c r="Z302" s="175"/>
      <c r="AA302" s="175"/>
      <c r="AB302" s="175"/>
      <c r="AC302" s="170">
        <f t="shared" si="682"/>
        <v>0</v>
      </c>
      <c r="AD302" s="175"/>
      <c r="AE302" s="170"/>
      <c r="AF302" s="170"/>
      <c r="AG302" s="174"/>
      <c r="AH302" s="175"/>
      <c r="AI302" s="175"/>
      <c r="AJ302" s="174"/>
      <c r="AK302" s="174"/>
      <c r="AL302" s="120"/>
      <c r="AM302" s="120"/>
      <c r="AN302" s="120"/>
      <c r="AO302" s="120"/>
      <c r="AP302" s="120"/>
      <c r="AQ302" s="175"/>
      <c r="AR302" s="120"/>
      <c r="AS302" s="120"/>
      <c r="AT302" s="120"/>
      <c r="AU302" s="120"/>
      <c r="AV302" s="120"/>
      <c r="AW302" s="120"/>
      <c r="AX302" s="120"/>
      <c r="AY302" s="120"/>
      <c r="AZ302" s="118">
        <f>IFERROR(INDEX('Total Customers'!$F$7:$AB$91,MATCH($C302,'Total Customers'!$D$7:$D$91,0),MATCH($G302,'Total Customers'!$F$5:$AB$5,0)),"NA")</f>
        <v>143182</v>
      </c>
      <c r="BA302" s="119">
        <f t="shared" si="822"/>
        <v>9.5931570057387165E-3</v>
      </c>
      <c r="BB302" s="119"/>
      <c r="BC302" s="121"/>
      <c r="BD302" s="119"/>
      <c r="BE302" s="119"/>
      <c r="BF302" s="119"/>
      <c r="BG302" s="173"/>
      <c r="BH302" s="173"/>
      <c r="BI302" s="173"/>
      <c r="BJ302" s="173"/>
      <c r="BK302" s="173"/>
      <c r="BL302" s="173"/>
      <c r="BM302" s="173"/>
      <c r="BN302" s="173"/>
      <c r="BO302" s="173"/>
      <c r="BP302" s="173"/>
      <c r="BQ302" s="118"/>
      <c r="BR302" s="118"/>
      <c r="BS302" s="118">
        <f>INDEX('Dist. Plant Gas Additions'!$F$7:$AE$91,MATCH($C302,'Dist. Plant Gas Additions'!$D$7:$D$91,0),MATCH(Calculation!$G302,'Dist. Plant Gas Additions'!$F$5:$AE$5,0))</f>
        <v>0</v>
      </c>
      <c r="BT302" s="118">
        <f>INDEX('Gen. Plant Additions'!$F$7:$AE$91,MATCH($C302,'Gen. Plant Additions'!$D$7:$D$91,0),MATCH(Calculation!$G302,'Gen. Plant Additions'!$F$5:$AE$5,0))</f>
        <v>0</v>
      </c>
      <c r="BU302" s="118"/>
      <c r="BV302" s="118"/>
      <c r="BW302" s="118" t="str">
        <f>INDEX('Dist Plant Depreciation'!$E$7:$AD$94,MATCH($C302,'Dist Plant Depreciation'!$D$7:$D$94,0),MATCH(Calculation!$G302,'Dist Plant Depreciation'!$E$5:$AD$5,0))</f>
        <v>NA</v>
      </c>
      <c r="BX302" s="118" t="str">
        <f>INDEX('Gen. Plant Depreciation'!$E$7:$AD$94,MATCH($C302,'Gen. Plant Depreciation'!$D$7:$D$94,0),MATCH(Calculation!$G302,'Gen. Plant Depreciation'!$E$5:$AD$5,0))</f>
        <v>NA</v>
      </c>
      <c r="BY302" s="118"/>
      <c r="BZ302" s="118"/>
      <c r="CA302" s="118"/>
      <c r="CB302" s="118"/>
      <c r="CC302" s="118"/>
      <c r="CD302" s="118"/>
      <c r="CE302" s="118">
        <f>INDEX('Gross Dx Plant'!$E$7:$AD$91,MATCH($C302,'Gross Dx Plant'!$D$7:$D$91,0),MATCH(Calculation!$G302,'Gross Dx Plant'!$E$5:$AD$5,0))</f>
        <v>203849</v>
      </c>
      <c r="CF302" s="118">
        <f>INDEX('Gross Gen Plant'!$E$7:$AD$91,MATCH($C302,'Gross Gen Plant'!$D$7:$D$91,0),MATCH(Calculation!$G302,'Gross Gen Plant'!$E$5:$AD$5,0))</f>
        <v>5102</v>
      </c>
      <c r="CG302" s="118" t="str">
        <f t="shared" si="637"/>
        <v>NA</v>
      </c>
      <c r="CH302" s="118"/>
      <c r="CI302" s="121">
        <v>2000</v>
      </c>
      <c r="CJ302" s="118"/>
      <c r="CK302" s="118"/>
      <c r="CL302" s="118"/>
      <c r="CM302" s="183"/>
      <c r="CN302" s="118">
        <f t="shared" si="823"/>
        <v>0</v>
      </c>
      <c r="CO302" s="118">
        <f t="shared" si="824"/>
        <v>0</v>
      </c>
      <c r="CP302" s="186">
        <v>0.98989898989898994</v>
      </c>
      <c r="CQ302" s="118">
        <f>+CQ300*CP302+CO301*CP301+CO302</f>
        <v>588.40185495116896</v>
      </c>
      <c r="CR302" s="119">
        <f t="shared" si="825"/>
        <v>-5.1557665735003496E-3</v>
      </c>
      <c r="CS302" s="119"/>
      <c r="CT302" s="177">
        <f t="shared" si="826"/>
        <v>5.1424984213122756E-3</v>
      </c>
      <c r="CU302" s="177"/>
      <c r="CV302" s="119">
        <f>VLOOKUP($H302,RoR!$E:$F,2,FALSE)</f>
        <v>7.6225000000000001E-2</v>
      </c>
      <c r="CW302" s="177">
        <v>2.2568307442433211E-2</v>
      </c>
      <c r="CX302" s="177">
        <f t="shared" ref="CX302:CX322" si="832">+CV302-CW302</f>
        <v>5.365669255756679E-2</v>
      </c>
      <c r="CY302" s="177"/>
      <c r="CZ302" s="177"/>
      <c r="DA302" s="187">
        <f t="shared" si="827"/>
        <v>0.86875000000000002</v>
      </c>
      <c r="DB302" s="188">
        <f t="shared" si="828"/>
        <v>0.67277207323124022</v>
      </c>
      <c r="DC302" s="188">
        <f t="shared" si="829"/>
        <v>0.6470236142997704</v>
      </c>
      <c r="DD302" s="188">
        <f t="shared" si="830"/>
        <v>0.94704866037543145</v>
      </c>
      <c r="DE302" s="188">
        <f t="shared" si="831"/>
        <v>0.41224973107878493</v>
      </c>
      <c r="DF302" s="189">
        <f>INDEX('State Tax Lookup'!$D$7:$Z$91,MATCH(Calculation!$C302,'State Tax Lookup'!$B$7:$B$91,0),MATCH($H302,'State Tax Lookup'!$D$6:$Z$6,0))</f>
        <v>0.35</v>
      </c>
      <c r="DG302" s="189">
        <v>0.375</v>
      </c>
      <c r="DH302" s="190"/>
      <c r="DI302" s="190"/>
      <c r="DJ302" s="177"/>
      <c r="DK302" s="189">
        <f>VLOOKUP($H302,RoR!$E:$F,2,FALSE)</f>
        <v>7.6225000000000001E-2</v>
      </c>
      <c r="DL302" s="191">
        <f>HLOOKUP($H302,'GDP-PI'!$D$8:$CQ$11,3,FALSE)</f>
        <v>2.2568307442433211E-2</v>
      </c>
      <c r="DM302" s="189">
        <f>VLOOKUP(H302,'HW Dx Data'!$E:$F,2,FALSE)</f>
        <v>346.53371782150339</v>
      </c>
      <c r="DN302" s="183" t="e">
        <f>VLOOKUP(H302,'ECI - Input Price'!$G$17:$H$37,2,FALSE)</f>
        <v>#N/A</v>
      </c>
      <c r="DO302" s="177"/>
      <c r="DP302" s="183">
        <f>HLOOKUP(H302,'GDP-PI'!$8:$9,2,FALSE)</f>
        <v>78.069000000000003</v>
      </c>
    </row>
    <row r="303" spans="1:121" s="167" customFormat="1" ht="21" x14ac:dyDescent="0.35">
      <c r="A303" s="167" t="s">
        <v>45</v>
      </c>
      <c r="B303" s="168" t="s">
        <v>45</v>
      </c>
      <c r="C303" s="168">
        <v>4059355</v>
      </c>
      <c r="D303" s="168" t="s">
        <v>138</v>
      </c>
      <c r="E303" s="168"/>
      <c r="F303" s="168"/>
      <c r="G303" s="168" t="s">
        <v>7</v>
      </c>
      <c r="H303" s="169">
        <v>2001</v>
      </c>
      <c r="I303" s="170"/>
      <c r="J303" s="166"/>
      <c r="K303" s="166"/>
      <c r="L303" s="166"/>
      <c r="M303" s="166"/>
      <c r="N303" s="196"/>
      <c r="O303" s="166"/>
      <c r="P303" s="166"/>
      <c r="Q303" s="166"/>
      <c r="R303" s="166"/>
      <c r="S303" s="166"/>
      <c r="T303" s="166"/>
      <c r="U303" s="166"/>
      <c r="V303" s="166">
        <f t="shared" si="821"/>
        <v>7139.5480234464449</v>
      </c>
      <c r="W303" s="170"/>
      <c r="X303" s="174">
        <v>614.47628394016351</v>
      </c>
      <c r="Y303" s="175">
        <v>4.3360192928509234E-2</v>
      </c>
      <c r="Z303" s="175"/>
      <c r="AA303" s="175"/>
      <c r="AB303" s="175"/>
      <c r="AC303" s="170">
        <f t="shared" si="682"/>
        <v>7139.5480234464449</v>
      </c>
      <c r="AD303" s="175"/>
      <c r="AE303" s="170"/>
      <c r="AF303" s="170"/>
      <c r="AG303" s="174"/>
      <c r="AH303" s="175"/>
      <c r="AI303" s="175"/>
      <c r="AJ303" s="174"/>
      <c r="AK303" s="174"/>
      <c r="AL303" s="120"/>
      <c r="AM303" s="120"/>
      <c r="AN303" s="120"/>
      <c r="AO303" s="120"/>
      <c r="AP303" s="120"/>
      <c r="AQ303" s="175"/>
      <c r="AR303" s="120"/>
      <c r="AS303" s="120"/>
      <c r="AT303" s="120"/>
      <c r="AU303" s="120"/>
      <c r="AV303" s="120"/>
      <c r="AW303" s="120"/>
      <c r="AX303" s="120"/>
      <c r="AY303" s="120"/>
      <c r="AZ303" s="118">
        <f>IFERROR(INDEX('Total Customers'!$F$7:$AB$91,MATCH($C303,'Total Customers'!$D$7:$D$91,0),MATCH($G303,'Total Customers'!$F$5:$AB$5,0)),"NA")</f>
        <v>142162</v>
      </c>
      <c r="BA303" s="119">
        <f t="shared" si="822"/>
        <v>-7.1492958993565944E-3</v>
      </c>
      <c r="BB303" s="119"/>
      <c r="BC303" s="121"/>
      <c r="BD303" s="119"/>
      <c r="BE303" s="119"/>
      <c r="BF303" s="119"/>
      <c r="BG303" s="173"/>
      <c r="BH303" s="173"/>
      <c r="BI303" s="173"/>
      <c r="BJ303" s="173"/>
      <c r="BK303" s="173"/>
      <c r="BL303" s="173"/>
      <c r="BM303" s="173"/>
      <c r="BN303" s="173"/>
      <c r="BO303" s="173"/>
      <c r="BP303" s="173"/>
      <c r="BQ303" s="118"/>
      <c r="BR303" s="118"/>
      <c r="BS303" s="118">
        <f>INDEX('Dist. Plant Gas Additions'!$F$7:$AE$91,MATCH($C303,'Dist. Plant Gas Additions'!$D$7:$D$91,0),MATCH(Calculation!$G303,'Dist. Plant Gas Additions'!$F$5:$AE$5,0))</f>
        <v>10108</v>
      </c>
      <c r="BT303" s="118">
        <f>INDEX('Gen. Plant Additions'!$F$7:$AE$91,MATCH($C303,'Gen. Plant Additions'!$D$7:$D$91,0),MATCH(Calculation!$G303,'Gen. Plant Additions'!$F$5:$AE$5,0))</f>
        <v>216</v>
      </c>
      <c r="BU303" s="118"/>
      <c r="BV303" s="118"/>
      <c r="BW303" s="118">
        <f>INDEX('Dist Plant Depreciation'!$E$7:$AD$94,MATCH($C303,'Dist Plant Depreciation'!$D$7:$D$94,0),MATCH(Calculation!$G303,'Dist Plant Depreciation'!$E$5:$AD$5,0))</f>
        <v>94318</v>
      </c>
      <c r="BX303" s="118">
        <f>INDEX('Gen. Plant Depreciation'!$E$7:$AD$94,MATCH($C303,'Gen. Plant Depreciation'!$D$7:$D$94,0),MATCH(Calculation!$G303,'Gen. Plant Depreciation'!$E$5:$AD$5,0))</f>
        <v>809</v>
      </c>
      <c r="BY303" s="118"/>
      <c r="BZ303" s="118"/>
      <c r="CA303" s="118"/>
      <c r="CB303" s="118"/>
      <c r="CC303" s="118"/>
      <c r="CD303" s="118"/>
      <c r="CE303" s="118">
        <f>INDEX('Gross Dx Plant'!$E$7:$AD$91,MATCH($C303,'Gross Dx Plant'!$D$7:$D$91,0),MATCH(Calculation!$G303,'Gross Dx Plant'!$E$5:$AD$5,0))</f>
        <v>212591</v>
      </c>
      <c r="CF303" s="118">
        <f>INDEX('Gross Gen Plant'!$E$7:$AD$91,MATCH($C303,'Gross Gen Plant'!$D$7:$D$91,0),MATCH(Calculation!$G303,'Gross Gen Plant'!$E$5:$AD$5,0))</f>
        <v>5059</v>
      </c>
      <c r="CG303" s="118">
        <f t="shared" si="637"/>
        <v>122523</v>
      </c>
      <c r="CH303" s="118"/>
      <c r="CI303" s="121">
        <v>2001</v>
      </c>
      <c r="CJ303" s="118"/>
      <c r="CK303" s="118"/>
      <c r="CL303" s="118"/>
      <c r="CM303" s="183"/>
      <c r="CN303" s="118">
        <f t="shared" si="823"/>
        <v>10324</v>
      </c>
      <c r="CO303" s="118">
        <f t="shared" si="824"/>
        <v>29.209439874453938</v>
      </c>
      <c r="CP303" s="186">
        <v>0.98461538461538467</v>
      </c>
      <c r="CQ303" s="118">
        <f>+CQ300*CP303+CO301*CP302+CO302*CP300+CO303</f>
        <v>614.47628394016351</v>
      </c>
      <c r="CR303" s="119">
        <f t="shared" si="825"/>
        <v>4.3360192928509234E-2</v>
      </c>
      <c r="CS303" s="119"/>
      <c r="CT303" s="177">
        <f t="shared" si="826"/>
        <v>5.3280098610830441E-3</v>
      </c>
      <c r="CU303" s="177">
        <f>+(CT303+CT302+CT301)/3</f>
        <v>5.1485442201682722E-3</v>
      </c>
      <c r="CV303" s="119">
        <f>VLOOKUP($H303,RoR!$E:$F,2,FALSE)</f>
        <v>7.0824999999999999E-2</v>
      </c>
      <c r="CW303" s="177">
        <v>2.2454495382290052E-2</v>
      </c>
      <c r="CX303" s="177">
        <f t="shared" si="832"/>
        <v>4.8370504617709947E-2</v>
      </c>
      <c r="CY303" s="177">
        <f>+$CX$35-CU303</f>
        <v>2.5753397388365351E-2</v>
      </c>
      <c r="CZ303" s="177">
        <f>+((DM301/DM300-1)+(DM302/DM301-1)+(DM303/DM302-1))/3</f>
        <v>2.3947275901631187E-2</v>
      </c>
      <c r="DA303" s="187">
        <f t="shared" si="827"/>
        <v>0.86875000000000002</v>
      </c>
      <c r="DB303" s="188">
        <f t="shared" si="828"/>
        <v>0.72406708481540816</v>
      </c>
      <c r="DC303" s="188">
        <f t="shared" si="829"/>
        <v>0.62201729615248857</v>
      </c>
      <c r="DD303" s="188">
        <f t="shared" si="830"/>
        <v>0.9352469954311422</v>
      </c>
      <c r="DE303" s="188">
        <f t="shared" si="831"/>
        <v>0.42121864641655071</v>
      </c>
      <c r="DF303" s="189">
        <f>INDEX('State Tax Lookup'!$D$7:$Z$91,MATCH(Calculation!$C303,'State Tax Lookup'!$B$7:$B$91,0),MATCH($H303,'State Tax Lookup'!$D$6:$Z$6,0))</f>
        <v>0.35</v>
      </c>
      <c r="DG303" s="189">
        <v>0.375</v>
      </c>
      <c r="DH303" s="190">
        <f t="shared" ref="DH303:DH323" si="833">+(DM303*CY303-CZ303)*DA303/(1-DF303)</f>
        <v>12.133795914084857</v>
      </c>
      <c r="DI303" s="190"/>
      <c r="DJ303" s="177"/>
      <c r="DK303" s="189">
        <f>VLOOKUP($H303,RoR!$E:$F,2,FALSE)</f>
        <v>7.0824999999999999E-2</v>
      </c>
      <c r="DL303" s="191">
        <f>HLOOKUP($H303,'GDP-PI'!$D$8:$CQ$11,3,FALSE)</f>
        <v>2.2454495382290052E-2</v>
      </c>
      <c r="DM303" s="189">
        <f>VLOOKUP(H303,'HW Dx Data'!$E:$F,2,FALSE)</f>
        <v>353.44738017483138</v>
      </c>
      <c r="DN303" s="183">
        <f>VLOOKUP(H303,'ECI - Input Price'!$G$17:$H$37,2,FALSE)</f>
        <v>86.2</v>
      </c>
      <c r="DO303" s="177"/>
      <c r="DP303" s="183">
        <f>HLOOKUP(H303,'GDP-PI'!$8:$9,2,FALSE)</f>
        <v>79.822000000000003</v>
      </c>
    </row>
    <row r="304" spans="1:121" s="167" customFormat="1" ht="21" x14ac:dyDescent="0.35">
      <c r="A304" s="167" t="s">
        <v>45</v>
      </c>
      <c r="B304" s="168" t="s">
        <v>45</v>
      </c>
      <c r="C304" s="168">
        <v>4059355</v>
      </c>
      <c r="D304" s="168" t="s">
        <v>138</v>
      </c>
      <c r="E304" s="168"/>
      <c r="F304" s="168"/>
      <c r="G304" s="168" t="s">
        <v>8</v>
      </c>
      <c r="H304" s="169">
        <v>2002</v>
      </c>
      <c r="I304" s="170"/>
      <c r="J304" s="166"/>
      <c r="K304" s="166"/>
      <c r="L304" s="166"/>
      <c r="M304" s="166"/>
      <c r="N304" s="196"/>
      <c r="O304" s="166"/>
      <c r="P304" s="166"/>
      <c r="Q304" s="166"/>
      <c r="R304" s="166"/>
      <c r="S304" s="166"/>
      <c r="T304" s="166"/>
      <c r="U304" s="166"/>
      <c r="V304" s="166">
        <f t="shared" si="821"/>
        <v>7570.273710414157</v>
      </c>
      <c r="W304" s="170"/>
      <c r="X304" s="174">
        <v>645.29776101899324</v>
      </c>
      <c r="Y304" s="175">
        <v>4.8941521076094098E-2</v>
      </c>
      <c r="Z304" s="175"/>
      <c r="AA304" s="175"/>
      <c r="AB304" s="175"/>
      <c r="AC304" s="170">
        <f t="shared" si="682"/>
        <v>7570.273710414157</v>
      </c>
      <c r="AD304" s="175"/>
      <c r="AE304" s="170"/>
      <c r="AF304" s="170"/>
      <c r="AG304" s="174"/>
      <c r="AH304" s="175"/>
      <c r="AI304" s="175"/>
      <c r="AJ304" s="174"/>
      <c r="AK304" s="174"/>
      <c r="AL304" s="120"/>
      <c r="AM304" s="120"/>
      <c r="AN304" s="120"/>
      <c r="AO304" s="120"/>
      <c r="AP304" s="120"/>
      <c r="AQ304" s="175"/>
      <c r="AR304" s="120"/>
      <c r="AS304" s="120"/>
      <c r="AT304" s="120"/>
      <c r="AU304" s="120"/>
      <c r="AV304" s="120"/>
      <c r="AW304" s="120"/>
      <c r="AX304" s="120"/>
      <c r="AY304" s="120"/>
      <c r="AZ304" s="118">
        <f>IFERROR(INDEX('Total Customers'!$F$7:$AB$91,MATCH($C304,'Total Customers'!$D$7:$D$91,0),MATCH($G304,'Total Customers'!$F$5:$AB$5,0)),"NA")</f>
        <v>143179</v>
      </c>
      <c r="BA304" s="119">
        <f t="shared" si="822"/>
        <v>7.1283433255067844E-3</v>
      </c>
      <c r="BB304" s="119"/>
      <c r="BC304" s="121"/>
      <c r="BD304" s="119"/>
      <c r="BE304" s="119"/>
      <c r="BF304" s="119"/>
      <c r="BG304" s="173"/>
      <c r="BH304" s="173"/>
      <c r="BI304" s="173"/>
      <c r="BJ304" s="173"/>
      <c r="BK304" s="173"/>
      <c r="BL304" s="173"/>
      <c r="BM304" s="173"/>
      <c r="BN304" s="173"/>
      <c r="BO304" s="173"/>
      <c r="BP304" s="173"/>
      <c r="BQ304" s="118"/>
      <c r="BR304" s="118"/>
      <c r="BS304" s="118">
        <f>INDEX('Dist. Plant Gas Additions'!$F$7:$AE$91,MATCH($C304,'Dist. Plant Gas Additions'!$D$7:$D$91,0),MATCH(Calculation!$G304,'Dist. Plant Gas Additions'!$F$5:$AE$5,0))</f>
        <v>11911</v>
      </c>
      <c r="BT304" s="118">
        <f>INDEX('Gen. Plant Additions'!$F$7:$AE$91,MATCH($C304,'Gen. Plant Additions'!$D$7:$D$91,0),MATCH(Calculation!$G304,'Gen. Plant Additions'!$F$5:$AE$5,0))</f>
        <v>447</v>
      </c>
      <c r="BU304" s="118"/>
      <c r="BV304" s="118"/>
      <c r="BW304" s="118">
        <f>INDEX('Dist Plant Depreciation'!$E$7:$AD$94,MATCH($C304,'Dist Plant Depreciation'!$D$7:$D$94,0),MATCH(Calculation!$G304,'Dist Plant Depreciation'!$E$5:$AD$5,0))</f>
        <v>100934</v>
      </c>
      <c r="BX304" s="118">
        <f>INDEX('Gen. Plant Depreciation'!$E$7:$AD$94,MATCH($C304,'Gen. Plant Depreciation'!$D$7:$D$94,0),MATCH(Calculation!$G304,'Gen. Plant Depreciation'!$E$5:$AD$5,0))</f>
        <v>662</v>
      </c>
      <c r="BY304" s="118"/>
      <c r="BZ304" s="118"/>
      <c r="CA304" s="118"/>
      <c r="CB304" s="118"/>
      <c r="CC304" s="118"/>
      <c r="CD304" s="118"/>
      <c r="CE304" s="118">
        <f>INDEX('Gross Dx Plant'!$E$7:$AD$91,MATCH($C304,'Gross Dx Plant'!$D$7:$D$91,0),MATCH(Calculation!$G304,'Gross Dx Plant'!$E$5:$AD$5,0))</f>
        <v>223209</v>
      </c>
      <c r="CF304" s="118">
        <f>INDEX('Gross Gen Plant'!$E$7:$AD$91,MATCH($C304,'Gross Gen Plant'!$D$7:$D$91,0),MATCH(Calculation!$G304,'Gross Gen Plant'!$E$5:$AD$5,0))</f>
        <v>5290</v>
      </c>
      <c r="CG304" s="118">
        <f t="shared" ref="CG304:CG346" si="834">IF(OR(BW304="NA",BX304="NA"),"NA",(SUM(CE304:CF304)-SUM(BW304:BX304)))</f>
        <v>126903</v>
      </c>
      <c r="CH304" s="118"/>
      <c r="CI304" s="121">
        <v>2002</v>
      </c>
      <c r="CJ304" s="118"/>
      <c r="CK304" s="118"/>
      <c r="CL304" s="118"/>
      <c r="CM304" s="183"/>
      <c r="CN304" s="118">
        <f t="shared" si="823"/>
        <v>12358</v>
      </c>
      <c r="CO304" s="118">
        <f t="shared" si="824"/>
        <v>34.19970314472959</v>
      </c>
      <c r="CP304" s="186">
        <v>0.97916666666666663</v>
      </c>
      <c r="CQ304" s="118">
        <f>+CQ300*CP304+CO301*CP303+CO302*CP302+CO303*CP301+CO304</f>
        <v>645.29776101899324</v>
      </c>
      <c r="CR304" s="119">
        <f t="shared" si="825"/>
        <v>4.8941521076094098E-2</v>
      </c>
      <c r="CS304" s="119"/>
      <c r="CT304" s="177">
        <f t="shared" si="826"/>
        <v>5.4977322220442675E-3</v>
      </c>
      <c r="CU304" s="177">
        <f t="shared" ref="CU304:CU323" si="835">+(CT304+CT303+CT302)/3</f>
        <v>5.3227468348131966E-3</v>
      </c>
      <c r="CV304" s="119">
        <f>VLOOKUP($H304,RoR!$E:$F,2,FALSE)</f>
        <v>6.4916666666666664E-2</v>
      </c>
      <c r="CW304" s="177">
        <v>1.5246423291824351E-2</v>
      </c>
      <c r="CX304" s="177">
        <f t="shared" si="832"/>
        <v>4.9670243374842313E-2</v>
      </c>
      <c r="CY304" s="177">
        <f t="shared" ref="CY304:CY323" si="836">+$CX$35-CU304</f>
        <v>2.5579194773720428E-2</v>
      </c>
      <c r="CZ304" s="177">
        <f t="shared" ref="CZ304:CZ323" si="837">+((DM302/DM301-1)+(DM303/DM302-1)+(DM304/DM303-1))/3</f>
        <v>2.5243621214759093E-2</v>
      </c>
      <c r="DA304" s="187">
        <f t="shared" si="827"/>
        <v>0.86875000000000002</v>
      </c>
      <c r="DB304" s="188">
        <f t="shared" si="828"/>
        <v>0.78996741384417901</v>
      </c>
      <c r="DC304" s="188">
        <f t="shared" si="829"/>
        <v>0.58989088575096271</v>
      </c>
      <c r="DD304" s="188">
        <f t="shared" si="830"/>
        <v>0.91920675783645744</v>
      </c>
      <c r="DE304" s="188">
        <f t="shared" si="831"/>
        <v>0.42834536472275586</v>
      </c>
      <c r="DF304" s="189">
        <f>INDEX('State Tax Lookup'!$D$7:$Z$91,MATCH(Calculation!$C304,'State Tax Lookup'!$B$7:$B$91,0),MATCH($H304,'State Tax Lookup'!$D$6:$Z$6,0))</f>
        <v>0.35</v>
      </c>
      <c r="DG304" s="189">
        <v>0.375</v>
      </c>
      <c r="DH304" s="190">
        <f t="shared" si="833"/>
        <v>12.31987939692614</v>
      </c>
      <c r="DI304" s="190"/>
      <c r="DJ304" s="177"/>
      <c r="DK304" s="189">
        <f>VLOOKUP($H304,RoR!$E:$F,2,FALSE)</f>
        <v>6.4916666666666664E-2</v>
      </c>
      <c r="DL304" s="191">
        <f>HLOOKUP($H304,'GDP-PI'!$D$8:$CQ$11,3,FALSE)</f>
        <v>1.5246423291824351E-2</v>
      </c>
      <c r="DM304" s="189">
        <f>VLOOKUP(H304,'HW Dx Data'!$E:$F,2,FALSE)</f>
        <v>361.34816573413599</v>
      </c>
      <c r="DN304" s="183">
        <f>VLOOKUP(H304,'ECI - Input Price'!$G$17:$H$37,2,FALSE)</f>
        <v>89.275000000000006</v>
      </c>
      <c r="DO304" s="177">
        <f>LN(DN304/DN303)</f>
        <v>3.5051315810864674E-2</v>
      </c>
      <c r="DP304" s="183">
        <f>HLOOKUP(H304,'GDP-PI'!$8:$9,2,FALSE)</f>
        <v>81.039000000000001</v>
      </c>
      <c r="DQ304" s="177">
        <f>LN(DP304/DP303)</f>
        <v>1.513136459537477E-2</v>
      </c>
    </row>
    <row r="305" spans="1:121" s="167" customFormat="1" ht="21" x14ac:dyDescent="0.35">
      <c r="A305" s="167" t="s">
        <v>45</v>
      </c>
      <c r="B305" s="168" t="s">
        <v>45</v>
      </c>
      <c r="C305" s="168">
        <v>4059355</v>
      </c>
      <c r="D305" s="168" t="s">
        <v>138</v>
      </c>
      <c r="E305" s="168"/>
      <c r="F305" s="168"/>
      <c r="G305" s="168" t="s">
        <v>9</v>
      </c>
      <c r="H305" s="169">
        <v>2003</v>
      </c>
      <c r="I305" s="170"/>
      <c r="J305" s="166"/>
      <c r="K305" s="166"/>
      <c r="L305" s="166"/>
      <c r="M305" s="172"/>
      <c r="N305" s="196"/>
      <c r="O305" s="172"/>
      <c r="P305" s="166"/>
      <c r="Q305" s="166"/>
      <c r="R305" s="166"/>
      <c r="S305" s="166"/>
      <c r="T305" s="166"/>
      <c r="U305" s="166"/>
      <c r="V305" s="166">
        <f t="shared" si="821"/>
        <v>8071.8586934464784</v>
      </c>
      <c r="W305" s="170"/>
      <c r="X305" s="174">
        <v>664.15125251348547</v>
      </c>
      <c r="Y305" s="175">
        <v>2.879805820500065E-2</v>
      </c>
      <c r="Z305" s="175"/>
      <c r="AA305" s="175"/>
      <c r="AB305" s="175"/>
      <c r="AC305" s="170">
        <f t="shared" si="682"/>
        <v>8071.8586934464784</v>
      </c>
      <c r="AD305" s="175"/>
      <c r="AE305" s="170"/>
      <c r="AF305" s="170"/>
      <c r="AG305" s="174"/>
      <c r="AH305" s="175"/>
      <c r="AI305" s="175"/>
      <c r="AJ305" s="174"/>
      <c r="AK305" s="174"/>
      <c r="AL305" s="120"/>
      <c r="AM305" s="120"/>
      <c r="AN305" s="120"/>
      <c r="AO305" s="120"/>
      <c r="AP305" s="120"/>
      <c r="AQ305" s="175"/>
      <c r="AR305" s="120"/>
      <c r="AS305" s="120"/>
      <c r="AT305" s="120"/>
      <c r="AU305" s="120"/>
      <c r="AV305" s="120"/>
      <c r="AW305" s="120"/>
      <c r="AX305" s="120"/>
      <c r="AY305" s="120"/>
      <c r="AZ305" s="118">
        <f>IFERROR(INDEX('Total Customers'!$F$7:$AB$91,MATCH($C305,'Total Customers'!$D$7:$D$91,0),MATCH($G305,'Total Customers'!$F$5:$AB$5,0)),"NA")</f>
        <v>142857</v>
      </c>
      <c r="BA305" s="119">
        <f t="shared" si="822"/>
        <v>-2.2514658016529235E-3</v>
      </c>
      <c r="BB305" s="119"/>
      <c r="BC305" s="121"/>
      <c r="BD305" s="119"/>
      <c r="BE305" s="119"/>
      <c r="BF305" s="119"/>
      <c r="BG305" s="173"/>
      <c r="BH305" s="173"/>
      <c r="BI305" s="173"/>
      <c r="BJ305" s="173"/>
      <c r="BK305" s="173"/>
      <c r="BL305" s="173"/>
      <c r="BM305" s="173"/>
      <c r="BN305" s="173"/>
      <c r="BO305" s="173"/>
      <c r="BP305" s="173"/>
      <c r="BQ305" s="118"/>
      <c r="BR305" s="118"/>
      <c r="BS305" s="118">
        <f>INDEX('Dist. Plant Gas Additions'!$F$7:$AE$91,MATCH($C305,'Dist. Plant Gas Additions'!$D$7:$D$91,0),MATCH(Calculation!$G305,'Dist. Plant Gas Additions'!$F$5:$AE$5,0))</f>
        <v>8279</v>
      </c>
      <c r="BT305" s="118">
        <f>INDEX('Gen. Plant Additions'!$F$7:$AE$91,MATCH($C305,'Gen. Plant Additions'!$D$7:$D$91,0),MATCH(Calculation!$G305,'Gen. Plant Additions'!$F$5:$AE$5,0))</f>
        <v>32</v>
      </c>
      <c r="BU305" s="118"/>
      <c r="BV305" s="118"/>
      <c r="BW305" s="118">
        <f>INDEX('Dist Plant Depreciation'!$E$7:$AD$94,MATCH($C305,'Dist Plant Depreciation'!$D$7:$D$94,0),MATCH(Calculation!$G305,'Dist Plant Depreciation'!$E$5:$AD$5,0))</f>
        <v>103190</v>
      </c>
      <c r="BX305" s="118">
        <f>INDEX('Gen. Plant Depreciation'!$E$7:$AD$94,MATCH($C305,'Gen. Plant Depreciation'!$D$7:$D$94,0),MATCH(Calculation!$G305,'Gen. Plant Depreciation'!$E$5:$AD$5,0))</f>
        <v>944</v>
      </c>
      <c r="BY305" s="118"/>
      <c r="BZ305" s="118"/>
      <c r="CA305" s="118"/>
      <c r="CB305" s="118"/>
      <c r="CC305" s="118"/>
      <c r="CD305" s="118"/>
      <c r="CE305" s="118">
        <f>INDEX('Gross Dx Plant'!$E$7:$AD$91,MATCH($C305,'Gross Dx Plant'!$D$7:$D$91,0),MATCH(Calculation!$G305,'Gross Dx Plant'!$E$5:$AD$5,0))</f>
        <v>228320</v>
      </c>
      <c r="CF305" s="118">
        <f>INDEX('Gross Gen Plant'!$E$7:$AD$91,MATCH($C305,'Gross Gen Plant'!$D$7:$D$91,0),MATCH(Calculation!$G305,'Gross Gen Plant'!$E$5:$AD$5,0))</f>
        <v>5218</v>
      </c>
      <c r="CG305" s="118">
        <f t="shared" si="834"/>
        <v>129404</v>
      </c>
      <c r="CH305" s="118"/>
      <c r="CI305" s="121">
        <v>2003</v>
      </c>
      <c r="CJ305" s="118"/>
      <c r="CK305" s="118"/>
      <c r="CL305" s="118"/>
      <c r="CM305" s="183"/>
      <c r="CN305" s="118">
        <f t="shared" si="823"/>
        <v>8311</v>
      </c>
      <c r="CO305" s="118">
        <f t="shared" si="824"/>
        <v>22.508821674666972</v>
      </c>
      <c r="CP305" s="186">
        <v>0.97354497354497349</v>
      </c>
      <c r="CQ305" s="118">
        <f>+CQ300*CP305+CO301*CP304+CO302*CP303+CO303*CP302+CO304*CP301+CO305</f>
        <v>664.15125251348547</v>
      </c>
      <c r="CR305" s="119">
        <f t="shared" si="825"/>
        <v>2.879805820500065E-2</v>
      </c>
      <c r="CS305" s="119"/>
      <c r="CT305" s="177">
        <f t="shared" si="826"/>
        <v>5.6645635565240274E-3</v>
      </c>
      <c r="CU305" s="177">
        <f t="shared" si="835"/>
        <v>5.4967685465504464E-3</v>
      </c>
      <c r="CV305" s="119">
        <f>VLOOKUP($H305,RoR!$E:$F,2,FALSE)</f>
        <v>5.6666666666666671E-2</v>
      </c>
      <c r="CW305" s="177">
        <v>1.8855119140166909E-2</v>
      </c>
      <c r="CX305" s="177">
        <f t="shared" si="832"/>
        <v>3.7811547526499761E-2</v>
      </c>
      <c r="CY305" s="177">
        <f t="shared" si="836"/>
        <v>2.5405173061983179E-2</v>
      </c>
      <c r="CZ305" s="177">
        <f t="shared" si="837"/>
        <v>2.1375012817671957E-2</v>
      </c>
      <c r="DA305" s="187">
        <f t="shared" si="827"/>
        <v>0.86875000000000002</v>
      </c>
      <c r="DB305" s="188">
        <f t="shared" si="828"/>
        <v>0.90497737556561086</v>
      </c>
      <c r="DC305" s="188">
        <f t="shared" si="829"/>
        <v>0.5338235294117647</v>
      </c>
      <c r="DD305" s="188">
        <f t="shared" si="830"/>
        <v>0.88972433127405692</v>
      </c>
      <c r="DE305" s="188">
        <f t="shared" si="831"/>
        <v>0.42982423775949252</v>
      </c>
      <c r="DF305" s="189">
        <f>INDEX('State Tax Lookup'!$D$7:$Z$91,MATCH(Calculation!$C305,'State Tax Lookup'!$B$7:$B$91,0),MATCH($H305,'State Tax Lookup'!$D$6:$Z$6,0))</f>
        <v>0.35</v>
      </c>
      <c r="DG305" s="189">
        <v>0.375</v>
      </c>
      <c r="DH305" s="190">
        <f t="shared" si="833"/>
        <v>12.508735007386608</v>
      </c>
      <c r="DI305" s="190"/>
      <c r="DJ305" s="177"/>
      <c r="DK305" s="189">
        <f>VLOOKUP($H305,RoR!$E:$F,2,FALSE)</f>
        <v>5.6666666666666671E-2</v>
      </c>
      <c r="DL305" s="191">
        <f>HLOOKUP($H305,'GDP-PI'!$D$8:$CQ$11,3,FALSE)</f>
        <v>1.8855119140166909E-2</v>
      </c>
      <c r="DM305" s="189">
        <f>VLOOKUP(H305,'HW Dx Data'!$E:$F,2,FALSE)</f>
        <v>369.23301095560191</v>
      </c>
      <c r="DN305" s="183">
        <f>VLOOKUP(H305,'ECI - Input Price'!$G$17:$H$37,2,FALSE)</f>
        <v>92.625</v>
      </c>
      <c r="DO305" s="177">
        <f t="shared" ref="DO305" si="838">LN(DN305/DN304)</f>
        <v>3.6837590135738785E-2</v>
      </c>
      <c r="DP305" s="183">
        <f>HLOOKUP(H305,'GDP-PI'!$8:$9,2,FALSE)</f>
        <v>82.566999999999993</v>
      </c>
      <c r="DQ305" s="177">
        <f t="shared" ref="DQ305" si="839">LN(DP305/DP304)</f>
        <v>1.8679564681853753E-2</v>
      </c>
    </row>
    <row r="306" spans="1:121" s="167" customFormat="1" ht="21" x14ac:dyDescent="0.35">
      <c r="A306" s="167" t="s">
        <v>45</v>
      </c>
      <c r="B306" s="168" t="s">
        <v>45</v>
      </c>
      <c r="C306" s="168">
        <v>4059355</v>
      </c>
      <c r="D306" s="168" t="s">
        <v>138</v>
      </c>
      <c r="E306" s="168"/>
      <c r="F306" s="168"/>
      <c r="G306" s="168" t="s">
        <v>10</v>
      </c>
      <c r="H306" s="169">
        <v>2004</v>
      </c>
      <c r="I306" s="170"/>
      <c r="J306" s="166">
        <f>IFERROR(INDEX('Labor Expenditures'!$F$7:$X$91,MATCH($C306,'Labor Expenditures'!$D$7:$D$91,0),MATCH($G306,'Labor Expenditures'!$F$5:$X$5,0)),"NA")</f>
        <v>9890.8518779825426</v>
      </c>
      <c r="K306" s="166">
        <f t="shared" ref="K306:K323" si="840">+J306/DN306</f>
        <v>102.84223423948576</v>
      </c>
      <c r="L306" s="172"/>
      <c r="M306" s="172"/>
      <c r="N306" s="196"/>
      <c r="O306" s="172"/>
      <c r="P306" s="166">
        <f>IFERROR(INDEX('Non-Labor Expenditures'!$F$7:$AB$91,MATCH($C306,'Non-Labor Expenditures'!$D$7:$D$91,0),MATCH($G306,'Non-Labor Expenditures'!$F$5:$AB$5,0)),"NA")</f>
        <v>14323.80087562613</v>
      </c>
      <c r="Q306" s="166">
        <f t="shared" ref="Q306:Q323" si="841">+P306/DP306</f>
        <v>168.95657924964175</v>
      </c>
      <c r="R306" s="166"/>
      <c r="S306" s="166"/>
      <c r="T306" s="166"/>
      <c r="U306" s="166"/>
      <c r="V306" s="166">
        <f t="shared" si="821"/>
        <v>9242.6179041242158</v>
      </c>
      <c r="W306" s="170"/>
      <c r="X306" s="174">
        <v>679.99250814278992</v>
      </c>
      <c r="Y306" s="175">
        <v>2.3571867206191262E-2</v>
      </c>
      <c r="Z306" s="175"/>
      <c r="AA306" s="175"/>
      <c r="AB306" s="175"/>
      <c r="AC306" s="170">
        <f t="shared" si="682"/>
        <v>33457.270657732886</v>
      </c>
      <c r="AD306" s="175"/>
      <c r="AE306" s="170"/>
      <c r="AF306" s="170"/>
      <c r="AG306" s="174"/>
      <c r="AH306" s="175"/>
      <c r="AI306" s="175"/>
      <c r="AJ306" s="174"/>
      <c r="AK306" s="174"/>
      <c r="AL306" s="120">
        <f t="shared" ref="AL306:AL323" si="842">+J306/AC306</f>
        <v>0.29562638205506153</v>
      </c>
      <c r="AM306" s="120">
        <f t="shared" ref="AM306:AM323" si="843">+P306/AC306</f>
        <v>0.42812221660751365</v>
      </c>
      <c r="AN306" s="120">
        <f t="shared" ref="AN306:AN323" si="844">+V306/AC306</f>
        <v>0.27625140133742487</v>
      </c>
      <c r="AO306" s="120"/>
      <c r="AP306" s="120"/>
      <c r="AQ306" s="175"/>
      <c r="AR306" s="120"/>
      <c r="AS306" s="120"/>
      <c r="AT306" s="120"/>
      <c r="AU306" s="120"/>
      <c r="AV306" s="120"/>
      <c r="AW306" s="120"/>
      <c r="AX306" s="120"/>
      <c r="AY306" s="120"/>
      <c r="AZ306" s="118">
        <f>IFERROR(INDEX('Total Customers'!$F$7:$AB$91,MATCH($C306,'Total Customers'!$D$7:$D$91,0),MATCH($G306,'Total Customers'!$F$5:$AB$5,0)),"NA")</f>
        <v>142057</v>
      </c>
      <c r="BA306" s="119">
        <f t="shared" si="822"/>
        <v>-5.6157444171779673E-3</v>
      </c>
      <c r="BB306" s="119"/>
      <c r="BC306" s="121"/>
      <c r="BD306" s="119"/>
      <c r="BE306" s="119"/>
      <c r="BF306" s="119"/>
      <c r="BG306" s="173"/>
      <c r="BH306" s="173"/>
      <c r="BI306" s="173"/>
      <c r="BJ306" s="173"/>
      <c r="BK306" s="173"/>
      <c r="BL306" s="173"/>
      <c r="BM306" s="173"/>
      <c r="BN306" s="173"/>
      <c r="BO306" s="173"/>
      <c r="BP306" s="173"/>
      <c r="BQ306" s="118"/>
      <c r="BR306" s="118"/>
      <c r="BS306" s="118">
        <f>INDEX('Dist. Plant Gas Additions'!$F$7:$AE$91,MATCH($C306,'Dist. Plant Gas Additions'!$D$7:$D$91,0),MATCH(Calculation!$G306,'Dist. Plant Gas Additions'!$F$5:$AE$5,0))</f>
        <v>7903</v>
      </c>
      <c r="BT306" s="118">
        <f>INDEX('Gen. Plant Additions'!$F$7:$AE$91,MATCH($C306,'Gen. Plant Additions'!$D$7:$D$91,0),MATCH(Calculation!$G306,'Gen. Plant Additions'!$F$5:$AE$5,0))</f>
        <v>281</v>
      </c>
      <c r="BU306" s="118"/>
      <c r="BV306" s="118"/>
      <c r="BW306" s="118">
        <f>INDEX('Dist Plant Depreciation'!$E$7:$AD$94,MATCH($C306,'Dist Plant Depreciation'!$D$7:$D$94,0),MATCH(Calculation!$G306,'Dist Plant Depreciation'!$E$5:$AD$5,0))</f>
        <v>103376</v>
      </c>
      <c r="BX306" s="118">
        <f>INDEX('Gen. Plant Depreciation'!$E$7:$AD$94,MATCH($C306,'Gen. Plant Depreciation'!$D$7:$D$94,0),MATCH(Calculation!$G306,'Gen. Plant Depreciation'!$E$5:$AD$5,0))</f>
        <v>1045</v>
      </c>
      <c r="BY306" s="118"/>
      <c r="BZ306" s="118"/>
      <c r="CA306" s="118"/>
      <c r="CB306" s="118"/>
      <c r="CC306" s="118"/>
      <c r="CD306" s="118"/>
      <c r="CE306" s="118">
        <f>INDEX('Gross Dx Plant'!$E$7:$AD$91,MATCH($C306,'Gross Dx Plant'!$D$7:$D$91,0),MATCH(Calculation!$G306,'Gross Dx Plant'!$E$5:$AD$5,0))</f>
        <v>232522</v>
      </c>
      <c r="CF306" s="118">
        <f>INDEX('Gross Gen Plant'!$E$7:$AD$91,MATCH($C306,'Gross Gen Plant'!$D$7:$D$91,0),MATCH(Calculation!$G306,'Gross Gen Plant'!$E$5:$AD$5,0))</f>
        <v>5280</v>
      </c>
      <c r="CG306" s="118">
        <f t="shared" si="834"/>
        <v>133381</v>
      </c>
      <c r="CH306" s="118"/>
      <c r="CI306" s="121">
        <v>2004</v>
      </c>
      <c r="CJ306" s="118"/>
      <c r="CK306" s="118"/>
      <c r="CL306" s="118"/>
      <c r="CM306" s="183"/>
      <c r="CN306" s="118">
        <f t="shared" si="823"/>
        <v>8184</v>
      </c>
      <c r="CO306" s="118">
        <f t="shared" si="824"/>
        <v>19.725843965741781</v>
      </c>
      <c r="CP306" s="186">
        <v>0.967741935483871</v>
      </c>
      <c r="CQ306" s="118">
        <f>+CQ300*CP306+CO301*CP305+CO302*CP304+CO303*CP303+CO304*CP302+CO305*CP301+CO306</f>
        <v>679.99250814278992</v>
      </c>
      <c r="CR306" s="119">
        <f t="shared" si="825"/>
        <v>2.3571867206191262E-2</v>
      </c>
      <c r="CS306" s="119"/>
      <c r="CT306" s="177">
        <f t="shared" si="826"/>
        <v>5.8489513070043688E-3</v>
      </c>
      <c r="CU306" s="177">
        <f t="shared" si="835"/>
        <v>5.6704156951908882E-3</v>
      </c>
      <c r="CV306" s="119">
        <f>VLOOKUP($H306,RoR!$E:$F,2,FALSE)</f>
        <v>5.6283333333333331E-2</v>
      </c>
      <c r="CW306" s="177">
        <v>2.6778252812867276E-2</v>
      </c>
      <c r="CX306" s="177">
        <f t="shared" si="832"/>
        <v>2.9505080520466055E-2</v>
      </c>
      <c r="CY306" s="177">
        <f t="shared" si="836"/>
        <v>2.5231525913342736E-2</v>
      </c>
      <c r="CZ306" s="177">
        <f t="shared" si="837"/>
        <v>5.5940039414565046E-2</v>
      </c>
      <c r="DA306" s="187">
        <f t="shared" si="827"/>
        <v>0.86875000000000002</v>
      </c>
      <c r="DB306" s="188">
        <f t="shared" si="828"/>
        <v>0.91114097628755619</v>
      </c>
      <c r="DC306" s="188">
        <f t="shared" si="829"/>
        <v>0.53081877405981637</v>
      </c>
      <c r="DD306" s="188">
        <f t="shared" si="830"/>
        <v>0.88811215519385678</v>
      </c>
      <c r="DE306" s="188">
        <f t="shared" si="831"/>
        <v>0.42953609753547711</v>
      </c>
      <c r="DF306" s="189">
        <f>INDEX('State Tax Lookup'!$D$7:$Z$91,MATCH(Calculation!$C306,'State Tax Lookup'!$B$7:$B$91,0),MATCH($H306,'State Tax Lookup'!$D$6:$Z$6,0))</f>
        <v>0.35</v>
      </c>
      <c r="DG306" s="189">
        <v>0.375</v>
      </c>
      <c r="DH306" s="190">
        <f t="shared" si="833"/>
        <v>13.916435253483987</v>
      </c>
      <c r="DI306" s="190"/>
      <c r="DJ306" s="177"/>
      <c r="DK306" s="189">
        <f>VLOOKUP($H306,RoR!$E:$F,2,FALSE)</f>
        <v>5.6283333333333331E-2</v>
      </c>
      <c r="DL306" s="191">
        <f>HLOOKUP($H306,'GDP-PI'!$D$8:$CQ$11,3,FALSE)</f>
        <v>2.6778252812867276E-2</v>
      </c>
      <c r="DM306" s="189">
        <f>VLOOKUP(H306,'HW Dx Data'!$E:$F,2,FALSE)</f>
        <v>414.88719135228365</v>
      </c>
      <c r="DN306" s="183">
        <f>VLOOKUP(H306,'ECI - Input Price'!$G$17:$H$37,2,FALSE)</f>
        <v>96.174999999999997</v>
      </c>
      <c r="DO306" s="177">
        <f t="shared" ref="DO306" si="845">LN(DN306/DN305)</f>
        <v>3.7610365022107912E-2</v>
      </c>
      <c r="DP306" s="183">
        <f>HLOOKUP(H306,'GDP-PI'!$8:$9,2,FALSE)</f>
        <v>84.778000000000006</v>
      </c>
      <c r="DQ306" s="177">
        <f t="shared" ref="DQ306" si="846">LN(DP306/DP305)</f>
        <v>2.6425990216022755E-2</v>
      </c>
    </row>
    <row r="307" spans="1:121" s="167" customFormat="1" ht="21" x14ac:dyDescent="0.35">
      <c r="A307" s="167" t="s">
        <v>45</v>
      </c>
      <c r="B307" s="168" t="s">
        <v>45</v>
      </c>
      <c r="C307" s="168">
        <v>4059355</v>
      </c>
      <c r="D307" s="168" t="s">
        <v>138</v>
      </c>
      <c r="E307" s="168"/>
      <c r="F307" s="168"/>
      <c r="G307" s="168" t="s">
        <v>11</v>
      </c>
      <c r="H307" s="169">
        <v>2005</v>
      </c>
      <c r="I307" s="170"/>
      <c r="J307" s="166">
        <f>IFERROR(INDEX('Labor Expenditures'!$F$7:$X$91,MATCH($C307,'Labor Expenditures'!$D$7:$D$91,0),MATCH($G307,'Labor Expenditures'!$F$5:$X$5,0)),"NA")</f>
        <v>10683.830243822675</v>
      </c>
      <c r="K307" s="166">
        <f t="shared" si="840"/>
        <v>107.75421325085904</v>
      </c>
      <c r="L307" s="172">
        <f t="shared" ref="L307:L323" si="847">LN(K307/K306)</f>
        <v>4.665672276015672E-2</v>
      </c>
      <c r="M307" s="172"/>
      <c r="N307" s="196"/>
      <c r="O307" s="172"/>
      <c r="P307" s="166">
        <f>IFERROR(INDEX('Non-Labor Expenditures'!$F$7:$AB$91,MATCH($C307,'Non-Labor Expenditures'!$D$7:$D$91,0),MATCH($G307,'Non-Labor Expenditures'!$F$5:$AB$5,0)),"NA")</f>
        <v>15472.181657291447</v>
      </c>
      <c r="Q307" s="166">
        <f t="shared" si="841"/>
        <v>177.01307283502976</v>
      </c>
      <c r="R307" s="172">
        <f>LN(Q307/Q306)</f>
        <v>4.658183327686944E-2</v>
      </c>
      <c r="S307" s="172"/>
      <c r="T307" s="172"/>
      <c r="U307" s="172"/>
      <c r="V307" s="166">
        <f t="shared" si="821"/>
        <v>10598.270667373043</v>
      </c>
      <c r="W307" s="170"/>
      <c r="X307" s="174">
        <v>689.98595019723348</v>
      </c>
      <c r="Y307" s="175">
        <v>1.4589454678614729E-2</v>
      </c>
      <c r="Z307" s="175"/>
      <c r="AA307" s="175"/>
      <c r="AB307" s="175"/>
      <c r="AC307" s="170">
        <f t="shared" si="682"/>
        <v>36754.282568487164</v>
      </c>
      <c r="AD307" s="175">
        <f>LN(AC307/AC306)</f>
        <v>9.3985629414535393E-2</v>
      </c>
      <c r="AE307" s="170"/>
      <c r="AF307" s="170"/>
      <c r="AG307" s="121"/>
      <c r="AH307" s="119"/>
      <c r="AI307" s="119"/>
      <c r="AJ307" s="121"/>
      <c r="AK307" s="121"/>
      <c r="AL307" s="120">
        <f t="shared" si="842"/>
        <v>0.29068259525715534</v>
      </c>
      <c r="AM307" s="120">
        <f t="shared" si="843"/>
        <v>0.42096268995214109</v>
      </c>
      <c r="AN307" s="120">
        <f t="shared" si="844"/>
        <v>0.28835471479070351</v>
      </c>
      <c r="AO307" s="120">
        <f t="shared" ref="AO307:AO323" si="848">+(((AL307+AL306)/2)*L307+((AM306+AM307)/2)*R307+((AN306+AN307)/2)*Y307)</f>
        <v>3.757224115201762E-2</v>
      </c>
      <c r="AP307" s="173">
        <v>100</v>
      </c>
      <c r="AQ307" s="175"/>
      <c r="AR307" s="120"/>
      <c r="AS307" s="120"/>
      <c r="AT307" s="120"/>
      <c r="AU307" s="120"/>
      <c r="AV307" s="120"/>
      <c r="AW307" s="120"/>
      <c r="AX307" s="120"/>
      <c r="AY307" s="120"/>
      <c r="AZ307" s="118">
        <f>IFERROR(INDEX('Total Customers'!$F$7:$AB$91,MATCH($C307,'Total Customers'!$D$7:$D$91,0),MATCH($G307,'Total Customers'!$F$5:$AB$5,0)),"NA")</f>
        <v>141506</v>
      </c>
      <c r="BA307" s="119">
        <f t="shared" si="822"/>
        <v>-3.8862664979728238E-3</v>
      </c>
      <c r="BB307" s="119"/>
      <c r="BC307" s="121"/>
      <c r="BD307" s="119"/>
      <c r="BE307" s="119"/>
      <c r="BF307" s="119"/>
      <c r="BG307" s="173"/>
      <c r="BH307" s="173"/>
      <c r="BI307" s="173"/>
      <c r="BJ307" s="173"/>
      <c r="BK307" s="173"/>
      <c r="BL307" s="173"/>
      <c r="BM307" s="173"/>
      <c r="BN307" s="173"/>
      <c r="BO307" s="173"/>
      <c r="BP307" s="173"/>
      <c r="BQ307" s="118"/>
      <c r="BR307" s="118"/>
      <c r="BS307" s="118">
        <f>INDEX('Dist. Plant Gas Additions'!$F$7:$AE$91,MATCH($C307,'Dist. Plant Gas Additions'!$D$7:$D$91,0),MATCH(Calculation!$G307,'Dist. Plant Gas Additions'!$F$5:$AE$5,0))</f>
        <v>6468</v>
      </c>
      <c r="BT307" s="118">
        <f>INDEX('Gen. Plant Additions'!$F$7:$AE$91,MATCH($C307,'Gen. Plant Additions'!$D$7:$D$91,0),MATCH(Calculation!$G307,'Gen. Plant Additions'!$F$5:$AE$5,0))</f>
        <v>149</v>
      </c>
      <c r="BU307" s="118"/>
      <c r="BV307" s="118"/>
      <c r="BW307" s="118">
        <f>INDEX('Dist Plant Depreciation'!$E$7:$AD$94,MATCH($C307,'Dist Plant Depreciation'!$D$7:$D$94,0),MATCH(Calculation!$G307,'Dist Plant Depreciation'!$E$5:$AD$5,0))</f>
        <v>106587</v>
      </c>
      <c r="BX307" s="118">
        <f>INDEX('Gen. Plant Depreciation'!$E$7:$AD$94,MATCH($C307,'Gen. Plant Depreciation'!$D$7:$D$94,0),MATCH(Calculation!$G307,'Gen. Plant Depreciation'!$E$5:$AD$5,0))</f>
        <v>775</v>
      </c>
      <c r="BY307" s="118"/>
      <c r="BZ307" s="118"/>
      <c r="CA307" s="118"/>
      <c r="CB307" s="118"/>
      <c r="CC307" s="118"/>
      <c r="CD307" s="118"/>
      <c r="CE307" s="118">
        <f>INDEX('Gross Dx Plant'!$E$7:$AD$91,MATCH($C307,'Gross Dx Plant'!$D$7:$D$91,0),MATCH(Calculation!$G307,'Gross Dx Plant'!$E$5:$AD$5,0))</f>
        <v>238119</v>
      </c>
      <c r="CF307" s="118">
        <f>INDEX('Gross Gen Plant'!$E$7:$AD$91,MATCH($C307,'Gross Gen Plant'!$D$7:$D$91,0),MATCH(Calculation!$G307,'Gross Gen Plant'!$E$5:$AD$5,0))</f>
        <v>4811</v>
      </c>
      <c r="CG307" s="118">
        <f t="shared" si="834"/>
        <v>135568</v>
      </c>
      <c r="CH307" s="118"/>
      <c r="CI307" s="121">
        <v>2005</v>
      </c>
      <c r="CJ307" s="118"/>
      <c r="CK307" s="118"/>
      <c r="CL307" s="118"/>
      <c r="CM307" s="183"/>
      <c r="CN307" s="118">
        <f t="shared" si="823"/>
        <v>6617</v>
      </c>
      <c r="CO307" s="118">
        <f t="shared" si="824"/>
        <v>14.102573546131845</v>
      </c>
      <c r="CP307" s="186">
        <v>0.96174863387978138</v>
      </c>
      <c r="CQ307" s="118">
        <f>+CQ300*CP307+CO301*CP306+CO302*CP305+CO303*CP304+CO304*CP303+CO305*CP302+CO306*CP301+CO307</f>
        <v>689.98595019723348</v>
      </c>
      <c r="CR307" s="119">
        <f t="shared" si="825"/>
        <v>1.4589454678614729E-2</v>
      </c>
      <c r="CS307" s="119"/>
      <c r="CT307" s="177">
        <f t="shared" si="826"/>
        <v>6.0429070063010406E-3</v>
      </c>
      <c r="CU307" s="177">
        <f t="shared" si="835"/>
        <v>5.8521406232764786E-3</v>
      </c>
      <c r="CV307" s="119">
        <f>VLOOKUP($H307,RoR!$E:$F,2,FALSE)</f>
        <v>5.2350000000000001E-2</v>
      </c>
      <c r="CW307" s="177">
        <v>3.1010403642454332E-2</v>
      </c>
      <c r="CX307" s="177">
        <f t="shared" si="832"/>
        <v>2.1339596357545669E-2</v>
      </c>
      <c r="CY307" s="177">
        <f t="shared" si="836"/>
        <v>2.5049800985257147E-2</v>
      </c>
      <c r="CZ307" s="177">
        <f t="shared" si="837"/>
        <v>9.2129610649277341E-2</v>
      </c>
      <c r="DA307" s="187">
        <f t="shared" si="827"/>
        <v>0.86875000000000002</v>
      </c>
      <c r="DB307" s="188">
        <f t="shared" si="828"/>
        <v>0.97959983346802826</v>
      </c>
      <c r="DC307" s="188">
        <f t="shared" si="829"/>
        <v>0.49744508118433622</v>
      </c>
      <c r="DD307" s="188">
        <f t="shared" si="830"/>
        <v>0.87010519444335932</v>
      </c>
      <c r="DE307" s="188">
        <f t="shared" si="831"/>
        <v>0.42399975420741998</v>
      </c>
      <c r="DF307" s="189">
        <f>INDEX('State Tax Lookup'!$D$7:$Z$91,MATCH(Calculation!$C307,'State Tax Lookup'!$B$7:$B$91,0),MATCH($H307,'State Tax Lookup'!$D$6:$Z$6,0))</f>
        <v>0.35</v>
      </c>
      <c r="DG307" s="189">
        <v>0.375</v>
      </c>
      <c r="DH307" s="190">
        <f t="shared" si="833"/>
        <v>15.585863874176006</v>
      </c>
      <c r="DI307" s="190"/>
      <c r="DJ307" s="177"/>
      <c r="DK307" s="189">
        <f>VLOOKUP($H307,RoR!$E:$F,2,FALSE)</f>
        <v>5.2350000000000001E-2</v>
      </c>
      <c r="DL307" s="191">
        <f>HLOOKUP($H307,'GDP-PI'!$D$8:$CQ$11,3,FALSE)</f>
        <v>3.1010403642454332E-2</v>
      </c>
      <c r="DM307" s="189">
        <f>VLOOKUP(H307,'HW Dx Data'!$E:$F,2,FALSE)</f>
        <v>469.20514034936258</v>
      </c>
      <c r="DN307" s="183">
        <f>VLOOKUP(H307,'ECI - Input Price'!$G$17:$H$37,2,FALSE)</f>
        <v>99.15</v>
      </c>
      <c r="DO307" s="177">
        <f t="shared" ref="DO307" si="849">LN(DN307/DN306)</f>
        <v>3.046440632744625E-2</v>
      </c>
      <c r="DP307" s="183">
        <f>HLOOKUP(H307,'GDP-PI'!$8:$9,2,FALSE)</f>
        <v>87.406999999999996</v>
      </c>
      <c r="DQ307" s="177">
        <f t="shared" ref="DQ307" si="850">LN(DP307/DP306)</f>
        <v>3.0539295810733648E-2</v>
      </c>
    </row>
    <row r="308" spans="1:121" s="167" customFormat="1" ht="21" x14ac:dyDescent="0.35">
      <c r="A308" s="167" t="s">
        <v>45</v>
      </c>
      <c r="B308" s="168" t="s">
        <v>45</v>
      </c>
      <c r="C308" s="168">
        <v>4059355</v>
      </c>
      <c r="D308" s="168" t="s">
        <v>138</v>
      </c>
      <c r="E308" s="168"/>
      <c r="F308" s="168"/>
      <c r="G308" s="168" t="s">
        <v>12</v>
      </c>
      <c r="H308" s="169">
        <v>2006</v>
      </c>
      <c r="I308" s="170"/>
      <c r="J308" s="166">
        <f>IFERROR(INDEX('Labor Expenditures'!$F$7:$X$91,MATCH($C308,'Labor Expenditures'!$D$7:$D$91,0),MATCH($G308,'Labor Expenditures'!$F$5:$X$5,0)),"NA")</f>
        <v>9924.2400097521058</v>
      </c>
      <c r="K308" s="166">
        <f t="shared" si="840"/>
        <v>97.248799703597314</v>
      </c>
      <c r="L308" s="172">
        <f t="shared" si="847"/>
        <v>-0.10258019027260383</v>
      </c>
      <c r="M308" s="172">
        <f t="shared" ref="M308:M323" si="851">+L308*AR308</f>
        <v>-4.48662958979477E-4</v>
      </c>
      <c r="N308" s="196"/>
      <c r="O308" s="172"/>
      <c r="P308" s="166">
        <f>IFERROR(INDEX('Non-Labor Expenditures'!$F$7:$AB$91,MATCH($C308,'Non-Labor Expenditures'!$D$7:$D$91,0),MATCH($G308,'Non-Labor Expenditures'!$F$5:$AB$5,0)),"NA")</f>
        <v>14372.153126471279</v>
      </c>
      <c r="Q308" s="166">
        <f t="shared" si="841"/>
        <v>159.55939701213757</v>
      </c>
      <c r="R308" s="172">
        <f t="shared" ref="R308:R323" si="852">LN(Q308/Q307)</f>
        <v>-0.1038073397080093</v>
      </c>
      <c r="S308" s="172">
        <f>+R308*AR308</f>
        <v>-4.5403023793787894E-4</v>
      </c>
      <c r="T308" s="172"/>
      <c r="U308" s="172"/>
      <c r="V308" s="166">
        <f t="shared" si="821"/>
        <v>10494.990019281786</v>
      </c>
      <c r="W308" s="170"/>
      <c r="X308" s="174">
        <v>709.14386498461079</v>
      </c>
      <c r="Y308" s="175">
        <v>2.7387183128349094E-2</v>
      </c>
      <c r="Z308" s="175">
        <f>+Y308*AR308</f>
        <v>1.1978545358342523E-4</v>
      </c>
      <c r="AA308" s="175"/>
      <c r="AB308" s="175"/>
      <c r="AC308" s="170">
        <f t="shared" si="682"/>
        <v>34791.383155505173</v>
      </c>
      <c r="AD308" s="175">
        <f t="shared" ref="AD308:AD323" si="853">LN(AC308/AC307)</f>
        <v>-5.4885005699400802E-2</v>
      </c>
      <c r="AE308" s="170"/>
      <c r="AF308" s="170"/>
      <c r="AG308" s="121">
        <f t="shared" ref="AG308:AG323" si="854">+(AC308*1000)/AZ308</f>
        <v>250.62407275304659</v>
      </c>
      <c r="AH308" s="119">
        <f>+AZ308/$BB$44</f>
        <v>3.9488358943064071E-3</v>
      </c>
      <c r="AI308" s="119"/>
      <c r="AJ308" s="176">
        <f>+AH308*AG308</f>
        <v>0.98967333446449079</v>
      </c>
      <c r="AK308" s="176">
        <f>+AI308*AG308</f>
        <v>0</v>
      </c>
      <c r="AL308" s="120">
        <f t="shared" si="842"/>
        <v>0.28524994149828031</v>
      </c>
      <c r="AM308" s="120">
        <f t="shared" si="843"/>
        <v>0.41309519262953243</v>
      </c>
      <c r="AN308" s="120">
        <f t="shared" si="844"/>
        <v>0.30165486587218721</v>
      </c>
      <c r="AO308" s="120">
        <f t="shared" si="848"/>
        <v>-6.4750949362379823E-2</v>
      </c>
      <c r="AP308" s="173">
        <f>+AP307*EXP(AO308)</f>
        <v>93.730086969043981</v>
      </c>
      <c r="AQ308" s="175">
        <f>LN(AP308/AP307)</f>
        <v>-6.4750949362379823E-2</v>
      </c>
      <c r="AR308" s="177">
        <f>+AC308/$AE$44</f>
        <v>4.3737778004424481E-3</v>
      </c>
      <c r="AS308" s="177">
        <f>+AR308*AQ308</f>
        <v>-2.8320626487874994E-4</v>
      </c>
      <c r="AT308" s="177"/>
      <c r="AU308" s="177"/>
      <c r="AV308" s="177"/>
      <c r="AW308" s="190"/>
      <c r="AX308" s="120"/>
      <c r="AY308" s="120"/>
      <c r="AZ308" s="118">
        <f>IFERROR(INDEX('Total Customers'!$F$7:$AB$91,MATCH($C308,'Total Customers'!$D$7:$D$91,0),MATCH($G308,'Total Customers'!$F$5:$AB$5,0)),"NA")</f>
        <v>138819</v>
      </c>
      <c r="BA308" s="119">
        <f t="shared" si="822"/>
        <v>-1.9171192698653413E-2</v>
      </c>
      <c r="BB308" s="119"/>
      <c r="BC308" s="121"/>
      <c r="BD308" s="119"/>
      <c r="BE308" s="119"/>
      <c r="BF308" s="119"/>
      <c r="BG308" s="173"/>
      <c r="BH308" s="173"/>
      <c r="BI308" s="173"/>
      <c r="BJ308" s="173"/>
      <c r="BK308" s="173"/>
      <c r="BL308" s="173"/>
      <c r="BM308" s="173"/>
      <c r="BN308" s="173"/>
      <c r="BO308" s="173"/>
      <c r="BP308" s="173"/>
      <c r="BQ308" s="118"/>
      <c r="BR308" s="118"/>
      <c r="BS308" s="118">
        <f>INDEX('Dist. Plant Gas Additions'!$F$7:$AE$91,MATCH($C308,'Dist. Plant Gas Additions'!$D$7:$D$91,0),MATCH(Calculation!$G308,'Dist. Plant Gas Additions'!$F$5:$AE$5,0))</f>
        <v>10771</v>
      </c>
      <c r="BT308" s="118">
        <f>INDEX('Gen. Plant Additions'!$F$7:$AE$91,MATCH($C308,'Gen. Plant Additions'!$D$7:$D$91,0),MATCH(Calculation!$G308,'Gen. Plant Additions'!$F$5:$AE$5,0))</f>
        <v>52</v>
      </c>
      <c r="BU308" s="118"/>
      <c r="BV308" s="118"/>
      <c r="BW308" s="118">
        <f>INDEX('Dist Plant Depreciation'!$E$7:$AD$94,MATCH($C308,'Dist Plant Depreciation'!$D$7:$D$94,0),MATCH(Calculation!$G308,'Dist Plant Depreciation'!$E$5:$AD$5,0))</f>
        <v>109630</v>
      </c>
      <c r="BX308" s="118">
        <f>INDEX('Gen. Plant Depreciation'!$E$7:$AD$94,MATCH($C308,'Gen. Plant Depreciation'!$D$7:$D$94,0),MATCH(Calculation!$G308,'Gen. Plant Depreciation'!$E$5:$AD$5,0))</f>
        <v>745</v>
      </c>
      <c r="BY308" s="118"/>
      <c r="BZ308" s="118"/>
      <c r="CA308" s="118"/>
      <c r="CB308" s="118"/>
      <c r="CC308" s="118"/>
      <c r="CD308" s="118"/>
      <c r="CE308" s="118">
        <f>INDEX('Gross Dx Plant'!$E$7:$AD$91,MATCH($C308,'Gross Dx Plant'!$D$7:$D$91,0),MATCH(Calculation!$G308,'Gross Dx Plant'!$E$5:$AD$5,0))</f>
        <v>247385</v>
      </c>
      <c r="CF308" s="118">
        <f>INDEX('Gross Gen Plant'!$E$7:$AD$91,MATCH($C308,'Gross Gen Plant'!$D$7:$D$91,0),MATCH(Calculation!$G308,'Gross Gen Plant'!$E$5:$AD$5,0))</f>
        <v>4904</v>
      </c>
      <c r="CG308" s="118">
        <f t="shared" si="834"/>
        <v>141914</v>
      </c>
      <c r="CH308" s="119" t="e">
        <f>SUM(#REF!)/15</f>
        <v>#REF!</v>
      </c>
      <c r="CI308" s="121">
        <v>2006</v>
      </c>
      <c r="CJ308" s="118"/>
      <c r="CK308" s="118"/>
      <c r="CL308" s="118"/>
      <c r="CM308" s="183"/>
      <c r="CN308" s="118">
        <f t="shared" si="823"/>
        <v>10823</v>
      </c>
      <c r="CO308" s="118">
        <f t="shared" si="824"/>
        <v>23.472861205870274</v>
      </c>
      <c r="CP308" s="186">
        <v>0.9555555555555556</v>
      </c>
      <c r="CQ308" s="118">
        <f>+CQ300*CP308+CO301*CP307+CO302*CP306+CO303*CP305+CO304*CP304+CO305*CP303+CO306*CP302+CO307*CP301+CO308</f>
        <v>709.14386498461079</v>
      </c>
      <c r="CR308" s="119">
        <f t="shared" si="825"/>
        <v>2.7387183128349094E-2</v>
      </c>
      <c r="CS308" s="119"/>
      <c r="CT308" s="177">
        <f t="shared" si="826"/>
        <v>6.2536728715411258E-3</v>
      </c>
      <c r="CU308" s="177">
        <f t="shared" si="835"/>
        <v>6.0485103949488445E-3</v>
      </c>
      <c r="CV308" s="119">
        <f>VLOOKUP($H308,RoR!$E:$F,2,FALSE)</f>
        <v>5.5874999999999994E-2</v>
      </c>
      <c r="CW308" s="177">
        <v>3.0512430354548314E-2</v>
      </c>
      <c r="CX308" s="177">
        <f t="shared" si="832"/>
        <v>2.536256964545168E-2</v>
      </c>
      <c r="CY308" s="177">
        <f t="shared" si="836"/>
        <v>2.4853431213584781E-2</v>
      </c>
      <c r="CZ308" s="177">
        <f t="shared" si="837"/>
        <v>7.9087823893859641E-2</v>
      </c>
      <c r="DA308" s="187">
        <f t="shared" si="827"/>
        <v>0.86875000000000002</v>
      </c>
      <c r="DB308" s="188">
        <f t="shared" si="828"/>
        <v>0.91779957551769631</v>
      </c>
      <c r="DC308" s="188">
        <f t="shared" si="829"/>
        <v>0.52757270693512304</v>
      </c>
      <c r="DD308" s="188">
        <f t="shared" si="830"/>
        <v>0.88636824549024895</v>
      </c>
      <c r="DE308" s="188">
        <f t="shared" si="831"/>
        <v>0.42918482841932087</v>
      </c>
      <c r="DF308" s="189">
        <f>INDEX('State Tax Lookup'!$D$7:$Z$91,MATCH(Calculation!$C308,'State Tax Lookup'!$B$7:$B$91,0),MATCH($H308,'State Tax Lookup'!$D$6:$Z$6,0))</f>
        <v>0.35</v>
      </c>
      <c r="DG308" s="189">
        <v>0.375</v>
      </c>
      <c r="DH308" s="190">
        <f t="shared" si="833"/>
        <v>15.210440178212004</v>
      </c>
      <c r="DI308" s="190">
        <v>14.761660097816442</v>
      </c>
      <c r="DJ308" s="177"/>
      <c r="DK308" s="189">
        <f>VLOOKUP($H308,RoR!$E:$F,2,FALSE)</f>
        <v>5.5874999999999994E-2</v>
      </c>
      <c r="DL308" s="191">
        <f>HLOOKUP($H308,'GDP-PI'!$D$8:$CQ$11,3,FALSE)</f>
        <v>3.0512430354548314E-2</v>
      </c>
      <c r="DM308" s="189">
        <f>VLOOKUP(H308,'HW Dx Data'!$E:$F,2,FALSE)</f>
        <v>461.08567272971823</v>
      </c>
      <c r="DN308" s="183">
        <f>VLOOKUP(H308,'ECI - Input Price'!$G$17:$H$37,2,FALSE)</f>
        <v>102.05</v>
      </c>
      <c r="DO308" s="177">
        <f t="shared" ref="DO308" si="855">LN(DN308/DN307)</f>
        <v>2.8829034290048662E-2</v>
      </c>
      <c r="DP308" s="183">
        <f>HLOOKUP(H308,'GDP-PI'!$8:$9,2,FALSE)</f>
        <v>90.073999999999998</v>
      </c>
      <c r="DQ308" s="177">
        <f t="shared" ref="DQ308" si="856">LN(DP308/DP307)</f>
        <v>3.005618372545445E-2</v>
      </c>
    </row>
    <row r="309" spans="1:121" s="167" customFormat="1" ht="21" x14ac:dyDescent="0.35">
      <c r="A309" s="167" t="s">
        <v>45</v>
      </c>
      <c r="B309" s="168" t="s">
        <v>45</v>
      </c>
      <c r="C309" s="168">
        <v>4059355</v>
      </c>
      <c r="D309" s="168" t="s">
        <v>138</v>
      </c>
      <c r="E309" s="168"/>
      <c r="F309" s="168"/>
      <c r="G309" s="168" t="s">
        <v>13</v>
      </c>
      <c r="H309" s="169">
        <v>2007</v>
      </c>
      <c r="I309" s="170"/>
      <c r="J309" s="166">
        <f>IFERROR(INDEX('Labor Expenditures'!$F$7:$X$91,MATCH($C309,'Labor Expenditures'!$D$7:$D$91,0),MATCH($G309,'Labor Expenditures'!$F$5:$X$5,0)),"NA")</f>
        <v>9162.5988619010477</v>
      </c>
      <c r="K309" s="166">
        <f t="shared" si="840"/>
        <v>87.07625433025467</v>
      </c>
      <c r="L309" s="172">
        <f t="shared" si="847"/>
        <v>-0.11048841872373102</v>
      </c>
      <c r="M309" s="172">
        <f t="shared" si="851"/>
        <v>-4.4720129286658113E-4</v>
      </c>
      <c r="N309" s="196"/>
      <c r="O309" s="172"/>
      <c r="P309" s="166">
        <f>IFERROR(INDEX('Non-Labor Expenditures'!$F$7:$AB$91,MATCH($C309,'Non-Labor Expenditures'!$D$7:$D$91,0),MATCH($G309,'Non-Labor Expenditures'!$F$5:$AB$5,0)),"NA")</f>
        <v>13269.154489439103</v>
      </c>
      <c r="Q309" s="166">
        <f t="shared" si="841"/>
        <v>143.45342050032542</v>
      </c>
      <c r="R309" s="172">
        <f t="shared" si="852"/>
        <v>-0.10640586127298858</v>
      </c>
      <c r="S309" s="172">
        <f t="shared" ref="S309:S323" si="857">+R309*AR309</f>
        <v>-4.3067716308661553E-4</v>
      </c>
      <c r="T309" s="172"/>
      <c r="U309" s="172"/>
      <c r="V309" s="166">
        <f t="shared" si="821"/>
        <v>11575.132250032071</v>
      </c>
      <c r="W309" s="170"/>
      <c r="X309" s="174">
        <v>722.85184640139266</v>
      </c>
      <c r="Y309" s="175">
        <v>1.9145867607306445E-2</v>
      </c>
      <c r="Z309" s="175">
        <f t="shared" ref="Z309:Z323" si="858">+Y309*AR309</f>
        <v>7.7492798303582347E-5</v>
      </c>
      <c r="AA309" s="175"/>
      <c r="AB309" s="175"/>
      <c r="AC309" s="170">
        <f t="shared" si="682"/>
        <v>34006.885601372225</v>
      </c>
      <c r="AD309" s="175">
        <f t="shared" si="853"/>
        <v>-2.2806723846263418E-2</v>
      </c>
      <c r="AE309" s="170"/>
      <c r="AF309" s="170"/>
      <c r="AG309" s="121">
        <f t="shared" si="854"/>
        <v>245.18832852456958</v>
      </c>
      <c r="AH309" s="119">
        <f>+AZ309/$BB$45</f>
        <v>3.9157839829708288E-3</v>
      </c>
      <c r="AI309" s="119"/>
      <c r="AJ309" s="176">
        <f t="shared" ref="AJ309:AJ323" si="859">+AH309*AG309</f>
        <v>0.96010452964789916</v>
      </c>
      <c r="AK309" s="176">
        <f t="shared" ref="AK309:AK323" si="860">+AI309*AG309</f>
        <v>0</v>
      </c>
      <c r="AL309" s="120">
        <f t="shared" si="842"/>
        <v>0.269433636743593</v>
      </c>
      <c r="AM309" s="120">
        <f t="shared" si="843"/>
        <v>0.39019022926650104</v>
      </c>
      <c r="AN309" s="120">
        <f t="shared" si="844"/>
        <v>0.34037613398990579</v>
      </c>
      <c r="AO309" s="120">
        <f t="shared" si="848"/>
        <v>-6.7234074046851375E-2</v>
      </c>
      <c r="AP309" s="173">
        <f>+AP308*EXP(AO309)</f>
        <v>87.635411977811188</v>
      </c>
      <c r="AQ309" s="175">
        <f>LN(AP309/AP308)</f>
        <v>-6.723407404685143E-2</v>
      </c>
      <c r="AR309" s="177">
        <f>+AC309/$AE$45</f>
        <v>4.0474947332242881E-3</v>
      </c>
      <c r="AS309" s="177">
        <f t="shared" ref="AS309:AS323" si="861">+AR309*AQ309</f>
        <v>-2.7212956059784296E-4</v>
      </c>
      <c r="AT309" s="177"/>
      <c r="AU309" s="177"/>
      <c r="AV309" s="177"/>
      <c r="AW309" s="190"/>
      <c r="AX309" s="120"/>
      <c r="AY309" s="120"/>
      <c r="AZ309" s="118">
        <f>IFERROR(INDEX('Total Customers'!$F$7:$AB$91,MATCH($C309,'Total Customers'!$D$7:$D$91,0),MATCH($G309,'Total Customers'!$F$5:$AB$5,0)),"NA")</f>
        <v>138697</v>
      </c>
      <c r="BA309" s="119">
        <f t="shared" si="822"/>
        <v>-8.7922864165862968E-4</v>
      </c>
      <c r="BB309" s="119"/>
      <c r="BC309" s="121"/>
      <c r="BD309" s="119"/>
      <c r="BE309" s="119"/>
      <c r="BF309" s="119"/>
      <c r="BG309" s="173"/>
      <c r="BH309" s="173"/>
      <c r="BI309" s="173"/>
      <c r="BJ309" s="173"/>
      <c r="BK309" s="173"/>
      <c r="BL309" s="173"/>
      <c r="BM309" s="173"/>
      <c r="BN309" s="173"/>
      <c r="BO309" s="173"/>
      <c r="BP309" s="173"/>
      <c r="BQ309" s="118"/>
      <c r="BR309" s="118"/>
      <c r="BS309" s="118">
        <f>INDEX('Dist. Plant Gas Additions'!$F$7:$AE$91,MATCH($C309,'Dist. Plant Gas Additions'!$D$7:$D$91,0),MATCH(Calculation!$G309,'Dist. Plant Gas Additions'!$F$5:$AE$5,0))</f>
        <v>9282</v>
      </c>
      <c r="BT309" s="118">
        <f>INDEX('Gen. Plant Additions'!$F$7:$AE$91,MATCH($C309,'Gen. Plant Additions'!$D$7:$D$91,0),MATCH(Calculation!$G309,'Gen. Plant Additions'!$F$5:$AE$5,0))</f>
        <v>-176</v>
      </c>
      <c r="BU309" s="118"/>
      <c r="BV309" s="118"/>
      <c r="BW309" s="118">
        <f>INDEX('Dist Plant Depreciation'!$E$7:$AD$94,MATCH($C309,'Dist Plant Depreciation'!$D$7:$D$94,0),MATCH(Calculation!$G309,'Dist Plant Depreciation'!$E$5:$AD$5,0))</f>
        <v>112207</v>
      </c>
      <c r="BX309" s="118">
        <f>INDEX('Gen. Plant Depreciation'!$E$7:$AD$94,MATCH($C309,'Gen. Plant Depreciation'!$D$7:$D$94,0),MATCH(Calculation!$G309,'Gen. Plant Depreciation'!$E$5:$AD$5,0))</f>
        <v>568</v>
      </c>
      <c r="BY309" s="118"/>
      <c r="BZ309" s="118"/>
      <c r="CA309" s="118"/>
      <c r="CB309" s="118"/>
      <c r="CC309" s="118"/>
      <c r="CD309" s="118"/>
      <c r="CE309" s="118">
        <f>INDEX('Gross Dx Plant'!$E$7:$AD$91,MATCH($C309,'Gross Dx Plant'!$D$7:$D$91,0),MATCH(Calculation!$G309,'Gross Dx Plant'!$E$5:$AD$5,0))</f>
        <v>254761</v>
      </c>
      <c r="CF309" s="118">
        <f>INDEX('Gross Gen Plant'!$E$7:$AD$91,MATCH($C309,'Gross Gen Plant'!$D$7:$D$91,0),MATCH(Calculation!$G309,'Gross Gen Plant'!$E$5:$AD$5,0))</f>
        <v>4312</v>
      </c>
      <c r="CG309" s="118">
        <f t="shared" si="834"/>
        <v>146298</v>
      </c>
      <c r="CH309" s="118"/>
      <c r="CI309" s="121">
        <v>2007</v>
      </c>
      <c r="CJ309" s="118"/>
      <c r="CK309" s="118"/>
      <c r="CL309" s="118"/>
      <c r="CM309" s="183"/>
      <c r="CN309" s="118">
        <f t="shared" si="823"/>
        <v>9106</v>
      </c>
      <c r="CO309" s="118">
        <f t="shared" si="824"/>
        <v>18.284321238243223</v>
      </c>
      <c r="CP309" s="186">
        <v>0.94915254237288138</v>
      </c>
      <c r="CQ309" s="118">
        <f>+CQ300*CP309+CO301*CP308+CO302*CP307+CO303*CP306+CO304*CP305+CO305*CP304+CO306*CP303+CO307*CP302+CO308*CP301+CO309</f>
        <v>722.85184640139266</v>
      </c>
      <c r="CR309" s="119">
        <f t="shared" si="825"/>
        <v>1.9145867607306445E-2</v>
      </c>
      <c r="CS309" s="119"/>
      <c r="CT309" s="177">
        <f t="shared" si="826"/>
        <v>6.4533306250356658E-3</v>
      </c>
      <c r="CU309" s="177">
        <f t="shared" si="835"/>
        <v>6.249970167625944E-3</v>
      </c>
      <c r="CV309" s="119">
        <f>VLOOKUP($H309,RoR!$E:$F,2,FALSE)</f>
        <v>5.5558333333333321E-2</v>
      </c>
      <c r="CW309" s="177">
        <v>2.691120634145272E-2</v>
      </c>
      <c r="CX309" s="177">
        <f t="shared" si="832"/>
        <v>2.86471269918806E-2</v>
      </c>
      <c r="CY309" s="177">
        <f t="shared" si="836"/>
        <v>2.465197144090768E-2</v>
      </c>
      <c r="CZ309" s="177">
        <f t="shared" si="837"/>
        <v>6.4575155250632399E-2</v>
      </c>
      <c r="DA309" s="187">
        <f t="shared" si="827"/>
        <v>0.86875000000000002</v>
      </c>
      <c r="DB309" s="188">
        <f t="shared" si="828"/>
        <v>0.92303077153834634</v>
      </c>
      <c r="DC309" s="188">
        <f t="shared" si="829"/>
        <v>0.52502249887505614</v>
      </c>
      <c r="DD309" s="188">
        <f t="shared" si="830"/>
        <v>0.88499666072084604</v>
      </c>
      <c r="DE309" s="188">
        <f t="shared" si="831"/>
        <v>0.42887993290280618</v>
      </c>
      <c r="DF309" s="189">
        <f>INDEX('State Tax Lookup'!$D$7:$Z$91,MATCH(Calculation!$C309,'State Tax Lookup'!$B$7:$B$91,0),MATCH($H309,'State Tax Lookup'!$D$6:$Z$6,0))</f>
        <v>0.35</v>
      </c>
      <c r="DG309" s="189">
        <v>0.375</v>
      </c>
      <c r="DH309" s="190">
        <f t="shared" si="833"/>
        <v>16.322685454358776</v>
      </c>
      <c r="DI309" s="190">
        <v>16.083015188376745</v>
      </c>
      <c r="DJ309" s="177"/>
      <c r="DK309" s="189">
        <f>VLOOKUP($H309,RoR!$E:$F,2,FALSE)</f>
        <v>5.5558333333333321E-2</v>
      </c>
      <c r="DL309" s="191">
        <f>HLOOKUP($H309,'GDP-PI'!$D$8:$CQ$11,3,FALSE)</f>
        <v>2.691120634145272E-2</v>
      </c>
      <c r="DM309" s="189">
        <f>VLOOKUP(H309,'HW Dx Data'!$E:$F,2,FALSE)</f>
        <v>498.0223154772637</v>
      </c>
      <c r="DN309" s="183">
        <f>VLOOKUP(H309,'ECI - Input Price'!$G$17:$H$37,2,FALSE)</f>
        <v>105.22500000000001</v>
      </c>
      <c r="DO309" s="177">
        <f t="shared" ref="DO309" si="862">LN(DN309/DN308)</f>
        <v>3.0638025400780679E-2</v>
      </c>
      <c r="DP309" s="183">
        <f>HLOOKUP(H309,'GDP-PI'!$8:$9,2,FALSE)</f>
        <v>92.498000000000005</v>
      </c>
      <c r="DQ309" s="177">
        <f t="shared" ref="DQ309" si="863">LN(DP309/DP308)</f>
        <v>2.6555467950038037E-2</v>
      </c>
    </row>
    <row r="310" spans="1:121" s="167" customFormat="1" ht="21" x14ac:dyDescent="0.35">
      <c r="A310" s="167" t="s">
        <v>45</v>
      </c>
      <c r="B310" s="168" t="s">
        <v>45</v>
      </c>
      <c r="C310" s="168">
        <v>4059355</v>
      </c>
      <c r="D310" s="168" t="s">
        <v>138</v>
      </c>
      <c r="E310" s="168"/>
      <c r="F310" s="168"/>
      <c r="G310" s="168" t="s">
        <v>14</v>
      </c>
      <c r="H310" s="169">
        <v>2008</v>
      </c>
      <c r="I310" s="170"/>
      <c r="J310" s="166">
        <f>IFERROR(INDEX('Labor Expenditures'!$F$7:$X$91,MATCH($C310,'Labor Expenditures'!$D$7:$D$91,0),MATCH($G310,'Labor Expenditures'!$F$5:$X$5,0)),"NA")</f>
        <v>10229.445274352172</v>
      </c>
      <c r="K310" s="166">
        <f t="shared" si="840"/>
        <v>94.520168855182931</v>
      </c>
      <c r="L310" s="172">
        <f t="shared" si="847"/>
        <v>8.2029017447164704E-2</v>
      </c>
      <c r="M310" s="172">
        <f t="shared" si="851"/>
        <v>3.5100209431364289E-4</v>
      </c>
      <c r="N310" s="196"/>
      <c r="O310" s="172"/>
      <c r="P310" s="166">
        <f>IFERROR(INDEX('Non-Labor Expenditures'!$F$7:$AB$91,MATCH($C310,'Non-Labor Expenditures'!$D$7:$D$91,0),MATCH($G310,'Non-Labor Expenditures'!$F$5:$AB$5,0)),"NA")</f>
        <v>14814.147354092431</v>
      </c>
      <c r="Q310" s="166">
        <f t="shared" si="841"/>
        <v>157.15593815340355</v>
      </c>
      <c r="R310" s="172">
        <f t="shared" si="852"/>
        <v>9.1228162370542404E-2</v>
      </c>
      <c r="S310" s="172">
        <f t="shared" si="857"/>
        <v>3.9036522744003989E-4</v>
      </c>
      <c r="T310" s="172"/>
      <c r="U310" s="172"/>
      <c r="V310" s="166">
        <f t="shared" si="821"/>
        <v>13390.572251551821</v>
      </c>
      <c r="W310" s="170"/>
      <c r="X310" s="174">
        <v>740.71441846520781</v>
      </c>
      <c r="Y310" s="175">
        <v>2.4410864741787313E-2</v>
      </c>
      <c r="Z310" s="175">
        <f t="shared" si="858"/>
        <v>1.0445406899934248E-4</v>
      </c>
      <c r="AA310" s="175"/>
      <c r="AB310" s="175"/>
      <c r="AC310" s="170">
        <f t="shared" si="682"/>
        <v>38434.164879996424</v>
      </c>
      <c r="AD310" s="175">
        <f t="shared" si="853"/>
        <v>0.12238375265290466</v>
      </c>
      <c r="AE310" s="170"/>
      <c r="AF310" s="170"/>
      <c r="AG310" s="121">
        <f t="shared" si="854"/>
        <v>279.44397097526814</v>
      </c>
      <c r="AH310" s="119">
        <f>+AZ310/$BB$46</f>
        <v>3.8623583165080578E-3</v>
      </c>
      <c r="AI310" s="119"/>
      <c r="AJ310" s="176">
        <f t="shared" si="859"/>
        <v>1.0793127452943632</v>
      </c>
      <c r="AK310" s="176">
        <f t="shared" si="860"/>
        <v>0</v>
      </c>
      <c r="AL310" s="120">
        <f t="shared" si="842"/>
        <v>0.26615500314087021</v>
      </c>
      <c r="AM310" s="120">
        <f t="shared" si="843"/>
        <v>0.38544215544547067</v>
      </c>
      <c r="AN310" s="120">
        <f t="shared" si="844"/>
        <v>0.34840284141365913</v>
      </c>
      <c r="AO310" s="120">
        <f t="shared" si="848"/>
        <v>6.5753508711751937E-2</v>
      </c>
      <c r="AP310" s="173">
        <f t="shared" ref="AP310:AP323" si="864">+AP309*EXP(AO310)</f>
        <v>93.591416132370028</v>
      </c>
      <c r="AQ310" s="175">
        <f t="shared" ref="AQ310:AQ323" si="865">LN(AP310/AP309)</f>
        <v>6.5753508711751923E-2</v>
      </c>
      <c r="AR310" s="177">
        <f>+AC310/$AE$46</f>
        <v>4.2789991302739309E-3</v>
      </c>
      <c r="AS310" s="177">
        <f t="shared" si="861"/>
        <v>2.8135920659004581E-4</v>
      </c>
      <c r="AT310" s="177"/>
      <c r="AU310" s="177"/>
      <c r="AV310" s="177"/>
      <c r="AW310" s="190"/>
      <c r="AX310" s="120"/>
      <c r="AY310" s="120"/>
      <c r="AZ310" s="118">
        <f>IFERROR(INDEX('Total Customers'!$F$7:$AB$91,MATCH($C310,'Total Customers'!$D$7:$D$91,0),MATCH($G310,'Total Customers'!$F$5:$AB$5,0)),"NA")</f>
        <v>137538</v>
      </c>
      <c r="BA310" s="119">
        <f t="shared" si="822"/>
        <v>-8.3914551092666261E-3</v>
      </c>
      <c r="BB310" s="119"/>
      <c r="BC310" s="121"/>
      <c r="BD310" s="119"/>
      <c r="BE310" s="119"/>
      <c r="BF310" s="119"/>
      <c r="BG310" s="173"/>
      <c r="BH310" s="173"/>
      <c r="BI310" s="173"/>
      <c r="BJ310" s="173"/>
      <c r="BK310" s="173"/>
      <c r="BL310" s="173"/>
      <c r="BM310" s="173"/>
      <c r="BN310" s="173"/>
      <c r="BO310" s="173"/>
      <c r="BP310" s="173"/>
      <c r="BQ310" s="118"/>
      <c r="BR310" s="118"/>
      <c r="BS310" s="118">
        <f>INDEX('Dist. Plant Gas Additions'!$F$7:$AE$91,MATCH($C310,'Dist. Plant Gas Additions'!$D$7:$D$91,0),MATCH(Calculation!$G310,'Dist. Plant Gas Additions'!$F$5:$AE$5,0))</f>
        <v>12674</v>
      </c>
      <c r="BT310" s="118">
        <f>INDEX('Gen. Plant Additions'!$F$7:$AE$91,MATCH($C310,'Gen. Plant Additions'!$D$7:$D$91,0),MATCH(Calculation!$G310,'Gen. Plant Additions'!$F$5:$AE$5,0))</f>
        <v>254</v>
      </c>
      <c r="BU310" s="118"/>
      <c r="BV310" s="118"/>
      <c r="BW310" s="118">
        <f>INDEX('Dist Plant Depreciation'!$E$7:$AD$94,MATCH($C310,'Dist Plant Depreciation'!$D$7:$D$94,0),MATCH(Calculation!$G310,'Dist Plant Depreciation'!$E$5:$AD$5,0))</f>
        <v>115070</v>
      </c>
      <c r="BX310" s="118">
        <f>INDEX('Gen. Plant Depreciation'!$E$7:$AD$94,MATCH($C310,'Gen. Plant Depreciation'!$D$7:$D$94,0),MATCH(Calculation!$G310,'Gen. Plant Depreciation'!$E$5:$AD$5,0))</f>
        <v>804</v>
      </c>
      <c r="BY310" s="118"/>
      <c r="BZ310" s="118"/>
      <c r="CA310" s="118"/>
      <c r="CB310" s="118"/>
      <c r="CC310" s="118"/>
      <c r="CD310" s="118"/>
      <c r="CE310" s="118">
        <f>INDEX('Gross Dx Plant'!$E$7:$AD$91,MATCH($C310,'Gross Dx Plant'!$D$7:$D$91,0),MATCH(Calculation!$G310,'Gross Dx Plant'!$E$5:$AD$5,0))</f>
        <v>265568</v>
      </c>
      <c r="CF310" s="118">
        <f>INDEX('Gross Gen Plant'!$E$7:$AD$91,MATCH($C310,'Gross Gen Plant'!$D$7:$D$91,0),MATCH(Calculation!$G310,'Gross Gen Plant'!$E$5:$AD$5,0))</f>
        <v>4667</v>
      </c>
      <c r="CG310" s="118">
        <f t="shared" si="834"/>
        <v>154361</v>
      </c>
      <c r="CH310" s="118"/>
      <c r="CI310" s="121">
        <v>2008</v>
      </c>
      <c r="CJ310" s="118"/>
      <c r="CK310" s="118"/>
      <c r="CL310" s="118"/>
      <c r="CM310" s="183"/>
      <c r="CN310" s="118">
        <f t="shared" si="823"/>
        <v>12928</v>
      </c>
      <c r="CO310" s="118">
        <f t="shared" si="824"/>
        <v>22.685429742796696</v>
      </c>
      <c r="CP310" s="186">
        <v>0.94252873563218387</v>
      </c>
      <c r="CQ310" s="118">
        <f>+CQ300*CP310+CO301*CP309+CO302*CP308+CO303*CP307+CO304*CP306+CO305*CP305+CO306*CP304+CO307*CP303+CO308*CP302+CO309*CP301+CO310</f>
        <v>740.71441846520781</v>
      </c>
      <c r="CR310" s="119">
        <f t="shared" si="825"/>
        <v>2.4410864741787313E-2</v>
      </c>
      <c r="CS310" s="119"/>
      <c r="CT310" s="177">
        <f t="shared" si="826"/>
        <v>6.6719863869635319E-3</v>
      </c>
      <c r="CU310" s="177">
        <f t="shared" si="835"/>
        <v>6.4596632945134414E-3</v>
      </c>
      <c r="CV310" s="119">
        <f>VLOOKUP($H310,RoR!$E:$F,2,FALSE)</f>
        <v>5.6316666666666668E-2</v>
      </c>
      <c r="CW310" s="177">
        <v>1.9092304698479889E-2</v>
      </c>
      <c r="CX310" s="177">
        <f t="shared" si="832"/>
        <v>3.7224361968186778E-2</v>
      </c>
      <c r="CY310" s="177">
        <f t="shared" si="836"/>
        <v>2.4442278314020183E-2</v>
      </c>
      <c r="CZ310" s="177">
        <f t="shared" si="837"/>
        <v>6.9030581091053131E-2</v>
      </c>
      <c r="DA310" s="187">
        <f t="shared" si="827"/>
        <v>0.86875000000000002</v>
      </c>
      <c r="DB310" s="188">
        <f t="shared" si="828"/>
        <v>0.91060168006009956</v>
      </c>
      <c r="DC310" s="188">
        <f t="shared" si="829"/>
        <v>0.53108168097070152</v>
      </c>
      <c r="DD310" s="188">
        <f t="shared" si="830"/>
        <v>0.88825329850328805</v>
      </c>
      <c r="DE310" s="188">
        <f t="shared" si="831"/>
        <v>0.4295627335323573</v>
      </c>
      <c r="DF310" s="189">
        <f>INDEX('State Tax Lookup'!$D$7:$Z$91,MATCH(Calculation!$C310,'State Tax Lookup'!$B$7:$B$91,0),MATCH($H310,'State Tax Lookup'!$D$6:$Z$6,0))</f>
        <v>0.35</v>
      </c>
      <c r="DG310" s="189">
        <v>0.375</v>
      </c>
      <c r="DH310" s="190">
        <f t="shared" si="833"/>
        <v>18.52464279950966</v>
      </c>
      <c r="DI310" s="190">
        <v>18.258134674342447</v>
      </c>
      <c r="DJ310" s="177"/>
      <c r="DK310" s="189">
        <f>VLOOKUP($H310,RoR!$E:$F,2,FALSE)</f>
        <v>5.6316666666666668E-2</v>
      </c>
      <c r="DL310" s="191">
        <f>HLOOKUP($H310,'GDP-PI'!$D$8:$CQ$11,3,FALSE)</f>
        <v>1.9092304698479889E-2</v>
      </c>
      <c r="DM310" s="189">
        <f>VLOOKUP(H310,'HW Dx Data'!$E:$F,2,FALSE)</f>
        <v>569.88120333515076</v>
      </c>
      <c r="DN310" s="183">
        <f>VLOOKUP(H310,'ECI - Input Price'!$G$17:$H$37,2,FALSE)</f>
        <v>108.22499999999999</v>
      </c>
      <c r="DO310" s="177">
        <f t="shared" ref="DO310" si="866">LN(DN310/DN309)</f>
        <v>2.8111478671409691E-2</v>
      </c>
      <c r="DP310" s="183">
        <f>HLOOKUP(H310,'GDP-PI'!$8:$9,2,FALSE)</f>
        <v>94.263999999999996</v>
      </c>
      <c r="DQ310" s="177">
        <f t="shared" ref="DQ310" si="867">LN(DP310/DP309)</f>
        <v>1.8912333748032254E-2</v>
      </c>
    </row>
    <row r="311" spans="1:121" s="167" customFormat="1" ht="21" x14ac:dyDescent="0.35">
      <c r="A311" s="167" t="s">
        <v>45</v>
      </c>
      <c r="B311" s="168" t="s">
        <v>45</v>
      </c>
      <c r="C311" s="168">
        <v>4059355</v>
      </c>
      <c r="D311" s="168" t="s">
        <v>138</v>
      </c>
      <c r="E311" s="168"/>
      <c r="F311" s="168"/>
      <c r="G311" s="168" t="s">
        <v>15</v>
      </c>
      <c r="H311" s="169">
        <v>2009</v>
      </c>
      <c r="I311" s="170"/>
      <c r="J311" s="166">
        <f>IFERROR(INDEX('Labor Expenditures'!$F$7:$X$91,MATCH($C311,'Labor Expenditures'!$D$7:$D$91,0),MATCH($G311,'Labor Expenditures'!$F$5:$X$5,0)),"NA")</f>
        <v>11701.246745093305</v>
      </c>
      <c r="K311" s="166">
        <f t="shared" si="840"/>
        <v>106.59300154947216</v>
      </c>
      <c r="L311" s="172">
        <f t="shared" si="847"/>
        <v>0.12020461930434052</v>
      </c>
      <c r="M311" s="172">
        <f t="shared" si="851"/>
        <v>5.3630089092548332E-4</v>
      </c>
      <c r="N311" s="196"/>
      <c r="O311" s="172"/>
      <c r="P311" s="166">
        <f>IFERROR(INDEX('Non-Labor Expenditures'!$F$7:$AB$91,MATCH($C311,'Non-Labor Expenditures'!$D$7:$D$91,0),MATCH($G311,'Non-Labor Expenditures'!$F$5:$AB$5,0)),"NA")</f>
        <v>16945.590778321508</v>
      </c>
      <c r="Q311" s="166">
        <f t="shared" si="841"/>
        <v>178.37651741935713</v>
      </c>
      <c r="R311" s="172">
        <f t="shared" si="852"/>
        <v>0.12665803360576786</v>
      </c>
      <c r="S311" s="172">
        <f t="shared" si="857"/>
        <v>5.6509322735478519E-4</v>
      </c>
      <c r="T311" s="172"/>
      <c r="U311" s="172"/>
      <c r="V311" s="166">
        <f t="shared" si="821"/>
        <v>13153.067152335041</v>
      </c>
      <c r="W311" s="170"/>
      <c r="X311" s="174">
        <v>758.94332103195632</v>
      </c>
      <c r="Y311" s="175">
        <v>2.4311947931581319E-2</v>
      </c>
      <c r="Z311" s="175">
        <f t="shared" si="858"/>
        <v>1.0846937007328644E-4</v>
      </c>
      <c r="AA311" s="175"/>
      <c r="AB311" s="175"/>
      <c r="AC311" s="170">
        <f t="shared" si="682"/>
        <v>41799.904675749851</v>
      </c>
      <c r="AD311" s="175">
        <f t="shared" si="853"/>
        <v>8.3947284591111102E-2</v>
      </c>
      <c r="AE311" s="170"/>
      <c r="AF311" s="170"/>
      <c r="AG311" s="121">
        <f t="shared" si="854"/>
        <v>308.24751798053063</v>
      </c>
      <c r="AH311" s="119">
        <f>+AZ311/$BB$47</f>
        <v>3.8025810423945473E-3</v>
      </c>
      <c r="AI311" s="119"/>
      <c r="AJ311" s="176">
        <f t="shared" si="859"/>
        <v>1.1721361682379381</v>
      </c>
      <c r="AK311" s="176">
        <f t="shared" si="860"/>
        <v>0</v>
      </c>
      <c r="AL311" s="120">
        <f t="shared" si="842"/>
        <v>0.27993477104462788</v>
      </c>
      <c r="AM311" s="120">
        <f t="shared" si="843"/>
        <v>0.40539783307574062</v>
      </c>
      <c r="AN311" s="120">
        <f t="shared" si="844"/>
        <v>0.31466739587963155</v>
      </c>
      <c r="AO311" s="120">
        <f t="shared" si="848"/>
        <v>9.0964640169460736E-2</v>
      </c>
      <c r="AP311" s="173">
        <f t="shared" si="864"/>
        <v>102.50415265448244</v>
      </c>
      <c r="AQ311" s="175">
        <f t="shared" si="865"/>
        <v>9.0964640169460681E-2</v>
      </c>
      <c r="AR311" s="177">
        <f>+AC311/$AE$47</f>
        <v>4.4615664025992865E-3</v>
      </c>
      <c r="AS311" s="177">
        <f t="shared" si="861"/>
        <v>4.0584478240459926E-4</v>
      </c>
      <c r="AT311" s="177"/>
      <c r="AU311" s="177"/>
      <c r="AV311" s="177"/>
      <c r="AW311" s="190"/>
      <c r="AX311" s="120"/>
      <c r="AY311" s="120"/>
      <c r="AZ311" s="118">
        <f>IFERROR(INDEX('Total Customers'!$F$7:$AB$91,MATCH($C311,'Total Customers'!$D$7:$D$91,0),MATCH($G311,'Total Customers'!$F$5:$AB$5,0)),"NA")</f>
        <v>135605</v>
      </c>
      <c r="BA311" s="119">
        <f t="shared" si="822"/>
        <v>-1.4153994578755096E-2</v>
      </c>
      <c r="BB311" s="119"/>
      <c r="BC311" s="121"/>
      <c r="BD311" s="119"/>
      <c r="BE311" s="119"/>
      <c r="BF311" s="119"/>
      <c r="BG311" s="173"/>
      <c r="BH311" s="173"/>
      <c r="BI311" s="173"/>
      <c r="BJ311" s="173"/>
      <c r="BK311" s="173"/>
      <c r="BL311" s="173"/>
      <c r="BM311" s="173"/>
      <c r="BN311" s="173"/>
      <c r="BO311" s="173"/>
      <c r="BP311" s="173"/>
      <c r="BQ311" s="118"/>
      <c r="BR311" s="118"/>
      <c r="BS311" s="118">
        <f>INDEX('Dist. Plant Gas Additions'!$F$7:$AE$91,MATCH($C311,'Dist. Plant Gas Additions'!$D$7:$D$91,0),MATCH(Calculation!$G311,'Dist. Plant Gas Additions'!$F$5:$AE$5,0))</f>
        <v>12789</v>
      </c>
      <c r="BT311" s="118">
        <f>INDEX('Gen. Plant Additions'!$F$7:$AE$91,MATCH($C311,'Gen. Plant Additions'!$D$7:$D$91,0),MATCH(Calculation!$G311,'Gen. Plant Additions'!$F$5:$AE$5,0))</f>
        <v>65</v>
      </c>
      <c r="BU311" s="118"/>
      <c r="BV311" s="118"/>
      <c r="BW311" s="118">
        <f>INDEX('Dist Plant Depreciation'!$E$7:$AD$94,MATCH($C311,'Dist Plant Depreciation'!$D$7:$D$94,0),MATCH(Calculation!$G311,'Dist Plant Depreciation'!$E$5:$AD$5,0))</f>
        <v>116859</v>
      </c>
      <c r="BX311" s="118">
        <f>INDEX('Gen. Plant Depreciation'!$E$7:$AD$94,MATCH($C311,'Gen. Plant Depreciation'!$D$7:$D$94,0),MATCH(Calculation!$G311,'Gen. Plant Depreciation'!$E$5:$AD$5,0))</f>
        <v>858</v>
      </c>
      <c r="BY311" s="118"/>
      <c r="BZ311" s="118"/>
      <c r="CA311" s="118"/>
      <c r="CB311" s="118"/>
      <c r="CC311" s="118"/>
      <c r="CD311" s="118"/>
      <c r="CE311" s="118">
        <f>INDEX('Gross Dx Plant'!$E$7:$AD$91,MATCH($C311,'Gross Dx Plant'!$D$7:$D$91,0),MATCH(Calculation!$G311,'Gross Dx Plant'!$E$5:$AD$5,0))</f>
        <v>275331</v>
      </c>
      <c r="CF311" s="118">
        <f>INDEX('Gross Gen Plant'!$E$7:$AD$91,MATCH($C311,'Gross Gen Plant'!$D$7:$D$91,0),MATCH(Calculation!$G311,'Gross Gen Plant'!$E$5:$AD$5,0))</f>
        <v>4436</v>
      </c>
      <c r="CG311" s="118">
        <f t="shared" si="834"/>
        <v>162050</v>
      </c>
      <c r="CH311" s="118"/>
      <c r="CI311" s="121">
        <v>2009</v>
      </c>
      <c r="CJ311" s="118"/>
      <c r="CK311" s="118"/>
      <c r="CL311" s="118"/>
      <c r="CM311" s="183"/>
      <c r="CN311" s="118">
        <f t="shared" si="823"/>
        <v>12854</v>
      </c>
      <c r="CO311" s="118">
        <f t="shared" si="824"/>
        <v>23.331007265557492</v>
      </c>
      <c r="CP311" s="186">
        <v>0.93567251461988299</v>
      </c>
      <c r="CQ311" s="118">
        <f>+CQ300*CP311+CO301*CP310+CO302*CP309+CO303*CP308+CO304*CP307+CO305*CP306+CO306*CP305+CO307*CP304+CO308*CP303+CO309*CP302+CO310*CP301+CO311</f>
        <v>758.94332103195632</v>
      </c>
      <c r="CR311" s="119">
        <f t="shared" si="825"/>
        <v>2.4311947931581319E-2</v>
      </c>
      <c r="CS311" s="119"/>
      <c r="CT311" s="177">
        <f t="shared" si="826"/>
        <v>6.8880861120278591E-3</v>
      </c>
      <c r="CU311" s="177">
        <f t="shared" si="835"/>
        <v>6.6711343746756859E-3</v>
      </c>
      <c r="CV311" s="119">
        <f>VLOOKUP($H311,RoR!$E:$F,2,FALSE)</f>
        <v>5.3133333333333324E-2</v>
      </c>
      <c r="CW311" s="177">
        <v>7.7972502758210105E-3</v>
      </c>
      <c r="CX311" s="177">
        <f t="shared" si="832"/>
        <v>4.5336083057512314E-2</v>
      </c>
      <c r="CY311" s="177">
        <f t="shared" si="836"/>
        <v>2.423080723385794E-2</v>
      </c>
      <c r="CZ311" s="177">
        <f t="shared" si="837"/>
        <v>6.3720160300892073E-2</v>
      </c>
      <c r="DA311" s="187">
        <f t="shared" si="827"/>
        <v>0.86875000000000002</v>
      </c>
      <c r="DB311" s="188">
        <f t="shared" si="828"/>
        <v>0.96515780330083989</v>
      </c>
      <c r="DC311" s="188">
        <f t="shared" si="829"/>
        <v>0.50448557089084056</v>
      </c>
      <c r="DD311" s="188">
        <f t="shared" si="830"/>
        <v>0.87391435735465484</v>
      </c>
      <c r="DE311" s="188">
        <f t="shared" si="831"/>
        <v>0.42551605393279146</v>
      </c>
      <c r="DF311" s="189">
        <f>INDEX('State Tax Lookup'!$D$7:$Z$91,MATCH(Calculation!$C311,'State Tax Lookup'!$B$7:$B$91,0),MATCH($H311,'State Tax Lookup'!$D$6:$Z$6,0))</f>
        <v>0.35</v>
      </c>
      <c r="DG311" s="189">
        <v>0.375</v>
      </c>
      <c r="DH311" s="190">
        <f t="shared" si="833"/>
        <v>17.75727166157878</v>
      </c>
      <c r="DI311" s="190">
        <v>17.43736790191765</v>
      </c>
      <c r="DJ311" s="177"/>
      <c r="DK311" s="189">
        <f>VLOOKUP($H311,RoR!$E:$F,2,FALSE)</f>
        <v>5.3133333333333324E-2</v>
      </c>
      <c r="DL311" s="191">
        <f>HLOOKUP($H311,'GDP-PI'!$D$8:$CQ$11,3,FALSE)</f>
        <v>7.7972502758210105E-3</v>
      </c>
      <c r="DM311" s="189">
        <f>VLOOKUP(H311,'HW Dx Data'!$E:$F,2,FALSE)</f>
        <v>550.94063679692806</v>
      </c>
      <c r="DN311" s="183">
        <f>VLOOKUP(H311,'ECI - Input Price'!$G$17:$H$37,2,FALSE)</f>
        <v>109.77499999999999</v>
      </c>
      <c r="DO311" s="177">
        <f t="shared" ref="DO311" si="868">LN(DN311/DN310)</f>
        <v>1.4220423119736749E-2</v>
      </c>
      <c r="DP311" s="183">
        <f>HLOOKUP(H311,'GDP-PI'!$8:$9,2,FALSE)</f>
        <v>94.998999999999995</v>
      </c>
      <c r="DQ311" s="177">
        <f t="shared" ref="DQ311" si="869">LN(DP311/DP310)</f>
        <v>7.7670088183096342E-3</v>
      </c>
    </row>
    <row r="312" spans="1:121" s="167" customFormat="1" ht="21" x14ac:dyDescent="0.35">
      <c r="A312" s="167" t="s">
        <v>45</v>
      </c>
      <c r="B312" s="168" t="s">
        <v>45</v>
      </c>
      <c r="C312" s="168">
        <v>4059355</v>
      </c>
      <c r="D312" s="168" t="s">
        <v>138</v>
      </c>
      <c r="E312" s="168"/>
      <c r="F312" s="168"/>
      <c r="G312" s="168" t="s">
        <v>16</v>
      </c>
      <c r="H312" s="169">
        <v>2010</v>
      </c>
      <c r="I312" s="170"/>
      <c r="J312" s="166">
        <f>IFERROR(INDEX('Labor Expenditures'!$F$7:$X$91,MATCH($C312,'Labor Expenditures'!$D$7:$D$91,0),MATCH($G312,'Labor Expenditures'!$F$5:$X$5,0)),"NA")</f>
        <v>12082.387581424464</v>
      </c>
      <c r="K312" s="166">
        <f t="shared" si="840"/>
        <v>107.99899514122426</v>
      </c>
      <c r="L312" s="172">
        <f t="shared" si="847"/>
        <v>1.3104064762311322E-2</v>
      </c>
      <c r="M312" s="172">
        <f t="shared" si="851"/>
        <v>5.8549460730870574E-5</v>
      </c>
      <c r="N312" s="196"/>
      <c r="O312" s="172"/>
      <c r="P312" s="166">
        <f>IFERROR(INDEX('Non-Labor Expenditures'!$F$7:$AB$91,MATCH($C312,'Non-Labor Expenditures'!$D$7:$D$91,0),MATCH($G312,'Non-Labor Expenditures'!$F$5:$AB$5,0)),"NA")</f>
        <v>17497.553896617708</v>
      </c>
      <c r="Q312" s="166">
        <f t="shared" si="841"/>
        <v>182.05947306306078</v>
      </c>
      <c r="R312" s="172">
        <f t="shared" si="852"/>
        <v>2.0436826102399025E-2</v>
      </c>
      <c r="S312" s="172">
        <f t="shared" si="857"/>
        <v>9.1312517837021875E-5</v>
      </c>
      <c r="T312" s="172"/>
      <c r="U312" s="172"/>
      <c r="V312" s="166">
        <f t="shared" si="821"/>
        <v>13809.885462534039</v>
      </c>
      <c r="W312" s="170"/>
      <c r="X312" s="174">
        <v>768.82979858605574</v>
      </c>
      <c r="Y312" s="175">
        <v>1.294251801231161E-2</v>
      </c>
      <c r="Z312" s="175">
        <f t="shared" si="858"/>
        <v>5.7827663695609315E-5</v>
      </c>
      <c r="AA312" s="175"/>
      <c r="AB312" s="175"/>
      <c r="AC312" s="170">
        <f t="shared" si="682"/>
        <v>43389.826940576211</v>
      </c>
      <c r="AD312" s="175">
        <f t="shared" si="853"/>
        <v>3.7330952295320755E-2</v>
      </c>
      <c r="AE312" s="170"/>
      <c r="AF312" s="170"/>
      <c r="AG312" s="121">
        <f t="shared" si="854"/>
        <v>321.71831140274054</v>
      </c>
      <c r="AH312" s="119">
        <f>+AZ312/$BB$48</f>
        <v>3.761122383306924E-3</v>
      </c>
      <c r="AI312" s="119"/>
      <c r="AJ312" s="176">
        <f t="shared" si="859"/>
        <v>1.2100219421365546</v>
      </c>
      <c r="AK312" s="176">
        <f t="shared" si="860"/>
        <v>0</v>
      </c>
      <c r="AL312" s="120">
        <f t="shared" si="842"/>
        <v>0.27846129918821039</v>
      </c>
      <c r="AM312" s="120">
        <f t="shared" si="843"/>
        <v>0.40326397062106706</v>
      </c>
      <c r="AN312" s="120">
        <f t="shared" si="844"/>
        <v>0.31827473019072255</v>
      </c>
      <c r="AO312" s="120">
        <f t="shared" si="848"/>
        <v>1.6017801896285808E-2</v>
      </c>
      <c r="AP312" s="173">
        <f t="shared" si="864"/>
        <v>104.15926410137732</v>
      </c>
      <c r="AQ312" s="175">
        <f t="shared" si="865"/>
        <v>1.6017801896285797E-2</v>
      </c>
      <c r="AR312" s="177">
        <f>+AC312/$AE$48</f>
        <v>4.4680381082414233E-3</v>
      </c>
      <c r="AS312" s="177">
        <f t="shared" si="861"/>
        <v>7.156814928286667E-5</v>
      </c>
      <c r="AT312" s="177"/>
      <c r="AU312" s="177"/>
      <c r="AV312" s="177"/>
      <c r="AW312" s="190"/>
      <c r="AX312" s="120"/>
      <c r="AY312" s="120"/>
      <c r="AZ312" s="118">
        <f>IFERROR(INDEX('Total Customers'!$F$7:$AB$91,MATCH($C312,'Total Customers'!$D$7:$D$91,0),MATCH($G312,'Total Customers'!$F$5:$AB$5,0)),"NA")</f>
        <v>134869</v>
      </c>
      <c r="BA312" s="119">
        <f t="shared" si="822"/>
        <v>-5.4423110289027604E-3</v>
      </c>
      <c r="BB312" s="119"/>
      <c r="BC312" s="121"/>
      <c r="BD312" s="119"/>
      <c r="BE312" s="119"/>
      <c r="BF312" s="119"/>
      <c r="BG312" s="173"/>
      <c r="BH312" s="173"/>
      <c r="BI312" s="173"/>
      <c r="BJ312" s="173"/>
      <c r="BK312" s="173"/>
      <c r="BL312" s="173"/>
      <c r="BM312" s="173"/>
      <c r="BN312" s="173"/>
      <c r="BO312" s="173"/>
      <c r="BP312" s="173"/>
      <c r="BQ312" s="118"/>
      <c r="BR312" s="118"/>
      <c r="BS312" s="118">
        <f>INDEX('Dist. Plant Gas Additions'!$F$7:$AE$91,MATCH($C312,'Dist. Plant Gas Additions'!$D$7:$D$91,0),MATCH(Calculation!$G312,'Dist. Plant Gas Additions'!$F$5:$AE$5,0))</f>
        <v>8574</v>
      </c>
      <c r="BT312" s="118">
        <f>INDEX('Gen. Plant Additions'!$F$7:$AE$91,MATCH($C312,'Gen. Plant Additions'!$D$7:$D$91,0),MATCH(Calculation!$G312,'Gen. Plant Additions'!$F$5:$AE$5,0))</f>
        <v>122</v>
      </c>
      <c r="BU312" s="118"/>
      <c r="BV312" s="118"/>
      <c r="BW312" s="118">
        <f>INDEX('Dist Plant Depreciation'!$E$7:$AD$94,MATCH($C312,'Dist Plant Depreciation'!$D$7:$D$94,0),MATCH(Calculation!$G312,'Dist Plant Depreciation'!$E$5:$AD$5,0))</f>
        <v>120907</v>
      </c>
      <c r="BX312" s="118">
        <f>INDEX('Gen. Plant Depreciation'!$E$7:$AD$94,MATCH($C312,'Gen. Plant Depreciation'!$D$7:$D$94,0),MATCH(Calculation!$G312,'Gen. Plant Depreciation'!$E$5:$AD$5,0))</f>
        <v>907</v>
      </c>
      <c r="BY312" s="118"/>
      <c r="BZ312" s="118"/>
      <c r="CA312" s="118"/>
      <c r="CB312" s="118"/>
      <c r="CC312" s="118"/>
      <c r="CD312" s="118"/>
      <c r="CE312" s="118">
        <f>INDEX('Gross Dx Plant'!$E$7:$AD$91,MATCH($C312,'Gross Dx Plant'!$D$7:$D$91,0),MATCH(Calculation!$G312,'Gross Dx Plant'!$E$5:$AD$5,0))</f>
        <v>282814</v>
      </c>
      <c r="CF312" s="118">
        <f>INDEX('Gross Gen Plant'!$E$7:$AD$91,MATCH($C312,'Gross Gen Plant'!$D$7:$D$91,0),MATCH(Calculation!$G312,'Gross Gen Plant'!$E$5:$AD$5,0))</f>
        <v>4478</v>
      </c>
      <c r="CG312" s="118">
        <f t="shared" si="834"/>
        <v>165478</v>
      </c>
      <c r="CH312" s="118"/>
      <c r="CI312" s="121">
        <v>2010</v>
      </c>
      <c r="CJ312" s="118"/>
      <c r="CK312" s="118"/>
      <c r="CL312" s="118"/>
      <c r="CM312" s="183"/>
      <c r="CN312" s="118">
        <f t="shared" si="823"/>
        <v>8696</v>
      </c>
      <c r="CO312" s="118">
        <f t="shared" si="824"/>
        <v>15.283234505749951</v>
      </c>
      <c r="CP312" s="186">
        <v>0.9285714285714286</v>
      </c>
      <c r="CQ312" s="118">
        <f>+CQ300*CP312+CO301*CP311+CO302*CP310+CO303*CP309+CO304*CP308+CO305*CP307+CO306*CP306+CO307*CP305+CO308*CP304+CO309*CP303+CO310*CP302+CO311*CP301+CO312</f>
        <v>768.82979858605574</v>
      </c>
      <c r="CR312" s="119">
        <f t="shared" si="825"/>
        <v>1.294251801231161E-2</v>
      </c>
      <c r="CS312" s="119"/>
      <c r="CT312" s="177">
        <f t="shared" si="826"/>
        <v>7.110882726146666E-3</v>
      </c>
      <c r="CU312" s="177">
        <f t="shared" si="835"/>
        <v>6.8903184083793532E-3</v>
      </c>
      <c r="CV312" s="119">
        <f>VLOOKUP($H312,RoR!$E:$F,2,FALSE)</f>
        <v>4.9433333333333322E-2</v>
      </c>
      <c r="CW312" s="177">
        <v>1.1684333519300205E-2</v>
      </c>
      <c r="CX312" s="177">
        <f t="shared" si="832"/>
        <v>3.7748999814033117E-2</v>
      </c>
      <c r="CY312" s="177">
        <f t="shared" si="836"/>
        <v>2.4011623200154271E-2</v>
      </c>
      <c r="CZ312" s="177">
        <f t="shared" si="837"/>
        <v>4.7937530248493419E-2</v>
      </c>
      <c r="DA312" s="187">
        <f t="shared" si="827"/>
        <v>0.86875000000000002</v>
      </c>
      <c r="DB312" s="188">
        <f t="shared" si="828"/>
        <v>1.037398205301105</v>
      </c>
      <c r="DC312" s="188">
        <f t="shared" si="829"/>
        <v>0.46926837491571133</v>
      </c>
      <c r="DD312" s="188">
        <f t="shared" si="830"/>
        <v>0.8548537519972772</v>
      </c>
      <c r="DE312" s="188">
        <f t="shared" si="831"/>
        <v>0.41615833911547367</v>
      </c>
      <c r="DF312" s="189">
        <f>INDEX('State Tax Lookup'!$D$7:$Z$91,MATCH(Calculation!$C312,'State Tax Lookup'!$B$7:$B$91,0),MATCH($H312,'State Tax Lookup'!$D$6:$Z$6,0))</f>
        <v>0.35</v>
      </c>
      <c r="DG312" s="189">
        <v>0.375</v>
      </c>
      <c r="DH312" s="190">
        <f t="shared" si="833"/>
        <v>18.19620132338256</v>
      </c>
      <c r="DI312" s="190">
        <v>17.893659234370936</v>
      </c>
      <c r="DJ312" s="177"/>
      <c r="DK312" s="189">
        <f>VLOOKUP($H312,RoR!$E:$F,2,FALSE)</f>
        <v>4.9433333333333322E-2</v>
      </c>
      <c r="DL312" s="191">
        <f>HLOOKUP($H312,'GDP-PI'!$D$8:$CQ$11,3,FALSE)</f>
        <v>1.1684333519300205E-2</v>
      </c>
      <c r="DM312" s="189">
        <f>VLOOKUP(H312,'HW Dx Data'!$E:$F,2,FALSE)</f>
        <v>568.98950262971744</v>
      </c>
      <c r="DN312" s="183">
        <f>VLOOKUP(H312,'ECI - Input Price'!$G$17:$H$37,2,FALSE)</f>
        <v>111.875</v>
      </c>
      <c r="DO312" s="177">
        <f t="shared" ref="DO312" si="870">LN(DN312/DN311)</f>
        <v>1.8949360147238387E-2</v>
      </c>
      <c r="DP312" s="183">
        <f>HLOOKUP(H312,'GDP-PI'!$8:$9,2,FALSE)</f>
        <v>96.108999999999995</v>
      </c>
      <c r="DQ312" s="177">
        <f t="shared" ref="DQ312" si="871">LN(DP312/DP311)</f>
        <v>1.1616598807150427E-2</v>
      </c>
    </row>
    <row r="313" spans="1:121" s="167" customFormat="1" ht="21" x14ac:dyDescent="0.35">
      <c r="A313" s="167" t="s">
        <v>45</v>
      </c>
      <c r="B313" s="168" t="s">
        <v>45</v>
      </c>
      <c r="C313" s="168">
        <v>4059355</v>
      </c>
      <c r="D313" s="168" t="s">
        <v>138</v>
      </c>
      <c r="E313" s="168"/>
      <c r="F313" s="168"/>
      <c r="G313" s="168" t="s">
        <v>17</v>
      </c>
      <c r="H313" s="169">
        <v>2011</v>
      </c>
      <c r="I313" s="170"/>
      <c r="J313" s="166">
        <f>IFERROR(INDEX('Labor Expenditures'!$F$7:$X$91,MATCH($C313,'Labor Expenditures'!$D$7:$D$91,0),MATCH($G313,'Labor Expenditures'!$F$5:$X$5,0)),"NA")</f>
        <v>11846.609034720803</v>
      </c>
      <c r="K313" s="166">
        <f t="shared" si="840"/>
        <v>103.64487344462646</v>
      </c>
      <c r="L313" s="172">
        <f t="shared" si="847"/>
        <v>-4.1151545428869625E-2</v>
      </c>
      <c r="M313" s="172">
        <f t="shared" si="851"/>
        <v>-1.7722238925022091E-4</v>
      </c>
      <c r="N313" s="196"/>
      <c r="O313" s="172"/>
      <c r="P313" s="166">
        <f>IFERROR(INDEX('Non-Labor Expenditures'!$F$7:$AB$91,MATCH($C313,'Non-Labor Expenditures'!$D$7:$D$91,0),MATCH($G313,'Non-Labor Expenditures'!$F$5:$AB$5,0)),"NA")</f>
        <v>17156.102523632777</v>
      </c>
      <c r="Q313" s="166">
        <f t="shared" si="841"/>
        <v>174.86242787460023</v>
      </c>
      <c r="R313" s="172">
        <f t="shared" si="852"/>
        <v>-4.033387043597312E-2</v>
      </c>
      <c r="S313" s="172">
        <f t="shared" si="857"/>
        <v>-1.7370100714024031E-4</v>
      </c>
      <c r="T313" s="172"/>
      <c r="U313" s="172"/>
      <c r="V313" s="166">
        <f t="shared" si="821"/>
        <v>14919.446523376735</v>
      </c>
      <c r="W313" s="170"/>
      <c r="X313" s="174">
        <v>787.42423049170395</v>
      </c>
      <c r="Y313" s="175">
        <v>2.38975340498375E-2</v>
      </c>
      <c r="Z313" s="175">
        <f t="shared" si="858"/>
        <v>1.0291662287194555E-4</v>
      </c>
      <c r="AA313" s="175"/>
      <c r="AB313" s="175"/>
      <c r="AC313" s="170">
        <f t="shared" si="682"/>
        <v>43922.158081730311</v>
      </c>
      <c r="AD313" s="175">
        <f t="shared" si="853"/>
        <v>1.2193921306550571E-2</v>
      </c>
      <c r="AE313" s="170"/>
      <c r="AF313" s="170"/>
      <c r="AG313" s="121">
        <f t="shared" si="854"/>
        <v>327.11330792518407</v>
      </c>
      <c r="AH313" s="119">
        <f>+AZ313/$BB$49</f>
        <v>3.726270393921035E-3</v>
      </c>
      <c r="AI313" s="119"/>
      <c r="AJ313" s="176">
        <f t="shared" si="859"/>
        <v>1.2189126347791885</v>
      </c>
      <c r="AK313" s="176">
        <f t="shared" si="860"/>
        <v>0</v>
      </c>
      <c r="AL313" s="120">
        <f t="shared" si="842"/>
        <v>0.2697182823457045</v>
      </c>
      <c r="AM313" s="120">
        <f t="shared" si="843"/>
        <v>0.3906024492628235</v>
      </c>
      <c r="AN313" s="120">
        <f t="shared" si="844"/>
        <v>0.33967926839147211</v>
      </c>
      <c r="AO313" s="120">
        <f t="shared" si="848"/>
        <v>-1.9427332095696793E-2</v>
      </c>
      <c r="AP313" s="173">
        <f t="shared" si="864"/>
        <v>102.1552567739523</v>
      </c>
      <c r="AQ313" s="175">
        <f t="shared" si="865"/>
        <v>-1.942733209569689E-2</v>
      </c>
      <c r="AR313" s="177">
        <f>+AC313/$AE$49</f>
        <v>4.306579191698876E-3</v>
      </c>
      <c r="AS313" s="177">
        <f t="shared" si="861"/>
        <v>-8.3665344153551949E-5</v>
      </c>
      <c r="AT313" s="177"/>
      <c r="AU313" s="177"/>
      <c r="AV313" s="177"/>
      <c r="AW313" s="190"/>
      <c r="AX313" s="120"/>
      <c r="AY313" s="120"/>
      <c r="AZ313" s="118">
        <f>IFERROR(INDEX('Total Customers'!$F$7:$AB$91,MATCH($C313,'Total Customers'!$D$7:$D$91,0),MATCH($G313,'Total Customers'!$F$5:$AB$5,0)),"NA")</f>
        <v>134272</v>
      </c>
      <c r="BA313" s="119">
        <f t="shared" si="822"/>
        <v>-4.436343620159126E-3</v>
      </c>
      <c r="BB313" s="119"/>
      <c r="BC313" s="121"/>
      <c r="BD313" s="119"/>
      <c r="BE313" s="119"/>
      <c r="BF313" s="119"/>
      <c r="BG313" s="173"/>
      <c r="BH313" s="173"/>
      <c r="BI313" s="173"/>
      <c r="BJ313" s="173"/>
      <c r="BK313" s="173"/>
      <c r="BL313" s="173"/>
      <c r="BM313" s="173"/>
      <c r="BN313" s="173"/>
      <c r="BO313" s="173"/>
      <c r="BP313" s="173"/>
      <c r="BQ313" s="118"/>
      <c r="BR313" s="118"/>
      <c r="BS313" s="118">
        <f>INDEX('Dist. Plant Gas Additions'!$F$7:$AE$91,MATCH($C313,'Dist. Plant Gas Additions'!$D$7:$D$91,0),MATCH(Calculation!$G313,'Dist. Plant Gas Additions'!$F$5:$AE$5,0))</f>
        <v>14062</v>
      </c>
      <c r="BT313" s="118">
        <f>INDEX('Gen. Plant Additions'!$F$7:$AE$91,MATCH($C313,'Gen. Plant Additions'!$D$7:$D$91,0),MATCH(Calculation!$G313,'Gen. Plant Additions'!$F$5:$AE$5,0))</f>
        <v>775</v>
      </c>
      <c r="BU313" s="118"/>
      <c r="BV313" s="118"/>
      <c r="BW313" s="118">
        <f>INDEX('Dist Plant Depreciation'!$E$7:$AD$94,MATCH($C313,'Dist Plant Depreciation'!$D$7:$D$94,0),MATCH(Calculation!$G313,'Dist Plant Depreciation'!$E$5:$AD$5,0))</f>
        <v>124253</v>
      </c>
      <c r="BX313" s="118">
        <f>INDEX('Gen. Plant Depreciation'!$E$7:$AD$94,MATCH($C313,'Gen. Plant Depreciation'!$D$7:$D$94,0),MATCH(Calculation!$G313,'Gen. Plant Depreciation'!$E$5:$AD$5,0))</f>
        <v>929</v>
      </c>
      <c r="BY313" s="118"/>
      <c r="BZ313" s="118"/>
      <c r="CA313" s="118"/>
      <c r="CB313" s="118"/>
      <c r="CC313" s="118"/>
      <c r="CD313" s="118"/>
      <c r="CE313" s="118">
        <f>INDEX('Gross Dx Plant'!$E$7:$AD$91,MATCH($C313,'Gross Dx Plant'!$D$7:$D$91,0),MATCH(Calculation!$G313,'Gross Dx Plant'!$E$5:$AD$5,0))</f>
        <v>295096</v>
      </c>
      <c r="CF313" s="118">
        <f>INDEX('Gross Gen Plant'!$E$7:$AD$91,MATCH($C313,'Gross Gen Plant'!$D$7:$D$91,0),MATCH(Calculation!$G313,'Gross Gen Plant'!$E$5:$AD$5,0))</f>
        <v>5133</v>
      </c>
      <c r="CG313" s="118">
        <f t="shared" si="834"/>
        <v>175047</v>
      </c>
      <c r="CH313" s="118"/>
      <c r="CI313" s="121">
        <v>2011</v>
      </c>
      <c r="CJ313" s="118"/>
      <c r="CK313" s="118"/>
      <c r="CL313" s="118"/>
      <c r="CM313" s="183"/>
      <c r="CN313" s="118">
        <f t="shared" si="823"/>
        <v>14837</v>
      </c>
      <c r="CO313" s="118">
        <f t="shared" si="824"/>
        <v>24.258879693412613</v>
      </c>
      <c r="CP313" s="186">
        <v>0.92121212121212126</v>
      </c>
      <c r="CQ313" s="118">
        <f>+CQ300*CP313+CO301*CP312+CO302*CP311+CO303*CP310+CO304*CP309+CO305*CP308+CO306*CP307+CO307*CP306+CO308*CP305+CO309*CP304+CO310*CP303+CO311*CP302+CO312*CP301+CO313</f>
        <v>787.42423049170395</v>
      </c>
      <c r="CR313" s="119">
        <f t="shared" si="825"/>
        <v>2.38975340498375E-2</v>
      </c>
      <c r="CS313" s="119"/>
      <c r="CT313" s="177">
        <f t="shared" si="826"/>
        <v>7.367622584584798E-3</v>
      </c>
      <c r="CU313" s="177">
        <f t="shared" si="835"/>
        <v>7.1221971409197752E-3</v>
      </c>
      <c r="CV313" s="119">
        <f>VLOOKUP($H313,RoR!$E:$F,2,FALSE)</f>
        <v>4.6391666666666664E-2</v>
      </c>
      <c r="CW313" s="177">
        <v>2.0840920205183799E-2</v>
      </c>
      <c r="CX313" s="177">
        <f t="shared" si="832"/>
        <v>2.5550746461482865E-2</v>
      </c>
      <c r="CY313" s="177">
        <f t="shared" si="836"/>
        <v>2.3779744467613849E-2</v>
      </c>
      <c r="CZ313" s="177">
        <f t="shared" si="837"/>
        <v>2.4810540821321614E-2</v>
      </c>
      <c r="DA313" s="187">
        <f t="shared" si="827"/>
        <v>0.86875000000000002</v>
      </c>
      <c r="DB313" s="188">
        <f t="shared" si="828"/>
        <v>1.1054151524782025</v>
      </c>
      <c r="DC313" s="188">
        <f t="shared" si="829"/>
        <v>0.43611011316687626</v>
      </c>
      <c r="DD313" s="188">
        <f t="shared" si="830"/>
        <v>0.83698442246886229</v>
      </c>
      <c r="DE313" s="188">
        <f t="shared" si="831"/>
        <v>0.40349573304423936</v>
      </c>
      <c r="DF313" s="189">
        <f>INDEX('State Tax Lookup'!$D$7:$Z$91,MATCH(Calculation!$C313,'State Tax Lookup'!$B$7:$B$91,0),MATCH($H313,'State Tax Lookup'!$D$6:$Z$6,0))</f>
        <v>0.35</v>
      </c>
      <c r="DG313" s="189">
        <v>0.375</v>
      </c>
      <c r="DH313" s="190">
        <f t="shared" si="833"/>
        <v>19.405395772659805</v>
      </c>
      <c r="DI313" s="190">
        <v>19.066582793098817</v>
      </c>
      <c r="DJ313" s="177"/>
      <c r="DK313" s="189">
        <f>VLOOKUP($H313,RoR!$E:$F,2,FALSE)</f>
        <v>4.6391666666666664E-2</v>
      </c>
      <c r="DL313" s="191">
        <f>HLOOKUP($H313,'GDP-PI'!$D$8:$CQ$11,3,FALSE)</f>
        <v>2.0840920205183799E-2</v>
      </c>
      <c r="DM313" s="189">
        <f>VLOOKUP(H313,'HW Dx Data'!$E:$F,2,FALSE)</f>
        <v>611.61109612283201</v>
      </c>
      <c r="DN313" s="183">
        <f>VLOOKUP(H313,'ECI - Input Price'!$G$17:$H$37,2,FALSE)</f>
        <v>114.3</v>
      </c>
      <c r="DO313" s="177">
        <f t="shared" ref="DO313" si="872">LN(DN313/DN312)</f>
        <v>2.1444394205745516E-2</v>
      </c>
      <c r="DP313" s="183">
        <f>HLOOKUP(H313,'GDP-PI'!$8:$9,2,FALSE)</f>
        <v>98.111999999999995</v>
      </c>
      <c r="DQ313" s="177">
        <f t="shared" ref="DQ313" si="873">LN(DP313/DP312)</f>
        <v>2.0626719212849295E-2</v>
      </c>
    </row>
    <row r="314" spans="1:121" s="167" customFormat="1" ht="21" x14ac:dyDescent="0.35">
      <c r="A314" s="167" t="s">
        <v>45</v>
      </c>
      <c r="B314" s="168" t="s">
        <v>45</v>
      </c>
      <c r="C314" s="168">
        <v>4059355</v>
      </c>
      <c r="D314" s="168" t="s">
        <v>138</v>
      </c>
      <c r="E314" s="168"/>
      <c r="F314" s="168"/>
      <c r="G314" s="168" t="s">
        <v>18</v>
      </c>
      <c r="H314" s="169">
        <v>2012</v>
      </c>
      <c r="I314" s="170"/>
      <c r="J314" s="166">
        <f>IFERROR(INDEX('Labor Expenditures'!$F$7:$X$91,MATCH($C314,'Labor Expenditures'!$D$7:$D$91,0),MATCH($G314,'Labor Expenditures'!$F$5:$X$5,0)),"NA")</f>
        <v>12374.56672014634</v>
      </c>
      <c r="K314" s="166">
        <f t="shared" si="840"/>
        <v>106.21945682529048</v>
      </c>
      <c r="L314" s="172">
        <f t="shared" si="847"/>
        <v>2.453692390061454E-2</v>
      </c>
      <c r="M314" s="172">
        <f t="shared" si="851"/>
        <v>1.0744896942544709E-4</v>
      </c>
      <c r="N314" s="196"/>
      <c r="O314" s="172"/>
      <c r="P314" s="166">
        <f>IFERROR(INDEX('Non-Labor Expenditures'!$F$7:$AB$91,MATCH($C314,'Non-Labor Expenditures'!$D$7:$D$91,0),MATCH($G314,'Non-Labor Expenditures'!$F$5:$AB$5,0)),"NA")</f>
        <v>17920.683861022531</v>
      </c>
      <c r="Q314" s="166">
        <f t="shared" si="841"/>
        <v>179.2068386102253</v>
      </c>
      <c r="R314" s="172">
        <f t="shared" si="852"/>
        <v>2.4541123366862469E-2</v>
      </c>
      <c r="S314" s="172">
        <f t="shared" si="857"/>
        <v>1.0746735919273433E-4</v>
      </c>
      <c r="T314" s="172"/>
      <c r="U314" s="172"/>
      <c r="V314" s="166">
        <f t="shared" si="821"/>
        <v>16501.387480871854</v>
      </c>
      <c r="W314" s="170"/>
      <c r="X314" s="174">
        <v>808.11954706831955</v>
      </c>
      <c r="Y314" s="175">
        <v>2.5942851047238993E-2</v>
      </c>
      <c r="Z314" s="175">
        <f t="shared" si="858"/>
        <v>1.1360562637250122E-4</v>
      </c>
      <c r="AA314" s="175"/>
      <c r="AB314" s="175"/>
      <c r="AC314" s="170">
        <f t="shared" si="682"/>
        <v>46796.638062040729</v>
      </c>
      <c r="AD314" s="175">
        <f t="shared" si="853"/>
        <v>6.3392431416542522E-2</v>
      </c>
      <c r="AE314" s="170"/>
      <c r="AF314" s="170"/>
      <c r="AG314" s="121">
        <f t="shared" si="854"/>
        <v>350.19035906100885</v>
      </c>
      <c r="AH314" s="119">
        <f>+AZ314/$BB$50</f>
        <v>3.6906634779446616E-3</v>
      </c>
      <c r="AI314" s="119"/>
      <c r="AJ314" s="176">
        <f t="shared" si="859"/>
        <v>1.2924347685147928</v>
      </c>
      <c r="AK314" s="176">
        <f t="shared" si="860"/>
        <v>0</v>
      </c>
      <c r="AL314" s="120">
        <f t="shared" si="842"/>
        <v>0.26443281467657431</v>
      </c>
      <c r="AM314" s="120">
        <f t="shared" si="843"/>
        <v>0.38294810488873476</v>
      </c>
      <c r="AN314" s="120">
        <f t="shared" si="844"/>
        <v>0.35261908043469081</v>
      </c>
      <c r="AO314" s="120">
        <f t="shared" si="848"/>
        <v>2.5025208671425148E-2</v>
      </c>
      <c r="AP314" s="173">
        <f t="shared" si="864"/>
        <v>104.74396983442729</v>
      </c>
      <c r="AQ314" s="175">
        <f t="shared" si="865"/>
        <v>2.502520867142518E-2</v>
      </c>
      <c r="AR314" s="177">
        <f>+AC314/$AE$50</f>
        <v>4.3790725300638022E-3</v>
      </c>
      <c r="AS314" s="177">
        <f t="shared" si="861"/>
        <v>1.0958720385215246E-4</v>
      </c>
      <c r="AT314" s="177"/>
      <c r="AU314" s="177"/>
      <c r="AV314" s="177"/>
      <c r="AW314" s="190"/>
      <c r="AX314" s="120"/>
      <c r="AY314" s="120"/>
      <c r="AZ314" s="118">
        <f>IFERROR(INDEX('Total Customers'!$F$7:$AB$91,MATCH($C314,'Total Customers'!$D$7:$D$91,0),MATCH($G314,'Total Customers'!$F$5:$AB$5,0)),"NA")</f>
        <v>133632</v>
      </c>
      <c r="BA314" s="119">
        <f t="shared" si="822"/>
        <v>-4.7778399537131968E-3</v>
      </c>
      <c r="BB314" s="119"/>
      <c r="BC314" s="121"/>
      <c r="BD314" s="119"/>
      <c r="BE314" s="119"/>
      <c r="BF314" s="119"/>
      <c r="BG314" s="173"/>
      <c r="BH314" s="173"/>
      <c r="BI314" s="173"/>
      <c r="BJ314" s="173"/>
      <c r="BK314" s="173"/>
      <c r="BL314" s="173"/>
      <c r="BM314" s="173"/>
      <c r="BN314" s="173"/>
      <c r="BO314" s="173"/>
      <c r="BP314" s="173"/>
      <c r="BQ314" s="118"/>
      <c r="BR314" s="118"/>
      <c r="BS314" s="118">
        <f>INDEX('Dist. Plant Gas Additions'!$F$7:$AE$91,MATCH($C314,'Dist. Plant Gas Additions'!$D$7:$D$91,0),MATCH(Calculation!$G314,'Dist. Plant Gas Additions'!$F$5:$AE$5,0))</f>
        <v>17628</v>
      </c>
      <c r="BT314" s="118">
        <f>INDEX('Gen. Plant Additions'!$F$7:$AE$91,MATCH($C314,'Gen. Plant Additions'!$D$7:$D$91,0),MATCH(Calculation!$G314,'Gen. Plant Additions'!$F$5:$AE$5,0))</f>
        <v>222</v>
      </c>
      <c r="BU314" s="118"/>
      <c r="BV314" s="118"/>
      <c r="BW314" s="118">
        <f>INDEX('Dist Plant Depreciation'!$E$7:$AD$94,MATCH($C314,'Dist Plant Depreciation'!$D$7:$D$94,0),MATCH(Calculation!$G314,'Dist Plant Depreciation'!$E$5:$AD$5,0))</f>
        <v>126822</v>
      </c>
      <c r="BX314" s="118">
        <f>INDEX('Gen. Plant Depreciation'!$E$7:$AD$94,MATCH($C314,'Gen. Plant Depreciation'!$D$7:$D$94,0),MATCH(Calculation!$G314,'Gen. Plant Depreciation'!$E$5:$AD$5,0))</f>
        <v>953</v>
      </c>
      <c r="BY314" s="118"/>
      <c r="BZ314" s="118"/>
      <c r="CA314" s="118"/>
      <c r="CB314" s="118"/>
      <c r="CC314" s="118"/>
      <c r="CD314" s="118"/>
      <c r="CE314" s="118">
        <f>INDEX('Gross Dx Plant'!$E$7:$AD$91,MATCH($C314,'Gross Dx Plant'!$D$7:$D$91,0),MATCH(Calculation!$G314,'Gross Dx Plant'!$E$5:$AD$5,0))</f>
        <v>310090</v>
      </c>
      <c r="CF314" s="118">
        <f>INDEX('Gross Gen Plant'!$E$7:$AD$91,MATCH($C314,'Gross Gen Plant'!$D$7:$D$91,0),MATCH(Calculation!$G314,'Gross Gen Plant'!$E$5:$AD$5,0))</f>
        <v>5302</v>
      </c>
      <c r="CG314" s="118">
        <f t="shared" si="834"/>
        <v>187617</v>
      </c>
      <c r="CH314" s="118"/>
      <c r="CI314" s="121">
        <v>2012</v>
      </c>
      <c r="CJ314" s="118"/>
      <c r="CK314" s="118"/>
      <c r="CL314" s="118"/>
      <c r="CM314" s="183"/>
      <c r="CN314" s="118">
        <f t="shared" si="823"/>
        <v>17850</v>
      </c>
      <c r="CO314" s="118">
        <f t="shared" si="824"/>
        <v>26.684832400453086</v>
      </c>
      <c r="CP314" s="186">
        <v>0.9135802469135802</v>
      </c>
      <c r="CQ314" s="118">
        <f>+CQ300*CP314+CO301*CP313+CO302*CP312+CO303*CP311+CO304*CP310+CO305*CP309+CO306*CP308+CO307*CP307+CO308*CP306+CO309*CP305+CO310*CP304+CO311*CP303+CO312*CP302+CO313*CP301+CO314</f>
        <v>808.11954706831955</v>
      </c>
      <c r="CR314" s="119">
        <f t="shared" si="825"/>
        <v>2.5942851047238993E-2</v>
      </c>
      <c r="CS314" s="119"/>
      <c r="CT314" s="177">
        <f t="shared" si="826"/>
        <v>7.6064662375164146E-3</v>
      </c>
      <c r="CU314" s="177">
        <f t="shared" si="835"/>
        <v>7.3616571827492929E-3</v>
      </c>
      <c r="CV314" s="119">
        <f>VLOOKUP($H314,RoR!$E:$F,2,FALSE)</f>
        <v>3.6733333333333333E-2</v>
      </c>
      <c r="CW314" s="177">
        <v>1.924331376386168E-2</v>
      </c>
      <c r="CX314" s="177">
        <f t="shared" si="832"/>
        <v>1.7490019569471653E-2</v>
      </c>
      <c r="CY314" s="177">
        <f t="shared" si="836"/>
        <v>2.3540284425784333E-2</v>
      </c>
      <c r="CZ314" s="177">
        <f t="shared" si="837"/>
        <v>6.7122682943869583E-2</v>
      </c>
      <c r="DA314" s="187">
        <f t="shared" si="827"/>
        <v>0.86875000000000002</v>
      </c>
      <c r="DB314" s="188">
        <f t="shared" si="828"/>
        <v>1.3960631020522127</v>
      </c>
      <c r="DC314" s="188">
        <f t="shared" si="829"/>
        <v>0.29441923774954631</v>
      </c>
      <c r="DD314" s="188">
        <f t="shared" si="830"/>
        <v>0.76377954189366437</v>
      </c>
      <c r="DE314" s="188">
        <f t="shared" si="831"/>
        <v>0.31393465103033691</v>
      </c>
      <c r="DF314" s="189">
        <f>INDEX('State Tax Lookup'!$D$7:$Z$91,MATCH(Calculation!$C314,'State Tax Lookup'!$B$7:$B$91,0),MATCH($H314,'State Tax Lookup'!$D$6:$Z$6,0))</f>
        <v>0.35</v>
      </c>
      <c r="DG314" s="189">
        <v>0.375</v>
      </c>
      <c r="DH314" s="190">
        <f t="shared" si="833"/>
        <v>20.956159134914643</v>
      </c>
      <c r="DI314" s="190">
        <v>20.634624317760316</v>
      </c>
      <c r="DJ314" s="177"/>
      <c r="DK314" s="189">
        <f>VLOOKUP($H314,RoR!$E:$F,2,FALSE)</f>
        <v>3.6733333333333333E-2</v>
      </c>
      <c r="DL314" s="191">
        <f>HLOOKUP($H314,'GDP-PI'!$D$8:$CQ$11,3,FALSE)</f>
        <v>1.924331376386168E-2</v>
      </c>
      <c r="DM314" s="189">
        <f>VLOOKUP(H314,'HW Dx Data'!$E:$F,2,FALSE)</f>
        <v>668.91932211262167</v>
      </c>
      <c r="DN314" s="183">
        <f>VLOOKUP(H314,'ECI - Input Price'!$G$17:$H$37,2,FALSE)</f>
        <v>116.5</v>
      </c>
      <c r="DO314" s="177">
        <f t="shared" ref="DO314" si="874">LN(DN314/DN313)</f>
        <v>1.9064702204990347E-2</v>
      </c>
      <c r="DP314" s="183">
        <f>HLOOKUP(H314,'GDP-PI'!$8:$9,2,FALSE)</f>
        <v>100</v>
      </c>
      <c r="DQ314" s="177">
        <f t="shared" ref="DQ314" si="875">LN(DP314/DP313)</f>
        <v>1.9060502738742411E-2</v>
      </c>
    </row>
    <row r="315" spans="1:121" s="167" customFormat="1" ht="21" x14ac:dyDescent="0.35">
      <c r="A315" s="167" t="s">
        <v>45</v>
      </c>
      <c r="B315" s="168" t="s">
        <v>45</v>
      </c>
      <c r="C315" s="168">
        <v>4059355</v>
      </c>
      <c r="D315" s="168" t="s">
        <v>138</v>
      </c>
      <c r="E315" s="168"/>
      <c r="F315" s="168"/>
      <c r="G315" s="168" t="s">
        <v>19</v>
      </c>
      <c r="H315" s="169">
        <v>2013</v>
      </c>
      <c r="I315" s="170"/>
      <c r="J315" s="166">
        <f>IFERROR(INDEX('Labor Expenditures'!$F$7:$X$91,MATCH($C315,'Labor Expenditures'!$D$7:$D$91,0),MATCH($G315,'Labor Expenditures'!$F$5:$X$5,0)),"NA")</f>
        <v>12830.418791516619</v>
      </c>
      <c r="K315" s="166">
        <f t="shared" si="840"/>
        <v>108.06838316712251</v>
      </c>
      <c r="L315" s="172">
        <f t="shared" si="847"/>
        <v>1.7256902920539764E-2</v>
      </c>
      <c r="M315" s="172">
        <f t="shared" si="851"/>
        <v>7.4790356373654674E-5</v>
      </c>
      <c r="N315" s="196"/>
      <c r="O315" s="172"/>
      <c r="P315" s="166">
        <f>IFERROR(INDEX('Non-Labor Expenditures'!$F$7:$AB$91,MATCH($C315,'Non-Labor Expenditures'!$D$7:$D$91,0),MATCH($G315,'Non-Labor Expenditures'!$F$5:$AB$5,0)),"NA")</f>
        <v>18580.842801789258</v>
      </c>
      <c r="Q315" s="166">
        <f t="shared" si="841"/>
        <v>182.57143644964046</v>
      </c>
      <c r="R315" s="172">
        <f t="shared" si="852"/>
        <v>1.8600867333459427E-2</v>
      </c>
      <c r="S315" s="172">
        <f t="shared" si="857"/>
        <v>8.0615015517801223E-5</v>
      </c>
      <c r="T315" s="172"/>
      <c r="U315" s="172"/>
      <c r="V315" s="166">
        <f t="shared" si="821"/>
        <v>16629.880966657358</v>
      </c>
      <c r="W315" s="170"/>
      <c r="X315" s="174">
        <v>833.8398352093069</v>
      </c>
      <c r="Y315" s="175">
        <v>3.1331337932960578E-2</v>
      </c>
      <c r="Z315" s="175">
        <f t="shared" si="858"/>
        <v>1.357880924786609E-4</v>
      </c>
      <c r="AA315" s="175"/>
      <c r="AB315" s="175"/>
      <c r="AC315" s="170">
        <f t="shared" si="682"/>
        <v>48041.142559963235</v>
      </c>
      <c r="AD315" s="175">
        <f t="shared" si="853"/>
        <v>2.6246416379861873E-2</v>
      </c>
      <c r="AE315" s="170"/>
      <c r="AF315" s="170"/>
      <c r="AG315" s="121">
        <f t="shared" si="854"/>
        <v>356.39887355680611</v>
      </c>
      <c r="AH315" s="119">
        <f>+AZ315/$BB$51</f>
        <v>3.6990098556122829E-3</v>
      </c>
      <c r="AI315" s="119"/>
      <c r="AJ315" s="176">
        <f t="shared" si="859"/>
        <v>1.3183229458157417</v>
      </c>
      <c r="AK315" s="176">
        <f t="shared" si="860"/>
        <v>0</v>
      </c>
      <c r="AL315" s="120">
        <f t="shared" si="842"/>
        <v>0.26707147473651671</v>
      </c>
      <c r="AM315" s="120">
        <f t="shared" si="843"/>
        <v>0.38676937748924922</v>
      </c>
      <c r="AN315" s="120">
        <f t="shared" si="844"/>
        <v>0.34615914777423407</v>
      </c>
      <c r="AO315" s="120">
        <f t="shared" si="848"/>
        <v>2.2691593753209366E-2</v>
      </c>
      <c r="AP315" s="173">
        <f t="shared" si="864"/>
        <v>107.14794935781876</v>
      </c>
      <c r="AQ315" s="175">
        <f t="shared" si="865"/>
        <v>2.269159375320947E-2</v>
      </c>
      <c r="AR315" s="177">
        <f>+AC315/$AE$51</f>
        <v>4.3339385240810857E-3</v>
      </c>
      <c r="AS315" s="177">
        <f t="shared" si="861"/>
        <v>9.834397233983223E-5</v>
      </c>
      <c r="AT315" s="177"/>
      <c r="AU315" s="177"/>
      <c r="AV315" s="177"/>
      <c r="AW315" s="190"/>
      <c r="AX315" s="120"/>
      <c r="AY315" s="120"/>
      <c r="AZ315" s="118">
        <f>IFERROR(INDEX('Total Customers'!$F$7:$AB$91,MATCH($C315,'Total Customers'!$D$7:$D$91,0),MATCH($G315,'Total Customers'!$F$5:$AB$5,0)),"NA")</f>
        <v>134796</v>
      </c>
      <c r="BA315" s="119">
        <f t="shared" si="822"/>
        <v>8.6727710673684243E-3</v>
      </c>
      <c r="BB315" s="119"/>
      <c r="BC315" s="121"/>
      <c r="BD315" s="119"/>
      <c r="BE315" s="119"/>
      <c r="BF315" s="119"/>
      <c r="BG315" s="173"/>
      <c r="BH315" s="173"/>
      <c r="BI315" s="173"/>
      <c r="BJ315" s="173"/>
      <c r="BK315" s="173"/>
      <c r="BL315" s="173"/>
      <c r="BM315" s="173"/>
      <c r="BN315" s="173"/>
      <c r="BO315" s="173"/>
      <c r="BP315" s="173"/>
      <c r="BQ315" s="118"/>
      <c r="BR315" s="118"/>
      <c r="BS315" s="118">
        <f>INDEX('Dist. Plant Gas Additions'!$F$7:$AE$91,MATCH($C315,'Dist. Plant Gas Additions'!$D$7:$D$91,0),MATCH(Calculation!$G315,'Dist. Plant Gas Additions'!$F$5:$AE$5,0))</f>
        <v>20770</v>
      </c>
      <c r="BT315" s="118">
        <f>INDEX('Gen. Plant Additions'!$F$7:$AE$91,MATCH($C315,'Gen. Plant Additions'!$D$7:$D$91,0),MATCH(Calculation!$G315,'Gen. Plant Additions'!$F$5:$AE$5,0))</f>
        <v>495</v>
      </c>
      <c r="BU315" s="118"/>
      <c r="BV315" s="118"/>
      <c r="BW315" s="118">
        <f>INDEX('Dist Plant Depreciation'!$E$7:$AD$94,MATCH($C315,'Dist Plant Depreciation'!$D$7:$D$94,0),MATCH(Calculation!$G315,'Dist Plant Depreciation'!$E$5:$AD$5,0))</f>
        <v>129304</v>
      </c>
      <c r="BX315" s="118">
        <f>INDEX('Gen. Plant Depreciation'!$E$7:$AD$94,MATCH($C315,'Gen. Plant Depreciation'!$D$7:$D$94,0),MATCH(Calculation!$G315,'Gen. Plant Depreciation'!$E$5:$AD$5,0))</f>
        <v>521</v>
      </c>
      <c r="BY315" s="118"/>
      <c r="BZ315" s="118"/>
      <c r="CA315" s="118"/>
      <c r="CB315" s="118"/>
      <c r="CC315" s="118"/>
      <c r="CD315" s="118"/>
      <c r="CE315" s="118">
        <f>INDEX('Gross Dx Plant'!$E$7:$AD$91,MATCH($C315,'Gross Dx Plant'!$D$7:$D$91,0),MATCH(Calculation!$G315,'Gross Dx Plant'!$E$5:$AD$5,0))</f>
        <v>327919</v>
      </c>
      <c r="CF315" s="118">
        <f>INDEX('Gross Gen Plant'!$E$7:$AD$91,MATCH($C315,'Gross Gen Plant'!$D$7:$D$91,0),MATCH(Calculation!$G315,'Gross Gen Plant'!$E$5:$AD$5,0))</f>
        <v>5201</v>
      </c>
      <c r="CG315" s="118">
        <f t="shared" si="834"/>
        <v>203295</v>
      </c>
      <c r="CH315" s="118"/>
      <c r="CI315" s="121">
        <v>2013</v>
      </c>
      <c r="CJ315" s="118"/>
      <c r="CK315" s="118"/>
      <c r="CL315" s="118"/>
      <c r="CM315" s="183"/>
      <c r="CN315" s="118">
        <f t="shared" si="823"/>
        <v>21265</v>
      </c>
      <c r="CO315" s="118">
        <f t="shared" si="824"/>
        <v>32.061893890791843</v>
      </c>
      <c r="CP315" s="186">
        <v>0.90566037735849059</v>
      </c>
      <c r="CQ315" s="118">
        <f>+CQ300*CP315+CO301*CP314+CO302*CP313+CO303*CP312+CO304*CP311+CO305*CP310+CO306*CP309+CO307*CP308+CO308*CP307+CO309*CP306+CO310*CP305+CO311*CP304+CO312*CP303+CO313*CP302+CO314*CP301+CO315</f>
        <v>833.8398352093069</v>
      </c>
      <c r="CR315" s="119">
        <f t="shared" si="825"/>
        <v>3.1331337932960578E-2</v>
      </c>
      <c r="CS315" s="119"/>
      <c r="CT315" s="177">
        <f t="shared" si="826"/>
        <v>7.847360916847573E-3</v>
      </c>
      <c r="CU315" s="177">
        <f t="shared" si="835"/>
        <v>7.6071499129829285E-3</v>
      </c>
      <c r="CV315" s="119">
        <f>VLOOKUP($H315,RoR!$E:$F,2,FALSE)</f>
        <v>4.2350000000000006E-2</v>
      </c>
      <c r="CW315" s="177">
        <v>1.7730000000000024E-2</v>
      </c>
      <c r="CX315" s="177">
        <f t="shared" si="832"/>
        <v>2.4619999999999982E-2</v>
      </c>
      <c r="CY315" s="177">
        <f t="shared" si="836"/>
        <v>2.3294791695550696E-2</v>
      </c>
      <c r="CZ315" s="177">
        <f t="shared" si="837"/>
        <v>5.3376742735721204E-2</v>
      </c>
      <c r="DA315" s="187">
        <f t="shared" si="827"/>
        <v>0.86875000000000002</v>
      </c>
      <c r="DB315" s="188">
        <f t="shared" si="828"/>
        <v>1.2109103018193925</v>
      </c>
      <c r="DC315" s="188">
        <f t="shared" si="829"/>
        <v>0.38468122786304604</v>
      </c>
      <c r="DD315" s="188">
        <f t="shared" si="830"/>
        <v>0.80969194503422559</v>
      </c>
      <c r="DE315" s="188">
        <f t="shared" si="831"/>
        <v>0.37716621754800816</v>
      </c>
      <c r="DF315" s="189">
        <f>INDEX('State Tax Lookup'!$D$7:$Z$91,MATCH(Calculation!$C315,'State Tax Lookup'!$B$7:$B$91,0),MATCH($H315,'State Tax Lookup'!$D$6:$Z$6,0))</f>
        <v>0.35</v>
      </c>
      <c r="DG315" s="189">
        <v>0.375</v>
      </c>
      <c r="DH315" s="190">
        <f t="shared" si="833"/>
        <v>20.578491173721659</v>
      </c>
      <c r="DI315" s="190">
        <v>20.261851325195888</v>
      </c>
      <c r="DJ315" s="177"/>
      <c r="DK315" s="189">
        <f>VLOOKUP($H315,RoR!$E:$F,2,FALSE)</f>
        <v>4.2350000000000006E-2</v>
      </c>
      <c r="DL315" s="191">
        <f>HLOOKUP($H315,'GDP-PI'!$D$8:$CQ$11,3,FALSE)</f>
        <v>1.7730000000000024E-2</v>
      </c>
      <c r="DM315" s="189">
        <f>VLOOKUP(H315,'HW Dx Data'!$E:$F,2,FALSE)</f>
        <v>663.24840548821396</v>
      </c>
      <c r="DN315" s="183">
        <f>VLOOKUP(H315,'ECI - Input Price'!$G$17:$H$37,2,FALSE)</f>
        <v>118.72499999999999</v>
      </c>
      <c r="DO315" s="177">
        <f t="shared" ref="DO315" si="876">LN(DN315/DN314)</f>
        <v>1.8918621429430321E-2</v>
      </c>
      <c r="DP315" s="183">
        <f>HLOOKUP(H315,'GDP-PI'!$8:$9,2,FALSE)</f>
        <v>101.773</v>
      </c>
      <c r="DQ315" s="177">
        <f t="shared" ref="DQ315" si="877">LN(DP315/DP314)</f>
        <v>1.7574657016510519E-2</v>
      </c>
    </row>
    <row r="316" spans="1:121" s="167" customFormat="1" ht="21" x14ac:dyDescent="0.35">
      <c r="A316" s="167" t="s">
        <v>45</v>
      </c>
      <c r="B316" s="168" t="s">
        <v>45</v>
      </c>
      <c r="C316" s="168">
        <v>4059355</v>
      </c>
      <c r="D316" s="168" t="s">
        <v>138</v>
      </c>
      <c r="E316" s="168"/>
      <c r="F316" s="168"/>
      <c r="G316" s="168" t="s">
        <v>20</v>
      </c>
      <c r="H316" s="169">
        <v>2014</v>
      </c>
      <c r="I316" s="170"/>
      <c r="J316" s="166">
        <f>IFERROR(INDEX('Labor Expenditures'!$F$7:$X$91,MATCH($C316,'Labor Expenditures'!$D$7:$D$91,0),MATCH($G316,'Labor Expenditures'!$F$5:$X$5,0)),"NA")</f>
        <v>13275.035210369491</v>
      </c>
      <c r="K316" s="166">
        <f t="shared" si="840"/>
        <v>109.52999348489679</v>
      </c>
      <c r="L316" s="172">
        <f t="shared" si="847"/>
        <v>1.343422062799441E-2</v>
      </c>
      <c r="M316" s="172">
        <f t="shared" si="851"/>
        <v>5.9079524111236251E-5</v>
      </c>
      <c r="N316" s="196"/>
      <c r="O316" s="172"/>
      <c r="P316" s="166">
        <f>IFERROR(INDEX('Non-Labor Expenditures'!$F$7:$AB$91,MATCH($C316,'Non-Labor Expenditures'!$D$7:$D$91,0),MATCH($G316,'Non-Labor Expenditures'!$F$5:$AB$5,0)),"NA")</f>
        <v>19224.730419180371</v>
      </c>
      <c r="Q316" s="166">
        <f t="shared" si="841"/>
        <v>185.48274835914566</v>
      </c>
      <c r="R316" s="172">
        <f t="shared" si="852"/>
        <v>1.582034792976738E-2</v>
      </c>
      <c r="S316" s="172">
        <f t="shared" si="857"/>
        <v>6.9572969868991438E-5</v>
      </c>
      <c r="T316" s="172"/>
      <c r="U316" s="172"/>
      <c r="V316" s="166">
        <f t="shared" si="821"/>
        <v>17545.07928498706</v>
      </c>
      <c r="W316" s="170"/>
      <c r="X316" s="174">
        <v>871.48927385092077</v>
      </c>
      <c r="Y316" s="175">
        <v>4.4162217395123736E-2</v>
      </c>
      <c r="Z316" s="175">
        <f t="shared" si="858"/>
        <v>1.9421169710165604E-4</v>
      </c>
      <c r="AA316" s="175"/>
      <c r="AB316" s="175"/>
      <c r="AC316" s="170">
        <f t="shared" si="682"/>
        <v>50044.844914536923</v>
      </c>
      <c r="AD316" s="175">
        <f t="shared" si="853"/>
        <v>4.0861721304014414E-2</v>
      </c>
      <c r="AE316" s="170"/>
      <c r="AF316" s="170"/>
      <c r="AG316" s="121">
        <f t="shared" si="854"/>
        <v>370.82616364371029</v>
      </c>
      <c r="AH316" s="119">
        <f>+AZ316/$BB$52</f>
        <v>3.6834930637273493E-3</v>
      </c>
      <c r="AI316" s="119"/>
      <c r="AJ316" s="176">
        <f t="shared" si="859"/>
        <v>1.3659356016302298</v>
      </c>
      <c r="AK316" s="176">
        <f t="shared" si="860"/>
        <v>0</v>
      </c>
      <c r="AL316" s="120">
        <f t="shared" si="842"/>
        <v>0.26526279046402612</v>
      </c>
      <c r="AM316" s="120">
        <f t="shared" si="843"/>
        <v>0.38415006484705899</v>
      </c>
      <c r="AN316" s="120">
        <f t="shared" si="844"/>
        <v>0.35058714468891483</v>
      </c>
      <c r="AO316" s="120">
        <f t="shared" si="848"/>
        <v>2.5058785503566029E-2</v>
      </c>
      <c r="AP316" s="173">
        <f t="shared" si="864"/>
        <v>109.86687099926256</v>
      </c>
      <c r="AQ316" s="175">
        <f t="shared" si="865"/>
        <v>2.5058785503566113E-2</v>
      </c>
      <c r="AR316" s="177">
        <f>+AC316/$AE$52</f>
        <v>4.3976889874895713E-3</v>
      </c>
      <c r="AS316" s="177">
        <f t="shared" si="861"/>
        <v>1.10200745048896E-4</v>
      </c>
      <c r="AT316" s="177"/>
      <c r="AU316" s="177"/>
      <c r="AV316" s="177"/>
      <c r="AW316" s="190"/>
      <c r="AX316" s="120"/>
      <c r="AY316" s="120"/>
      <c r="AZ316" s="118">
        <f>IFERROR(INDEX('Total Customers'!$F$7:$AB$91,MATCH($C316,'Total Customers'!$D$7:$D$91,0),MATCH($G316,'Total Customers'!$F$5:$AB$5,0)),"NA")</f>
        <v>134955</v>
      </c>
      <c r="BA316" s="119">
        <f t="shared" si="822"/>
        <v>1.1788650897592409E-3</v>
      </c>
      <c r="BB316" s="119"/>
      <c r="BC316" s="121"/>
      <c r="BD316" s="119"/>
      <c r="BE316" s="119"/>
      <c r="BF316" s="119"/>
      <c r="BG316" s="173"/>
      <c r="BH316" s="173"/>
      <c r="BI316" s="173"/>
      <c r="BJ316" s="173"/>
      <c r="BK316" s="173"/>
      <c r="BL316" s="173"/>
      <c r="BM316" s="173"/>
      <c r="BN316" s="173"/>
      <c r="BO316" s="173"/>
      <c r="BP316" s="173"/>
      <c r="BQ316" s="118"/>
      <c r="BR316" s="118"/>
      <c r="BS316" s="118">
        <f>INDEX('Dist. Plant Gas Additions'!$F$7:$AE$91,MATCH($C316,'Dist. Plant Gas Additions'!$D$7:$D$91,0),MATCH(Calculation!$G316,'Dist. Plant Gas Additions'!$F$5:$AE$5,0))</f>
        <v>30152</v>
      </c>
      <c r="BT316" s="118">
        <f>INDEX('Gen. Plant Additions'!$F$7:$AE$91,MATCH($C316,'Gen. Plant Additions'!$D$7:$D$91,0),MATCH(Calculation!$G316,'Gen. Plant Additions'!$F$5:$AE$5,0))</f>
        <v>229</v>
      </c>
      <c r="BU316" s="118"/>
      <c r="BV316" s="118"/>
      <c r="BW316" s="118">
        <f>INDEX('Dist Plant Depreciation'!$E$7:$AD$94,MATCH($C316,'Dist Plant Depreciation'!$D$7:$D$94,0),MATCH(Calculation!$G316,'Dist Plant Depreciation'!$E$5:$AD$5,0))</f>
        <v>132046</v>
      </c>
      <c r="BX316" s="118">
        <f>INDEX('Gen. Plant Depreciation'!$E$7:$AD$94,MATCH($C316,'Gen. Plant Depreciation'!$D$7:$D$94,0),MATCH(Calculation!$G316,'Gen. Plant Depreciation'!$E$5:$AD$5,0))</f>
        <v>538</v>
      </c>
      <c r="BY316" s="118"/>
      <c r="BZ316" s="118"/>
      <c r="CA316" s="118"/>
      <c r="CB316" s="118"/>
      <c r="CC316" s="118"/>
      <c r="CD316" s="118"/>
      <c r="CE316" s="118">
        <f>INDEX('Gross Dx Plant'!$E$7:$AD$91,MATCH($C316,'Gross Dx Plant'!$D$7:$D$91,0),MATCH(Calculation!$G316,'Gross Dx Plant'!$E$5:$AD$5,0))</f>
        <v>354917</v>
      </c>
      <c r="CF316" s="118">
        <f>INDEX('Gross Gen Plant'!$E$7:$AD$91,MATCH($C316,'Gross Gen Plant'!$D$7:$D$91,0),MATCH(Calculation!$G316,'Gross Gen Plant'!$E$5:$AD$5,0))</f>
        <v>4434</v>
      </c>
      <c r="CG316" s="118">
        <f t="shared" si="834"/>
        <v>226767</v>
      </c>
      <c r="CH316" s="118"/>
      <c r="CI316" s="121">
        <v>2014</v>
      </c>
      <c r="CJ316" s="118"/>
      <c r="CK316" s="118"/>
      <c r="CL316" s="118"/>
      <c r="CM316" s="183"/>
      <c r="CN316" s="118">
        <f t="shared" si="823"/>
        <v>30381</v>
      </c>
      <c r="CO316" s="118">
        <f t="shared" si="824"/>
        <v>44.386222983669107</v>
      </c>
      <c r="CP316" s="186">
        <v>0.89743589743589747</v>
      </c>
      <c r="CQ316" s="118">
        <f>+CQ300*CP316+CO301*CP315+CO302*CP314+CO303*CP313+CO304*CP312+CO305*CP311+CO306*CP310+CO307*CP309+CO308*CP308+CO309*CP307+CO310*CP306+CO311*CP305+CO312*CP304+CO313*CP303+CO314*CP302+CO315*CP301+CO316</f>
        <v>871.48927385092077</v>
      </c>
      <c r="CR316" s="119">
        <f t="shared" si="825"/>
        <v>4.4162217395123736E-2</v>
      </c>
      <c r="CS316" s="119"/>
      <c r="CT316" s="177">
        <f t="shared" si="826"/>
        <v>8.0792306358980787E-3</v>
      </c>
      <c r="CU316" s="177">
        <f t="shared" si="835"/>
        <v>7.8443525967540218E-3</v>
      </c>
      <c r="CV316" s="119">
        <f>VLOOKUP($H316,RoR!$E:$F,2,FALSE)</f>
        <v>4.1625000000000002E-2</v>
      </c>
      <c r="CW316" s="177">
        <v>1.841352814597208E-2</v>
      </c>
      <c r="CX316" s="177">
        <f t="shared" si="832"/>
        <v>2.3211471854027922E-2</v>
      </c>
      <c r="CY316" s="177">
        <f t="shared" si="836"/>
        <v>2.3057589011779601E-2</v>
      </c>
      <c r="CZ316" s="177">
        <f t="shared" si="837"/>
        <v>3.9072621432650924E-2</v>
      </c>
      <c r="DA316" s="187">
        <f t="shared" si="827"/>
        <v>0.86875000000000002</v>
      </c>
      <c r="DB316" s="188">
        <f t="shared" si="828"/>
        <v>1.2320012320012319</v>
      </c>
      <c r="DC316" s="188">
        <f t="shared" si="829"/>
        <v>0.37439939939939942</v>
      </c>
      <c r="DD316" s="188">
        <f t="shared" si="830"/>
        <v>0.80432100613819935</v>
      </c>
      <c r="DE316" s="188">
        <f t="shared" si="831"/>
        <v>0.37100152660040037</v>
      </c>
      <c r="DF316" s="189">
        <f>INDEX('State Tax Lookup'!$D$7:$Z$91,MATCH(Calculation!$C316,'State Tax Lookup'!$B$7:$B$91,0),MATCH($H316,'State Tax Lookup'!$D$6:$Z$6,0))</f>
        <v>0.35</v>
      </c>
      <c r="DG316" s="189">
        <v>0.375</v>
      </c>
      <c r="DH316" s="190">
        <f t="shared" si="833"/>
        <v>21.041306188715449</v>
      </c>
      <c r="DI316" s="190">
        <v>20.708815084259083</v>
      </c>
      <c r="DJ316" s="177"/>
      <c r="DK316" s="189">
        <f>VLOOKUP($H316,RoR!$E:$F,2,FALSE)</f>
        <v>4.1625000000000002E-2</v>
      </c>
      <c r="DL316" s="191">
        <f>HLOOKUP($H316,'GDP-PI'!$D$8:$CQ$11,3,FALSE)</f>
        <v>1.841352814597208E-2</v>
      </c>
      <c r="DM316" s="189">
        <f>VLOOKUP(H316,'HW Dx Data'!$E:$F,2,FALSE)</f>
        <v>684.46914285042885</v>
      </c>
      <c r="DN316" s="183">
        <f>VLOOKUP(H316,'ECI - Input Price'!$G$17:$H$37,2,FALSE)</f>
        <v>121.2</v>
      </c>
      <c r="DO316" s="177">
        <f t="shared" ref="DO316" si="878">LN(DN316/DN315)</f>
        <v>2.0632179200028689E-2</v>
      </c>
      <c r="DP316" s="183">
        <f>HLOOKUP(H316,'GDP-PI'!$8:$9,2,FALSE)</f>
        <v>103.64700000000001</v>
      </c>
      <c r="DQ316" s="177">
        <f t="shared" ref="DQ316" si="879">LN(DP316/DP315)</f>
        <v>1.8246051898256087E-2</v>
      </c>
    </row>
    <row r="317" spans="1:121" s="167" customFormat="1" ht="21" x14ac:dyDescent="0.35">
      <c r="A317" s="167" t="s">
        <v>45</v>
      </c>
      <c r="B317" s="168" t="s">
        <v>45</v>
      </c>
      <c r="C317" s="168">
        <v>4059355</v>
      </c>
      <c r="D317" s="168" t="s">
        <v>138</v>
      </c>
      <c r="E317" s="168"/>
      <c r="F317" s="168"/>
      <c r="G317" s="168" t="s">
        <v>21</v>
      </c>
      <c r="H317" s="169">
        <v>2015</v>
      </c>
      <c r="I317" s="170"/>
      <c r="J317" s="166">
        <f>IFERROR(INDEX('Labor Expenditures'!$F$7:$X$91,MATCH($C317,'Labor Expenditures'!$D$7:$D$91,0),MATCH($G317,'Labor Expenditures'!$F$5:$X$5,0)),"NA")</f>
        <v>13488.956706700192</v>
      </c>
      <c r="K317" s="166">
        <f t="shared" si="840"/>
        <v>109.00167035717327</v>
      </c>
      <c r="L317" s="172">
        <f t="shared" si="847"/>
        <v>-4.8352183638275129E-3</v>
      </c>
      <c r="M317" s="172">
        <f t="shared" si="851"/>
        <v>-2.1448329239240856E-5</v>
      </c>
      <c r="N317" s="196"/>
      <c r="O317" s="172"/>
      <c r="P317" s="166">
        <f>IFERROR(INDEX('Non-Labor Expenditures'!$F$7:$AB$91,MATCH($C317,'Non-Labor Expenditures'!$D$7:$D$91,0),MATCH($G317,'Non-Labor Expenditures'!$F$5:$AB$5,0)),"NA")</f>
        <v>19534.528700891358</v>
      </c>
      <c r="Q317" s="166">
        <f t="shared" si="841"/>
        <v>186.68497119516968</v>
      </c>
      <c r="R317" s="172">
        <f t="shared" si="852"/>
        <v>6.4606732643149858E-3</v>
      </c>
      <c r="S317" s="172">
        <f t="shared" si="857"/>
        <v>2.8658612052940992E-5</v>
      </c>
      <c r="T317" s="172"/>
      <c r="U317" s="172"/>
      <c r="V317" s="166">
        <f t="shared" si="821"/>
        <v>17965.510186348976</v>
      </c>
      <c r="W317" s="170"/>
      <c r="X317" s="174">
        <v>912.80390404364277</v>
      </c>
      <c r="Y317" s="175">
        <v>4.6317518339077872E-2</v>
      </c>
      <c r="Z317" s="175">
        <f t="shared" si="858"/>
        <v>2.0545781144302365E-4</v>
      </c>
      <c r="AA317" s="175"/>
      <c r="AB317" s="175"/>
      <c r="AC317" s="170">
        <f t="shared" si="682"/>
        <v>50988.995593940526</v>
      </c>
      <c r="AD317" s="175">
        <f t="shared" si="853"/>
        <v>1.8690335028274593E-2</v>
      </c>
      <c r="AE317" s="170"/>
      <c r="AF317" s="170"/>
      <c r="AG317" s="121">
        <f t="shared" si="854"/>
        <v>378.09115886919318</v>
      </c>
      <c r="AH317" s="119">
        <f>+AZ317/$BB$53</f>
        <v>3.6510276960716303E-3</v>
      </c>
      <c r="AI317" s="119"/>
      <c r="AJ317" s="176">
        <f t="shared" si="859"/>
        <v>1.3804212926712431</v>
      </c>
      <c r="AK317" s="176">
        <f t="shared" si="860"/>
        <v>0</v>
      </c>
      <c r="AL317" s="120">
        <f t="shared" si="842"/>
        <v>0.26454642907896786</v>
      </c>
      <c r="AM317" s="120">
        <f t="shared" si="843"/>
        <v>0.38311263976364379</v>
      </c>
      <c r="AN317" s="120">
        <f t="shared" si="844"/>
        <v>0.35234093115738835</v>
      </c>
      <c r="AO317" s="120">
        <f t="shared" si="848"/>
        <v>1.747658720939442E-2</v>
      </c>
      <c r="AP317" s="173">
        <f t="shared" si="864"/>
        <v>111.8038455028514</v>
      </c>
      <c r="AQ317" s="175">
        <f t="shared" si="865"/>
        <v>1.7476587209394403E-2</v>
      </c>
      <c r="AR317" s="177">
        <f>+AC317/$AE$53</f>
        <v>4.4358553482706752E-3</v>
      </c>
      <c r="AS317" s="177">
        <f t="shared" si="861"/>
        <v>7.7523612842311034E-5</v>
      </c>
      <c r="AT317" s="177"/>
      <c r="AU317" s="177"/>
      <c r="AV317" s="177"/>
      <c r="AW317" s="190"/>
      <c r="AX317" s="120"/>
      <c r="AY317" s="120"/>
      <c r="AZ317" s="118">
        <f>IFERROR(INDEX('Total Customers'!$F$7:$AB$91,MATCH($C317,'Total Customers'!$D$7:$D$91,0),MATCH($G317,'Total Customers'!$F$5:$AB$5,0)),"NA")</f>
        <v>134859</v>
      </c>
      <c r="BA317" s="119">
        <f t="shared" si="822"/>
        <v>-7.1160135538569089E-4</v>
      </c>
      <c r="BB317" s="119"/>
      <c r="BC317" s="121"/>
      <c r="BD317" s="119"/>
      <c r="BE317" s="119"/>
      <c r="BF317" s="119"/>
      <c r="BG317" s="173"/>
      <c r="BH317" s="173"/>
      <c r="BI317" s="173"/>
      <c r="BJ317" s="173"/>
      <c r="BK317" s="173"/>
      <c r="BL317" s="173"/>
      <c r="BM317" s="173"/>
      <c r="BN317" s="173"/>
      <c r="BO317" s="173"/>
      <c r="BP317" s="173"/>
      <c r="BQ317" s="118"/>
      <c r="BR317" s="118"/>
      <c r="BS317" s="118">
        <f>INDEX('Dist. Plant Gas Additions'!$F$7:$AE$91,MATCH($C317,'Dist. Plant Gas Additions'!$D$7:$D$91,0),MATCH(Calculation!$G317,'Dist. Plant Gas Additions'!$F$5:$AE$5,0))</f>
        <v>31981</v>
      </c>
      <c r="BT317" s="118">
        <f>INDEX('Gen. Plant Additions'!$F$7:$AE$91,MATCH($C317,'Gen. Plant Additions'!$D$7:$D$91,0),MATCH(Calculation!$G317,'Gen. Plant Additions'!$F$5:$AE$5,0))</f>
        <v>804</v>
      </c>
      <c r="BU317" s="118"/>
      <c r="BV317" s="118"/>
      <c r="BW317" s="118">
        <f>INDEX('Dist Plant Depreciation'!$E$7:$AD$94,MATCH($C317,'Dist Plant Depreciation'!$D$7:$D$94,0),MATCH(Calculation!$G317,'Dist Plant Depreciation'!$E$5:$AD$5,0))</f>
        <v>137047</v>
      </c>
      <c r="BX317" s="118">
        <f>INDEX('Gen. Plant Depreciation'!$E$7:$AD$94,MATCH($C317,'Gen. Plant Depreciation'!$D$7:$D$94,0),MATCH(Calculation!$G317,'Gen. Plant Depreciation'!$E$5:$AD$5,0))</f>
        <v>207</v>
      </c>
      <c r="BY317" s="118"/>
      <c r="BZ317" s="118"/>
      <c r="CA317" s="118"/>
      <c r="CB317" s="118"/>
      <c r="CC317" s="118"/>
      <c r="CD317" s="118"/>
      <c r="CE317" s="118">
        <f>INDEX('Gross Dx Plant'!$E$7:$AD$91,MATCH($C317,'Gross Dx Plant'!$D$7:$D$91,0),MATCH(Calculation!$G317,'Gross Dx Plant'!$E$5:$AD$5,0))</f>
        <v>384458</v>
      </c>
      <c r="CF317" s="118">
        <f>INDEX('Gross Gen Plant'!$E$7:$AD$91,MATCH($C317,'Gross Gen Plant'!$D$7:$D$91,0),MATCH(Calculation!$G317,'Gross Gen Plant'!$E$5:$AD$5,0))</f>
        <v>4825</v>
      </c>
      <c r="CG317" s="118">
        <f t="shared" si="834"/>
        <v>252029</v>
      </c>
      <c r="CH317" s="118"/>
      <c r="CI317" s="121">
        <v>2015</v>
      </c>
      <c r="CJ317" s="118"/>
      <c r="CK317" s="118"/>
      <c r="CL317" s="118"/>
      <c r="CM317" s="183"/>
      <c r="CN317" s="118">
        <f t="shared" si="823"/>
        <v>32785</v>
      </c>
      <c r="CO317" s="118">
        <f t="shared" si="824"/>
        <v>48.526184002581878</v>
      </c>
      <c r="CP317" s="186">
        <v>0.88888888888888884</v>
      </c>
      <c r="CQ317" s="118">
        <f>+CQ300*CP317+CO301*CP316+CO302*CP315+CO303*CP314+CO304*CP313+CO305*CP312+CO306*CP311+CO307*CP310+CO308*CP309+CO309*CP308+CO310*CP307+CO311*CP306+CO312*CP305+CO313*CP304+CO314*CP303+CO315*CP302+CO316*CP301+CO317</f>
        <v>912.80390404364277</v>
      </c>
      <c r="CR317" s="119">
        <f t="shared" si="825"/>
        <v>4.6317518339077872E-2</v>
      </c>
      <c r="CS317" s="119"/>
      <c r="CT317" s="177">
        <f t="shared" si="826"/>
        <v>8.2749771296594284E-3</v>
      </c>
      <c r="CU317" s="177">
        <f t="shared" si="835"/>
        <v>8.0671895608016939E-3</v>
      </c>
      <c r="CV317" s="119">
        <f>VLOOKUP($H317,RoR!$E:$F,2,FALSE)</f>
        <v>3.8866666666666674E-2</v>
      </c>
      <c r="CW317" s="177">
        <v>9.5709475431029478E-3</v>
      </c>
      <c r="CX317" s="177">
        <f t="shared" si="832"/>
        <v>2.9295719123563727E-2</v>
      </c>
      <c r="CY317" s="177">
        <f t="shared" si="836"/>
        <v>2.2834752047731929E-2</v>
      </c>
      <c r="CZ317" s="177">
        <f t="shared" si="837"/>
        <v>3.5270373279175926E-3</v>
      </c>
      <c r="DA317" s="187">
        <f t="shared" si="827"/>
        <v>0.86875000000000002</v>
      </c>
      <c r="DB317" s="188">
        <f t="shared" si="828"/>
        <v>1.3194352816994324</v>
      </c>
      <c r="DC317" s="188">
        <f t="shared" si="829"/>
        <v>0.33177530017152673</v>
      </c>
      <c r="DD317" s="188">
        <f t="shared" si="830"/>
        <v>0.78242572977668579</v>
      </c>
      <c r="DE317" s="188">
        <f t="shared" si="831"/>
        <v>0.34251158643433932</v>
      </c>
      <c r="DF317" s="189">
        <f>INDEX('State Tax Lookup'!$D$7:$Z$91,MATCH(Calculation!$C317,'State Tax Lookup'!$B$7:$B$91,0),MATCH($H317,'State Tax Lookup'!$D$6:$Z$6,0))</f>
        <v>0.35</v>
      </c>
      <c r="DG317" s="189">
        <v>0.375</v>
      </c>
      <c r="DH317" s="190">
        <f t="shared" si="833"/>
        <v>20.614723239178044</v>
      </c>
      <c r="DI317" s="190">
        <v>20.28580063495</v>
      </c>
      <c r="DJ317" s="177"/>
      <c r="DK317" s="189">
        <f>VLOOKUP($H317,RoR!$E:$F,2,FALSE)</f>
        <v>3.8866666666666674E-2</v>
      </c>
      <c r="DL317" s="191">
        <f>HLOOKUP($H317,'GDP-PI'!$D$8:$CQ$11,3,FALSE)</f>
        <v>9.5709475431029478E-3</v>
      </c>
      <c r="DM317" s="189">
        <f>VLOOKUP(H317,'HW Dx Data'!$E:$F,2,FALSE)</f>
        <v>675.61463308665782</v>
      </c>
      <c r="DN317" s="183">
        <f>VLOOKUP(H317,'ECI - Input Price'!$G$17:$H$37,2,FALSE)</f>
        <v>123.75</v>
      </c>
      <c r="DO317" s="177">
        <f t="shared" ref="DO317" si="880">LN(DN317/DN316)</f>
        <v>2.0821327813585516E-2</v>
      </c>
      <c r="DP317" s="183">
        <f>HLOOKUP(H317,'GDP-PI'!$8:$9,2,FALSE)</f>
        <v>104.639</v>
      </c>
      <c r="DQ317" s="177">
        <f t="shared" ref="DQ317" si="881">LN(DP317/DP316)</f>
        <v>9.5254361854427965E-3</v>
      </c>
    </row>
    <row r="318" spans="1:121" s="167" customFormat="1" ht="21" x14ac:dyDescent="0.35">
      <c r="A318" s="167" t="s">
        <v>45</v>
      </c>
      <c r="B318" s="168" t="s">
        <v>45</v>
      </c>
      <c r="C318" s="168">
        <v>4059355</v>
      </c>
      <c r="D318" s="168" t="s">
        <v>138</v>
      </c>
      <c r="E318" s="168"/>
      <c r="F318" s="168"/>
      <c r="G318" s="168" t="s">
        <v>22</v>
      </c>
      <c r="H318" s="169">
        <v>2016</v>
      </c>
      <c r="I318" s="170"/>
      <c r="J318" s="166">
        <f>IFERROR(INDEX('Labor Expenditures'!$F$7:$X$91,MATCH($C318,'Labor Expenditures'!$D$7:$D$91,0),MATCH($G318,'Labor Expenditures'!$F$5:$X$5,0)),"NA")</f>
        <v>15091.395736535351</v>
      </c>
      <c r="K318" s="166">
        <f t="shared" si="840"/>
        <v>119.3939536118303</v>
      </c>
      <c r="L318" s="172">
        <f t="shared" si="847"/>
        <v>9.1065353419886877E-2</v>
      </c>
      <c r="M318" s="172">
        <f t="shared" si="851"/>
        <v>4.2462277906365928E-4</v>
      </c>
      <c r="N318" s="196"/>
      <c r="O318" s="172"/>
      <c r="P318" s="166">
        <f>IFERROR(INDEX('Non-Labor Expenditures'!$F$7:$AB$91,MATCH($C318,'Non-Labor Expenditures'!$D$7:$D$91,0),MATCH($G318,'Non-Labor Expenditures'!$F$5:$AB$5,0)),"NA")</f>
        <v>21855.159710418935</v>
      </c>
      <c r="Q318" s="166">
        <f t="shared" si="841"/>
        <v>206.69554087934983</v>
      </c>
      <c r="R318" s="172">
        <f t="shared" si="852"/>
        <v>0.10182434331663955</v>
      </c>
      <c r="S318" s="172">
        <f t="shared" si="857"/>
        <v>4.7479018102620721E-4</v>
      </c>
      <c r="T318" s="172"/>
      <c r="U318" s="172"/>
      <c r="V318" s="166">
        <f t="shared" si="821"/>
        <v>18531.331803372806</v>
      </c>
      <c r="W318" s="170"/>
      <c r="X318" s="174">
        <v>956.07963760740927</v>
      </c>
      <c r="Y318" s="175">
        <v>4.6320136981949624E-2</v>
      </c>
      <c r="Z318" s="175">
        <f t="shared" si="858"/>
        <v>2.1598318738407925E-4</v>
      </c>
      <c r="AA318" s="175"/>
      <c r="AB318" s="175"/>
      <c r="AC318" s="170">
        <f t="shared" ref="AC318:AC381" si="882">+J318+P318+V318</f>
        <v>55477.88725032709</v>
      </c>
      <c r="AD318" s="175">
        <f t="shared" si="853"/>
        <v>8.437467666263905E-2</v>
      </c>
      <c r="AE318" s="170"/>
      <c r="AF318" s="170"/>
      <c r="AG318" s="121">
        <f t="shared" si="854"/>
        <v>409.65462503748978</v>
      </c>
      <c r="AH318" s="119">
        <f>+AZ318/$BB$54</f>
        <v>3.6346997528841521E-3</v>
      </c>
      <c r="AI318" s="119"/>
      <c r="AJ318" s="176">
        <f t="shared" si="859"/>
        <v>1.4889715643916142</v>
      </c>
      <c r="AK318" s="176">
        <f t="shared" si="860"/>
        <v>0</v>
      </c>
      <c r="AL318" s="120">
        <f t="shared" si="842"/>
        <v>0.27202542282188968</v>
      </c>
      <c r="AM318" s="120">
        <f t="shared" si="843"/>
        <v>0.39394361958674046</v>
      </c>
      <c r="AN318" s="120">
        <f t="shared" si="844"/>
        <v>0.33403095759136986</v>
      </c>
      <c r="AO318" s="120">
        <f t="shared" si="848"/>
        <v>7.9889594282176998E-2</v>
      </c>
      <c r="AP318" s="173">
        <f t="shared" si="864"/>
        <v>121.10228882632946</v>
      </c>
      <c r="AQ318" s="175">
        <f t="shared" si="865"/>
        <v>7.9889594282176929E-2</v>
      </c>
      <c r="AR318" s="177">
        <f>+AC318/$AE$54</f>
        <v>4.6628356791830125E-3</v>
      </c>
      <c r="AS318" s="177">
        <f t="shared" si="861"/>
        <v>3.7251205061438977E-4</v>
      </c>
      <c r="AT318" s="177"/>
      <c r="AU318" s="177"/>
      <c r="AV318" s="177"/>
      <c r="AW318" s="190"/>
      <c r="AX318" s="120"/>
      <c r="AY318" s="120"/>
      <c r="AZ318" s="118">
        <f>IFERROR(INDEX('Total Customers'!$F$7:$AB$91,MATCH($C318,'Total Customers'!$D$7:$D$91,0),MATCH($G318,'Total Customers'!$F$5:$AB$5,0)),"NA")</f>
        <v>135426</v>
      </c>
      <c r="BA318" s="119">
        <f t="shared" si="822"/>
        <v>4.1955774958682612E-3</v>
      </c>
      <c r="BB318" s="119"/>
      <c r="BC318" s="121"/>
      <c r="BD318" s="119"/>
      <c r="BE318" s="119"/>
      <c r="BF318" s="119"/>
      <c r="BG318" s="173"/>
      <c r="BH318" s="173"/>
      <c r="BI318" s="173"/>
      <c r="BJ318" s="173"/>
      <c r="BK318" s="173"/>
      <c r="BL318" s="173"/>
      <c r="BM318" s="173"/>
      <c r="BN318" s="173"/>
      <c r="BO318" s="173"/>
      <c r="BP318" s="173"/>
      <c r="BQ318" s="118"/>
      <c r="BR318" s="118"/>
      <c r="BS318" s="118">
        <f>INDEX('Dist. Plant Gas Additions'!$F$7:$AE$91,MATCH($C318,'Dist. Plant Gas Additions'!$D$7:$D$91,0),MATCH(Calculation!$G318,'Dist. Plant Gas Additions'!$F$5:$AE$5,0))</f>
        <v>33397</v>
      </c>
      <c r="BT318" s="118">
        <f>INDEX('Gen. Plant Additions'!$F$7:$AE$91,MATCH($C318,'Gen. Plant Additions'!$D$7:$D$91,0),MATCH(Calculation!$G318,'Gen. Plant Additions'!$F$5:$AE$5,0))</f>
        <v>850</v>
      </c>
      <c r="BU318" s="118"/>
      <c r="BV318" s="118"/>
      <c r="BW318" s="118">
        <f>INDEX('Dist Plant Depreciation'!$E$7:$AD$94,MATCH($C318,'Dist Plant Depreciation'!$D$7:$D$94,0),MATCH(Calculation!$G318,'Dist Plant Depreciation'!$E$5:$AD$5,0))</f>
        <v>140752</v>
      </c>
      <c r="BX318" s="118">
        <f>INDEX('Gen. Plant Depreciation'!$E$7:$AD$94,MATCH($C318,'Gen. Plant Depreciation'!$D$7:$D$94,0),MATCH(Calculation!$G318,'Gen. Plant Depreciation'!$E$5:$AD$5,0))</f>
        <v>227</v>
      </c>
      <c r="BY318" s="118"/>
      <c r="BZ318" s="118"/>
      <c r="CA318" s="118"/>
      <c r="CB318" s="118"/>
      <c r="CC318" s="118"/>
      <c r="CD318" s="118"/>
      <c r="CE318" s="118">
        <f>INDEX('Gross Dx Plant'!$E$7:$AD$91,MATCH($C318,'Gross Dx Plant'!$D$7:$D$91,0),MATCH(Calculation!$G318,'Gross Dx Plant'!$E$5:$AD$5,0))</f>
        <v>415187</v>
      </c>
      <c r="CF318" s="118">
        <f>INDEX('Gross Gen Plant'!$E$7:$AD$91,MATCH($C318,'Gross Gen Plant'!$D$7:$D$91,0),MATCH(Calculation!$G318,'Gross Gen Plant'!$E$5:$AD$5,0))</f>
        <v>4938</v>
      </c>
      <c r="CG318" s="118">
        <f t="shared" si="834"/>
        <v>279146</v>
      </c>
      <c r="CH318" s="118"/>
      <c r="CI318" s="121">
        <v>2016</v>
      </c>
      <c r="CJ318" s="118"/>
      <c r="CK318" s="118"/>
      <c r="CL318" s="118"/>
      <c r="CM318" s="183"/>
      <c r="CN318" s="118">
        <f t="shared" si="823"/>
        <v>34247</v>
      </c>
      <c r="CO318" s="118">
        <f t="shared" si="824"/>
        <v>51.00405672383134</v>
      </c>
      <c r="CP318" s="186">
        <v>0.88</v>
      </c>
      <c r="CQ318" s="118">
        <f>+CQ300*CP318+CO301*CP317+CO302*CP316+CO303*CP315+CO304*CP314+CO305*CP313+CO306*CP312+CO307*CP311+CO308*CP310+CO309*CP309+CO310*CP308+CO311*CP307+CO312*CP306+CO313*CP305+CO314*CP304+CO315*CP303+CO316*CP302+CO317*CP301+CO318</f>
        <v>956.07963760740927</v>
      </c>
      <c r="CR318" s="119">
        <f t="shared" si="825"/>
        <v>4.6320136981949624E-2</v>
      </c>
      <c r="CS318" s="119"/>
      <c r="CT318" s="177">
        <f t="shared" si="826"/>
        <v>8.4665754888087561E-3</v>
      </c>
      <c r="CU318" s="177">
        <f t="shared" si="835"/>
        <v>8.2735944181220877E-3</v>
      </c>
      <c r="CV318" s="119">
        <f>VLOOKUP($H318,RoR!$E:$F,2,FALSE)</f>
        <v>3.6658333333333334E-2</v>
      </c>
      <c r="CW318" s="177">
        <v>1.0483662879041455E-2</v>
      </c>
      <c r="CX318" s="177">
        <f t="shared" si="832"/>
        <v>2.6174670454291879E-2</v>
      </c>
      <c r="CY318" s="177">
        <f t="shared" si="836"/>
        <v>2.2628347190411537E-2</v>
      </c>
      <c r="CZ318" s="177">
        <f t="shared" si="837"/>
        <v>4.301363574220729E-3</v>
      </c>
      <c r="DA318" s="187">
        <f t="shared" si="827"/>
        <v>0.86875000000000002</v>
      </c>
      <c r="DB318" s="188">
        <f t="shared" si="828"/>
        <v>1.3989193348138562</v>
      </c>
      <c r="DC318" s="188">
        <f t="shared" si="829"/>
        <v>0.29302682427824522</v>
      </c>
      <c r="DD318" s="188">
        <f t="shared" si="830"/>
        <v>0.76309497491941802</v>
      </c>
      <c r="DE318" s="188">
        <f t="shared" si="831"/>
        <v>0.31280857135128509</v>
      </c>
      <c r="DF318" s="189">
        <f>INDEX('State Tax Lookup'!$D$7:$Z$91,MATCH(Calculation!$C318,'State Tax Lookup'!$B$7:$B$91,0),MATCH($H318,'State Tax Lookup'!$D$6:$Z$6,0))</f>
        <v>0.35</v>
      </c>
      <c r="DG318" s="189">
        <v>0.375</v>
      </c>
      <c r="DH318" s="190">
        <f t="shared" si="833"/>
        <v>20.301547486026955</v>
      </c>
      <c r="DI318" s="190">
        <v>19.965234356655714</v>
      </c>
      <c r="DJ318" s="177"/>
      <c r="DK318" s="189">
        <f>VLOOKUP($H318,RoR!$E:$F,2,FALSE)</f>
        <v>3.6658333333333334E-2</v>
      </c>
      <c r="DL318" s="191">
        <f>HLOOKUP($H318,'GDP-PI'!$D$8:$CQ$11,3,FALSE)</f>
        <v>1.0483662879041455E-2</v>
      </c>
      <c r="DM318" s="189">
        <f>VLOOKUP(H318,'HW Dx Data'!$E:$F,2,FALSE)</f>
        <v>671.45639385971219</v>
      </c>
      <c r="DN318" s="183">
        <f>VLOOKUP(H318,'ECI - Input Price'!$G$17:$H$37,2,FALSE)</f>
        <v>126.4</v>
      </c>
      <c r="DO318" s="177">
        <f t="shared" ref="DO318" si="883">LN(DN318/DN317)</f>
        <v>2.11880802639575E-2</v>
      </c>
      <c r="DP318" s="183">
        <f>HLOOKUP(H318,'GDP-PI'!$8:$9,2,FALSE)</f>
        <v>105.736</v>
      </c>
      <c r="DQ318" s="177">
        <f t="shared" ref="DQ318" si="884">LN(DP318/DP317)</f>
        <v>1.0429090367205095E-2</v>
      </c>
    </row>
    <row r="319" spans="1:121" s="167" customFormat="1" ht="21" x14ac:dyDescent="0.35">
      <c r="A319" s="167" t="s">
        <v>45</v>
      </c>
      <c r="B319" s="168" t="s">
        <v>45</v>
      </c>
      <c r="C319" s="168">
        <v>4059355</v>
      </c>
      <c r="D319" s="168" t="s">
        <v>138</v>
      </c>
      <c r="E319" s="168"/>
      <c r="F319" s="168"/>
      <c r="G319" s="168" t="s">
        <v>23</v>
      </c>
      <c r="H319" s="169">
        <v>2017</v>
      </c>
      <c r="I319" s="170"/>
      <c r="J319" s="166">
        <f>IFERROR(INDEX('Labor Expenditures'!$F$7:$X$91,MATCH($C319,'Labor Expenditures'!$D$7:$D$91,0),MATCH($G319,'Labor Expenditures'!$F$5:$X$5,0)),"NA")</f>
        <v>17908.976896463082</v>
      </c>
      <c r="K319" s="166">
        <f t="shared" si="840"/>
        <v>138.2932578877458</v>
      </c>
      <c r="L319" s="172">
        <f t="shared" si="847"/>
        <v>0.14694792766520753</v>
      </c>
      <c r="M319" s="172">
        <f t="shared" si="851"/>
        <v>7.6465306147521556E-4</v>
      </c>
      <c r="N319" s="196"/>
      <c r="O319" s="172"/>
      <c r="P319" s="166">
        <f>IFERROR(INDEX('Non-Labor Expenditures'!$F$7:$AB$91,MATCH($C319,'Non-Labor Expenditures'!$D$7:$D$91,0),MATCH($G319,'Non-Labor Expenditures'!$F$5:$AB$5,0)),"NA")</f>
        <v>25935.543481564087</v>
      </c>
      <c r="Q319" s="166">
        <f t="shared" si="841"/>
        <v>240.69886573269935</v>
      </c>
      <c r="R319" s="172">
        <f t="shared" si="852"/>
        <v>0.15229973886429798</v>
      </c>
      <c r="S319" s="172">
        <f t="shared" si="857"/>
        <v>7.9250155776122873E-4</v>
      </c>
      <c r="T319" s="172"/>
      <c r="U319" s="172"/>
      <c r="V319" s="166">
        <f t="shared" si="821"/>
        <v>17804.044765075996</v>
      </c>
      <c r="W319" s="170"/>
      <c r="X319" s="174">
        <v>996.23023821370225</v>
      </c>
      <c r="Y319" s="175">
        <v>4.1137181217217961E-2</v>
      </c>
      <c r="Z319" s="175">
        <f t="shared" si="858"/>
        <v>2.1405998749347537E-4</v>
      </c>
      <c r="AA319" s="175"/>
      <c r="AB319" s="175"/>
      <c r="AC319" s="170">
        <f t="shared" si="882"/>
        <v>61648.565143103166</v>
      </c>
      <c r="AD319" s="175">
        <f t="shared" si="853"/>
        <v>0.1054654416626296</v>
      </c>
      <c r="AE319" s="170"/>
      <c r="AF319" s="170"/>
      <c r="AG319" s="121">
        <f t="shared" si="854"/>
        <v>454.18660868391976</v>
      </c>
      <c r="AH319" s="119">
        <f>+AZ319/$BB$55</f>
        <v>3.6155956885798642E-3</v>
      </c>
      <c r="AI319" s="119"/>
      <c r="AJ319" s="176">
        <f t="shared" si="859"/>
        <v>1.6421551441682902</v>
      </c>
      <c r="AK319" s="176">
        <f t="shared" si="860"/>
        <v>0</v>
      </c>
      <c r="AL319" s="120">
        <f t="shared" si="842"/>
        <v>0.29050111474438134</v>
      </c>
      <c r="AM319" s="120">
        <f t="shared" si="843"/>
        <v>0.42069987227376021</v>
      </c>
      <c r="AN319" s="120">
        <f t="shared" si="844"/>
        <v>0.28879901298185845</v>
      </c>
      <c r="AO319" s="120">
        <f t="shared" si="848"/>
        <v>0.11617678469844379</v>
      </c>
      <c r="AP319" s="173">
        <f t="shared" si="864"/>
        <v>136.02141483725927</v>
      </c>
      <c r="AQ319" s="175">
        <f t="shared" si="865"/>
        <v>0.11617678469844388</v>
      </c>
      <c r="AR319" s="177">
        <f>+AC319/$AE$55</f>
        <v>5.2035647839643569E-3</v>
      </c>
      <c r="AS319" s="177">
        <f t="shared" si="861"/>
        <v>6.0453342557103174E-4</v>
      </c>
      <c r="AT319" s="177"/>
      <c r="AU319" s="177"/>
      <c r="AV319" s="177"/>
      <c r="AW319" s="190"/>
      <c r="AX319" s="120"/>
      <c r="AY319" s="120"/>
      <c r="AZ319" s="118">
        <f>IFERROR(INDEX('Total Customers'!$F$7:$AB$91,MATCH($C319,'Total Customers'!$D$7:$D$91,0),MATCH($G319,'Total Customers'!$F$5:$AB$5,0)),"NA")</f>
        <v>135734</v>
      </c>
      <c r="BA319" s="119">
        <f t="shared" si="822"/>
        <v>2.2717224698225783E-3</v>
      </c>
      <c r="BB319" s="119"/>
      <c r="BC319" s="121"/>
      <c r="BD319" s="119"/>
      <c r="BE319" s="119"/>
      <c r="BF319" s="119"/>
      <c r="BG319" s="173"/>
      <c r="BH319" s="173"/>
      <c r="BI319" s="173"/>
      <c r="BJ319" s="173"/>
      <c r="BK319" s="173"/>
      <c r="BL319" s="173"/>
      <c r="BM319" s="173"/>
      <c r="BN319" s="173"/>
      <c r="BO319" s="173"/>
      <c r="BP319" s="173"/>
      <c r="BQ319" s="118"/>
      <c r="BR319" s="118"/>
      <c r="BS319" s="118">
        <f>INDEX('Dist. Plant Gas Additions'!$F$7:$AE$91,MATCH($C319,'Dist. Plant Gas Additions'!$D$7:$D$91,0),MATCH(Calculation!$G319,'Dist. Plant Gas Additions'!$F$5:$AE$5,0))</f>
        <v>33566</v>
      </c>
      <c r="BT319" s="118">
        <f>INDEX('Gen. Plant Additions'!$F$7:$AE$91,MATCH($C319,'Gen. Plant Additions'!$D$7:$D$91,0),MATCH(Calculation!$G319,'Gen. Plant Additions'!$F$5:$AE$5,0))</f>
        <v>938</v>
      </c>
      <c r="BU319" s="118"/>
      <c r="BV319" s="118"/>
      <c r="BW319" s="118">
        <f>INDEX('Dist Plant Depreciation'!$E$7:$AD$94,MATCH($C319,'Dist Plant Depreciation'!$D$7:$D$94,0),MATCH(Calculation!$G319,'Dist Plant Depreciation'!$E$5:$AD$5,0))</f>
        <v>146970</v>
      </c>
      <c r="BX319" s="118">
        <f>INDEX('Gen. Plant Depreciation'!$E$7:$AD$94,MATCH($C319,'Gen. Plant Depreciation'!$D$7:$D$94,0),MATCH(Calculation!$G319,'Gen. Plant Depreciation'!$E$5:$AD$5,0))</f>
        <v>239</v>
      </c>
      <c r="BY319" s="118"/>
      <c r="BZ319" s="118"/>
      <c r="CA319" s="118"/>
      <c r="CB319" s="118"/>
      <c r="CC319" s="118"/>
      <c r="CD319" s="118"/>
      <c r="CE319" s="118">
        <f>INDEX('Gross Dx Plant'!$E$7:$AD$91,MATCH($C319,'Gross Dx Plant'!$D$7:$D$91,0),MATCH(Calculation!$G319,'Gross Dx Plant'!$E$5:$AD$5,0))</f>
        <v>445905</v>
      </c>
      <c r="CF319" s="118">
        <f>INDEX('Gross Gen Plant'!$E$7:$AD$91,MATCH($C319,'Gross Gen Plant'!$D$7:$D$91,0),MATCH(Calculation!$G319,'Gross Gen Plant'!$E$5:$AD$5,0))</f>
        <v>5750</v>
      </c>
      <c r="CG319" s="118">
        <f t="shared" si="834"/>
        <v>304446</v>
      </c>
      <c r="CH319" s="118"/>
      <c r="CI319" s="121">
        <v>2017</v>
      </c>
      <c r="CJ319" s="118"/>
      <c r="CK319" s="118"/>
      <c r="CL319" s="118"/>
      <c r="CM319" s="183"/>
      <c r="CN319" s="118">
        <f t="shared" si="823"/>
        <v>34504</v>
      </c>
      <c r="CO319" s="118">
        <f t="shared" si="824"/>
        <v>48.431521122709746</v>
      </c>
      <c r="CP319" s="186">
        <v>0.87074829931972786</v>
      </c>
      <c r="CQ319" s="118">
        <f>+CQ300*CP319+CO301*CP318+CO302*CP317+CO303*CP316+CO304*CP315+CO305*CP314+CO306*CP313+CO307*CP312+CO308*CP311+CO309*CP310+CO310*CP309+CO311*CP308+CO312*CP307+CO313*CP306+CO314*CP305+CO315*CP304+CO316*CP303+CO317*CP302+CO318*CP301+CO319</f>
        <v>996.23023821370225</v>
      </c>
      <c r="CR319" s="119">
        <f t="shared" si="825"/>
        <v>4.1137181217217961E-2</v>
      </c>
      <c r="CS319" s="119"/>
      <c r="CT319" s="177">
        <f t="shared" si="826"/>
        <v>8.6613292352295881E-3</v>
      </c>
      <c r="CU319" s="177">
        <f t="shared" si="835"/>
        <v>8.467627284565923E-3</v>
      </c>
      <c r="CV319" s="119">
        <f>VLOOKUP($H319,RoR!$E:$F,2,FALSE)</f>
        <v>3.7433333333333339E-2</v>
      </c>
      <c r="CW319" s="177">
        <v>1.9056896421275615E-2</v>
      </c>
      <c r="CX319" s="177">
        <f t="shared" si="832"/>
        <v>1.8376436912057724E-2</v>
      </c>
      <c r="CY319" s="177">
        <f t="shared" si="836"/>
        <v>2.2434314323967704E-2</v>
      </c>
      <c r="CZ319" s="177">
        <f t="shared" si="837"/>
        <v>1.3976271617800498E-2</v>
      </c>
      <c r="DA319" s="187">
        <f t="shared" si="827"/>
        <v>0.92125000000000001</v>
      </c>
      <c r="DB319" s="188">
        <f t="shared" si="828"/>
        <v>1.3699568463593395</v>
      </c>
      <c r="DC319" s="188">
        <f t="shared" si="829"/>
        <v>0.30714603739982199</v>
      </c>
      <c r="DD319" s="188">
        <f t="shared" si="830"/>
        <v>0.77007188472689425</v>
      </c>
      <c r="DE319" s="188">
        <f t="shared" si="831"/>
        <v>0.32402839633793828</v>
      </c>
      <c r="DF319" s="189">
        <f>INDEX('State Tax Lookup'!$D$7:$Z$91,MATCH(Calculation!$C319,'State Tax Lookup'!$B$7:$B$91,0),MATCH($H319,'State Tax Lookup'!$D$6:$Z$6,0))</f>
        <v>0.20999999999999996</v>
      </c>
      <c r="DG319" s="189">
        <v>0.375</v>
      </c>
      <c r="DH319" s="190">
        <f t="shared" si="833"/>
        <v>18.621926526571201</v>
      </c>
      <c r="DI319" s="190">
        <v>18.344709227474354</v>
      </c>
      <c r="DJ319" s="177"/>
      <c r="DK319" s="189">
        <f>VLOOKUP($H319,RoR!$E:$F,2,FALSE)</f>
        <v>3.7433333333333339E-2</v>
      </c>
      <c r="DL319" s="191">
        <f>HLOOKUP($H319,'GDP-PI'!$D$8:$CQ$11,3,FALSE)</f>
        <v>1.9056896421275615E-2</v>
      </c>
      <c r="DM319" s="189">
        <f>VLOOKUP(H319,'HW Dx Data'!$E:$F,2,FALSE)</f>
        <v>712.42858370229726</v>
      </c>
      <c r="DN319" s="183">
        <f>VLOOKUP(H319,'ECI - Input Price'!$G$17:$H$37,2,FALSE)</f>
        <v>129.5</v>
      </c>
      <c r="DO319" s="177">
        <f t="shared" ref="DO319" si="885">LN(DN319/DN318)</f>
        <v>2.4229399426835413E-2</v>
      </c>
      <c r="DP319" s="183">
        <f>HLOOKUP(H319,'GDP-PI'!$8:$9,2,FALSE)</f>
        <v>107.751</v>
      </c>
      <c r="DQ319" s="177">
        <f t="shared" ref="DQ319" si="886">LN(DP319/DP318)</f>
        <v>1.8877588227745139E-2</v>
      </c>
    </row>
    <row r="320" spans="1:121" s="167" customFormat="1" ht="21" x14ac:dyDescent="0.35">
      <c r="A320" s="167" t="s">
        <v>45</v>
      </c>
      <c r="B320" s="168" t="s">
        <v>45</v>
      </c>
      <c r="C320" s="168">
        <v>4059355</v>
      </c>
      <c r="D320" s="168" t="s">
        <v>138</v>
      </c>
      <c r="E320" s="168"/>
      <c r="F320" s="168"/>
      <c r="G320" s="168" t="s">
        <v>24</v>
      </c>
      <c r="H320" s="169">
        <v>2018</v>
      </c>
      <c r="I320" s="170"/>
      <c r="J320" s="166">
        <f>IFERROR(INDEX('Labor Expenditures'!$F$7:$X$91,MATCH($C320,'Labor Expenditures'!$D$7:$D$91,0),MATCH($G320,'Labor Expenditures'!$F$5:$X$5,0)),"NA")</f>
        <v>16461.631404846739</v>
      </c>
      <c r="K320" s="166">
        <f t="shared" si="840"/>
        <v>123.53944769115752</v>
      </c>
      <c r="L320" s="172">
        <f t="shared" si="847"/>
        <v>-0.11281596800517825</v>
      </c>
      <c r="M320" s="172">
        <f t="shared" si="851"/>
        <v>-5.2336142061131636E-4</v>
      </c>
      <c r="N320" s="196"/>
      <c r="O320" s="172"/>
      <c r="P320" s="166">
        <f>IFERROR(INDEX('Non-Labor Expenditures'!$F$7:$AB$91,MATCH($C320,'Non-Labor Expenditures'!$D$7:$D$91,0),MATCH($G320,'Non-Labor Expenditures'!$F$5:$AB$5,0)),"NA")</f>
        <v>23839.516882854536</v>
      </c>
      <c r="Q320" s="166">
        <f t="shared" si="841"/>
        <v>216.090325436944</v>
      </c>
      <c r="R320" s="172">
        <f t="shared" si="852"/>
        <v>-0.10785013881532557</v>
      </c>
      <c r="S320" s="172">
        <f t="shared" si="857"/>
        <v>-5.003245804789413E-4</v>
      </c>
      <c r="T320" s="172"/>
      <c r="U320" s="172"/>
      <c r="V320" s="166">
        <f t="shared" si="821"/>
        <v>19459.762538278821</v>
      </c>
      <c r="W320" s="170"/>
      <c r="X320" s="174">
        <v>1036.732685903713</v>
      </c>
      <c r="Y320" s="175">
        <v>3.9851004893169541E-2</v>
      </c>
      <c r="Z320" s="175">
        <f t="shared" si="858"/>
        <v>1.8487168884390924E-4</v>
      </c>
      <c r="AA320" s="175"/>
      <c r="AB320" s="175"/>
      <c r="AC320" s="170">
        <f t="shared" si="882"/>
        <v>59760.9108259801</v>
      </c>
      <c r="AD320" s="175">
        <f t="shared" si="853"/>
        <v>-3.109817299248149E-2</v>
      </c>
      <c r="AE320" s="170"/>
      <c r="AF320" s="170"/>
      <c r="AG320" s="121">
        <f t="shared" si="854"/>
        <v>438.40947544240163</v>
      </c>
      <c r="AH320" s="119">
        <f>+AZ320/$BB$56</f>
        <v>3.5994787036542656E-3</v>
      </c>
      <c r="AI320" s="119"/>
      <c r="AJ320" s="176">
        <f t="shared" si="859"/>
        <v>1.5780455703351624</v>
      </c>
      <c r="AK320" s="176">
        <f t="shared" si="860"/>
        <v>0</v>
      </c>
      <c r="AL320" s="120">
        <f t="shared" si="842"/>
        <v>0.27545817453790061</v>
      </c>
      <c r="AM320" s="120">
        <f t="shared" si="843"/>
        <v>0.39891488522110491</v>
      </c>
      <c r="AN320" s="120">
        <f t="shared" si="844"/>
        <v>0.32562694024099448</v>
      </c>
      <c r="AO320" s="120">
        <f t="shared" si="848"/>
        <v>-6.3879659387219845E-2</v>
      </c>
      <c r="AP320" s="173">
        <f t="shared" si="864"/>
        <v>127.60412219491511</v>
      </c>
      <c r="AQ320" s="175">
        <f t="shared" si="865"/>
        <v>-6.3879659387219789E-2</v>
      </c>
      <c r="AR320" s="177">
        <f>+AC320/$AE$56</f>
        <v>4.6390721975393956E-3</v>
      </c>
      <c r="AS320" s="177">
        <f t="shared" si="861"/>
        <v>-2.9634235185153776E-4</v>
      </c>
      <c r="AT320" s="177"/>
      <c r="AU320" s="177"/>
      <c r="AV320" s="177"/>
      <c r="AW320" s="190"/>
      <c r="AX320" s="120"/>
      <c r="AY320" s="120"/>
      <c r="AZ320" s="118">
        <f>IFERROR(INDEX('Total Customers'!$F$7:$AB$91,MATCH($C320,'Total Customers'!$D$7:$D$91,0),MATCH($G320,'Total Customers'!$F$5:$AB$5,0)),"NA")</f>
        <v>136313</v>
      </c>
      <c r="BA320" s="119">
        <f t="shared" si="822"/>
        <v>4.2566238498060703E-3</v>
      </c>
      <c r="BB320" s="119"/>
      <c r="BC320" s="121"/>
      <c r="BD320" s="119"/>
      <c r="BE320" s="119"/>
      <c r="BF320" s="119"/>
      <c r="BG320" s="173"/>
      <c r="BH320" s="173"/>
      <c r="BI320" s="173"/>
      <c r="BJ320" s="173"/>
      <c r="BK320" s="173"/>
      <c r="BL320" s="173"/>
      <c r="BM320" s="173"/>
      <c r="BN320" s="173"/>
      <c r="BO320" s="173"/>
      <c r="BP320" s="173"/>
      <c r="BQ320" s="118"/>
      <c r="BR320" s="118"/>
      <c r="BS320" s="118">
        <f>INDEX('Dist. Plant Gas Additions'!$F$7:$AE$91,MATCH($C320,'Dist. Plant Gas Additions'!$D$7:$D$91,0),MATCH(Calculation!$G320,'Dist. Plant Gas Additions'!$F$5:$AE$5,0))</f>
        <v>36820</v>
      </c>
      <c r="BT320" s="118">
        <f>INDEX('Gen. Plant Additions'!$F$7:$AE$91,MATCH($C320,'Gen. Plant Additions'!$D$7:$D$91,0),MATCH(Calculation!$G320,'Gen. Plant Additions'!$F$5:$AE$5,0))</f>
        <v>445</v>
      </c>
      <c r="BU320" s="118"/>
      <c r="BV320" s="118"/>
      <c r="BW320" s="118">
        <f>INDEX('Dist Plant Depreciation'!$E$7:$AD$94,MATCH($C320,'Dist Plant Depreciation'!$D$7:$D$94,0),MATCH(Calculation!$G320,'Dist Plant Depreciation'!$E$5:$AD$5,0))</f>
        <v>152230</v>
      </c>
      <c r="BX320" s="118">
        <f>INDEX('Gen. Plant Depreciation'!$E$7:$AD$94,MATCH($C320,'Gen. Plant Depreciation'!$D$7:$D$94,0),MATCH(Calculation!$G320,'Gen. Plant Depreciation'!$E$5:$AD$5,0))</f>
        <v>291</v>
      </c>
      <c r="BY320" s="118"/>
      <c r="BZ320" s="118"/>
      <c r="CA320" s="118"/>
      <c r="CB320" s="118"/>
      <c r="CC320" s="118"/>
      <c r="CD320" s="118"/>
      <c r="CE320" s="118">
        <f>INDEX('Gross Dx Plant'!$E$7:$AD$91,MATCH($C320,'Gross Dx Plant'!$D$7:$D$91,0),MATCH(Calculation!$G320,'Gross Dx Plant'!$E$5:$AD$5,0))</f>
        <v>478407</v>
      </c>
      <c r="CF320" s="118">
        <f>INDEX('Gross Gen Plant'!$E$7:$AD$91,MATCH($C320,'Gross Gen Plant'!$D$7:$D$91,0),MATCH(Calculation!$G320,'Gross Gen Plant'!$E$5:$AD$5,0))</f>
        <v>5975</v>
      </c>
      <c r="CG320" s="118">
        <f t="shared" si="834"/>
        <v>331861</v>
      </c>
      <c r="CH320" s="118"/>
      <c r="CI320" s="121">
        <v>2018</v>
      </c>
      <c r="CJ320" s="118"/>
      <c r="CK320" s="118"/>
      <c r="CL320" s="118"/>
      <c r="CM320" s="183"/>
      <c r="CN320" s="118">
        <f t="shared" si="823"/>
        <v>37265</v>
      </c>
      <c r="CO320" s="118">
        <f t="shared" si="824"/>
        <v>49.348679904252634</v>
      </c>
      <c r="CP320" s="186">
        <v>0.86111111111111116</v>
      </c>
      <c r="CQ320" s="118">
        <f>+CQ300*CP320++CO301*CP319+CO302*CP318+CO303*CP317+CO304*CP316+CO305*CP315+CO306*CP314+CO307*CP313+CO308*CP312+CO309*CP311+CO310*CP310+CO311*CP309+CO312*CP308+CO313*CP307+CO314*CP306+CO315*CP305+CO316*CP304+CO317*CP303+CO318*CP302+CO319*CP301+CO320</f>
        <v>1036.732685903713</v>
      </c>
      <c r="CR320" s="119">
        <f t="shared" si="825"/>
        <v>3.9851004893169541E-2</v>
      </c>
      <c r="CS320" s="119"/>
      <c r="CT320" s="177">
        <f t="shared" si="826"/>
        <v>8.8797065928290769E-3</v>
      </c>
      <c r="CU320" s="177">
        <f t="shared" si="835"/>
        <v>8.6692037722891409E-3</v>
      </c>
      <c r="CV320" s="119">
        <f>VLOOKUP($H320,RoR!$E:$F,2,FALSE)</f>
        <v>3.9299999999999995E-2</v>
      </c>
      <c r="CW320" s="177">
        <v>2.386056741932796E-2</v>
      </c>
      <c r="CX320" s="177">
        <f t="shared" si="832"/>
        <v>1.5439432580672034E-2</v>
      </c>
      <c r="CY320" s="177">
        <f t="shared" si="836"/>
        <v>2.2232737836244486E-2</v>
      </c>
      <c r="CZ320" s="177">
        <f t="shared" si="837"/>
        <v>3.8270792163076606E-2</v>
      </c>
      <c r="DA320" s="187">
        <f t="shared" si="827"/>
        <v>0.92125000000000001</v>
      </c>
      <c r="DB320" s="188">
        <f t="shared" si="828"/>
        <v>1.3048868010700074</v>
      </c>
      <c r="DC320" s="188">
        <f t="shared" si="829"/>
        <v>0.33886768447837151</v>
      </c>
      <c r="DD320" s="188">
        <f t="shared" si="830"/>
        <v>0.78602506232557801</v>
      </c>
      <c r="DE320" s="188">
        <f t="shared" si="831"/>
        <v>0.34756768162358759</v>
      </c>
      <c r="DF320" s="189">
        <f>INDEX('State Tax Lookup'!$D$7:$Z$91,MATCH(Calculation!$C320,'State Tax Lookup'!$B$7:$B$91,0),MATCH($H320,'State Tax Lookup'!$D$6:$Z$6,0))</f>
        <v>0.20999999999999996</v>
      </c>
      <c r="DG320" s="189">
        <v>0.375</v>
      </c>
      <c r="DH320" s="190">
        <f t="shared" si="833"/>
        <v>19.533398798626397</v>
      </c>
      <c r="DI320" s="190">
        <v>19.24079550153996</v>
      </c>
      <c r="DJ320" s="177"/>
      <c r="DK320" s="189">
        <f>VLOOKUP($H320,RoR!$E:$F,2,FALSE)</f>
        <v>3.9299999999999995E-2</v>
      </c>
      <c r="DL320" s="191">
        <f>HLOOKUP($H320,'GDP-PI'!$D$8:$CQ$11,3,FALSE)</f>
        <v>2.386056741932796E-2</v>
      </c>
      <c r="DM320" s="189">
        <f>VLOOKUP(H320,'HW Dx Data'!$E:$F,2,FALSE)</f>
        <v>755.13671434174842</v>
      </c>
      <c r="DN320" s="183">
        <f>VLOOKUP(H320,'ECI - Input Price'!$G$17:$H$37,2,FALSE)</f>
        <v>133.25</v>
      </c>
      <c r="DO320" s="177">
        <f t="shared" ref="DO320" si="887">LN(DN320/DN319)</f>
        <v>2.8546181906361531E-2</v>
      </c>
      <c r="DP320" s="183">
        <f>HLOOKUP(H320,'GDP-PI'!$8:$9,2,FALSE)</f>
        <v>110.322</v>
      </c>
      <c r="DQ320" s="177">
        <f t="shared" ref="DQ320" si="888">LN(DP320/DP319)</f>
        <v>2.3580352716508712E-2</v>
      </c>
    </row>
    <row r="321" spans="1:121" s="167" customFormat="1" ht="21" x14ac:dyDescent="0.35">
      <c r="A321" s="167" t="s">
        <v>45</v>
      </c>
      <c r="B321" s="168" t="s">
        <v>45</v>
      </c>
      <c r="C321" s="168">
        <v>4059355</v>
      </c>
      <c r="D321" s="168" t="s">
        <v>138</v>
      </c>
      <c r="E321" s="168"/>
      <c r="F321" s="168"/>
      <c r="G321" s="168" t="s">
        <v>25</v>
      </c>
      <c r="H321" s="169">
        <v>2019</v>
      </c>
      <c r="I321" s="170"/>
      <c r="J321" s="166">
        <f>IFERROR(INDEX('Labor Expenditures'!$F$7:$X$91,MATCH($C321,'Labor Expenditures'!$D$7:$D$91,0),MATCH($G321,'Labor Expenditures'!$F$5:$X$5,0)),"NA")</f>
        <v>19082.827967727819</v>
      </c>
      <c r="K321" s="166">
        <f t="shared" si="840"/>
        <v>139.4433903377992</v>
      </c>
      <c r="L321" s="172">
        <f t="shared" si="847"/>
        <v>0.12109819530119001</v>
      </c>
      <c r="M321" s="172">
        <f t="shared" si="851"/>
        <v>6.1301375885943854E-4</v>
      </c>
      <c r="N321" s="196"/>
      <c r="O321" s="172"/>
      <c r="P321" s="166">
        <f>IFERROR(INDEX('Non-Labor Expenditures'!$F$7:$AB$91,MATCH($C321,'Non-Labor Expenditures'!$D$7:$D$91,0),MATCH($G321,'Non-Labor Expenditures'!$F$5:$AB$5,0)),"NA")</f>
        <v>27635.499077892979</v>
      </c>
      <c r="Q321" s="166">
        <f t="shared" si="841"/>
        <v>246.04692994794226</v>
      </c>
      <c r="R321" s="172">
        <f t="shared" si="852"/>
        <v>0.12982579629052232</v>
      </c>
      <c r="S321" s="172">
        <f t="shared" si="857"/>
        <v>6.5719393408822152E-4</v>
      </c>
      <c r="T321" s="172"/>
      <c r="U321" s="172"/>
      <c r="V321" s="166">
        <f t="shared" si="821"/>
        <v>20533.155284475171</v>
      </c>
      <c r="W321" s="170"/>
      <c r="X321" s="174">
        <v>1097.7307950252266</v>
      </c>
      <c r="Y321" s="175">
        <v>5.717101580697552E-2</v>
      </c>
      <c r="Z321" s="175">
        <f t="shared" si="858"/>
        <v>2.8940661923557208E-4</v>
      </c>
      <c r="AA321" s="175"/>
      <c r="AB321" s="175"/>
      <c r="AC321" s="170">
        <f t="shared" si="882"/>
        <v>67251.482330095969</v>
      </c>
      <c r="AD321" s="175">
        <f t="shared" si="853"/>
        <v>0.11808727821522783</v>
      </c>
      <c r="AE321" s="170"/>
      <c r="AF321" s="170"/>
      <c r="AG321" s="121">
        <f t="shared" si="854"/>
        <v>491.61159030172928</v>
      </c>
      <c r="AH321" s="119">
        <f>+AZ321/$BB$57</f>
        <v>3.5827325271927612E-3</v>
      </c>
      <c r="AI321" s="119"/>
      <c r="AJ321" s="176">
        <f t="shared" si="859"/>
        <v>1.7613128353189669</v>
      </c>
      <c r="AK321" s="176">
        <f t="shared" si="860"/>
        <v>0</v>
      </c>
      <c r="AL321" s="120">
        <f t="shared" si="842"/>
        <v>0.28375326917051447</v>
      </c>
      <c r="AM321" s="120">
        <f t="shared" si="843"/>
        <v>0.41092773155909623</v>
      </c>
      <c r="AN321" s="120">
        <f t="shared" si="844"/>
        <v>0.3053189992703893</v>
      </c>
      <c r="AO321" s="120">
        <f t="shared" si="848"/>
        <v>0.10446488974975218</v>
      </c>
      <c r="AP321" s="173">
        <f t="shared" si="864"/>
        <v>141.65543088930892</v>
      </c>
      <c r="AQ321" s="175">
        <f t="shared" si="865"/>
        <v>0.10446488974975225</v>
      </c>
      <c r="AR321" s="177">
        <f>+AC321/$AE$57</f>
        <v>5.0621213415672972E-3</v>
      </c>
      <c r="AS321" s="177">
        <f t="shared" si="861"/>
        <v>5.2881394784669571E-4</v>
      </c>
      <c r="AT321" s="177"/>
      <c r="AU321" s="177"/>
      <c r="AV321" s="177"/>
      <c r="AW321" s="190"/>
      <c r="AX321" s="120"/>
      <c r="AY321" s="120"/>
      <c r="AZ321" s="118">
        <f>IFERROR(INDEX('Total Customers'!$F$7:$AB$91,MATCH($C321,'Total Customers'!$D$7:$D$91,0),MATCH($G321,'Total Customers'!$F$5:$AB$5,0)),"NA")</f>
        <v>136798</v>
      </c>
      <c r="BA321" s="119">
        <f t="shared" si="822"/>
        <v>3.551673201234503E-3</v>
      </c>
      <c r="BB321" s="119"/>
      <c r="BC321" s="121"/>
      <c r="BD321" s="119"/>
      <c r="BE321" s="119"/>
      <c r="BF321" s="119"/>
      <c r="BG321" s="173"/>
      <c r="BH321" s="173"/>
      <c r="BI321" s="173"/>
      <c r="BJ321" s="173"/>
      <c r="BK321" s="173"/>
      <c r="BL321" s="173"/>
      <c r="BM321" s="173"/>
      <c r="BN321" s="173"/>
      <c r="BO321" s="173"/>
      <c r="BP321" s="173"/>
      <c r="BQ321" s="118"/>
      <c r="BR321" s="118"/>
      <c r="BS321" s="118">
        <f>INDEX('Dist. Plant Gas Additions'!$F$7:$AE$91,MATCH($C321,'Dist. Plant Gas Additions'!$D$7:$D$91,0),MATCH(Calculation!$G321,'Dist. Plant Gas Additions'!$F$5:$AE$5,0))</f>
        <v>54071</v>
      </c>
      <c r="BT321" s="118">
        <f>INDEX('Gen. Plant Additions'!$F$7:$AE$91,MATCH($C321,'Gen. Plant Additions'!$D$7:$D$91,0),MATCH(Calculation!$G321,'Gen. Plant Additions'!$F$5:$AE$5,0))</f>
        <v>418</v>
      </c>
      <c r="BU321" s="118"/>
      <c r="BV321" s="118"/>
      <c r="BW321" s="118">
        <f>INDEX('Dist Plant Depreciation'!$E$7:$AD$94,MATCH($C321,'Dist Plant Depreciation'!$D$7:$D$94,0),MATCH(Calculation!$G321,'Dist Plant Depreciation'!$E$5:$AD$5,0))</f>
        <v>157411</v>
      </c>
      <c r="BX321" s="118">
        <f>INDEX('Gen. Plant Depreciation'!$E$7:$AD$94,MATCH($C321,'Gen. Plant Depreciation'!$D$7:$D$94,0),MATCH(Calculation!$G321,'Gen. Plant Depreciation'!$E$5:$AD$5,0))</f>
        <v>236</v>
      </c>
      <c r="BY321" s="118"/>
      <c r="BZ321" s="118"/>
      <c r="CA321" s="118"/>
      <c r="CB321" s="118"/>
      <c r="CC321" s="118"/>
      <c r="CD321" s="118"/>
      <c r="CE321" s="118">
        <f>INDEX('Gross Dx Plant'!$E$7:$AD$91,MATCH($C321,'Gross Dx Plant'!$D$7:$D$91,0),MATCH(Calculation!$G321,'Gross Dx Plant'!$E$5:$AD$5,0))</f>
        <v>526943</v>
      </c>
      <c r="CF321" s="118">
        <f>INDEX('Gross Gen Plant'!$E$7:$AD$91,MATCH($C321,'Gross Gen Plant'!$D$7:$D$91,0),MATCH(Calculation!$G321,'Gross Gen Plant'!$E$5:$AD$5,0))</f>
        <v>6169</v>
      </c>
      <c r="CG321" s="118">
        <f t="shared" si="834"/>
        <v>375465</v>
      </c>
      <c r="CH321" s="118"/>
      <c r="CI321" s="121">
        <v>2019</v>
      </c>
      <c r="CJ321" s="118"/>
      <c r="CK321" s="118"/>
      <c r="CL321" s="118"/>
      <c r="CM321" s="183"/>
      <c r="CN321" s="118">
        <f t="shared" si="823"/>
        <v>54489</v>
      </c>
      <c r="CO321" s="118">
        <f t="shared" si="824"/>
        <v>70.441152951313455</v>
      </c>
      <c r="CP321" s="186">
        <v>0.85106382978723405</v>
      </c>
      <c r="CQ321" s="118">
        <f>CQ300*CP321+CO301*CP320+CO302*CP319+CO303*CP318+CO304*CP317+CO305*CP316+CO306*CP315+CO307*CP314+CO308*CP313+CO309*CP312+CO310*CP311+CO311*CP310+CO312*CP309+CO313*CP308+CO314*CP307+CO315*CP306+CO316*CP305+CO317*CP304+CO318*CP303+CO319*CP302+CO320*CP301+CO321</f>
        <v>1097.7307950252266</v>
      </c>
      <c r="CR321" s="119">
        <f t="shared" si="825"/>
        <v>5.717101580697552E-2</v>
      </c>
      <c r="CS321" s="119"/>
      <c r="CT321" s="177">
        <f t="shared" si="826"/>
        <v>9.108465430091469E-3</v>
      </c>
      <c r="CU321" s="177">
        <f t="shared" si="835"/>
        <v>8.8831670860500447E-3</v>
      </c>
      <c r="CV321" s="119">
        <f>VLOOKUP($H321,RoR!$E:$F,2,FALSE)</f>
        <v>3.3875000000000009E-2</v>
      </c>
      <c r="CW321" s="177">
        <v>1.8092492884465461E-2</v>
      </c>
      <c r="CX321" s="177">
        <f t="shared" si="832"/>
        <v>1.5782507115534548E-2</v>
      </c>
      <c r="CY321" s="177">
        <f t="shared" si="836"/>
        <v>2.2018774522483582E-2</v>
      </c>
      <c r="CZ321" s="177">
        <f t="shared" si="837"/>
        <v>4.8445665544254078E-2</v>
      </c>
      <c r="DA321" s="187">
        <f t="shared" si="827"/>
        <v>0.92125000000000001</v>
      </c>
      <c r="DB321" s="188">
        <f t="shared" si="828"/>
        <v>1.513861292459078</v>
      </c>
      <c r="DC321" s="188">
        <f t="shared" si="829"/>
        <v>0.23699261992619944</v>
      </c>
      <c r="DD321" s="188">
        <f t="shared" si="830"/>
        <v>0.73619765810468829</v>
      </c>
      <c r="DE321" s="188">
        <f t="shared" si="831"/>
        <v>0.26412854465362851</v>
      </c>
      <c r="DF321" s="189">
        <f>INDEX('State Tax Lookup'!$D$7:$Z$91,MATCH(Calculation!$C321,'State Tax Lookup'!$B$7:$B$91,0),MATCH($H321,'State Tax Lookup'!$D$6:$Z$6,0))</f>
        <v>0.20999999999999996</v>
      </c>
      <c r="DG321" s="189">
        <v>0.375</v>
      </c>
      <c r="DH321" s="190">
        <f t="shared" si="833"/>
        <v>19.805640898238448</v>
      </c>
      <c r="DI321" s="190">
        <v>19.503093747940611</v>
      </c>
      <c r="DJ321" s="177"/>
      <c r="DK321" s="189">
        <f>VLOOKUP($H321,RoR!$E:$F,2,FALSE)</f>
        <v>3.3875000000000009E-2</v>
      </c>
      <c r="DL321" s="191">
        <f>HLOOKUP($H321,'GDP-PI'!$D$8:$CQ$11,3,FALSE)</f>
        <v>1.8092492884465461E-2</v>
      </c>
      <c r="DM321" s="189">
        <f>VLOOKUP(H321,'HW Dx Data'!$E:$F,2,FALSE)</f>
        <v>773.53929793938721</v>
      </c>
      <c r="DN321" s="183">
        <f>VLOOKUP(H321,'ECI - Input Price'!$G$17:$H$37,2,FALSE)</f>
        <v>136.85</v>
      </c>
      <c r="DO321" s="177">
        <f t="shared" ref="DO321" si="889">LN(DN321/DN320)</f>
        <v>2.6658372440734168E-2</v>
      </c>
      <c r="DP321" s="183">
        <f>HLOOKUP(H321,'GDP-PI'!$8:$9,2,FALSE)</f>
        <v>112.318</v>
      </c>
      <c r="DQ321" s="177">
        <f t="shared" ref="DQ321" si="890">LN(DP321/DP320)</f>
        <v>1.7930771451401852E-2</v>
      </c>
    </row>
    <row r="322" spans="1:121" s="167" customFormat="1" ht="21" x14ac:dyDescent="0.35">
      <c r="A322" s="167" t="s">
        <v>45</v>
      </c>
      <c r="B322" s="167" t="s">
        <v>45</v>
      </c>
      <c r="C322" s="167">
        <v>4059355</v>
      </c>
      <c r="D322" s="167" t="s">
        <v>138</v>
      </c>
      <c r="G322" s="168" t="s">
        <v>26</v>
      </c>
      <c r="H322" s="169">
        <v>2020</v>
      </c>
      <c r="I322" s="170"/>
      <c r="J322" s="166">
        <f>IFERROR(INDEX('Labor Expenditures'!$F$7:$X$91,MATCH($C322,'Labor Expenditures'!$D$7:$D$91,0),MATCH($G322,'Labor Expenditures'!$F$5:$X$5,0)),"NA")</f>
        <v>18565.88580238758</v>
      </c>
      <c r="K322" s="166">
        <f t="shared" si="840"/>
        <v>132.18857815868694</v>
      </c>
      <c r="L322" s="172">
        <f t="shared" si="847"/>
        <v>-5.3429189380023605E-2</v>
      </c>
      <c r="M322" s="172">
        <f t="shared" si="851"/>
        <v>-2.6565935617987808E-4</v>
      </c>
      <c r="N322" s="196"/>
      <c r="O322" s="172"/>
      <c r="P322" s="166">
        <f>IFERROR(INDEX('Non-Labor Expenditures'!$F$7:$AB$91,MATCH($C322,'Non-Labor Expenditures'!$D$7:$D$91,0),MATCH($G322,'Non-Labor Expenditures'!$F$5:$AB$5,0)),"NA")</f>
        <v>26886.870271002088</v>
      </c>
      <c r="Q322" s="166">
        <f t="shared" si="841"/>
        <v>236.63228634169215</v>
      </c>
      <c r="R322" s="172">
        <f t="shared" si="852"/>
        <v>-3.9014888047851949E-2</v>
      </c>
      <c r="S322" s="172">
        <f t="shared" si="857"/>
        <v>-1.9398890682211189E-4</v>
      </c>
      <c r="T322" s="172"/>
      <c r="U322" s="172"/>
      <c r="V322" s="166">
        <f t="shared" si="821"/>
        <v>22649.499799820245</v>
      </c>
      <c r="W322" s="170"/>
      <c r="X322" s="174">
        <v>1161.074924035405</v>
      </c>
      <c r="Y322" s="175">
        <v>5.6101099232660989E-2</v>
      </c>
      <c r="Z322" s="175">
        <f t="shared" si="858"/>
        <v>2.78944563375773E-4</v>
      </c>
      <c r="AA322" s="175"/>
      <c r="AB322" s="175"/>
      <c r="AC322" s="170">
        <f t="shared" si="882"/>
        <v>68102.255873209913</v>
      </c>
      <c r="AD322" s="175">
        <f t="shared" si="853"/>
        <v>1.2571278176061464E-2</v>
      </c>
      <c r="AE322" s="170"/>
      <c r="AF322" s="170"/>
      <c r="AG322" s="121">
        <f t="shared" si="854"/>
        <v>497.83078607296824</v>
      </c>
      <c r="AH322" s="119">
        <f>+AZ322/$BB$58</f>
        <v>3.5575436944528761E-3</v>
      </c>
      <c r="AI322" s="119"/>
      <c r="AJ322" s="176">
        <f t="shared" si="859"/>
        <v>1.7710547738984068</v>
      </c>
      <c r="AK322" s="176">
        <f t="shared" si="860"/>
        <v>0</v>
      </c>
      <c r="AL322" s="120">
        <f t="shared" si="842"/>
        <v>0.27261777990075414</v>
      </c>
      <c r="AM322" s="120">
        <f t="shared" si="843"/>
        <v>0.3948014632739773</v>
      </c>
      <c r="AN322" s="120">
        <f t="shared" si="844"/>
        <v>0.33258075682526861</v>
      </c>
      <c r="AO322" s="120">
        <f t="shared" si="848"/>
        <v>-1.268750548123836E-2</v>
      </c>
      <c r="AP322" s="173">
        <f t="shared" si="864"/>
        <v>139.86953010318263</v>
      </c>
      <c r="AQ322" s="175">
        <f t="shared" si="865"/>
        <v>-1.2687505481238374E-2</v>
      </c>
      <c r="AR322" s="177">
        <f>+AC322/$AE$58</f>
        <v>4.9721764313198479E-3</v>
      </c>
      <c r="AS322" s="177">
        <f t="shared" si="861"/>
        <v>-6.3084515726054833E-5</v>
      </c>
      <c r="AT322" s="177"/>
      <c r="AU322" s="177"/>
      <c r="AV322" s="177"/>
      <c r="AW322" s="190"/>
      <c r="AX322" s="120"/>
      <c r="AY322" s="120"/>
      <c r="AZ322" s="118">
        <v>136798</v>
      </c>
      <c r="BA322" s="119">
        <f t="shared" si="822"/>
        <v>0</v>
      </c>
      <c r="BB322" s="119"/>
      <c r="BC322" s="121"/>
      <c r="BD322" s="119"/>
      <c r="BE322" s="119"/>
      <c r="BF322" s="119"/>
      <c r="BG322" s="173"/>
      <c r="BH322" s="173"/>
      <c r="BI322" s="173"/>
      <c r="BJ322" s="173"/>
      <c r="BK322" s="173"/>
      <c r="BL322" s="173"/>
      <c r="BM322" s="173"/>
      <c r="BN322" s="173"/>
      <c r="BO322" s="173"/>
      <c r="BP322" s="173"/>
      <c r="BQ322" s="118"/>
      <c r="BR322" s="118"/>
      <c r="BS322" s="118">
        <f>INDEX('Dist. Plant Gas Additions'!$F$7:$AE$91,MATCH($C322,'Dist. Plant Gas Additions'!$D$7:$D$91,0),MATCH(Calculation!$G322,'Dist. Plant Gas Additions'!$F$5:$AE$5,0))</f>
        <v>59334</v>
      </c>
      <c r="BT322" s="118">
        <f>INDEX('Gen. Plant Additions'!$F$7:$AE$91,MATCH($C322,'Gen. Plant Additions'!$D$7:$D$91,0),MATCH(Calculation!$G322,'Gen. Plant Additions'!$F$5:$AE$5,0))</f>
        <v>442</v>
      </c>
      <c r="BU322" s="118"/>
      <c r="BV322" s="118"/>
      <c r="BW322" s="118">
        <f>INDEX('Dist Plant Depreciation'!$E$7:$AD$94,MATCH($C322,'Dist Plant Depreciation'!$D$7:$D$94,0),MATCH(Calculation!$G322,'Dist Plant Depreciation'!$E$5:$AD$5,0))</f>
        <v>161472</v>
      </c>
      <c r="BX322" s="118">
        <f>INDEX('Gen. Plant Depreciation'!$E$7:$AD$94,MATCH($C322,'Gen. Plant Depreciation'!$D$7:$D$94,0),MATCH(Calculation!$G322,'Gen. Plant Depreciation'!$E$5:$AD$5,0))</f>
        <v>248</v>
      </c>
      <c r="BY322" s="118"/>
      <c r="BZ322" s="118"/>
      <c r="CA322" s="118"/>
      <c r="CB322" s="118"/>
      <c r="CC322" s="118"/>
      <c r="CD322" s="118"/>
      <c r="CE322" s="118">
        <f>INDEX('Gross Dx Plant'!$E$7:$AD$91,MATCH($C322,'Gross Dx Plant'!$D$7:$D$91,0),MATCH(Calculation!$G322,'Gross Dx Plant'!$E$5:$AD$5,0))</f>
        <v>579684</v>
      </c>
      <c r="CF322" s="118">
        <f>INDEX('Gross Gen Plant'!$E$7:$AD$91,MATCH($C322,'Gross Gen Plant'!$D$7:$D$91,0),MATCH(Calculation!$G322,'Gross Gen Plant'!$E$5:$AD$5,0))</f>
        <v>6247</v>
      </c>
      <c r="CG322" s="118">
        <f t="shared" si="834"/>
        <v>424211</v>
      </c>
      <c r="CH322" s="118"/>
      <c r="CI322" s="121">
        <v>2020</v>
      </c>
      <c r="CJ322" s="118"/>
      <c r="CK322" s="118"/>
      <c r="CL322" s="118"/>
      <c r="CM322" s="183"/>
      <c r="CN322" s="118">
        <f t="shared" si="823"/>
        <v>59776</v>
      </c>
      <c r="CO322" s="118">
        <f t="shared" si="824"/>
        <v>73.51796632109631</v>
      </c>
      <c r="CP322" s="186">
        <v>0.84057971014492749</v>
      </c>
      <c r="CQ322" s="118">
        <f>CQ300*CP322+CO301*CP321+CO302*CP320+CO303*CP319+CO304*CP318+CO305*CP317+CO306*CP316+CO307*CP315+CO308*CP314+CO309*CP313+CO310*CP312+CO311*CP311+CO312*CP310+CO313*CP309+CO314*CP308+CO315*CP307+CO316*CP306+CO317*CP305+CO318*CP304+CO319*CP303+CO320*CP302+CO321*CP301+CO322</f>
        <v>1161.074924035405</v>
      </c>
      <c r="CR322" s="119">
        <f t="shared" si="825"/>
        <v>5.6101099232660989E-2</v>
      </c>
      <c r="CS322" s="119"/>
      <c r="CT322" s="177">
        <f t="shared" si="826"/>
        <v>9.2680622216524955E-3</v>
      </c>
      <c r="CU322" s="177">
        <f t="shared" si="835"/>
        <v>9.0854114148576793E-3</v>
      </c>
      <c r="CV322" s="119">
        <f>VLOOKUP($H322,RoR!$E:$F,2,FALSE)</f>
        <v>2.4766666666666666E-2</v>
      </c>
      <c r="CW322" s="177">
        <v>1.1618796630994188E-2</v>
      </c>
      <c r="CX322" s="177">
        <f t="shared" si="832"/>
        <v>1.3147870035672478E-2</v>
      </c>
      <c r="CY322" s="177">
        <f t="shared" si="836"/>
        <v>2.1816530193675944E-2</v>
      </c>
      <c r="CZ322" s="177">
        <f t="shared" si="837"/>
        <v>4.5144642961987357E-2</v>
      </c>
      <c r="DA322" s="187">
        <f t="shared" si="827"/>
        <v>0.92125000000000001</v>
      </c>
      <c r="DB322" s="188">
        <f t="shared" si="828"/>
        <v>2.0706077233668081</v>
      </c>
      <c r="DC322" s="188">
        <f t="shared" si="829"/>
        <v>-3.4421265141318998E-2</v>
      </c>
      <c r="DD322" s="188">
        <f t="shared" si="830"/>
        <v>0.62416226176410472</v>
      </c>
      <c r="DE322" s="188">
        <f t="shared" si="831"/>
        <v>-4.4485877841158712E-2</v>
      </c>
      <c r="DF322" s="189">
        <f>INDEX('State Tax Lookup'!$D$7:$Z$91,MATCH(Calculation!$C322,'State Tax Lookup'!$B$7:$B$91,0),MATCH($H322,'State Tax Lookup'!$D$6:$Z$6,0))</f>
        <v>0.20999999999999996</v>
      </c>
      <c r="DG322" s="189">
        <v>0.375</v>
      </c>
      <c r="DH322" s="190">
        <f t="shared" si="833"/>
        <v>20.633018498219087</v>
      </c>
      <c r="DI322" s="190">
        <v>20.392416135679412</v>
      </c>
      <c r="DJ322" s="177"/>
      <c r="DK322" s="189">
        <f>VLOOKUP($H322,RoR!$E:$F,2,FALSE)</f>
        <v>2.4766666666666666E-2</v>
      </c>
      <c r="DL322" s="191">
        <f>HLOOKUP($H322,'GDP-PI'!$D$8:$CQ$11,3,FALSE)</f>
        <v>1.1618796630994188E-2</v>
      </c>
      <c r="DM322" s="189">
        <f>VLOOKUP(H322,'HW Dx Data'!$E:$F,2,FALSE)</f>
        <v>813.080162458833</v>
      </c>
      <c r="DN322" s="183">
        <f>VLOOKUP(H322,'ECI - Input Price'!$G$17:$H$37,2,FALSE)</f>
        <v>140.44999999999999</v>
      </c>
      <c r="DO322" s="177">
        <f t="shared" ref="DO322" si="891">LN(DN322/DN321)</f>
        <v>2.5966118063564539E-2</v>
      </c>
      <c r="DP322" s="183">
        <f>HLOOKUP(H322,'GDP-PI'!$8:$9,2,FALSE)</f>
        <v>113.623</v>
      </c>
      <c r="DQ322" s="177">
        <f t="shared" ref="DQ322" si="892">LN(DP322/DP321)</f>
        <v>1.1551816731392881E-2</v>
      </c>
    </row>
    <row r="323" spans="1:121" s="167" customFormat="1" ht="21" x14ac:dyDescent="0.35">
      <c r="A323" s="167" t="s">
        <v>45</v>
      </c>
      <c r="B323" s="167" t="s">
        <v>45</v>
      </c>
      <c r="C323" s="167">
        <v>4059355</v>
      </c>
      <c r="D323" s="167" t="s">
        <v>138</v>
      </c>
      <c r="G323" s="168" t="s">
        <v>462</v>
      </c>
      <c r="H323" s="169">
        <v>2021</v>
      </c>
      <c r="I323" s="170"/>
      <c r="J323" s="166">
        <f>IFERROR(INDEX('Labor Expenditures'!$E$7:$X$91,MATCH($C323,'Labor Expenditures'!$D$7:$D$91,0),MATCH($G323,'Labor Expenditures'!$E$5:$X$5,0)),"NA")</f>
        <v>20535.01216012827</v>
      </c>
      <c r="K323" s="166">
        <f t="shared" si="840"/>
        <v>141.158358206759</v>
      </c>
      <c r="L323" s="171">
        <f t="shared" si="847"/>
        <v>6.5652842523177907E-2</v>
      </c>
      <c r="M323" s="172">
        <f t="shared" si="851"/>
        <v>3.267301014944544E-4</v>
      </c>
      <c r="N323" s="196"/>
      <c r="O323" s="172"/>
      <c r="P323" s="166">
        <f>IFERROR(INDEX('Non-Labor Expenditures'!$E$7:$AB$91,MATCH($C323,'Non-Labor Expenditures'!$D$7:$D$91,0),MATCH($G323,'Non-Labor Expenditures'!$E$5:$AB$5,0)),"NA")</f>
        <v>28946.944852229008</v>
      </c>
      <c r="Q323" s="166">
        <f t="shared" si="841"/>
        <v>244.29863154889873</v>
      </c>
      <c r="R323" s="172">
        <f t="shared" si="852"/>
        <v>3.1883974893041289E-2</v>
      </c>
      <c r="S323" s="172">
        <f t="shared" si="857"/>
        <v>1.5867484106529378E-4</v>
      </c>
      <c r="T323" s="172"/>
      <c r="U323" s="172"/>
      <c r="V323" s="166">
        <f t="shared" si="821"/>
        <v>23915.552281323344</v>
      </c>
      <c r="W323" s="170"/>
      <c r="X323" s="174">
        <v>1211.4748584957433</v>
      </c>
      <c r="Y323" s="175"/>
      <c r="Z323" s="175">
        <f t="shared" si="858"/>
        <v>0</v>
      </c>
      <c r="AA323" s="175"/>
      <c r="AB323" s="175"/>
      <c r="AC323" s="170">
        <f t="shared" si="882"/>
        <v>73397.509293680618</v>
      </c>
      <c r="AD323" s="175">
        <f t="shared" si="853"/>
        <v>7.4879663217821343E-2</v>
      </c>
      <c r="AE323" s="118"/>
      <c r="AF323" s="119"/>
      <c r="AG323" s="121">
        <f t="shared" si="854"/>
        <v>536.53934482726811</v>
      </c>
      <c r="AH323" s="119">
        <f>+AZ323/$BB$59</f>
        <v>3.5097851812669997E-3</v>
      </c>
      <c r="AI323" s="119"/>
      <c r="AJ323" s="176">
        <f t="shared" si="859"/>
        <v>1.8831378416414506</v>
      </c>
      <c r="AK323" s="176">
        <f t="shared" si="860"/>
        <v>0</v>
      </c>
      <c r="AL323" s="120">
        <f t="shared" si="842"/>
        <v>0.27977805184046339</v>
      </c>
      <c r="AM323" s="120">
        <f t="shared" si="843"/>
        <v>0.39438592849800264</v>
      </c>
      <c r="AN323" s="120">
        <f t="shared" si="844"/>
        <v>0.32583601966153403</v>
      </c>
      <c r="AO323" s="120">
        <f t="shared" si="848"/>
        <v>3.0714393768464292E-2</v>
      </c>
      <c r="AP323" s="173">
        <f t="shared" si="864"/>
        <v>144.23219324053852</v>
      </c>
      <c r="AQ323" s="175">
        <f t="shared" si="865"/>
        <v>3.0714393768464222E-2</v>
      </c>
      <c r="AR323" s="177">
        <f>+AC323/$AE$59</f>
        <v>4.9766329824806358E-3</v>
      </c>
      <c r="AS323" s="177">
        <f t="shared" si="861"/>
        <v>1.5285426506503677E-4</v>
      </c>
      <c r="AT323" s="177"/>
      <c r="AU323" s="177"/>
      <c r="AV323" s="177"/>
      <c r="AW323" s="190"/>
      <c r="AX323" s="120"/>
      <c r="AY323" s="120"/>
      <c r="AZ323" s="118">
        <v>136798</v>
      </c>
      <c r="BA323" s="119">
        <f t="shared" si="822"/>
        <v>0</v>
      </c>
      <c r="BB323" s="118"/>
      <c r="BC323" s="121"/>
      <c r="BD323" s="118"/>
      <c r="BE323" s="119"/>
      <c r="BF323" s="119"/>
      <c r="BG323" s="173"/>
      <c r="BH323" s="173"/>
      <c r="BI323" s="173"/>
      <c r="BJ323" s="173"/>
      <c r="BK323" s="173"/>
      <c r="BL323" s="173"/>
      <c r="BM323" s="173"/>
      <c r="BN323" s="173"/>
      <c r="BO323" s="173"/>
      <c r="BP323" s="173"/>
      <c r="BQ323" s="118"/>
      <c r="BR323" s="118"/>
      <c r="BS323" s="118">
        <f>INDEX('Dist. Plant Gas Additions'!$E$7:$AE$91,MATCH($C323,'Dist. Plant Gas Additions'!$D$7:$D$91,0),MATCH(Calculation!$G323,'Dist. Plant Gas Additions'!$E$5:$AE$5,0))</f>
        <v>65321</v>
      </c>
      <c r="BT323" s="118">
        <f>INDEX('Gen. Plant Additions'!$E$7:$AE$91,MATCH($C323,'Gen. Plant Additions'!$D$7:$D$91,0),MATCH(Calculation!$G323,'Gen. Plant Additions'!$E$5:$AE$5,0))</f>
        <v>441</v>
      </c>
      <c r="BU323" s="118"/>
      <c r="BV323" s="118"/>
      <c r="BW323" s="118"/>
      <c r="BX323" s="118"/>
      <c r="BY323" s="183"/>
      <c r="BZ323" s="183"/>
      <c r="CA323" s="178"/>
      <c r="CB323" s="184"/>
      <c r="CC323" s="185"/>
      <c r="CD323" s="185"/>
      <c r="CE323" s="118"/>
      <c r="CF323" s="118"/>
      <c r="CG323" s="118"/>
      <c r="CH323" s="118"/>
      <c r="CI323" s="121">
        <v>2021</v>
      </c>
      <c r="CJ323" s="118"/>
      <c r="CK323" s="118"/>
      <c r="CL323" s="118"/>
      <c r="CM323" s="183"/>
      <c r="CN323" s="118">
        <f t="shared" si="823"/>
        <v>65762</v>
      </c>
      <c r="CO323" s="118">
        <f t="shared" si="824"/>
        <v>70.482759049448831</v>
      </c>
      <c r="CP323" s="186">
        <f>+(51-23)/(51-23*0.75)</f>
        <v>0.82962962962962961</v>
      </c>
      <c r="CQ323" s="118">
        <f>CQ300*CP323+CO301*CP322+CO302*CP321+CO303*CP320+CO304*CP319+CO305*CP318+CO306*CP317+CO307*CP316+CO308*CP315+CO309*CP314+CO310*CP313+CO311*CP312+CO312*CP311+CO313*CP310+CO314*CP309+CO305*CP308+CO316*CP307+CO317*CP306+CO318*CP305+CO319*CP304+CO320*CP303+CO321*CP302+CO323+CO322*CP301</f>
        <v>1211.4748584957433</v>
      </c>
      <c r="CR323" s="119"/>
      <c r="CS323" s="118"/>
      <c r="CT323" s="177">
        <f t="shared" si="826"/>
        <v>1.7296751633659575E-2</v>
      </c>
      <c r="CU323" s="177">
        <f t="shared" si="835"/>
        <v>1.1891093095134512E-2</v>
      </c>
      <c r="CV323" s="119">
        <f>VLOOKUP($H323,RoR!$E:$F,2,FALSE)</f>
        <v>2.7033333333333336E-2</v>
      </c>
      <c r="CW323" s="177"/>
      <c r="CX323" s="177"/>
      <c r="CY323" s="177">
        <f t="shared" si="836"/>
        <v>1.9010848513399112E-2</v>
      </c>
      <c r="CZ323" s="177">
        <f t="shared" si="837"/>
        <v>7.433422950153494E-2</v>
      </c>
      <c r="DA323" s="187">
        <f t="shared" si="827"/>
        <v>0.92125000000000001</v>
      </c>
      <c r="DB323" s="188">
        <f t="shared" si="828"/>
        <v>1.8969932656739068</v>
      </c>
      <c r="DC323" s="188">
        <f t="shared" si="829"/>
        <v>5.0215782983970621E-2</v>
      </c>
      <c r="DD323" s="188">
        <f t="shared" si="830"/>
        <v>0.655952481704143</v>
      </c>
      <c r="DE323" s="188">
        <f t="shared" si="831"/>
        <v>6.2485378865697057E-2</v>
      </c>
      <c r="DF323" s="189">
        <f>DF322</f>
        <v>0.20999999999999996</v>
      </c>
      <c r="DG323" s="189">
        <v>0.375</v>
      </c>
      <c r="DH323" s="190">
        <f t="shared" si="833"/>
        <v>20.597768314729429</v>
      </c>
      <c r="DI323" s="190"/>
      <c r="DJ323" s="177">
        <f t="shared" ref="DJ323" si="893">LN(DH323/DH322)</f>
        <v>-1.7098966477709099E-3</v>
      </c>
      <c r="DK323" s="189">
        <f>VLOOKUP($H323,RoR!$E:$F,2,FALSE)</f>
        <v>2.7033333333333336E-2</v>
      </c>
      <c r="DL323" s="191">
        <f>HLOOKUP($H323,'GDP-PI'!$D$8:$CR$11,3,FALSE)</f>
        <v>4.2834637353352578E-2</v>
      </c>
      <c r="DM323" s="189">
        <f>VLOOKUP(H323,'HW Dx Data'!$E:$F,2,FALSE)</f>
        <v>933.02249921662576</v>
      </c>
      <c r="DN323" s="183">
        <f>VLOOKUP(H323,'ECI - Input Price'!$G$17:$H$37,2,FALSE)</f>
        <v>145.47500000000002</v>
      </c>
      <c r="DO323" s="177">
        <f t="shared" ref="DO323" si="894">LN(DN323/DN322)</f>
        <v>3.5152696992481205E-2</v>
      </c>
      <c r="DP323" s="183">
        <f>HLOOKUP(H323,'GDP-PI'!$8:$9,2,FALSE)</f>
        <v>118.49</v>
      </c>
      <c r="DQ323" s="177">
        <f t="shared" ref="DQ323" si="895">LN(DP323/DP322)</f>
        <v>4.194261824609434E-2</v>
      </c>
    </row>
    <row r="324" spans="1:121" s="167" customFormat="1" ht="21" x14ac:dyDescent="0.35">
      <c r="A324" s="167" t="s">
        <v>46</v>
      </c>
      <c r="B324" s="168" t="s">
        <v>46</v>
      </c>
      <c r="C324" s="168">
        <v>4088325</v>
      </c>
      <c r="D324" s="168" t="s">
        <v>334</v>
      </c>
      <c r="E324" s="168"/>
      <c r="F324" s="168"/>
      <c r="G324" s="168" t="s">
        <v>4</v>
      </c>
      <c r="H324" s="169">
        <v>1998</v>
      </c>
      <c r="I324" s="170"/>
      <c r="J324" s="166"/>
      <c r="K324" s="166"/>
      <c r="L324" s="166"/>
      <c r="M324" s="166"/>
      <c r="N324" s="196"/>
      <c r="O324" s="166"/>
      <c r="P324" s="172"/>
      <c r="Q324" s="172"/>
      <c r="R324" s="172"/>
      <c r="S324" s="166"/>
      <c r="T324" s="172"/>
      <c r="U324" s="172"/>
      <c r="V324" s="166"/>
      <c r="W324" s="170"/>
      <c r="X324" s="174">
        <v>202.96011265091329</v>
      </c>
      <c r="Y324" s="175"/>
      <c r="Z324" s="166"/>
      <c r="AA324" s="175"/>
      <c r="AB324" s="175"/>
      <c r="AC324" s="170">
        <f t="shared" si="882"/>
        <v>0</v>
      </c>
      <c r="AD324" s="170"/>
      <c r="AE324" s="170"/>
      <c r="AF324" s="119"/>
      <c r="AG324" s="174"/>
      <c r="AH324" s="175"/>
      <c r="AI324" s="175"/>
      <c r="AJ324" s="174"/>
      <c r="AK324" s="174"/>
      <c r="AL324" s="120"/>
      <c r="AM324" s="120"/>
      <c r="AN324" s="120"/>
      <c r="AO324" s="120"/>
      <c r="AP324" s="120"/>
      <c r="AQ324" s="175">
        <f>AVERAGE(AQ333:AQ347)</f>
        <v>8.2751841096385129E-2</v>
      </c>
      <c r="AR324" s="120"/>
      <c r="AS324" s="120"/>
      <c r="AT324" s="120"/>
      <c r="AU324" s="120"/>
      <c r="AV324" s="120"/>
      <c r="AW324" s="120"/>
      <c r="AX324" s="120"/>
      <c r="AY324" s="120"/>
      <c r="AZ324" s="118">
        <f>IFERROR(INDEX('Total Customers'!$F$7:$AB$91,MATCH($C324,'Total Customers'!$D$7:$D$91,0),MATCH($G324,'Total Customers'!$F$5:$AB$5,0)),"NA")</f>
        <v>31751</v>
      </c>
      <c r="BA324" s="119"/>
      <c r="BB324" s="119"/>
      <c r="BC324" s="121"/>
      <c r="BD324" s="119"/>
      <c r="BE324" s="119"/>
      <c r="BF324" s="119"/>
      <c r="BG324" s="173"/>
      <c r="BH324" s="173"/>
      <c r="BI324" s="173"/>
      <c r="BJ324" s="173"/>
      <c r="BK324" s="173"/>
      <c r="BL324" s="173"/>
      <c r="BM324" s="173"/>
      <c r="BN324" s="173"/>
      <c r="BO324" s="173"/>
      <c r="BP324" s="173"/>
      <c r="BQ324" s="118">
        <f>INDEX('Gross Dx Plant'!$E$7:$AD$91,MATCH($C324,'Gross Dx Plant'!$D$7:$D$91,0),MATCH(Calculation!$G324,'Gross Dx Plant'!$E$5:$AD$5,0))</f>
        <v>67741</v>
      </c>
      <c r="BR324" s="118">
        <f>INDEX('Gross Gen Plant'!$E$7:$AD$91,MATCH($C324,'Gross Gen Plant'!$D$7:$D$91,0),MATCH(Calculation!$G324,'Gross Gen Plant'!$E$5:$AD$5,0))</f>
        <v>1018</v>
      </c>
      <c r="BS324" s="118">
        <f>INDEX('Dist. Plant Gas Additions'!$F$7:$AE$91,MATCH($C324,'Dist. Plant Gas Additions'!$D$7:$D$91,0),MATCH(Calculation!$G324,'Dist. Plant Gas Additions'!$F$5:$AE$5,0))</f>
        <v>5144</v>
      </c>
      <c r="BT324" s="118">
        <f>INDEX('Gen. Plant Additions'!$F$7:$AE$91,MATCH($C324,'Gen. Plant Additions'!$D$7:$D$91,0),MATCH(Calculation!$G324,'Gen. Plant Additions'!$F$5:$AE$5,0))</f>
        <v>69</v>
      </c>
      <c r="BU324" s="118" t="e">
        <f>INDEX('Dist Plant Depreciation'!$E$7:$AA$94,MATCH($C324,'Dist Plant Depreciation'!$D$7:$D$94,0),MATCH(#REF!,'Dist Plant Depreciation'!$E$5:$AA$5,0))</f>
        <v>#REF!</v>
      </c>
      <c r="BV324" s="118" t="e">
        <f>INDEX('Gen. Plant Depreciation'!$E$7:$AA$94,MATCH($C324,'Gen. Plant Depreciation'!$D$7:$D$94,0),MATCH(#REF!,'Gen. Plant Depreciation'!$E$5:$AA$5,0))</f>
        <v>#REF!</v>
      </c>
      <c r="BW324" s="118">
        <f>INDEX('Dist Plant Depreciation'!$E$7:$AD$94,MATCH($C324,'Dist Plant Depreciation'!$D$7:$D$94,0),MATCH(Calculation!$G324,'Dist Plant Depreciation'!$E$5:$AD$5,0))</f>
        <v>27613</v>
      </c>
      <c r="BX324" s="118">
        <f>INDEX('Gen. Plant Depreciation'!$E$7:$AD$94,MATCH($C324,'Gen. Plant Depreciation'!$D$7:$D$94,0),MATCH(Calculation!$G324,'Gen. Plant Depreciation'!$E$5:$AD$5,0))</f>
        <v>205</v>
      </c>
      <c r="BY324" s="118"/>
      <c r="BZ324" s="118"/>
      <c r="CA324" s="118"/>
      <c r="CB324" s="118"/>
      <c r="CC324" s="118"/>
      <c r="CD324" s="118"/>
      <c r="CE324" s="118">
        <f>INDEX('Gross Dx Plant'!$E$7:$AD$91,MATCH($C324,'Gross Dx Plant'!$D$7:$D$91,0),MATCH(Calculation!$G324,'Gross Dx Plant'!$E$5:$AD$5,0))</f>
        <v>67741</v>
      </c>
      <c r="CF324" s="118">
        <f>INDEX('Gross Gen Plant'!$E$7:$AD$91,MATCH($C324,'Gross Gen Plant'!$D$7:$D$91,0),MATCH(Calculation!$G324,'Gross Gen Plant'!$E$5:$AD$5,0))</f>
        <v>1018</v>
      </c>
      <c r="CG324" s="118">
        <f t="shared" si="834"/>
        <v>40941</v>
      </c>
      <c r="CH324" s="118"/>
      <c r="CI324" s="121">
        <v>1998</v>
      </c>
      <c r="CJ324" s="118">
        <f>BQ324+BR324</f>
        <v>68759</v>
      </c>
      <c r="CK324" s="118">
        <f>27613+205</f>
        <v>27818</v>
      </c>
      <c r="CL324" s="118">
        <f>+CJ324-CK324</f>
        <v>40941</v>
      </c>
      <c r="CM324" s="118">
        <f>CL324/$CD$36</f>
        <v>202.96011265091329</v>
      </c>
      <c r="CN324" s="183"/>
      <c r="CO324" s="183"/>
      <c r="CP324" s="186">
        <v>1</v>
      </c>
      <c r="CQ324" s="118">
        <f>+CM324</f>
        <v>202.96011265091329</v>
      </c>
      <c r="CR324" s="119"/>
      <c r="CS324" s="119"/>
      <c r="CT324" s="177"/>
      <c r="CU324" s="177"/>
      <c r="CV324" s="119" t="e">
        <f>VLOOKUP($H324,RoR!$E:$F,2,FALSE)</f>
        <v>#N/A</v>
      </c>
      <c r="CW324" s="177">
        <v>1.1028127770464469E-2</v>
      </c>
      <c r="CX324" s="177"/>
      <c r="CY324" s="177"/>
      <c r="CZ324" s="177"/>
      <c r="DA324" s="187"/>
      <c r="DB324" s="190" t="e">
        <f>2/(DK324*39)</f>
        <v>#N/A</v>
      </c>
      <c r="DC324" s="188" t="e">
        <f>+(DK324*40-(1+DK324))/(DK324*40)</f>
        <v>#N/A</v>
      </c>
      <c r="DD324" s="188" t="e">
        <f>+(1-(1/(1+DK324)^40))</f>
        <v>#N/A</v>
      </c>
      <c r="DE324" s="188" t="e">
        <f>+DD324*DC324*DB324</f>
        <v>#N/A</v>
      </c>
      <c r="DF324" s="189">
        <f>INDEX('State Tax Lookup'!$D$7:$Z$91,MATCH(Calculation!$C324,'State Tax Lookup'!$B$7:$B$91,0),MATCH($H324,'State Tax Lookup'!$D$6:$Z$6,0))</f>
        <v>0.414935</v>
      </c>
      <c r="DG324" s="189">
        <v>0.375</v>
      </c>
      <c r="DH324" s="183"/>
      <c r="DI324" s="183"/>
      <c r="DJ324" s="177"/>
      <c r="DK324" s="189" t="e">
        <f>VLOOKUP($H324,RoR!$E:$F,2,FALSE)</f>
        <v>#N/A</v>
      </c>
      <c r="DL324" s="191">
        <f>HLOOKUP($H324,'GDP-PI'!$D$8:$CQ$11,3,FALSE)</f>
        <v>1.1028127770464469E-2</v>
      </c>
      <c r="DM324" s="189">
        <f>VLOOKUP(H324,'HW Dx Data'!$E:$F,2,FALSE)</f>
        <v>329.24564746449528</v>
      </c>
      <c r="DN324" s="183" t="e">
        <f>VLOOKUP(H324,'ECI - Input Price'!$G$17:$H$37,2,FALSE)</f>
        <v>#N/A</v>
      </c>
      <c r="DO324" s="177"/>
      <c r="DP324" s="183">
        <f>HLOOKUP(H324,'GDP-PI'!$8:$9,2,FALSE)</f>
        <v>75.266999999999996</v>
      </c>
    </row>
    <row r="325" spans="1:121" s="167" customFormat="1" ht="21" x14ac:dyDescent="0.35">
      <c r="A325" s="167" t="s">
        <v>46</v>
      </c>
      <c r="B325" s="168" t="s">
        <v>46</v>
      </c>
      <c r="C325" s="168">
        <v>4088325</v>
      </c>
      <c r="D325" s="168" t="s">
        <v>334</v>
      </c>
      <c r="E325" s="168"/>
      <c r="F325" s="168"/>
      <c r="G325" s="168" t="s">
        <v>5</v>
      </c>
      <c r="H325" s="169">
        <v>1999</v>
      </c>
      <c r="I325" s="170"/>
      <c r="J325" s="166"/>
      <c r="K325" s="170"/>
      <c r="L325" s="170"/>
      <c r="M325" s="166"/>
      <c r="N325" s="173"/>
      <c r="O325" s="170"/>
      <c r="P325" s="177"/>
      <c r="Q325" s="177"/>
      <c r="R325" s="177"/>
      <c r="S325" s="195"/>
      <c r="T325" s="177"/>
      <c r="U325" s="177"/>
      <c r="V325" s="166">
        <f t="shared" ref="V325:V347" si="896">+CQ324*DH325</f>
        <v>0</v>
      </c>
      <c r="W325" s="170"/>
      <c r="X325" s="174">
        <v>211.89891846956132</v>
      </c>
      <c r="Y325" s="175">
        <v>4.3099890964176601E-2</v>
      </c>
      <c r="Z325" s="175"/>
      <c r="AA325" s="175"/>
      <c r="AB325" s="175"/>
      <c r="AC325" s="170">
        <f t="shared" si="882"/>
        <v>0</v>
      </c>
      <c r="AD325" s="175"/>
      <c r="AE325" s="170"/>
      <c r="AF325" s="119"/>
      <c r="AG325" s="174"/>
      <c r="AH325" s="175"/>
      <c r="AI325" s="175"/>
      <c r="AJ325" s="174"/>
      <c r="AK325" s="174"/>
      <c r="AL325" s="120"/>
      <c r="AM325" s="120"/>
      <c r="AN325" s="120"/>
      <c r="AO325" s="120"/>
      <c r="AP325" s="120"/>
      <c r="AQ325" s="175"/>
      <c r="AR325" s="120"/>
      <c r="AS325" s="120"/>
      <c r="AT325" s="120"/>
      <c r="AU325" s="120"/>
      <c r="AV325" s="120"/>
      <c r="AW325" s="120"/>
      <c r="AX325" s="120"/>
      <c r="AY325" s="120"/>
      <c r="AZ325" s="118">
        <f>IFERROR(INDEX('Total Customers'!$F$7:$AB$91,MATCH($C325,'Total Customers'!$D$7:$D$91,0),MATCH($G325,'Total Customers'!$F$5:$AB$5,0)),"NA")</f>
        <v>31935</v>
      </c>
      <c r="BA325" s="119">
        <f t="shared" ref="BA325:BA347" si="897">LN(AZ325/AZ324)</f>
        <v>5.7783661078503225E-3</v>
      </c>
      <c r="BB325" s="119"/>
      <c r="BC325" s="121"/>
      <c r="BD325" s="119"/>
      <c r="BE325" s="119"/>
      <c r="BF325" s="119"/>
      <c r="BG325" s="173"/>
      <c r="BH325" s="173"/>
      <c r="BI325" s="173"/>
      <c r="BJ325" s="173"/>
      <c r="BK325" s="173"/>
      <c r="BL325" s="173"/>
      <c r="BM325" s="173"/>
      <c r="BN325" s="173"/>
      <c r="BO325" s="173"/>
      <c r="BP325" s="173"/>
      <c r="BQ325" s="118"/>
      <c r="BR325" s="118"/>
      <c r="BS325" s="118">
        <f>INDEX('Dist. Plant Gas Additions'!$F$7:$AE$91,MATCH($C325,'Dist. Plant Gas Additions'!$D$7:$D$91,0),MATCH(Calculation!$G325,'Dist. Plant Gas Additions'!$F$5:$AE$5,0))</f>
        <v>3292</v>
      </c>
      <c r="BT325" s="118">
        <f>INDEX('Gen. Plant Additions'!$F$7:$AE$91,MATCH($C325,'Gen. Plant Additions'!$D$7:$D$91,0),MATCH(Calculation!$G325,'Gen. Plant Additions'!$F$5:$AE$5,0))</f>
        <v>44</v>
      </c>
      <c r="BU325" s="118"/>
      <c r="BV325" s="118"/>
      <c r="BW325" s="118">
        <f>INDEX('Dist Plant Depreciation'!$E$7:$AD$94,MATCH($C325,'Dist Plant Depreciation'!$D$7:$D$94,0),MATCH(Calculation!$G325,'Dist Plant Depreciation'!$E$5:$AD$5,0))</f>
        <v>29035</v>
      </c>
      <c r="BX325" s="118">
        <f>INDEX('Gen. Plant Depreciation'!$E$7:$AD$94,MATCH($C325,'Gen. Plant Depreciation'!$D$7:$D$94,0),MATCH(Calculation!$G325,'Gen. Plant Depreciation'!$E$5:$AD$5,0))</f>
        <v>225</v>
      </c>
      <c r="BY325" s="118"/>
      <c r="BZ325" s="118"/>
      <c r="CA325" s="118"/>
      <c r="CB325" s="118"/>
      <c r="CC325" s="118"/>
      <c r="CD325" s="118"/>
      <c r="CE325" s="118">
        <f>INDEX('Gross Dx Plant'!$E$7:$AD$91,MATCH($C325,'Gross Dx Plant'!$D$7:$D$91,0),MATCH(Calculation!$G325,'Gross Dx Plant'!$E$5:$AD$5,0))</f>
        <v>70505</v>
      </c>
      <c r="CF325" s="118">
        <f>INDEX('Gross Gen Plant'!$E$7:$AD$91,MATCH($C325,'Gross Gen Plant'!$D$7:$D$91,0),MATCH(Calculation!$G325,'Gross Gen Plant'!$E$5:$AD$5,0))</f>
        <v>1061</v>
      </c>
      <c r="CG325" s="118">
        <f t="shared" si="834"/>
        <v>42306</v>
      </c>
      <c r="CH325" s="118"/>
      <c r="CI325" s="121">
        <v>1999</v>
      </c>
      <c r="CJ325" s="118"/>
      <c r="CK325" s="118"/>
      <c r="CL325" s="118"/>
      <c r="CM325" s="183"/>
      <c r="CN325" s="118">
        <f t="shared" ref="CN325:CN347" si="898">+BT325+BS325</f>
        <v>3336</v>
      </c>
      <c r="CO325" s="118">
        <f t="shared" ref="CO325:CO347" si="899">+CN325/$DM325</f>
        <v>9.9485576228814132</v>
      </c>
      <c r="CP325" s="186">
        <v>0.99502487562189057</v>
      </c>
      <c r="CQ325" s="118">
        <f>+CQ324*CP325+CO325</f>
        <v>211.89891846956132</v>
      </c>
      <c r="CR325" s="119">
        <f t="shared" ref="CR325:CR346" si="900">LN(CQ325/CQ324)</f>
        <v>4.3099890964176601E-2</v>
      </c>
      <c r="CS325" s="119"/>
      <c r="CT325" s="177">
        <f t="shared" ref="CT325:CT347" si="901">+(CQ324-CQ325+CO325)/CQ324</f>
        <v>4.9751243781093477E-3</v>
      </c>
      <c r="CU325" s="177"/>
      <c r="CV325" s="119">
        <f>VLOOKUP($H325,RoR!$E:$F,2,FALSE)</f>
        <v>7.0416666666666669E-2</v>
      </c>
      <c r="CW325" s="177">
        <v>1.4335631817396832E-2</v>
      </c>
      <c r="CX325" s="177">
        <f>+CV325-CW325</f>
        <v>5.6081034849269837E-2</v>
      </c>
      <c r="CY325" s="177"/>
      <c r="CZ325" s="177"/>
      <c r="DA325" s="187">
        <f t="shared" ref="DA325:DA347" si="902">1-DF325*DG325</f>
        <v>0.84439937500000006</v>
      </c>
      <c r="DB325" s="188">
        <f t="shared" ref="DB325:DB347" si="903">2/(DK325*39)</f>
        <v>0.72826581702321336</v>
      </c>
      <c r="DC325" s="188">
        <f t="shared" ref="DC325:DC347" si="904">+(DK325*40-(1+DK325))/(DK325*40)</f>
        <v>0.61997041420118348</v>
      </c>
      <c r="DD325" s="188">
        <f t="shared" ref="DD325:DD347" si="905">+(1-(1/(1+DK325)^40))</f>
        <v>0.93425155319585029</v>
      </c>
      <c r="DE325" s="188">
        <f t="shared" ref="DE325:DE347" si="906">+DD325*DC325*DB325</f>
        <v>0.42181762214141483</v>
      </c>
      <c r="DF325" s="189">
        <f>INDEX('State Tax Lookup'!$D$7:$Z$91,MATCH(Calculation!$C325,'State Tax Lookup'!$B$7:$B$91,0),MATCH($H325,'State Tax Lookup'!$D$6:$Z$6,0))</f>
        <v>0.414935</v>
      </c>
      <c r="DG325" s="189">
        <v>0.375</v>
      </c>
      <c r="DH325" s="190"/>
      <c r="DI325" s="190"/>
      <c r="DJ325" s="177"/>
      <c r="DK325" s="189">
        <f>VLOOKUP($H325,RoR!$E:$F,2,FALSE)</f>
        <v>7.0416666666666669E-2</v>
      </c>
      <c r="DL325" s="191">
        <f>HLOOKUP($H325,'GDP-PI'!$D$8:$CQ$11,3,FALSE)</f>
        <v>1.4335631817396832E-2</v>
      </c>
      <c r="DM325" s="189">
        <f>VLOOKUP(H325,'HW Dx Data'!$E:$F,2,FALSE)</f>
        <v>335.32499146683239</v>
      </c>
      <c r="DN325" s="183" t="e">
        <f>VLOOKUP(H325,'ECI - Input Price'!$G$17:$H$37,2,FALSE)</f>
        <v>#N/A</v>
      </c>
      <c r="DO325" s="177"/>
      <c r="DP325" s="183">
        <f>HLOOKUP(H325,'GDP-PI'!$8:$9,2,FALSE)</f>
        <v>76.346000000000004</v>
      </c>
    </row>
    <row r="326" spans="1:121" s="167" customFormat="1" ht="21" x14ac:dyDescent="0.35">
      <c r="A326" s="167" t="s">
        <v>46</v>
      </c>
      <c r="B326" s="168" t="s">
        <v>46</v>
      </c>
      <c r="C326" s="168">
        <v>4088325</v>
      </c>
      <c r="D326" s="168" t="s">
        <v>334</v>
      </c>
      <c r="E326" s="168"/>
      <c r="F326" s="168"/>
      <c r="G326" s="168" t="s">
        <v>6</v>
      </c>
      <c r="H326" s="169">
        <v>2000</v>
      </c>
      <c r="I326" s="170"/>
      <c r="J326" s="166"/>
      <c r="K326" s="166"/>
      <c r="L326" s="166"/>
      <c r="M326" s="166"/>
      <c r="N326" s="196"/>
      <c r="O326" s="166"/>
      <c r="P326" s="166"/>
      <c r="Q326" s="166"/>
      <c r="R326" s="166"/>
      <c r="S326" s="166"/>
      <c r="T326" s="166"/>
      <c r="U326" s="166"/>
      <c r="V326" s="166">
        <f t="shared" si="896"/>
        <v>0</v>
      </c>
      <c r="W326" s="170"/>
      <c r="X326" s="174">
        <v>220.86869997525051</v>
      </c>
      <c r="Y326" s="175">
        <v>4.1459045905791511E-2</v>
      </c>
      <c r="Z326" s="175"/>
      <c r="AA326" s="175"/>
      <c r="AB326" s="175"/>
      <c r="AC326" s="170">
        <f t="shared" si="882"/>
        <v>0</v>
      </c>
      <c r="AD326" s="175"/>
      <c r="AE326" s="170"/>
      <c r="AF326" s="170"/>
      <c r="AG326" s="174"/>
      <c r="AH326" s="175"/>
      <c r="AI326" s="175"/>
      <c r="AJ326" s="174"/>
      <c r="AK326" s="174"/>
      <c r="AL326" s="120"/>
      <c r="AM326" s="120"/>
      <c r="AN326" s="120"/>
      <c r="AO326" s="120"/>
      <c r="AP326" s="120"/>
      <c r="AQ326" s="175"/>
      <c r="AR326" s="120"/>
      <c r="AS326" s="120"/>
      <c r="AT326" s="120"/>
      <c r="AU326" s="120"/>
      <c r="AV326" s="120"/>
      <c r="AW326" s="120"/>
      <c r="AX326" s="120"/>
      <c r="AY326" s="120"/>
      <c r="AZ326" s="118">
        <f>IFERROR(INDEX('Total Customers'!$F$7:$AB$91,MATCH($C326,'Total Customers'!$D$7:$D$91,0),MATCH($G326,'Total Customers'!$F$5:$AB$5,0)),"NA")</f>
        <v>32156</v>
      </c>
      <c r="BA326" s="119">
        <f t="shared" si="897"/>
        <v>6.8964714521620027E-3</v>
      </c>
      <c r="BB326" s="119"/>
      <c r="BC326" s="121"/>
      <c r="BD326" s="119"/>
      <c r="BE326" s="119"/>
      <c r="BF326" s="119"/>
      <c r="BG326" s="173"/>
      <c r="BH326" s="173"/>
      <c r="BI326" s="173"/>
      <c r="BJ326" s="173"/>
      <c r="BK326" s="173"/>
      <c r="BL326" s="173"/>
      <c r="BM326" s="173"/>
      <c r="BN326" s="173"/>
      <c r="BO326" s="173"/>
      <c r="BP326" s="173"/>
      <c r="BQ326" s="118"/>
      <c r="BR326" s="118"/>
      <c r="BS326" s="118">
        <f>INDEX('Dist. Plant Gas Additions'!$F$7:$AE$91,MATCH($C326,'Dist. Plant Gas Additions'!$D$7:$D$91,0),MATCH(Calculation!$G326,'Dist. Plant Gas Additions'!$F$5:$AE$5,0))</f>
        <v>3364</v>
      </c>
      <c r="BT326" s="118">
        <f>INDEX('Gen. Plant Additions'!$F$7:$AE$91,MATCH($C326,'Gen. Plant Additions'!$D$7:$D$91,0),MATCH(Calculation!$G326,'Gen. Plant Additions'!$F$5:$AE$5,0))</f>
        <v>122</v>
      </c>
      <c r="BU326" s="118"/>
      <c r="BV326" s="118"/>
      <c r="BW326" s="118" t="str">
        <f>INDEX('Dist Plant Depreciation'!$E$7:$AD$94,MATCH($C326,'Dist Plant Depreciation'!$D$7:$D$94,0),MATCH(Calculation!$G326,'Dist Plant Depreciation'!$E$5:$AD$5,0))</f>
        <v>NA</v>
      </c>
      <c r="BX326" s="118" t="str">
        <f>INDEX('Gen. Plant Depreciation'!$E$7:$AD$94,MATCH($C326,'Gen. Plant Depreciation'!$D$7:$D$94,0),MATCH(Calculation!$G326,'Gen. Plant Depreciation'!$E$5:$AD$5,0))</f>
        <v>NA</v>
      </c>
      <c r="BY326" s="118"/>
      <c r="BZ326" s="118"/>
      <c r="CA326" s="118"/>
      <c r="CB326" s="118"/>
      <c r="CC326" s="118"/>
      <c r="CD326" s="118"/>
      <c r="CE326" s="118">
        <f>INDEX('Gross Dx Plant'!$E$7:$AD$91,MATCH($C326,'Gross Dx Plant'!$D$7:$D$91,0),MATCH(Calculation!$G326,'Gross Dx Plant'!$E$5:$AD$5,0))</f>
        <v>73298</v>
      </c>
      <c r="CF326" s="118">
        <f>INDEX('Gross Gen Plant'!$E$7:$AD$91,MATCH($C326,'Gross Gen Plant'!$D$7:$D$91,0),MATCH(Calculation!$G326,'Gross Gen Plant'!$E$5:$AD$5,0))</f>
        <v>1182</v>
      </c>
      <c r="CG326" s="118" t="str">
        <f t="shared" si="834"/>
        <v>NA</v>
      </c>
      <c r="CH326" s="118"/>
      <c r="CI326" s="121">
        <v>2000</v>
      </c>
      <c r="CJ326" s="118"/>
      <c r="CK326" s="118"/>
      <c r="CL326" s="118"/>
      <c r="CM326" s="183"/>
      <c r="CN326" s="118">
        <f t="shared" si="898"/>
        <v>3486</v>
      </c>
      <c r="CO326" s="118">
        <f t="shared" si="899"/>
        <v>10.059627161001428</v>
      </c>
      <c r="CP326" s="186">
        <v>0.98989898989898994</v>
      </c>
      <c r="CQ326" s="118">
        <f>+CQ324*CP326+CO325*CP325+CO326</f>
        <v>220.86869997525051</v>
      </c>
      <c r="CR326" s="119">
        <f t="shared" si="900"/>
        <v>4.1459045905791511E-2</v>
      </c>
      <c r="CS326" s="119"/>
      <c r="CT326" s="177">
        <f t="shared" si="901"/>
        <v>5.1432336851157511E-3</v>
      </c>
      <c r="CU326" s="177"/>
      <c r="CV326" s="119">
        <f>VLOOKUP($H326,RoR!$E:$F,2,FALSE)</f>
        <v>7.6225000000000001E-2</v>
      </c>
      <c r="CW326" s="177">
        <v>2.2568307442433211E-2</v>
      </c>
      <c r="CX326" s="177">
        <f t="shared" ref="CX326:CX346" si="907">+CV326-CW326</f>
        <v>5.365669255756679E-2</v>
      </c>
      <c r="CY326" s="177"/>
      <c r="CZ326" s="177"/>
      <c r="DA326" s="187">
        <f t="shared" si="902"/>
        <v>0.84439937500000006</v>
      </c>
      <c r="DB326" s="188">
        <f t="shared" si="903"/>
        <v>0.67277207323124022</v>
      </c>
      <c r="DC326" s="188">
        <f t="shared" si="904"/>
        <v>0.6470236142997704</v>
      </c>
      <c r="DD326" s="188">
        <f t="shared" si="905"/>
        <v>0.94704866037543145</v>
      </c>
      <c r="DE326" s="188">
        <f t="shared" si="906"/>
        <v>0.41224973107878493</v>
      </c>
      <c r="DF326" s="189">
        <f>INDEX('State Tax Lookup'!$D$7:$Z$91,MATCH(Calculation!$C326,'State Tax Lookup'!$B$7:$B$91,0),MATCH($H326,'State Tax Lookup'!$D$6:$Z$6,0))</f>
        <v>0.414935</v>
      </c>
      <c r="DG326" s="189">
        <v>0.375</v>
      </c>
      <c r="DH326" s="190"/>
      <c r="DI326" s="190"/>
      <c r="DJ326" s="177"/>
      <c r="DK326" s="189">
        <f>VLOOKUP($H326,RoR!$E:$F,2,FALSE)</f>
        <v>7.6225000000000001E-2</v>
      </c>
      <c r="DL326" s="191">
        <f>HLOOKUP($H326,'GDP-PI'!$D$8:$CQ$11,3,FALSE)</f>
        <v>2.2568307442433211E-2</v>
      </c>
      <c r="DM326" s="189">
        <f>VLOOKUP(H326,'HW Dx Data'!$E:$F,2,FALSE)</f>
        <v>346.53371782150339</v>
      </c>
      <c r="DN326" s="183" t="e">
        <f>VLOOKUP(H326,'ECI - Input Price'!$G$17:$H$37,2,FALSE)</f>
        <v>#N/A</v>
      </c>
      <c r="DO326" s="177"/>
      <c r="DP326" s="183">
        <f>HLOOKUP(H326,'GDP-PI'!$8:$9,2,FALSE)</f>
        <v>78.069000000000003</v>
      </c>
    </row>
    <row r="327" spans="1:121" s="167" customFormat="1" ht="21" x14ac:dyDescent="0.35">
      <c r="A327" s="167" t="s">
        <v>46</v>
      </c>
      <c r="B327" s="168" t="s">
        <v>46</v>
      </c>
      <c r="C327" s="168">
        <v>4088325</v>
      </c>
      <c r="D327" s="168" t="s">
        <v>334</v>
      </c>
      <c r="E327" s="168"/>
      <c r="F327" s="168"/>
      <c r="G327" s="168" t="s">
        <v>7</v>
      </c>
      <c r="H327" s="169">
        <v>2001</v>
      </c>
      <c r="I327" s="170"/>
      <c r="J327" s="166"/>
      <c r="K327" s="166"/>
      <c r="L327" s="166"/>
      <c r="M327" s="166"/>
      <c r="N327" s="196"/>
      <c r="O327" s="166"/>
      <c r="P327" s="166"/>
      <c r="Q327" s="166"/>
      <c r="R327" s="166"/>
      <c r="S327" s="166"/>
      <c r="T327" s="166"/>
      <c r="U327" s="166"/>
      <c r="V327" s="166">
        <f t="shared" si="896"/>
        <v>2903.0226814328926</v>
      </c>
      <c r="W327" s="170"/>
      <c r="X327" s="174">
        <v>230.74273740479282</v>
      </c>
      <c r="Y327" s="175">
        <v>4.3734991818113529E-2</v>
      </c>
      <c r="Z327" s="175"/>
      <c r="AA327" s="175"/>
      <c r="AB327" s="175"/>
      <c r="AC327" s="170">
        <f t="shared" si="882"/>
        <v>2903.0226814328926</v>
      </c>
      <c r="AD327" s="175"/>
      <c r="AE327" s="170"/>
      <c r="AF327" s="170"/>
      <c r="AG327" s="174"/>
      <c r="AH327" s="175"/>
      <c r="AI327" s="175"/>
      <c r="AJ327" s="174"/>
      <c r="AK327" s="174"/>
      <c r="AL327" s="120"/>
      <c r="AM327" s="120"/>
      <c r="AN327" s="120"/>
      <c r="AO327" s="120"/>
      <c r="AP327" s="120"/>
      <c r="AQ327" s="175"/>
      <c r="AR327" s="120"/>
      <c r="AS327" s="120"/>
      <c r="AT327" s="120"/>
      <c r="AU327" s="120"/>
      <c r="AV327" s="120"/>
      <c r="AW327" s="120"/>
      <c r="AX327" s="120"/>
      <c r="AY327" s="120"/>
      <c r="AZ327" s="118">
        <f>IFERROR(INDEX('Total Customers'!$F$7:$AB$91,MATCH($C327,'Total Customers'!$D$7:$D$91,0),MATCH($G327,'Total Customers'!$F$5:$AB$5,0)),"NA")</f>
        <v>31856</v>
      </c>
      <c r="BA327" s="119">
        <f t="shared" si="897"/>
        <v>-9.3733111438739081E-3</v>
      </c>
      <c r="BB327" s="119"/>
      <c r="BC327" s="121"/>
      <c r="BD327" s="119"/>
      <c r="BE327" s="119"/>
      <c r="BF327" s="119"/>
      <c r="BG327" s="173"/>
      <c r="BH327" s="173"/>
      <c r="BI327" s="173"/>
      <c r="BJ327" s="173"/>
      <c r="BK327" s="173"/>
      <c r="BL327" s="173"/>
      <c r="BM327" s="173"/>
      <c r="BN327" s="173"/>
      <c r="BO327" s="173"/>
      <c r="BP327" s="173"/>
      <c r="BQ327" s="118"/>
      <c r="BR327" s="118"/>
      <c r="BS327" s="118">
        <f>INDEX('Dist. Plant Gas Additions'!$F$7:$AE$91,MATCH($C327,'Dist. Plant Gas Additions'!$D$7:$D$91,0),MATCH(Calculation!$G327,'Dist. Plant Gas Additions'!$F$5:$AE$5,0))</f>
        <v>3868</v>
      </c>
      <c r="BT327" s="118">
        <f>INDEX('Gen. Plant Additions'!$F$7:$AE$91,MATCH($C327,'Gen. Plant Additions'!$D$7:$D$91,0),MATCH(Calculation!$G327,'Gen. Plant Additions'!$F$5:$AE$5,0))</f>
        <v>19</v>
      </c>
      <c r="BU327" s="118"/>
      <c r="BV327" s="118"/>
      <c r="BW327" s="118" t="str">
        <f>INDEX('Dist Plant Depreciation'!$E$7:$AD$94,MATCH($C327,'Dist Plant Depreciation'!$D$7:$D$94,0),MATCH(Calculation!$G327,'Dist Plant Depreciation'!$E$5:$AD$5,0))</f>
        <v>NA</v>
      </c>
      <c r="BX327" s="118" t="str">
        <f>INDEX('Gen. Plant Depreciation'!$E$7:$AD$94,MATCH($C327,'Gen. Plant Depreciation'!$D$7:$D$94,0),MATCH(Calculation!$G327,'Gen. Plant Depreciation'!$E$5:$AD$5,0))</f>
        <v>NA</v>
      </c>
      <c r="BY327" s="118"/>
      <c r="BZ327" s="118"/>
      <c r="CA327" s="118"/>
      <c r="CB327" s="118"/>
      <c r="CC327" s="118"/>
      <c r="CD327" s="118"/>
      <c r="CE327" s="118">
        <f>INDEX('Gross Dx Plant'!$E$7:$AD$91,MATCH($C327,'Gross Dx Plant'!$D$7:$D$91,0),MATCH(Calculation!$G327,'Gross Dx Plant'!$E$5:$AD$5,0))</f>
        <v>76723</v>
      </c>
      <c r="CF327" s="118">
        <f>INDEX('Gross Gen Plant'!$E$7:$AD$91,MATCH($C327,'Gross Gen Plant'!$D$7:$D$91,0),MATCH(Calculation!$G327,'Gross Gen Plant'!$E$5:$AD$5,0))</f>
        <v>1199</v>
      </c>
      <c r="CG327" s="118" t="str">
        <f t="shared" si="834"/>
        <v>NA</v>
      </c>
      <c r="CH327" s="118"/>
      <c r="CI327" s="121">
        <v>2001</v>
      </c>
      <c r="CJ327" s="118"/>
      <c r="CK327" s="118"/>
      <c r="CL327" s="118"/>
      <c r="CM327" s="183"/>
      <c r="CN327" s="118">
        <f t="shared" si="898"/>
        <v>3887</v>
      </c>
      <c r="CO327" s="118">
        <f t="shared" si="899"/>
        <v>10.997393722588383</v>
      </c>
      <c r="CP327" s="186">
        <v>0.98461538461538467</v>
      </c>
      <c r="CQ327" s="118">
        <f>+CQ324*CP327+CO325*CP326+CO326*CP324+CO327</f>
        <v>230.74273740479282</v>
      </c>
      <c r="CR327" s="119">
        <f t="shared" si="900"/>
        <v>4.3734991818113529E-2</v>
      </c>
      <c r="CS327" s="119"/>
      <c r="CT327" s="177">
        <f t="shared" si="901"/>
        <v>5.0860818810992605E-3</v>
      </c>
      <c r="CU327" s="177">
        <f>+(CT327+CT326+CT325)/3</f>
        <v>5.0681466481081192E-3</v>
      </c>
      <c r="CV327" s="119">
        <f>VLOOKUP($H327,RoR!$E:$F,2,FALSE)</f>
        <v>7.0824999999999999E-2</v>
      </c>
      <c r="CW327" s="177">
        <v>2.2454495382290052E-2</v>
      </c>
      <c r="CX327" s="177">
        <f t="shared" si="907"/>
        <v>4.8370504617709947E-2</v>
      </c>
      <c r="CY327" s="177">
        <f>+$CX$35-CU327</f>
        <v>2.5833794960425507E-2</v>
      </c>
      <c r="CZ327" s="177">
        <f>+((DM325/DM324-1)+(DM326/DM325-1)+(DM327/DM326-1))/3</f>
        <v>2.3947275901631187E-2</v>
      </c>
      <c r="DA327" s="187">
        <f t="shared" si="902"/>
        <v>0.84439937500000006</v>
      </c>
      <c r="DB327" s="188">
        <f t="shared" si="903"/>
        <v>0.72406708481540816</v>
      </c>
      <c r="DC327" s="188">
        <f t="shared" si="904"/>
        <v>0.62201729615248857</v>
      </c>
      <c r="DD327" s="188">
        <f t="shared" si="905"/>
        <v>0.9352469954311422</v>
      </c>
      <c r="DE327" s="188">
        <f t="shared" si="906"/>
        <v>0.42121864641655071</v>
      </c>
      <c r="DF327" s="189">
        <f>INDEX('State Tax Lookup'!$D$7:$Z$91,MATCH(Calculation!$C327,'State Tax Lookup'!$B$7:$B$91,0),MATCH($H327,'State Tax Lookup'!$D$6:$Z$6,0))</f>
        <v>0.414935</v>
      </c>
      <c r="DG327" s="189">
        <v>0.375</v>
      </c>
      <c r="DH327" s="190">
        <f t="shared" ref="DH327:DH347" si="908">+(DM327*CY327-CZ327)*DA327/(1-DF327)</f>
        <v>13.143658117959635</v>
      </c>
      <c r="DI327" s="190"/>
      <c r="DJ327" s="177"/>
      <c r="DK327" s="189">
        <f>VLOOKUP($H327,RoR!$E:$F,2,FALSE)</f>
        <v>7.0824999999999999E-2</v>
      </c>
      <c r="DL327" s="191">
        <f>HLOOKUP($H327,'GDP-PI'!$D$8:$CQ$11,3,FALSE)</f>
        <v>2.2454495382290052E-2</v>
      </c>
      <c r="DM327" s="189">
        <f>VLOOKUP(H327,'HW Dx Data'!$E:$F,2,FALSE)</f>
        <v>353.44738017483138</v>
      </c>
      <c r="DN327" s="183">
        <f>VLOOKUP(H327,'ECI - Input Price'!$G$17:$H$37,2,FALSE)</f>
        <v>86.2</v>
      </c>
      <c r="DO327" s="177"/>
      <c r="DP327" s="183">
        <f>HLOOKUP(H327,'GDP-PI'!$8:$9,2,FALSE)</f>
        <v>79.822000000000003</v>
      </c>
    </row>
    <row r="328" spans="1:121" s="167" customFormat="1" ht="21" x14ac:dyDescent="0.35">
      <c r="A328" s="167" t="s">
        <v>46</v>
      </c>
      <c r="B328" s="168" t="s">
        <v>46</v>
      </c>
      <c r="C328" s="168">
        <v>4088325</v>
      </c>
      <c r="D328" s="168" t="s">
        <v>334</v>
      </c>
      <c r="E328" s="168"/>
      <c r="F328" s="168"/>
      <c r="G328" s="168" t="s">
        <v>8</v>
      </c>
      <c r="H328" s="169">
        <v>2002</v>
      </c>
      <c r="I328" s="170"/>
      <c r="J328" s="166"/>
      <c r="K328" s="166"/>
      <c r="L328" s="166"/>
      <c r="M328" s="166"/>
      <c r="N328" s="196"/>
      <c r="O328" s="166"/>
      <c r="P328" s="166"/>
      <c r="Q328" s="166"/>
      <c r="R328" s="166"/>
      <c r="S328" s="166"/>
      <c r="T328" s="166"/>
      <c r="U328" s="166"/>
      <c r="V328" s="166">
        <f t="shared" si="896"/>
        <v>3071.3495354498114</v>
      </c>
      <c r="W328" s="170"/>
      <c r="X328" s="174">
        <v>234.97940758273128</v>
      </c>
      <c r="Y328" s="175">
        <v>1.8194483978206971E-2</v>
      </c>
      <c r="Z328" s="175"/>
      <c r="AA328" s="175"/>
      <c r="AB328" s="175"/>
      <c r="AC328" s="170">
        <f t="shared" si="882"/>
        <v>3071.3495354498114</v>
      </c>
      <c r="AD328" s="175"/>
      <c r="AE328" s="170"/>
      <c r="AF328" s="170"/>
      <c r="AG328" s="174"/>
      <c r="AH328" s="175"/>
      <c r="AI328" s="175"/>
      <c r="AJ328" s="174"/>
      <c r="AK328" s="174"/>
      <c r="AL328" s="120"/>
      <c r="AM328" s="120"/>
      <c r="AN328" s="120"/>
      <c r="AO328" s="120"/>
      <c r="AP328" s="120"/>
      <c r="AQ328" s="175"/>
      <c r="AR328" s="120"/>
      <c r="AS328" s="120"/>
      <c r="AT328" s="120"/>
      <c r="AU328" s="120"/>
      <c r="AV328" s="120"/>
      <c r="AW328" s="120"/>
      <c r="AX328" s="120"/>
      <c r="AY328" s="120"/>
      <c r="AZ328" s="118">
        <f>IFERROR(INDEX('Total Customers'!$F$7:$AB$91,MATCH($C328,'Total Customers'!$D$7:$D$91,0),MATCH($G328,'Total Customers'!$F$5:$AB$5,0)),"NA")</f>
        <v>32074</v>
      </c>
      <c r="BA328" s="119">
        <f t="shared" si="897"/>
        <v>6.8199857647766688E-3</v>
      </c>
      <c r="BB328" s="119"/>
      <c r="BC328" s="121"/>
      <c r="BD328" s="119"/>
      <c r="BE328" s="119"/>
      <c r="BF328" s="119"/>
      <c r="BG328" s="173"/>
      <c r="BH328" s="173"/>
      <c r="BI328" s="173"/>
      <c r="BJ328" s="173"/>
      <c r="BK328" s="173"/>
      <c r="BL328" s="173"/>
      <c r="BM328" s="173"/>
      <c r="BN328" s="173"/>
      <c r="BO328" s="173"/>
      <c r="BP328" s="173"/>
      <c r="BQ328" s="118"/>
      <c r="BR328" s="118"/>
      <c r="BS328" s="118">
        <f>INDEX('Dist. Plant Gas Additions'!$F$7:$AE$91,MATCH($C328,'Dist. Plant Gas Additions'!$D$7:$D$91,0),MATCH(Calculation!$G328,'Dist. Plant Gas Additions'!$F$5:$AE$5,0))</f>
        <v>1751</v>
      </c>
      <c r="BT328" s="118">
        <f>INDEX('Gen. Plant Additions'!$F$7:$AE$91,MATCH($C328,'Gen. Plant Additions'!$D$7:$D$91,0),MATCH(Calculation!$G328,'Gen. Plant Additions'!$F$5:$AE$5,0))</f>
        <v>255</v>
      </c>
      <c r="BU328" s="118"/>
      <c r="BV328" s="118"/>
      <c r="BW328" s="118" t="str">
        <f>INDEX('Dist Plant Depreciation'!$E$7:$AD$94,MATCH($C328,'Dist Plant Depreciation'!$D$7:$D$94,0),MATCH(Calculation!$G328,'Dist Plant Depreciation'!$E$5:$AD$5,0))</f>
        <v>NA</v>
      </c>
      <c r="BX328" s="118" t="str">
        <f>INDEX('Gen. Plant Depreciation'!$E$7:$AD$94,MATCH($C328,'Gen. Plant Depreciation'!$D$7:$D$94,0),MATCH(Calculation!$G328,'Gen. Plant Depreciation'!$E$5:$AD$5,0))</f>
        <v>NA</v>
      </c>
      <c r="BY328" s="118"/>
      <c r="BZ328" s="118"/>
      <c r="CA328" s="118"/>
      <c r="CB328" s="118"/>
      <c r="CC328" s="118"/>
      <c r="CD328" s="118"/>
      <c r="CE328" s="118">
        <f>INDEX('Gross Dx Plant'!$E$7:$AD$91,MATCH($C328,'Gross Dx Plant'!$D$7:$D$91,0),MATCH(Calculation!$G328,'Gross Dx Plant'!$E$5:$AD$5,0))</f>
        <v>78161</v>
      </c>
      <c r="CF328" s="118">
        <f>INDEX('Gross Gen Plant'!$E$7:$AD$91,MATCH($C328,'Gross Gen Plant'!$D$7:$D$91,0),MATCH(Calculation!$G328,'Gross Gen Plant'!$E$5:$AD$5,0))</f>
        <v>1451</v>
      </c>
      <c r="CG328" s="118" t="str">
        <f t="shared" si="834"/>
        <v>NA</v>
      </c>
      <c r="CH328" s="118"/>
      <c r="CI328" s="121">
        <v>2002</v>
      </c>
      <c r="CJ328" s="118"/>
      <c r="CK328" s="118"/>
      <c r="CL328" s="118"/>
      <c r="CM328" s="183"/>
      <c r="CN328" s="118">
        <f t="shared" si="898"/>
        <v>2006</v>
      </c>
      <c r="CO328" s="118">
        <f t="shared" si="899"/>
        <v>5.5514326354043986</v>
      </c>
      <c r="CP328" s="186">
        <v>0.97916666666666663</v>
      </c>
      <c r="CQ328" s="118">
        <f>+CQ324*CP328+CO325*CP327+CO326*CP326+CO327*CP325+CO328</f>
        <v>234.97940758273128</v>
      </c>
      <c r="CR328" s="119">
        <f t="shared" si="900"/>
        <v>1.8194483978206971E-2</v>
      </c>
      <c r="CS328" s="119"/>
      <c r="CT328" s="177">
        <f t="shared" si="901"/>
        <v>5.6979581340384378E-3</v>
      </c>
      <c r="CU328" s="177">
        <f t="shared" ref="CU328:CU347" si="909">+(CT328+CT327+CT326)/3</f>
        <v>5.3090912334178174E-3</v>
      </c>
      <c r="CV328" s="119">
        <f>VLOOKUP($H328,RoR!$E:$F,2,FALSE)</f>
        <v>6.4916666666666664E-2</v>
      </c>
      <c r="CW328" s="177">
        <v>1.5246423291824351E-2</v>
      </c>
      <c r="CX328" s="177">
        <f t="shared" si="907"/>
        <v>4.9670243374842313E-2</v>
      </c>
      <c r="CY328" s="177">
        <f t="shared" ref="CY328:CY347" si="910">+$CX$35-CU328</f>
        <v>2.5592850375115807E-2</v>
      </c>
      <c r="CZ328" s="177">
        <f t="shared" ref="CZ328:CZ347" si="911">+((DM326/DM325-1)+(DM327/DM326-1)+(DM328/DM327-1))/3</f>
        <v>2.5243621214759093E-2</v>
      </c>
      <c r="DA328" s="187">
        <f t="shared" si="902"/>
        <v>0.84439937500000006</v>
      </c>
      <c r="DB328" s="188">
        <f t="shared" si="903"/>
        <v>0.78996741384417901</v>
      </c>
      <c r="DC328" s="188">
        <f t="shared" si="904"/>
        <v>0.58989088575096271</v>
      </c>
      <c r="DD328" s="188">
        <f t="shared" si="905"/>
        <v>0.91920675783645744</v>
      </c>
      <c r="DE328" s="188">
        <f t="shared" si="906"/>
        <v>0.42834536472275586</v>
      </c>
      <c r="DF328" s="189">
        <f>INDEX('State Tax Lookup'!$D$7:$Z$91,MATCH(Calculation!$C328,'State Tax Lookup'!$B$7:$B$91,0),MATCH($H328,'State Tax Lookup'!$D$6:$Z$6,0))</f>
        <v>0.414935</v>
      </c>
      <c r="DG328" s="189">
        <v>0.375</v>
      </c>
      <c r="DH328" s="190">
        <f t="shared" si="908"/>
        <v>13.310709450680269</v>
      </c>
      <c r="DI328" s="190"/>
      <c r="DJ328" s="177"/>
      <c r="DK328" s="189">
        <f>VLOOKUP($H328,RoR!$E:$F,2,FALSE)</f>
        <v>6.4916666666666664E-2</v>
      </c>
      <c r="DL328" s="191">
        <f>HLOOKUP($H328,'GDP-PI'!$D$8:$CQ$11,3,FALSE)</f>
        <v>1.5246423291824351E-2</v>
      </c>
      <c r="DM328" s="189">
        <f>VLOOKUP(H328,'HW Dx Data'!$E:$F,2,FALSE)</f>
        <v>361.34816573413599</v>
      </c>
      <c r="DN328" s="183">
        <f>VLOOKUP(H328,'ECI - Input Price'!$G$17:$H$37,2,FALSE)</f>
        <v>89.275000000000006</v>
      </c>
      <c r="DO328" s="177">
        <f>LN(DN328/DN327)</f>
        <v>3.5051315810864674E-2</v>
      </c>
      <c r="DP328" s="183">
        <f>HLOOKUP(H328,'GDP-PI'!$8:$9,2,FALSE)</f>
        <v>81.039000000000001</v>
      </c>
      <c r="DQ328" s="177">
        <f>LN(DP328/DP327)</f>
        <v>1.513136459537477E-2</v>
      </c>
    </row>
    <row r="329" spans="1:121" s="167" customFormat="1" ht="21" x14ac:dyDescent="0.35">
      <c r="A329" s="167" t="s">
        <v>46</v>
      </c>
      <c r="B329" s="168" t="s">
        <v>46</v>
      </c>
      <c r="C329" s="168">
        <v>4088325</v>
      </c>
      <c r="D329" s="168" t="s">
        <v>334</v>
      </c>
      <c r="E329" s="168"/>
      <c r="F329" s="168"/>
      <c r="G329" s="168" t="s">
        <v>9</v>
      </c>
      <c r="H329" s="169">
        <v>2003</v>
      </c>
      <c r="I329" s="170"/>
      <c r="J329" s="166"/>
      <c r="K329" s="166"/>
      <c r="L329" s="166"/>
      <c r="M329" s="172"/>
      <c r="N329" s="196"/>
      <c r="O329" s="172"/>
      <c r="P329" s="166"/>
      <c r="Q329" s="166"/>
      <c r="R329" s="166"/>
      <c r="S329" s="166"/>
      <c r="T329" s="166"/>
      <c r="U329" s="166"/>
      <c r="V329" s="166">
        <f t="shared" si="896"/>
        <v>3175.5044322106723</v>
      </c>
      <c r="W329" s="170"/>
      <c r="X329" s="174">
        <v>236.26602211129978</v>
      </c>
      <c r="Y329" s="175">
        <v>5.4604995376766581E-3</v>
      </c>
      <c r="Z329" s="175"/>
      <c r="AA329" s="175"/>
      <c r="AB329" s="175"/>
      <c r="AC329" s="170">
        <f t="shared" si="882"/>
        <v>3175.5044322106723</v>
      </c>
      <c r="AD329" s="175"/>
      <c r="AE329" s="170"/>
      <c r="AF329" s="170"/>
      <c r="AG329" s="174"/>
      <c r="AH329" s="175"/>
      <c r="AI329" s="175"/>
      <c r="AJ329" s="174"/>
      <c r="AK329" s="174"/>
      <c r="AL329" s="120"/>
      <c r="AM329" s="120"/>
      <c r="AN329" s="120"/>
      <c r="AO329" s="120"/>
      <c r="AP329" s="120"/>
      <c r="AQ329" s="175"/>
      <c r="AR329" s="120"/>
      <c r="AS329" s="120"/>
      <c r="AT329" s="120"/>
      <c r="AU329" s="120"/>
      <c r="AV329" s="120"/>
      <c r="AW329" s="120"/>
      <c r="AX329" s="120"/>
      <c r="AY329" s="120"/>
      <c r="AZ329" s="118">
        <f>IFERROR(INDEX('Total Customers'!$F$7:$AB$91,MATCH($C329,'Total Customers'!$D$7:$D$91,0),MATCH($G329,'Total Customers'!$F$5:$AB$5,0)),"NA")</f>
        <v>32119</v>
      </c>
      <c r="BA329" s="119">
        <f t="shared" si="897"/>
        <v>1.4020222569827397E-3</v>
      </c>
      <c r="BB329" s="119"/>
      <c r="BC329" s="121"/>
      <c r="BD329" s="119"/>
      <c r="BE329" s="119"/>
      <c r="BF329" s="119"/>
      <c r="BG329" s="173"/>
      <c r="BH329" s="173"/>
      <c r="BI329" s="173"/>
      <c r="BJ329" s="173"/>
      <c r="BK329" s="173"/>
      <c r="BL329" s="173"/>
      <c r="BM329" s="173"/>
      <c r="BN329" s="173"/>
      <c r="BO329" s="173"/>
      <c r="BP329" s="173"/>
      <c r="BQ329" s="118"/>
      <c r="BR329" s="118"/>
      <c r="BS329" s="118">
        <f>INDEX('Dist. Plant Gas Additions'!$F$7:$AE$91,MATCH($C329,'Dist. Plant Gas Additions'!$D$7:$D$91,0),MATCH(Calculation!$G329,'Dist. Plant Gas Additions'!$F$5:$AE$5,0))</f>
        <v>943</v>
      </c>
      <c r="BT329" s="118">
        <f>INDEX('Gen. Plant Additions'!$F$7:$AE$91,MATCH($C329,'Gen. Plant Additions'!$D$7:$D$91,0),MATCH(Calculation!$G329,'Gen. Plant Additions'!$F$5:$AE$5,0))</f>
        <v>24</v>
      </c>
      <c r="BU329" s="118"/>
      <c r="BV329" s="118"/>
      <c r="BW329" s="118">
        <f>INDEX('Dist Plant Depreciation'!$E$7:$AD$94,MATCH($C329,'Dist Plant Depreciation'!$D$7:$D$94,0),MATCH(Calculation!$G329,'Dist Plant Depreciation'!$E$5:$AD$5,0))</f>
        <v>35195</v>
      </c>
      <c r="BX329" s="118">
        <f>INDEX('Gen. Plant Depreciation'!$E$7:$AD$94,MATCH($C329,'Gen. Plant Depreciation'!$D$7:$D$94,0),MATCH(Calculation!$G329,'Gen. Plant Depreciation'!$E$5:$AD$5,0))</f>
        <v>213</v>
      </c>
      <c r="BY329" s="118"/>
      <c r="BZ329" s="118"/>
      <c r="CA329" s="118"/>
      <c r="CB329" s="118"/>
      <c r="CC329" s="118"/>
      <c r="CD329" s="118"/>
      <c r="CE329" s="118">
        <f>INDEX('Gross Dx Plant'!$E$7:$AD$91,MATCH($C329,'Gross Dx Plant'!$D$7:$D$91,0),MATCH(Calculation!$G329,'Gross Dx Plant'!$E$5:$AD$5,0))</f>
        <v>78141</v>
      </c>
      <c r="CF329" s="118">
        <f>INDEX('Gross Gen Plant'!$E$7:$AD$91,MATCH($C329,'Gross Gen Plant'!$D$7:$D$91,0),MATCH(Calculation!$G329,'Gross Gen Plant'!$E$5:$AD$5,0))</f>
        <v>1429</v>
      </c>
      <c r="CG329" s="118">
        <f t="shared" si="834"/>
        <v>44162</v>
      </c>
      <c r="CH329" s="118"/>
      <c r="CI329" s="121">
        <v>2003</v>
      </c>
      <c r="CJ329" s="118"/>
      <c r="CK329" s="118"/>
      <c r="CL329" s="118"/>
      <c r="CM329" s="183"/>
      <c r="CN329" s="118">
        <f t="shared" si="898"/>
        <v>967</v>
      </c>
      <c r="CO329" s="118">
        <f t="shared" si="899"/>
        <v>2.6189424328483892</v>
      </c>
      <c r="CP329" s="186">
        <v>0.97354497354497349</v>
      </c>
      <c r="CQ329" s="118">
        <f>+CQ324*CP329+CO325*CP328+CO326*CP327+CO327*CP326+CO328*CP325+CO329</f>
        <v>236.26602211129978</v>
      </c>
      <c r="CR329" s="119">
        <f t="shared" si="900"/>
        <v>5.4604995376766581E-3</v>
      </c>
      <c r="CS329" s="119"/>
      <c r="CT329" s="177">
        <f t="shared" si="901"/>
        <v>5.6699772885877775E-3</v>
      </c>
      <c r="CU329" s="177">
        <f t="shared" si="909"/>
        <v>5.4846724345751592E-3</v>
      </c>
      <c r="CV329" s="119">
        <f>VLOOKUP($H329,RoR!$E:$F,2,FALSE)</f>
        <v>5.6666666666666671E-2</v>
      </c>
      <c r="CW329" s="177">
        <v>1.8855119140166909E-2</v>
      </c>
      <c r="CX329" s="177">
        <f t="shared" si="907"/>
        <v>3.7811547526499761E-2</v>
      </c>
      <c r="CY329" s="177">
        <f t="shared" si="910"/>
        <v>2.5417269173958465E-2</v>
      </c>
      <c r="CZ329" s="177">
        <f t="shared" si="911"/>
        <v>2.1375012817671957E-2</v>
      </c>
      <c r="DA329" s="187">
        <f t="shared" si="902"/>
        <v>0.84439937500000006</v>
      </c>
      <c r="DB329" s="188">
        <f t="shared" si="903"/>
        <v>0.90497737556561086</v>
      </c>
      <c r="DC329" s="188">
        <f t="shared" si="904"/>
        <v>0.5338235294117647</v>
      </c>
      <c r="DD329" s="188">
        <f t="shared" si="905"/>
        <v>0.88972433127405692</v>
      </c>
      <c r="DE329" s="188">
        <f t="shared" si="906"/>
        <v>0.42982423775949252</v>
      </c>
      <c r="DF329" s="189">
        <f>INDEX('State Tax Lookup'!$D$7:$Z$91,MATCH(Calculation!$C329,'State Tax Lookup'!$B$7:$B$91,0),MATCH($H329,'State Tax Lookup'!$D$6:$Z$6,0))</f>
        <v>0.414935</v>
      </c>
      <c r="DG329" s="189">
        <v>0.375</v>
      </c>
      <c r="DH329" s="190">
        <f t="shared" si="908"/>
        <v>13.513969010636153</v>
      </c>
      <c r="DI329" s="190"/>
      <c r="DJ329" s="177"/>
      <c r="DK329" s="189">
        <f>VLOOKUP($H329,RoR!$E:$F,2,FALSE)</f>
        <v>5.6666666666666671E-2</v>
      </c>
      <c r="DL329" s="191">
        <f>HLOOKUP($H329,'GDP-PI'!$D$8:$CQ$11,3,FALSE)</f>
        <v>1.8855119140166909E-2</v>
      </c>
      <c r="DM329" s="189">
        <f>VLOOKUP(H329,'HW Dx Data'!$E:$F,2,FALSE)</f>
        <v>369.23301095560191</v>
      </c>
      <c r="DN329" s="183">
        <f>VLOOKUP(H329,'ECI - Input Price'!$G$17:$H$37,2,FALSE)</f>
        <v>92.625</v>
      </c>
      <c r="DO329" s="177">
        <f t="shared" ref="DO329" si="912">LN(DN329/DN328)</f>
        <v>3.6837590135738785E-2</v>
      </c>
      <c r="DP329" s="183">
        <f>HLOOKUP(H329,'GDP-PI'!$8:$9,2,FALSE)</f>
        <v>82.566999999999993</v>
      </c>
      <c r="DQ329" s="177">
        <f t="shared" ref="DQ329" si="913">LN(DP329/DP328)</f>
        <v>1.8679564681853753E-2</v>
      </c>
    </row>
    <row r="330" spans="1:121" s="167" customFormat="1" ht="21" x14ac:dyDescent="0.35">
      <c r="A330" s="167" t="s">
        <v>46</v>
      </c>
      <c r="B330" s="168" t="s">
        <v>46</v>
      </c>
      <c r="C330" s="168">
        <v>4088325</v>
      </c>
      <c r="D330" s="168" t="s">
        <v>334</v>
      </c>
      <c r="E330" s="168"/>
      <c r="F330" s="168"/>
      <c r="G330" s="168" t="s">
        <v>10</v>
      </c>
      <c r="H330" s="169">
        <v>2004</v>
      </c>
      <c r="I330" s="170"/>
      <c r="J330" s="166">
        <f>IFERROR(INDEX('Labor Expenditures'!$F$7:$X$91,MATCH($C330,'Labor Expenditures'!$D$7:$D$91,0),MATCH($G330,'Labor Expenditures'!$F$5:$X$5,0)),"NA")</f>
        <v>2834.6657903603973</v>
      </c>
      <c r="K330" s="166">
        <f t="shared" ref="K330:K347" si="914">+J330/DN330</f>
        <v>29.474039930963322</v>
      </c>
      <c r="L330" s="172"/>
      <c r="M330" s="172"/>
      <c r="N330" s="196"/>
      <c r="O330" s="172"/>
      <c r="P330" s="166">
        <f>IFERROR(INDEX('Non-Labor Expenditures'!$F$7:$AB$91,MATCH($C330,'Non-Labor Expenditures'!$D$7:$D$91,0),MATCH($G330,'Non-Labor Expenditures'!$F$5:$AB$5,0)),"NA")</f>
        <v>4105.1255069804574</v>
      </c>
      <c r="Q330" s="166">
        <f t="shared" ref="Q330:Q347" si="915">+P330/DP330</f>
        <v>48.4220612302774</v>
      </c>
      <c r="R330" s="166"/>
      <c r="S330" s="166"/>
      <c r="T330" s="166"/>
      <c r="U330" s="166"/>
      <c r="V330" s="166">
        <f t="shared" si="896"/>
        <v>3539.5803741041786</v>
      </c>
      <c r="W330" s="170"/>
      <c r="X330" s="174">
        <v>242.53058820602524</v>
      </c>
      <c r="Y330" s="175">
        <v>2.6169456820194413E-2</v>
      </c>
      <c r="Z330" s="175"/>
      <c r="AA330" s="175"/>
      <c r="AB330" s="175"/>
      <c r="AC330" s="170">
        <f t="shared" si="882"/>
        <v>10479.371671445033</v>
      </c>
      <c r="AD330" s="175"/>
      <c r="AE330" s="170"/>
      <c r="AF330" s="170"/>
      <c r="AG330" s="174"/>
      <c r="AH330" s="175"/>
      <c r="AI330" s="175"/>
      <c r="AJ330" s="174"/>
      <c r="AK330" s="174"/>
      <c r="AL330" s="120">
        <f t="shared" ref="AL330:AL347" si="916">+J330/AC330</f>
        <v>0.27049959474998908</v>
      </c>
      <c r="AM330" s="120">
        <f t="shared" ref="AM330:AM347" si="917">+P330/AC330</f>
        <v>0.39173393555325525</v>
      </c>
      <c r="AN330" s="120">
        <f t="shared" ref="AN330:AN347" si="918">+V330/AC330</f>
        <v>0.33776646969675567</v>
      </c>
      <c r="AO330" s="120"/>
      <c r="AP330" s="120"/>
      <c r="AQ330" s="175"/>
      <c r="AR330" s="120"/>
      <c r="AS330" s="120"/>
      <c r="AT330" s="120"/>
      <c r="AU330" s="120"/>
      <c r="AV330" s="120"/>
      <c r="AW330" s="120"/>
      <c r="AX330" s="120"/>
      <c r="AY330" s="120"/>
      <c r="AZ330" s="118">
        <f>IFERROR(INDEX('Total Customers'!$F$7:$AB$91,MATCH($C330,'Total Customers'!$D$7:$D$91,0),MATCH($G330,'Total Customers'!$F$5:$AB$5,0)),"NA")</f>
        <v>32391</v>
      </c>
      <c r="BA330" s="119">
        <f t="shared" si="897"/>
        <v>8.432851089513152E-3</v>
      </c>
      <c r="BB330" s="119"/>
      <c r="BC330" s="121"/>
      <c r="BD330" s="119"/>
      <c r="BE330" s="119"/>
      <c r="BF330" s="119"/>
      <c r="BG330" s="173"/>
      <c r="BH330" s="173"/>
      <c r="BI330" s="173"/>
      <c r="BJ330" s="173"/>
      <c r="BK330" s="173"/>
      <c r="BL330" s="173"/>
      <c r="BM330" s="173"/>
      <c r="BN330" s="173"/>
      <c r="BO330" s="173"/>
      <c r="BP330" s="173"/>
      <c r="BQ330" s="118"/>
      <c r="BR330" s="118"/>
      <c r="BS330" s="118">
        <f>INDEX('Dist. Plant Gas Additions'!$F$7:$AE$91,MATCH($C330,'Dist. Plant Gas Additions'!$D$7:$D$91,0),MATCH(Calculation!$G330,'Dist. Plant Gas Additions'!$F$5:$AE$5,0))</f>
        <v>3107</v>
      </c>
      <c r="BT330" s="118">
        <f>INDEX('Gen. Plant Additions'!$F$7:$AE$91,MATCH($C330,'Gen. Plant Additions'!$D$7:$D$91,0),MATCH(Calculation!$G330,'Gen. Plant Additions'!$F$5:$AE$5,0))</f>
        <v>68</v>
      </c>
      <c r="BU330" s="118"/>
      <c r="BV330" s="118"/>
      <c r="BW330" s="118">
        <f>INDEX('Dist Plant Depreciation'!$E$7:$AD$94,MATCH($C330,'Dist Plant Depreciation'!$D$7:$D$94,0),MATCH(Calculation!$G330,'Dist Plant Depreciation'!$E$5:$AD$5,0))</f>
        <v>36733</v>
      </c>
      <c r="BX330" s="118">
        <f>INDEX('Gen. Plant Depreciation'!$E$7:$AD$94,MATCH($C330,'Gen. Plant Depreciation'!$D$7:$D$94,0),MATCH(Calculation!$G330,'Gen. Plant Depreciation'!$E$5:$AD$5,0))</f>
        <v>212</v>
      </c>
      <c r="BY330" s="118"/>
      <c r="BZ330" s="118"/>
      <c r="CA330" s="118"/>
      <c r="CB330" s="118"/>
      <c r="CC330" s="118"/>
      <c r="CD330" s="118"/>
      <c r="CE330" s="118">
        <f>INDEX('Gross Dx Plant'!$E$7:$AD$91,MATCH($C330,'Gross Dx Plant'!$D$7:$D$91,0),MATCH(Calculation!$G330,'Gross Dx Plant'!$E$5:$AD$5,0))</f>
        <v>80498</v>
      </c>
      <c r="CF330" s="118">
        <f>INDEX('Gross Gen Plant'!$E$7:$AD$91,MATCH($C330,'Gross Gen Plant'!$D$7:$D$91,0),MATCH(Calculation!$G330,'Gross Gen Plant'!$E$5:$AD$5,0))</f>
        <v>1487</v>
      </c>
      <c r="CG330" s="118">
        <f t="shared" si="834"/>
        <v>45040</v>
      </c>
      <c r="CH330" s="118"/>
      <c r="CI330" s="121">
        <v>2004</v>
      </c>
      <c r="CJ330" s="118"/>
      <c r="CK330" s="118"/>
      <c r="CL330" s="118"/>
      <c r="CM330" s="183"/>
      <c r="CN330" s="118">
        <f t="shared" si="898"/>
        <v>3175</v>
      </c>
      <c r="CO330" s="118">
        <f t="shared" si="899"/>
        <v>7.652682623561847</v>
      </c>
      <c r="CP330" s="186">
        <v>0.967741935483871</v>
      </c>
      <c r="CQ330" s="118">
        <f>+CQ324*CP330+CO325*CP329+CO326*CP328+CO327*CP327+CO328*CP326+CO329*CP325+CO330</f>
        <v>242.53058820602524</v>
      </c>
      <c r="CR330" s="119">
        <f t="shared" si="900"/>
        <v>2.6169456820194413E-2</v>
      </c>
      <c r="CS330" s="119"/>
      <c r="CT330" s="177">
        <f t="shared" si="901"/>
        <v>5.8752270700290063E-3</v>
      </c>
      <c r="CU330" s="177">
        <f t="shared" si="909"/>
        <v>5.7477208308850739E-3</v>
      </c>
      <c r="CV330" s="119">
        <f>VLOOKUP($H330,RoR!$E:$F,2,FALSE)</f>
        <v>5.6283333333333331E-2</v>
      </c>
      <c r="CW330" s="177">
        <v>2.6778252812867276E-2</v>
      </c>
      <c r="CX330" s="177">
        <f t="shared" si="907"/>
        <v>2.9505080520466055E-2</v>
      </c>
      <c r="CY330" s="177">
        <f t="shared" si="910"/>
        <v>2.5154220777648551E-2</v>
      </c>
      <c r="CZ330" s="177">
        <f t="shared" si="911"/>
        <v>5.5940039414565046E-2</v>
      </c>
      <c r="DA330" s="187">
        <f t="shared" si="902"/>
        <v>0.84439937500000006</v>
      </c>
      <c r="DB330" s="188">
        <f t="shared" si="903"/>
        <v>0.91114097628755619</v>
      </c>
      <c r="DC330" s="188">
        <f t="shared" si="904"/>
        <v>0.53081877405981637</v>
      </c>
      <c r="DD330" s="188">
        <f t="shared" si="905"/>
        <v>0.88811215519385678</v>
      </c>
      <c r="DE330" s="188">
        <f t="shared" si="906"/>
        <v>0.42953609753547711</v>
      </c>
      <c r="DF330" s="189">
        <f>INDEX('State Tax Lookup'!$D$7:$Z$91,MATCH(Calculation!$C330,'State Tax Lookup'!$B$7:$B$91,0),MATCH($H330,'State Tax Lookup'!$D$6:$Z$6,0))</f>
        <v>0.414935</v>
      </c>
      <c r="DG330" s="189">
        <v>0.375</v>
      </c>
      <c r="DH330" s="190">
        <f t="shared" si="908"/>
        <v>14.981334778797603</v>
      </c>
      <c r="DI330" s="190"/>
      <c r="DJ330" s="177"/>
      <c r="DK330" s="189">
        <f>VLOOKUP($H330,RoR!$E:$F,2,FALSE)</f>
        <v>5.6283333333333331E-2</v>
      </c>
      <c r="DL330" s="191">
        <f>HLOOKUP($H330,'GDP-PI'!$D$8:$CQ$11,3,FALSE)</f>
        <v>2.6778252812867276E-2</v>
      </c>
      <c r="DM330" s="189">
        <f>VLOOKUP(H330,'HW Dx Data'!$E:$F,2,FALSE)</f>
        <v>414.88719135228365</v>
      </c>
      <c r="DN330" s="183">
        <f>VLOOKUP(H330,'ECI - Input Price'!$G$17:$H$37,2,FALSE)</f>
        <v>96.174999999999997</v>
      </c>
      <c r="DO330" s="177">
        <f t="shared" ref="DO330" si="919">LN(DN330/DN329)</f>
        <v>3.7610365022107912E-2</v>
      </c>
      <c r="DP330" s="183">
        <f>HLOOKUP(H330,'GDP-PI'!$8:$9,2,FALSE)</f>
        <v>84.778000000000006</v>
      </c>
      <c r="DQ330" s="177">
        <f t="shared" ref="DQ330" si="920">LN(DP330/DP329)</f>
        <v>2.6425990216022755E-2</v>
      </c>
    </row>
    <row r="331" spans="1:121" s="167" customFormat="1" ht="21" x14ac:dyDescent="0.35">
      <c r="A331" s="167" t="s">
        <v>46</v>
      </c>
      <c r="B331" s="168" t="s">
        <v>46</v>
      </c>
      <c r="C331" s="168">
        <v>4088325</v>
      </c>
      <c r="D331" s="168" t="s">
        <v>334</v>
      </c>
      <c r="E331" s="168"/>
      <c r="F331" s="168"/>
      <c r="G331" s="168" t="s">
        <v>11</v>
      </c>
      <c r="H331" s="169">
        <v>2005</v>
      </c>
      <c r="I331" s="170"/>
      <c r="J331" s="166">
        <f>IFERROR(INDEX('Labor Expenditures'!$F$7:$X$91,MATCH($C331,'Labor Expenditures'!$D$7:$D$91,0),MATCH($G331,'Labor Expenditures'!$F$5:$X$5,0)),"NA")</f>
        <v>3099.5316322556978</v>
      </c>
      <c r="K331" s="166">
        <f t="shared" si="914"/>
        <v>31.261035121086209</v>
      </c>
      <c r="L331" s="172">
        <f t="shared" ref="L331:L347" si="921">LN(K331/K330)</f>
        <v>5.886256414742843E-2</v>
      </c>
      <c r="M331" s="172"/>
      <c r="N331" s="196"/>
      <c r="O331" s="172"/>
      <c r="P331" s="166">
        <f>IFERROR(INDEX('Non-Labor Expenditures'!$F$7:$AB$91,MATCH($C331,'Non-Labor Expenditures'!$D$7:$D$91,0),MATCH($G331,'Non-Labor Expenditures'!$F$5:$AB$5,0)),"NA")</f>
        <v>4488.700716160236</v>
      </c>
      <c r="Q331" s="166">
        <f t="shared" si="915"/>
        <v>51.354018741751077</v>
      </c>
      <c r="R331" s="172">
        <f>LN(Q331/Q330)</f>
        <v>5.8787674664141178E-2</v>
      </c>
      <c r="S331" s="172"/>
      <c r="T331" s="172"/>
      <c r="U331" s="172"/>
      <c r="V331" s="166">
        <f t="shared" si="896"/>
        <v>4078.8207056188348</v>
      </c>
      <c r="W331" s="170"/>
      <c r="X331" s="174">
        <v>249.3945256210161</v>
      </c>
      <c r="Y331" s="175">
        <v>2.7908243453613198E-2</v>
      </c>
      <c r="Z331" s="175"/>
      <c r="AA331" s="175"/>
      <c r="AB331" s="175"/>
      <c r="AC331" s="170">
        <f t="shared" si="882"/>
        <v>11667.053054034768</v>
      </c>
      <c r="AD331" s="175">
        <f>LN(AC331/AC330)</f>
        <v>0.10736016910941509</v>
      </c>
      <c r="AE331" s="170"/>
      <c r="AF331" s="170"/>
      <c r="AG331" s="121"/>
      <c r="AH331" s="119"/>
      <c r="AI331" s="119"/>
      <c r="AJ331" s="121"/>
      <c r="AK331" s="121"/>
      <c r="AL331" s="120">
        <f t="shared" si="916"/>
        <v>0.26566534135917036</v>
      </c>
      <c r="AM331" s="120">
        <f t="shared" si="917"/>
        <v>0.38473303372936385</v>
      </c>
      <c r="AN331" s="120">
        <f t="shared" si="918"/>
        <v>0.34960162491146585</v>
      </c>
      <c r="AO331" s="120">
        <f t="shared" ref="AO331:AO347" si="922">+(((AL331+AL330)/2)*L331+((AM330+AM331)/2)*R331+((AN330+AN331)/2)*Y331)</f>
        <v>4.8194983324769028E-2</v>
      </c>
      <c r="AP331" s="173">
        <v>100</v>
      </c>
      <c r="AQ331" s="175"/>
      <c r="AR331" s="120"/>
      <c r="AS331" s="120"/>
      <c r="AT331" s="120"/>
      <c r="AU331" s="120"/>
      <c r="AV331" s="120"/>
      <c r="AW331" s="120"/>
      <c r="AX331" s="120"/>
      <c r="AY331" s="120"/>
      <c r="AZ331" s="118">
        <f>IFERROR(INDEX('Total Customers'!$F$7:$AB$91,MATCH($C331,'Total Customers'!$D$7:$D$91,0),MATCH($G331,'Total Customers'!$F$5:$AB$5,0)),"NA")</f>
        <v>32794</v>
      </c>
      <c r="BA331" s="119">
        <f t="shared" si="897"/>
        <v>1.2364965394563559E-2</v>
      </c>
      <c r="BB331" s="119"/>
      <c r="BC331" s="121"/>
      <c r="BD331" s="119"/>
      <c r="BE331" s="119"/>
      <c r="BF331" s="119"/>
      <c r="BG331" s="173"/>
      <c r="BH331" s="173"/>
      <c r="BI331" s="173"/>
      <c r="BJ331" s="173"/>
      <c r="BK331" s="173"/>
      <c r="BL331" s="173"/>
      <c r="BM331" s="173"/>
      <c r="BN331" s="173"/>
      <c r="BO331" s="173"/>
      <c r="BP331" s="173"/>
      <c r="BQ331" s="118"/>
      <c r="BR331" s="118"/>
      <c r="BS331" s="118">
        <f>INDEX('Dist. Plant Gas Additions'!$F$7:$AE$91,MATCH($C331,'Dist. Plant Gas Additions'!$D$7:$D$91,0),MATCH(Calculation!$G331,'Dist. Plant Gas Additions'!$F$5:$AE$5,0))</f>
        <v>3900</v>
      </c>
      <c r="BT331" s="118">
        <f>INDEX('Gen. Plant Additions'!$F$7:$AE$91,MATCH($C331,'Gen. Plant Additions'!$D$7:$D$91,0),MATCH(Calculation!$G331,'Gen. Plant Additions'!$F$5:$AE$5,0))</f>
        <v>11</v>
      </c>
      <c r="BU331" s="118"/>
      <c r="BV331" s="118"/>
      <c r="BW331" s="118">
        <f>INDEX('Dist Plant Depreciation'!$E$7:$AD$94,MATCH($C331,'Dist Plant Depreciation'!$D$7:$D$94,0),MATCH(Calculation!$G331,'Dist Plant Depreciation'!$E$5:$AD$5,0))</f>
        <v>38321</v>
      </c>
      <c r="BX331" s="118">
        <f>INDEX('Gen. Plant Depreciation'!$E$7:$AD$94,MATCH($C331,'Gen. Plant Depreciation'!$D$7:$D$94,0),MATCH(Calculation!$G331,'Gen. Plant Depreciation'!$E$5:$AD$5,0))</f>
        <v>222</v>
      </c>
      <c r="BY331" s="118"/>
      <c r="BZ331" s="118"/>
      <c r="CA331" s="118"/>
      <c r="CB331" s="118"/>
      <c r="CC331" s="118"/>
      <c r="CD331" s="118"/>
      <c r="CE331" s="118">
        <f>INDEX('Gross Dx Plant'!$E$7:$AD$91,MATCH($C331,'Gross Dx Plant'!$D$7:$D$91,0),MATCH(Calculation!$G331,'Gross Dx Plant'!$E$5:$AD$5,0))</f>
        <v>83915</v>
      </c>
      <c r="CF331" s="118">
        <f>INDEX('Gross Gen Plant'!$E$7:$AD$91,MATCH($C331,'Gross Gen Plant'!$D$7:$D$91,0),MATCH(Calculation!$G331,'Gross Gen Plant'!$E$5:$AD$5,0))</f>
        <v>1459</v>
      </c>
      <c r="CG331" s="118">
        <f t="shared" si="834"/>
        <v>46831</v>
      </c>
      <c r="CH331" s="118"/>
      <c r="CI331" s="121">
        <v>2005</v>
      </c>
      <c r="CJ331" s="118"/>
      <c r="CK331" s="118"/>
      <c r="CL331" s="118"/>
      <c r="CM331" s="183"/>
      <c r="CN331" s="118">
        <f t="shared" si="898"/>
        <v>3911</v>
      </c>
      <c r="CO331" s="118">
        <f t="shared" si="899"/>
        <v>8.3353733019376826</v>
      </c>
      <c r="CP331" s="186">
        <v>0.96174863387978138</v>
      </c>
      <c r="CQ331" s="118">
        <f>+CQ324*CP331+CO325*CP330+CO326*CP329+CO327*CP328+CO328*CP327+CO329*CP326+CO330*CP325+CO331</f>
        <v>249.3945256210161</v>
      </c>
      <c r="CR331" s="119">
        <f t="shared" si="900"/>
        <v>2.7908243453613198E-2</v>
      </c>
      <c r="CS331" s="119"/>
      <c r="CT331" s="177">
        <f t="shared" si="901"/>
        <v>6.0670115791615839E-3</v>
      </c>
      <c r="CU331" s="177">
        <f t="shared" si="909"/>
        <v>5.8707386459261228E-3</v>
      </c>
      <c r="CV331" s="119">
        <f>VLOOKUP($H331,RoR!$E:$F,2,FALSE)</f>
        <v>5.2350000000000001E-2</v>
      </c>
      <c r="CW331" s="177">
        <v>3.1010403642454332E-2</v>
      </c>
      <c r="CX331" s="177">
        <f t="shared" si="907"/>
        <v>2.1339596357545669E-2</v>
      </c>
      <c r="CY331" s="177">
        <f t="shared" si="910"/>
        <v>2.5031202962607503E-2</v>
      </c>
      <c r="CZ331" s="177">
        <f t="shared" si="911"/>
        <v>9.2129610649277341E-2</v>
      </c>
      <c r="DA331" s="187">
        <f t="shared" si="902"/>
        <v>0.84439937500000006</v>
      </c>
      <c r="DB331" s="188">
        <f t="shared" si="903"/>
        <v>0.97959983346802826</v>
      </c>
      <c r="DC331" s="188">
        <f t="shared" si="904"/>
        <v>0.49744508118433622</v>
      </c>
      <c r="DD331" s="188">
        <f t="shared" si="905"/>
        <v>0.87010519444335932</v>
      </c>
      <c r="DE331" s="188">
        <f t="shared" si="906"/>
        <v>0.42399975420741998</v>
      </c>
      <c r="DF331" s="189">
        <f>INDEX('State Tax Lookup'!$D$7:$Z$91,MATCH(Calculation!$C331,'State Tax Lookup'!$B$7:$B$91,0),MATCH($H331,'State Tax Lookup'!$D$6:$Z$6,0))</f>
        <v>0.414935</v>
      </c>
      <c r="DG331" s="189">
        <v>0.375</v>
      </c>
      <c r="DH331" s="190">
        <f t="shared" si="908"/>
        <v>16.817757858047795</v>
      </c>
      <c r="DI331" s="190"/>
      <c r="DJ331" s="177"/>
      <c r="DK331" s="189">
        <f>VLOOKUP($H331,RoR!$E:$F,2,FALSE)</f>
        <v>5.2350000000000001E-2</v>
      </c>
      <c r="DL331" s="191">
        <f>HLOOKUP($H331,'GDP-PI'!$D$8:$CQ$11,3,FALSE)</f>
        <v>3.1010403642454332E-2</v>
      </c>
      <c r="DM331" s="189">
        <f>VLOOKUP(H331,'HW Dx Data'!$E:$F,2,FALSE)</f>
        <v>469.20514034936258</v>
      </c>
      <c r="DN331" s="183">
        <f>VLOOKUP(H331,'ECI - Input Price'!$G$17:$H$37,2,FALSE)</f>
        <v>99.15</v>
      </c>
      <c r="DO331" s="177">
        <f t="shared" ref="DO331" si="923">LN(DN331/DN330)</f>
        <v>3.046440632744625E-2</v>
      </c>
      <c r="DP331" s="183">
        <f>HLOOKUP(H331,'GDP-PI'!$8:$9,2,FALSE)</f>
        <v>87.406999999999996</v>
      </c>
      <c r="DQ331" s="177">
        <f t="shared" ref="DQ331" si="924">LN(DP331/DP330)</f>
        <v>3.0539295810733648E-2</v>
      </c>
    </row>
    <row r="332" spans="1:121" s="167" customFormat="1" ht="21" x14ac:dyDescent="0.35">
      <c r="A332" s="167" t="s">
        <v>46</v>
      </c>
      <c r="B332" s="168" t="s">
        <v>46</v>
      </c>
      <c r="C332" s="168">
        <v>4088325</v>
      </c>
      <c r="D332" s="168" t="s">
        <v>334</v>
      </c>
      <c r="E332" s="168"/>
      <c r="F332" s="168"/>
      <c r="G332" s="168" t="s">
        <v>12</v>
      </c>
      <c r="H332" s="169">
        <v>2006</v>
      </c>
      <c r="I332" s="170"/>
      <c r="J332" s="166">
        <f>IFERROR(INDEX('Labor Expenditures'!$F$7:$X$91,MATCH($C332,'Labor Expenditures'!$D$7:$D$91,0),MATCH($G332,'Labor Expenditures'!$F$5:$X$5,0)),"NA")</f>
        <v>3157.6096215471598</v>
      </c>
      <c r="K332" s="166">
        <f t="shared" si="914"/>
        <v>30.941789530104458</v>
      </c>
      <c r="L332" s="172">
        <f t="shared" si="921"/>
        <v>-1.0264755527802434E-2</v>
      </c>
      <c r="M332" s="172">
        <f t="shared" ref="M332:M347" si="925">+L332*AR332</f>
        <v>-1.5257367107562553E-5</v>
      </c>
      <c r="N332" s="196"/>
      <c r="O332" s="172"/>
      <c r="P332" s="166">
        <f>IFERROR(INDEX('Non-Labor Expenditures'!$F$7:$AB$91,MATCH($C332,'Non-Labor Expenditures'!$D$7:$D$91,0),MATCH($G332,'Non-Labor Expenditures'!$F$5:$AB$5,0)),"NA")</f>
        <v>4572.808492126378</v>
      </c>
      <c r="Q332" s="166">
        <f t="shared" si="915"/>
        <v>50.767241291897527</v>
      </c>
      <c r="R332" s="172">
        <f t="shared" ref="R332:R347" si="926">LN(Q332/Q331)</f>
        <v>-1.1491904963208231E-2</v>
      </c>
      <c r="S332" s="172">
        <f>+R332*AR332</f>
        <v>-1.7081382241786869E-5</v>
      </c>
      <c r="T332" s="172"/>
      <c r="U332" s="172"/>
      <c r="V332" s="166">
        <f t="shared" si="896"/>
        <v>4093.0793993225661</v>
      </c>
      <c r="W332" s="170"/>
      <c r="X332" s="174">
        <v>256.12427150858309</v>
      </c>
      <c r="Y332" s="175">
        <v>2.6626679465610505E-2</v>
      </c>
      <c r="Z332" s="175">
        <f>+Y332*AR332</f>
        <v>3.95774670289874E-5</v>
      </c>
      <c r="AA332" s="175"/>
      <c r="AB332" s="175"/>
      <c r="AC332" s="170">
        <f t="shared" si="882"/>
        <v>11823.497512996104</v>
      </c>
      <c r="AD332" s="175">
        <f t="shared" ref="AD332:AD347" si="927">LN(AC332/AC331)</f>
        <v>1.331997490326762E-2</v>
      </c>
      <c r="AE332" s="170"/>
      <c r="AF332" s="170"/>
      <c r="AG332" s="121">
        <f t="shared" ref="AG332:AG347" si="928">+(AC332*1000)/AZ332</f>
        <v>365.79208343891668</v>
      </c>
      <c r="AH332" s="119">
        <f>+AZ332/$BB$44</f>
        <v>9.1945787400619515E-4</v>
      </c>
      <c r="AI332" s="119"/>
      <c r="AJ332" s="176">
        <f>+AH332*AG332</f>
        <v>0.33633041136704306</v>
      </c>
      <c r="AK332" s="176">
        <f>+AI332*AG332</f>
        <v>0</v>
      </c>
      <c r="AL332" s="120">
        <f t="shared" si="916"/>
        <v>0.26706223078885</v>
      </c>
      <c r="AM332" s="120">
        <f t="shared" si="917"/>
        <v>0.38675599052649667</v>
      </c>
      <c r="AN332" s="120">
        <f t="shared" si="918"/>
        <v>0.34618177868465333</v>
      </c>
      <c r="AO332" s="120">
        <f t="shared" si="922"/>
        <v>2.0961024135598069E-3</v>
      </c>
      <c r="AP332" s="173">
        <f>+AP331*EXP(AO332)</f>
        <v>100.20983007719504</v>
      </c>
      <c r="AQ332" s="175">
        <f>LN(AP332/AP331)</f>
        <v>2.0961024135598859E-3</v>
      </c>
      <c r="AR332" s="177">
        <f>+AC332/$AE$44</f>
        <v>1.4863838759956302E-3</v>
      </c>
      <c r="AS332" s="177">
        <f>+AR332*AQ332</f>
        <v>3.1156128299509386E-6</v>
      </c>
      <c r="AT332" s="177"/>
      <c r="AU332" s="177"/>
      <c r="AV332" s="177"/>
      <c r="AW332" s="190"/>
      <c r="AX332" s="120"/>
      <c r="AY332" s="120"/>
      <c r="AZ332" s="118">
        <f>IFERROR(INDEX('Total Customers'!$F$7:$AB$91,MATCH($C332,'Total Customers'!$D$7:$D$91,0),MATCH($G332,'Total Customers'!$F$5:$AB$5,0)),"NA")</f>
        <v>32323</v>
      </c>
      <c r="BA332" s="119">
        <f t="shared" si="897"/>
        <v>-1.4466520700278866E-2</v>
      </c>
      <c r="BB332" s="119"/>
      <c r="BC332" s="121"/>
      <c r="BD332" s="119"/>
      <c r="BE332" s="119"/>
      <c r="BF332" s="119"/>
      <c r="BG332" s="173"/>
      <c r="BH332" s="173"/>
      <c r="BI332" s="173"/>
      <c r="BJ332" s="173"/>
      <c r="BK332" s="173"/>
      <c r="BL332" s="173"/>
      <c r="BM332" s="173"/>
      <c r="BN332" s="173"/>
      <c r="BO332" s="173"/>
      <c r="BP332" s="173"/>
      <c r="BQ332" s="118"/>
      <c r="BR332" s="118"/>
      <c r="BS332" s="118">
        <f>INDEX('Dist. Plant Gas Additions'!$F$7:$AE$91,MATCH($C332,'Dist. Plant Gas Additions'!$D$7:$D$91,0),MATCH(Calculation!$G332,'Dist. Plant Gas Additions'!$F$5:$AE$5,0))</f>
        <v>3823</v>
      </c>
      <c r="BT332" s="118">
        <f>INDEX('Gen. Plant Additions'!$F$7:$AE$91,MATCH($C332,'Gen. Plant Additions'!$D$7:$D$91,0),MATCH(Calculation!$G332,'Gen. Plant Additions'!$F$5:$AE$5,0))</f>
        <v>0</v>
      </c>
      <c r="BU332" s="118"/>
      <c r="BV332" s="118"/>
      <c r="BW332" s="118">
        <f>INDEX('Dist Plant Depreciation'!$E$7:$AD$94,MATCH($C332,'Dist Plant Depreciation'!$D$7:$D$94,0),MATCH(Calculation!$G332,'Dist Plant Depreciation'!$E$5:$AD$5,0))</f>
        <v>40227</v>
      </c>
      <c r="BX332" s="118">
        <f>INDEX('Gen. Plant Depreciation'!$E$7:$AD$94,MATCH($C332,'Gen. Plant Depreciation'!$D$7:$D$94,0),MATCH(Calculation!$G332,'Gen. Plant Depreciation'!$E$5:$AD$5,0))</f>
        <v>251</v>
      </c>
      <c r="BY332" s="118"/>
      <c r="BZ332" s="118"/>
      <c r="CA332" s="118"/>
      <c r="CB332" s="118"/>
      <c r="CC332" s="118"/>
      <c r="CD332" s="118"/>
      <c r="CE332" s="118">
        <f>INDEX('Gross Dx Plant'!$E$7:$AD$91,MATCH($C332,'Gross Dx Plant'!$D$7:$D$91,0),MATCH(Calculation!$G332,'Gross Dx Plant'!$E$5:$AD$5,0))</f>
        <v>87330</v>
      </c>
      <c r="CF332" s="118">
        <f>INDEX('Gross Gen Plant'!$E$7:$AD$91,MATCH($C332,'Gross Gen Plant'!$D$7:$D$91,0),MATCH(Calculation!$G332,'Gross Gen Plant'!$E$5:$AD$5,0))</f>
        <v>1442</v>
      </c>
      <c r="CG332" s="118">
        <f t="shared" si="834"/>
        <v>48294</v>
      </c>
      <c r="CH332" s="119" t="e">
        <f>SUM(#REF!)/15</f>
        <v>#REF!</v>
      </c>
      <c r="CI332" s="121">
        <v>2006</v>
      </c>
      <c r="CJ332" s="118"/>
      <c r="CK332" s="118"/>
      <c r="CL332" s="118"/>
      <c r="CM332" s="183"/>
      <c r="CN332" s="118">
        <f t="shared" si="898"/>
        <v>3823</v>
      </c>
      <c r="CO332" s="118">
        <f t="shared" si="899"/>
        <v>8.2913007844444291</v>
      </c>
      <c r="CP332" s="186">
        <v>0.9555555555555556</v>
      </c>
      <c r="CQ332" s="118">
        <f>+CQ324*CP332+CO325*CP331+CO326*CP330+CO327*CP329+CO328*CP328+CO329*CP327+CO330*CP326+CO331*CP325+CO332</f>
        <v>256.12427150858309</v>
      </c>
      <c r="CR332" s="119">
        <f t="shared" si="900"/>
        <v>2.6626679465610505E-2</v>
      </c>
      <c r="CS332" s="119"/>
      <c r="CT332" s="177">
        <f t="shared" si="901"/>
        <v>6.2613840179090424E-3</v>
      </c>
      <c r="CU332" s="177">
        <f t="shared" si="909"/>
        <v>6.0678742223665436E-3</v>
      </c>
      <c r="CV332" s="119">
        <f>VLOOKUP($H332,RoR!$E:$F,2,FALSE)</f>
        <v>5.5874999999999994E-2</v>
      </c>
      <c r="CW332" s="177">
        <v>3.0512430354548314E-2</v>
      </c>
      <c r="CX332" s="177">
        <f t="shared" si="907"/>
        <v>2.536256964545168E-2</v>
      </c>
      <c r="CY332" s="177">
        <f t="shared" si="910"/>
        <v>2.4834067386167082E-2</v>
      </c>
      <c r="CZ332" s="177">
        <f t="shared" si="911"/>
        <v>7.9087823893859641E-2</v>
      </c>
      <c r="DA332" s="187">
        <f t="shared" si="902"/>
        <v>0.84439937500000006</v>
      </c>
      <c r="DB332" s="188">
        <f t="shared" si="903"/>
        <v>0.91779957551769631</v>
      </c>
      <c r="DC332" s="188">
        <f t="shared" si="904"/>
        <v>0.52757270693512304</v>
      </c>
      <c r="DD332" s="188">
        <f t="shared" si="905"/>
        <v>0.88636824549024895</v>
      </c>
      <c r="DE332" s="188">
        <f t="shared" si="906"/>
        <v>0.42918482841932087</v>
      </c>
      <c r="DF332" s="189">
        <f>INDEX('State Tax Lookup'!$D$7:$Z$91,MATCH(Calculation!$C332,'State Tax Lookup'!$B$7:$B$91,0),MATCH($H332,'State Tax Lookup'!$D$6:$Z$6,0))</f>
        <v>0.414935</v>
      </c>
      <c r="DG332" s="189">
        <v>0.375</v>
      </c>
      <c r="DH332" s="190">
        <f t="shared" si="908"/>
        <v>16.412065939019346</v>
      </c>
      <c r="DI332" s="190">
        <v>15.935226111170044</v>
      </c>
      <c r="DJ332" s="177"/>
      <c r="DK332" s="189">
        <f>VLOOKUP($H332,RoR!$E:$F,2,FALSE)</f>
        <v>5.5874999999999994E-2</v>
      </c>
      <c r="DL332" s="191">
        <f>HLOOKUP($H332,'GDP-PI'!$D$8:$CQ$11,3,FALSE)</f>
        <v>3.0512430354548314E-2</v>
      </c>
      <c r="DM332" s="189">
        <f>VLOOKUP(H332,'HW Dx Data'!$E:$F,2,FALSE)</f>
        <v>461.08567272971823</v>
      </c>
      <c r="DN332" s="183">
        <f>VLOOKUP(H332,'ECI - Input Price'!$G$17:$H$37,2,FALSE)</f>
        <v>102.05</v>
      </c>
      <c r="DO332" s="177">
        <f t="shared" ref="DO332" si="929">LN(DN332/DN331)</f>
        <v>2.8829034290048662E-2</v>
      </c>
      <c r="DP332" s="183">
        <f>HLOOKUP(H332,'GDP-PI'!$8:$9,2,FALSE)</f>
        <v>90.073999999999998</v>
      </c>
      <c r="DQ332" s="177">
        <f t="shared" ref="DQ332" si="930">LN(DP332/DP331)</f>
        <v>3.005618372545445E-2</v>
      </c>
    </row>
    <row r="333" spans="1:121" s="167" customFormat="1" ht="21" x14ac:dyDescent="0.35">
      <c r="A333" s="167" t="s">
        <v>46</v>
      </c>
      <c r="B333" s="168" t="s">
        <v>46</v>
      </c>
      <c r="C333" s="168">
        <v>4088325</v>
      </c>
      <c r="D333" s="168" t="s">
        <v>334</v>
      </c>
      <c r="E333" s="168"/>
      <c r="F333" s="168"/>
      <c r="G333" s="168" t="s">
        <v>13</v>
      </c>
      <c r="H333" s="169">
        <v>2007</v>
      </c>
      <c r="I333" s="170"/>
      <c r="J333" s="166">
        <f>IFERROR(INDEX('Labor Expenditures'!$F$7:$X$91,MATCH($C333,'Labor Expenditures'!$D$7:$D$91,0),MATCH($G333,'Labor Expenditures'!$F$5:$X$5,0)),"NA")</f>
        <v>3080.2837756403401</v>
      </c>
      <c r="K333" s="166">
        <f t="shared" si="914"/>
        <v>29.273307442531145</v>
      </c>
      <c r="L333" s="172">
        <f t="shared" si="921"/>
        <v>-5.5431590180820736E-2</v>
      </c>
      <c r="M333" s="172">
        <f t="shared" si="925"/>
        <v>-7.9519529685800669E-5</v>
      </c>
      <c r="N333" s="196"/>
      <c r="O333" s="172"/>
      <c r="P333" s="166">
        <f>IFERROR(INDEX('Non-Labor Expenditures'!$F$7:$AB$91,MATCH($C333,'Non-Labor Expenditures'!$D$7:$D$91,0),MATCH($G333,'Non-Labor Expenditures'!$F$5:$AB$5,0)),"NA")</f>
        <v>4460.8262247774746</v>
      </c>
      <c r="Q333" s="166">
        <f t="shared" si="915"/>
        <v>48.226191104429006</v>
      </c>
      <c r="R333" s="172">
        <f t="shared" si="926"/>
        <v>-5.134903273007816E-2</v>
      </c>
      <c r="S333" s="172">
        <f t="shared" ref="S333:S347" si="931">+R333*AR333</f>
        <v>-7.3662886437080789E-5</v>
      </c>
      <c r="T333" s="172"/>
      <c r="U333" s="172"/>
      <c r="V333" s="166">
        <f t="shared" si="896"/>
        <v>4511.9420888204922</v>
      </c>
      <c r="W333" s="170"/>
      <c r="X333" s="174">
        <v>263.35224193537994</v>
      </c>
      <c r="Y333" s="175">
        <v>2.7829696758782871E-2</v>
      </c>
      <c r="Z333" s="175">
        <f t="shared" ref="Z333:Z347" si="932">+Y333*AR333</f>
        <v>3.9923162773031216E-5</v>
      </c>
      <c r="AA333" s="175"/>
      <c r="AB333" s="175"/>
      <c r="AC333" s="170">
        <f t="shared" si="882"/>
        <v>12053.052089238307</v>
      </c>
      <c r="AD333" s="175">
        <f t="shared" si="927"/>
        <v>1.9229047185878083E-2</v>
      </c>
      <c r="AE333" s="170"/>
      <c r="AF333" s="170"/>
      <c r="AG333" s="121">
        <f t="shared" si="928"/>
        <v>365.77604058140042</v>
      </c>
      <c r="AH333" s="119">
        <f>+AZ333/$BB$45</f>
        <v>9.3032231271660351E-4</v>
      </c>
      <c r="AI333" s="119"/>
      <c r="AJ333" s="176">
        <f t="shared" ref="AJ333:AJ347" si="933">+AH333*AG333</f>
        <v>0.34028961201001068</v>
      </c>
      <c r="AK333" s="176">
        <f t="shared" ref="AK333:AK347" si="934">+AI333*AG333</f>
        <v>0</v>
      </c>
      <c r="AL333" s="120">
        <f t="shared" si="916"/>
        <v>0.25556047985477504</v>
      </c>
      <c r="AM333" s="120">
        <f t="shared" si="917"/>
        <v>0.37009930694320736</v>
      </c>
      <c r="AN333" s="120">
        <f t="shared" si="918"/>
        <v>0.37434021320201766</v>
      </c>
      <c r="AO333" s="120">
        <f t="shared" si="922"/>
        <v>-2.3890843407525845E-2</v>
      </c>
      <c r="AP333" s="173">
        <f>+AP332*EXP(AO333)</f>
        <v>97.844104827817574</v>
      </c>
      <c r="AQ333" s="175">
        <f>LN(AP333/AP332)</f>
        <v>-2.3890843407525876E-2</v>
      </c>
      <c r="AR333" s="177">
        <f>+AC333/$AE$45</f>
        <v>1.4345525615701051E-3</v>
      </c>
      <c r="AS333" s="177">
        <f t="shared" ref="AS333:AS347" si="935">+AR333*AQ333</f>
        <v>-3.4272670608336501E-5</v>
      </c>
      <c r="AT333" s="177"/>
      <c r="AU333" s="177"/>
      <c r="AV333" s="177"/>
      <c r="AW333" s="190"/>
      <c r="AX333" s="120"/>
      <c r="AY333" s="120"/>
      <c r="AZ333" s="118">
        <f>IFERROR(INDEX('Total Customers'!$F$7:$AB$91,MATCH($C333,'Total Customers'!$D$7:$D$91,0),MATCH($G333,'Total Customers'!$F$5:$AB$5,0)),"NA")</f>
        <v>32952</v>
      </c>
      <c r="BA333" s="119">
        <f t="shared" si="897"/>
        <v>1.9272906006381912E-2</v>
      </c>
      <c r="BB333" s="119"/>
      <c r="BC333" s="121"/>
      <c r="BD333" s="119"/>
      <c r="BE333" s="119"/>
      <c r="BF333" s="119"/>
      <c r="BG333" s="173"/>
      <c r="BH333" s="173"/>
      <c r="BI333" s="173"/>
      <c r="BJ333" s="173"/>
      <c r="BK333" s="173"/>
      <c r="BL333" s="173"/>
      <c r="BM333" s="173"/>
      <c r="BN333" s="173"/>
      <c r="BO333" s="173"/>
      <c r="BP333" s="173"/>
      <c r="BQ333" s="118"/>
      <c r="BR333" s="118"/>
      <c r="BS333" s="118">
        <f>INDEX('Dist. Plant Gas Additions'!$F$7:$AE$91,MATCH($C333,'Dist. Plant Gas Additions'!$D$7:$D$91,0),MATCH(Calculation!$G333,'Dist. Plant Gas Additions'!$F$5:$AE$5,0))</f>
        <v>4424</v>
      </c>
      <c r="BT333" s="118">
        <f>INDEX('Gen. Plant Additions'!$F$7:$AE$91,MATCH($C333,'Gen. Plant Additions'!$D$7:$D$91,0),MATCH(Calculation!$G333,'Gen. Plant Additions'!$F$5:$AE$5,0))</f>
        <v>0</v>
      </c>
      <c r="BU333" s="118"/>
      <c r="BV333" s="118"/>
      <c r="BW333" s="118">
        <f>INDEX('Dist Plant Depreciation'!$E$7:$AD$94,MATCH($C333,'Dist Plant Depreciation'!$D$7:$D$94,0),MATCH(Calculation!$G333,'Dist Plant Depreciation'!$E$5:$AD$5,0))</f>
        <v>41417</v>
      </c>
      <c r="BX333" s="118">
        <f>INDEX('Gen. Plant Depreciation'!$E$7:$AD$94,MATCH($C333,'Gen. Plant Depreciation'!$D$7:$D$94,0),MATCH(Calculation!$G333,'Gen. Plant Depreciation'!$E$5:$AD$5,0))</f>
        <v>243</v>
      </c>
      <c r="BY333" s="118"/>
      <c r="BZ333" s="118"/>
      <c r="CA333" s="118"/>
      <c r="CB333" s="118"/>
      <c r="CC333" s="118"/>
      <c r="CD333" s="118"/>
      <c r="CE333" s="118">
        <f>INDEX('Gross Dx Plant'!$E$7:$AD$91,MATCH($C333,'Gross Dx Plant'!$D$7:$D$91,0),MATCH(Calculation!$G333,'Gross Dx Plant'!$E$5:$AD$5,0))</f>
        <v>90809</v>
      </c>
      <c r="CF333" s="118">
        <f>INDEX('Gross Gen Plant'!$E$7:$AD$91,MATCH($C333,'Gross Gen Plant'!$D$7:$D$91,0),MATCH(Calculation!$G333,'Gross Gen Plant'!$E$5:$AD$5,0))</f>
        <v>1351</v>
      </c>
      <c r="CG333" s="118">
        <f t="shared" si="834"/>
        <v>50500</v>
      </c>
      <c r="CH333" s="118"/>
      <c r="CI333" s="121">
        <v>2007</v>
      </c>
      <c r="CJ333" s="118"/>
      <c r="CK333" s="118"/>
      <c r="CL333" s="118"/>
      <c r="CM333" s="183"/>
      <c r="CN333" s="118">
        <f t="shared" si="898"/>
        <v>4424</v>
      </c>
      <c r="CO333" s="118">
        <f t="shared" si="899"/>
        <v>8.8831360814834195</v>
      </c>
      <c r="CP333" s="186">
        <v>0.94915254237288138</v>
      </c>
      <c r="CQ333" s="118">
        <f>+CQ324*CP333+CO325*CP332+CO326*CP331+CO327*CP330+CO328*CP329+CO329*CP328+CO330*CP327+CO331*CP326+CO332*CP325+CO333</f>
        <v>263.35224193537994</v>
      </c>
      <c r="CR333" s="119">
        <f t="shared" si="900"/>
        <v>2.7829696758782871E-2</v>
      </c>
      <c r="CS333" s="119"/>
      <c r="CT333" s="177">
        <f t="shared" si="901"/>
        <v>6.4623537821604246E-3</v>
      </c>
      <c r="CU333" s="177">
        <f t="shared" si="909"/>
        <v>6.2635831264103506E-3</v>
      </c>
      <c r="CV333" s="119">
        <f>VLOOKUP($H333,RoR!$E:$F,2,FALSE)</f>
        <v>5.5558333333333321E-2</v>
      </c>
      <c r="CW333" s="177">
        <v>2.691120634145272E-2</v>
      </c>
      <c r="CX333" s="177">
        <f t="shared" si="907"/>
        <v>2.86471269918806E-2</v>
      </c>
      <c r="CY333" s="177">
        <f t="shared" si="910"/>
        <v>2.4638358482123274E-2</v>
      </c>
      <c r="CZ333" s="177">
        <f t="shared" si="911"/>
        <v>6.4575155250632399E-2</v>
      </c>
      <c r="DA333" s="187">
        <f t="shared" si="902"/>
        <v>0.84439937500000006</v>
      </c>
      <c r="DB333" s="188">
        <f t="shared" si="903"/>
        <v>0.92303077153834634</v>
      </c>
      <c r="DC333" s="188">
        <f t="shared" si="904"/>
        <v>0.52502249887505614</v>
      </c>
      <c r="DD333" s="188">
        <f t="shared" si="905"/>
        <v>0.88499666072084604</v>
      </c>
      <c r="DE333" s="188">
        <f t="shared" si="906"/>
        <v>0.42887993290280618</v>
      </c>
      <c r="DF333" s="189">
        <f>INDEX('State Tax Lookup'!$D$7:$Z$91,MATCH(Calculation!$C333,'State Tax Lookup'!$B$7:$B$91,0),MATCH($H333,'State Tax Lookup'!$D$6:$Z$6,0))</f>
        <v>0.414935</v>
      </c>
      <c r="DG333" s="189">
        <v>0.375</v>
      </c>
      <c r="DH333" s="190">
        <f t="shared" si="908"/>
        <v>17.616222243385828</v>
      </c>
      <c r="DI333" s="190">
        <v>17.36064564652845</v>
      </c>
      <c r="DJ333" s="177"/>
      <c r="DK333" s="189">
        <f>VLOOKUP($H333,RoR!$E:$F,2,FALSE)</f>
        <v>5.5558333333333321E-2</v>
      </c>
      <c r="DL333" s="191">
        <f>HLOOKUP($H333,'GDP-PI'!$D$8:$CQ$11,3,FALSE)</f>
        <v>2.691120634145272E-2</v>
      </c>
      <c r="DM333" s="189">
        <f>VLOOKUP(H333,'HW Dx Data'!$E:$F,2,FALSE)</f>
        <v>498.0223154772637</v>
      </c>
      <c r="DN333" s="183">
        <f>VLOOKUP(H333,'ECI - Input Price'!$G$17:$H$37,2,FALSE)</f>
        <v>105.22500000000001</v>
      </c>
      <c r="DO333" s="177">
        <f t="shared" ref="DO333" si="936">LN(DN333/DN332)</f>
        <v>3.0638025400780679E-2</v>
      </c>
      <c r="DP333" s="183">
        <f>HLOOKUP(H333,'GDP-PI'!$8:$9,2,FALSE)</f>
        <v>92.498000000000005</v>
      </c>
      <c r="DQ333" s="177">
        <f t="shared" ref="DQ333" si="937">LN(DP333/DP332)</f>
        <v>2.6555467950038037E-2</v>
      </c>
    </row>
    <row r="334" spans="1:121" s="167" customFormat="1" ht="21" x14ac:dyDescent="0.35">
      <c r="A334" s="167" t="s">
        <v>46</v>
      </c>
      <c r="B334" s="168" t="s">
        <v>46</v>
      </c>
      <c r="C334" s="168">
        <v>4088325</v>
      </c>
      <c r="D334" s="168" t="s">
        <v>334</v>
      </c>
      <c r="E334" s="168"/>
      <c r="F334" s="168"/>
      <c r="G334" s="168" t="s">
        <v>14</v>
      </c>
      <c r="H334" s="169">
        <v>2008</v>
      </c>
      <c r="I334" s="170"/>
      <c r="J334" s="166">
        <f>IFERROR(INDEX('Labor Expenditures'!$F$7:$X$91,MATCH($C334,'Labor Expenditures'!$D$7:$D$91,0),MATCH($G334,'Labor Expenditures'!$F$5:$X$5,0)),"NA")</f>
        <v>3296.1447671949059</v>
      </c>
      <c r="K334" s="166">
        <f t="shared" si="914"/>
        <v>30.456408105289036</v>
      </c>
      <c r="L334" s="172">
        <f t="shared" si="921"/>
        <v>3.9620326807620239E-2</v>
      </c>
      <c r="M334" s="172">
        <f t="shared" si="925"/>
        <v>5.8829419307322637E-5</v>
      </c>
      <c r="N334" s="196"/>
      <c r="O334" s="172"/>
      <c r="P334" s="166">
        <f>IFERROR(INDEX('Non-Labor Expenditures'!$F$7:$AB$91,MATCH($C334,'Non-Labor Expenditures'!$D$7:$D$91,0),MATCH($G334,'Non-Labor Expenditures'!$F$5:$AB$5,0)),"NA")</f>
        <v>4773.4332578203648</v>
      </c>
      <c r="Q334" s="166">
        <f t="shared" si="915"/>
        <v>50.638984743065912</v>
      </c>
      <c r="R334" s="172">
        <f t="shared" si="926"/>
        <v>4.881947173099787E-2</v>
      </c>
      <c r="S334" s="172">
        <f t="shared" si="931"/>
        <v>7.2488578571554776E-5</v>
      </c>
      <c r="T334" s="172"/>
      <c r="U334" s="172"/>
      <c r="V334" s="166">
        <f t="shared" si="896"/>
        <v>5267.2256688853231</v>
      </c>
      <c r="W334" s="170"/>
      <c r="X334" s="174">
        <v>270.49142698206623</v>
      </c>
      <c r="Y334" s="175">
        <v>2.6747945524169908E-2</v>
      </c>
      <c r="Z334" s="175">
        <f t="shared" si="932"/>
        <v>3.9716131330551486E-5</v>
      </c>
      <c r="AA334" s="175"/>
      <c r="AB334" s="175"/>
      <c r="AC334" s="170">
        <f t="shared" si="882"/>
        <v>13336.803693900594</v>
      </c>
      <c r="AD334" s="175">
        <f t="shared" si="927"/>
        <v>0.10120949534288184</v>
      </c>
      <c r="AE334" s="170"/>
      <c r="AF334" s="170"/>
      <c r="AG334" s="121">
        <f t="shared" si="928"/>
        <v>407.3301476360819</v>
      </c>
      <c r="AH334" s="119">
        <f>+AZ334/$BB$46</f>
        <v>9.1946470065804964E-4</v>
      </c>
      <c r="AI334" s="119"/>
      <c r="AJ334" s="176">
        <f t="shared" si="933"/>
        <v>0.37452569226520921</v>
      </c>
      <c r="AK334" s="176">
        <f t="shared" si="934"/>
        <v>0</v>
      </c>
      <c r="AL334" s="120">
        <f t="shared" si="916"/>
        <v>0.24714653097146153</v>
      </c>
      <c r="AM334" s="120">
        <f t="shared" si="917"/>
        <v>0.35791433745129125</v>
      </c>
      <c r="AN334" s="120">
        <f t="shared" si="918"/>
        <v>0.39493913157724719</v>
      </c>
      <c r="AO334" s="120">
        <f t="shared" si="922"/>
        <v>3.8017649798370121E-2</v>
      </c>
      <c r="AP334" s="173">
        <f t="shared" ref="AP334:AP347" si="938">+AP333*EXP(AO334)</f>
        <v>101.63552146832265</v>
      </c>
      <c r="AQ334" s="175">
        <f t="shared" ref="AQ334:AQ347" si="939">LN(AP334/AP333)</f>
        <v>3.8017649798370037E-2</v>
      </c>
      <c r="AR334" s="177">
        <f>+AC334/$AE$46</f>
        <v>1.4848292290210964E-3</v>
      </c>
      <c r="AS334" s="177">
        <f t="shared" si="935"/>
        <v>5.6449717639307823E-5</v>
      </c>
      <c r="AT334" s="177"/>
      <c r="AU334" s="177"/>
      <c r="AV334" s="177"/>
      <c r="AW334" s="190"/>
      <c r="AX334" s="120"/>
      <c r="AY334" s="120"/>
      <c r="AZ334" s="118">
        <f>IFERROR(INDEX('Total Customers'!$F$7:$AB$91,MATCH($C334,'Total Customers'!$D$7:$D$91,0),MATCH($G334,'Total Customers'!$F$5:$AB$5,0)),"NA")</f>
        <v>32742</v>
      </c>
      <c r="BA334" s="119">
        <f t="shared" si="897"/>
        <v>-6.3932997016297446E-3</v>
      </c>
      <c r="BB334" s="119"/>
      <c r="BC334" s="121"/>
      <c r="BD334" s="119"/>
      <c r="BE334" s="119"/>
      <c r="BF334" s="119"/>
      <c r="BG334" s="173"/>
      <c r="BH334" s="173"/>
      <c r="BI334" s="173"/>
      <c r="BJ334" s="173"/>
      <c r="BK334" s="173"/>
      <c r="BL334" s="173"/>
      <c r="BM334" s="173"/>
      <c r="BN334" s="173"/>
      <c r="BO334" s="173"/>
      <c r="BP334" s="173"/>
      <c r="BQ334" s="118"/>
      <c r="BR334" s="118"/>
      <c r="BS334" s="118">
        <f>INDEX('Dist. Plant Gas Additions'!$F$7:$AE$91,MATCH($C334,'Dist. Plant Gas Additions'!$D$7:$D$91,0),MATCH(Calculation!$G334,'Dist. Plant Gas Additions'!$F$5:$AE$5,0))</f>
        <v>4823</v>
      </c>
      <c r="BT334" s="118">
        <f>INDEX('Gen. Plant Additions'!$F$7:$AE$91,MATCH($C334,'Gen. Plant Additions'!$D$7:$D$91,0),MATCH(Calculation!$G334,'Gen. Plant Additions'!$F$5:$AE$5,0))</f>
        <v>246</v>
      </c>
      <c r="BU334" s="118"/>
      <c r="BV334" s="118"/>
      <c r="BW334" s="118">
        <f>INDEX('Dist Plant Depreciation'!$E$7:$AD$94,MATCH($C334,'Dist Plant Depreciation'!$D$7:$D$94,0),MATCH(Calculation!$G334,'Dist Plant Depreciation'!$E$5:$AD$5,0))</f>
        <v>42735</v>
      </c>
      <c r="BX334" s="118">
        <f>INDEX('Gen. Plant Depreciation'!$E$7:$AD$94,MATCH($C334,'Gen. Plant Depreciation'!$D$7:$D$94,0),MATCH(Calculation!$G334,'Gen. Plant Depreciation'!$E$5:$AD$5,0))</f>
        <v>255</v>
      </c>
      <c r="BY334" s="118"/>
      <c r="BZ334" s="118"/>
      <c r="CA334" s="118"/>
      <c r="CB334" s="118"/>
      <c r="CC334" s="118"/>
      <c r="CD334" s="118"/>
      <c r="CE334" s="118">
        <f>INDEX('Gross Dx Plant'!$E$7:$AD$91,MATCH($C334,'Gross Dx Plant'!$D$7:$D$91,0),MATCH(Calculation!$G334,'Gross Dx Plant'!$E$5:$AD$5,0))</f>
        <v>94706</v>
      </c>
      <c r="CF334" s="118">
        <f>INDEX('Gross Gen Plant'!$E$7:$AD$91,MATCH($C334,'Gross Gen Plant'!$D$7:$D$91,0),MATCH(Calculation!$G334,'Gross Gen Plant'!$E$5:$AD$5,0))</f>
        <v>1570</v>
      </c>
      <c r="CG334" s="118">
        <f t="shared" si="834"/>
        <v>53286</v>
      </c>
      <c r="CH334" s="118"/>
      <c r="CI334" s="121">
        <v>2008</v>
      </c>
      <c r="CJ334" s="118"/>
      <c r="CK334" s="118"/>
      <c r="CL334" s="118"/>
      <c r="CM334" s="183"/>
      <c r="CN334" s="118">
        <f t="shared" si="898"/>
        <v>5069</v>
      </c>
      <c r="CO334" s="118">
        <f t="shared" si="899"/>
        <v>8.8948362752348729</v>
      </c>
      <c r="CP334" s="186">
        <v>0.94252873563218387</v>
      </c>
      <c r="CQ334" s="118">
        <f>+CQ324*CP334+CO325*CP333+CO326*CP332+CO327*CP331+CO328*CP330+CO329*CP329+CO330*CP328+CO331*CP327+CO332*CP326+CO333*CP325+CO334</f>
        <v>270.49142698206623</v>
      </c>
      <c r="CR334" s="119">
        <f t="shared" si="900"/>
        <v>2.6747945524169908E-2</v>
      </c>
      <c r="CS334" s="119"/>
      <c r="CT334" s="177">
        <f t="shared" si="901"/>
        <v>6.6665512913285634E-3</v>
      </c>
      <c r="CU334" s="177">
        <f t="shared" si="909"/>
        <v>6.4634296971326777E-3</v>
      </c>
      <c r="CV334" s="119">
        <f>VLOOKUP($H334,RoR!$E:$F,2,FALSE)</f>
        <v>5.6316666666666668E-2</v>
      </c>
      <c r="CW334" s="177">
        <v>1.9092304698479889E-2</v>
      </c>
      <c r="CX334" s="177">
        <f t="shared" si="907"/>
        <v>3.7224361968186778E-2</v>
      </c>
      <c r="CY334" s="177">
        <f t="shared" si="910"/>
        <v>2.4438511911400947E-2</v>
      </c>
      <c r="CZ334" s="177">
        <f t="shared" si="911"/>
        <v>6.9030581091053131E-2</v>
      </c>
      <c r="DA334" s="187">
        <f t="shared" si="902"/>
        <v>0.84439937500000006</v>
      </c>
      <c r="DB334" s="188">
        <f t="shared" si="903"/>
        <v>0.91060168006009956</v>
      </c>
      <c r="DC334" s="188">
        <f t="shared" si="904"/>
        <v>0.53108168097070152</v>
      </c>
      <c r="DD334" s="188">
        <f t="shared" si="905"/>
        <v>0.88825329850328805</v>
      </c>
      <c r="DE334" s="188">
        <f t="shared" si="906"/>
        <v>0.4295627335323573</v>
      </c>
      <c r="DF334" s="189">
        <f>INDEX('State Tax Lookup'!$D$7:$Z$91,MATCH(Calculation!$C334,'State Tax Lookup'!$B$7:$B$91,0),MATCH($H334,'State Tax Lookup'!$D$6:$Z$6,0))</f>
        <v>0.414935</v>
      </c>
      <c r="DG334" s="189">
        <v>0.375</v>
      </c>
      <c r="DH334" s="190">
        <f t="shared" si="908"/>
        <v>20.000686647572831</v>
      </c>
      <c r="DI334" s="190">
        <v>19.720326059984295</v>
      </c>
      <c r="DJ334" s="177"/>
      <c r="DK334" s="189">
        <f>VLOOKUP($H334,RoR!$E:$F,2,FALSE)</f>
        <v>5.6316666666666668E-2</v>
      </c>
      <c r="DL334" s="191">
        <f>HLOOKUP($H334,'GDP-PI'!$D$8:$CQ$11,3,FALSE)</f>
        <v>1.9092304698479889E-2</v>
      </c>
      <c r="DM334" s="189">
        <f>VLOOKUP(H334,'HW Dx Data'!$E:$F,2,FALSE)</f>
        <v>569.88120333515076</v>
      </c>
      <c r="DN334" s="183">
        <f>VLOOKUP(H334,'ECI - Input Price'!$G$17:$H$37,2,FALSE)</f>
        <v>108.22499999999999</v>
      </c>
      <c r="DO334" s="177">
        <f t="shared" ref="DO334" si="940">LN(DN334/DN333)</f>
        <v>2.8111478671409691E-2</v>
      </c>
      <c r="DP334" s="183">
        <f>HLOOKUP(H334,'GDP-PI'!$8:$9,2,FALSE)</f>
        <v>94.263999999999996</v>
      </c>
      <c r="DQ334" s="177">
        <f t="shared" ref="DQ334" si="941">LN(DP334/DP333)</f>
        <v>1.8912333748032254E-2</v>
      </c>
    </row>
    <row r="335" spans="1:121" s="167" customFormat="1" ht="21" x14ac:dyDescent="0.35">
      <c r="A335" s="167" t="s">
        <v>46</v>
      </c>
      <c r="B335" s="168" t="s">
        <v>46</v>
      </c>
      <c r="C335" s="168">
        <v>4088325</v>
      </c>
      <c r="D335" s="168" t="s">
        <v>334</v>
      </c>
      <c r="E335" s="168"/>
      <c r="F335" s="168"/>
      <c r="G335" s="168" t="s">
        <v>15</v>
      </c>
      <c r="H335" s="169">
        <v>2009</v>
      </c>
      <c r="I335" s="170"/>
      <c r="J335" s="166">
        <f>IFERROR(INDEX('Labor Expenditures'!$F$7:$X$91,MATCH($C335,'Labor Expenditures'!$D$7:$D$91,0),MATCH($G335,'Labor Expenditures'!$F$5:$X$5,0)),"NA")</f>
        <v>3641.5845614927307</v>
      </c>
      <c r="K335" s="166">
        <f t="shared" si="914"/>
        <v>33.173168403486507</v>
      </c>
      <c r="L335" s="172">
        <f t="shared" si="921"/>
        <v>8.5444949727943781E-2</v>
      </c>
      <c r="M335" s="172">
        <f t="shared" si="925"/>
        <v>1.2861543119203144E-4</v>
      </c>
      <c r="N335" s="196"/>
      <c r="O335" s="172"/>
      <c r="P335" s="166">
        <f>IFERROR(INDEX('Non-Labor Expenditures'!$F$7:$AB$91,MATCH($C335,'Non-Labor Expenditures'!$D$7:$D$91,0),MATCH($G335,'Non-Labor Expenditures'!$F$5:$AB$5,0)),"NA")</f>
        <v>5273.6945992174369</v>
      </c>
      <c r="Q335" s="166">
        <f t="shared" si="915"/>
        <v>55.513159077647522</v>
      </c>
      <c r="R335" s="172">
        <f t="shared" si="926"/>
        <v>9.1898364029370738E-2</v>
      </c>
      <c r="S335" s="172">
        <f t="shared" si="931"/>
        <v>1.3832938930987917E-4</v>
      </c>
      <c r="T335" s="172"/>
      <c r="U335" s="172"/>
      <c r="V335" s="166">
        <f t="shared" si="896"/>
        <v>5187.1721755091457</v>
      </c>
      <c r="W335" s="170"/>
      <c r="X335" s="174">
        <v>286.41509861069176</v>
      </c>
      <c r="Y335" s="175">
        <v>5.720174775248045E-2</v>
      </c>
      <c r="Z335" s="175">
        <f t="shared" si="932"/>
        <v>8.6102542930247144E-5</v>
      </c>
      <c r="AA335" s="175"/>
      <c r="AB335" s="175"/>
      <c r="AC335" s="170">
        <f t="shared" si="882"/>
        <v>14102.451336219314</v>
      </c>
      <c r="AD335" s="175">
        <f t="shared" si="927"/>
        <v>5.5821227283728625E-2</v>
      </c>
      <c r="AE335" s="170"/>
      <c r="AF335" s="170"/>
      <c r="AG335" s="121">
        <f t="shared" si="928"/>
        <v>431.42594640905884</v>
      </c>
      <c r="AH335" s="119">
        <f>+AZ335/$BB$47</f>
        <v>9.1662379052242138E-4</v>
      </c>
      <c r="AI335" s="119"/>
      <c r="AJ335" s="176">
        <f t="shared" si="933"/>
        <v>0.39545528632719457</v>
      </c>
      <c r="AK335" s="176">
        <f t="shared" si="934"/>
        <v>0</v>
      </c>
      <c r="AL335" s="120">
        <f t="shared" si="916"/>
        <v>0.25822351552031614</v>
      </c>
      <c r="AM335" s="120">
        <f t="shared" si="917"/>
        <v>0.37395587997336405</v>
      </c>
      <c r="AN335" s="120">
        <f t="shared" si="918"/>
        <v>0.36782060450631981</v>
      </c>
      <c r="AO335" s="120">
        <f t="shared" si="922"/>
        <v>7.7035091949422499E-2</v>
      </c>
      <c r="AP335" s="173">
        <f t="shared" si="938"/>
        <v>109.77449177521532</v>
      </c>
      <c r="AQ335" s="175">
        <f t="shared" si="939"/>
        <v>7.7035091949422443E-2</v>
      </c>
      <c r="AR335" s="177">
        <f>+AC335/$AE$47</f>
        <v>1.5052432191901596E-3</v>
      </c>
      <c r="AS335" s="177">
        <f t="shared" si="935"/>
        <v>1.1595654979655858E-4</v>
      </c>
      <c r="AT335" s="177"/>
      <c r="AU335" s="177"/>
      <c r="AV335" s="177"/>
      <c r="AW335" s="190"/>
      <c r="AX335" s="120"/>
      <c r="AY335" s="120"/>
      <c r="AZ335" s="118">
        <f>IFERROR(INDEX('Total Customers'!$F$7:$AB$91,MATCH($C335,'Total Customers'!$D$7:$D$91,0),MATCH($G335,'Total Customers'!$F$5:$AB$5,0)),"NA")</f>
        <v>32688</v>
      </c>
      <c r="BA335" s="119">
        <f t="shared" si="897"/>
        <v>-1.6506193568836766E-3</v>
      </c>
      <c r="BB335" s="119"/>
      <c r="BC335" s="121"/>
      <c r="BD335" s="119"/>
      <c r="BE335" s="119"/>
      <c r="BF335" s="119"/>
      <c r="BG335" s="173"/>
      <c r="BH335" s="173"/>
      <c r="BI335" s="173"/>
      <c r="BJ335" s="173"/>
      <c r="BK335" s="173"/>
      <c r="BL335" s="173"/>
      <c r="BM335" s="173"/>
      <c r="BN335" s="173"/>
      <c r="BO335" s="173"/>
      <c r="BP335" s="173"/>
      <c r="BQ335" s="118"/>
      <c r="BR335" s="118"/>
      <c r="BS335" s="118">
        <f>INDEX('Dist. Plant Gas Additions'!$F$7:$AE$91,MATCH($C335,'Dist. Plant Gas Additions'!$D$7:$D$91,0),MATCH(Calculation!$G335,'Dist. Plant Gas Additions'!$F$5:$AE$5,0))</f>
        <v>9773</v>
      </c>
      <c r="BT335" s="118">
        <f>INDEX('Gen. Plant Additions'!$F$7:$AE$91,MATCH($C335,'Gen. Plant Additions'!$D$7:$D$91,0),MATCH(Calculation!$G335,'Gen. Plant Additions'!$F$5:$AE$5,0))</f>
        <v>25</v>
      </c>
      <c r="BU335" s="118"/>
      <c r="BV335" s="118"/>
      <c r="BW335" s="118">
        <f>INDEX('Dist Plant Depreciation'!$E$7:$AD$94,MATCH($C335,'Dist Plant Depreciation'!$D$7:$D$94,0),MATCH(Calculation!$G335,'Dist Plant Depreciation'!$E$5:$AD$5,0))</f>
        <v>43251</v>
      </c>
      <c r="BX335" s="118">
        <f>INDEX('Gen. Plant Depreciation'!$E$7:$AD$94,MATCH($C335,'Gen. Plant Depreciation'!$D$7:$D$94,0),MATCH(Calculation!$G335,'Gen. Plant Depreciation'!$E$5:$AD$5,0))</f>
        <v>258</v>
      </c>
      <c r="BY335" s="118"/>
      <c r="BZ335" s="118"/>
      <c r="CA335" s="118"/>
      <c r="CB335" s="118"/>
      <c r="CC335" s="118"/>
      <c r="CD335" s="118"/>
      <c r="CE335" s="118">
        <f>INDEX('Gross Dx Plant'!$E$7:$AD$91,MATCH($C335,'Gross Dx Plant'!$D$7:$D$91,0),MATCH(Calculation!$G335,'Gross Dx Plant'!$E$5:$AD$5,0))</f>
        <v>103272</v>
      </c>
      <c r="CF335" s="118">
        <f>INDEX('Gross Gen Plant'!$E$7:$AD$91,MATCH($C335,'Gross Gen Plant'!$D$7:$D$91,0),MATCH(Calculation!$G335,'Gross Gen Plant'!$E$5:$AD$5,0))</f>
        <v>1401</v>
      </c>
      <c r="CG335" s="118">
        <f t="shared" si="834"/>
        <v>61164</v>
      </c>
      <c r="CH335" s="118"/>
      <c r="CI335" s="121">
        <v>2009</v>
      </c>
      <c r="CJ335" s="118"/>
      <c r="CK335" s="118"/>
      <c r="CL335" s="118"/>
      <c r="CM335" s="183"/>
      <c r="CN335" s="118">
        <f t="shared" si="898"/>
        <v>9798</v>
      </c>
      <c r="CO335" s="118">
        <f t="shared" si="899"/>
        <v>17.784130168658184</v>
      </c>
      <c r="CP335" s="186">
        <v>0.93567251461988299</v>
      </c>
      <c r="CQ335" s="118">
        <f>+CQ324*CP335+CO325*CP334+CO326*CP333+CO327*CP332+CO328*CP331+CO329*CP330+CO330*CP329+CO331*CP328+CO332*CP327+CO333*CP326+CO334*CP325+CO335</f>
        <v>286.41509861069176</v>
      </c>
      <c r="CR335" s="119">
        <f t="shared" si="900"/>
        <v>5.720174775248045E-2</v>
      </c>
      <c r="CS335" s="119"/>
      <c r="CT335" s="177">
        <f t="shared" si="901"/>
        <v>6.8780684134436762E-3</v>
      </c>
      <c r="CU335" s="177">
        <f t="shared" si="909"/>
        <v>6.6689911623108887E-3</v>
      </c>
      <c r="CV335" s="119">
        <f>VLOOKUP($H335,RoR!$E:$F,2,FALSE)</f>
        <v>5.3133333333333324E-2</v>
      </c>
      <c r="CW335" s="177">
        <v>7.7972502758210105E-3</v>
      </c>
      <c r="CX335" s="177">
        <f t="shared" si="907"/>
        <v>4.5336083057512314E-2</v>
      </c>
      <c r="CY335" s="177">
        <f t="shared" si="910"/>
        <v>2.4232950446222735E-2</v>
      </c>
      <c r="CZ335" s="177">
        <f t="shared" si="911"/>
        <v>6.3720160300892073E-2</v>
      </c>
      <c r="DA335" s="187">
        <f t="shared" si="902"/>
        <v>0.84439937500000006</v>
      </c>
      <c r="DB335" s="188">
        <f t="shared" si="903"/>
        <v>0.96515780330083989</v>
      </c>
      <c r="DC335" s="188">
        <f t="shared" si="904"/>
        <v>0.50448557089084056</v>
      </c>
      <c r="DD335" s="188">
        <f t="shared" si="905"/>
        <v>0.87391435735465484</v>
      </c>
      <c r="DE335" s="188">
        <f t="shared" si="906"/>
        <v>0.42551605393279146</v>
      </c>
      <c r="DF335" s="189">
        <f>INDEX('State Tax Lookup'!$D$7:$Z$91,MATCH(Calculation!$C335,'State Tax Lookup'!$B$7:$B$91,0),MATCH($H335,'State Tax Lookup'!$D$6:$Z$6,0))</f>
        <v>0.414935</v>
      </c>
      <c r="DG335" s="189">
        <v>0.375</v>
      </c>
      <c r="DH335" s="190">
        <f t="shared" si="908"/>
        <v>19.176845023827905</v>
      </c>
      <c r="DI335" s="190">
        <v>18.837473883338212</v>
      </c>
      <c r="DJ335" s="177"/>
      <c r="DK335" s="189">
        <f>VLOOKUP($H335,RoR!$E:$F,2,FALSE)</f>
        <v>5.3133333333333324E-2</v>
      </c>
      <c r="DL335" s="191">
        <f>HLOOKUP($H335,'GDP-PI'!$D$8:$CQ$11,3,FALSE)</f>
        <v>7.7972502758210105E-3</v>
      </c>
      <c r="DM335" s="189">
        <f>VLOOKUP(H335,'HW Dx Data'!$E:$F,2,FALSE)</f>
        <v>550.94063679692806</v>
      </c>
      <c r="DN335" s="183">
        <f>VLOOKUP(H335,'ECI - Input Price'!$G$17:$H$37,2,FALSE)</f>
        <v>109.77499999999999</v>
      </c>
      <c r="DO335" s="177">
        <f t="shared" ref="DO335" si="942">LN(DN335/DN334)</f>
        <v>1.4220423119736749E-2</v>
      </c>
      <c r="DP335" s="183">
        <f>HLOOKUP(H335,'GDP-PI'!$8:$9,2,FALSE)</f>
        <v>94.998999999999995</v>
      </c>
      <c r="DQ335" s="177">
        <f t="shared" ref="DQ335" si="943">LN(DP335/DP334)</f>
        <v>7.7670088183096342E-3</v>
      </c>
    </row>
    <row r="336" spans="1:121" s="167" customFormat="1" ht="21" x14ac:dyDescent="0.35">
      <c r="A336" s="167" t="s">
        <v>46</v>
      </c>
      <c r="B336" s="168" t="s">
        <v>46</v>
      </c>
      <c r="C336" s="168">
        <v>4088325</v>
      </c>
      <c r="D336" s="168" t="s">
        <v>334</v>
      </c>
      <c r="E336" s="168"/>
      <c r="F336" s="168"/>
      <c r="G336" s="168" t="s">
        <v>16</v>
      </c>
      <c r="H336" s="169">
        <v>2010</v>
      </c>
      <c r="I336" s="170"/>
      <c r="J336" s="166">
        <f>IFERROR(INDEX('Labor Expenditures'!$F$7:$X$91,MATCH($C336,'Labor Expenditures'!$D$7:$D$91,0),MATCH($G336,'Labor Expenditures'!$F$5:$X$5,0)),"NA")</f>
        <v>3640.6603340527267</v>
      </c>
      <c r="K336" s="166">
        <f t="shared" si="914"/>
        <v>32.542215276448957</v>
      </c>
      <c r="L336" s="172">
        <f t="shared" si="921"/>
        <v>-1.9203190513622122E-2</v>
      </c>
      <c r="M336" s="172">
        <f t="shared" si="925"/>
        <v>-2.876818586286779E-5</v>
      </c>
      <c r="N336" s="196"/>
      <c r="O336" s="172"/>
      <c r="P336" s="166">
        <f>IFERROR(INDEX('Non-Labor Expenditures'!$F$7:$AB$91,MATCH($C336,'Non-Labor Expenditures'!$D$7:$D$91,0),MATCH($G336,'Non-Labor Expenditures'!$F$5:$AB$5,0)),"NA")</f>
        <v>5272.3561452624363</v>
      </c>
      <c r="Q336" s="166">
        <f t="shared" si="915"/>
        <v>54.858089723776509</v>
      </c>
      <c r="R336" s="172">
        <f t="shared" si="926"/>
        <v>-1.1870429173534296E-2</v>
      </c>
      <c r="S336" s="172">
        <f t="shared" si="931"/>
        <v>-1.7783019571357178E-5</v>
      </c>
      <c r="T336" s="172"/>
      <c r="U336" s="172"/>
      <c r="V336" s="166">
        <f t="shared" si="896"/>
        <v>5635.2127276777992</v>
      </c>
      <c r="W336" s="170"/>
      <c r="X336" s="174">
        <v>295.45048697441632</v>
      </c>
      <c r="Y336" s="175">
        <v>3.1059113727120512E-2</v>
      </c>
      <c r="Z336" s="175">
        <f t="shared" si="932"/>
        <v>4.6529474141493362E-5</v>
      </c>
      <c r="AA336" s="175"/>
      <c r="AB336" s="175"/>
      <c r="AC336" s="170">
        <f t="shared" si="882"/>
        <v>14548.229206992963</v>
      </c>
      <c r="AD336" s="175">
        <f t="shared" si="927"/>
        <v>3.1120646318325722E-2</v>
      </c>
      <c r="AE336" s="170"/>
      <c r="AF336" s="170"/>
      <c r="AG336" s="121">
        <f t="shared" si="928"/>
        <v>444.92718842109497</v>
      </c>
      <c r="AH336" s="119">
        <f>+AZ336/$BB$48</f>
        <v>9.1185653997115563E-4</v>
      </c>
      <c r="AI336" s="119"/>
      <c r="AJ336" s="176">
        <f t="shared" si="933"/>
        <v>0.40570976657275409</v>
      </c>
      <c r="AK336" s="176">
        <f t="shared" si="934"/>
        <v>0</v>
      </c>
      <c r="AL336" s="120">
        <f t="shared" si="916"/>
        <v>0.25024766122757774</v>
      </c>
      <c r="AM336" s="120">
        <f t="shared" si="917"/>
        <v>0.36240535327338319</v>
      </c>
      <c r="AN336" s="120">
        <f t="shared" si="918"/>
        <v>0.38734698549903901</v>
      </c>
      <c r="AO336" s="120">
        <f t="shared" si="922"/>
        <v>2.4748216589223198E-3</v>
      </c>
      <c r="AP336" s="173">
        <f t="shared" si="938"/>
        <v>110.04650051278347</v>
      </c>
      <c r="AQ336" s="175">
        <f t="shared" si="939"/>
        <v>2.4748216589224031E-3</v>
      </c>
      <c r="AR336" s="177">
        <f>+AC336/$AE$48</f>
        <v>1.4980940715273625E-3</v>
      </c>
      <c r="AS336" s="177">
        <f t="shared" si="935"/>
        <v>3.7075156553191644E-6</v>
      </c>
      <c r="AT336" s="177"/>
      <c r="AU336" s="177"/>
      <c r="AV336" s="177"/>
      <c r="AW336" s="190"/>
      <c r="AX336" s="120"/>
      <c r="AY336" s="120"/>
      <c r="AZ336" s="118">
        <f>IFERROR(INDEX('Total Customers'!$F$7:$AB$91,MATCH($C336,'Total Customers'!$D$7:$D$91,0),MATCH($G336,'Total Customers'!$F$5:$AB$5,0)),"NA")</f>
        <v>32698</v>
      </c>
      <c r="BA336" s="119">
        <f t="shared" si="897"/>
        <v>3.0587587795451903E-4</v>
      </c>
      <c r="BB336" s="119"/>
      <c r="BC336" s="121"/>
      <c r="BD336" s="119"/>
      <c r="BE336" s="119"/>
      <c r="BF336" s="119"/>
      <c r="BG336" s="173"/>
      <c r="BH336" s="173"/>
      <c r="BI336" s="173"/>
      <c r="BJ336" s="173"/>
      <c r="BK336" s="173"/>
      <c r="BL336" s="173"/>
      <c r="BM336" s="173"/>
      <c r="BN336" s="173"/>
      <c r="BO336" s="173"/>
      <c r="BP336" s="173"/>
      <c r="BQ336" s="118"/>
      <c r="BR336" s="118"/>
      <c r="BS336" s="118">
        <f>INDEX('Dist. Plant Gas Additions'!$F$7:$AE$91,MATCH($C336,'Dist. Plant Gas Additions'!$D$7:$D$91,0),MATCH(Calculation!$G336,'Dist. Plant Gas Additions'!$F$5:$AE$5,0))</f>
        <v>6179</v>
      </c>
      <c r="BT336" s="118">
        <f>INDEX('Gen. Plant Additions'!$F$7:$AE$91,MATCH($C336,'Gen. Plant Additions'!$D$7:$D$91,0),MATCH(Calculation!$G336,'Gen. Plant Additions'!$F$5:$AE$5,0))</f>
        <v>108</v>
      </c>
      <c r="BU336" s="118"/>
      <c r="BV336" s="118"/>
      <c r="BW336" s="118">
        <f>INDEX('Dist Plant Depreciation'!$E$7:$AD$94,MATCH($C336,'Dist Plant Depreciation'!$D$7:$D$94,0),MATCH(Calculation!$G336,'Dist Plant Depreciation'!$E$5:$AD$5,0))</f>
        <v>43718</v>
      </c>
      <c r="BX336" s="118">
        <f>INDEX('Gen. Plant Depreciation'!$E$7:$AD$94,MATCH($C336,'Gen. Plant Depreciation'!$D$7:$D$94,0),MATCH(Calculation!$G336,'Gen. Plant Depreciation'!$E$5:$AD$5,0))</f>
        <v>262</v>
      </c>
      <c r="BY336" s="118"/>
      <c r="BZ336" s="118"/>
      <c r="CA336" s="118"/>
      <c r="CB336" s="118"/>
      <c r="CC336" s="118"/>
      <c r="CD336" s="118"/>
      <c r="CE336" s="118">
        <f>INDEX('Gross Dx Plant'!$E$7:$AD$91,MATCH($C336,'Gross Dx Plant'!$D$7:$D$91,0),MATCH(Calculation!$G336,'Gross Dx Plant'!$E$5:$AD$5,0))</f>
        <v>108446</v>
      </c>
      <c r="CF336" s="118">
        <f>INDEX('Gross Gen Plant'!$E$7:$AD$91,MATCH($C336,'Gross Gen Plant'!$D$7:$D$91,0),MATCH(Calculation!$G336,'Gross Gen Plant'!$E$5:$AD$5,0))</f>
        <v>1469</v>
      </c>
      <c r="CG336" s="118">
        <f t="shared" si="834"/>
        <v>65935</v>
      </c>
      <c r="CH336" s="118"/>
      <c r="CI336" s="121">
        <v>2010</v>
      </c>
      <c r="CJ336" s="118"/>
      <c r="CK336" s="118"/>
      <c r="CL336" s="118"/>
      <c r="CM336" s="183"/>
      <c r="CN336" s="118">
        <f t="shared" si="898"/>
        <v>6287</v>
      </c>
      <c r="CO336" s="118">
        <f t="shared" si="899"/>
        <v>11.049412987310252</v>
      </c>
      <c r="CP336" s="186">
        <v>0.9285714285714286</v>
      </c>
      <c r="CQ336" s="118">
        <f>+CQ324*CP336+CO325*CP335+CO326*CP334+CO327*CP333+CO328*CP332+CO329*CP331+CO330*CP330+CO331*CP329+CO332*CP328+CO333*CP327+CO334*CP326+CO335*CP325+CO336</f>
        <v>295.45048697441632</v>
      </c>
      <c r="CR336" s="119">
        <f t="shared" si="900"/>
        <v>3.1059113727120512E-2</v>
      </c>
      <c r="CS336" s="119"/>
      <c r="CT336" s="177">
        <f t="shared" si="901"/>
        <v>7.0318381724814019E-3</v>
      </c>
      <c r="CU336" s="177">
        <f t="shared" si="909"/>
        <v>6.8588192924178811E-3</v>
      </c>
      <c r="CV336" s="119">
        <f>VLOOKUP($H336,RoR!$E:$F,2,FALSE)</f>
        <v>4.9433333333333322E-2</v>
      </c>
      <c r="CW336" s="177">
        <v>1.1684333519300205E-2</v>
      </c>
      <c r="CX336" s="177">
        <f t="shared" si="907"/>
        <v>3.7748999814033117E-2</v>
      </c>
      <c r="CY336" s="177">
        <f t="shared" si="910"/>
        <v>2.4043122316115745E-2</v>
      </c>
      <c r="CZ336" s="177">
        <f t="shared" si="911"/>
        <v>4.7937530248493419E-2</v>
      </c>
      <c r="DA336" s="187">
        <f t="shared" si="902"/>
        <v>0.84439937500000006</v>
      </c>
      <c r="DB336" s="188">
        <f t="shared" si="903"/>
        <v>1.037398205301105</v>
      </c>
      <c r="DC336" s="188">
        <f t="shared" si="904"/>
        <v>0.46926837491571133</v>
      </c>
      <c r="DD336" s="188">
        <f t="shared" si="905"/>
        <v>0.8548537519972772</v>
      </c>
      <c r="DE336" s="188">
        <f t="shared" si="906"/>
        <v>0.41615833911547367</v>
      </c>
      <c r="DF336" s="189">
        <f>INDEX('State Tax Lookup'!$D$7:$Z$91,MATCH(Calculation!$C336,'State Tax Lookup'!$B$7:$B$91,0),MATCH($H336,'State Tax Lookup'!$D$6:$Z$6,0))</f>
        <v>0.414935</v>
      </c>
      <c r="DG336" s="189">
        <v>0.375</v>
      </c>
      <c r="DH336" s="190">
        <f t="shared" si="908"/>
        <v>19.67498485593957</v>
      </c>
      <c r="DI336" s="190">
        <v>19.386842336782564</v>
      </c>
      <c r="DJ336" s="177"/>
      <c r="DK336" s="189">
        <f>VLOOKUP($H336,RoR!$E:$F,2,FALSE)</f>
        <v>4.9433333333333322E-2</v>
      </c>
      <c r="DL336" s="191">
        <f>HLOOKUP($H336,'GDP-PI'!$D$8:$CQ$11,3,FALSE)</f>
        <v>1.1684333519300205E-2</v>
      </c>
      <c r="DM336" s="189">
        <f>VLOOKUP(H336,'HW Dx Data'!$E:$F,2,FALSE)</f>
        <v>568.98950262971744</v>
      </c>
      <c r="DN336" s="183">
        <f>VLOOKUP(H336,'ECI - Input Price'!$G$17:$H$37,2,FALSE)</f>
        <v>111.875</v>
      </c>
      <c r="DO336" s="177">
        <f t="shared" ref="DO336" si="944">LN(DN336/DN335)</f>
        <v>1.8949360147238387E-2</v>
      </c>
      <c r="DP336" s="183">
        <f>HLOOKUP(H336,'GDP-PI'!$8:$9,2,FALSE)</f>
        <v>96.108999999999995</v>
      </c>
      <c r="DQ336" s="177">
        <f t="shared" ref="DQ336" si="945">LN(DP336/DP335)</f>
        <v>1.1616598807150427E-2</v>
      </c>
    </row>
    <row r="337" spans="1:121" s="167" customFormat="1" ht="21" x14ac:dyDescent="0.35">
      <c r="A337" s="167" t="s">
        <v>46</v>
      </c>
      <c r="B337" s="168" t="s">
        <v>46</v>
      </c>
      <c r="C337" s="168">
        <v>4088325</v>
      </c>
      <c r="D337" s="168" t="s">
        <v>334</v>
      </c>
      <c r="E337" s="168"/>
      <c r="F337" s="168"/>
      <c r="G337" s="168" t="s">
        <v>17</v>
      </c>
      <c r="H337" s="169">
        <v>2011</v>
      </c>
      <c r="I337" s="170"/>
      <c r="J337" s="166">
        <f>IFERROR(INDEX('Labor Expenditures'!$F$7:$X$91,MATCH($C337,'Labor Expenditures'!$D$7:$D$91,0),MATCH($G337,'Labor Expenditures'!$F$5:$X$5,0)),"NA")</f>
        <v>3739.2431116265225</v>
      </c>
      <c r="K337" s="166">
        <f t="shared" si="914"/>
        <v>32.714287940739482</v>
      </c>
      <c r="L337" s="172">
        <f t="shared" si="921"/>
        <v>5.2737445195366979E-3</v>
      </c>
      <c r="M337" s="172">
        <f t="shared" si="925"/>
        <v>7.9445905811673853E-6</v>
      </c>
      <c r="N337" s="196"/>
      <c r="O337" s="172"/>
      <c r="P337" s="166">
        <f>IFERROR(INDEX('Non-Labor Expenditures'!$F$7:$AB$91,MATCH($C337,'Non-Labor Expenditures'!$D$7:$D$91,0),MATCH($G337,'Non-Labor Expenditures'!$F$5:$AB$5,0)),"NA")</f>
        <v>5415.1224199123017</v>
      </c>
      <c r="Q337" s="166">
        <f t="shared" si="915"/>
        <v>55.193273197083968</v>
      </c>
      <c r="R337" s="172">
        <f t="shared" si="926"/>
        <v>6.0914195124330741E-3</v>
      </c>
      <c r="S337" s="172">
        <f t="shared" si="931"/>
        <v>9.1763705854804018E-6</v>
      </c>
      <c r="T337" s="172"/>
      <c r="U337" s="172"/>
      <c r="V337" s="166">
        <f t="shared" si="896"/>
        <v>6209.612128828483</v>
      </c>
      <c r="W337" s="170"/>
      <c r="X337" s="174">
        <v>307.37309611484437</v>
      </c>
      <c r="Y337" s="175">
        <v>3.9561040466056387E-2</v>
      </c>
      <c r="Z337" s="175">
        <f t="shared" si="932"/>
        <v>5.9596415469785498E-5</v>
      </c>
      <c r="AA337" s="175"/>
      <c r="AB337" s="175"/>
      <c r="AC337" s="170">
        <f t="shared" si="882"/>
        <v>15363.977660367307</v>
      </c>
      <c r="AD337" s="175">
        <f t="shared" si="927"/>
        <v>5.4556374233850867E-2</v>
      </c>
      <c r="AE337" s="170"/>
      <c r="AF337" s="170"/>
      <c r="AG337" s="121">
        <f t="shared" si="928"/>
        <v>471.59144419310923</v>
      </c>
      <c r="AH337" s="119">
        <f>+AZ337/$BB$49</f>
        <v>9.0412121040539647E-4</v>
      </c>
      <c r="AI337" s="119"/>
      <c r="AJ337" s="176">
        <f t="shared" si="933"/>
        <v>0.4263758273407029</v>
      </c>
      <c r="AK337" s="176">
        <f t="shared" si="934"/>
        <v>0</v>
      </c>
      <c r="AL337" s="120">
        <f t="shared" si="916"/>
        <v>0.24337728121489136</v>
      </c>
      <c r="AM337" s="120">
        <f t="shared" si="917"/>
        <v>0.3524557598050323</v>
      </c>
      <c r="AN337" s="120">
        <f t="shared" si="918"/>
        <v>0.40416695898007637</v>
      </c>
      <c r="AO337" s="120">
        <f t="shared" si="922"/>
        <v>1.9135442977392135E-2</v>
      </c>
      <c r="AP337" s="173">
        <f t="shared" si="938"/>
        <v>112.17256577464013</v>
      </c>
      <c r="AQ337" s="175">
        <f t="shared" si="939"/>
        <v>1.913544297739217E-2</v>
      </c>
      <c r="AR337" s="177">
        <f>+AC337/$AE$49</f>
        <v>1.5064420644072692E-3</v>
      </c>
      <c r="AS337" s="177">
        <f t="shared" si="935"/>
        <v>2.8826436222210241E-5</v>
      </c>
      <c r="AT337" s="177"/>
      <c r="AU337" s="177"/>
      <c r="AV337" s="177"/>
      <c r="AW337" s="190"/>
      <c r="AX337" s="120"/>
      <c r="AY337" s="120"/>
      <c r="AZ337" s="118">
        <f>IFERROR(INDEX('Total Customers'!$F$7:$AB$91,MATCH($C337,'Total Customers'!$D$7:$D$91,0),MATCH($G337,'Total Customers'!$F$5:$AB$5,0)),"NA")</f>
        <v>32579</v>
      </c>
      <c r="BA337" s="119">
        <f t="shared" si="897"/>
        <v>-3.6460049274846897E-3</v>
      </c>
      <c r="BB337" s="119"/>
      <c r="BC337" s="121"/>
      <c r="BD337" s="119"/>
      <c r="BE337" s="119"/>
      <c r="BF337" s="119"/>
      <c r="BG337" s="173"/>
      <c r="BH337" s="173"/>
      <c r="BI337" s="173"/>
      <c r="BJ337" s="173"/>
      <c r="BK337" s="173"/>
      <c r="BL337" s="173"/>
      <c r="BM337" s="173"/>
      <c r="BN337" s="173"/>
      <c r="BO337" s="173"/>
      <c r="BP337" s="173"/>
      <c r="BQ337" s="118"/>
      <c r="BR337" s="118"/>
      <c r="BS337" s="118">
        <f>INDEX('Dist. Plant Gas Additions'!$F$7:$AE$91,MATCH($C337,'Dist. Plant Gas Additions'!$D$7:$D$91,0),MATCH(Calculation!$G337,'Dist. Plant Gas Additions'!$F$5:$AE$5,0))</f>
        <v>8306</v>
      </c>
      <c r="BT337" s="118">
        <f>INDEX('Gen. Plant Additions'!$F$7:$AE$91,MATCH($C337,'Gen. Plant Additions'!$D$7:$D$91,0),MATCH(Calculation!$G337,'Gen. Plant Additions'!$F$5:$AE$5,0))</f>
        <v>295</v>
      </c>
      <c r="BU337" s="118"/>
      <c r="BV337" s="118"/>
      <c r="BW337" s="118">
        <f>INDEX('Dist Plant Depreciation'!$E$7:$AD$94,MATCH($C337,'Dist Plant Depreciation'!$D$7:$D$94,0),MATCH(Calculation!$G337,'Dist Plant Depreciation'!$E$5:$AD$5,0))</f>
        <v>43960</v>
      </c>
      <c r="BX337" s="118">
        <f>INDEX('Gen. Plant Depreciation'!$E$7:$AD$94,MATCH($C337,'Gen. Plant Depreciation'!$D$7:$D$94,0),MATCH(Calculation!$G337,'Gen. Plant Depreciation'!$E$5:$AD$5,0))</f>
        <v>201</v>
      </c>
      <c r="BY337" s="118"/>
      <c r="BZ337" s="118"/>
      <c r="CA337" s="118"/>
      <c r="CB337" s="118"/>
      <c r="CC337" s="118"/>
      <c r="CD337" s="118"/>
      <c r="CE337" s="118">
        <f>INDEX('Gross Dx Plant'!$E$7:$AD$91,MATCH($C337,'Gross Dx Plant'!$D$7:$D$91,0),MATCH(Calculation!$G337,'Gross Dx Plant'!$E$5:$AD$5,0))</f>
        <v>115299</v>
      </c>
      <c r="CF337" s="118">
        <f>INDEX('Gross Gen Plant'!$E$7:$AD$91,MATCH($C337,'Gross Gen Plant'!$D$7:$D$91,0),MATCH(Calculation!$G337,'Gross Gen Plant'!$E$5:$AD$5,0))</f>
        <v>1676</v>
      </c>
      <c r="CG337" s="118">
        <f t="shared" si="834"/>
        <v>72814</v>
      </c>
      <c r="CH337" s="118"/>
      <c r="CI337" s="121">
        <v>2011</v>
      </c>
      <c r="CJ337" s="118"/>
      <c r="CK337" s="118"/>
      <c r="CL337" s="118"/>
      <c r="CM337" s="183"/>
      <c r="CN337" s="118">
        <f t="shared" si="898"/>
        <v>8601</v>
      </c>
      <c r="CO337" s="118">
        <f t="shared" si="899"/>
        <v>14.062858006540534</v>
      </c>
      <c r="CP337" s="186">
        <v>0.92121212121212126</v>
      </c>
      <c r="CQ337" s="118">
        <f>+CQ324*CP337+CO325*CP336+CO326*CP335+CO327*CP334+CO328*CP333+CO329*CP332+CO330*CP331+CO331*CP330+CO332*CP329+CO333*CP328+CO334*CP327+CO335*CP326+CO336*CP325+CO337</f>
        <v>307.37309611484437</v>
      </c>
      <c r="CR337" s="119">
        <f t="shared" si="900"/>
        <v>3.9561040466056387E-2</v>
      </c>
      <c r="CS337" s="119"/>
      <c r="CT337" s="177">
        <f t="shared" si="901"/>
        <v>7.2440187458476298E-3</v>
      </c>
      <c r="CU337" s="177">
        <f t="shared" si="909"/>
        <v>7.051308443924236E-3</v>
      </c>
      <c r="CV337" s="119">
        <f>VLOOKUP($H337,RoR!$E:$F,2,FALSE)</f>
        <v>4.6391666666666664E-2</v>
      </c>
      <c r="CW337" s="177">
        <v>2.0840920205183799E-2</v>
      </c>
      <c r="CX337" s="177">
        <f t="shared" si="907"/>
        <v>2.5550746461482865E-2</v>
      </c>
      <c r="CY337" s="177">
        <f t="shared" si="910"/>
        <v>2.3850633164609388E-2</v>
      </c>
      <c r="CZ337" s="177">
        <f t="shared" si="911"/>
        <v>2.4810540821321614E-2</v>
      </c>
      <c r="DA337" s="187">
        <f t="shared" si="902"/>
        <v>0.84439937500000006</v>
      </c>
      <c r="DB337" s="188">
        <f t="shared" si="903"/>
        <v>1.1054151524782025</v>
      </c>
      <c r="DC337" s="188">
        <f t="shared" si="904"/>
        <v>0.43611011316687626</v>
      </c>
      <c r="DD337" s="188">
        <f t="shared" si="905"/>
        <v>0.83698442246886229</v>
      </c>
      <c r="DE337" s="188">
        <f t="shared" si="906"/>
        <v>0.40349573304423936</v>
      </c>
      <c r="DF337" s="189">
        <f>INDEX('State Tax Lookup'!$D$7:$Z$91,MATCH(Calculation!$C337,'State Tax Lookup'!$B$7:$B$91,0),MATCH($H337,'State Tax Lookup'!$D$6:$Z$6,0))</f>
        <v>0.414935</v>
      </c>
      <c r="DG337" s="189">
        <v>0.375</v>
      </c>
      <c r="DH337" s="190">
        <f t="shared" si="908"/>
        <v>21.017437447534775</v>
      </c>
      <c r="DI337" s="190">
        <v>20.697301300976619</v>
      </c>
      <c r="DJ337" s="177"/>
      <c r="DK337" s="189">
        <f>VLOOKUP($H337,RoR!$E:$F,2,FALSE)</f>
        <v>4.6391666666666664E-2</v>
      </c>
      <c r="DL337" s="191">
        <f>HLOOKUP($H337,'GDP-PI'!$D$8:$CQ$11,3,FALSE)</f>
        <v>2.0840920205183799E-2</v>
      </c>
      <c r="DM337" s="189">
        <f>VLOOKUP(H337,'HW Dx Data'!$E:$F,2,FALSE)</f>
        <v>611.61109612283201</v>
      </c>
      <c r="DN337" s="183">
        <f>VLOOKUP(H337,'ECI - Input Price'!$G$17:$H$37,2,FALSE)</f>
        <v>114.3</v>
      </c>
      <c r="DO337" s="177">
        <f t="shared" ref="DO337" si="946">LN(DN337/DN336)</f>
        <v>2.1444394205745516E-2</v>
      </c>
      <c r="DP337" s="183">
        <f>HLOOKUP(H337,'GDP-PI'!$8:$9,2,FALSE)</f>
        <v>98.111999999999995</v>
      </c>
      <c r="DQ337" s="177">
        <f t="shared" ref="DQ337" si="947">LN(DP337/DP336)</f>
        <v>2.0626719212849295E-2</v>
      </c>
    </row>
    <row r="338" spans="1:121" s="167" customFormat="1" ht="21" x14ac:dyDescent="0.35">
      <c r="A338" s="167" t="s">
        <v>46</v>
      </c>
      <c r="B338" s="168" t="s">
        <v>46</v>
      </c>
      <c r="C338" s="168">
        <v>4088325</v>
      </c>
      <c r="D338" s="168" t="s">
        <v>334</v>
      </c>
      <c r="E338" s="168"/>
      <c r="F338" s="168"/>
      <c r="G338" s="168" t="s">
        <v>18</v>
      </c>
      <c r="H338" s="169">
        <v>2012</v>
      </c>
      <c r="I338" s="170"/>
      <c r="J338" s="166">
        <f>IFERROR(INDEX('Labor Expenditures'!$F$7:$X$91,MATCH($C338,'Labor Expenditures'!$D$7:$D$91,0),MATCH($G338,'Labor Expenditures'!$F$5:$X$5,0)),"NA")</f>
        <v>3801.358971622321</v>
      </c>
      <c r="K338" s="166">
        <f t="shared" si="914"/>
        <v>32.629690743539236</v>
      </c>
      <c r="L338" s="172">
        <f t="shared" si="921"/>
        <v>-2.5892896688642182E-3</v>
      </c>
      <c r="M338" s="172">
        <f t="shared" si="925"/>
        <v>-3.9490998549827129E-6</v>
      </c>
      <c r="N338" s="196"/>
      <c r="O338" s="172"/>
      <c r="P338" s="166">
        <f>IFERROR(INDEX('Non-Labor Expenditures'!$F$7:$AB$91,MATCH($C338,'Non-Labor Expenditures'!$D$7:$D$91,0),MATCH($G338,'Non-Labor Expenditures'!$F$5:$AB$5,0)),"NA")</f>
        <v>5505.0777868285404</v>
      </c>
      <c r="Q338" s="166">
        <f t="shared" si="915"/>
        <v>55.050777868285401</v>
      </c>
      <c r="R338" s="172">
        <f t="shared" si="926"/>
        <v>-2.5850902026165034E-3</v>
      </c>
      <c r="S338" s="172">
        <f t="shared" si="931"/>
        <v>-3.9426949665110693E-6</v>
      </c>
      <c r="T338" s="172"/>
      <c r="U338" s="172"/>
      <c r="V338" s="166">
        <f t="shared" si="896"/>
        <v>6992.1516341594352</v>
      </c>
      <c r="W338" s="170"/>
      <c r="X338" s="174">
        <v>318.69013683620335</v>
      </c>
      <c r="Y338" s="175">
        <v>3.615696632797144E-2</v>
      </c>
      <c r="Z338" s="175">
        <f t="shared" si="932"/>
        <v>5.5145421618678922E-5</v>
      </c>
      <c r="AA338" s="175"/>
      <c r="AB338" s="175"/>
      <c r="AC338" s="170">
        <f t="shared" si="882"/>
        <v>16298.588392610298</v>
      </c>
      <c r="AD338" s="175">
        <f t="shared" si="927"/>
        <v>5.905284592414143E-2</v>
      </c>
      <c r="AE338" s="170"/>
      <c r="AF338" s="170"/>
      <c r="AG338" s="121">
        <f t="shared" si="928"/>
        <v>496.16695767330202</v>
      </c>
      <c r="AH338" s="119">
        <f>+AZ338/$BB$50</f>
        <v>9.0722734514939684E-4</v>
      </c>
      <c r="AI338" s="119"/>
      <c r="AJ338" s="176">
        <f t="shared" si="933"/>
        <v>0.45013623176080292</v>
      </c>
      <c r="AK338" s="176">
        <f t="shared" si="934"/>
        <v>0</v>
      </c>
      <c r="AL338" s="120">
        <f t="shared" si="916"/>
        <v>0.23323240516619456</v>
      </c>
      <c r="AM338" s="120">
        <f t="shared" si="917"/>
        <v>0.33776408448504142</v>
      </c>
      <c r="AN338" s="120">
        <f t="shared" si="918"/>
        <v>0.42900351034876388</v>
      </c>
      <c r="AO338" s="120">
        <f t="shared" si="922"/>
        <v>1.3553277755415059E-2</v>
      </c>
      <c r="AP338" s="173">
        <f t="shared" si="938"/>
        <v>113.70322098210515</v>
      </c>
      <c r="AQ338" s="175">
        <f t="shared" si="939"/>
        <v>1.3553277755415049E-2</v>
      </c>
      <c r="AR338" s="177">
        <f>+AC338/$AE$50</f>
        <v>1.5251672697998947E-3</v>
      </c>
      <c r="AS338" s="177">
        <f t="shared" si="935"/>
        <v>2.0671015631066014E-5</v>
      </c>
      <c r="AT338" s="177"/>
      <c r="AU338" s="177"/>
      <c r="AV338" s="177"/>
      <c r="AW338" s="190"/>
      <c r="AX338" s="120"/>
      <c r="AY338" s="120"/>
      <c r="AZ338" s="118">
        <f>IFERROR(INDEX('Total Customers'!$F$7:$AB$91,MATCH($C338,'Total Customers'!$D$7:$D$91,0),MATCH($G338,'Total Customers'!$F$5:$AB$5,0)),"NA")</f>
        <v>32849</v>
      </c>
      <c r="BA338" s="119">
        <f t="shared" si="897"/>
        <v>8.2533940412302803E-3</v>
      </c>
      <c r="BB338" s="119"/>
      <c r="BC338" s="121"/>
      <c r="BD338" s="119"/>
      <c r="BE338" s="119"/>
      <c r="BF338" s="119"/>
      <c r="BG338" s="173"/>
      <c r="BH338" s="173"/>
      <c r="BI338" s="173"/>
      <c r="BJ338" s="173"/>
      <c r="BK338" s="173"/>
      <c r="BL338" s="173"/>
      <c r="BM338" s="173"/>
      <c r="BN338" s="173"/>
      <c r="BO338" s="173"/>
      <c r="BP338" s="173"/>
      <c r="BQ338" s="118"/>
      <c r="BR338" s="118"/>
      <c r="BS338" s="118">
        <f>INDEX('Dist. Plant Gas Additions'!$F$7:$AE$91,MATCH($C338,'Dist. Plant Gas Additions'!$D$7:$D$91,0),MATCH(Calculation!$G338,'Dist. Plant Gas Additions'!$F$5:$AE$5,0))</f>
        <v>8967</v>
      </c>
      <c r="BT338" s="118">
        <f>INDEX('Gen. Plant Additions'!$F$7:$AE$91,MATCH($C338,'Gen. Plant Additions'!$D$7:$D$91,0),MATCH(Calculation!$G338,'Gen. Plant Additions'!$F$5:$AE$5,0))</f>
        <v>133</v>
      </c>
      <c r="BU338" s="118"/>
      <c r="BV338" s="118"/>
      <c r="BW338" s="118">
        <f>INDEX('Dist Plant Depreciation'!$E$7:$AD$94,MATCH($C338,'Dist Plant Depreciation'!$D$7:$D$94,0),MATCH(Calculation!$G338,'Dist Plant Depreciation'!$E$5:$AD$5,0))</f>
        <v>45096</v>
      </c>
      <c r="BX338" s="118">
        <f>INDEX('Gen. Plant Depreciation'!$E$7:$AD$94,MATCH($C338,'Gen. Plant Depreciation'!$D$7:$D$94,0),MATCH(Calculation!$G338,'Gen. Plant Depreciation'!$E$5:$AD$5,0))</f>
        <v>169</v>
      </c>
      <c r="BY338" s="118"/>
      <c r="BZ338" s="118"/>
      <c r="CA338" s="118"/>
      <c r="CB338" s="118"/>
      <c r="CC338" s="118"/>
      <c r="CD338" s="118"/>
      <c r="CE338" s="118">
        <f>INDEX('Gross Dx Plant'!$E$7:$AD$91,MATCH($C338,'Gross Dx Plant'!$D$7:$D$91,0),MATCH(Calculation!$G338,'Gross Dx Plant'!$E$5:$AD$5,0))</f>
        <v>123607</v>
      </c>
      <c r="CF338" s="118">
        <f>INDEX('Gross Gen Plant'!$E$7:$AD$91,MATCH($C338,'Gross Gen Plant'!$D$7:$D$91,0),MATCH(Calculation!$G338,'Gross Gen Plant'!$E$5:$AD$5,0))</f>
        <v>1741</v>
      </c>
      <c r="CG338" s="118">
        <f t="shared" si="834"/>
        <v>80083</v>
      </c>
      <c r="CH338" s="118"/>
      <c r="CI338" s="121">
        <v>2012</v>
      </c>
      <c r="CJ338" s="118"/>
      <c r="CK338" s="118"/>
      <c r="CL338" s="118"/>
      <c r="CM338" s="183"/>
      <c r="CN338" s="118">
        <f t="shared" si="898"/>
        <v>9100</v>
      </c>
      <c r="CO338" s="118">
        <f t="shared" si="899"/>
        <v>13.604032204152553</v>
      </c>
      <c r="CP338" s="186">
        <v>0.9135802469135802</v>
      </c>
      <c r="CQ338" s="118">
        <f>+CQ324*CP338+CO325*CP337+CO326*CP336+CO327*CP335+CO328*CP334+CO329*CP333+CO330*CP332+CO331*CP331+CO332*CP330+CO333*CP329+CO334*CP328+CO335*CP327+CO336*CP326+CO337*CP325+CO338</f>
        <v>318.69013683620335</v>
      </c>
      <c r="CR338" s="119">
        <f t="shared" si="900"/>
        <v>3.615696632797144E-2</v>
      </c>
      <c r="CS338" s="119"/>
      <c r="CT338" s="177">
        <f t="shared" si="901"/>
        <v>7.440441312856743E-3</v>
      </c>
      <c r="CU338" s="177">
        <f t="shared" si="909"/>
        <v>7.2387660770619243E-3</v>
      </c>
      <c r="CV338" s="119">
        <f>VLOOKUP($H338,RoR!$E:$F,2,FALSE)</f>
        <v>3.6733333333333333E-2</v>
      </c>
      <c r="CW338" s="177">
        <v>1.924331376386168E-2</v>
      </c>
      <c r="CX338" s="177">
        <f t="shared" si="907"/>
        <v>1.7490019569471653E-2</v>
      </c>
      <c r="CY338" s="177">
        <f t="shared" si="910"/>
        <v>2.3663175531471702E-2</v>
      </c>
      <c r="CZ338" s="177">
        <f t="shared" si="911"/>
        <v>6.7122682943869583E-2</v>
      </c>
      <c r="DA338" s="187">
        <f t="shared" si="902"/>
        <v>0.84439937500000006</v>
      </c>
      <c r="DB338" s="188">
        <f t="shared" si="903"/>
        <v>1.3960631020522127</v>
      </c>
      <c r="DC338" s="188">
        <f t="shared" si="904"/>
        <v>0.29441923774954631</v>
      </c>
      <c r="DD338" s="188">
        <f t="shared" si="905"/>
        <v>0.76377954189366437</v>
      </c>
      <c r="DE338" s="188">
        <f t="shared" si="906"/>
        <v>0.31393465103033691</v>
      </c>
      <c r="DF338" s="189">
        <f>INDEX('State Tax Lookup'!$D$7:$Z$91,MATCH(Calculation!$C338,'State Tax Lookup'!$B$7:$B$91,0),MATCH($H338,'State Tax Lookup'!$D$6:$Z$6,0))</f>
        <v>0.414935</v>
      </c>
      <c r="DG338" s="189">
        <v>0.375</v>
      </c>
      <c r="DH338" s="190">
        <f t="shared" si="908"/>
        <v>22.748092538154168</v>
      </c>
      <c r="DI338" s="190">
        <v>22.441652517305844</v>
      </c>
      <c r="DJ338" s="177"/>
      <c r="DK338" s="189">
        <f>VLOOKUP($H338,RoR!$E:$F,2,FALSE)</f>
        <v>3.6733333333333333E-2</v>
      </c>
      <c r="DL338" s="191">
        <f>HLOOKUP($H338,'GDP-PI'!$D$8:$CQ$11,3,FALSE)</f>
        <v>1.924331376386168E-2</v>
      </c>
      <c r="DM338" s="189">
        <f>VLOOKUP(H338,'HW Dx Data'!$E:$F,2,FALSE)</f>
        <v>668.91932211262167</v>
      </c>
      <c r="DN338" s="183">
        <f>VLOOKUP(H338,'ECI - Input Price'!$G$17:$H$37,2,FALSE)</f>
        <v>116.5</v>
      </c>
      <c r="DO338" s="177">
        <f t="shared" ref="DO338" si="948">LN(DN338/DN337)</f>
        <v>1.9064702204990347E-2</v>
      </c>
      <c r="DP338" s="183">
        <f>HLOOKUP(H338,'GDP-PI'!$8:$9,2,FALSE)</f>
        <v>100</v>
      </c>
      <c r="DQ338" s="177">
        <f t="shared" ref="DQ338" si="949">LN(DP338/DP337)</f>
        <v>1.9060502738742411E-2</v>
      </c>
    </row>
    <row r="339" spans="1:121" s="167" customFormat="1" ht="21" x14ac:dyDescent="0.35">
      <c r="A339" s="167" t="s">
        <v>46</v>
      </c>
      <c r="B339" s="168" t="s">
        <v>46</v>
      </c>
      <c r="C339" s="168">
        <v>4088325</v>
      </c>
      <c r="D339" s="168" t="s">
        <v>334</v>
      </c>
      <c r="E339" s="168"/>
      <c r="F339" s="168"/>
      <c r="G339" s="168" t="s">
        <v>19</v>
      </c>
      <c r="H339" s="169">
        <v>2013</v>
      </c>
      <c r="I339" s="170"/>
      <c r="J339" s="166">
        <f>IFERROR(INDEX('Labor Expenditures'!$F$7:$X$91,MATCH($C339,'Labor Expenditures'!$D$7:$D$91,0),MATCH($G339,'Labor Expenditures'!$F$5:$X$5,0)),"NA")</f>
        <v>6743.2155906801063</v>
      </c>
      <c r="K339" s="166">
        <f t="shared" si="914"/>
        <v>56.796930643757477</v>
      </c>
      <c r="L339" s="172">
        <f t="shared" si="921"/>
        <v>0.55425965341738759</v>
      </c>
      <c r="M339" s="172">
        <f t="shared" si="925"/>
        <v>1.1820367469496797E-3</v>
      </c>
      <c r="N339" s="196"/>
      <c r="O339" s="172"/>
      <c r="P339" s="166">
        <f>IFERROR(INDEX('Non-Labor Expenditures'!$F$7:$AB$91,MATCH($C339,'Non-Labor Expenditures'!$D$7:$D$91,0),MATCH($G339,'Non-Labor Expenditures'!$F$5:$AB$5,0)),"NA")</f>
        <v>9765.4356342480023</v>
      </c>
      <c r="Q339" s="166">
        <f t="shared" si="915"/>
        <v>95.953107742210634</v>
      </c>
      <c r="R339" s="172">
        <f t="shared" si="926"/>
        <v>0.55560361783030754</v>
      </c>
      <c r="S339" s="172">
        <f t="shared" si="931"/>
        <v>1.1849029402813953E-3</v>
      </c>
      <c r="T339" s="172"/>
      <c r="U339" s="172"/>
      <c r="V339" s="166">
        <f t="shared" si="896"/>
        <v>7131.3934619308366</v>
      </c>
      <c r="W339" s="170"/>
      <c r="X339" s="174">
        <v>330.07069550590887</v>
      </c>
      <c r="Y339" s="175">
        <v>3.5087587491784478E-2</v>
      </c>
      <c r="Z339" s="175">
        <f t="shared" si="932"/>
        <v>7.4829220422920447E-5</v>
      </c>
      <c r="AA339" s="175"/>
      <c r="AB339" s="175"/>
      <c r="AC339" s="170">
        <f t="shared" si="882"/>
        <v>23640.044686858942</v>
      </c>
      <c r="AD339" s="175">
        <f t="shared" si="927"/>
        <v>0.37186358046094786</v>
      </c>
      <c r="AE339" s="170"/>
      <c r="AF339" s="170"/>
      <c r="AG339" s="121">
        <f t="shared" si="928"/>
        <v>717.10382475456356</v>
      </c>
      <c r="AH339" s="119">
        <f>+AZ339/$BB$51</f>
        <v>9.0463781492117364E-4</v>
      </c>
      <c r="AI339" s="119"/>
      <c r="AJ339" s="176">
        <f t="shared" si="933"/>
        <v>0.64871923709758461</v>
      </c>
      <c r="AK339" s="176">
        <f t="shared" si="934"/>
        <v>0</v>
      </c>
      <c r="AL339" s="120">
        <f t="shared" si="916"/>
        <v>0.28524546717242599</v>
      </c>
      <c r="AM339" s="120">
        <f t="shared" si="917"/>
        <v>0.41308871297000654</v>
      </c>
      <c r="AN339" s="120">
        <f t="shared" si="918"/>
        <v>0.30166581985756757</v>
      </c>
      <c r="AO339" s="120">
        <f t="shared" si="922"/>
        <v>0.36509266030109916</v>
      </c>
      <c r="AP339" s="173">
        <f t="shared" si="938"/>
        <v>163.80626023061041</v>
      </c>
      <c r="AQ339" s="175">
        <f t="shared" si="939"/>
        <v>0.36509266030109916</v>
      </c>
      <c r="AR339" s="177">
        <f>+AC339/$AE$51</f>
        <v>2.1326407932845542E-3</v>
      </c>
      <c r="AS339" s="177">
        <f t="shared" si="935"/>
        <v>7.7861150068690439E-4</v>
      </c>
      <c r="AT339" s="177"/>
      <c r="AU339" s="177"/>
      <c r="AV339" s="177"/>
      <c r="AW339" s="190"/>
      <c r="AX339" s="120"/>
      <c r="AY339" s="120"/>
      <c r="AZ339" s="118">
        <f>IFERROR(INDEX('Total Customers'!$F$7:$AB$91,MATCH($C339,'Total Customers'!$D$7:$D$91,0),MATCH($G339,'Total Customers'!$F$5:$AB$5,0)),"NA")</f>
        <v>32966</v>
      </c>
      <c r="BA339" s="119">
        <f t="shared" si="897"/>
        <v>3.5554242421980018E-3</v>
      </c>
      <c r="BB339" s="119"/>
      <c r="BC339" s="121"/>
      <c r="BD339" s="119"/>
      <c r="BE339" s="119"/>
      <c r="BF339" s="119"/>
      <c r="BG339" s="173"/>
      <c r="BH339" s="173"/>
      <c r="BI339" s="173"/>
      <c r="BJ339" s="173"/>
      <c r="BK339" s="173"/>
      <c r="BL339" s="173"/>
      <c r="BM339" s="173"/>
      <c r="BN339" s="173"/>
      <c r="BO339" s="173"/>
      <c r="BP339" s="173"/>
      <c r="BQ339" s="118"/>
      <c r="BR339" s="118"/>
      <c r="BS339" s="118">
        <f>INDEX('Dist. Plant Gas Additions'!$F$7:$AE$91,MATCH($C339,'Dist. Plant Gas Additions'!$D$7:$D$91,0),MATCH(Calculation!$G339,'Dist. Plant Gas Additions'!$F$5:$AE$5,0))</f>
        <v>8974</v>
      </c>
      <c r="BT339" s="118">
        <f>INDEX('Gen. Plant Additions'!$F$7:$AE$91,MATCH($C339,'Gen. Plant Additions'!$D$7:$D$91,0),MATCH(Calculation!$G339,'Gen. Plant Additions'!$F$5:$AE$5,0))</f>
        <v>191</v>
      </c>
      <c r="BU339" s="118"/>
      <c r="BV339" s="118"/>
      <c r="BW339" s="118">
        <f>INDEX('Dist Plant Depreciation'!$E$7:$AD$94,MATCH($C339,'Dist Plant Depreciation'!$D$7:$D$94,0),MATCH(Calculation!$G339,'Dist Plant Depreciation'!$E$5:$AD$5,0))</f>
        <v>45645</v>
      </c>
      <c r="BX339" s="118">
        <f>INDEX('Gen. Plant Depreciation'!$E$7:$AD$94,MATCH($C339,'Gen. Plant Depreciation'!$D$7:$D$94,0),MATCH(Calculation!$G339,'Gen. Plant Depreciation'!$E$5:$AD$5,0))</f>
        <v>172</v>
      </c>
      <c r="BY339" s="118"/>
      <c r="BZ339" s="118"/>
      <c r="CA339" s="118"/>
      <c r="CB339" s="118"/>
      <c r="CC339" s="118"/>
      <c r="CD339" s="118"/>
      <c r="CE339" s="118">
        <f>INDEX('Gross Dx Plant'!$E$7:$AD$91,MATCH($C339,'Gross Dx Plant'!$D$7:$D$91,0),MATCH(Calculation!$G339,'Gross Dx Plant'!$E$5:$AD$5,0))</f>
        <v>131123</v>
      </c>
      <c r="CF339" s="118">
        <f>INDEX('Gross Gen Plant'!$E$7:$AD$91,MATCH($C339,'Gross Gen Plant'!$D$7:$D$91,0),MATCH(Calculation!$G339,'Gross Gen Plant'!$E$5:$AD$5,0))</f>
        <v>1880</v>
      </c>
      <c r="CG339" s="118">
        <f t="shared" si="834"/>
        <v>87186</v>
      </c>
      <c r="CH339" s="118"/>
      <c r="CI339" s="121">
        <v>2013</v>
      </c>
      <c r="CJ339" s="118"/>
      <c r="CK339" s="118"/>
      <c r="CL339" s="118"/>
      <c r="CM339" s="183"/>
      <c r="CN339" s="118">
        <f t="shared" si="898"/>
        <v>9165</v>
      </c>
      <c r="CO339" s="118">
        <f t="shared" si="899"/>
        <v>13.818352104825172</v>
      </c>
      <c r="CP339" s="186">
        <v>0.90566037735849059</v>
      </c>
      <c r="CQ339" s="118">
        <f>+CQ324*CP339+CO325*CP338+CO326*CP337+CO327*CP336+CO328*CP335+CO329*CP334+CO330*CP333+CO331*CP332+CO332*CP331+CO333*CP330+CO334*CP329+CO335*CP328+CO336*CP327+CO337*CP326+CO338*CP325+CO339</f>
        <v>330.07069550590887</v>
      </c>
      <c r="CR339" s="119">
        <f t="shared" si="900"/>
        <v>3.5087587491784478E-2</v>
      </c>
      <c r="CS339" s="119"/>
      <c r="CT339" s="177">
        <f t="shared" si="901"/>
        <v>7.649416010551335E-3</v>
      </c>
      <c r="CU339" s="177">
        <f t="shared" si="909"/>
        <v>7.444625356418569E-3</v>
      </c>
      <c r="CV339" s="119">
        <f>VLOOKUP($H339,RoR!$E:$F,2,FALSE)</f>
        <v>4.2350000000000006E-2</v>
      </c>
      <c r="CW339" s="177">
        <v>1.7730000000000024E-2</v>
      </c>
      <c r="CX339" s="177">
        <f t="shared" si="907"/>
        <v>2.4619999999999982E-2</v>
      </c>
      <c r="CY339" s="177">
        <f t="shared" si="910"/>
        <v>2.3457316252115057E-2</v>
      </c>
      <c r="CZ339" s="177">
        <f t="shared" si="911"/>
        <v>5.3376742735721204E-2</v>
      </c>
      <c r="DA339" s="187">
        <f t="shared" si="902"/>
        <v>0.84439937500000006</v>
      </c>
      <c r="DB339" s="188">
        <f t="shared" si="903"/>
        <v>1.2109103018193925</v>
      </c>
      <c r="DC339" s="188">
        <f t="shared" si="904"/>
        <v>0.38468122786304604</v>
      </c>
      <c r="DD339" s="188">
        <f t="shared" si="905"/>
        <v>0.80969194503422559</v>
      </c>
      <c r="DE339" s="188">
        <f t="shared" si="906"/>
        <v>0.37716621754800816</v>
      </c>
      <c r="DF339" s="189">
        <f>INDEX('State Tax Lookup'!$D$7:$Z$91,MATCH(Calculation!$C339,'State Tax Lookup'!$B$7:$B$91,0),MATCH($H339,'State Tax Lookup'!$D$6:$Z$6,0))</f>
        <v>0.414935</v>
      </c>
      <c r="DG339" s="189">
        <v>0.375</v>
      </c>
      <c r="DH339" s="190">
        <f t="shared" si="908"/>
        <v>22.377201669081298</v>
      </c>
      <c r="DI339" s="190">
        <v>22.067974869354387</v>
      </c>
      <c r="DJ339" s="177"/>
      <c r="DK339" s="189">
        <f>VLOOKUP($H339,RoR!$E:$F,2,FALSE)</f>
        <v>4.2350000000000006E-2</v>
      </c>
      <c r="DL339" s="191">
        <f>HLOOKUP($H339,'GDP-PI'!$D$8:$CQ$11,3,FALSE)</f>
        <v>1.7730000000000024E-2</v>
      </c>
      <c r="DM339" s="189">
        <f>VLOOKUP(H339,'HW Dx Data'!$E:$F,2,FALSE)</f>
        <v>663.24840548821396</v>
      </c>
      <c r="DN339" s="183">
        <f>VLOOKUP(H339,'ECI - Input Price'!$G$17:$H$37,2,FALSE)</f>
        <v>118.72499999999999</v>
      </c>
      <c r="DO339" s="177">
        <f t="shared" ref="DO339" si="950">LN(DN339/DN338)</f>
        <v>1.8918621429430321E-2</v>
      </c>
      <c r="DP339" s="183">
        <f>HLOOKUP(H339,'GDP-PI'!$8:$9,2,FALSE)</f>
        <v>101.773</v>
      </c>
      <c r="DQ339" s="177">
        <f t="shared" ref="DQ339" si="951">LN(DP339/DP338)</f>
        <v>1.7574657016510519E-2</v>
      </c>
    </row>
    <row r="340" spans="1:121" s="167" customFormat="1" ht="21" x14ac:dyDescent="0.35">
      <c r="A340" s="167" t="s">
        <v>46</v>
      </c>
      <c r="B340" s="168" t="s">
        <v>46</v>
      </c>
      <c r="C340" s="168">
        <v>4088325</v>
      </c>
      <c r="D340" s="168" t="s">
        <v>334</v>
      </c>
      <c r="E340" s="168"/>
      <c r="F340" s="168"/>
      <c r="G340" s="168" t="s">
        <v>20</v>
      </c>
      <c r="H340" s="169">
        <v>2014</v>
      </c>
      <c r="I340" s="170"/>
      <c r="J340" s="166">
        <f>IFERROR(INDEX('Labor Expenditures'!$F$7:$X$91,MATCH($C340,'Labor Expenditures'!$D$7:$D$91,0),MATCH($G340,'Labor Expenditures'!$F$5:$X$5,0)),"NA")</f>
        <v>4582.3217983813502</v>
      </c>
      <c r="K340" s="166">
        <f t="shared" si="914"/>
        <v>37.807935630209158</v>
      </c>
      <c r="L340" s="172">
        <f t="shared" si="921"/>
        <v>-0.40696326840607633</v>
      </c>
      <c r="M340" s="172">
        <f t="shared" si="925"/>
        <v>-6.7163596985861211E-4</v>
      </c>
      <c r="N340" s="196"/>
      <c r="O340" s="172"/>
      <c r="P340" s="166">
        <f>IFERROR(INDEX('Non-Labor Expenditures'!$F$7:$AB$91,MATCH($C340,'Non-Labor Expenditures'!$D$7:$D$91,0),MATCH($G340,'Non-Labor Expenditures'!$F$5:$AB$5,0)),"NA")</f>
        <v>6636.0578237112841</v>
      </c>
      <c r="Q340" s="166">
        <f t="shared" si="915"/>
        <v>64.025565850543515</v>
      </c>
      <c r="R340" s="172">
        <f t="shared" si="926"/>
        <v>-0.40457714110430365</v>
      </c>
      <c r="S340" s="172">
        <f t="shared" si="931"/>
        <v>-6.6769800039318829E-4</v>
      </c>
      <c r="T340" s="172"/>
      <c r="U340" s="172"/>
      <c r="V340" s="166">
        <f t="shared" si="896"/>
        <v>7562.3979913707326</v>
      </c>
      <c r="W340" s="170"/>
      <c r="X340" s="174">
        <v>347.27363229128019</v>
      </c>
      <c r="Y340" s="175">
        <v>5.0806174550625083E-2</v>
      </c>
      <c r="Z340" s="175">
        <f t="shared" si="932"/>
        <v>8.3848486996782542E-5</v>
      </c>
      <c r="AA340" s="175"/>
      <c r="AB340" s="175"/>
      <c r="AC340" s="170">
        <f t="shared" si="882"/>
        <v>18780.777613463368</v>
      </c>
      <c r="AD340" s="175">
        <f t="shared" si="927"/>
        <v>-0.23010820345258198</v>
      </c>
      <c r="AE340" s="170"/>
      <c r="AF340" s="170"/>
      <c r="AG340" s="121">
        <f t="shared" si="928"/>
        <v>566.93264145450439</v>
      </c>
      <c r="AH340" s="119">
        <f>+AZ340/$BB$52</f>
        <v>9.041760195776066E-4</v>
      </c>
      <c r="AI340" s="119"/>
      <c r="AJ340" s="176">
        <f t="shared" si="933"/>
        <v>0.51260689911895219</v>
      </c>
      <c r="AK340" s="176">
        <f t="shared" si="934"/>
        <v>0</v>
      </c>
      <c r="AL340" s="120">
        <f t="shared" si="916"/>
        <v>0.24398999299669163</v>
      </c>
      <c r="AM340" s="120">
        <f t="shared" si="917"/>
        <v>0.35334308090385441</v>
      </c>
      <c r="AN340" s="120">
        <f t="shared" si="918"/>
        <v>0.40266692609945393</v>
      </c>
      <c r="AO340" s="120">
        <f t="shared" si="922"/>
        <v>-0.24483786210546704</v>
      </c>
      <c r="AP340" s="173">
        <f t="shared" si="938"/>
        <v>128.23269296833129</v>
      </c>
      <c r="AQ340" s="175">
        <f t="shared" si="939"/>
        <v>-0.24483786210546701</v>
      </c>
      <c r="AR340" s="177">
        <f>+AC340/$AE$52</f>
        <v>1.6503601725265287E-3</v>
      </c>
      <c r="AS340" s="177">
        <f t="shared" si="935"/>
        <v>-4.0407065634540497E-4</v>
      </c>
      <c r="AT340" s="177"/>
      <c r="AU340" s="177"/>
      <c r="AV340" s="177"/>
      <c r="AW340" s="190"/>
      <c r="AX340" s="120"/>
      <c r="AY340" s="120"/>
      <c r="AZ340" s="118">
        <f>IFERROR(INDEX('Total Customers'!$F$7:$AB$91,MATCH($C340,'Total Customers'!$D$7:$D$91,0),MATCH($G340,'Total Customers'!$F$5:$AB$5,0)),"NA")</f>
        <v>33127</v>
      </c>
      <c r="BA340" s="119">
        <f t="shared" si="897"/>
        <v>4.8719325330732165E-3</v>
      </c>
      <c r="BB340" s="119"/>
      <c r="BC340" s="121"/>
      <c r="BD340" s="119"/>
      <c r="BE340" s="119"/>
      <c r="BF340" s="119"/>
      <c r="BG340" s="173"/>
      <c r="BH340" s="173"/>
      <c r="BI340" s="173"/>
      <c r="BJ340" s="173"/>
      <c r="BK340" s="173"/>
      <c r="BL340" s="173"/>
      <c r="BM340" s="173"/>
      <c r="BN340" s="173"/>
      <c r="BO340" s="173"/>
      <c r="BP340" s="173"/>
      <c r="BQ340" s="118"/>
      <c r="BR340" s="118"/>
      <c r="BS340" s="118">
        <f>INDEX('Dist. Plant Gas Additions'!$F$7:$AE$91,MATCH($C340,'Dist. Plant Gas Additions'!$D$7:$D$91,0),MATCH(Calculation!$G340,'Dist. Plant Gas Additions'!$F$5:$AE$5,0))</f>
        <v>13403</v>
      </c>
      <c r="BT340" s="118">
        <f>INDEX('Gen. Plant Additions'!$F$7:$AE$91,MATCH($C340,'Gen. Plant Additions'!$D$7:$D$91,0),MATCH(Calculation!$G340,'Gen. Plant Additions'!$F$5:$AE$5,0))</f>
        <v>149</v>
      </c>
      <c r="BU340" s="118"/>
      <c r="BV340" s="118"/>
      <c r="BW340" s="118">
        <f>INDEX('Dist Plant Depreciation'!$E$7:$AD$94,MATCH($C340,'Dist Plant Depreciation'!$D$7:$D$94,0),MATCH(Calculation!$G340,'Dist Plant Depreciation'!$E$5:$AD$5,0))</f>
        <v>46704</v>
      </c>
      <c r="BX340" s="118">
        <f>INDEX('Gen. Plant Depreciation'!$E$7:$AD$94,MATCH($C340,'Gen. Plant Depreciation'!$D$7:$D$94,0),MATCH(Calculation!$G340,'Gen. Plant Depreciation'!$E$5:$AD$5,0))</f>
        <v>182</v>
      </c>
      <c r="BY340" s="118"/>
      <c r="BZ340" s="118"/>
      <c r="CA340" s="118"/>
      <c r="CB340" s="118"/>
      <c r="CC340" s="118"/>
      <c r="CD340" s="118"/>
      <c r="CE340" s="118">
        <f>INDEX('Gross Dx Plant'!$E$7:$AD$91,MATCH($C340,'Gross Dx Plant'!$D$7:$D$91,0),MATCH(Calculation!$G340,'Gross Dx Plant'!$E$5:$AD$5,0))</f>
        <v>142799</v>
      </c>
      <c r="CF340" s="118">
        <f>INDEX('Gross Gen Plant'!$E$7:$AD$91,MATCH($C340,'Gross Gen Plant'!$D$7:$D$91,0),MATCH(Calculation!$G340,'Gross Gen Plant'!$E$5:$AD$5,0))</f>
        <v>1993</v>
      </c>
      <c r="CG340" s="118">
        <f t="shared" si="834"/>
        <v>97906</v>
      </c>
      <c r="CH340" s="118"/>
      <c r="CI340" s="121">
        <v>2014</v>
      </c>
      <c r="CJ340" s="118"/>
      <c r="CK340" s="118"/>
      <c r="CL340" s="118"/>
      <c r="CM340" s="183"/>
      <c r="CN340" s="118">
        <f t="shared" si="898"/>
        <v>13552</v>
      </c>
      <c r="CO340" s="118">
        <f t="shared" si="899"/>
        <v>19.799285536179973</v>
      </c>
      <c r="CP340" s="186">
        <v>0.89743589743589747</v>
      </c>
      <c r="CQ340" s="118">
        <f>+CQ324*CP340+CO325*CP339+CO326*CP338+CO327*CP337+CO328*CP336+CO329*CP335+CO330*CP334+CO331*CP333+CO332*CP332+CO333*CP331+CO334*CP330+CO335*CP329+CO336*CP328+CO337*CP327+CO338*CP326+CO339*CP325+CO340</f>
        <v>347.27363229128019</v>
      </c>
      <c r="CR340" s="119">
        <f t="shared" si="900"/>
        <v>5.0806174550625083E-2</v>
      </c>
      <c r="CS340" s="119"/>
      <c r="CT340" s="177">
        <f t="shared" si="901"/>
        <v>7.866038355295835E-3</v>
      </c>
      <c r="CU340" s="177">
        <f t="shared" si="909"/>
        <v>7.6519652262346379E-3</v>
      </c>
      <c r="CV340" s="119">
        <f>VLOOKUP($H340,RoR!$E:$F,2,FALSE)</f>
        <v>4.1625000000000002E-2</v>
      </c>
      <c r="CW340" s="177">
        <v>1.841352814597208E-2</v>
      </c>
      <c r="CX340" s="177">
        <f t="shared" si="907"/>
        <v>2.3211471854027922E-2</v>
      </c>
      <c r="CY340" s="177">
        <f t="shared" si="910"/>
        <v>2.3249976382298986E-2</v>
      </c>
      <c r="CZ340" s="177">
        <f t="shared" si="911"/>
        <v>3.9072621432650924E-2</v>
      </c>
      <c r="DA340" s="187">
        <f t="shared" si="902"/>
        <v>0.84439937500000006</v>
      </c>
      <c r="DB340" s="188">
        <f t="shared" si="903"/>
        <v>1.2320012320012319</v>
      </c>
      <c r="DC340" s="188">
        <f t="shared" si="904"/>
        <v>0.37439939939939942</v>
      </c>
      <c r="DD340" s="188">
        <f t="shared" si="905"/>
        <v>0.80432100613819935</v>
      </c>
      <c r="DE340" s="188">
        <f t="shared" si="906"/>
        <v>0.37100152660040037</v>
      </c>
      <c r="DF340" s="189">
        <f>INDEX('State Tax Lookup'!$D$7:$Z$91,MATCH(Calculation!$C340,'State Tax Lookup'!$B$7:$B$91,0),MATCH($H340,'State Tax Lookup'!$D$6:$Z$6,0))</f>
        <v>0.414935</v>
      </c>
      <c r="DG340" s="189">
        <v>0.375</v>
      </c>
      <c r="DH340" s="190">
        <f t="shared" si="908"/>
        <v>22.91144925719512</v>
      </c>
      <c r="DI340" s="190">
        <v>22.571364126681235</v>
      </c>
      <c r="DJ340" s="177"/>
      <c r="DK340" s="189">
        <f>VLOOKUP($H340,RoR!$E:$F,2,FALSE)</f>
        <v>4.1625000000000002E-2</v>
      </c>
      <c r="DL340" s="191">
        <f>HLOOKUP($H340,'GDP-PI'!$D$8:$CQ$11,3,FALSE)</f>
        <v>1.841352814597208E-2</v>
      </c>
      <c r="DM340" s="189">
        <f>VLOOKUP(H340,'HW Dx Data'!$E:$F,2,FALSE)</f>
        <v>684.46914285042885</v>
      </c>
      <c r="DN340" s="183">
        <f>VLOOKUP(H340,'ECI - Input Price'!$G$17:$H$37,2,FALSE)</f>
        <v>121.2</v>
      </c>
      <c r="DO340" s="177">
        <f t="shared" ref="DO340" si="952">LN(DN340/DN339)</f>
        <v>2.0632179200028689E-2</v>
      </c>
      <c r="DP340" s="183">
        <f>HLOOKUP(H340,'GDP-PI'!$8:$9,2,FALSE)</f>
        <v>103.64700000000001</v>
      </c>
      <c r="DQ340" s="177">
        <f t="shared" ref="DQ340" si="953">LN(DP340/DP339)</f>
        <v>1.8246051898256087E-2</v>
      </c>
    </row>
    <row r="341" spans="1:121" s="167" customFormat="1" ht="21" x14ac:dyDescent="0.35">
      <c r="A341" s="167" t="s">
        <v>46</v>
      </c>
      <c r="B341" s="168" t="s">
        <v>46</v>
      </c>
      <c r="C341" s="168">
        <v>4088325</v>
      </c>
      <c r="D341" s="168" t="s">
        <v>334</v>
      </c>
      <c r="E341" s="168"/>
      <c r="F341" s="168"/>
      <c r="G341" s="168" t="s">
        <v>21</v>
      </c>
      <c r="H341" s="169">
        <v>2015</v>
      </c>
      <c r="I341" s="170"/>
      <c r="J341" s="166">
        <f>IFERROR(INDEX('Labor Expenditures'!$F$7:$X$91,MATCH($C341,'Labor Expenditures'!$D$7:$D$91,0),MATCH($G341,'Labor Expenditures'!$F$5:$X$5,0)),"NA")</f>
        <v>4786.9114993028243</v>
      </c>
      <c r="K341" s="166">
        <f t="shared" si="914"/>
        <v>38.682113125679386</v>
      </c>
      <c r="L341" s="172">
        <f t="shared" si="921"/>
        <v>2.285828215775659E-2</v>
      </c>
      <c r="M341" s="172">
        <f t="shared" si="925"/>
        <v>3.8822852695764375E-5</v>
      </c>
      <c r="N341" s="196"/>
      <c r="O341" s="172"/>
      <c r="P341" s="166">
        <f>IFERROR(INDEX('Non-Labor Expenditures'!$F$7:$AB$91,MATCH($C341,'Non-Labor Expenditures'!$D$7:$D$91,0),MATCH($G341,'Non-Labor Expenditures'!$F$5:$AB$5,0)),"NA")</f>
        <v>6932.341922730754</v>
      </c>
      <c r="Q341" s="166">
        <f t="shared" si="915"/>
        <v>66.250078104060194</v>
      </c>
      <c r="R341" s="172">
        <f t="shared" si="926"/>
        <v>3.4154173785899286E-2</v>
      </c>
      <c r="S341" s="172">
        <f t="shared" si="931"/>
        <v>5.8007966157927617E-5</v>
      </c>
      <c r="T341" s="172"/>
      <c r="U341" s="172"/>
      <c r="V341" s="166">
        <f t="shared" si="896"/>
        <v>7803.5839446948157</v>
      </c>
      <c r="W341" s="170"/>
      <c r="X341" s="174">
        <v>367.92120308561397</v>
      </c>
      <c r="Y341" s="175">
        <v>5.7755758318348199E-2</v>
      </c>
      <c r="Z341" s="175">
        <f t="shared" si="932"/>
        <v>9.8093254867121803E-5</v>
      </c>
      <c r="AA341" s="175"/>
      <c r="AB341" s="175"/>
      <c r="AC341" s="170">
        <f t="shared" si="882"/>
        <v>19522.837366728396</v>
      </c>
      <c r="AD341" s="175">
        <f t="shared" si="927"/>
        <v>3.8751047933134358E-2</v>
      </c>
      <c r="AE341" s="170"/>
      <c r="AF341" s="170"/>
      <c r="AG341" s="121">
        <f t="shared" si="928"/>
        <v>590.75974723056243</v>
      </c>
      <c r="AH341" s="119">
        <f>+AZ341/$BB$53</f>
        <v>8.9467897783669734E-4</v>
      </c>
      <c r="AI341" s="119"/>
      <c r="AJ341" s="176">
        <f t="shared" si="933"/>
        <v>0.52854032679930529</v>
      </c>
      <c r="AK341" s="176">
        <f t="shared" si="934"/>
        <v>0</v>
      </c>
      <c r="AL341" s="120">
        <f t="shared" si="916"/>
        <v>0.24519548103498887</v>
      </c>
      <c r="AM341" s="120">
        <f t="shared" si="917"/>
        <v>0.35508885273741664</v>
      </c>
      <c r="AN341" s="120">
        <f t="shared" si="918"/>
        <v>0.39971566622759441</v>
      </c>
      <c r="AO341" s="120">
        <f t="shared" si="922"/>
        <v>4.086003102562371E-2</v>
      </c>
      <c r="AP341" s="173">
        <f t="shared" si="938"/>
        <v>133.58080269230101</v>
      </c>
      <c r="AQ341" s="175">
        <f t="shared" si="939"/>
        <v>4.0860031025623703E-2</v>
      </c>
      <c r="AR341" s="177">
        <f>+AC341/$AE$53</f>
        <v>1.6984151489524975E-3</v>
      </c>
      <c r="AS341" s="177">
        <f t="shared" si="935"/>
        <v>6.9397295680588344E-5</v>
      </c>
      <c r="AT341" s="177"/>
      <c r="AU341" s="177"/>
      <c r="AV341" s="177"/>
      <c r="AW341" s="190"/>
      <c r="AX341" s="120"/>
      <c r="AY341" s="120"/>
      <c r="AZ341" s="118">
        <f>IFERROR(INDEX('Total Customers'!$F$7:$AB$91,MATCH($C341,'Total Customers'!$D$7:$D$91,0),MATCH($G341,'Total Customers'!$F$5:$AB$5,0)),"NA")</f>
        <v>33047</v>
      </c>
      <c r="BA341" s="119">
        <f t="shared" si="897"/>
        <v>-2.4178692227745254E-3</v>
      </c>
      <c r="BB341" s="119"/>
      <c r="BC341" s="121"/>
      <c r="BD341" s="119"/>
      <c r="BE341" s="119"/>
      <c r="BF341" s="119"/>
      <c r="BG341" s="173"/>
      <c r="BH341" s="173"/>
      <c r="BI341" s="173"/>
      <c r="BJ341" s="173"/>
      <c r="BK341" s="173"/>
      <c r="BL341" s="173"/>
      <c r="BM341" s="173"/>
      <c r="BN341" s="173"/>
      <c r="BO341" s="173"/>
      <c r="BP341" s="173"/>
      <c r="BQ341" s="118"/>
      <c r="BR341" s="118"/>
      <c r="BS341" s="118">
        <f>INDEX('Dist. Plant Gas Additions'!$F$7:$AE$91,MATCH($C341,'Dist. Plant Gas Additions'!$D$7:$D$91,0),MATCH(Calculation!$G341,'Dist. Plant Gas Additions'!$F$5:$AE$5,0))</f>
        <v>15680</v>
      </c>
      <c r="BT341" s="118">
        <f>INDEX('Gen. Plant Additions'!$F$7:$AE$91,MATCH($C341,'Gen. Plant Additions'!$D$7:$D$91,0),MATCH(Calculation!$G341,'Gen. Plant Additions'!$F$5:$AE$5,0))</f>
        <v>156</v>
      </c>
      <c r="BU341" s="118"/>
      <c r="BV341" s="118"/>
      <c r="BW341" s="118">
        <f>INDEX('Dist Plant Depreciation'!$E$7:$AD$94,MATCH($C341,'Dist Plant Depreciation'!$D$7:$D$94,0),MATCH(Calculation!$G341,'Dist Plant Depreciation'!$E$5:$AD$5,0))</f>
        <v>48866</v>
      </c>
      <c r="BX341" s="118">
        <f>INDEX('Gen. Plant Depreciation'!$E$7:$AD$94,MATCH($C341,'Gen. Plant Depreciation'!$D$7:$D$94,0),MATCH(Calculation!$G341,'Gen. Plant Depreciation'!$E$5:$AD$5,0))</f>
        <v>220</v>
      </c>
      <c r="BY341" s="118"/>
      <c r="BZ341" s="118"/>
      <c r="CA341" s="118"/>
      <c r="CB341" s="118"/>
      <c r="CC341" s="118"/>
      <c r="CD341" s="118"/>
      <c r="CE341" s="118">
        <f>INDEX('Gross Dx Plant'!$E$7:$AD$91,MATCH($C341,'Gross Dx Plant'!$D$7:$D$91,0),MATCH(Calculation!$G341,'Gross Dx Plant'!$E$5:$AD$5,0))</f>
        <v>157184</v>
      </c>
      <c r="CF341" s="118">
        <f>INDEX('Gross Gen Plant'!$E$7:$AD$91,MATCH($C341,'Gross Gen Plant'!$D$7:$D$91,0),MATCH(Calculation!$G341,'Gross Gen Plant'!$E$5:$AD$5,0))</f>
        <v>2114</v>
      </c>
      <c r="CG341" s="118">
        <f t="shared" si="834"/>
        <v>110212</v>
      </c>
      <c r="CH341" s="118"/>
      <c r="CI341" s="121">
        <v>2015</v>
      </c>
      <c r="CJ341" s="118"/>
      <c r="CK341" s="118"/>
      <c r="CL341" s="118"/>
      <c r="CM341" s="183"/>
      <c r="CN341" s="118">
        <f t="shared" si="898"/>
        <v>15836</v>
      </c>
      <c r="CO341" s="118">
        <f t="shared" si="899"/>
        <v>23.439397586240251</v>
      </c>
      <c r="CP341" s="186">
        <v>0.88888888888888884</v>
      </c>
      <c r="CQ341" s="118">
        <f>+CQ324*CP341+CO325*CP340+CO326*CP339+CO327*CP338+CO328*CP337+CO329*CP336+CO330*CP335+CO331*CP334+CO332*CP333+CO333*CP332+CO334*CP331+CO335*CP330+CO336*CP329+CO337*CP328+CO338*CP327+CO339*CP326+CO340*CP325+CO341</f>
        <v>367.92120308561397</v>
      </c>
      <c r="CR341" s="119">
        <f t="shared" si="900"/>
        <v>5.7755758318348199E-2</v>
      </c>
      <c r="CS341" s="119"/>
      <c r="CT341" s="177">
        <f t="shared" si="901"/>
        <v>8.0392708582170628E-3</v>
      </c>
      <c r="CU341" s="177">
        <f t="shared" si="909"/>
        <v>7.8515750746880764E-3</v>
      </c>
      <c r="CV341" s="119">
        <f>VLOOKUP($H341,RoR!$E:$F,2,FALSE)</f>
        <v>3.8866666666666674E-2</v>
      </c>
      <c r="CW341" s="177">
        <v>9.5709475431029478E-3</v>
      </c>
      <c r="CX341" s="177">
        <f t="shared" si="907"/>
        <v>2.9295719123563727E-2</v>
      </c>
      <c r="CY341" s="177">
        <f t="shared" si="910"/>
        <v>2.3050366533845547E-2</v>
      </c>
      <c r="CZ341" s="177">
        <f t="shared" si="911"/>
        <v>3.5270373279175926E-3</v>
      </c>
      <c r="DA341" s="187">
        <f t="shared" si="902"/>
        <v>0.84439937500000006</v>
      </c>
      <c r="DB341" s="188">
        <f t="shared" si="903"/>
        <v>1.3194352816994324</v>
      </c>
      <c r="DC341" s="188">
        <f t="shared" si="904"/>
        <v>0.33177530017152673</v>
      </c>
      <c r="DD341" s="188">
        <f t="shared" si="905"/>
        <v>0.78242572977668579</v>
      </c>
      <c r="DE341" s="188">
        <f t="shared" si="906"/>
        <v>0.34251158643433932</v>
      </c>
      <c r="DF341" s="189">
        <f>INDEX('State Tax Lookup'!$D$7:$Z$91,MATCH(Calculation!$C341,'State Tax Lookup'!$B$7:$B$91,0),MATCH($H341,'State Tax Lookup'!$D$6:$Z$6,0))</f>
        <v>0.414935</v>
      </c>
      <c r="DG341" s="189">
        <v>0.375</v>
      </c>
      <c r="DH341" s="190">
        <f t="shared" si="908"/>
        <v>22.470994682802349</v>
      </c>
      <c r="DI341" s="190">
        <v>22.133167619630608</v>
      </c>
      <c r="DJ341" s="177"/>
      <c r="DK341" s="189">
        <f>VLOOKUP($H341,RoR!$E:$F,2,FALSE)</f>
        <v>3.8866666666666674E-2</v>
      </c>
      <c r="DL341" s="191">
        <f>HLOOKUP($H341,'GDP-PI'!$D$8:$CQ$11,3,FALSE)</f>
        <v>9.5709475431029478E-3</v>
      </c>
      <c r="DM341" s="189">
        <f>VLOOKUP(H341,'HW Dx Data'!$E:$F,2,FALSE)</f>
        <v>675.61463308665782</v>
      </c>
      <c r="DN341" s="183">
        <f>VLOOKUP(H341,'ECI - Input Price'!$G$17:$H$37,2,FALSE)</f>
        <v>123.75</v>
      </c>
      <c r="DO341" s="177">
        <f t="shared" ref="DO341" si="954">LN(DN341/DN340)</f>
        <v>2.0821327813585516E-2</v>
      </c>
      <c r="DP341" s="183">
        <f>HLOOKUP(H341,'GDP-PI'!$8:$9,2,FALSE)</f>
        <v>104.639</v>
      </c>
      <c r="DQ341" s="177">
        <f t="shared" ref="DQ341" si="955">LN(DP341/DP340)</f>
        <v>9.5254361854427965E-3</v>
      </c>
    </row>
    <row r="342" spans="1:121" s="167" customFormat="1" ht="21" x14ac:dyDescent="0.35">
      <c r="A342" s="167" t="s">
        <v>46</v>
      </c>
      <c r="B342" s="168" t="s">
        <v>46</v>
      </c>
      <c r="C342" s="168">
        <v>4088325</v>
      </c>
      <c r="D342" s="168" t="s">
        <v>334</v>
      </c>
      <c r="E342" s="168"/>
      <c r="F342" s="168"/>
      <c r="G342" s="168" t="s">
        <v>22</v>
      </c>
      <c r="H342" s="169">
        <v>2016</v>
      </c>
      <c r="I342" s="170"/>
      <c r="J342" s="166">
        <f>IFERROR(INDEX('Labor Expenditures'!$F$7:$X$91,MATCH($C342,'Labor Expenditures'!$D$7:$D$91,0),MATCH($G342,'Labor Expenditures'!$F$5:$X$5,0)),"NA")</f>
        <v>5347.0945751826512</v>
      </c>
      <c r="K342" s="166">
        <f t="shared" si="914"/>
        <v>42.302963411255149</v>
      </c>
      <c r="L342" s="172">
        <f t="shared" si="921"/>
        <v>8.947984054535639E-2</v>
      </c>
      <c r="M342" s="172">
        <f t="shared" si="925"/>
        <v>1.5975712157933241E-4</v>
      </c>
      <c r="N342" s="196"/>
      <c r="O342" s="172"/>
      <c r="P342" s="166">
        <f>IFERROR(INDEX('Non-Labor Expenditures'!$F$7:$AB$91,MATCH($C342,'Non-Labor Expenditures'!$D$7:$D$91,0),MATCH($G342,'Non-Labor Expenditures'!$F$5:$AB$5,0)),"NA")</f>
        <v>7743.5916443710175</v>
      </c>
      <c r="Q342" s="166">
        <f t="shared" si="915"/>
        <v>73.235148335202936</v>
      </c>
      <c r="R342" s="172">
        <f t="shared" si="926"/>
        <v>0.10023883044210884</v>
      </c>
      <c r="S342" s="172">
        <f t="shared" si="931"/>
        <v>1.7896619980891458E-4</v>
      </c>
      <c r="T342" s="172"/>
      <c r="U342" s="172"/>
      <c r="V342" s="166">
        <f t="shared" si="896"/>
        <v>8151.7747115320026</v>
      </c>
      <c r="W342" s="170"/>
      <c r="X342" s="174">
        <v>382.47799180832396</v>
      </c>
      <c r="Y342" s="175">
        <v>3.880232066364471E-2</v>
      </c>
      <c r="Z342" s="175">
        <f t="shared" si="932"/>
        <v>6.9277582772177027E-5</v>
      </c>
      <c r="AA342" s="175"/>
      <c r="AB342" s="175"/>
      <c r="AC342" s="170">
        <f t="shared" si="882"/>
        <v>21242.460931085672</v>
      </c>
      <c r="AD342" s="175">
        <f t="shared" si="927"/>
        <v>8.4417125383873706E-2</v>
      </c>
      <c r="AE342" s="170"/>
      <c r="AF342" s="170"/>
      <c r="AG342" s="121">
        <f t="shared" si="928"/>
        <v>638.98631124671135</v>
      </c>
      <c r="AH342" s="119">
        <f>+AZ342/$BB$54</f>
        <v>8.9223604466557931E-4</v>
      </c>
      <c r="AI342" s="119"/>
      <c r="AJ342" s="176">
        <f t="shared" si="933"/>
        <v>0.5701266189422145</v>
      </c>
      <c r="AK342" s="176">
        <f t="shared" si="934"/>
        <v>0</v>
      </c>
      <c r="AL342" s="120">
        <f t="shared" si="916"/>
        <v>0.25171728419459394</v>
      </c>
      <c r="AM342" s="120">
        <f t="shared" si="917"/>
        <v>0.36453364181733033</v>
      </c>
      <c r="AN342" s="120">
        <f t="shared" si="918"/>
        <v>0.38374907398807567</v>
      </c>
      <c r="AO342" s="120">
        <f t="shared" si="922"/>
        <v>7.3499021145101692E-2</v>
      </c>
      <c r="AP342" s="173">
        <f t="shared" si="938"/>
        <v>143.76867431235954</v>
      </c>
      <c r="AQ342" s="175">
        <f t="shared" si="939"/>
        <v>7.3499021145101609E-2</v>
      </c>
      <c r="AR342" s="177">
        <f>+AC342/$AE$54</f>
        <v>1.7853979243330591E-3</v>
      </c>
      <c r="AS342" s="177">
        <f t="shared" si="935"/>
        <v>1.3122499979297602E-4</v>
      </c>
      <c r="AT342" s="177"/>
      <c r="AU342" s="177"/>
      <c r="AV342" s="177"/>
      <c r="AW342" s="190"/>
      <c r="AX342" s="120"/>
      <c r="AY342" s="120"/>
      <c r="AZ342" s="118">
        <f>IFERROR(INDEX('Total Customers'!$F$7:$AB$91,MATCH($C342,'Total Customers'!$D$7:$D$91,0),MATCH($G342,'Total Customers'!$F$5:$AB$5,0)),"NA")</f>
        <v>33244</v>
      </c>
      <c r="BA342" s="119">
        <f t="shared" si="897"/>
        <v>5.9435090713169346E-3</v>
      </c>
      <c r="BB342" s="119"/>
      <c r="BC342" s="121"/>
      <c r="BD342" s="119"/>
      <c r="BE342" s="119"/>
      <c r="BF342" s="119"/>
      <c r="BG342" s="173"/>
      <c r="BH342" s="173"/>
      <c r="BI342" s="173"/>
      <c r="BJ342" s="173"/>
      <c r="BK342" s="173"/>
      <c r="BL342" s="173"/>
      <c r="BM342" s="173"/>
      <c r="BN342" s="173"/>
      <c r="BO342" s="173"/>
      <c r="BP342" s="173"/>
      <c r="BQ342" s="118"/>
      <c r="BR342" s="118"/>
      <c r="BS342" s="118">
        <f>INDEX('Dist. Plant Gas Additions'!$F$7:$AE$91,MATCH($C342,'Dist. Plant Gas Additions'!$D$7:$D$91,0),MATCH(Calculation!$G342,'Dist. Plant Gas Additions'!$F$5:$AE$5,0))</f>
        <v>11541</v>
      </c>
      <c r="BT342" s="118">
        <f>INDEX('Gen. Plant Additions'!$F$7:$AE$91,MATCH($C342,'Gen. Plant Additions'!$D$7:$D$91,0),MATCH(Calculation!$G342,'Gen. Plant Additions'!$F$5:$AE$5,0))</f>
        <v>257</v>
      </c>
      <c r="BU342" s="118"/>
      <c r="BV342" s="118"/>
      <c r="BW342" s="118">
        <f>INDEX('Dist Plant Depreciation'!$E$7:$AD$94,MATCH($C342,'Dist Plant Depreciation'!$D$7:$D$94,0),MATCH(Calculation!$G342,'Dist Plant Depreciation'!$E$5:$AD$5,0))</f>
        <v>50168</v>
      </c>
      <c r="BX342" s="118">
        <f>INDEX('Gen. Plant Depreciation'!$E$7:$AD$94,MATCH($C342,'Gen. Plant Depreciation'!$D$7:$D$94,0),MATCH(Calculation!$G342,'Gen. Plant Depreciation'!$E$5:$AD$5,0))</f>
        <v>224</v>
      </c>
      <c r="BY342" s="118"/>
      <c r="BZ342" s="118"/>
      <c r="CA342" s="118"/>
      <c r="CB342" s="118"/>
      <c r="CC342" s="118"/>
      <c r="CD342" s="118"/>
      <c r="CE342" s="118">
        <f>INDEX('Gross Dx Plant'!$E$7:$AD$91,MATCH($C342,'Gross Dx Plant'!$D$7:$D$91,0),MATCH(Calculation!$G342,'Gross Dx Plant'!$E$5:$AD$5,0))</f>
        <v>166586</v>
      </c>
      <c r="CF342" s="118">
        <f>INDEX('Gross Gen Plant'!$E$7:$AD$91,MATCH($C342,'Gross Gen Plant'!$D$7:$D$91,0),MATCH(Calculation!$G342,'Gross Gen Plant'!$E$5:$AD$5,0))</f>
        <v>2151</v>
      </c>
      <c r="CG342" s="118">
        <f t="shared" si="834"/>
        <v>118345</v>
      </c>
      <c r="CH342" s="118"/>
      <c r="CI342" s="121">
        <v>2016</v>
      </c>
      <c r="CJ342" s="118"/>
      <c r="CK342" s="118"/>
      <c r="CL342" s="118"/>
      <c r="CM342" s="183"/>
      <c r="CN342" s="118">
        <f t="shared" si="898"/>
        <v>11798</v>
      </c>
      <c r="CO342" s="118">
        <f t="shared" si="899"/>
        <v>17.570761270410902</v>
      </c>
      <c r="CP342" s="186">
        <v>0.88</v>
      </c>
      <c r="CQ342" s="118">
        <f>+CQ324*CP342+CO325*CP341+CO326*CP340+CO327*CP339+CO328*CP338+CO329*CP337+CO330*CP336+CO331*CP335+CO332*CP334+CO333*CP333+CO334*CP332+CO335*CP331+CO336*CP330+CO337*CP329+CO338*CP328+CO339*CP327+CO340*CP326+CO341*CP325+CO342</f>
        <v>382.47799180832396</v>
      </c>
      <c r="CR342" s="119">
        <f t="shared" si="900"/>
        <v>3.880232066364471E-2</v>
      </c>
      <c r="CS342" s="119"/>
      <c r="CT342" s="177">
        <f t="shared" si="901"/>
        <v>8.1918968584139065E-3</v>
      </c>
      <c r="CU342" s="177">
        <f t="shared" si="909"/>
        <v>8.0324020239756003E-3</v>
      </c>
      <c r="CV342" s="119">
        <f>VLOOKUP($H342,RoR!$E:$F,2,FALSE)</f>
        <v>3.6658333333333334E-2</v>
      </c>
      <c r="CW342" s="177">
        <v>1.0483662879041455E-2</v>
      </c>
      <c r="CX342" s="177">
        <f t="shared" si="907"/>
        <v>2.6174670454291879E-2</v>
      </c>
      <c r="CY342" s="177">
        <f t="shared" si="910"/>
        <v>2.2869539584558025E-2</v>
      </c>
      <c r="CZ342" s="177">
        <f t="shared" si="911"/>
        <v>4.301363574220729E-3</v>
      </c>
      <c r="DA342" s="187">
        <f t="shared" si="902"/>
        <v>0.84439937500000006</v>
      </c>
      <c r="DB342" s="188">
        <f t="shared" si="903"/>
        <v>1.3989193348138562</v>
      </c>
      <c r="DC342" s="188">
        <f t="shared" si="904"/>
        <v>0.29302682427824522</v>
      </c>
      <c r="DD342" s="188">
        <f t="shared" si="905"/>
        <v>0.76309497491941802</v>
      </c>
      <c r="DE342" s="188">
        <f t="shared" si="906"/>
        <v>0.31280857135128509</v>
      </c>
      <c r="DF342" s="189">
        <f>INDEX('State Tax Lookup'!$D$7:$Z$91,MATCH(Calculation!$C342,'State Tax Lookup'!$B$7:$B$91,0),MATCH($H342,'State Tax Lookup'!$D$6:$Z$6,0))</f>
        <v>0.414935</v>
      </c>
      <c r="DG342" s="189">
        <v>0.375</v>
      </c>
      <c r="DH342" s="190">
        <f t="shared" si="908"/>
        <v>22.156305869751989</v>
      </c>
      <c r="DI342" s="190">
        <v>21.822512588003331</v>
      </c>
      <c r="DJ342" s="177"/>
      <c r="DK342" s="189">
        <f>VLOOKUP($H342,RoR!$E:$F,2,FALSE)</f>
        <v>3.6658333333333334E-2</v>
      </c>
      <c r="DL342" s="191">
        <f>HLOOKUP($H342,'GDP-PI'!$D$8:$CQ$11,3,FALSE)</f>
        <v>1.0483662879041455E-2</v>
      </c>
      <c r="DM342" s="189">
        <f>VLOOKUP(H342,'HW Dx Data'!$E:$F,2,FALSE)</f>
        <v>671.45639385971219</v>
      </c>
      <c r="DN342" s="183">
        <f>VLOOKUP(H342,'ECI - Input Price'!$G$17:$H$37,2,FALSE)</f>
        <v>126.4</v>
      </c>
      <c r="DO342" s="177">
        <f t="shared" ref="DO342" si="956">LN(DN342/DN341)</f>
        <v>2.11880802639575E-2</v>
      </c>
      <c r="DP342" s="183">
        <f>HLOOKUP(H342,'GDP-PI'!$8:$9,2,FALSE)</f>
        <v>105.736</v>
      </c>
      <c r="DQ342" s="177">
        <f t="shared" ref="DQ342" si="957">LN(DP342/DP341)</f>
        <v>1.0429090367205095E-2</v>
      </c>
    </row>
    <row r="343" spans="1:121" s="167" customFormat="1" ht="21" x14ac:dyDescent="0.35">
      <c r="A343" s="167" t="s">
        <v>46</v>
      </c>
      <c r="B343" s="168" t="s">
        <v>46</v>
      </c>
      <c r="C343" s="168">
        <v>4088325</v>
      </c>
      <c r="D343" s="168" t="s">
        <v>334</v>
      </c>
      <c r="E343" s="168"/>
      <c r="F343" s="168"/>
      <c r="G343" s="168" t="s">
        <v>23</v>
      </c>
      <c r="H343" s="169">
        <v>2017</v>
      </c>
      <c r="I343" s="170"/>
      <c r="J343" s="166">
        <f>IFERROR(INDEX('Labor Expenditures'!$F$7:$X$91,MATCH($C343,'Labor Expenditures'!$D$7:$D$91,0),MATCH($G343,'Labor Expenditures'!$F$5:$X$5,0)),"NA")</f>
        <v>5856.3101794986287</v>
      </c>
      <c r="K343" s="166">
        <f t="shared" si="914"/>
        <v>45.222472428560842</v>
      </c>
      <c r="L343" s="172">
        <f t="shared" si="921"/>
        <v>6.6737000307345529E-2</v>
      </c>
      <c r="M343" s="172">
        <f t="shared" si="925"/>
        <v>1.2380437844700093E-4</v>
      </c>
      <c r="N343" s="196"/>
      <c r="O343" s="172"/>
      <c r="P343" s="166">
        <f>IFERROR(INDEX('Non-Labor Expenditures'!$F$7:$AB$91,MATCH($C343,'Non-Labor Expenditures'!$D$7:$D$91,0),MATCH($G343,'Non-Labor Expenditures'!$F$5:$AB$5,0)),"NA")</f>
        <v>8481.0309477762403</v>
      </c>
      <c r="Q343" s="166">
        <f t="shared" si="915"/>
        <v>78.709533533574998</v>
      </c>
      <c r="R343" s="172">
        <f t="shared" si="926"/>
        <v>7.2088811506435507E-2</v>
      </c>
      <c r="S343" s="172">
        <f t="shared" si="931"/>
        <v>1.3373256904618353E-4</v>
      </c>
      <c r="T343" s="172"/>
      <c r="U343" s="172"/>
      <c r="V343" s="166">
        <f t="shared" si="896"/>
        <v>7640.8187927748259</v>
      </c>
      <c r="W343" s="170"/>
      <c r="X343" s="174">
        <v>404.77973576516143</v>
      </c>
      <c r="Y343" s="175">
        <v>5.6671942996331798E-2</v>
      </c>
      <c r="Z343" s="175">
        <f t="shared" si="932"/>
        <v>1.0513260478793907E-4</v>
      </c>
      <c r="AA343" s="175"/>
      <c r="AB343" s="175"/>
      <c r="AC343" s="170">
        <f t="shared" si="882"/>
        <v>21978.159920049693</v>
      </c>
      <c r="AD343" s="175">
        <f t="shared" si="927"/>
        <v>3.4047176660198485E-2</v>
      </c>
      <c r="AE343" s="170"/>
      <c r="AF343" s="170"/>
      <c r="AG343" s="121">
        <f t="shared" si="928"/>
        <v>660.6595100264434</v>
      </c>
      <c r="AH343" s="119">
        <f>+AZ343/$BB$55</f>
        <v>8.8614512039714697E-4</v>
      </c>
      <c r="AI343" s="119"/>
      <c r="AJ343" s="176">
        <f t="shared" si="933"/>
        <v>0.58544020105390282</v>
      </c>
      <c r="AK343" s="176">
        <f t="shared" si="934"/>
        <v>0</v>
      </c>
      <c r="AL343" s="120">
        <f t="shared" si="916"/>
        <v>0.26646044076493314</v>
      </c>
      <c r="AM343" s="120">
        <f t="shared" si="917"/>
        <v>0.38588448617299281</v>
      </c>
      <c r="AN343" s="120">
        <f t="shared" si="918"/>
        <v>0.34765507306207416</v>
      </c>
      <c r="AO343" s="120">
        <f t="shared" si="922"/>
        <v>6.5064236049248464E-2</v>
      </c>
      <c r="AP343" s="173">
        <f t="shared" si="938"/>
        <v>153.43389388680237</v>
      </c>
      <c r="AQ343" s="175">
        <f t="shared" si="939"/>
        <v>6.5064236049248478E-2</v>
      </c>
      <c r="AR343" s="177">
        <f>+AC343/$AE$55</f>
        <v>1.8551085286548934E-3</v>
      </c>
      <c r="AS343" s="177">
        <f t="shared" si="935"/>
        <v>1.2070121920537601E-4</v>
      </c>
      <c r="AT343" s="177"/>
      <c r="AU343" s="177"/>
      <c r="AV343" s="177"/>
      <c r="AW343" s="190"/>
      <c r="AX343" s="120"/>
      <c r="AY343" s="120"/>
      <c r="AZ343" s="118">
        <f>IFERROR(INDEX('Total Customers'!$F$7:$AB$91,MATCH($C343,'Total Customers'!$D$7:$D$91,0),MATCH($G343,'Total Customers'!$F$5:$AB$5,0)),"NA")</f>
        <v>33267</v>
      </c>
      <c r="BA343" s="119">
        <f t="shared" si="897"/>
        <v>6.9161494840858453E-4</v>
      </c>
      <c r="BB343" s="119"/>
      <c r="BC343" s="121"/>
      <c r="BD343" s="119"/>
      <c r="BE343" s="119"/>
      <c r="BF343" s="119"/>
      <c r="BG343" s="173"/>
      <c r="BH343" s="173"/>
      <c r="BI343" s="173"/>
      <c r="BJ343" s="173"/>
      <c r="BK343" s="173"/>
      <c r="BL343" s="173"/>
      <c r="BM343" s="173"/>
      <c r="BN343" s="173"/>
      <c r="BO343" s="173"/>
      <c r="BP343" s="173"/>
      <c r="BQ343" s="118"/>
      <c r="BR343" s="118"/>
      <c r="BS343" s="118">
        <f>INDEX('Dist. Plant Gas Additions'!$F$7:$AE$91,MATCH($C343,'Dist. Plant Gas Additions'!$D$7:$D$91,0),MATCH(Calculation!$G343,'Dist. Plant Gas Additions'!$F$5:$AE$5,0))</f>
        <v>17957</v>
      </c>
      <c r="BT343" s="118">
        <f>INDEX('Gen. Plant Additions'!$F$7:$AE$91,MATCH($C343,'Gen. Plant Additions'!$D$7:$D$91,0),MATCH(Calculation!$G343,'Gen. Plant Additions'!$F$5:$AE$5,0))</f>
        <v>223</v>
      </c>
      <c r="BU343" s="118"/>
      <c r="BV343" s="118"/>
      <c r="BW343" s="118">
        <f>INDEX('Dist Plant Depreciation'!$E$7:$AD$94,MATCH($C343,'Dist Plant Depreciation'!$D$7:$D$94,0),MATCH(Calculation!$G343,'Dist Plant Depreciation'!$E$5:$AD$5,0))</f>
        <v>51742</v>
      </c>
      <c r="BX343" s="118">
        <f>INDEX('Gen. Plant Depreciation'!$E$7:$AD$94,MATCH($C343,'Gen. Plant Depreciation'!$D$7:$D$94,0),MATCH(Calculation!$G343,'Gen. Plant Depreciation'!$E$5:$AD$5,0))</f>
        <v>206</v>
      </c>
      <c r="BY343" s="118"/>
      <c r="BZ343" s="118"/>
      <c r="CA343" s="118"/>
      <c r="CB343" s="118"/>
      <c r="CC343" s="118"/>
      <c r="CD343" s="118"/>
      <c r="CE343" s="118">
        <f>INDEX('Gross Dx Plant'!$E$7:$AD$91,MATCH($C343,'Gross Dx Plant'!$D$7:$D$91,0),MATCH(Calculation!$G343,'Gross Dx Plant'!$E$5:$AD$5,0))</f>
        <v>182631</v>
      </c>
      <c r="CF343" s="118">
        <f>INDEX('Gross Gen Plant'!$E$7:$AD$91,MATCH($C343,'Gross Gen Plant'!$D$7:$D$91,0),MATCH(Calculation!$G343,'Gross Gen Plant'!$E$5:$AD$5,0))</f>
        <v>2321</v>
      </c>
      <c r="CG343" s="118">
        <f t="shared" si="834"/>
        <v>133004</v>
      </c>
      <c r="CH343" s="118"/>
      <c r="CI343" s="121">
        <v>2017</v>
      </c>
      <c r="CJ343" s="118"/>
      <c r="CK343" s="118"/>
      <c r="CL343" s="118"/>
      <c r="CM343" s="183"/>
      <c r="CN343" s="118">
        <f t="shared" si="898"/>
        <v>18180</v>
      </c>
      <c r="CO343" s="118">
        <f t="shared" si="899"/>
        <v>25.518347264400163</v>
      </c>
      <c r="CP343" s="186">
        <v>0.87074829931972786</v>
      </c>
      <c r="CQ343" s="118">
        <f>+CQ324*CP343+CO325*CP342+CO326*CP341+CO327*CP340+CO328*CP339+CO329*CP338+CO330*CP337+CO331*CP336+CO332*CP335+CO333*CP334+CO334*CP333+CO335*CP332+CO336*CP331+CO337*CP330+CO338*CP329+CO339*CP328+CO340*CP327+CO341*CP326+CO342*CP325+CO343</f>
        <v>404.77973576516143</v>
      </c>
      <c r="CR343" s="119">
        <f t="shared" si="900"/>
        <v>5.6671942996331798E-2</v>
      </c>
      <c r="CS343" s="119"/>
      <c r="CT343" s="177">
        <f t="shared" si="901"/>
        <v>8.409904298950277E-3</v>
      </c>
      <c r="CU343" s="177">
        <f t="shared" si="909"/>
        <v>8.2136906718604154E-3</v>
      </c>
      <c r="CV343" s="119">
        <f>VLOOKUP($H343,RoR!$E:$F,2,FALSE)</f>
        <v>3.7433333333333339E-2</v>
      </c>
      <c r="CW343" s="177">
        <v>1.9056896421275615E-2</v>
      </c>
      <c r="CX343" s="177">
        <f t="shared" si="907"/>
        <v>1.8376436912057724E-2</v>
      </c>
      <c r="CY343" s="177">
        <f t="shared" si="910"/>
        <v>2.2688250936673211E-2</v>
      </c>
      <c r="CZ343" s="177">
        <f t="shared" si="911"/>
        <v>1.3976271617800498E-2</v>
      </c>
      <c r="DA343" s="187">
        <f t="shared" si="902"/>
        <v>0.89689937500000005</v>
      </c>
      <c r="DB343" s="188">
        <f t="shared" si="903"/>
        <v>1.3699568463593395</v>
      </c>
      <c r="DC343" s="188">
        <f t="shared" si="904"/>
        <v>0.30714603739982199</v>
      </c>
      <c r="DD343" s="188">
        <f t="shared" si="905"/>
        <v>0.77007188472689425</v>
      </c>
      <c r="DE343" s="188">
        <f t="shared" si="906"/>
        <v>0.32402839633793828</v>
      </c>
      <c r="DF343" s="189">
        <f>INDEX('State Tax Lookup'!$D$7:$Z$91,MATCH(Calculation!$C343,'State Tax Lookup'!$B$7:$B$91,0),MATCH($H343,'State Tax Lookup'!$D$6:$Z$6,0))</f>
        <v>0.27493499999999998</v>
      </c>
      <c r="DG343" s="189">
        <v>0.375</v>
      </c>
      <c r="DH343" s="190">
        <f t="shared" si="908"/>
        <v>19.977146284024535</v>
      </c>
      <c r="DI343" s="190">
        <v>19.678458303458182</v>
      </c>
      <c r="DJ343" s="177"/>
      <c r="DK343" s="189">
        <f>VLOOKUP($H343,RoR!$E:$F,2,FALSE)</f>
        <v>3.7433333333333339E-2</v>
      </c>
      <c r="DL343" s="191">
        <f>HLOOKUP($H343,'GDP-PI'!$D$8:$CQ$11,3,FALSE)</f>
        <v>1.9056896421275615E-2</v>
      </c>
      <c r="DM343" s="189">
        <f>VLOOKUP(H343,'HW Dx Data'!$E:$F,2,FALSE)</f>
        <v>712.42858370229726</v>
      </c>
      <c r="DN343" s="183">
        <f>VLOOKUP(H343,'ECI - Input Price'!$G$17:$H$37,2,FALSE)</f>
        <v>129.5</v>
      </c>
      <c r="DO343" s="177">
        <f t="shared" ref="DO343" si="958">LN(DN343/DN342)</f>
        <v>2.4229399426835413E-2</v>
      </c>
      <c r="DP343" s="183">
        <f>HLOOKUP(H343,'GDP-PI'!$8:$9,2,FALSE)</f>
        <v>107.751</v>
      </c>
      <c r="DQ343" s="177">
        <f t="shared" ref="DQ343" si="959">LN(DP343/DP342)</f>
        <v>1.8877588227745139E-2</v>
      </c>
    </row>
    <row r="344" spans="1:121" s="167" customFormat="1" ht="21" x14ac:dyDescent="0.35">
      <c r="A344" s="167" t="s">
        <v>46</v>
      </c>
      <c r="B344" s="168" t="s">
        <v>46</v>
      </c>
      <c r="C344" s="168">
        <v>4088325</v>
      </c>
      <c r="D344" s="168" t="s">
        <v>334</v>
      </c>
      <c r="E344" s="168"/>
      <c r="F344" s="168"/>
      <c r="G344" s="168" t="s">
        <v>24</v>
      </c>
      <c r="H344" s="169">
        <v>2018</v>
      </c>
      <c r="I344" s="170"/>
      <c r="J344" s="166">
        <f>IFERROR(INDEX('Labor Expenditures'!$F$7:$X$91,MATCH($C344,'Labor Expenditures'!$D$7:$D$91,0),MATCH($G344,'Labor Expenditures'!$F$5:$X$5,0)),"NA")</f>
        <v>5458.8267704417294</v>
      </c>
      <c r="K344" s="166">
        <f t="shared" si="914"/>
        <v>40.966805031457632</v>
      </c>
      <c r="L344" s="172">
        <f t="shared" si="921"/>
        <v>-9.883203551426098E-2</v>
      </c>
      <c r="M344" s="172">
        <f t="shared" si="925"/>
        <v>-1.676874733655707E-4</v>
      </c>
      <c r="N344" s="196"/>
      <c r="O344" s="172"/>
      <c r="P344" s="166">
        <f>IFERROR(INDEX('Non-Labor Expenditures'!$F$7:$AB$91,MATCH($C344,'Non-Labor Expenditures'!$D$7:$D$91,0),MATCH($G344,'Non-Labor Expenditures'!$F$5:$AB$5,0)),"NA")</f>
        <v>7905.4007318016202</v>
      </c>
      <c r="Q344" s="166">
        <f t="shared" si="915"/>
        <v>71.657518281046578</v>
      </c>
      <c r="R344" s="172">
        <f t="shared" si="926"/>
        <v>-9.3866206324407855E-2</v>
      </c>
      <c r="S344" s="172">
        <f t="shared" si="931"/>
        <v>-1.5926199324995259E-4</v>
      </c>
      <c r="T344" s="172"/>
      <c r="U344" s="172"/>
      <c r="V344" s="166">
        <f t="shared" si="896"/>
        <v>8492.6922385789494</v>
      </c>
      <c r="W344" s="170"/>
      <c r="X344" s="174">
        <v>430.50754799281628</v>
      </c>
      <c r="Y344" s="175">
        <v>6.1621799946894651E-2</v>
      </c>
      <c r="Z344" s="175">
        <f t="shared" si="932"/>
        <v>1.0455318342444129E-4</v>
      </c>
      <c r="AA344" s="175"/>
      <c r="AB344" s="175"/>
      <c r="AC344" s="170">
        <f t="shared" si="882"/>
        <v>21856.919740822297</v>
      </c>
      <c r="AD344" s="175">
        <f t="shared" si="927"/>
        <v>-5.531665019011007E-3</v>
      </c>
      <c r="AE344" s="170"/>
      <c r="AF344" s="170"/>
      <c r="AG344" s="121">
        <f t="shared" si="928"/>
        <v>652.913124053719</v>
      </c>
      <c r="AH344" s="119">
        <f>+AZ344/$BB$56</f>
        <v>8.8396667290375976E-4</v>
      </c>
      <c r="AI344" s="119"/>
      <c r="AJ344" s="176">
        <f t="shared" si="933"/>
        <v>0.57715344196496576</v>
      </c>
      <c r="AK344" s="176">
        <f t="shared" si="934"/>
        <v>0</v>
      </c>
      <c r="AL344" s="120">
        <f t="shared" si="916"/>
        <v>0.24975279385988899</v>
      </c>
      <c r="AM344" s="120">
        <f t="shared" si="917"/>
        <v>0.36168869289649525</v>
      </c>
      <c r="AN344" s="120">
        <f t="shared" si="918"/>
        <v>0.38855851324361584</v>
      </c>
      <c r="AO344" s="120">
        <f t="shared" si="922"/>
        <v>-3.7911728336493471E-2</v>
      </c>
      <c r="AP344" s="173">
        <f t="shared" si="938"/>
        <v>147.7258346458043</v>
      </c>
      <c r="AQ344" s="175">
        <f t="shared" si="939"/>
        <v>-3.7911728336493422E-2</v>
      </c>
      <c r="AR344" s="177">
        <f>+AC344/$AE$56</f>
        <v>1.6966914876641818E-3</v>
      </c>
      <c r="AS344" s="177">
        <f t="shared" si="935"/>
        <v>-6.4324506751165338E-5</v>
      </c>
      <c r="AT344" s="177"/>
      <c r="AU344" s="177"/>
      <c r="AV344" s="177"/>
      <c r="AW344" s="190"/>
      <c r="AX344" s="120"/>
      <c r="AY344" s="120"/>
      <c r="AZ344" s="118">
        <f>IFERROR(INDEX('Total Customers'!$F$7:$AB$91,MATCH($C344,'Total Customers'!$D$7:$D$91,0),MATCH($G344,'Total Customers'!$F$5:$AB$5,0)),"NA")</f>
        <v>33476</v>
      </c>
      <c r="BA344" s="119">
        <f t="shared" si="897"/>
        <v>6.2628495314391488E-3</v>
      </c>
      <c r="BB344" s="119"/>
      <c r="BC344" s="121"/>
      <c r="BD344" s="119"/>
      <c r="BE344" s="119"/>
      <c r="BF344" s="119"/>
      <c r="BG344" s="173"/>
      <c r="BH344" s="173"/>
      <c r="BI344" s="173"/>
      <c r="BJ344" s="173"/>
      <c r="BK344" s="173"/>
      <c r="BL344" s="173"/>
      <c r="BM344" s="173"/>
      <c r="BN344" s="173"/>
      <c r="BO344" s="173"/>
      <c r="BP344" s="173"/>
      <c r="BQ344" s="118"/>
      <c r="BR344" s="118"/>
      <c r="BS344" s="118">
        <f>INDEX('Dist. Plant Gas Additions'!$F$7:$AE$91,MATCH($C344,'Dist. Plant Gas Additions'!$D$7:$D$91,0),MATCH(Calculation!$G344,'Dist. Plant Gas Additions'!$F$5:$AE$5,0))</f>
        <v>21894</v>
      </c>
      <c r="BT344" s="118">
        <f>INDEX('Gen. Plant Additions'!$F$7:$AE$91,MATCH($C344,'Gen. Plant Additions'!$D$7:$D$91,0),MATCH(Calculation!$G344,'Gen. Plant Additions'!$F$5:$AE$5,0))</f>
        <v>153</v>
      </c>
      <c r="BU344" s="118"/>
      <c r="BV344" s="118"/>
      <c r="BW344" s="118">
        <f>INDEX('Dist Plant Depreciation'!$E$7:$AD$94,MATCH($C344,'Dist Plant Depreciation'!$D$7:$D$94,0),MATCH(Calculation!$G344,'Dist Plant Depreciation'!$E$5:$AD$5,0))</f>
        <v>54223</v>
      </c>
      <c r="BX344" s="118">
        <f>INDEX('Gen. Plant Depreciation'!$E$7:$AD$94,MATCH($C344,'Gen. Plant Depreciation'!$D$7:$D$94,0),MATCH(Calculation!$G344,'Gen. Plant Depreciation'!$E$5:$AD$5,0))</f>
        <v>988</v>
      </c>
      <c r="BY344" s="118"/>
      <c r="BZ344" s="118"/>
      <c r="CA344" s="118"/>
      <c r="CB344" s="118"/>
      <c r="CC344" s="118"/>
      <c r="CD344" s="118"/>
      <c r="CE344" s="118">
        <f>INDEX('Gross Dx Plant'!$E$7:$AD$91,MATCH($C344,'Gross Dx Plant'!$D$7:$D$91,0),MATCH(Calculation!$G344,'Gross Dx Plant'!$E$5:$AD$5,0))</f>
        <v>202283</v>
      </c>
      <c r="CF344" s="118">
        <f>INDEX('Gross Gen Plant'!$E$7:$AD$91,MATCH($C344,'Gross Gen Plant'!$D$7:$D$91,0),MATCH(Calculation!$G344,'Gross Gen Plant'!$E$5:$AD$5,0))</f>
        <v>2336</v>
      </c>
      <c r="CG344" s="118">
        <f t="shared" si="834"/>
        <v>149408</v>
      </c>
      <c r="CH344" s="118"/>
      <c r="CI344" s="121">
        <v>2018</v>
      </c>
      <c r="CJ344" s="118"/>
      <c r="CK344" s="118"/>
      <c r="CL344" s="118"/>
      <c r="CM344" s="183"/>
      <c r="CN344" s="118">
        <f t="shared" si="898"/>
        <v>22047</v>
      </c>
      <c r="CO344" s="118">
        <f t="shared" si="899"/>
        <v>29.196037725722736</v>
      </c>
      <c r="CP344" s="186">
        <v>0.86111111111111116</v>
      </c>
      <c r="CQ344" s="118">
        <f>+CQ324*CP344++CO325*CP343+CO326*CP342+CO327*CP341+CO328*CP340+CO329*CP339+CO330*CP338+CO331*CP337+CO332*CP336+CO333*CP335+CO334*CP334+CO335*CP333+CO336*CP332+CO337*CP331+CO338*CP330+CO339*CP329+CO340*CP328+CO341*CP327+CO342*CP326+CO343*CP325+CO344</f>
        <v>430.50754799281628</v>
      </c>
      <c r="CR344" s="119">
        <f t="shared" si="900"/>
        <v>6.1621799946894651E-2</v>
      </c>
      <c r="CS344" s="119"/>
      <c r="CT344" s="177">
        <f t="shared" si="901"/>
        <v>8.5681796582821601E-3</v>
      </c>
      <c r="CU344" s="177">
        <f t="shared" si="909"/>
        <v>8.3899936052154473E-3</v>
      </c>
      <c r="CV344" s="119">
        <f>VLOOKUP($H344,RoR!$E:$F,2,FALSE)</f>
        <v>3.9299999999999995E-2</v>
      </c>
      <c r="CW344" s="177">
        <v>2.386056741932796E-2</v>
      </c>
      <c r="CX344" s="177">
        <f t="shared" si="907"/>
        <v>1.5439432580672034E-2</v>
      </c>
      <c r="CY344" s="177">
        <f t="shared" si="910"/>
        <v>2.2511948003318176E-2</v>
      </c>
      <c r="CZ344" s="177">
        <f t="shared" si="911"/>
        <v>3.8270792163076606E-2</v>
      </c>
      <c r="DA344" s="187">
        <f t="shared" si="902"/>
        <v>0.89689937500000005</v>
      </c>
      <c r="DB344" s="188">
        <f t="shared" si="903"/>
        <v>1.3048868010700074</v>
      </c>
      <c r="DC344" s="188">
        <f t="shared" si="904"/>
        <v>0.33886768447837151</v>
      </c>
      <c r="DD344" s="188">
        <f t="shared" si="905"/>
        <v>0.78602506232557801</v>
      </c>
      <c r="DE344" s="188">
        <f t="shared" si="906"/>
        <v>0.34756768162358759</v>
      </c>
      <c r="DF344" s="189">
        <f>INDEX('State Tax Lookup'!$D$7:$Z$91,MATCH(Calculation!$C344,'State Tax Lookup'!$B$7:$B$91,0),MATCH($H344,'State Tax Lookup'!$D$6:$Z$6,0))</f>
        <v>0.27493499999999998</v>
      </c>
      <c r="DG344" s="189">
        <v>0.375</v>
      </c>
      <c r="DH344" s="190">
        <f t="shared" si="908"/>
        <v>20.981021252274601</v>
      </c>
      <c r="DI344" s="190">
        <v>20.697765412289119</v>
      </c>
      <c r="DJ344" s="177"/>
      <c r="DK344" s="189">
        <f>VLOOKUP($H344,RoR!$E:$F,2,FALSE)</f>
        <v>3.9299999999999995E-2</v>
      </c>
      <c r="DL344" s="191">
        <f>HLOOKUP($H344,'GDP-PI'!$D$8:$CQ$11,3,FALSE)</f>
        <v>2.386056741932796E-2</v>
      </c>
      <c r="DM344" s="189">
        <f>VLOOKUP(H344,'HW Dx Data'!$E:$F,2,FALSE)</f>
        <v>755.13671434174842</v>
      </c>
      <c r="DN344" s="183">
        <f>VLOOKUP(H344,'ECI - Input Price'!$G$17:$H$37,2,FALSE)</f>
        <v>133.25</v>
      </c>
      <c r="DO344" s="177">
        <f t="shared" ref="DO344" si="960">LN(DN344/DN343)</f>
        <v>2.8546181906361531E-2</v>
      </c>
      <c r="DP344" s="183">
        <f>HLOOKUP(H344,'GDP-PI'!$8:$9,2,FALSE)</f>
        <v>110.322</v>
      </c>
      <c r="DQ344" s="177">
        <f t="shared" ref="DQ344" si="961">LN(DP344/DP343)</f>
        <v>2.3580352716508712E-2</v>
      </c>
    </row>
    <row r="345" spans="1:121" s="167" customFormat="1" ht="21" x14ac:dyDescent="0.35">
      <c r="A345" s="167" t="s">
        <v>46</v>
      </c>
      <c r="B345" s="168" t="s">
        <v>46</v>
      </c>
      <c r="C345" s="168">
        <v>4088325</v>
      </c>
      <c r="D345" s="168" t="s">
        <v>334</v>
      </c>
      <c r="E345" s="168"/>
      <c r="F345" s="168"/>
      <c r="G345" s="168" t="s">
        <v>25</v>
      </c>
      <c r="H345" s="169">
        <v>2019</v>
      </c>
      <c r="I345" s="170"/>
      <c r="J345" s="166">
        <f>IFERROR(INDEX('Labor Expenditures'!$F$7:$X$91,MATCH($C345,'Labor Expenditures'!$D$7:$D$91,0),MATCH($G345,'Labor Expenditures'!$F$5:$X$5,0)),"NA")</f>
        <v>4247.7567483600315</v>
      </c>
      <c r="K345" s="166">
        <f t="shared" si="914"/>
        <v>31.039508574059418</v>
      </c>
      <c r="L345" s="172">
        <f t="shared" si="921"/>
        <v>-0.2775012422266987</v>
      </c>
      <c r="M345" s="172">
        <f t="shared" si="925"/>
        <v>-4.0890081169741086E-4</v>
      </c>
      <c r="N345" s="196"/>
      <c r="O345" s="172"/>
      <c r="P345" s="166">
        <f>IFERROR(INDEX('Non-Labor Expenditures'!$F$7:$AB$91,MATCH($C345,'Non-Labor Expenditures'!$D$7:$D$91,0),MATCH($G345,'Non-Labor Expenditures'!$F$5:$AB$5,0)),"NA")</f>
        <v>6151.5451431486517</v>
      </c>
      <c r="Q345" s="166">
        <f t="shared" si="915"/>
        <v>54.769005352202242</v>
      </c>
      <c r="R345" s="172">
        <f t="shared" si="926"/>
        <v>-0.26877364123736652</v>
      </c>
      <c r="S345" s="172">
        <f t="shared" si="931"/>
        <v>-3.960406057391483E-4</v>
      </c>
      <c r="T345" s="172"/>
      <c r="U345" s="172"/>
      <c r="V345" s="166">
        <f t="shared" si="896"/>
        <v>9176.6257566924523</v>
      </c>
      <c r="W345" s="170"/>
      <c r="X345" s="174">
        <v>462.23009867864704</v>
      </c>
      <c r="Y345" s="175">
        <v>7.1097959385996751E-2</v>
      </c>
      <c r="Z345" s="175">
        <f t="shared" si="932"/>
        <v>1.0476354292934611E-4</v>
      </c>
      <c r="AA345" s="175"/>
      <c r="AB345" s="175"/>
      <c r="AC345" s="170">
        <f t="shared" si="882"/>
        <v>19575.927648201134</v>
      </c>
      <c r="AD345" s="175">
        <f t="shared" si="927"/>
        <v>-0.11021693415920074</v>
      </c>
      <c r="AE345" s="170"/>
      <c r="AF345" s="170"/>
      <c r="AG345" s="121">
        <f t="shared" si="928"/>
        <v>580.87082425450683</v>
      </c>
      <c r="AH345" s="119">
        <f>+AZ345/$BB$57</f>
        <v>8.8262744264479926E-4</v>
      </c>
      <c r="AI345" s="119"/>
      <c r="AJ345" s="176">
        <f t="shared" si="933"/>
        <v>0.51269253011873195</v>
      </c>
      <c r="AK345" s="176">
        <f t="shared" si="934"/>
        <v>0</v>
      </c>
      <c r="AL345" s="120">
        <f t="shared" si="916"/>
        <v>0.21698878462857238</v>
      </c>
      <c r="AM345" s="120">
        <f t="shared" si="917"/>
        <v>0.31424028805674137</v>
      </c>
      <c r="AN345" s="120">
        <f t="shared" si="918"/>
        <v>0.46877092731468634</v>
      </c>
      <c r="AO345" s="120">
        <f t="shared" si="922"/>
        <v>-0.12511944375641434</v>
      </c>
      <c r="AP345" s="173">
        <f t="shared" si="938"/>
        <v>130.35202084173002</v>
      </c>
      <c r="AQ345" s="175">
        <f t="shared" si="939"/>
        <v>-0.12511944375641432</v>
      </c>
      <c r="AR345" s="177">
        <f>+AC345/$AE$57</f>
        <v>1.4735098423933112E-3</v>
      </c>
      <c r="AS345" s="177">
        <f t="shared" si="935"/>
        <v>-1.8436473184985281E-4</v>
      </c>
      <c r="AT345" s="177"/>
      <c r="AU345" s="177"/>
      <c r="AV345" s="177"/>
      <c r="AW345" s="190"/>
      <c r="AX345" s="120"/>
      <c r="AY345" s="120"/>
      <c r="AZ345" s="118">
        <f>IFERROR(INDEX('Total Customers'!$F$7:$AB$91,MATCH($C345,'Total Customers'!$D$7:$D$91,0),MATCH($G345,'Total Customers'!$F$5:$AB$5,0)),"NA")</f>
        <v>33701</v>
      </c>
      <c r="BA345" s="119">
        <f t="shared" si="897"/>
        <v>6.6987463379405924E-3</v>
      </c>
      <c r="BB345" s="119"/>
      <c r="BC345" s="121"/>
      <c r="BD345" s="119"/>
      <c r="BE345" s="119"/>
      <c r="BF345" s="119"/>
      <c r="BG345" s="173"/>
      <c r="BH345" s="173"/>
      <c r="BI345" s="173"/>
      <c r="BJ345" s="173"/>
      <c r="BK345" s="173"/>
      <c r="BL345" s="173"/>
      <c r="BM345" s="173"/>
      <c r="BN345" s="173"/>
      <c r="BO345" s="173"/>
      <c r="BP345" s="173"/>
      <c r="BQ345" s="118"/>
      <c r="BR345" s="118"/>
      <c r="BS345" s="118">
        <f>INDEX('Dist. Plant Gas Additions'!$F$7:$AE$91,MATCH($C345,'Dist. Plant Gas Additions'!$D$7:$D$91,0),MATCH(Calculation!$G345,'Dist. Plant Gas Additions'!$F$5:$AE$5,0))</f>
        <v>26770</v>
      </c>
      <c r="BT345" s="118">
        <f>INDEX('Gen. Plant Additions'!$F$7:$AE$91,MATCH($C345,'Gen. Plant Additions'!$D$7:$D$91,0),MATCH(Calculation!$G345,'Gen. Plant Additions'!$F$5:$AE$5,0))</f>
        <v>669</v>
      </c>
      <c r="BU345" s="118"/>
      <c r="BV345" s="118"/>
      <c r="BW345" s="118">
        <f>INDEX('Dist Plant Depreciation'!$E$7:$AD$94,MATCH($C345,'Dist Plant Depreciation'!$D$7:$D$94,0),MATCH(Calculation!$G345,'Dist Plant Depreciation'!$E$5:$AD$5,0))</f>
        <v>57307</v>
      </c>
      <c r="BX345" s="118">
        <f>INDEX('Gen. Plant Depreciation'!$E$7:$AD$94,MATCH($C345,'Gen. Plant Depreciation'!$D$7:$D$94,0),MATCH(Calculation!$G345,'Gen. Plant Depreciation'!$E$5:$AD$5,0))</f>
        <v>1055</v>
      </c>
      <c r="BY345" s="118"/>
      <c r="BZ345" s="118"/>
      <c r="CA345" s="118"/>
      <c r="CB345" s="118"/>
      <c r="CC345" s="118"/>
      <c r="CD345" s="118"/>
      <c r="CE345" s="118">
        <f>INDEX('Gross Dx Plant'!$E$7:$AD$91,MATCH($C345,'Gross Dx Plant'!$D$7:$D$91,0),MATCH(Calculation!$G345,'Gross Dx Plant'!$E$5:$AD$5,0))</f>
        <v>227295</v>
      </c>
      <c r="CF345" s="118">
        <f>INDEX('Gross Gen Plant'!$E$7:$AD$91,MATCH($C345,'Gross Gen Plant'!$D$7:$D$91,0),MATCH(Calculation!$G345,'Gross Gen Plant'!$E$5:$AD$5,0))</f>
        <v>2945</v>
      </c>
      <c r="CG345" s="118">
        <f t="shared" si="834"/>
        <v>171878</v>
      </c>
      <c r="CH345" s="118"/>
      <c r="CI345" s="121">
        <v>2019</v>
      </c>
      <c r="CJ345" s="118"/>
      <c r="CK345" s="118"/>
      <c r="CL345" s="118"/>
      <c r="CM345" s="183"/>
      <c r="CN345" s="118">
        <f t="shared" si="898"/>
        <v>27439</v>
      </c>
      <c r="CO345" s="118">
        <f t="shared" si="899"/>
        <v>35.472018129000162</v>
      </c>
      <c r="CP345" s="186">
        <v>0.85106382978723405</v>
      </c>
      <c r="CQ345" s="118">
        <f>CQ324*CP345+CO325*CP344+CO326*CP343+CO327*CP342+CO328*CP341+CO329*CP340+CO330*CP339+CO331*CP338+CO332*CP337+CO333*CP336+CO334*CP335+CO335*CP334+CO336*CP333+CO337*CP332+CO338*CP331+CO339*CP330+CO340*CP329+CO341*CP328+CO342*CP327+CO343*CP326+CO344*CP325+CO345</f>
        <v>462.23009867864704</v>
      </c>
      <c r="CR345" s="119">
        <f t="shared" si="900"/>
        <v>7.1097959385996751E-2</v>
      </c>
      <c r="CS345" s="119"/>
      <c r="CT345" s="177">
        <f t="shared" si="901"/>
        <v>8.7094116250709119E-3</v>
      </c>
      <c r="CU345" s="177">
        <f t="shared" si="909"/>
        <v>8.5624985274344503E-3</v>
      </c>
      <c r="CV345" s="119">
        <f>VLOOKUP($H345,RoR!$E:$F,2,FALSE)</f>
        <v>3.3875000000000009E-2</v>
      </c>
      <c r="CW345" s="177">
        <v>1.8092492884465461E-2</v>
      </c>
      <c r="CX345" s="177">
        <f t="shared" si="907"/>
        <v>1.5782507115534548E-2</v>
      </c>
      <c r="CY345" s="177">
        <f t="shared" si="910"/>
        <v>2.2339443081099176E-2</v>
      </c>
      <c r="CZ345" s="177">
        <f t="shared" si="911"/>
        <v>4.8445665544254078E-2</v>
      </c>
      <c r="DA345" s="187">
        <f t="shared" si="902"/>
        <v>0.89689937500000005</v>
      </c>
      <c r="DB345" s="188">
        <f t="shared" si="903"/>
        <v>1.513861292459078</v>
      </c>
      <c r="DC345" s="188">
        <f t="shared" si="904"/>
        <v>0.23699261992619944</v>
      </c>
      <c r="DD345" s="188">
        <f t="shared" si="905"/>
        <v>0.73619765810468829</v>
      </c>
      <c r="DE345" s="188">
        <f t="shared" si="906"/>
        <v>0.26412854465362851</v>
      </c>
      <c r="DF345" s="189">
        <f>INDEX('State Tax Lookup'!$D$7:$Z$91,MATCH(Calculation!$C345,'State Tax Lookup'!$B$7:$B$91,0),MATCH($H345,'State Tax Lookup'!$D$6:$Z$6,0))</f>
        <v>0.27493499999999998</v>
      </c>
      <c r="DG345" s="189">
        <v>0.375</v>
      </c>
      <c r="DH345" s="190">
        <f t="shared" si="908"/>
        <v>21.315830116050787</v>
      </c>
      <c r="DI345" s="190">
        <v>21.065899266662942</v>
      </c>
      <c r="DJ345" s="177"/>
      <c r="DK345" s="189">
        <f>VLOOKUP($H345,RoR!$E:$F,2,FALSE)</f>
        <v>3.3875000000000009E-2</v>
      </c>
      <c r="DL345" s="191">
        <f>HLOOKUP($H345,'GDP-PI'!$D$8:$CQ$11,3,FALSE)</f>
        <v>1.8092492884465461E-2</v>
      </c>
      <c r="DM345" s="189">
        <f>VLOOKUP(H345,'HW Dx Data'!$E:$F,2,FALSE)</f>
        <v>773.53929793938721</v>
      </c>
      <c r="DN345" s="183">
        <f>VLOOKUP(H345,'ECI - Input Price'!$G$17:$H$37,2,FALSE)</f>
        <v>136.85</v>
      </c>
      <c r="DO345" s="177">
        <f t="shared" ref="DO345" si="962">LN(DN345/DN344)</f>
        <v>2.6658372440734168E-2</v>
      </c>
      <c r="DP345" s="183">
        <f>HLOOKUP(H345,'GDP-PI'!$8:$9,2,FALSE)</f>
        <v>112.318</v>
      </c>
      <c r="DQ345" s="177">
        <f t="shared" ref="DQ345" si="963">LN(DP345/DP344)</f>
        <v>1.7930771451401852E-2</v>
      </c>
    </row>
    <row r="346" spans="1:121" s="167" customFormat="1" ht="21" x14ac:dyDescent="0.35">
      <c r="A346" s="167" t="s">
        <v>46</v>
      </c>
      <c r="B346" s="167" t="s">
        <v>46</v>
      </c>
      <c r="C346" s="167">
        <v>4088325</v>
      </c>
      <c r="D346" s="167" t="s">
        <v>334</v>
      </c>
      <c r="G346" s="168" t="s">
        <v>26</v>
      </c>
      <c r="H346" s="169">
        <v>2020</v>
      </c>
      <c r="I346" s="170"/>
      <c r="J346" s="166">
        <f>IFERROR(INDEX('Labor Expenditures'!$F$7:$X$91,MATCH($C346,'Labor Expenditures'!$D$7:$D$91,0),MATCH($G346,'Labor Expenditures'!$F$5:$X$5,0)),"NA")</f>
        <v>4734.0903339342522</v>
      </c>
      <c r="K346" s="166">
        <f t="shared" si="914"/>
        <v>33.706588351258475</v>
      </c>
      <c r="L346" s="172">
        <f t="shared" si="921"/>
        <v>8.2432455119608949E-2</v>
      </c>
      <c r="M346" s="172">
        <f t="shared" si="925"/>
        <v>1.3172486483077121E-4</v>
      </c>
      <c r="N346" s="196"/>
      <c r="O346" s="172"/>
      <c r="P346" s="166">
        <f>IFERROR(INDEX('Non-Labor Expenditures'!$F$7:$AB$91,MATCH($C346,'Non-Labor Expenditures'!$D$7:$D$91,0),MATCH($G346,'Non-Labor Expenditures'!$F$5:$AB$5,0)),"NA")</f>
        <v>6855.8470096442315</v>
      </c>
      <c r="Q346" s="166">
        <f t="shared" si="915"/>
        <v>60.338549498290234</v>
      </c>
      <c r="R346" s="172">
        <f t="shared" si="926"/>
        <v>9.6846756451780577E-2</v>
      </c>
      <c r="S346" s="172">
        <f t="shared" si="931"/>
        <v>1.5475853393422421E-4</v>
      </c>
      <c r="T346" s="172"/>
      <c r="U346" s="172"/>
      <c r="V346" s="166">
        <f t="shared" si="896"/>
        <v>10296.974780438095</v>
      </c>
      <c r="W346" s="170"/>
      <c r="X346" s="174">
        <v>484.53788702353671</v>
      </c>
      <c r="Y346" s="175">
        <v>4.7132810280058141E-2</v>
      </c>
      <c r="Z346" s="175">
        <f t="shared" si="932"/>
        <v>7.5316973808756E-5</v>
      </c>
      <c r="AA346" s="175"/>
      <c r="AB346" s="175"/>
      <c r="AC346" s="170">
        <f t="shared" si="882"/>
        <v>21886.912124016577</v>
      </c>
      <c r="AD346" s="175">
        <f t="shared" si="927"/>
        <v>0.11158820807899535</v>
      </c>
      <c r="AE346" s="170"/>
      <c r="AF346" s="170"/>
      <c r="AG346" s="121">
        <f t="shared" si="928"/>
        <v>644.22535244647599</v>
      </c>
      <c r="AH346" s="119">
        <f>+AZ346/$BB$58</f>
        <v>8.8352161197782146E-4</v>
      </c>
      <c r="AI346" s="119"/>
      <c r="AJ346" s="176">
        <f t="shared" si="933"/>
        <v>0.56918702187049064</v>
      </c>
      <c r="AK346" s="176">
        <f t="shared" si="934"/>
        <v>0</v>
      </c>
      <c r="AL346" s="120">
        <f t="shared" si="916"/>
        <v>0.21629777225356153</v>
      </c>
      <c r="AM346" s="120">
        <f t="shared" si="917"/>
        <v>0.31323957307441691</v>
      </c>
      <c r="AN346" s="120">
        <f t="shared" si="918"/>
        <v>0.47046265467202164</v>
      </c>
      <c r="AO346" s="120">
        <f t="shared" si="922"/>
        <v>7.0377491085960864E-2</v>
      </c>
      <c r="AP346" s="173">
        <f t="shared" si="938"/>
        <v>139.85639337410825</v>
      </c>
      <c r="AQ346" s="175">
        <f t="shared" si="939"/>
        <v>7.0377491085960961E-2</v>
      </c>
      <c r="AR346" s="177">
        <f>+AC346/$AE$58</f>
        <v>1.5979733302816141E-3</v>
      </c>
      <c r="AS346" s="177">
        <f t="shared" si="935"/>
        <v>1.1246135380749764E-4</v>
      </c>
      <c r="AT346" s="177"/>
      <c r="AU346" s="177"/>
      <c r="AV346" s="177"/>
      <c r="AW346" s="190"/>
      <c r="AX346" s="120"/>
      <c r="AY346" s="120"/>
      <c r="AZ346" s="118">
        <f>IFERROR(INDEX('Total Customers'!$F$7:$AB$91,MATCH($C346,'Total Customers'!$D$7:$D$91,0),MATCH($G346,'Total Customers'!$F$5:$AB$5,0)),"NA")</f>
        <v>33974</v>
      </c>
      <c r="BA346" s="119">
        <f t="shared" si="897"/>
        <v>8.0680156885511948E-3</v>
      </c>
      <c r="BB346" s="119"/>
      <c r="BC346" s="121"/>
      <c r="BD346" s="119"/>
      <c r="BE346" s="119"/>
      <c r="BF346" s="119"/>
      <c r="BG346" s="173"/>
      <c r="BH346" s="173"/>
      <c r="BI346" s="173"/>
      <c r="BJ346" s="173"/>
      <c r="BK346" s="173"/>
      <c r="BL346" s="173"/>
      <c r="BM346" s="173"/>
      <c r="BN346" s="173"/>
      <c r="BO346" s="173"/>
      <c r="BP346" s="173"/>
      <c r="BQ346" s="118"/>
      <c r="BR346" s="118"/>
      <c r="BS346" s="118">
        <f>INDEX('Dist. Plant Gas Additions'!$F$7:$AE$91,MATCH($C346,'Dist. Plant Gas Additions'!$D$7:$D$91,0),MATCH(Calculation!$G346,'Dist. Plant Gas Additions'!$F$5:$AE$5,0))</f>
        <v>21186</v>
      </c>
      <c r="BT346" s="118">
        <f>INDEX('Gen. Plant Additions'!$F$7:$AE$91,MATCH($C346,'Gen. Plant Additions'!$D$7:$D$91,0),MATCH(Calculation!$G346,'Gen. Plant Additions'!$F$5:$AE$5,0))</f>
        <v>265</v>
      </c>
      <c r="BU346" s="118"/>
      <c r="BV346" s="118"/>
      <c r="BW346" s="118">
        <f>INDEX('Dist Plant Depreciation'!$E$7:$AD$94,MATCH($C346,'Dist Plant Depreciation'!$D$7:$D$94,0),MATCH(Calculation!$G346,'Dist Plant Depreciation'!$E$5:$AD$5,0))</f>
        <v>59959</v>
      </c>
      <c r="BX346" s="118">
        <f>INDEX('Gen. Plant Depreciation'!$E$7:$AD$94,MATCH($C346,'Gen. Plant Depreciation'!$D$7:$D$94,0),MATCH(Calculation!$G346,'Gen. Plant Depreciation'!$E$5:$AD$5,0))</f>
        <v>1106</v>
      </c>
      <c r="BY346" s="118"/>
      <c r="BZ346" s="118"/>
      <c r="CA346" s="118"/>
      <c r="CB346" s="118"/>
      <c r="CC346" s="118"/>
      <c r="CD346" s="118"/>
      <c r="CE346" s="118">
        <f>INDEX('Gross Dx Plant'!$E$7:$AD$91,MATCH($C346,'Gross Dx Plant'!$D$7:$D$91,0),MATCH(Calculation!$G346,'Gross Dx Plant'!$E$5:$AD$5,0))</f>
        <v>245278</v>
      </c>
      <c r="CF346" s="118">
        <f>INDEX('Gross Gen Plant'!$E$7:$AD$91,MATCH($C346,'Gross Gen Plant'!$D$7:$D$91,0),MATCH(Calculation!$G346,'Gross Gen Plant'!$E$5:$AD$5,0))</f>
        <v>3174</v>
      </c>
      <c r="CG346" s="118">
        <f t="shared" si="834"/>
        <v>187387</v>
      </c>
      <c r="CH346" s="118"/>
      <c r="CI346" s="121">
        <v>2020</v>
      </c>
      <c r="CJ346" s="118"/>
      <c r="CK346" s="118"/>
      <c r="CL346" s="118"/>
      <c r="CM346" s="183"/>
      <c r="CN346" s="118">
        <f t="shared" si="898"/>
        <v>21451</v>
      </c>
      <c r="CO346" s="118">
        <f t="shared" si="899"/>
        <v>26.382392524655998</v>
      </c>
      <c r="CP346" s="186">
        <v>0.84057971014492749</v>
      </c>
      <c r="CQ346" s="118">
        <f>CQ324*CP346+CO325*CP345+CO326*CP344+CO327*CP343+CO328*CP342+CO329*CP341+CO330*CP340+CO331*CP339+CO332*CP338+CO333*CP337+CO334*CP336+CO335*CP335+CO336*CP334+CO337*CP333+CO338*CP332+CO339*CP331+CO340*CP330+CO341*CP329+CO342*CP328+CO343*CP327+CO344*CP326+CO345*CP325+CO346</f>
        <v>484.53788702353671</v>
      </c>
      <c r="CR346" s="119">
        <f t="shared" si="900"/>
        <v>4.7132810280058141E-2</v>
      </c>
      <c r="CS346" s="119"/>
      <c r="CT346" s="177">
        <f t="shared" si="901"/>
        <v>8.8150992144695531E-3</v>
      </c>
      <c r="CU346" s="177">
        <f t="shared" si="909"/>
        <v>8.697563499274209E-3</v>
      </c>
      <c r="CV346" s="119">
        <f>VLOOKUP($H346,RoR!$E:$F,2,FALSE)</f>
        <v>2.4766666666666666E-2</v>
      </c>
      <c r="CW346" s="177">
        <v>1.1618796630994188E-2</v>
      </c>
      <c r="CX346" s="177">
        <f t="shared" si="907"/>
        <v>1.3147870035672478E-2</v>
      </c>
      <c r="CY346" s="177">
        <f t="shared" si="910"/>
        <v>2.2204378109259418E-2</v>
      </c>
      <c r="CZ346" s="177">
        <f t="shared" si="911"/>
        <v>4.5144642961987357E-2</v>
      </c>
      <c r="DA346" s="187">
        <f t="shared" si="902"/>
        <v>0.89689937500000005</v>
      </c>
      <c r="DB346" s="188">
        <f t="shared" si="903"/>
        <v>2.0706077233668081</v>
      </c>
      <c r="DC346" s="188">
        <f t="shared" si="904"/>
        <v>-3.4421265141318998E-2</v>
      </c>
      <c r="DD346" s="188">
        <f t="shared" si="905"/>
        <v>0.62416226176410472</v>
      </c>
      <c r="DE346" s="188">
        <f t="shared" si="906"/>
        <v>-4.4485877841158712E-2</v>
      </c>
      <c r="DF346" s="189">
        <f>INDEX('State Tax Lookup'!$D$7:$Z$91,MATCH(Calculation!$C346,'State Tax Lookup'!$B$7:$B$91,0),MATCH($H346,'State Tax Lookup'!$D$6:$Z$6,0))</f>
        <v>0.27493499999999998</v>
      </c>
      <c r="DG346" s="189">
        <v>0.375</v>
      </c>
      <c r="DH346" s="190">
        <f t="shared" si="908"/>
        <v>22.276729295373705</v>
      </c>
      <c r="DI346" s="190">
        <v>22.082718383485432</v>
      </c>
      <c r="DJ346" s="177"/>
      <c r="DK346" s="189">
        <f>VLOOKUP($H346,RoR!$E:$F,2,FALSE)</f>
        <v>2.4766666666666666E-2</v>
      </c>
      <c r="DL346" s="191">
        <f>HLOOKUP($H346,'GDP-PI'!$D$8:$CQ$11,3,FALSE)</f>
        <v>1.1618796630994188E-2</v>
      </c>
      <c r="DM346" s="189">
        <f>VLOOKUP(H346,'HW Dx Data'!$E:$F,2,FALSE)</f>
        <v>813.080162458833</v>
      </c>
      <c r="DN346" s="183">
        <f>VLOOKUP(H346,'ECI - Input Price'!$G$17:$H$37,2,FALSE)</f>
        <v>140.44999999999999</v>
      </c>
      <c r="DO346" s="177">
        <f t="shared" ref="DO346" si="964">LN(DN346/DN345)</f>
        <v>2.5966118063564539E-2</v>
      </c>
      <c r="DP346" s="183">
        <f>HLOOKUP(H346,'GDP-PI'!$8:$9,2,FALSE)</f>
        <v>113.623</v>
      </c>
      <c r="DQ346" s="177">
        <f t="shared" ref="DQ346" si="965">LN(DP346/DP345)</f>
        <v>1.1551816731392881E-2</v>
      </c>
    </row>
    <row r="347" spans="1:121" s="167" customFormat="1" ht="21" x14ac:dyDescent="0.35">
      <c r="A347" s="167" t="s">
        <v>46</v>
      </c>
      <c r="B347" s="167" t="s">
        <v>46</v>
      </c>
      <c r="C347" s="167">
        <v>4088325</v>
      </c>
      <c r="D347" s="167" t="s">
        <v>334</v>
      </c>
      <c r="G347" s="168" t="s">
        <v>462</v>
      </c>
      <c r="H347" s="169">
        <v>2021</v>
      </c>
      <c r="I347" s="170"/>
      <c r="J347" s="166">
        <f>IFERROR(INDEX('Labor Expenditures'!$E$7:$X$91,MATCH($C347,'Labor Expenditures'!$D$7:$D$91,0),MATCH($G347,'Labor Expenditures'!$E$5:$X$5,0)),"NA")</f>
        <v>18714.971467142848</v>
      </c>
      <c r="K347" s="166">
        <f t="shared" si="914"/>
        <v>128.64733780472827</v>
      </c>
      <c r="L347" s="171">
        <f t="shared" si="921"/>
        <v>1.3393815269083176</v>
      </c>
      <c r="M347" s="172">
        <f t="shared" si="925"/>
        <v>4.8375707774293833E-3</v>
      </c>
      <c r="N347" s="196"/>
      <c r="O347" s="172"/>
      <c r="P347" s="166">
        <f>IFERROR(INDEX('Non-Labor Expenditures'!$E$7:$AB$91,MATCH($C347,'Non-Labor Expenditures'!$D$7:$D$91,0),MATCH($G347,'Non-Labor Expenditures'!$E$5:$AB$5,0)),"NA")</f>
        <v>26381.345321153171</v>
      </c>
      <c r="Q347" s="166">
        <f t="shared" si="915"/>
        <v>222.64617538318146</v>
      </c>
      <c r="R347" s="172">
        <f t="shared" si="926"/>
        <v>1.3056126592781809</v>
      </c>
      <c r="S347" s="172">
        <f t="shared" si="931"/>
        <v>4.7156045684347654E-3</v>
      </c>
      <c r="T347" s="172"/>
      <c r="U347" s="172"/>
      <c r="V347" s="166">
        <f t="shared" si="896"/>
        <v>8171.9708888453497</v>
      </c>
      <c r="W347" s="170"/>
      <c r="X347" s="174">
        <v>504.54995220276902</v>
      </c>
      <c r="Y347" s="175"/>
      <c r="Z347" s="175">
        <f t="shared" si="932"/>
        <v>0</v>
      </c>
      <c r="AA347" s="175"/>
      <c r="AB347" s="175"/>
      <c r="AC347" s="170">
        <f t="shared" si="882"/>
        <v>53268.287677141372</v>
      </c>
      <c r="AD347" s="175">
        <f t="shared" si="927"/>
        <v>0.88945233791882417</v>
      </c>
      <c r="AE347" s="118"/>
      <c r="AF347" s="119"/>
      <c r="AG347" s="121">
        <f t="shared" si="928"/>
        <v>1544.9487420499831</v>
      </c>
      <c r="AH347" s="119">
        <f>+AZ347/$BB$59</f>
        <v>8.8461734283326425E-4</v>
      </c>
      <c r="AI347" s="119"/>
      <c r="AJ347" s="176">
        <f t="shared" si="933"/>
        <v>1.3666884510058503</v>
      </c>
      <c r="AK347" s="176">
        <f t="shared" si="934"/>
        <v>0</v>
      </c>
      <c r="AL347" s="120">
        <f t="shared" si="916"/>
        <v>0.35133420433136742</v>
      </c>
      <c r="AM347" s="120">
        <f t="shared" si="917"/>
        <v>0.49525423984060224</v>
      </c>
      <c r="AN347" s="120">
        <f t="shared" si="918"/>
        <v>0.15341155582803026</v>
      </c>
      <c r="AO347" s="120">
        <f t="shared" si="922"/>
        <v>0.9079277703051214</v>
      </c>
      <c r="AP347" s="173">
        <f t="shared" si="938"/>
        <v>346.72914210735263</v>
      </c>
      <c r="AQ347" s="175">
        <f t="shared" si="939"/>
        <v>0.9079277703051214</v>
      </c>
      <c r="AR347" s="177">
        <f>+AC347/$AE$59</f>
        <v>3.6117944590410359E-3</v>
      </c>
      <c r="AS347" s="177">
        <f t="shared" si="935"/>
        <v>3.2792484899975198E-3</v>
      </c>
      <c r="AT347" s="177"/>
      <c r="AU347" s="177"/>
      <c r="AV347" s="177"/>
      <c r="AW347" s="190"/>
      <c r="AX347" s="120"/>
      <c r="AY347" s="120"/>
      <c r="AZ347" s="118">
        <f>INDEX('Total Customers'!$E$7:$E$91,MATCH(Calculation!$C347,'Total Customers'!$D$7:$D$91,0))</f>
        <v>34479</v>
      </c>
      <c r="BA347" s="119">
        <f t="shared" si="897"/>
        <v>1.4754916857612028E-2</v>
      </c>
      <c r="BB347" s="118"/>
      <c r="BC347" s="121"/>
      <c r="BD347" s="118"/>
      <c r="BE347" s="119"/>
      <c r="BF347" s="119"/>
      <c r="BG347" s="173"/>
      <c r="BH347" s="173"/>
      <c r="BI347" s="173"/>
      <c r="BJ347" s="173"/>
      <c r="BK347" s="173"/>
      <c r="BL347" s="173"/>
      <c r="BM347" s="173"/>
      <c r="BN347" s="173"/>
      <c r="BO347" s="173"/>
      <c r="BP347" s="173"/>
      <c r="BQ347" s="118"/>
      <c r="BR347" s="118"/>
      <c r="BS347" s="118">
        <f>INDEX('Dist. Plant Gas Additions'!$E$7:$AE$91,MATCH($C347,'Dist. Plant Gas Additions'!$D$7:$D$91,0),MATCH(Calculation!$G347,'Dist. Plant Gas Additions'!$E$5:$AE$5,0))</f>
        <v>32117</v>
      </c>
      <c r="BT347" s="118">
        <f>INDEX('Gen. Plant Additions'!$E$7:$AE$91,MATCH($C347,'Gen. Plant Additions'!$D$7:$D$91,0),MATCH(Calculation!$G347,'Gen. Plant Additions'!$E$5:$AE$5,0))</f>
        <v>616</v>
      </c>
      <c r="BU347" s="118"/>
      <c r="BV347" s="118"/>
      <c r="BW347" s="118"/>
      <c r="BX347" s="118"/>
      <c r="BY347" s="183"/>
      <c r="BZ347" s="183"/>
      <c r="CA347" s="178"/>
      <c r="CB347" s="184"/>
      <c r="CC347" s="185"/>
      <c r="CD347" s="185"/>
      <c r="CE347" s="118"/>
      <c r="CF347" s="118"/>
      <c r="CG347" s="118"/>
      <c r="CH347" s="118"/>
      <c r="CI347" s="121">
        <v>2021</v>
      </c>
      <c r="CJ347" s="118"/>
      <c r="CK347" s="118"/>
      <c r="CL347" s="118"/>
      <c r="CM347" s="183"/>
      <c r="CN347" s="118">
        <f t="shared" si="898"/>
        <v>32733</v>
      </c>
      <c r="CO347" s="118">
        <f t="shared" si="899"/>
        <v>35.082755268477371</v>
      </c>
      <c r="CP347" s="186">
        <f>+(51-23)/(51-23*0.75)</f>
        <v>0.82962962962962961</v>
      </c>
      <c r="CQ347" s="118">
        <f>CQ324*CP347+CO325*CP346+CO326*CP345+CO327*CP344+CO328*CP343+CO329*CP342+CO330*CP341+CO331*CP340+CO332*CP339+CO333*CP338+CO334*CP337+CO335*CP336+CO336*CP335+CO337*CP334+CO338*CP333+CO329*CP332+CO340*CP331+CO341*CP330+CO342*CP329+CO343*CP328+CO344*CP327+CO345*CP326+CO347+CO346*CP325</f>
        <v>504.54995220276902</v>
      </c>
      <c r="CR347" s="119"/>
      <c r="CS347" s="118"/>
      <c r="CT347" s="177">
        <f t="shared" si="901"/>
        <v>3.1103223283162982E-2</v>
      </c>
      <c r="CU347" s="177">
        <f t="shared" si="909"/>
        <v>1.6209244707567818E-2</v>
      </c>
      <c r="CV347" s="119">
        <f>VLOOKUP($H347,RoR!$E:$F,2,FALSE)</f>
        <v>2.7033333333333336E-2</v>
      </c>
      <c r="CW347" s="177"/>
      <c r="CX347" s="177"/>
      <c r="CY347" s="177">
        <f t="shared" si="910"/>
        <v>1.4692696900965807E-2</v>
      </c>
      <c r="CZ347" s="177">
        <f t="shared" si="911"/>
        <v>7.433422950153494E-2</v>
      </c>
      <c r="DA347" s="187">
        <f t="shared" si="902"/>
        <v>0.89689937500000005</v>
      </c>
      <c r="DB347" s="188">
        <f t="shared" si="903"/>
        <v>1.8969932656739068</v>
      </c>
      <c r="DC347" s="188">
        <f t="shared" si="904"/>
        <v>5.0215782983970621E-2</v>
      </c>
      <c r="DD347" s="188">
        <f t="shared" si="905"/>
        <v>0.655952481704143</v>
      </c>
      <c r="DE347" s="188">
        <f t="shared" si="906"/>
        <v>6.2485378865697057E-2</v>
      </c>
      <c r="DF347" s="189">
        <f>DF346</f>
        <v>0.27493499999999998</v>
      </c>
      <c r="DG347" s="189">
        <v>0.375</v>
      </c>
      <c r="DH347" s="190">
        <f t="shared" si="908"/>
        <v>16.865494128941855</v>
      </c>
      <c r="DI347" s="190"/>
      <c r="DJ347" s="177">
        <f t="shared" ref="DJ347" si="966">LN(DH347/DH346)</f>
        <v>-0.27827283709290118</v>
      </c>
      <c r="DK347" s="189">
        <f>VLOOKUP($H347,RoR!$E:$F,2,FALSE)</f>
        <v>2.7033333333333336E-2</v>
      </c>
      <c r="DL347" s="191">
        <f>HLOOKUP($H347,'GDP-PI'!$D$8:$CR$11,3,FALSE)</f>
        <v>4.2834637353352578E-2</v>
      </c>
      <c r="DM347" s="189">
        <f>VLOOKUP(H347,'HW Dx Data'!$E:$F,2,FALSE)</f>
        <v>933.02249921662576</v>
      </c>
      <c r="DN347" s="183">
        <f>VLOOKUP(H347,'ECI - Input Price'!$G$17:$H$37,2,FALSE)</f>
        <v>145.47500000000002</v>
      </c>
      <c r="DO347" s="177">
        <f t="shared" ref="DO347" si="967">LN(DN347/DN346)</f>
        <v>3.5152696992481205E-2</v>
      </c>
      <c r="DP347" s="183">
        <f>HLOOKUP(H347,'GDP-PI'!$8:$9,2,FALSE)</f>
        <v>118.49</v>
      </c>
      <c r="DQ347" s="177">
        <f t="shared" ref="DQ347" si="968">LN(DP347/DP346)</f>
        <v>4.194261824609434E-2</v>
      </c>
    </row>
    <row r="348" spans="1:121" s="167" customFormat="1" ht="21" x14ac:dyDescent="0.35">
      <c r="A348" s="167" t="s">
        <v>50</v>
      </c>
      <c r="B348" s="168" t="s">
        <v>50</v>
      </c>
      <c r="C348" s="168">
        <v>4059402</v>
      </c>
      <c r="D348" s="168" t="s">
        <v>140</v>
      </c>
      <c r="E348" s="168" t="s">
        <v>126</v>
      </c>
      <c r="F348" s="168"/>
      <c r="G348" s="168" t="s">
        <v>4</v>
      </c>
      <c r="H348" s="169">
        <v>1998</v>
      </c>
      <c r="I348" s="170"/>
      <c r="J348" s="166"/>
      <c r="K348" s="166"/>
      <c r="L348" s="166"/>
      <c r="M348" s="166"/>
      <c r="N348" s="196"/>
      <c r="O348" s="166"/>
      <c r="P348" s="166"/>
      <c r="Q348" s="166"/>
      <c r="R348" s="166"/>
      <c r="S348" s="166"/>
      <c r="T348" s="166"/>
      <c r="U348" s="166"/>
      <c r="V348" s="166"/>
      <c r="W348" s="170"/>
      <c r="X348" s="174">
        <v>1366.8786795824656</v>
      </c>
      <c r="Y348" s="175"/>
      <c r="Z348" s="166"/>
      <c r="AA348" s="175"/>
      <c r="AB348" s="175"/>
      <c r="AC348" s="170">
        <f t="shared" si="882"/>
        <v>0</v>
      </c>
      <c r="AD348" s="170"/>
      <c r="AE348" s="170"/>
      <c r="AF348" s="119"/>
      <c r="AG348" s="174"/>
      <c r="AH348" s="175"/>
      <c r="AI348" s="175"/>
      <c r="AJ348" s="174"/>
      <c r="AK348" s="174"/>
      <c r="AL348" s="120"/>
      <c r="AM348" s="120"/>
      <c r="AN348" s="120"/>
      <c r="AO348" s="120"/>
      <c r="AP348" s="120"/>
      <c r="AQ348" s="175">
        <f>AVERAGE(AQ357:AQ371)</f>
        <v>1.5978842214426872E-2</v>
      </c>
      <c r="AR348" s="120"/>
      <c r="AS348" s="120"/>
      <c r="AT348" s="120"/>
      <c r="AU348" s="120"/>
      <c r="AV348" s="120"/>
      <c r="AW348" s="120"/>
      <c r="AX348" s="120"/>
      <c r="AY348" s="120"/>
      <c r="AZ348" s="118">
        <f>IFERROR(INDEX('Total Customers'!$F$7:$AB$91,MATCH($C348,'Total Customers'!$D$7:$D$91,0),MATCH($G348,'Total Customers'!$F$5:$AB$5,0)),"NA")</f>
        <v>141364</v>
      </c>
      <c r="BA348" s="119"/>
      <c r="BB348" s="119"/>
      <c r="BC348" s="121"/>
      <c r="BD348" s="119"/>
      <c r="BE348" s="119"/>
      <c r="BF348" s="119"/>
      <c r="BG348" s="173"/>
      <c r="BH348" s="173"/>
      <c r="BI348" s="173"/>
      <c r="BJ348" s="173"/>
      <c r="BK348" s="173"/>
      <c r="BL348" s="173"/>
      <c r="BM348" s="173"/>
      <c r="BN348" s="173"/>
      <c r="BO348" s="173"/>
      <c r="BP348" s="173"/>
      <c r="BQ348" s="118">
        <f>INDEX('Gross Dx Plant'!$E$7:$AD$91,MATCH($C348,'Gross Dx Plant'!$D$7:$D$91,0),MATCH(Calculation!$G348,'Gross Dx Plant'!$E$5:$AD$5,0))</f>
        <v>366794</v>
      </c>
      <c r="BR348" s="118">
        <f>INDEX('Gross Gen Plant'!$E$7:$AD$91,MATCH($C348,'Gross Gen Plant'!$D$7:$D$91,0),MATCH(Calculation!$G348,'Gross Gen Plant'!$E$5:$AD$5,0))</f>
        <v>47230</v>
      </c>
      <c r="BS348" s="118">
        <f>INDEX('Dist. Plant Gas Additions'!$F$7:$AE$91,MATCH($C348,'Dist. Plant Gas Additions'!$D$7:$D$91,0),MATCH(Calculation!$G348,'Dist. Plant Gas Additions'!$F$5:$AE$5,0))</f>
        <v>17494</v>
      </c>
      <c r="BT348" s="118">
        <f>INDEX('Gen. Plant Additions'!$F$7:$AE$91,MATCH($C348,'Gen. Plant Additions'!$D$7:$D$91,0),MATCH(Calculation!$G348,'Gen. Plant Additions'!$F$5:$AE$5,0))</f>
        <v>1420</v>
      </c>
      <c r="BU348" s="118" t="e">
        <f>INDEX('Dist Plant Depreciation'!$E$7:$AA$94,MATCH($C348,'Dist Plant Depreciation'!$D$7:$D$94,0),MATCH(#REF!,'Dist Plant Depreciation'!$E$5:$AA$5,0))</f>
        <v>#REF!</v>
      </c>
      <c r="BV348" s="118" t="e">
        <f>INDEX('Gen. Plant Depreciation'!$E$7:$AA$94,MATCH($C348,'Gen. Plant Depreciation'!$D$7:$D$94,0),MATCH(#REF!,'Gen. Plant Depreciation'!$E$5:$AA$5,0))</f>
        <v>#REF!</v>
      </c>
      <c r="BW348" s="118">
        <f>INDEX('Dist Plant Depreciation'!$E$7:$AD$94,MATCH($C348,'Dist Plant Depreciation'!$D$7:$D$94,0),MATCH(Calculation!$G348,'Dist Plant Depreciation'!$E$5:$AD$5,0))</f>
        <v>121908</v>
      </c>
      <c r="BX348" s="118">
        <f>INDEX('Gen. Plant Depreciation'!$E$7:$AD$94,MATCH($C348,'Gen. Plant Depreciation'!$D$7:$D$94,0),MATCH(Calculation!$G348,'Gen. Plant Depreciation'!$E$5:$AD$5,0))</f>
        <v>16390</v>
      </c>
      <c r="BY348" s="118"/>
      <c r="BZ348" s="118"/>
      <c r="CA348" s="118"/>
      <c r="CB348" s="118"/>
      <c r="CC348" s="118"/>
      <c r="CD348" s="118"/>
      <c r="CE348" s="118">
        <f>INDEX('Gross Dx Plant'!$E$7:$AD$91,MATCH($C348,'Gross Dx Plant'!$D$7:$D$91,0),MATCH(Calculation!$G348,'Gross Dx Plant'!$E$5:$AD$5,0))</f>
        <v>366794</v>
      </c>
      <c r="CF348" s="118">
        <f>INDEX('Gross Gen Plant'!$E$7:$AD$91,MATCH($C348,'Gross Gen Plant'!$D$7:$D$91,0),MATCH(Calculation!$G348,'Gross Gen Plant'!$E$5:$AD$5,0))</f>
        <v>47230</v>
      </c>
      <c r="CG348" s="118">
        <f t="shared" ref="CG348:CG412" si="969">IF(OR(BW348="NA",BX348="NA"),"NA",(SUM(CE348:CF348)-SUM(BW348:BX348)))</f>
        <v>275726</v>
      </c>
      <c r="CH348" s="118"/>
      <c r="CI348" s="121">
        <v>1998</v>
      </c>
      <c r="CJ348" s="118">
        <f>BQ348+BR348</f>
        <v>414024</v>
      </c>
      <c r="CK348" s="118">
        <f>121908+16390</f>
        <v>138298</v>
      </c>
      <c r="CL348" s="118">
        <f>+CJ348-CK348</f>
        <v>275726</v>
      </c>
      <c r="CM348" s="118">
        <f>CL348/$CD$36</f>
        <v>1366.8786795824656</v>
      </c>
      <c r="CN348" s="183"/>
      <c r="CO348" s="183"/>
      <c r="CP348" s="186">
        <v>1</v>
      </c>
      <c r="CQ348" s="118">
        <f>+CM348</f>
        <v>1366.8786795824656</v>
      </c>
      <c r="CR348" s="119"/>
      <c r="CS348" s="119"/>
      <c r="CT348" s="177"/>
      <c r="CU348" s="177"/>
      <c r="CV348" s="119" t="e">
        <f>VLOOKUP($H348,RoR!$E:$F,2,FALSE)</f>
        <v>#N/A</v>
      </c>
      <c r="CW348" s="177">
        <v>1.1028127770464469E-2</v>
      </c>
      <c r="CX348" s="177"/>
      <c r="CY348" s="177"/>
      <c r="CZ348" s="177"/>
      <c r="DA348" s="187"/>
      <c r="DB348" s="190" t="e">
        <f>2/(DK348*39)</f>
        <v>#N/A</v>
      </c>
      <c r="DC348" s="188" t="e">
        <f>+(DK348*40-(1+DK348))/(DK348*40)</f>
        <v>#N/A</v>
      </c>
      <c r="DD348" s="188" t="e">
        <f>+(1-(1/(1+DK348)^40))</f>
        <v>#N/A</v>
      </c>
      <c r="DE348" s="188" t="e">
        <f>+DD348*DC348*DB348</f>
        <v>#N/A</v>
      </c>
      <c r="DF348" s="189">
        <f>INDEX('State Tax Lookup'!$D$7:$Z$91,MATCH(Calculation!$C348,'State Tax Lookup'!$B$7:$B$91,0),MATCH($H348,'State Tax Lookup'!$D$6:$Z$6,0))</f>
        <v>0.40200000000000002</v>
      </c>
      <c r="DG348" s="189">
        <v>0.375</v>
      </c>
      <c r="DH348" s="183"/>
      <c r="DI348" s="183"/>
      <c r="DJ348" s="177"/>
      <c r="DK348" s="189" t="e">
        <f>VLOOKUP($H348,RoR!$E:$F,2,FALSE)</f>
        <v>#N/A</v>
      </c>
      <c r="DL348" s="191">
        <f>HLOOKUP($H348,'GDP-PI'!$D$8:$CQ$11,3,FALSE)</f>
        <v>1.1028127770464469E-2</v>
      </c>
      <c r="DM348" s="189">
        <f>VLOOKUP(H348,'HW Dx Data'!$E:$F,2,FALSE)</f>
        <v>329.24564746449528</v>
      </c>
      <c r="DN348" s="183" t="e">
        <f>VLOOKUP(H348,'ECI - Input Price'!$G$17:$H$37,2,FALSE)</f>
        <v>#N/A</v>
      </c>
      <c r="DO348" s="177"/>
      <c r="DP348" s="183">
        <f>HLOOKUP(H348,'GDP-PI'!$8:$9,2,FALSE)</f>
        <v>75.266999999999996</v>
      </c>
    </row>
    <row r="349" spans="1:121" s="167" customFormat="1" ht="21" x14ac:dyDescent="0.35">
      <c r="A349" s="167" t="s">
        <v>50</v>
      </c>
      <c r="B349" s="168" t="s">
        <v>50</v>
      </c>
      <c r="C349" s="168">
        <v>4059402</v>
      </c>
      <c r="D349" s="168" t="s">
        <v>140</v>
      </c>
      <c r="E349" s="168" t="s">
        <v>126</v>
      </c>
      <c r="F349" s="168"/>
      <c r="G349" s="168" t="s">
        <v>5</v>
      </c>
      <c r="H349" s="169">
        <v>1999</v>
      </c>
      <c r="I349" s="170"/>
      <c r="J349" s="166"/>
      <c r="K349" s="166"/>
      <c r="L349" s="166"/>
      <c r="M349" s="166"/>
      <c r="N349" s="196"/>
      <c r="O349" s="166"/>
      <c r="P349" s="166"/>
      <c r="Q349" s="166"/>
      <c r="R349" s="166"/>
      <c r="S349" s="195"/>
      <c r="T349" s="166"/>
      <c r="U349" s="166"/>
      <c r="V349" s="166">
        <f t="shared" ref="V349:V371" si="970">+CQ348*DH349</f>
        <v>0</v>
      </c>
      <c r="W349" s="170"/>
      <c r="X349" s="174">
        <v>1412.4424138312575</v>
      </c>
      <c r="Y349" s="175">
        <v>3.2790609826035814E-2</v>
      </c>
      <c r="Z349" s="175"/>
      <c r="AA349" s="175"/>
      <c r="AB349" s="175"/>
      <c r="AC349" s="170">
        <f t="shared" si="882"/>
        <v>0</v>
      </c>
      <c r="AD349" s="175"/>
      <c r="AE349" s="170"/>
      <c r="AF349" s="119"/>
      <c r="AG349" s="174"/>
      <c r="AH349" s="175"/>
      <c r="AI349" s="175"/>
      <c r="AJ349" s="174"/>
      <c r="AK349" s="174"/>
      <c r="AL349" s="120"/>
      <c r="AM349" s="120"/>
      <c r="AN349" s="120"/>
      <c r="AO349" s="120"/>
      <c r="AP349" s="120"/>
      <c r="AQ349" s="175"/>
      <c r="AR349" s="120"/>
      <c r="AS349" s="120"/>
      <c r="AT349" s="120"/>
      <c r="AU349" s="120"/>
      <c r="AV349" s="120"/>
      <c r="AW349" s="120"/>
      <c r="AX349" s="120"/>
      <c r="AY349" s="120"/>
      <c r="AZ349" s="118">
        <f>IFERROR(INDEX('Total Customers'!$F$7:$AB$91,MATCH($C349,'Total Customers'!$D$7:$D$91,0),MATCH($G349,'Total Customers'!$F$5:$AB$5,0)),"NA")</f>
        <v>142667</v>
      </c>
      <c r="BA349" s="119">
        <f t="shared" ref="BA349:BA371" si="971">LN(AZ349/AZ348)</f>
        <v>9.1751192006334133E-3</v>
      </c>
      <c r="BB349" s="119"/>
      <c r="BC349" s="121"/>
      <c r="BD349" s="119"/>
      <c r="BE349" s="119"/>
      <c r="BF349" s="119"/>
      <c r="BG349" s="173"/>
      <c r="BH349" s="173"/>
      <c r="BI349" s="173"/>
      <c r="BJ349" s="173"/>
      <c r="BK349" s="173"/>
      <c r="BL349" s="173"/>
      <c r="BM349" s="173"/>
      <c r="BN349" s="173"/>
      <c r="BO349" s="173"/>
      <c r="BP349" s="173"/>
      <c r="BQ349" s="118"/>
      <c r="BR349" s="118"/>
      <c r="BS349" s="118">
        <f>INDEX('Dist. Plant Gas Additions'!$F$7:$AE$91,MATCH($C349,'Dist. Plant Gas Additions'!$D$7:$D$91,0),MATCH(Calculation!$G349,'Dist. Plant Gas Additions'!$F$5:$AE$5,0))</f>
        <v>16352</v>
      </c>
      <c r="BT349" s="118">
        <f>INDEX('Gen. Plant Additions'!$F$7:$AE$91,MATCH($C349,'Gen. Plant Additions'!$D$7:$D$91,0),MATCH(Calculation!$G349,'Gen. Plant Additions'!$F$5:$AE$5,0))</f>
        <v>1207</v>
      </c>
      <c r="BU349" s="118"/>
      <c r="BV349" s="118"/>
      <c r="BW349" s="118">
        <f>INDEX('Dist Plant Depreciation'!$E$7:$AD$94,MATCH($C349,'Dist Plant Depreciation'!$D$7:$D$94,0),MATCH(Calculation!$G349,'Dist Plant Depreciation'!$E$5:$AD$5,0))</f>
        <v>132849</v>
      </c>
      <c r="BX349" s="118">
        <f>INDEX('Gen. Plant Depreciation'!$E$7:$AD$94,MATCH($C349,'Gen. Plant Depreciation'!$D$7:$D$94,0),MATCH(Calculation!$G349,'Gen. Plant Depreciation'!$E$5:$AD$5,0))</f>
        <v>19455</v>
      </c>
      <c r="BY349" s="118"/>
      <c r="BZ349" s="118"/>
      <c r="CA349" s="118"/>
      <c r="CB349" s="118"/>
      <c r="CC349" s="118"/>
      <c r="CD349" s="118"/>
      <c r="CE349" s="118">
        <f>INDEX('Gross Dx Plant'!$E$7:$AD$91,MATCH($C349,'Gross Dx Plant'!$D$7:$D$91,0),MATCH(Calculation!$G349,'Gross Dx Plant'!$E$5:$AD$5,0))</f>
        <v>381965</v>
      </c>
      <c r="CF349" s="118">
        <f>INDEX('Gross Gen Plant'!$E$7:$AD$91,MATCH($C349,'Gross Gen Plant'!$D$7:$D$91,0),MATCH(Calculation!$G349,'Gross Gen Plant'!$E$5:$AD$5,0))</f>
        <v>50956</v>
      </c>
      <c r="CG349" s="118">
        <f t="shared" si="969"/>
        <v>280617</v>
      </c>
      <c r="CH349" s="118"/>
      <c r="CI349" s="121">
        <v>1999</v>
      </c>
      <c r="CJ349" s="118"/>
      <c r="CK349" s="118"/>
      <c r="CL349" s="118"/>
      <c r="CM349" s="183"/>
      <c r="CN349" s="118">
        <f t="shared" ref="CN349:CN371" si="972">+BT349+BS349</f>
        <v>17559</v>
      </c>
      <c r="CO349" s="118">
        <f t="shared" ref="CO349:CO371" si="973">+CN349/$DM349</f>
        <v>52.364125689500817</v>
      </c>
      <c r="CP349" s="186">
        <v>0.99502487562189057</v>
      </c>
      <c r="CQ349" s="118">
        <f>+CQ348*CP349+CO349</f>
        <v>1412.4424138312575</v>
      </c>
      <c r="CR349" s="119">
        <f t="shared" ref="CR349:CR370" si="974">LN(CQ349/CQ348)</f>
        <v>3.2790609826035814E-2</v>
      </c>
      <c r="CS349" s="119"/>
      <c r="CT349" s="177">
        <f t="shared" ref="CT349:CT371" si="975">+(CQ348-CQ349+CO349)/CQ348</f>
        <v>4.9751243781095585E-3</v>
      </c>
      <c r="CU349" s="177"/>
      <c r="CV349" s="119">
        <f>VLOOKUP($H349,RoR!$E:$F,2,FALSE)</f>
        <v>7.0416666666666669E-2</v>
      </c>
      <c r="CW349" s="177">
        <v>1.4335631817396832E-2</v>
      </c>
      <c r="CX349" s="177">
        <f>+CV349-CW349</f>
        <v>5.6081034849269837E-2</v>
      </c>
      <c r="CY349" s="177"/>
      <c r="CZ349" s="177"/>
      <c r="DA349" s="187">
        <f t="shared" ref="DA349:DA371" si="976">1-DF349*DG349</f>
        <v>0.84925000000000006</v>
      </c>
      <c r="DB349" s="188">
        <f t="shared" ref="DB349:DB371" si="977">2/(DK349*39)</f>
        <v>0.72826581702321336</v>
      </c>
      <c r="DC349" s="188">
        <f t="shared" ref="DC349:DC371" si="978">+(DK349*40-(1+DK349))/(DK349*40)</f>
        <v>0.61997041420118348</v>
      </c>
      <c r="DD349" s="188">
        <f t="shared" ref="DD349:DD371" si="979">+(1-(1/(1+DK349)^40))</f>
        <v>0.93425155319585029</v>
      </c>
      <c r="DE349" s="188">
        <f t="shared" ref="DE349:DE371" si="980">+DD349*DC349*DB349</f>
        <v>0.42181762214141483</v>
      </c>
      <c r="DF349" s="189">
        <f>INDEX('State Tax Lookup'!$D$7:$Z$91,MATCH(Calculation!$C349,'State Tax Lookup'!$B$7:$B$91,0),MATCH($H349,'State Tax Lookup'!$D$6:$Z$6,0))</f>
        <v>0.40200000000000002</v>
      </c>
      <c r="DG349" s="189">
        <v>0.375</v>
      </c>
      <c r="DH349" s="190"/>
      <c r="DI349" s="190"/>
      <c r="DJ349" s="177"/>
      <c r="DK349" s="189">
        <f>VLOOKUP($H349,RoR!$E:$F,2,FALSE)</f>
        <v>7.0416666666666669E-2</v>
      </c>
      <c r="DL349" s="191">
        <f>HLOOKUP($H349,'GDP-PI'!$D$8:$CQ$11,3,FALSE)</f>
        <v>1.4335631817396832E-2</v>
      </c>
      <c r="DM349" s="189">
        <f>VLOOKUP(H349,'HW Dx Data'!$E:$F,2,FALSE)</f>
        <v>335.32499146683239</v>
      </c>
      <c r="DN349" s="183" t="e">
        <f>VLOOKUP(H349,'ECI - Input Price'!$G$17:$H$37,2,FALSE)</f>
        <v>#N/A</v>
      </c>
      <c r="DO349" s="177"/>
      <c r="DP349" s="183">
        <f>HLOOKUP(H349,'GDP-PI'!$8:$9,2,FALSE)</f>
        <v>76.346000000000004</v>
      </c>
    </row>
    <row r="350" spans="1:121" s="167" customFormat="1" ht="21" x14ac:dyDescent="0.35">
      <c r="A350" s="167" t="s">
        <v>50</v>
      </c>
      <c r="B350" s="168" t="s">
        <v>50</v>
      </c>
      <c r="C350" s="168">
        <v>4059402</v>
      </c>
      <c r="D350" s="168" t="s">
        <v>140</v>
      </c>
      <c r="E350" s="168" t="s">
        <v>126</v>
      </c>
      <c r="F350" s="168"/>
      <c r="G350" s="168" t="s">
        <v>6</v>
      </c>
      <c r="H350" s="169">
        <v>2000</v>
      </c>
      <c r="I350" s="170"/>
      <c r="J350" s="166"/>
      <c r="K350" s="166"/>
      <c r="L350" s="166"/>
      <c r="M350" s="166"/>
      <c r="N350" s="196"/>
      <c r="O350" s="166"/>
      <c r="P350" s="166"/>
      <c r="Q350" s="166"/>
      <c r="R350" s="166"/>
      <c r="S350" s="166"/>
      <c r="T350" s="166"/>
      <c r="U350" s="166"/>
      <c r="V350" s="166">
        <f t="shared" si="970"/>
        <v>0</v>
      </c>
      <c r="W350" s="170"/>
      <c r="X350" s="174">
        <v>1456.039169216524</v>
      </c>
      <c r="Y350" s="175">
        <v>3.0399437108708832E-2</v>
      </c>
      <c r="Z350" s="175"/>
      <c r="AA350" s="175"/>
      <c r="AB350" s="175"/>
      <c r="AC350" s="170">
        <f t="shared" si="882"/>
        <v>0</v>
      </c>
      <c r="AD350" s="175"/>
      <c r="AE350" s="170"/>
      <c r="AF350" s="170"/>
      <c r="AG350" s="174"/>
      <c r="AH350" s="175"/>
      <c r="AI350" s="175"/>
      <c r="AJ350" s="174"/>
      <c r="AK350" s="174"/>
      <c r="AL350" s="120"/>
      <c r="AM350" s="120"/>
      <c r="AN350" s="120"/>
      <c r="AO350" s="120"/>
      <c r="AP350" s="120"/>
      <c r="AQ350" s="175"/>
      <c r="AR350" s="120"/>
      <c r="AS350" s="120"/>
      <c r="AT350" s="120"/>
      <c r="AU350" s="120"/>
      <c r="AV350" s="120"/>
      <c r="AW350" s="120"/>
      <c r="AX350" s="120"/>
      <c r="AY350" s="120"/>
      <c r="AZ350" s="118">
        <f>IFERROR(INDEX('Total Customers'!$F$7:$AB$91,MATCH($C350,'Total Customers'!$D$7:$D$91,0),MATCH($G350,'Total Customers'!$F$5:$AB$5,0)),"NA")</f>
        <v>155641</v>
      </c>
      <c r="BA350" s="119">
        <f t="shared" si="971"/>
        <v>8.7038829819682431E-2</v>
      </c>
      <c r="BB350" s="119"/>
      <c r="BC350" s="121"/>
      <c r="BD350" s="119"/>
      <c r="BE350" s="119"/>
      <c r="BF350" s="119"/>
      <c r="BG350" s="173"/>
      <c r="BH350" s="173"/>
      <c r="BI350" s="173"/>
      <c r="BJ350" s="173"/>
      <c r="BK350" s="173"/>
      <c r="BL350" s="173"/>
      <c r="BM350" s="173"/>
      <c r="BN350" s="173"/>
      <c r="BO350" s="173"/>
      <c r="BP350" s="173"/>
      <c r="BQ350" s="118"/>
      <c r="BR350" s="118"/>
      <c r="BS350" s="118">
        <f>INDEX('Dist. Plant Gas Additions'!$F$7:$AE$91,MATCH($C350,'Dist. Plant Gas Additions'!$D$7:$D$91,0),MATCH(Calculation!$G350,'Dist. Plant Gas Additions'!$F$5:$AE$5,0))</f>
        <v>16150</v>
      </c>
      <c r="BT350" s="118">
        <f>INDEX('Gen. Plant Additions'!$F$7:$AE$91,MATCH($C350,'Gen. Plant Additions'!$D$7:$D$91,0),MATCH(Calculation!$G350,'Gen. Plant Additions'!$F$5:$AE$5,0))</f>
        <v>1476</v>
      </c>
      <c r="BU350" s="118"/>
      <c r="BV350" s="118"/>
      <c r="BW350" s="118" t="str">
        <f>INDEX('Dist Plant Depreciation'!$E$7:$AD$94,MATCH($C350,'Dist Plant Depreciation'!$D$7:$D$94,0),MATCH(Calculation!$G350,'Dist Plant Depreciation'!$E$5:$AD$5,0))</f>
        <v>NA</v>
      </c>
      <c r="BX350" s="118" t="str">
        <f>INDEX('Gen. Plant Depreciation'!$E$7:$AD$94,MATCH($C350,'Gen. Plant Depreciation'!$D$7:$D$94,0),MATCH(Calculation!$G350,'Gen. Plant Depreciation'!$E$5:$AD$5,0))</f>
        <v>NA</v>
      </c>
      <c r="BY350" s="118"/>
      <c r="BZ350" s="118"/>
      <c r="CA350" s="118"/>
      <c r="CB350" s="118"/>
      <c r="CC350" s="118"/>
      <c r="CD350" s="118"/>
      <c r="CE350" s="118">
        <f>INDEX('Gross Dx Plant'!$E$7:$AD$91,MATCH($C350,'Gross Dx Plant'!$D$7:$D$91,0),MATCH(Calculation!$G350,'Gross Dx Plant'!$E$5:$AD$5,0))</f>
        <v>394200</v>
      </c>
      <c r="CF350" s="118">
        <f>INDEX('Gross Gen Plant'!$E$7:$AD$91,MATCH($C350,'Gross Gen Plant'!$D$7:$D$91,0),MATCH(Calculation!$G350,'Gross Gen Plant'!$E$5:$AD$5,0))</f>
        <v>50487</v>
      </c>
      <c r="CG350" s="118" t="str">
        <f t="shared" si="969"/>
        <v>NA</v>
      </c>
      <c r="CH350" s="118"/>
      <c r="CI350" s="121">
        <v>2000</v>
      </c>
      <c r="CJ350" s="118"/>
      <c r="CK350" s="118"/>
      <c r="CL350" s="118"/>
      <c r="CM350" s="183"/>
      <c r="CN350" s="118">
        <f t="shared" si="972"/>
        <v>17626</v>
      </c>
      <c r="CO350" s="118">
        <f t="shared" si="973"/>
        <v>50.86373733213172</v>
      </c>
      <c r="CP350" s="186">
        <v>0.98989898989898994</v>
      </c>
      <c r="CQ350" s="118">
        <f>+CQ348*CP350+CO349*CP349+CO350</f>
        <v>1456.039169216524</v>
      </c>
      <c r="CR350" s="119">
        <f t="shared" si="974"/>
        <v>3.0399437108708832E-2</v>
      </c>
      <c r="CS350" s="119"/>
      <c r="CT350" s="177">
        <f t="shared" si="975"/>
        <v>5.144975735437921E-3</v>
      </c>
      <c r="CU350" s="177"/>
      <c r="CV350" s="119">
        <f>VLOOKUP($H350,RoR!$E:$F,2,FALSE)</f>
        <v>7.6225000000000001E-2</v>
      </c>
      <c r="CW350" s="177">
        <v>2.2568307442433211E-2</v>
      </c>
      <c r="CX350" s="177">
        <f t="shared" ref="CX350:CX370" si="981">+CV350-CW350</f>
        <v>5.365669255756679E-2</v>
      </c>
      <c r="CY350" s="177"/>
      <c r="CZ350" s="177"/>
      <c r="DA350" s="187">
        <f t="shared" si="976"/>
        <v>0.84925000000000006</v>
      </c>
      <c r="DB350" s="188">
        <f t="shared" si="977"/>
        <v>0.67277207323124022</v>
      </c>
      <c r="DC350" s="188">
        <f t="shared" si="978"/>
        <v>0.6470236142997704</v>
      </c>
      <c r="DD350" s="188">
        <f t="shared" si="979"/>
        <v>0.94704866037543145</v>
      </c>
      <c r="DE350" s="188">
        <f t="shared" si="980"/>
        <v>0.41224973107878493</v>
      </c>
      <c r="DF350" s="189">
        <f>INDEX('State Tax Lookup'!$D$7:$Z$91,MATCH(Calculation!$C350,'State Tax Lookup'!$B$7:$B$91,0),MATCH($H350,'State Tax Lookup'!$D$6:$Z$6,0))</f>
        <v>0.40200000000000002</v>
      </c>
      <c r="DG350" s="189">
        <v>0.375</v>
      </c>
      <c r="DH350" s="190"/>
      <c r="DI350" s="190"/>
      <c r="DJ350" s="177"/>
      <c r="DK350" s="189">
        <f>VLOOKUP($H350,RoR!$E:$F,2,FALSE)</f>
        <v>7.6225000000000001E-2</v>
      </c>
      <c r="DL350" s="191">
        <f>HLOOKUP($H350,'GDP-PI'!$D$8:$CQ$11,3,FALSE)</f>
        <v>2.2568307442433211E-2</v>
      </c>
      <c r="DM350" s="189">
        <f>VLOOKUP(H350,'HW Dx Data'!$E:$F,2,FALSE)</f>
        <v>346.53371782150339</v>
      </c>
      <c r="DN350" s="183" t="e">
        <f>VLOOKUP(H350,'ECI - Input Price'!$G$17:$H$37,2,FALSE)</f>
        <v>#N/A</v>
      </c>
      <c r="DO350" s="177"/>
      <c r="DP350" s="183">
        <f>HLOOKUP(H350,'GDP-PI'!$8:$9,2,FALSE)</f>
        <v>78.069000000000003</v>
      </c>
    </row>
    <row r="351" spans="1:121" s="167" customFormat="1" ht="21" x14ac:dyDescent="0.35">
      <c r="A351" s="167" t="s">
        <v>50</v>
      </c>
      <c r="B351" s="168" t="s">
        <v>50</v>
      </c>
      <c r="C351" s="168">
        <v>4059402</v>
      </c>
      <c r="D351" s="168" t="s">
        <v>140</v>
      </c>
      <c r="E351" s="168" t="s">
        <v>126</v>
      </c>
      <c r="F351" s="168"/>
      <c r="G351" s="168" t="s">
        <v>7</v>
      </c>
      <c r="H351" s="169">
        <v>2001</v>
      </c>
      <c r="I351" s="170"/>
      <c r="J351" s="166"/>
      <c r="K351" s="166"/>
      <c r="L351" s="166"/>
      <c r="M351" s="166"/>
      <c r="N351" s="196"/>
      <c r="O351" s="166"/>
      <c r="P351" s="166"/>
      <c r="Q351" s="166"/>
      <c r="R351" s="166"/>
      <c r="S351" s="166"/>
      <c r="T351" s="166"/>
      <c r="U351" s="166"/>
      <c r="V351" s="166">
        <f t="shared" si="970"/>
        <v>18816.648712971666</v>
      </c>
      <c r="W351" s="170"/>
      <c r="X351" s="174">
        <v>1508.8264230065158</v>
      </c>
      <c r="Y351" s="175">
        <v>3.5612293993750307E-2</v>
      </c>
      <c r="Z351" s="175"/>
      <c r="AA351" s="175"/>
      <c r="AB351" s="175"/>
      <c r="AC351" s="170">
        <f t="shared" si="882"/>
        <v>18816.648712971666</v>
      </c>
      <c r="AD351" s="175"/>
      <c r="AE351" s="170"/>
      <c r="AF351" s="170"/>
      <c r="AG351" s="174"/>
      <c r="AH351" s="175"/>
      <c r="AI351" s="175"/>
      <c r="AJ351" s="174"/>
      <c r="AK351" s="174"/>
      <c r="AL351" s="120"/>
      <c r="AM351" s="120"/>
      <c r="AN351" s="120"/>
      <c r="AO351" s="120"/>
      <c r="AP351" s="120"/>
      <c r="AQ351" s="175"/>
      <c r="AR351" s="120"/>
      <c r="AS351" s="120"/>
      <c r="AT351" s="120"/>
      <c r="AU351" s="120"/>
      <c r="AV351" s="120"/>
      <c r="AW351" s="120"/>
      <c r="AX351" s="120"/>
      <c r="AY351" s="120"/>
      <c r="AZ351" s="118">
        <f>IFERROR(INDEX('Total Customers'!$F$7:$AB$91,MATCH($C351,'Total Customers'!$D$7:$D$91,0),MATCH($G351,'Total Customers'!$F$5:$AB$5,0)),"NA")</f>
        <v>146941</v>
      </c>
      <c r="BA351" s="119">
        <f t="shared" si="971"/>
        <v>-5.7520927511421044E-2</v>
      </c>
      <c r="BB351" s="119"/>
      <c r="BC351" s="121"/>
      <c r="BD351" s="119"/>
      <c r="BE351" s="119"/>
      <c r="BF351" s="119"/>
      <c r="BG351" s="173"/>
      <c r="BH351" s="173"/>
      <c r="BI351" s="173"/>
      <c r="BJ351" s="173"/>
      <c r="BK351" s="173"/>
      <c r="BL351" s="173"/>
      <c r="BM351" s="173"/>
      <c r="BN351" s="173"/>
      <c r="BO351" s="173"/>
      <c r="BP351" s="173"/>
      <c r="BQ351" s="118"/>
      <c r="BR351" s="118"/>
      <c r="BS351" s="118">
        <f>INDEX('Dist. Plant Gas Additions'!$F$7:$AE$91,MATCH($C351,'Dist. Plant Gas Additions'!$D$7:$D$91,0),MATCH(Calculation!$G351,'Dist. Plant Gas Additions'!$F$5:$AE$5,0))</f>
        <v>20283</v>
      </c>
      <c r="BT351" s="118">
        <f>INDEX('Gen. Plant Additions'!$F$7:$AE$91,MATCH($C351,'Gen. Plant Additions'!$D$7:$D$91,0),MATCH(Calculation!$G351,'Gen. Plant Additions'!$F$5:$AE$5,0))</f>
        <v>1022</v>
      </c>
      <c r="BU351" s="118"/>
      <c r="BV351" s="118"/>
      <c r="BW351" s="118" t="str">
        <f>INDEX('Dist Plant Depreciation'!$E$7:$AD$94,MATCH($C351,'Dist Plant Depreciation'!$D$7:$D$94,0),MATCH(Calculation!$G351,'Dist Plant Depreciation'!$E$5:$AD$5,0))</f>
        <v>NA</v>
      </c>
      <c r="BX351" s="118" t="str">
        <f>INDEX('Gen. Plant Depreciation'!$E$7:$AD$94,MATCH($C351,'Gen. Plant Depreciation'!$D$7:$D$94,0),MATCH(Calculation!$G351,'Gen. Plant Depreciation'!$E$5:$AD$5,0))</f>
        <v>NA</v>
      </c>
      <c r="BY351" s="118"/>
      <c r="BZ351" s="118"/>
      <c r="CA351" s="118"/>
      <c r="CB351" s="118"/>
      <c r="CC351" s="118"/>
      <c r="CD351" s="118"/>
      <c r="CE351" s="118">
        <f>INDEX('Gross Dx Plant'!$E$7:$AD$91,MATCH($C351,'Gross Dx Plant'!$D$7:$D$91,0),MATCH(Calculation!$G351,'Gross Dx Plant'!$E$5:$AD$5,0))</f>
        <v>438758</v>
      </c>
      <c r="CF351" s="118">
        <f>INDEX('Gross Gen Plant'!$E$7:$AD$91,MATCH($C351,'Gross Gen Plant'!$D$7:$D$91,0),MATCH(Calculation!$G351,'Gross Gen Plant'!$E$5:$AD$5,0))</f>
        <v>50695</v>
      </c>
      <c r="CG351" s="118" t="str">
        <f t="shared" si="969"/>
        <v>NA</v>
      </c>
      <c r="CH351" s="118"/>
      <c r="CI351" s="121">
        <v>2001</v>
      </c>
      <c r="CJ351" s="118"/>
      <c r="CK351" s="118"/>
      <c r="CL351" s="118"/>
      <c r="CM351" s="183"/>
      <c r="CN351" s="118">
        <f t="shared" si="972"/>
        <v>21305</v>
      </c>
      <c r="CO351" s="118">
        <f t="shared" si="973"/>
        <v>60.277713727745173</v>
      </c>
      <c r="CP351" s="186">
        <v>0.98461538461538467</v>
      </c>
      <c r="CQ351" s="118">
        <f>+CQ348*CP351+CO349*CP350+CO350*CP348+CO351</f>
        <v>1508.8264230065158</v>
      </c>
      <c r="CR351" s="119">
        <f t="shared" si="974"/>
        <v>3.5612293993750307E-2</v>
      </c>
      <c r="CS351" s="119"/>
      <c r="CT351" s="177">
        <f t="shared" si="975"/>
        <v>5.1444082660110418E-3</v>
      </c>
      <c r="CU351" s="177">
        <f>+(CT351+CT350+CT349)/3</f>
        <v>5.0881694598528407E-3</v>
      </c>
      <c r="CV351" s="119">
        <f>VLOOKUP($H351,RoR!$E:$F,2,FALSE)</f>
        <v>7.0824999999999999E-2</v>
      </c>
      <c r="CW351" s="177">
        <v>2.2454495382290052E-2</v>
      </c>
      <c r="CX351" s="177">
        <f t="shared" si="981"/>
        <v>4.8370504617709947E-2</v>
      </c>
      <c r="CY351" s="177">
        <f>+$CX$35-CU351</f>
        <v>2.5813772148680785E-2</v>
      </c>
      <c r="CZ351" s="177">
        <f>+((DM349/DM348-1)+(DM350/DM349-1)+(DM351/DM350-1))/3</f>
        <v>2.3947275901631187E-2</v>
      </c>
      <c r="DA351" s="187">
        <f t="shared" si="976"/>
        <v>0.84925000000000006</v>
      </c>
      <c r="DB351" s="188">
        <f t="shared" si="977"/>
        <v>0.72406708481540816</v>
      </c>
      <c r="DC351" s="188">
        <f t="shared" si="978"/>
        <v>0.62201729615248857</v>
      </c>
      <c r="DD351" s="188">
        <f t="shared" si="979"/>
        <v>0.9352469954311422</v>
      </c>
      <c r="DE351" s="188">
        <f t="shared" si="980"/>
        <v>0.42121864641655071</v>
      </c>
      <c r="DF351" s="189">
        <f>INDEX('State Tax Lookup'!$D$7:$Z$91,MATCH(Calculation!$C351,'State Tax Lookup'!$B$7:$B$91,0),MATCH($H351,'State Tax Lookup'!$D$6:$Z$6,0))</f>
        <v>0.40200000000000002</v>
      </c>
      <c r="DG351" s="189">
        <v>0.375</v>
      </c>
      <c r="DH351" s="190">
        <f t="shared" ref="DH351:DH371" si="982">+(DM351*CY351-CZ351)*DA351/(1-DF351)</f>
        <v>12.923174809299027</v>
      </c>
      <c r="DI351" s="190"/>
      <c r="DJ351" s="177"/>
      <c r="DK351" s="189">
        <f>VLOOKUP($H351,RoR!$E:$F,2,FALSE)</f>
        <v>7.0824999999999999E-2</v>
      </c>
      <c r="DL351" s="191">
        <f>HLOOKUP($H351,'GDP-PI'!$D$8:$CQ$11,3,FALSE)</f>
        <v>2.2454495382290052E-2</v>
      </c>
      <c r="DM351" s="189">
        <f>VLOOKUP(H351,'HW Dx Data'!$E:$F,2,FALSE)</f>
        <v>353.44738017483138</v>
      </c>
      <c r="DN351" s="183">
        <f>VLOOKUP(H351,'ECI - Input Price'!$G$17:$H$37,2,FALSE)</f>
        <v>86.2</v>
      </c>
      <c r="DO351" s="177"/>
      <c r="DP351" s="183">
        <f>HLOOKUP(H351,'GDP-PI'!$8:$9,2,FALSE)</f>
        <v>79.822000000000003</v>
      </c>
    </row>
    <row r="352" spans="1:121" s="167" customFormat="1" ht="21" x14ac:dyDescent="0.35">
      <c r="A352" s="167" t="s">
        <v>50</v>
      </c>
      <c r="B352" s="168" t="s">
        <v>50</v>
      </c>
      <c r="C352" s="168">
        <v>4059402</v>
      </c>
      <c r="D352" s="168" t="s">
        <v>140</v>
      </c>
      <c r="E352" s="168" t="s">
        <v>126</v>
      </c>
      <c r="F352" s="168"/>
      <c r="G352" s="168" t="s">
        <v>8</v>
      </c>
      <c r="H352" s="169">
        <v>2002</v>
      </c>
      <c r="I352" s="170"/>
      <c r="J352" s="166"/>
      <c r="K352" s="166"/>
      <c r="L352" s="166"/>
      <c r="M352" s="166"/>
      <c r="N352" s="196"/>
      <c r="O352" s="166"/>
      <c r="P352" s="166"/>
      <c r="Q352" s="166"/>
      <c r="R352" s="166"/>
      <c r="S352" s="166"/>
      <c r="T352" s="166"/>
      <c r="U352" s="166"/>
      <c r="V352" s="166">
        <f t="shared" si="970"/>
        <v>19756.624018058839</v>
      </c>
      <c r="W352" s="170"/>
      <c r="X352" s="174">
        <v>1554.3414827147926</v>
      </c>
      <c r="Y352" s="175">
        <v>2.9719826811096715E-2</v>
      </c>
      <c r="Z352" s="175"/>
      <c r="AA352" s="175"/>
      <c r="AB352" s="175"/>
      <c r="AC352" s="170">
        <f t="shared" si="882"/>
        <v>19756.624018058839</v>
      </c>
      <c r="AD352" s="175"/>
      <c r="AE352" s="170"/>
      <c r="AF352" s="170"/>
      <c r="AG352" s="174"/>
      <c r="AH352" s="175"/>
      <c r="AI352" s="175"/>
      <c r="AJ352" s="174"/>
      <c r="AK352" s="174"/>
      <c r="AL352" s="120"/>
      <c r="AM352" s="120"/>
      <c r="AN352" s="120"/>
      <c r="AO352" s="120"/>
      <c r="AP352" s="120"/>
      <c r="AQ352" s="175"/>
      <c r="AR352" s="120"/>
      <c r="AS352" s="120"/>
      <c r="AT352" s="120"/>
      <c r="AU352" s="120"/>
      <c r="AV352" s="120"/>
      <c r="AW352" s="120"/>
      <c r="AX352" s="120"/>
      <c r="AY352" s="120"/>
      <c r="AZ352" s="118">
        <f>IFERROR(INDEX('Total Customers'!$F$7:$AB$91,MATCH($C352,'Total Customers'!$D$7:$D$91,0),MATCH($G352,'Total Customers'!$F$5:$AB$5,0)),"NA")</f>
        <v>148133</v>
      </c>
      <c r="BA352" s="119">
        <f t="shared" si="971"/>
        <v>8.0793732019937472E-3</v>
      </c>
      <c r="BB352" s="119"/>
      <c r="BC352" s="121"/>
      <c r="BD352" s="119"/>
      <c r="BE352" s="119"/>
      <c r="BF352" s="119"/>
      <c r="BG352" s="173"/>
      <c r="BH352" s="173"/>
      <c r="BI352" s="173"/>
      <c r="BJ352" s="173"/>
      <c r="BK352" s="173"/>
      <c r="BL352" s="173"/>
      <c r="BM352" s="173"/>
      <c r="BN352" s="173"/>
      <c r="BO352" s="173"/>
      <c r="BP352" s="173"/>
      <c r="BQ352" s="118"/>
      <c r="BR352" s="118"/>
      <c r="BS352" s="118">
        <f>INDEX('Dist. Plant Gas Additions'!$F$7:$AE$91,MATCH($C352,'Dist. Plant Gas Additions'!$D$7:$D$91,0),MATCH(Calculation!$G352,'Dist. Plant Gas Additions'!$F$5:$AE$5,0))</f>
        <v>18818</v>
      </c>
      <c r="BT352" s="118">
        <f>INDEX('Gen. Plant Additions'!$F$7:$AE$91,MATCH($C352,'Gen. Plant Additions'!$D$7:$D$91,0),MATCH(Calculation!$G352,'Gen. Plant Additions'!$F$5:$AE$5,0))</f>
        <v>714</v>
      </c>
      <c r="BU352" s="118"/>
      <c r="BV352" s="118"/>
      <c r="BW352" s="118" t="str">
        <f>INDEX('Dist Plant Depreciation'!$E$7:$AD$94,MATCH($C352,'Dist Plant Depreciation'!$D$7:$D$94,0),MATCH(Calculation!$G352,'Dist Plant Depreciation'!$E$5:$AD$5,0))</f>
        <v>NA</v>
      </c>
      <c r="BX352" s="118" t="str">
        <f>INDEX('Gen. Plant Depreciation'!$E$7:$AD$94,MATCH($C352,'Gen. Plant Depreciation'!$D$7:$D$94,0),MATCH(Calculation!$G352,'Gen. Plant Depreciation'!$E$5:$AD$5,0))</f>
        <v>NA</v>
      </c>
      <c r="BY352" s="118"/>
      <c r="BZ352" s="118"/>
      <c r="CA352" s="118"/>
      <c r="CB352" s="118"/>
      <c r="CC352" s="118"/>
      <c r="CD352" s="118"/>
      <c r="CE352" s="118">
        <f>INDEX('Gross Dx Plant'!$E$7:$AD$91,MATCH($C352,'Gross Dx Plant'!$D$7:$D$91,0),MATCH(Calculation!$G352,'Gross Dx Plant'!$E$5:$AD$5,0))</f>
        <v>454766</v>
      </c>
      <c r="CF352" s="118">
        <f>INDEX('Gross Gen Plant'!$E$7:$AD$91,MATCH($C352,'Gross Gen Plant'!$D$7:$D$91,0),MATCH(Calculation!$G352,'Gross Gen Plant'!$E$5:$AD$5,0))</f>
        <v>48934</v>
      </c>
      <c r="CG352" s="118" t="str">
        <f t="shared" si="969"/>
        <v>NA</v>
      </c>
      <c r="CH352" s="118"/>
      <c r="CI352" s="121">
        <v>2002</v>
      </c>
      <c r="CJ352" s="118"/>
      <c r="CK352" s="118"/>
      <c r="CL352" s="118"/>
      <c r="CM352" s="183"/>
      <c r="CN352" s="118">
        <f t="shared" si="972"/>
        <v>19532</v>
      </c>
      <c r="CO352" s="118">
        <f t="shared" si="973"/>
        <v>54.053131722192781</v>
      </c>
      <c r="CP352" s="186">
        <v>0.97916666666666663</v>
      </c>
      <c r="CQ352" s="118">
        <f>+CQ348*CP352+CO349*CP351+CO350*CP350+CO351*CP349+CO352</f>
        <v>1554.3414827147926</v>
      </c>
      <c r="CR352" s="119">
        <f t="shared" si="974"/>
        <v>2.9719826811096715E-2</v>
      </c>
      <c r="CS352" s="119"/>
      <c r="CT352" s="177">
        <f t="shared" si="975"/>
        <v>5.6587503265636508E-3</v>
      </c>
      <c r="CU352" s="177">
        <f t="shared" ref="CU352:CU371" si="983">+(CT352+CT351+CT350)/3</f>
        <v>5.3160447760042043E-3</v>
      </c>
      <c r="CV352" s="119">
        <f>VLOOKUP($H352,RoR!$E:$F,2,FALSE)</f>
        <v>6.4916666666666664E-2</v>
      </c>
      <c r="CW352" s="177">
        <v>1.5246423291824351E-2</v>
      </c>
      <c r="CX352" s="177">
        <f t="shared" si="981"/>
        <v>4.9670243374842313E-2</v>
      </c>
      <c r="CY352" s="177">
        <f t="shared" ref="CY352:CY371" si="984">+$CX$35-CU352</f>
        <v>2.5585896832529421E-2</v>
      </c>
      <c r="CZ352" s="177">
        <f t="shared" ref="CZ352:CZ371" si="985">+((DM350/DM349-1)+(DM351/DM350-1)+(DM352/DM351-1))/3</f>
        <v>2.5243621214759093E-2</v>
      </c>
      <c r="DA352" s="187">
        <f t="shared" si="976"/>
        <v>0.84925000000000006</v>
      </c>
      <c r="DB352" s="188">
        <f t="shared" si="977"/>
        <v>0.78996741384417901</v>
      </c>
      <c r="DC352" s="188">
        <f t="shared" si="978"/>
        <v>0.58989088575096271</v>
      </c>
      <c r="DD352" s="188">
        <f t="shared" si="979"/>
        <v>0.91920675783645744</v>
      </c>
      <c r="DE352" s="188">
        <f t="shared" si="980"/>
        <v>0.42834536472275586</v>
      </c>
      <c r="DF352" s="189">
        <f>INDEX('State Tax Lookup'!$D$7:$Z$91,MATCH(Calculation!$C352,'State Tax Lookup'!$B$7:$B$91,0),MATCH($H352,'State Tax Lookup'!$D$6:$Z$6,0))</f>
        <v>0.40200000000000002</v>
      </c>
      <c r="DG352" s="189">
        <v>0.375</v>
      </c>
      <c r="DH352" s="190">
        <f t="shared" si="982"/>
        <v>13.094033691888441</v>
      </c>
      <c r="DI352" s="190"/>
      <c r="DJ352" s="177"/>
      <c r="DK352" s="189">
        <f>VLOOKUP($H352,RoR!$E:$F,2,FALSE)</f>
        <v>6.4916666666666664E-2</v>
      </c>
      <c r="DL352" s="191">
        <f>HLOOKUP($H352,'GDP-PI'!$D$8:$CQ$11,3,FALSE)</f>
        <v>1.5246423291824351E-2</v>
      </c>
      <c r="DM352" s="189">
        <f>VLOOKUP(H352,'HW Dx Data'!$E:$F,2,FALSE)</f>
        <v>361.34816573413599</v>
      </c>
      <c r="DN352" s="183">
        <f>VLOOKUP(H352,'ECI - Input Price'!$G$17:$H$37,2,FALSE)</f>
        <v>89.275000000000006</v>
      </c>
      <c r="DO352" s="177">
        <f>LN(DN352/DN351)</f>
        <v>3.5051315810864674E-2</v>
      </c>
      <c r="DP352" s="183">
        <f>HLOOKUP(H352,'GDP-PI'!$8:$9,2,FALSE)</f>
        <v>81.039000000000001</v>
      </c>
      <c r="DQ352" s="177">
        <f>LN(DP352/DP351)</f>
        <v>1.513136459537477E-2</v>
      </c>
    </row>
    <row r="353" spans="1:121" s="167" customFormat="1" ht="21" x14ac:dyDescent="0.35">
      <c r="A353" s="167" t="s">
        <v>50</v>
      </c>
      <c r="B353" s="168" t="s">
        <v>50</v>
      </c>
      <c r="C353" s="168">
        <v>4059402</v>
      </c>
      <c r="D353" s="168" t="s">
        <v>140</v>
      </c>
      <c r="E353" s="168" t="s">
        <v>126</v>
      </c>
      <c r="F353" s="168"/>
      <c r="G353" s="168" t="s">
        <v>9</v>
      </c>
      <c r="H353" s="169">
        <v>2003</v>
      </c>
      <c r="I353" s="170"/>
      <c r="J353" s="166"/>
      <c r="K353" s="166"/>
      <c r="L353" s="166"/>
      <c r="M353" s="172"/>
      <c r="N353" s="196"/>
      <c r="O353" s="172"/>
      <c r="P353" s="166"/>
      <c r="Q353" s="166"/>
      <c r="R353" s="166"/>
      <c r="S353" s="166"/>
      <c r="T353" s="166"/>
      <c r="U353" s="166"/>
      <c r="V353" s="166">
        <f t="shared" si="970"/>
        <v>20663.295377081813</v>
      </c>
      <c r="W353" s="170"/>
      <c r="X353" s="174">
        <v>1591.7292374024723</v>
      </c>
      <c r="Y353" s="175">
        <v>2.376902379704305E-2</v>
      </c>
      <c r="Z353" s="175"/>
      <c r="AA353" s="175"/>
      <c r="AB353" s="175"/>
      <c r="AC353" s="170">
        <f t="shared" si="882"/>
        <v>20663.295377081813</v>
      </c>
      <c r="AD353" s="175"/>
      <c r="AE353" s="170"/>
      <c r="AF353" s="170"/>
      <c r="AG353" s="174"/>
      <c r="AH353" s="175"/>
      <c r="AI353" s="175"/>
      <c r="AJ353" s="174"/>
      <c r="AK353" s="174"/>
      <c r="AL353" s="120"/>
      <c r="AM353" s="120"/>
      <c r="AN353" s="120"/>
      <c r="AO353" s="120"/>
      <c r="AP353" s="120"/>
      <c r="AQ353" s="175"/>
      <c r="AR353" s="120"/>
      <c r="AS353" s="120"/>
      <c r="AT353" s="120"/>
      <c r="AU353" s="120"/>
      <c r="AV353" s="120"/>
      <c r="AW353" s="120"/>
      <c r="AX353" s="120"/>
      <c r="AY353" s="120"/>
      <c r="AZ353" s="118">
        <f>IFERROR(INDEX('Total Customers'!$F$7:$AB$91,MATCH($C353,'Total Customers'!$D$7:$D$91,0),MATCH($G353,'Total Customers'!$F$5:$AB$5,0)),"NA")</f>
        <v>150946</v>
      </c>
      <c r="BA353" s="119">
        <f t="shared" si="971"/>
        <v>1.8811638091260692E-2</v>
      </c>
      <c r="BB353" s="119"/>
      <c r="BC353" s="121"/>
      <c r="BD353" s="119"/>
      <c r="BE353" s="119"/>
      <c r="BF353" s="119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73"/>
      <c r="BQ353" s="118"/>
      <c r="BR353" s="118"/>
      <c r="BS353" s="118">
        <f>INDEX('Dist. Plant Gas Additions'!$F$7:$AE$91,MATCH($C353,'Dist. Plant Gas Additions'!$D$7:$D$91,0),MATCH(Calculation!$G353,'Dist. Plant Gas Additions'!$F$5:$AE$5,0))</f>
        <v>16792</v>
      </c>
      <c r="BT353" s="118">
        <f>INDEX('Gen. Plant Additions'!$F$7:$AE$91,MATCH($C353,'Gen. Plant Additions'!$D$7:$D$91,0),MATCH(Calculation!$G353,'Gen. Plant Additions'!$F$5:$AE$5,0))</f>
        <v>268</v>
      </c>
      <c r="BU353" s="118"/>
      <c r="BV353" s="118"/>
      <c r="BW353" s="118">
        <f>INDEX('Dist Plant Depreciation'!$E$7:$AD$94,MATCH($C353,'Dist Plant Depreciation'!$D$7:$D$94,0),MATCH(Calculation!$G353,'Dist Plant Depreciation'!$E$5:$AD$5,0))</f>
        <v>191074</v>
      </c>
      <c r="BX353" s="118">
        <f>INDEX('Gen. Plant Depreciation'!$E$7:$AD$94,MATCH($C353,'Gen. Plant Depreciation'!$D$7:$D$94,0),MATCH(Calculation!$G353,'Gen. Plant Depreciation'!$E$5:$AD$5,0))</f>
        <v>25749</v>
      </c>
      <c r="BY353" s="118"/>
      <c r="BZ353" s="118"/>
      <c r="CA353" s="118"/>
      <c r="CB353" s="118"/>
      <c r="CC353" s="118"/>
      <c r="CD353" s="118"/>
      <c r="CE353" s="118">
        <f>INDEX('Gross Dx Plant'!$E$7:$AD$91,MATCH($C353,'Gross Dx Plant'!$D$7:$D$91,0),MATCH(Calculation!$G353,'Gross Dx Plant'!$E$5:$AD$5,0))</f>
        <v>470045</v>
      </c>
      <c r="CF353" s="118">
        <f>INDEX('Gross Gen Plant'!$E$7:$AD$91,MATCH($C353,'Gross Gen Plant'!$D$7:$D$91,0),MATCH(Calculation!$G353,'Gross Gen Plant'!$E$5:$AD$5,0))</f>
        <v>45485</v>
      </c>
      <c r="CG353" s="118">
        <f t="shared" si="969"/>
        <v>298707</v>
      </c>
      <c r="CH353" s="118"/>
      <c r="CI353" s="121">
        <v>2003</v>
      </c>
      <c r="CJ353" s="118"/>
      <c r="CK353" s="118"/>
      <c r="CL353" s="118"/>
      <c r="CM353" s="183"/>
      <c r="CN353" s="118">
        <f t="shared" si="972"/>
        <v>17060</v>
      </c>
      <c r="CO353" s="118">
        <f t="shared" si="973"/>
        <v>46.203886147252867</v>
      </c>
      <c r="CP353" s="186">
        <v>0.97354497354497349</v>
      </c>
      <c r="CQ353" s="118">
        <f>+CQ348*CP353+CO349*CP352+CO350*CP351+CO351*CP350+CO352*CP349+CO353</f>
        <v>1591.7292374024723</v>
      </c>
      <c r="CR353" s="119">
        <f t="shared" si="974"/>
        <v>2.376902379704305E-2</v>
      </c>
      <c r="CS353" s="119"/>
      <c r="CT353" s="177">
        <f t="shared" si="975"/>
        <v>5.6719398906957107E-3</v>
      </c>
      <c r="CU353" s="177">
        <f t="shared" si="983"/>
        <v>5.4916994944234675E-3</v>
      </c>
      <c r="CV353" s="119">
        <f>VLOOKUP($H353,RoR!$E:$F,2,FALSE)</f>
        <v>5.6666666666666671E-2</v>
      </c>
      <c r="CW353" s="177">
        <v>1.8855119140166909E-2</v>
      </c>
      <c r="CX353" s="177">
        <f t="shared" si="981"/>
        <v>3.7811547526499761E-2</v>
      </c>
      <c r="CY353" s="177">
        <f t="shared" si="984"/>
        <v>2.5410242114110158E-2</v>
      </c>
      <c r="CZ353" s="177">
        <f t="shared" si="985"/>
        <v>2.1375012817671957E-2</v>
      </c>
      <c r="DA353" s="187">
        <f t="shared" si="976"/>
        <v>0.84925000000000006</v>
      </c>
      <c r="DB353" s="188">
        <f t="shared" si="977"/>
        <v>0.90497737556561086</v>
      </c>
      <c r="DC353" s="188">
        <f t="shared" si="978"/>
        <v>0.5338235294117647</v>
      </c>
      <c r="DD353" s="188">
        <f t="shared" si="979"/>
        <v>0.88972433127405692</v>
      </c>
      <c r="DE353" s="188">
        <f t="shared" si="980"/>
        <v>0.42982423775949252</v>
      </c>
      <c r="DF353" s="189">
        <f>INDEX('State Tax Lookup'!$D$7:$Z$91,MATCH(Calculation!$C353,'State Tax Lookup'!$B$7:$B$91,0),MATCH($H353,'State Tax Lookup'!$D$6:$Z$6,0))</f>
        <v>0.40200000000000002</v>
      </c>
      <c r="DG353" s="189">
        <v>0.375</v>
      </c>
      <c r="DH353" s="190">
        <f t="shared" si="982"/>
        <v>13.29392260765734</v>
      </c>
      <c r="DI353" s="190"/>
      <c r="DJ353" s="177"/>
      <c r="DK353" s="189">
        <f>VLOOKUP($H353,RoR!$E:$F,2,FALSE)</f>
        <v>5.6666666666666671E-2</v>
      </c>
      <c r="DL353" s="191">
        <f>HLOOKUP($H353,'GDP-PI'!$D$8:$CQ$11,3,FALSE)</f>
        <v>1.8855119140166909E-2</v>
      </c>
      <c r="DM353" s="189">
        <f>VLOOKUP(H353,'HW Dx Data'!$E:$F,2,FALSE)</f>
        <v>369.23301095560191</v>
      </c>
      <c r="DN353" s="183">
        <f>VLOOKUP(H353,'ECI - Input Price'!$G$17:$H$37,2,FALSE)</f>
        <v>92.625</v>
      </c>
      <c r="DO353" s="177">
        <f t="shared" ref="DO353" si="986">LN(DN353/DN352)</f>
        <v>3.6837590135738785E-2</v>
      </c>
      <c r="DP353" s="183">
        <f>HLOOKUP(H353,'GDP-PI'!$8:$9,2,FALSE)</f>
        <v>82.566999999999993</v>
      </c>
      <c r="DQ353" s="177">
        <f t="shared" ref="DQ353" si="987">LN(DP353/DP352)</f>
        <v>1.8679564681853753E-2</v>
      </c>
    </row>
    <row r="354" spans="1:121" s="167" customFormat="1" ht="21" x14ac:dyDescent="0.35">
      <c r="A354" s="167" t="s">
        <v>50</v>
      </c>
      <c r="B354" s="168" t="s">
        <v>50</v>
      </c>
      <c r="C354" s="168">
        <v>4059402</v>
      </c>
      <c r="D354" s="168" t="s">
        <v>140</v>
      </c>
      <c r="E354" s="168" t="s">
        <v>126</v>
      </c>
      <c r="F354" s="168"/>
      <c r="G354" s="168" t="s">
        <v>10</v>
      </c>
      <c r="H354" s="169">
        <v>2004</v>
      </c>
      <c r="I354" s="170"/>
      <c r="J354" s="166">
        <f>IFERROR(INDEX('Labor Expenditures'!$F$7:$X$91,MATCH($C354,'Labor Expenditures'!$D$7:$D$91,0),MATCH($G354,'Labor Expenditures'!$F$5:$X$5,0)),"NA")</f>
        <v>16434.491736383858</v>
      </c>
      <c r="K354" s="166">
        <f t="shared" ref="K354:K371" si="988">+J354/DN354</f>
        <v>170.8811202119455</v>
      </c>
      <c r="L354" s="172"/>
      <c r="M354" s="172"/>
      <c r="N354" s="196"/>
      <c r="O354" s="172"/>
      <c r="P354" s="166">
        <f>IFERROR(INDEX('Non-Labor Expenditures'!$F$7:$AB$91,MATCH($C354,'Non-Labor Expenditures'!$D$7:$D$91,0),MATCH($G354,'Non-Labor Expenditures'!$F$5:$AB$5,0)),"NA")</f>
        <v>23800.213573929435</v>
      </c>
      <c r="Q354" s="166">
        <f t="shared" ref="Q354:Q371" si="989">+P354/DP354</f>
        <v>280.7357283013215</v>
      </c>
      <c r="R354" s="166"/>
      <c r="S354" s="166"/>
      <c r="T354" s="166"/>
      <c r="U354" s="166"/>
      <c r="V354" s="166">
        <f t="shared" si="970"/>
        <v>23480.562764485647</v>
      </c>
      <c r="W354" s="170"/>
      <c r="X354" s="174">
        <v>1626.9617579526073</v>
      </c>
      <c r="Y354" s="175">
        <v>2.1893327372862804E-2</v>
      </c>
      <c r="Z354" s="175"/>
      <c r="AA354" s="175"/>
      <c r="AB354" s="175"/>
      <c r="AC354" s="170">
        <f t="shared" si="882"/>
        <v>63715.268074798936</v>
      </c>
      <c r="AD354" s="175"/>
      <c r="AE354" s="170"/>
      <c r="AF354" s="170"/>
      <c r="AG354" s="174"/>
      <c r="AH354" s="175"/>
      <c r="AI354" s="175"/>
      <c r="AJ354" s="174"/>
      <c r="AK354" s="174"/>
      <c r="AL354" s="120">
        <f t="shared" ref="AL354:AL371" si="990">+J354/AC354</f>
        <v>0.25793647634175348</v>
      </c>
      <c r="AM354" s="120">
        <f t="shared" ref="AM354:AM371" si="991">+P354/AC354</f>
        <v>0.37354019363128199</v>
      </c>
      <c r="AN354" s="120">
        <f t="shared" ref="AN354:AN371" si="992">+V354/AC354</f>
        <v>0.36852333002696458</v>
      </c>
      <c r="AO354" s="120"/>
      <c r="AP354" s="120"/>
      <c r="AQ354" s="175"/>
      <c r="AR354" s="120"/>
      <c r="AS354" s="120"/>
      <c r="AT354" s="120"/>
      <c r="AU354" s="120"/>
      <c r="AV354" s="120"/>
      <c r="AW354" s="120"/>
      <c r="AX354" s="120"/>
      <c r="AY354" s="120"/>
      <c r="AZ354" s="118">
        <f>IFERROR(INDEX('Total Customers'!$F$7:$AB$91,MATCH($C354,'Total Customers'!$D$7:$D$91,0),MATCH($G354,'Total Customers'!$F$5:$AB$5,0)),"NA")</f>
        <v>151127</v>
      </c>
      <c r="BA354" s="119">
        <f t="shared" si="971"/>
        <v>1.198385964065602E-3</v>
      </c>
      <c r="BB354" s="119"/>
      <c r="BC354" s="121"/>
      <c r="BD354" s="119"/>
      <c r="BE354" s="119"/>
      <c r="BF354" s="119"/>
      <c r="BG354" s="173"/>
      <c r="BH354" s="173"/>
      <c r="BI354" s="173"/>
      <c r="BJ354" s="173"/>
      <c r="BK354" s="173"/>
      <c r="BL354" s="173"/>
      <c r="BM354" s="173"/>
      <c r="BN354" s="173"/>
      <c r="BO354" s="173"/>
      <c r="BP354" s="173"/>
      <c r="BQ354" s="118"/>
      <c r="BR354" s="118"/>
      <c r="BS354" s="118">
        <f>INDEX('Dist. Plant Gas Additions'!$F$7:$AE$91,MATCH($C354,'Dist. Plant Gas Additions'!$D$7:$D$91,0),MATCH(Calculation!$G354,'Dist. Plant Gas Additions'!$F$5:$AE$5,0))</f>
        <v>17251</v>
      </c>
      <c r="BT354" s="118">
        <f>INDEX('Gen. Plant Additions'!$F$7:$AE$91,MATCH($C354,'Gen. Plant Additions'!$D$7:$D$91,0),MATCH(Calculation!$G354,'Gen. Plant Additions'!$F$5:$AE$5,0))</f>
        <v>1237</v>
      </c>
      <c r="BU354" s="118"/>
      <c r="BV354" s="118"/>
      <c r="BW354" s="118">
        <f>INDEX('Dist Plant Depreciation'!$E$7:$AD$94,MATCH($C354,'Dist Plant Depreciation'!$D$7:$D$94,0),MATCH(Calculation!$G354,'Dist Plant Depreciation'!$E$5:$AD$5,0))</f>
        <v>207297</v>
      </c>
      <c r="BX354" s="118">
        <f>INDEX('Gen. Plant Depreciation'!$E$7:$AD$94,MATCH($C354,'Gen. Plant Depreciation'!$D$7:$D$94,0),MATCH(Calculation!$G354,'Gen. Plant Depreciation'!$E$5:$AD$5,0))</f>
        <v>10637</v>
      </c>
      <c r="BY354" s="118"/>
      <c r="BZ354" s="118"/>
      <c r="CA354" s="118"/>
      <c r="CB354" s="118"/>
      <c r="CC354" s="118"/>
      <c r="CD354" s="118"/>
      <c r="CE354" s="118">
        <f>INDEX('Gross Dx Plant'!$E$7:$AD$91,MATCH($C354,'Gross Dx Plant'!$D$7:$D$91,0),MATCH(Calculation!$G354,'Gross Dx Plant'!$E$5:$AD$5,0))</f>
        <v>485386</v>
      </c>
      <c r="CF354" s="118">
        <f>INDEX('Gross Gen Plant'!$E$7:$AD$91,MATCH($C354,'Gross Gen Plant'!$D$7:$D$91,0),MATCH(Calculation!$G354,'Gross Gen Plant'!$E$5:$AD$5,0))</f>
        <v>24278</v>
      </c>
      <c r="CG354" s="118">
        <f t="shared" si="969"/>
        <v>291730</v>
      </c>
      <c r="CH354" s="118"/>
      <c r="CI354" s="121">
        <v>2004</v>
      </c>
      <c r="CJ354" s="118"/>
      <c r="CK354" s="118"/>
      <c r="CL354" s="118"/>
      <c r="CM354" s="183"/>
      <c r="CN354" s="118">
        <f t="shared" si="972"/>
        <v>18488</v>
      </c>
      <c r="CO354" s="118">
        <f t="shared" si="973"/>
        <v>44.561510659657138</v>
      </c>
      <c r="CP354" s="186">
        <v>0.967741935483871</v>
      </c>
      <c r="CQ354" s="118">
        <f>+CQ348*CP354+CO349*CP353+CO350*CP352+CO351*CP351+CO352*CP350+CO353*CP349+CO354</f>
        <v>1626.9617579526073</v>
      </c>
      <c r="CR354" s="119">
        <f t="shared" si="974"/>
        <v>2.1893327372862804E-2</v>
      </c>
      <c r="CS354" s="119"/>
      <c r="CT354" s="177">
        <f t="shared" si="975"/>
        <v>5.8609152174311238E-3</v>
      </c>
      <c r="CU354" s="177">
        <f t="shared" si="983"/>
        <v>5.7305351448968291E-3</v>
      </c>
      <c r="CV354" s="119">
        <f>VLOOKUP($H354,RoR!$E:$F,2,FALSE)</f>
        <v>5.6283333333333331E-2</v>
      </c>
      <c r="CW354" s="177">
        <v>2.6778252812867276E-2</v>
      </c>
      <c r="CX354" s="177">
        <f t="shared" si="981"/>
        <v>2.9505080520466055E-2</v>
      </c>
      <c r="CY354" s="177">
        <f t="shared" si="984"/>
        <v>2.5171406463636796E-2</v>
      </c>
      <c r="CZ354" s="177">
        <f t="shared" si="985"/>
        <v>5.5940039414565046E-2</v>
      </c>
      <c r="DA354" s="187">
        <f t="shared" si="976"/>
        <v>0.84925000000000006</v>
      </c>
      <c r="DB354" s="188">
        <f t="shared" si="977"/>
        <v>0.91114097628755619</v>
      </c>
      <c r="DC354" s="188">
        <f t="shared" si="978"/>
        <v>0.53081877405981637</v>
      </c>
      <c r="DD354" s="188">
        <f t="shared" si="979"/>
        <v>0.88811215519385678</v>
      </c>
      <c r="DE354" s="188">
        <f t="shared" si="980"/>
        <v>0.42953609753547711</v>
      </c>
      <c r="DF354" s="189">
        <f>INDEX('State Tax Lookup'!$D$7:$Z$91,MATCH(Calculation!$C354,'State Tax Lookup'!$B$7:$B$91,0),MATCH($H354,'State Tax Lookup'!$D$6:$Z$6,0))</f>
        <v>0.40200000000000002</v>
      </c>
      <c r="DG354" s="189">
        <v>0.375</v>
      </c>
      <c r="DH354" s="190">
        <f t="shared" si="982"/>
        <v>14.751606122912808</v>
      </c>
      <c r="DI354" s="190"/>
      <c r="DJ354" s="177"/>
      <c r="DK354" s="189">
        <f>VLOOKUP($H354,RoR!$E:$F,2,FALSE)</f>
        <v>5.6283333333333331E-2</v>
      </c>
      <c r="DL354" s="191">
        <f>HLOOKUP($H354,'GDP-PI'!$D$8:$CQ$11,3,FALSE)</f>
        <v>2.6778252812867276E-2</v>
      </c>
      <c r="DM354" s="189">
        <f>VLOOKUP(H354,'HW Dx Data'!$E:$F,2,FALSE)</f>
        <v>414.88719135228365</v>
      </c>
      <c r="DN354" s="183">
        <f>VLOOKUP(H354,'ECI - Input Price'!$G$17:$H$37,2,FALSE)</f>
        <v>96.174999999999997</v>
      </c>
      <c r="DO354" s="177">
        <f t="shared" ref="DO354" si="993">LN(DN354/DN353)</f>
        <v>3.7610365022107912E-2</v>
      </c>
      <c r="DP354" s="183">
        <f>HLOOKUP(H354,'GDP-PI'!$8:$9,2,FALSE)</f>
        <v>84.778000000000006</v>
      </c>
      <c r="DQ354" s="177">
        <f t="shared" ref="DQ354" si="994">LN(DP354/DP353)</f>
        <v>2.6425990216022755E-2</v>
      </c>
    </row>
    <row r="355" spans="1:121" s="167" customFormat="1" ht="21" x14ac:dyDescent="0.35">
      <c r="A355" s="167" t="s">
        <v>50</v>
      </c>
      <c r="B355" s="168" t="s">
        <v>50</v>
      </c>
      <c r="C355" s="168">
        <v>4059402</v>
      </c>
      <c r="D355" s="168" t="s">
        <v>140</v>
      </c>
      <c r="E355" s="168" t="s">
        <v>126</v>
      </c>
      <c r="F355" s="168"/>
      <c r="G355" s="168" t="s">
        <v>11</v>
      </c>
      <c r="H355" s="169">
        <v>2005</v>
      </c>
      <c r="I355" s="170"/>
      <c r="J355" s="166">
        <f>IFERROR(INDEX('Labor Expenditures'!$F$7:$X$91,MATCH($C355,'Labor Expenditures'!$D$7:$D$91,0),MATCH($G355,'Labor Expenditures'!$F$5:$X$5,0)),"NA")</f>
        <v>16398.18378990272</v>
      </c>
      <c r="K355" s="166">
        <f t="shared" si="988"/>
        <v>165.38763277763709</v>
      </c>
      <c r="L355" s="172">
        <f t="shared" ref="L355:L371" si="995">LN(K355/K354)</f>
        <v>-3.267610310204546E-2</v>
      </c>
      <c r="M355" s="172"/>
      <c r="N355" s="196"/>
      <c r="O355" s="172"/>
      <c r="P355" s="166">
        <f>IFERROR(INDEX('Non-Labor Expenditures'!$F$7:$AB$91,MATCH($C355,'Non-Labor Expenditures'!$D$7:$D$91,0),MATCH($G355,'Non-Labor Expenditures'!$F$5:$AB$5,0)),"NA")</f>
        <v>23747.632886035764</v>
      </c>
      <c r="Q355" s="166">
        <f t="shared" si="989"/>
        <v>271.69028665937242</v>
      </c>
      <c r="R355" s="172">
        <f>LN(Q355/Q354)</f>
        <v>-3.2750992585332893E-2</v>
      </c>
      <c r="S355" s="172"/>
      <c r="T355" s="172"/>
      <c r="U355" s="172"/>
      <c r="V355" s="166">
        <f t="shared" si="970"/>
        <v>26931.863108104411</v>
      </c>
      <c r="W355" s="170"/>
      <c r="X355" s="174">
        <v>1660.094857699456</v>
      </c>
      <c r="Y355" s="175">
        <v>2.0160420606462798E-2</v>
      </c>
      <c r="Z355" s="175"/>
      <c r="AA355" s="175"/>
      <c r="AB355" s="175"/>
      <c r="AC355" s="170">
        <f t="shared" si="882"/>
        <v>67077.679784042892</v>
      </c>
      <c r="AD355" s="175">
        <f>LN(AC355/AC354)</f>
        <v>5.1427126507712105E-2</v>
      </c>
      <c r="AE355" s="170"/>
      <c r="AF355" s="170"/>
      <c r="AG355" s="121"/>
      <c r="AH355" s="119"/>
      <c r="AI355" s="119"/>
      <c r="AJ355" s="121"/>
      <c r="AK355" s="121"/>
      <c r="AL355" s="120">
        <f t="shared" si="990"/>
        <v>0.2444655784561541</v>
      </c>
      <c r="AM355" s="120">
        <f t="shared" si="991"/>
        <v>0.35403181747626711</v>
      </c>
      <c r="AN355" s="120">
        <f t="shared" si="992"/>
        <v>0.40150260406757887</v>
      </c>
      <c r="AO355" s="120">
        <f t="shared" ref="AO355:AO371" si="996">+(((AL355+AL354)/2)*L355+((AM354+AM355)/2)*R355+((AN354+AN355)/2)*Y355)</f>
        <v>-1.2360600086552303E-2</v>
      </c>
      <c r="AP355" s="173">
        <v>100</v>
      </c>
      <c r="AQ355" s="175"/>
      <c r="AR355" s="120"/>
      <c r="AS355" s="120"/>
      <c r="AT355" s="120"/>
      <c r="AU355" s="120"/>
      <c r="AV355" s="120"/>
      <c r="AW355" s="120"/>
      <c r="AX355" s="120"/>
      <c r="AY355" s="120"/>
      <c r="AZ355" s="118">
        <f>IFERROR(INDEX('Total Customers'!$F$7:$AB$91,MATCH($C355,'Total Customers'!$D$7:$D$91,0),MATCH($G355,'Total Customers'!$F$5:$AB$5,0)),"NA")</f>
        <v>152980</v>
      </c>
      <c r="BA355" s="119">
        <f t="shared" si="971"/>
        <v>1.2186650968582662E-2</v>
      </c>
      <c r="BB355" s="119"/>
      <c r="BC355" s="121"/>
      <c r="BD355" s="119"/>
      <c r="BE355" s="119"/>
      <c r="BF355" s="119"/>
      <c r="BG355" s="173"/>
      <c r="BH355" s="173"/>
      <c r="BI355" s="173"/>
      <c r="BJ355" s="173"/>
      <c r="BK355" s="173"/>
      <c r="BL355" s="173"/>
      <c r="BM355" s="173"/>
      <c r="BN355" s="173"/>
      <c r="BO355" s="173"/>
      <c r="BP355" s="173"/>
      <c r="BQ355" s="118"/>
      <c r="BR355" s="118"/>
      <c r="BS355" s="118">
        <f>INDEX('Dist. Plant Gas Additions'!$F$7:$AE$91,MATCH($C355,'Dist. Plant Gas Additions'!$D$7:$D$91,0),MATCH(Calculation!$G355,'Dist. Plant Gas Additions'!$F$5:$AE$5,0))</f>
        <v>18769</v>
      </c>
      <c r="BT355" s="118">
        <f>INDEX('Gen. Plant Additions'!$F$7:$AE$91,MATCH($C355,'Gen. Plant Additions'!$D$7:$D$91,0),MATCH(Calculation!$G355,'Gen. Plant Additions'!$F$5:$AE$5,0))</f>
        <v>1401</v>
      </c>
      <c r="BU355" s="118"/>
      <c r="BV355" s="118"/>
      <c r="BW355" s="118">
        <f>INDEX('Dist Plant Depreciation'!$E$7:$AD$94,MATCH($C355,'Dist Plant Depreciation'!$D$7:$D$94,0),MATCH(Calculation!$G355,'Dist Plant Depreciation'!$E$5:$AD$5,0))</f>
        <v>215612</v>
      </c>
      <c r="BX355" s="118">
        <f>INDEX('Gen. Plant Depreciation'!$E$7:$AD$94,MATCH($C355,'Gen. Plant Depreciation'!$D$7:$D$94,0),MATCH(Calculation!$G355,'Gen. Plant Depreciation'!$E$5:$AD$5,0))</f>
        <v>12044</v>
      </c>
      <c r="BY355" s="118"/>
      <c r="BZ355" s="118"/>
      <c r="CA355" s="118"/>
      <c r="CB355" s="118"/>
      <c r="CC355" s="118"/>
      <c r="CD355" s="118"/>
      <c r="CE355" s="118">
        <f>INDEX('Gross Dx Plant'!$E$7:$AD$91,MATCH($C355,'Gross Dx Plant'!$D$7:$D$91,0),MATCH(Calculation!$G355,'Gross Dx Plant'!$E$5:$AD$5,0))</f>
        <v>503156</v>
      </c>
      <c r="CF355" s="118">
        <f>INDEX('Gross Gen Plant'!$E$7:$AD$91,MATCH($C355,'Gross Gen Plant'!$D$7:$D$91,0),MATCH(Calculation!$G355,'Gross Gen Plant'!$E$5:$AD$5,0))</f>
        <v>25663</v>
      </c>
      <c r="CG355" s="118">
        <f t="shared" si="969"/>
        <v>301163</v>
      </c>
      <c r="CH355" s="118"/>
      <c r="CI355" s="121">
        <v>2005</v>
      </c>
      <c r="CJ355" s="118"/>
      <c r="CK355" s="118"/>
      <c r="CL355" s="118"/>
      <c r="CM355" s="183"/>
      <c r="CN355" s="118">
        <f t="shared" si="972"/>
        <v>20170</v>
      </c>
      <c r="CO355" s="118">
        <f t="shared" si="973"/>
        <v>42.987593837914361</v>
      </c>
      <c r="CP355" s="186">
        <v>0.96174863387978138</v>
      </c>
      <c r="CQ355" s="118">
        <f>+CQ348*CP355+CO349*CP354+CO350*CP353+CO351*CP352+CO352*CP351+CO353*CP350+CO354*CP349+CO355</f>
        <v>1660.094857699456</v>
      </c>
      <c r="CR355" s="119">
        <f t="shared" si="974"/>
        <v>2.0160420606462798E-2</v>
      </c>
      <c r="CS355" s="119"/>
      <c r="CT355" s="177">
        <f t="shared" si="975"/>
        <v>6.0569918394803848E-3</v>
      </c>
      <c r="CU355" s="177">
        <f t="shared" si="983"/>
        <v>5.863282315869074E-3</v>
      </c>
      <c r="CV355" s="119">
        <f>VLOOKUP($H355,RoR!$E:$F,2,FALSE)</f>
        <v>5.2350000000000001E-2</v>
      </c>
      <c r="CW355" s="177">
        <v>3.1010403642454332E-2</v>
      </c>
      <c r="CX355" s="177">
        <f t="shared" si="981"/>
        <v>2.1339596357545669E-2</v>
      </c>
      <c r="CY355" s="177">
        <f t="shared" si="984"/>
        <v>2.503865929266455E-2</v>
      </c>
      <c r="CZ355" s="177">
        <f t="shared" si="985"/>
        <v>9.2129610649277341E-2</v>
      </c>
      <c r="DA355" s="187">
        <f t="shared" si="976"/>
        <v>0.84925000000000006</v>
      </c>
      <c r="DB355" s="188">
        <f t="shared" si="977"/>
        <v>0.97959983346802826</v>
      </c>
      <c r="DC355" s="188">
        <f t="shared" si="978"/>
        <v>0.49744508118433622</v>
      </c>
      <c r="DD355" s="188">
        <f t="shared" si="979"/>
        <v>0.87010519444335932</v>
      </c>
      <c r="DE355" s="188">
        <f t="shared" si="980"/>
        <v>0.42399975420741998</v>
      </c>
      <c r="DF355" s="189">
        <f>INDEX('State Tax Lookup'!$D$7:$Z$91,MATCH(Calculation!$C355,'State Tax Lookup'!$B$7:$B$91,0),MATCH($H355,'State Tax Lookup'!$D$6:$Z$6,0))</f>
        <v>0.40200000000000002</v>
      </c>
      <c r="DG355" s="189">
        <v>0.375</v>
      </c>
      <c r="DH355" s="190">
        <f t="shared" si="982"/>
        <v>16.553470280700306</v>
      </c>
      <c r="DI355" s="190"/>
      <c r="DJ355" s="177"/>
      <c r="DK355" s="189">
        <f>VLOOKUP($H355,RoR!$E:$F,2,FALSE)</f>
        <v>5.2350000000000001E-2</v>
      </c>
      <c r="DL355" s="191">
        <f>HLOOKUP($H355,'GDP-PI'!$D$8:$CQ$11,3,FALSE)</f>
        <v>3.1010403642454332E-2</v>
      </c>
      <c r="DM355" s="189">
        <f>VLOOKUP(H355,'HW Dx Data'!$E:$F,2,FALSE)</f>
        <v>469.20514034936258</v>
      </c>
      <c r="DN355" s="183">
        <f>VLOOKUP(H355,'ECI - Input Price'!$G$17:$H$37,2,FALSE)</f>
        <v>99.15</v>
      </c>
      <c r="DO355" s="177">
        <f t="shared" ref="DO355" si="997">LN(DN355/DN354)</f>
        <v>3.046440632744625E-2</v>
      </c>
      <c r="DP355" s="183">
        <f>HLOOKUP(H355,'GDP-PI'!$8:$9,2,FALSE)</f>
        <v>87.406999999999996</v>
      </c>
      <c r="DQ355" s="177">
        <f t="shared" ref="DQ355" si="998">LN(DP355/DP354)</f>
        <v>3.0539295810733648E-2</v>
      </c>
    </row>
    <row r="356" spans="1:121" s="167" customFormat="1" ht="21" x14ac:dyDescent="0.35">
      <c r="A356" s="167" t="s">
        <v>50</v>
      </c>
      <c r="B356" s="168" t="s">
        <v>50</v>
      </c>
      <c r="C356" s="168">
        <v>4059402</v>
      </c>
      <c r="D356" s="168" t="s">
        <v>140</v>
      </c>
      <c r="E356" s="168" t="s">
        <v>126</v>
      </c>
      <c r="F356" s="168"/>
      <c r="G356" s="168" t="s">
        <v>12</v>
      </c>
      <c r="H356" s="169">
        <v>2006</v>
      </c>
      <c r="I356" s="170"/>
      <c r="J356" s="166">
        <f>IFERROR(INDEX('Labor Expenditures'!$F$7:$X$91,MATCH($C356,'Labor Expenditures'!$D$7:$D$91,0),MATCH($G356,'Labor Expenditures'!$F$5:$X$5,0)),"NA")</f>
        <v>16681.487311645436</v>
      </c>
      <c r="K356" s="166">
        <f t="shared" si="988"/>
        <v>163.46386390637372</v>
      </c>
      <c r="L356" s="172">
        <f t="shared" si="995"/>
        <v>-1.1700058149185797E-2</v>
      </c>
      <c r="M356" s="172">
        <f t="shared" ref="M356:M371" si="999">+L356*AR356</f>
        <v>-9.9515400670446323E-5</v>
      </c>
      <c r="N356" s="196"/>
      <c r="O356" s="172"/>
      <c r="P356" s="166">
        <f>IFERROR(INDEX('Non-Labor Expenditures'!$F$7:$AB$91,MATCH($C356,'Non-Labor Expenditures'!$D$7:$D$91,0),MATCH($G356,'Non-Labor Expenditures'!$F$5:$AB$5,0)),"NA")</f>
        <v>24157.909299318173</v>
      </c>
      <c r="Q356" s="166">
        <f t="shared" si="989"/>
        <v>268.20069386635623</v>
      </c>
      <c r="R356" s="172">
        <f t="shared" ref="R356:R371" si="1000">LN(Q356/Q355)</f>
        <v>-1.2927207584591774E-2</v>
      </c>
      <c r="S356" s="172">
        <f>+R356*AR356</f>
        <v>-1.0995297851747917E-4</v>
      </c>
      <c r="T356" s="172"/>
      <c r="U356" s="172"/>
      <c r="V356" s="166">
        <f t="shared" si="970"/>
        <v>26818.307209876042</v>
      </c>
      <c r="W356" s="170"/>
      <c r="X356" s="174">
        <v>1694.6274556386536</v>
      </c>
      <c r="Y356" s="175">
        <v>2.0588182563041024E-2</v>
      </c>
      <c r="Z356" s="175">
        <f>+Y356*AR356</f>
        <v>1.751137653089273E-4</v>
      </c>
      <c r="AA356" s="175"/>
      <c r="AB356" s="175"/>
      <c r="AC356" s="170">
        <f t="shared" si="882"/>
        <v>67657.703820839655</v>
      </c>
      <c r="AD356" s="175">
        <f t="shared" ref="AD356:AD371" si="1001">LN(AC356/AC355)</f>
        <v>8.6098781830300369E-3</v>
      </c>
      <c r="AE356" s="170"/>
      <c r="AF356" s="170"/>
      <c r="AG356" s="121">
        <f t="shared" ref="AG356:AG371" si="1002">+(AC356*1000)/AZ356</f>
        <v>439.69834747382362</v>
      </c>
      <c r="AH356" s="119">
        <f>+AZ356/$BB$44</f>
        <v>4.3770609611408365E-3</v>
      </c>
      <c r="AI356" s="119">
        <f>+AZ356/$BC$44</f>
        <v>1.8657204587591909E-2</v>
      </c>
      <c r="AJ356" s="176">
        <f>+AH356*AG356</f>
        <v>1.9245864714058118</v>
      </c>
      <c r="AK356" s="176">
        <f>+AI356*AG356</f>
        <v>8.2035420256452039</v>
      </c>
      <c r="AL356" s="120">
        <f t="shared" si="990"/>
        <v>0.24655710095954028</v>
      </c>
      <c r="AM356" s="120">
        <f t="shared" si="991"/>
        <v>0.35706073270368882</v>
      </c>
      <c r="AN356" s="120">
        <f t="shared" si="992"/>
        <v>0.39638216633677087</v>
      </c>
      <c r="AO356" s="120">
        <f t="shared" si="996"/>
        <v>7.4478120379457488E-4</v>
      </c>
      <c r="AP356" s="173">
        <f>+AP355*EXP(AO356)</f>
        <v>100.07450586221832</v>
      </c>
      <c r="AQ356" s="175">
        <f>LN(AP356/AP355)</f>
        <v>7.4478120379461489E-4</v>
      </c>
      <c r="AR356" s="177">
        <f>+AC356/$AE$44</f>
        <v>8.5055475281865644E-3</v>
      </c>
      <c r="AS356" s="177">
        <f>+AR356*AQ356</f>
        <v>6.3347719269751009E-6</v>
      </c>
      <c r="AT356" s="177"/>
      <c r="AU356" s="177"/>
      <c r="AV356" s="177"/>
      <c r="AW356" s="190"/>
      <c r="AX356" s="120"/>
      <c r="AY356" s="120"/>
      <c r="AZ356" s="118">
        <f>IFERROR(INDEX('Total Customers'!$F$7:$AB$91,MATCH($C356,'Total Customers'!$D$7:$D$91,0),MATCH($G356,'Total Customers'!$F$5:$AB$5,0)),"NA")</f>
        <v>153873</v>
      </c>
      <c r="BA356" s="119">
        <f t="shared" si="971"/>
        <v>5.8203929634716971E-3</v>
      </c>
      <c r="BB356" s="119"/>
      <c r="BC356" s="121">
        <v>8247377</v>
      </c>
      <c r="BD356" s="119"/>
      <c r="BE356" s="119"/>
      <c r="BF356" s="119"/>
      <c r="BG356" s="173"/>
      <c r="BH356" s="173"/>
      <c r="BI356" s="173"/>
      <c r="BJ356" s="173"/>
      <c r="BK356" s="173"/>
      <c r="BL356" s="173"/>
      <c r="BM356" s="173"/>
      <c r="BN356" s="173"/>
      <c r="BO356" s="173"/>
      <c r="BP356" s="173"/>
      <c r="BQ356" s="118"/>
      <c r="BR356" s="118"/>
      <c r="BS356" s="118">
        <f>INDEX('Dist. Plant Gas Additions'!$F$7:$AE$91,MATCH($C356,'Dist. Plant Gas Additions'!$D$7:$D$91,0),MATCH(Calculation!$G356,'Dist. Plant Gas Additions'!$F$5:$AE$5,0))</f>
        <v>19187</v>
      </c>
      <c r="BT356" s="118">
        <f>INDEX('Gen. Plant Additions'!$F$7:$AE$91,MATCH($C356,'Gen. Plant Additions'!$D$7:$D$91,0),MATCH(Calculation!$G356,'Gen. Plant Additions'!$F$5:$AE$5,0))</f>
        <v>1528</v>
      </c>
      <c r="BU356" s="118"/>
      <c r="BV356" s="118"/>
      <c r="BW356" s="118">
        <f>INDEX('Dist Plant Depreciation'!$E$7:$AD$94,MATCH($C356,'Dist Plant Depreciation'!$D$7:$D$94,0),MATCH(Calculation!$G356,'Dist Plant Depreciation'!$E$5:$AD$5,0))</f>
        <v>232887</v>
      </c>
      <c r="BX356" s="118">
        <f>INDEX('Gen. Plant Depreciation'!$E$7:$AD$94,MATCH($C356,'Gen. Plant Depreciation'!$D$7:$D$94,0),MATCH(Calculation!$G356,'Gen. Plant Depreciation'!$E$5:$AD$5,0))</f>
        <v>12053</v>
      </c>
      <c r="BY356" s="118"/>
      <c r="BZ356" s="118"/>
      <c r="CA356" s="118"/>
      <c r="CB356" s="118"/>
      <c r="CC356" s="118"/>
      <c r="CD356" s="118"/>
      <c r="CE356" s="118">
        <f>INDEX('Gross Dx Plant'!$E$7:$AD$91,MATCH($C356,'Gross Dx Plant'!$D$7:$D$91,0),MATCH(Calculation!$G356,'Gross Dx Plant'!$E$5:$AD$5,0))</f>
        <v>522066</v>
      </c>
      <c r="CF356" s="118">
        <f>INDEX('Gross Gen Plant'!$E$7:$AD$91,MATCH($C356,'Gross Gen Plant'!$D$7:$D$91,0),MATCH(Calculation!$G356,'Gross Gen Plant'!$E$5:$AD$5,0))</f>
        <v>25742</v>
      </c>
      <c r="CG356" s="118">
        <f t="shared" si="969"/>
        <v>302868</v>
      </c>
      <c r="CH356" s="119" t="e">
        <f>SUM(#REF!)/15</f>
        <v>#REF!</v>
      </c>
      <c r="CI356" s="121">
        <v>2006</v>
      </c>
      <c r="CJ356" s="118"/>
      <c r="CK356" s="118"/>
      <c r="CL356" s="118"/>
      <c r="CM356" s="183"/>
      <c r="CN356" s="118">
        <f t="shared" si="972"/>
        <v>20715</v>
      </c>
      <c r="CO356" s="118">
        <f t="shared" si="973"/>
        <v>44.92657487569091</v>
      </c>
      <c r="CP356" s="186">
        <v>0.9555555555555556</v>
      </c>
      <c r="CQ356" s="118">
        <f>+CQ348*CP356+CO349*CP355+CO350*CP354+CO351*CP353+CO352*CP352+CO353*CP351+CO354*CP350+CO355*CP349+CO356</f>
        <v>1694.6274556386536</v>
      </c>
      <c r="CR356" s="119">
        <f t="shared" si="974"/>
        <v>2.0588182563041024E-2</v>
      </c>
      <c r="CS356" s="119"/>
      <c r="CT356" s="177">
        <f t="shared" si="975"/>
        <v>6.2610741116909605E-3</v>
      </c>
      <c r="CU356" s="177">
        <f t="shared" si="983"/>
        <v>6.0596603895341564E-3</v>
      </c>
      <c r="CV356" s="119">
        <f>VLOOKUP($H356,RoR!$E:$F,2,FALSE)</f>
        <v>5.5874999999999994E-2</v>
      </c>
      <c r="CW356" s="177">
        <v>3.0512430354548314E-2</v>
      </c>
      <c r="CX356" s="177">
        <f t="shared" si="981"/>
        <v>2.536256964545168E-2</v>
      </c>
      <c r="CY356" s="177">
        <f t="shared" si="984"/>
        <v>2.4842281218999469E-2</v>
      </c>
      <c r="CZ356" s="177">
        <f t="shared" si="985"/>
        <v>7.9087823893859641E-2</v>
      </c>
      <c r="DA356" s="187">
        <f t="shared" si="976"/>
        <v>0.84925000000000006</v>
      </c>
      <c r="DB356" s="188">
        <f t="shared" si="977"/>
        <v>0.91779957551769631</v>
      </c>
      <c r="DC356" s="188">
        <f t="shared" si="978"/>
        <v>0.52757270693512304</v>
      </c>
      <c r="DD356" s="188">
        <f t="shared" si="979"/>
        <v>0.88636824549024895</v>
      </c>
      <c r="DE356" s="188">
        <f t="shared" si="980"/>
        <v>0.42918482841932087</v>
      </c>
      <c r="DF356" s="189">
        <f>INDEX('State Tax Lookup'!$D$7:$Z$91,MATCH(Calculation!$C356,'State Tax Lookup'!$B$7:$B$91,0),MATCH($H356,'State Tax Lookup'!$D$6:$Z$6,0))</f>
        <v>0.40200000000000002</v>
      </c>
      <c r="DG356" s="189">
        <v>0.375</v>
      </c>
      <c r="DH356" s="190">
        <f t="shared" si="982"/>
        <v>16.154683622742258</v>
      </c>
      <c r="DI356" s="190">
        <v>15.680343210351047</v>
      </c>
      <c r="DJ356" s="177"/>
      <c r="DK356" s="189">
        <f>VLOOKUP($H356,RoR!$E:$F,2,FALSE)</f>
        <v>5.5874999999999994E-2</v>
      </c>
      <c r="DL356" s="191">
        <f>HLOOKUP($H356,'GDP-PI'!$D$8:$CQ$11,3,FALSE)</f>
        <v>3.0512430354548314E-2</v>
      </c>
      <c r="DM356" s="189">
        <f>VLOOKUP(H356,'HW Dx Data'!$E:$F,2,FALSE)</f>
        <v>461.08567272971823</v>
      </c>
      <c r="DN356" s="183">
        <f>VLOOKUP(H356,'ECI - Input Price'!$G$17:$H$37,2,FALSE)</f>
        <v>102.05</v>
      </c>
      <c r="DO356" s="177">
        <f t="shared" ref="DO356" si="1003">LN(DN356/DN355)</f>
        <v>2.8829034290048662E-2</v>
      </c>
      <c r="DP356" s="183">
        <f>HLOOKUP(H356,'GDP-PI'!$8:$9,2,FALSE)</f>
        <v>90.073999999999998</v>
      </c>
      <c r="DQ356" s="177">
        <f t="shared" ref="DQ356" si="1004">LN(DP356/DP355)</f>
        <v>3.005618372545445E-2</v>
      </c>
    </row>
    <row r="357" spans="1:121" s="167" customFormat="1" ht="21" x14ac:dyDescent="0.35">
      <c r="A357" s="167" t="s">
        <v>50</v>
      </c>
      <c r="B357" s="168" t="s">
        <v>50</v>
      </c>
      <c r="C357" s="168">
        <v>4059402</v>
      </c>
      <c r="D357" s="168" t="s">
        <v>140</v>
      </c>
      <c r="E357" s="168" t="s">
        <v>126</v>
      </c>
      <c r="F357" s="168"/>
      <c r="G357" s="168" t="s">
        <v>13</v>
      </c>
      <c r="H357" s="169">
        <v>2007</v>
      </c>
      <c r="I357" s="170"/>
      <c r="J357" s="166">
        <f>IFERROR(INDEX('Labor Expenditures'!$F$7:$X$91,MATCH($C357,'Labor Expenditures'!$D$7:$D$91,0),MATCH($G357,'Labor Expenditures'!$F$5:$X$5,0)),"NA")</f>
        <v>17669.463235382074</v>
      </c>
      <c r="K357" s="166">
        <f t="shared" si="988"/>
        <v>167.92077201598548</v>
      </c>
      <c r="L357" s="172">
        <f t="shared" si="995"/>
        <v>2.6900322977807159E-2</v>
      </c>
      <c r="M357" s="172">
        <f t="shared" si="999"/>
        <v>2.3254959914276117E-4</v>
      </c>
      <c r="N357" s="196"/>
      <c r="O357" s="172"/>
      <c r="P357" s="166">
        <f>IFERROR(INDEX('Non-Labor Expenditures'!$F$7:$AB$91,MATCH($C357,'Non-Labor Expenditures'!$D$7:$D$91,0),MATCH($G357,'Non-Labor Expenditures'!$F$5:$AB$5,0)),"NA")</f>
        <v>25588.682965337623</v>
      </c>
      <c r="Q357" s="166">
        <f t="shared" si="989"/>
        <v>276.64039184996022</v>
      </c>
      <c r="R357" s="172">
        <f t="shared" si="1000"/>
        <v>3.0982880428550096E-2</v>
      </c>
      <c r="S357" s="172">
        <f t="shared" ref="S357:S371" si="1005">+R357*AR357</f>
        <v>2.6784274783212144E-4</v>
      </c>
      <c r="T357" s="172"/>
      <c r="U357" s="172"/>
      <c r="V357" s="166">
        <f t="shared" si="970"/>
        <v>29375.637603515672</v>
      </c>
      <c r="W357" s="170"/>
      <c r="X357" s="174">
        <v>1735.0326424524796</v>
      </c>
      <c r="Y357" s="175">
        <v>2.3563300824161675E-2</v>
      </c>
      <c r="Z357" s="175">
        <f t="shared" ref="Z357:Z371" si="1006">+Y357*AR357</f>
        <v>2.0370150074628497E-4</v>
      </c>
      <c r="AA357" s="175"/>
      <c r="AB357" s="175"/>
      <c r="AC357" s="170">
        <f t="shared" si="882"/>
        <v>72633.783804235369</v>
      </c>
      <c r="AD357" s="175">
        <f t="shared" si="1001"/>
        <v>7.0968929498067018E-2</v>
      </c>
      <c r="AE357" s="170"/>
      <c r="AF357" s="170"/>
      <c r="AG357" s="121">
        <f t="shared" si="1002"/>
        <v>473.09796131152211</v>
      </c>
      <c r="AH357" s="119">
        <f>+AZ357/$BB$45</f>
        <v>4.3345024285856614E-3</v>
      </c>
      <c r="AI357" s="119">
        <f>+AZ357/$BC$45</f>
        <v>1.8750922871795046E-2</v>
      </c>
      <c r="AJ357" s="176">
        <f t="shared" ref="AJ357:AJ371" si="1007">+AH357*AG357</f>
        <v>2.050644262263718</v>
      </c>
      <c r="AK357" s="176">
        <f t="shared" ref="AK357:AK371" si="1008">+AI357*AG357</f>
        <v>8.8710233833558281</v>
      </c>
      <c r="AL357" s="120">
        <f t="shared" si="990"/>
        <v>0.24326783364343668</v>
      </c>
      <c r="AM357" s="120">
        <f t="shared" si="991"/>
        <v>0.35229725927957939</v>
      </c>
      <c r="AN357" s="120">
        <f t="shared" si="992"/>
        <v>0.40443490707698393</v>
      </c>
      <c r="AO357" s="120">
        <f t="shared" si="996"/>
        <v>2.7012148198015205E-2</v>
      </c>
      <c r="AP357" s="173">
        <f>+AP356*EXP(AO357)</f>
        <v>102.81457420452887</v>
      </c>
      <c r="AQ357" s="175">
        <f>LN(AP357/AP356)</f>
        <v>2.7012148198015166E-2</v>
      </c>
      <c r="AR357" s="177">
        <f>+AC357/$AE$45</f>
        <v>8.6448627153887792E-3</v>
      </c>
      <c r="AS357" s="177">
        <f t="shared" ref="AS357:AS371" si="1009">+AR357*AQ357</f>
        <v>2.335163128195775E-4</v>
      </c>
      <c r="AT357" s="177"/>
      <c r="AU357" s="177"/>
      <c r="AV357" s="177"/>
      <c r="AW357" s="190"/>
      <c r="AX357" s="120"/>
      <c r="AY357" s="120"/>
      <c r="AZ357" s="118">
        <f>IFERROR(INDEX('Total Customers'!$F$7:$AB$91,MATCH($C357,'Total Customers'!$D$7:$D$91,0),MATCH($G357,'Total Customers'!$F$5:$AB$5,0)),"NA")</f>
        <v>153528</v>
      </c>
      <c r="BA357" s="119">
        <f t="shared" si="971"/>
        <v>-2.2446260412454168E-3</v>
      </c>
      <c r="BB357" s="119"/>
      <c r="BC357" s="121">
        <v>8187757</v>
      </c>
      <c r="BD357" s="119"/>
      <c r="BE357" s="119"/>
      <c r="BF357" s="119"/>
      <c r="BG357" s="173"/>
      <c r="BH357" s="173"/>
      <c r="BI357" s="173"/>
      <c r="BJ357" s="173"/>
      <c r="BK357" s="173"/>
      <c r="BL357" s="173"/>
      <c r="BM357" s="173"/>
      <c r="BN357" s="173"/>
      <c r="BO357" s="173"/>
      <c r="BP357" s="173"/>
      <c r="BQ357" s="118"/>
      <c r="BR357" s="118"/>
      <c r="BS357" s="118">
        <f>INDEX('Dist. Plant Gas Additions'!$F$7:$AE$91,MATCH($C357,'Dist. Plant Gas Additions'!$D$7:$D$91,0),MATCH(Calculation!$G357,'Dist. Plant Gas Additions'!$F$5:$AE$5,0))</f>
        <v>22797</v>
      </c>
      <c r="BT357" s="118">
        <f>INDEX('Gen. Plant Additions'!$F$7:$AE$91,MATCH($C357,'Gen. Plant Additions'!$D$7:$D$91,0),MATCH(Calculation!$G357,'Gen. Plant Additions'!$F$5:$AE$5,0))</f>
        <v>2787</v>
      </c>
      <c r="BU357" s="118"/>
      <c r="BV357" s="118"/>
      <c r="BW357" s="118">
        <f>INDEX('Dist Plant Depreciation'!$E$7:$AD$94,MATCH($C357,'Dist Plant Depreciation'!$D$7:$D$94,0),MATCH(Calculation!$G357,'Dist Plant Depreciation'!$E$5:$AD$5,0))</f>
        <v>243375</v>
      </c>
      <c r="BX357" s="118">
        <f>INDEX('Gen. Plant Depreciation'!$E$7:$AD$94,MATCH($C357,'Gen. Plant Depreciation'!$D$7:$D$94,0),MATCH(Calculation!$G357,'Gen. Plant Depreciation'!$E$5:$AD$5,0))</f>
        <v>13004</v>
      </c>
      <c r="BY357" s="118"/>
      <c r="BZ357" s="118"/>
      <c r="CA357" s="118"/>
      <c r="CB357" s="118"/>
      <c r="CC357" s="118"/>
      <c r="CD357" s="118"/>
      <c r="CE357" s="118">
        <f>INDEX('Gross Dx Plant'!$E$7:$AD$91,MATCH($C357,'Gross Dx Plant'!$D$7:$D$91,0),MATCH(Calculation!$G357,'Gross Dx Plant'!$E$5:$AD$5,0))</f>
        <v>536019</v>
      </c>
      <c r="CF357" s="118">
        <f>INDEX('Gross Gen Plant'!$E$7:$AD$91,MATCH($C357,'Gross Gen Plant'!$D$7:$D$91,0),MATCH(Calculation!$G357,'Gross Gen Plant'!$E$5:$AD$5,0))</f>
        <v>27720</v>
      </c>
      <c r="CG357" s="118">
        <f t="shared" si="969"/>
        <v>307360</v>
      </c>
      <c r="CH357" s="118"/>
      <c r="CI357" s="121">
        <v>2007</v>
      </c>
      <c r="CJ357" s="118"/>
      <c r="CK357" s="118"/>
      <c r="CL357" s="118"/>
      <c r="CM357" s="183"/>
      <c r="CN357" s="118">
        <f t="shared" si="972"/>
        <v>25584</v>
      </c>
      <c r="CO357" s="118">
        <f t="shared" si="973"/>
        <v>51.371192022755835</v>
      </c>
      <c r="CP357" s="186">
        <v>0.94915254237288138</v>
      </c>
      <c r="CQ357" s="118">
        <f>+CQ348*CP357+CO349*CP356+CO350*CP355+CO351*CP354+CO352*CP353+CO353*CP352+CO354*CP351+CO355*CP350+CO356*CP349+CO357</f>
        <v>1735.0326424524796</v>
      </c>
      <c r="CR357" s="119">
        <f t="shared" si="974"/>
        <v>2.3563300824161675E-2</v>
      </c>
      <c r="CS357" s="119"/>
      <c r="CT357" s="177">
        <f t="shared" si="975"/>
        <v>6.4710418637688319E-3</v>
      </c>
      <c r="CU357" s="177">
        <f t="shared" si="983"/>
        <v>6.2630359383133924E-3</v>
      </c>
      <c r="CV357" s="119">
        <f>VLOOKUP($H357,RoR!$E:$F,2,FALSE)</f>
        <v>5.5558333333333321E-2</v>
      </c>
      <c r="CW357" s="177">
        <v>2.691120634145272E-2</v>
      </c>
      <c r="CX357" s="177">
        <f t="shared" si="981"/>
        <v>2.86471269918806E-2</v>
      </c>
      <c r="CY357" s="177">
        <f t="shared" si="984"/>
        <v>2.4638905670220233E-2</v>
      </c>
      <c r="CZ357" s="177">
        <f t="shared" si="985"/>
        <v>6.4575155250632399E-2</v>
      </c>
      <c r="DA357" s="187">
        <f t="shared" si="976"/>
        <v>0.84925000000000006</v>
      </c>
      <c r="DB357" s="188">
        <f t="shared" si="977"/>
        <v>0.92303077153834634</v>
      </c>
      <c r="DC357" s="188">
        <f t="shared" si="978"/>
        <v>0.52502249887505614</v>
      </c>
      <c r="DD357" s="188">
        <f t="shared" si="979"/>
        <v>0.88499666072084604</v>
      </c>
      <c r="DE357" s="188">
        <f t="shared" si="980"/>
        <v>0.42887993290280618</v>
      </c>
      <c r="DF357" s="189">
        <f>INDEX('State Tax Lookup'!$D$7:$Z$91,MATCH(Calculation!$C357,'State Tax Lookup'!$B$7:$B$91,0),MATCH($H357,'State Tax Lookup'!$D$6:$Z$6,0))</f>
        <v>0.40200000000000002</v>
      </c>
      <c r="DG357" s="189">
        <v>0.375</v>
      </c>
      <c r="DH357" s="190">
        <f t="shared" si="982"/>
        <v>17.334569616331919</v>
      </c>
      <c r="DI357" s="190">
        <v>17.076538089501682</v>
      </c>
      <c r="DJ357" s="177"/>
      <c r="DK357" s="189">
        <f>VLOOKUP($H357,RoR!$E:$F,2,FALSE)</f>
        <v>5.5558333333333321E-2</v>
      </c>
      <c r="DL357" s="191">
        <f>HLOOKUP($H357,'GDP-PI'!$D$8:$CQ$11,3,FALSE)</f>
        <v>2.691120634145272E-2</v>
      </c>
      <c r="DM357" s="189">
        <f>VLOOKUP(H357,'HW Dx Data'!$E:$F,2,FALSE)</f>
        <v>498.0223154772637</v>
      </c>
      <c r="DN357" s="183">
        <f>VLOOKUP(H357,'ECI - Input Price'!$G$17:$H$37,2,FALSE)</f>
        <v>105.22500000000001</v>
      </c>
      <c r="DO357" s="177">
        <f t="shared" ref="DO357" si="1010">LN(DN357/DN356)</f>
        <v>3.0638025400780679E-2</v>
      </c>
      <c r="DP357" s="183">
        <f>HLOOKUP(H357,'GDP-PI'!$8:$9,2,FALSE)</f>
        <v>92.498000000000005</v>
      </c>
      <c r="DQ357" s="177">
        <f t="shared" ref="DQ357" si="1011">LN(DP357/DP356)</f>
        <v>2.6555467950038037E-2</v>
      </c>
    </row>
    <row r="358" spans="1:121" s="167" customFormat="1" ht="21" x14ac:dyDescent="0.35">
      <c r="A358" s="167" t="s">
        <v>50</v>
      </c>
      <c r="B358" s="168" t="s">
        <v>50</v>
      </c>
      <c r="C358" s="168">
        <v>4059402</v>
      </c>
      <c r="D358" s="168" t="s">
        <v>140</v>
      </c>
      <c r="E358" s="168" t="s">
        <v>126</v>
      </c>
      <c r="F358" s="168"/>
      <c r="G358" s="168" t="s">
        <v>14</v>
      </c>
      <c r="H358" s="169">
        <v>2008</v>
      </c>
      <c r="I358" s="170"/>
      <c r="J358" s="166">
        <f>IFERROR(INDEX('Labor Expenditures'!$F$7:$X$91,MATCH($C358,'Labor Expenditures'!$D$7:$D$91,0),MATCH($G358,'Labor Expenditures'!$F$5:$X$5,0)),"NA")</f>
        <v>18730.648159127104</v>
      </c>
      <c r="K358" s="166">
        <f t="shared" si="988"/>
        <v>173.0713620616965</v>
      </c>
      <c r="L358" s="172">
        <f t="shared" si="995"/>
        <v>3.0211733886189231E-2</v>
      </c>
      <c r="M358" s="172">
        <f t="shared" si="999"/>
        <v>2.6905495811886286E-4</v>
      </c>
      <c r="N358" s="196"/>
      <c r="O358" s="172"/>
      <c r="P358" s="166">
        <f>IFERROR(INDEX('Non-Labor Expenditures'!$F$7:$AB$91,MATCH($C358,'Non-Labor Expenditures'!$D$7:$D$91,0),MATCH($G358,'Non-Labor Expenditures'!$F$5:$AB$5,0)),"NA")</f>
        <v>27125.476936924297</v>
      </c>
      <c r="Q358" s="166">
        <f t="shared" si="989"/>
        <v>287.76072452817937</v>
      </c>
      <c r="R358" s="172">
        <f t="shared" si="1000"/>
        <v>3.9410878809566847E-2</v>
      </c>
      <c r="S358" s="172">
        <f t="shared" si="1005"/>
        <v>3.5097927141423957E-4</v>
      </c>
      <c r="T358" s="172"/>
      <c r="U358" s="172"/>
      <c r="V358" s="166">
        <f t="shared" si="970"/>
        <v>34134.777934060738</v>
      </c>
      <c r="W358" s="170"/>
      <c r="X358" s="174">
        <v>1763.9218088889568</v>
      </c>
      <c r="Y358" s="175">
        <v>1.651340326001588E-2</v>
      </c>
      <c r="Z358" s="175">
        <f t="shared" si="1006"/>
        <v>1.4706249695104433E-4</v>
      </c>
      <c r="AA358" s="175"/>
      <c r="AB358" s="175"/>
      <c r="AC358" s="170">
        <f t="shared" si="882"/>
        <v>79990.903030112138</v>
      </c>
      <c r="AD358" s="175">
        <f t="shared" si="1001"/>
        <v>9.6482760835536002E-2</v>
      </c>
      <c r="AE358" s="170"/>
      <c r="AF358" s="170"/>
      <c r="AG358" s="121">
        <f t="shared" si="1002"/>
        <v>510.81716432374247</v>
      </c>
      <c r="AH358" s="119">
        <f>+AZ358/$BB$46</f>
        <v>4.3974911531014177E-3</v>
      </c>
      <c r="AI358" s="119">
        <f>+AZ358/$BC$46</f>
        <v>1.8994658851468085E-2</v>
      </c>
      <c r="AJ358" s="176">
        <f t="shared" si="1007"/>
        <v>2.2463139609660105</v>
      </c>
      <c r="AK358" s="176">
        <f t="shared" si="1008"/>
        <v>9.7027977718038017</v>
      </c>
      <c r="AL358" s="120">
        <f t="shared" si="990"/>
        <v>0.23415972878911059</v>
      </c>
      <c r="AM358" s="120">
        <f t="shared" si="991"/>
        <v>0.3391070222911855</v>
      </c>
      <c r="AN358" s="120">
        <f t="shared" si="992"/>
        <v>0.42673324891970388</v>
      </c>
      <c r="AO358" s="120">
        <f t="shared" si="996"/>
        <v>2.7699089876201125E-2</v>
      </c>
      <c r="AP358" s="173">
        <f t="shared" ref="AP358:AP371" si="1012">+AP357*EXP(AO358)</f>
        <v>105.70225274361913</v>
      </c>
      <c r="AQ358" s="175">
        <f t="shared" ref="AQ358:AQ371" si="1013">LN(AP358/AP357)</f>
        <v>2.7699089876201115E-2</v>
      </c>
      <c r="AR358" s="177">
        <f>+AC358/$AE$46</f>
        <v>8.9056443808363042E-3</v>
      </c>
      <c r="AS358" s="177">
        <f t="shared" si="1009"/>
        <v>2.466782441102702E-4</v>
      </c>
      <c r="AT358" s="177"/>
      <c r="AU358" s="177"/>
      <c r="AV358" s="177"/>
      <c r="AW358" s="190"/>
      <c r="AX358" s="120"/>
      <c r="AY358" s="120"/>
      <c r="AZ358" s="118">
        <f>IFERROR(INDEX('Total Customers'!$F$7:$AB$91,MATCH($C358,'Total Customers'!$D$7:$D$91,0),MATCH($G358,'Total Customers'!$F$5:$AB$5,0)),"NA")</f>
        <v>156594</v>
      </c>
      <c r="BA358" s="119">
        <f t="shared" si="971"/>
        <v>1.9773507830504477E-2</v>
      </c>
      <c r="BB358" s="119"/>
      <c r="BC358" s="121">
        <v>8244107</v>
      </c>
      <c r="BD358" s="119"/>
      <c r="BE358" s="119"/>
      <c r="BF358" s="119"/>
      <c r="BG358" s="173"/>
      <c r="BH358" s="173"/>
      <c r="BI358" s="173"/>
      <c r="BJ358" s="173"/>
      <c r="BK358" s="173"/>
      <c r="BL358" s="173"/>
      <c r="BM358" s="173"/>
      <c r="BN358" s="173"/>
      <c r="BO358" s="173"/>
      <c r="BP358" s="173"/>
      <c r="BQ358" s="118"/>
      <c r="BR358" s="118"/>
      <c r="BS358" s="118">
        <f>INDEX('Dist. Plant Gas Additions'!$F$7:$AE$91,MATCH($C358,'Dist. Plant Gas Additions'!$D$7:$D$91,0),MATCH(Calculation!$G358,'Dist. Plant Gas Additions'!$F$5:$AE$5,0))</f>
        <v>21327</v>
      </c>
      <c r="BT358" s="118">
        <f>INDEX('Gen. Plant Additions'!$F$7:$AE$91,MATCH($C358,'Gen. Plant Additions'!$D$7:$D$91,0),MATCH(Calculation!$G358,'Gen. Plant Additions'!$F$5:$AE$5,0))</f>
        <v>1744</v>
      </c>
      <c r="BU358" s="118"/>
      <c r="BV358" s="118"/>
      <c r="BW358" s="118">
        <f>INDEX('Dist Plant Depreciation'!$E$7:$AD$94,MATCH($C358,'Dist Plant Depreciation'!$D$7:$D$94,0),MATCH(Calculation!$G358,'Dist Plant Depreciation'!$E$5:$AD$5,0))</f>
        <v>257375</v>
      </c>
      <c r="BX358" s="118">
        <f>INDEX('Gen. Plant Depreciation'!$E$7:$AD$94,MATCH($C358,'Gen. Plant Depreciation'!$D$7:$D$94,0),MATCH(Calculation!$G358,'Gen. Plant Depreciation'!$E$5:$AD$5,0))</f>
        <v>14097</v>
      </c>
      <c r="BY358" s="118"/>
      <c r="BZ358" s="118"/>
      <c r="CA358" s="118"/>
      <c r="CB358" s="118"/>
      <c r="CC358" s="118"/>
      <c r="CD358" s="118"/>
      <c r="CE358" s="118">
        <f>INDEX('Gross Dx Plant'!$E$7:$AD$91,MATCH($C358,'Gross Dx Plant'!$D$7:$D$91,0),MATCH(Calculation!$G358,'Gross Dx Plant'!$E$5:$AD$5,0))</f>
        <v>552683</v>
      </c>
      <c r="CF358" s="118">
        <f>INDEX('Gross Gen Plant'!$E$7:$AD$91,MATCH($C358,'Gross Gen Plant'!$D$7:$D$91,0),MATCH(Calculation!$G358,'Gross Gen Plant'!$E$5:$AD$5,0))</f>
        <v>28499</v>
      </c>
      <c r="CG358" s="118">
        <f t="shared" si="969"/>
        <v>309710</v>
      </c>
      <c r="CH358" s="118"/>
      <c r="CI358" s="121">
        <v>2008</v>
      </c>
      <c r="CJ358" s="118"/>
      <c r="CK358" s="118"/>
      <c r="CL358" s="118"/>
      <c r="CM358" s="183"/>
      <c r="CN358" s="118">
        <f t="shared" si="972"/>
        <v>23071</v>
      </c>
      <c r="CO358" s="118">
        <f t="shared" si="973"/>
        <v>40.48387605167563</v>
      </c>
      <c r="CP358" s="186">
        <v>0.94252873563218387</v>
      </c>
      <c r="CQ358" s="118">
        <f>+CQ348*CP358+CO349*CP357+CO350*CP356+CO351*CP355+CO352*CP354+CO353*CP353+CO354*CP352+CO355*CP351+CO356*CP350+CO357*CP349+CO358</f>
        <v>1763.9218088889568</v>
      </c>
      <c r="CR358" s="119">
        <f t="shared" si="974"/>
        <v>1.651340326001588E-2</v>
      </c>
      <c r="CS358" s="119"/>
      <c r="CT358" s="177">
        <f t="shared" si="975"/>
        <v>6.6827040203746874E-3</v>
      </c>
      <c r="CU358" s="177">
        <f t="shared" si="983"/>
        <v>6.4716066652781602E-3</v>
      </c>
      <c r="CV358" s="119">
        <f>VLOOKUP($H358,RoR!$E:$F,2,FALSE)</f>
        <v>5.6316666666666668E-2</v>
      </c>
      <c r="CW358" s="177">
        <v>1.9092304698479889E-2</v>
      </c>
      <c r="CX358" s="177">
        <f t="shared" si="981"/>
        <v>3.7224361968186778E-2</v>
      </c>
      <c r="CY358" s="177">
        <f t="shared" si="984"/>
        <v>2.4430334943255465E-2</v>
      </c>
      <c r="CZ358" s="177">
        <f t="shared" si="985"/>
        <v>6.9030581091053131E-2</v>
      </c>
      <c r="DA358" s="187">
        <f t="shared" si="976"/>
        <v>0.84925000000000006</v>
      </c>
      <c r="DB358" s="188">
        <f t="shared" si="977"/>
        <v>0.91060168006009956</v>
      </c>
      <c r="DC358" s="188">
        <f t="shared" si="978"/>
        <v>0.53108168097070152</v>
      </c>
      <c r="DD358" s="188">
        <f t="shared" si="979"/>
        <v>0.88825329850328805</v>
      </c>
      <c r="DE358" s="188">
        <f t="shared" si="980"/>
        <v>0.4295627335323573</v>
      </c>
      <c r="DF358" s="189">
        <f>INDEX('State Tax Lookup'!$D$7:$Z$91,MATCH(Calculation!$C358,'State Tax Lookup'!$B$7:$B$91,0),MATCH($H358,'State Tax Lookup'!$D$6:$Z$6,0))</f>
        <v>0.40200000000000002</v>
      </c>
      <c r="DG358" s="189">
        <v>0.375</v>
      </c>
      <c r="DH358" s="190">
        <f t="shared" si="982"/>
        <v>19.673853447397398</v>
      </c>
      <c r="DI358" s="190">
        <v>19.391542637997812</v>
      </c>
      <c r="DJ358" s="177"/>
      <c r="DK358" s="189">
        <f>VLOOKUP($H358,RoR!$E:$F,2,FALSE)</f>
        <v>5.6316666666666668E-2</v>
      </c>
      <c r="DL358" s="191">
        <f>HLOOKUP($H358,'GDP-PI'!$D$8:$CQ$11,3,FALSE)</f>
        <v>1.9092304698479889E-2</v>
      </c>
      <c r="DM358" s="189">
        <f>VLOOKUP(H358,'HW Dx Data'!$E:$F,2,FALSE)</f>
        <v>569.88120333515076</v>
      </c>
      <c r="DN358" s="183">
        <f>VLOOKUP(H358,'ECI - Input Price'!$G$17:$H$37,2,FALSE)</f>
        <v>108.22499999999999</v>
      </c>
      <c r="DO358" s="177">
        <f t="shared" ref="DO358" si="1014">LN(DN358/DN357)</f>
        <v>2.8111478671409691E-2</v>
      </c>
      <c r="DP358" s="183">
        <f>HLOOKUP(H358,'GDP-PI'!$8:$9,2,FALSE)</f>
        <v>94.263999999999996</v>
      </c>
      <c r="DQ358" s="177">
        <f t="shared" ref="DQ358" si="1015">LN(DP358/DP357)</f>
        <v>1.8912333748032254E-2</v>
      </c>
    </row>
    <row r="359" spans="1:121" s="167" customFormat="1" ht="21" x14ac:dyDescent="0.35">
      <c r="A359" s="167" t="s">
        <v>50</v>
      </c>
      <c r="B359" s="168" t="s">
        <v>50</v>
      </c>
      <c r="C359" s="168">
        <v>4059402</v>
      </c>
      <c r="D359" s="168" t="s">
        <v>140</v>
      </c>
      <c r="E359" s="168" t="s">
        <v>126</v>
      </c>
      <c r="F359" s="168"/>
      <c r="G359" s="168" t="s">
        <v>15</v>
      </c>
      <c r="H359" s="169">
        <v>2009</v>
      </c>
      <c r="I359" s="170"/>
      <c r="J359" s="166">
        <f>IFERROR(INDEX('Labor Expenditures'!$F$7:$X$91,MATCH($C359,'Labor Expenditures'!$D$7:$D$91,0),MATCH($G359,'Labor Expenditures'!$F$5:$X$5,0)),"NA")</f>
        <v>25356.899063755111</v>
      </c>
      <c r="K359" s="166">
        <f t="shared" si="988"/>
        <v>230.98974323621147</v>
      </c>
      <c r="L359" s="172">
        <f t="shared" si="995"/>
        <v>0.2886693010506306</v>
      </c>
      <c r="M359" s="172">
        <f t="shared" si="999"/>
        <v>2.9374190128750727E-3</v>
      </c>
      <c r="N359" s="196"/>
      <c r="O359" s="172"/>
      <c r="P359" s="166">
        <f>IFERROR(INDEX('Non-Labor Expenditures'!$F$7:$AB$91,MATCH($C359,'Non-Labor Expenditures'!$D$7:$D$91,0),MATCH($G359,'Non-Labor Expenditures'!$F$5:$AB$5,0)),"NA")</f>
        <v>36721.525859778929</v>
      </c>
      <c r="Q359" s="166">
        <f t="shared" si="989"/>
        <v>386.54644638131907</v>
      </c>
      <c r="R359" s="172">
        <f t="shared" si="1000"/>
        <v>0.29512271535205759</v>
      </c>
      <c r="S359" s="172">
        <f t="shared" si="1005"/>
        <v>3.0030871729391268E-3</v>
      </c>
      <c r="T359" s="172"/>
      <c r="U359" s="172"/>
      <c r="V359" s="166">
        <f t="shared" si="970"/>
        <v>33256.763926093372</v>
      </c>
      <c r="W359" s="170"/>
      <c r="X359" s="174">
        <v>1777.5939091512901</v>
      </c>
      <c r="Y359" s="175">
        <v>7.7210828768106404E-3</v>
      </c>
      <c r="Z359" s="175">
        <f t="shared" si="1006"/>
        <v>7.8567605075365499E-5</v>
      </c>
      <c r="AA359" s="175"/>
      <c r="AB359" s="175"/>
      <c r="AC359" s="170">
        <f t="shared" si="882"/>
        <v>95335.188849627419</v>
      </c>
      <c r="AD359" s="175">
        <f t="shared" si="1001"/>
        <v>0.17548606933539279</v>
      </c>
      <c r="AE359" s="170"/>
      <c r="AF359" s="170"/>
      <c r="AG359" s="121">
        <f t="shared" si="1002"/>
        <v>607.19182758822637</v>
      </c>
      <c r="AH359" s="119">
        <f>+AZ359/$BB$47</f>
        <v>4.4028114705679574E-3</v>
      </c>
      <c r="AI359" s="119">
        <f>+AZ359/$BC$47</f>
        <v>1.8833338211297075E-2</v>
      </c>
      <c r="AJ359" s="176">
        <f t="shared" si="1007"/>
        <v>2.6733511433405646</v>
      </c>
      <c r="AK359" s="176">
        <f t="shared" si="1008"/>
        <v>11.435449048104649</v>
      </c>
      <c r="AL359" s="120">
        <f t="shared" si="990"/>
        <v>0.26597628189262468</v>
      </c>
      <c r="AM359" s="120">
        <f t="shared" si="991"/>
        <v>0.38518333369748647</v>
      </c>
      <c r="AN359" s="120">
        <f t="shared" si="992"/>
        <v>0.34884038440988879</v>
      </c>
      <c r="AO359" s="120">
        <f t="shared" si="996"/>
        <v>0.18205835874821971</v>
      </c>
      <c r="AP359" s="173">
        <f t="shared" si="1012"/>
        <v>126.80932293373594</v>
      </c>
      <c r="AQ359" s="175">
        <f t="shared" si="1013"/>
        <v>0.18205835874821966</v>
      </c>
      <c r="AR359" s="177">
        <f>+AC359/$AE$47</f>
        <v>1.0175723577755397E-2</v>
      </c>
      <c r="AS359" s="177">
        <f t="shared" si="1009"/>
        <v>1.8525755336417093E-3</v>
      </c>
      <c r="AT359" s="177"/>
      <c r="AU359" s="177"/>
      <c r="AV359" s="177"/>
      <c r="AW359" s="190"/>
      <c r="AX359" s="120"/>
      <c r="AY359" s="120"/>
      <c r="AZ359" s="118">
        <f>IFERROR(INDEX('Total Customers'!$F$7:$AB$91,MATCH($C359,'Total Customers'!$D$7:$D$91,0),MATCH($G359,'Total Customers'!$F$5:$AB$5,0)),"NA")</f>
        <v>157010</v>
      </c>
      <c r="BA359" s="119">
        <f t="shared" si="971"/>
        <v>2.6530289409796414E-3</v>
      </c>
      <c r="BB359" s="119"/>
      <c r="BC359" s="121">
        <v>8336812</v>
      </c>
      <c r="BD359" s="119"/>
      <c r="BE359" s="119"/>
      <c r="BF359" s="119"/>
      <c r="BG359" s="173"/>
      <c r="BH359" s="173"/>
      <c r="BI359" s="173"/>
      <c r="BJ359" s="173"/>
      <c r="BK359" s="173"/>
      <c r="BL359" s="173"/>
      <c r="BM359" s="173"/>
      <c r="BN359" s="173"/>
      <c r="BO359" s="173"/>
      <c r="BP359" s="173"/>
      <c r="BQ359" s="118"/>
      <c r="BR359" s="118"/>
      <c r="BS359" s="118">
        <f>INDEX('Dist. Plant Gas Additions'!$F$7:$AE$91,MATCH($C359,'Dist. Plant Gas Additions'!$D$7:$D$91,0),MATCH(Calculation!$G359,'Dist. Plant Gas Additions'!$F$5:$AE$5,0))</f>
        <v>13808</v>
      </c>
      <c r="BT359" s="118">
        <f>INDEX('Gen. Plant Additions'!$F$7:$AE$91,MATCH($C359,'Gen. Plant Additions'!$D$7:$D$91,0),MATCH(Calculation!$G359,'Gen. Plant Additions'!$F$5:$AE$5,0))</f>
        <v>444</v>
      </c>
      <c r="BU359" s="118"/>
      <c r="BV359" s="118"/>
      <c r="BW359" s="118">
        <f>INDEX('Dist Plant Depreciation'!$E$7:$AD$94,MATCH($C359,'Dist Plant Depreciation'!$D$7:$D$94,0),MATCH(Calculation!$G359,'Dist Plant Depreciation'!$E$5:$AD$5,0))</f>
        <v>284015</v>
      </c>
      <c r="BX359" s="118">
        <f>INDEX('Gen. Plant Depreciation'!$E$7:$AD$94,MATCH($C359,'Gen. Plant Depreciation'!$D$7:$D$94,0),MATCH(Calculation!$G359,'Gen. Plant Depreciation'!$E$5:$AD$5,0))</f>
        <v>14581</v>
      </c>
      <c r="BY359" s="118"/>
      <c r="BZ359" s="118"/>
      <c r="CA359" s="118"/>
      <c r="CB359" s="118"/>
      <c r="CC359" s="118"/>
      <c r="CD359" s="118"/>
      <c r="CE359" s="118">
        <f>INDEX('Gross Dx Plant'!$E$7:$AD$91,MATCH($C359,'Gross Dx Plant'!$D$7:$D$91,0),MATCH(Calculation!$G359,'Gross Dx Plant'!$E$5:$AD$5,0))</f>
        <v>563486</v>
      </c>
      <c r="CF359" s="118">
        <f>INDEX('Gross Gen Plant'!$E$7:$AD$91,MATCH($C359,'Gross Gen Plant'!$D$7:$D$91,0),MATCH(Calculation!$G359,'Gross Gen Plant'!$E$5:$AD$5,0))</f>
        <v>27539</v>
      </c>
      <c r="CG359" s="118">
        <f t="shared" si="969"/>
        <v>292429</v>
      </c>
      <c r="CH359" s="118"/>
      <c r="CI359" s="121">
        <v>2009</v>
      </c>
      <c r="CJ359" s="118"/>
      <c r="CK359" s="118"/>
      <c r="CL359" s="118"/>
      <c r="CM359" s="183"/>
      <c r="CN359" s="118">
        <f t="shared" si="972"/>
        <v>14252</v>
      </c>
      <c r="CO359" s="118">
        <f t="shared" si="973"/>
        <v>25.868485728078838</v>
      </c>
      <c r="CP359" s="186">
        <v>0.93567251461988299</v>
      </c>
      <c r="CQ359" s="118">
        <f>+CQ348*CP359+CO349*CP358+CO350*CP357+CO351*CP356+CO352*CP355+CO353*CP354+CO354*CP353+CO355*CP352+CO356*CP351+CO357*CP350+CO358*CP349+CO359</f>
        <v>1777.5939091512901</v>
      </c>
      <c r="CR359" s="119">
        <f t="shared" si="974"/>
        <v>7.7210828768106404E-3</v>
      </c>
      <c r="CS359" s="119"/>
      <c r="CT359" s="177">
        <f t="shared" si="975"/>
        <v>6.914357203524628E-3</v>
      </c>
      <c r="CU359" s="177">
        <f t="shared" si="983"/>
        <v>6.6893676958893825E-3</v>
      </c>
      <c r="CV359" s="119">
        <f>VLOOKUP($H359,RoR!$E:$F,2,FALSE)</f>
        <v>5.3133333333333324E-2</v>
      </c>
      <c r="CW359" s="177">
        <v>7.7972502758210105E-3</v>
      </c>
      <c r="CX359" s="177">
        <f t="shared" si="981"/>
        <v>4.5336083057512314E-2</v>
      </c>
      <c r="CY359" s="177">
        <f t="shared" si="984"/>
        <v>2.4212573912644243E-2</v>
      </c>
      <c r="CZ359" s="177">
        <f t="shared" si="985"/>
        <v>6.3720160300892073E-2</v>
      </c>
      <c r="DA359" s="187">
        <f t="shared" si="976"/>
        <v>0.84925000000000006</v>
      </c>
      <c r="DB359" s="188">
        <f t="shared" si="977"/>
        <v>0.96515780330083989</v>
      </c>
      <c r="DC359" s="188">
        <f t="shared" si="978"/>
        <v>0.50448557089084056</v>
      </c>
      <c r="DD359" s="188">
        <f t="shared" si="979"/>
        <v>0.87391435735465484</v>
      </c>
      <c r="DE359" s="188">
        <f t="shared" si="980"/>
        <v>0.42551605393279146</v>
      </c>
      <c r="DF359" s="189">
        <f>INDEX('State Tax Lookup'!$D$7:$Z$91,MATCH(Calculation!$C359,'State Tax Lookup'!$B$7:$B$91,0),MATCH($H359,'State Tax Lookup'!$D$6:$Z$6,0))</f>
        <v>0.40200000000000002</v>
      </c>
      <c r="DG359" s="189">
        <v>0.375</v>
      </c>
      <c r="DH359" s="190">
        <f t="shared" si="982"/>
        <v>18.853876491861531</v>
      </c>
      <c r="DI359" s="190">
        <v>18.507689024409999</v>
      </c>
      <c r="DJ359" s="177"/>
      <c r="DK359" s="189">
        <f>VLOOKUP($H359,RoR!$E:$F,2,FALSE)</f>
        <v>5.3133333333333324E-2</v>
      </c>
      <c r="DL359" s="191">
        <f>HLOOKUP($H359,'GDP-PI'!$D$8:$CQ$11,3,FALSE)</f>
        <v>7.7972502758210105E-3</v>
      </c>
      <c r="DM359" s="189">
        <f>VLOOKUP(H359,'HW Dx Data'!$E:$F,2,FALSE)</f>
        <v>550.94063679692806</v>
      </c>
      <c r="DN359" s="183">
        <f>VLOOKUP(H359,'ECI - Input Price'!$G$17:$H$37,2,FALSE)</f>
        <v>109.77499999999999</v>
      </c>
      <c r="DO359" s="177">
        <f t="shared" ref="DO359" si="1016">LN(DN359/DN358)</f>
        <v>1.4220423119736749E-2</v>
      </c>
      <c r="DP359" s="183">
        <f>HLOOKUP(H359,'GDP-PI'!$8:$9,2,FALSE)</f>
        <v>94.998999999999995</v>
      </c>
      <c r="DQ359" s="177">
        <f t="shared" ref="DQ359" si="1017">LN(DP359/DP358)</f>
        <v>7.7670088183096342E-3</v>
      </c>
    </row>
    <row r="360" spans="1:121" s="167" customFormat="1" ht="21" x14ac:dyDescent="0.35">
      <c r="A360" s="167" t="s">
        <v>50</v>
      </c>
      <c r="B360" s="168" t="s">
        <v>50</v>
      </c>
      <c r="C360" s="168">
        <v>4059402</v>
      </c>
      <c r="D360" s="168" t="s">
        <v>140</v>
      </c>
      <c r="E360" s="168" t="s">
        <v>126</v>
      </c>
      <c r="F360" s="168"/>
      <c r="G360" s="168" t="s">
        <v>16</v>
      </c>
      <c r="H360" s="169">
        <v>2010</v>
      </c>
      <c r="I360" s="170"/>
      <c r="J360" s="166">
        <f>IFERROR(INDEX('Labor Expenditures'!$F$7:$X$91,MATCH($C360,'Labor Expenditures'!$D$7:$D$91,0),MATCH($G360,'Labor Expenditures'!$F$5:$X$5,0)),"NA")</f>
        <v>17808.42383381008</v>
      </c>
      <c r="K360" s="166">
        <f t="shared" si="988"/>
        <v>159.18144208992251</v>
      </c>
      <c r="L360" s="172">
        <f t="shared" si="995"/>
        <v>-0.37232861113259419</v>
      </c>
      <c r="M360" s="172">
        <f t="shared" si="999"/>
        <v>-2.9874495669651542E-3</v>
      </c>
      <c r="N360" s="196"/>
      <c r="O360" s="172"/>
      <c r="P360" s="166">
        <f>IFERROR(INDEX('Non-Labor Expenditures'!$F$7:$AB$91,MATCH($C360,'Non-Labor Expenditures'!$D$7:$D$91,0),MATCH($G360,'Non-Labor Expenditures'!$F$5:$AB$5,0)),"NA")</f>
        <v>25789.923866121044</v>
      </c>
      <c r="Q360" s="166">
        <f t="shared" si="989"/>
        <v>268.34036215256685</v>
      </c>
      <c r="R360" s="172">
        <f t="shared" si="1000"/>
        <v>-0.36499584979250616</v>
      </c>
      <c r="S360" s="172">
        <f t="shared" si="1005"/>
        <v>-2.9286137589313111E-3</v>
      </c>
      <c r="T360" s="172"/>
      <c r="U360" s="172"/>
      <c r="V360" s="166">
        <f t="shared" si="970"/>
        <v>34320.984437667415</v>
      </c>
      <c r="W360" s="170"/>
      <c r="X360" s="174">
        <v>1798.6820337691465</v>
      </c>
      <c r="Y360" s="175">
        <v>1.179347979634272E-2</v>
      </c>
      <c r="Z360" s="175">
        <f t="shared" si="1006"/>
        <v>9.4627232657254302E-5</v>
      </c>
      <c r="AA360" s="175"/>
      <c r="AB360" s="175"/>
      <c r="AC360" s="170">
        <f t="shared" si="882"/>
        <v>77919.33213759854</v>
      </c>
      <c r="AD360" s="175">
        <f t="shared" si="1001"/>
        <v>-0.20172489725179735</v>
      </c>
      <c r="AE360" s="170"/>
      <c r="AF360" s="170"/>
      <c r="AG360" s="121">
        <f t="shared" si="1002"/>
        <v>490.79024796456696</v>
      </c>
      <c r="AH360" s="119">
        <f>+AZ360/$BB$48</f>
        <v>4.4274597790519479E-3</v>
      </c>
      <c r="AI360" s="119">
        <f>+AZ360/$BC$48</f>
        <v>1.8892617916874768E-2</v>
      </c>
      <c r="AJ360" s="176">
        <f t="shared" si="1007"/>
        <v>2.1729540828140523</v>
      </c>
      <c r="AK360" s="176">
        <f t="shared" si="1008"/>
        <v>9.2723126321227873</v>
      </c>
      <c r="AL360" s="120">
        <f t="shared" si="990"/>
        <v>0.22854949272873648</v>
      </c>
      <c r="AM360" s="120">
        <f t="shared" si="991"/>
        <v>0.3309823526282073</v>
      </c>
      <c r="AN360" s="120">
        <f t="shared" si="992"/>
        <v>0.44046815464305622</v>
      </c>
      <c r="AO360" s="120">
        <f t="shared" si="996"/>
        <v>-0.21810745189916</v>
      </c>
      <c r="AP360" s="173">
        <f t="shared" si="1012"/>
        <v>101.95964646524787</v>
      </c>
      <c r="AQ360" s="175">
        <f t="shared" si="1013"/>
        <v>-0.21810745189916003</v>
      </c>
      <c r="AR360" s="177">
        <f>+AC360/$AE$48</f>
        <v>8.0236905723617882E-3</v>
      </c>
      <c r="AS360" s="177">
        <f t="shared" si="1009"/>
        <v>-1.7500267055651426E-3</v>
      </c>
      <c r="AT360" s="177"/>
      <c r="AU360" s="177"/>
      <c r="AV360" s="177"/>
      <c r="AW360" s="190"/>
      <c r="AX360" s="120"/>
      <c r="AY360" s="120"/>
      <c r="AZ360" s="118">
        <f>IFERROR(INDEX('Total Customers'!$F$7:$AB$91,MATCH($C360,'Total Customers'!$D$7:$D$91,0),MATCH($G360,'Total Customers'!$F$5:$AB$5,0)),"NA")</f>
        <v>158763</v>
      </c>
      <c r="BA360" s="119">
        <f t="shared" si="971"/>
        <v>1.1103026596366534E-2</v>
      </c>
      <c r="BB360" s="119"/>
      <c r="BC360" s="121">
        <v>8403441</v>
      </c>
      <c r="BD360" s="119"/>
      <c r="BE360" s="119"/>
      <c r="BF360" s="119"/>
      <c r="BG360" s="173"/>
      <c r="BH360" s="173"/>
      <c r="BI360" s="173"/>
      <c r="BJ360" s="173"/>
      <c r="BK360" s="173"/>
      <c r="BL360" s="173"/>
      <c r="BM360" s="173"/>
      <c r="BN360" s="173"/>
      <c r="BO360" s="173"/>
      <c r="BP360" s="173"/>
      <c r="BQ360" s="118"/>
      <c r="BR360" s="118"/>
      <c r="BS360" s="118">
        <f>INDEX('Dist. Plant Gas Additions'!$F$7:$AE$91,MATCH($C360,'Dist. Plant Gas Additions'!$D$7:$D$91,0),MATCH(Calculation!$G360,'Dist. Plant Gas Additions'!$F$5:$AE$5,0))</f>
        <v>19085</v>
      </c>
      <c r="BT360" s="118">
        <f>INDEX('Gen. Plant Additions'!$F$7:$AE$91,MATCH($C360,'Gen. Plant Additions'!$D$7:$D$91,0),MATCH(Calculation!$G360,'Gen. Plant Additions'!$F$5:$AE$5,0))</f>
        <v>170</v>
      </c>
      <c r="BU360" s="118"/>
      <c r="BV360" s="118"/>
      <c r="BW360" s="118">
        <f>INDEX('Dist Plant Depreciation'!$E$7:$AD$94,MATCH($C360,'Dist Plant Depreciation'!$D$7:$D$94,0),MATCH(Calculation!$G360,'Dist Plant Depreciation'!$E$5:$AD$5,0))</f>
        <v>294936</v>
      </c>
      <c r="BX360" s="118">
        <f>INDEX('Gen. Plant Depreciation'!$E$7:$AD$94,MATCH($C360,'Gen. Plant Depreciation'!$D$7:$D$94,0),MATCH(Calculation!$G360,'Gen. Plant Depreciation'!$E$5:$AD$5,0))</f>
        <v>16733</v>
      </c>
      <c r="BY360" s="118"/>
      <c r="BZ360" s="118"/>
      <c r="CA360" s="118"/>
      <c r="CB360" s="118"/>
      <c r="CC360" s="118"/>
      <c r="CD360" s="118"/>
      <c r="CE360" s="118">
        <f>INDEX('Gross Dx Plant'!$E$7:$AD$91,MATCH($C360,'Gross Dx Plant'!$D$7:$D$91,0),MATCH(Calculation!$G360,'Gross Dx Plant'!$E$5:$AD$5,0))</f>
        <v>557990</v>
      </c>
      <c r="CF360" s="118">
        <f>INDEX('Gross Gen Plant'!$E$7:$AD$91,MATCH($C360,'Gross Gen Plant'!$D$7:$D$91,0),MATCH(Calculation!$G360,'Gross Gen Plant'!$E$5:$AD$5,0))</f>
        <v>41723</v>
      </c>
      <c r="CG360" s="118">
        <f t="shared" si="969"/>
        <v>288044</v>
      </c>
      <c r="CH360" s="118"/>
      <c r="CI360" s="121">
        <v>2010</v>
      </c>
      <c r="CJ360" s="118"/>
      <c r="CK360" s="118"/>
      <c r="CL360" s="118"/>
      <c r="CM360" s="183"/>
      <c r="CN360" s="118">
        <f t="shared" si="972"/>
        <v>19255</v>
      </c>
      <c r="CO360" s="118">
        <f t="shared" si="973"/>
        <v>33.840694619159997</v>
      </c>
      <c r="CP360" s="186">
        <v>0.9285714285714286</v>
      </c>
      <c r="CQ360" s="118">
        <f>+CQ348*CP360+CO349*CP359+CO350*CP358+CO351*CP357+CO352*CP356+CO353*CP355+CO354*CP354+CO355*CP353+CO356*CP352+CO357*CP351+CO358*CP350+CO359*CP349+CO360</f>
        <v>1798.6820337691465</v>
      </c>
      <c r="CR360" s="119">
        <f t="shared" si="974"/>
        <v>1.179347979634272E-2</v>
      </c>
      <c r="CS360" s="119"/>
      <c r="CT360" s="177">
        <f t="shared" si="975"/>
        <v>7.1740626110674685E-3</v>
      </c>
      <c r="CU360" s="177">
        <f t="shared" si="983"/>
        <v>6.9237079449889286E-3</v>
      </c>
      <c r="CV360" s="119">
        <f>VLOOKUP($H360,RoR!$E:$F,2,FALSE)</f>
        <v>4.9433333333333322E-2</v>
      </c>
      <c r="CW360" s="177">
        <v>1.1684333519300205E-2</v>
      </c>
      <c r="CX360" s="177">
        <f t="shared" si="981"/>
        <v>3.7748999814033117E-2</v>
      </c>
      <c r="CY360" s="177">
        <f t="shared" si="984"/>
        <v>2.3978233663544696E-2</v>
      </c>
      <c r="CZ360" s="177">
        <f t="shared" si="985"/>
        <v>4.7937530248493419E-2</v>
      </c>
      <c r="DA360" s="187">
        <f t="shared" si="976"/>
        <v>0.84925000000000006</v>
      </c>
      <c r="DB360" s="188">
        <f t="shared" si="977"/>
        <v>1.037398205301105</v>
      </c>
      <c r="DC360" s="188">
        <f t="shared" si="978"/>
        <v>0.46926837491571133</v>
      </c>
      <c r="DD360" s="188">
        <f t="shared" si="979"/>
        <v>0.8548537519972772</v>
      </c>
      <c r="DE360" s="188">
        <f t="shared" si="980"/>
        <v>0.41615833911547367</v>
      </c>
      <c r="DF360" s="189">
        <f>INDEX('State Tax Lookup'!$D$7:$Z$91,MATCH(Calculation!$C360,'State Tax Lookup'!$B$7:$B$91,0),MATCH($H360,'State Tax Lookup'!$D$6:$Z$6,0))</f>
        <v>0.40200000000000002</v>
      </c>
      <c r="DG360" s="189">
        <v>0.375</v>
      </c>
      <c r="DH360" s="190">
        <f t="shared" si="982"/>
        <v>19.307550650898623</v>
      </c>
      <c r="DI360" s="190">
        <v>18.962153228438478</v>
      </c>
      <c r="DJ360" s="177"/>
      <c r="DK360" s="189">
        <f>VLOOKUP($H360,RoR!$E:$F,2,FALSE)</f>
        <v>4.9433333333333322E-2</v>
      </c>
      <c r="DL360" s="191">
        <f>HLOOKUP($H360,'GDP-PI'!$D$8:$CQ$11,3,FALSE)</f>
        <v>1.1684333519300205E-2</v>
      </c>
      <c r="DM360" s="189">
        <f>VLOOKUP(H360,'HW Dx Data'!$E:$F,2,FALSE)</f>
        <v>568.98950262971744</v>
      </c>
      <c r="DN360" s="183">
        <f>VLOOKUP(H360,'ECI - Input Price'!$G$17:$H$37,2,FALSE)</f>
        <v>111.875</v>
      </c>
      <c r="DO360" s="177">
        <f t="shared" ref="DO360" si="1018">LN(DN360/DN359)</f>
        <v>1.8949360147238387E-2</v>
      </c>
      <c r="DP360" s="183">
        <f>HLOOKUP(H360,'GDP-PI'!$8:$9,2,FALSE)</f>
        <v>96.108999999999995</v>
      </c>
      <c r="DQ360" s="177">
        <f t="shared" ref="DQ360" si="1019">LN(DP360/DP359)</f>
        <v>1.1616598807150427E-2</v>
      </c>
    </row>
    <row r="361" spans="1:121" s="167" customFormat="1" ht="21" x14ac:dyDescent="0.35">
      <c r="A361" s="167" t="s">
        <v>50</v>
      </c>
      <c r="B361" s="168" t="s">
        <v>50</v>
      </c>
      <c r="C361" s="168">
        <v>4059402</v>
      </c>
      <c r="D361" s="168" t="s">
        <v>140</v>
      </c>
      <c r="E361" s="168" t="s">
        <v>126</v>
      </c>
      <c r="F361" s="168"/>
      <c r="G361" s="168" t="s">
        <v>17</v>
      </c>
      <c r="H361" s="169">
        <v>2011</v>
      </c>
      <c r="I361" s="170"/>
      <c r="J361" s="166">
        <f>IFERROR(INDEX('Labor Expenditures'!$F$7:$X$91,MATCH($C361,'Labor Expenditures'!$D$7:$D$91,0),MATCH($G361,'Labor Expenditures'!$F$5:$X$5,0)),"NA")</f>
        <v>19156.283756168454</v>
      </c>
      <c r="K361" s="166">
        <f t="shared" si="988"/>
        <v>167.59653329981151</v>
      </c>
      <c r="L361" s="172">
        <f t="shared" si="995"/>
        <v>5.1514806636813765E-2</v>
      </c>
      <c r="M361" s="172">
        <f t="shared" si="999"/>
        <v>4.2380044167986754E-4</v>
      </c>
      <c r="N361" s="196"/>
      <c r="O361" s="172"/>
      <c r="P361" s="166">
        <f>IFERROR(INDEX('Non-Labor Expenditures'!$F$7:$AB$91,MATCH($C361,'Non-Labor Expenditures'!$D$7:$D$91,0),MATCH($G361,'Non-Labor Expenditures'!$F$5:$AB$5,0)),"NA")</f>
        <v>27741.876779203816</v>
      </c>
      <c r="Q361" s="166">
        <f t="shared" si="989"/>
        <v>282.75722418464426</v>
      </c>
      <c r="R361" s="172">
        <f t="shared" si="1000"/>
        <v>5.2332481629709916E-2</v>
      </c>
      <c r="S361" s="172">
        <f t="shared" si="1005"/>
        <v>4.3052726539839688E-4</v>
      </c>
      <c r="T361" s="172"/>
      <c r="U361" s="172"/>
      <c r="V361" s="166">
        <f t="shared" si="970"/>
        <v>37005.433430161</v>
      </c>
      <c r="W361" s="170"/>
      <c r="X361" s="174">
        <v>1824.99869139916</v>
      </c>
      <c r="Y361" s="175">
        <v>1.4525076743984457E-2</v>
      </c>
      <c r="Z361" s="175">
        <f t="shared" si="1006"/>
        <v>1.1949445880547176E-4</v>
      </c>
      <c r="AA361" s="175"/>
      <c r="AB361" s="175"/>
      <c r="AC361" s="170">
        <f t="shared" si="882"/>
        <v>83903.593965533277</v>
      </c>
      <c r="AD361" s="175">
        <f t="shared" si="1001"/>
        <v>7.3994360687109531E-2</v>
      </c>
      <c r="AE361" s="170"/>
      <c r="AF361" s="170"/>
      <c r="AG361" s="121">
        <f t="shared" si="1002"/>
        <v>523.47810386467063</v>
      </c>
      <c r="AH361" s="119">
        <f>+AZ361/$BB$49</f>
        <v>4.4480632224742122E-3</v>
      </c>
      <c r="AI361" s="119">
        <f>+AZ361/$BC$49</f>
        <v>1.8995498967093596E-2</v>
      </c>
      <c r="AJ361" s="176">
        <f t="shared" si="1007"/>
        <v>2.328463701570977</v>
      </c>
      <c r="AK361" s="176">
        <f t="shared" si="1008"/>
        <v>9.9437277812574649</v>
      </c>
      <c r="AL361" s="120">
        <f t="shared" si="990"/>
        <v>0.22831302988090899</v>
      </c>
      <c r="AM361" s="120">
        <f t="shared" si="991"/>
        <v>0.33063991025938522</v>
      </c>
      <c r="AN361" s="120">
        <f t="shared" si="992"/>
        <v>0.44104705985970571</v>
      </c>
      <c r="AO361" s="120">
        <f t="shared" si="996"/>
        <v>3.5481797785928713E-2</v>
      </c>
      <c r="AP361" s="173">
        <f t="shared" si="1012"/>
        <v>105.64230535111307</v>
      </c>
      <c r="AQ361" s="175">
        <f t="shared" si="1013"/>
        <v>3.5481797785928783E-2</v>
      </c>
      <c r="AR361" s="177">
        <f>+AC361/$AE$49</f>
        <v>8.2267695318690992E-3</v>
      </c>
      <c r="AS361" s="177">
        <f t="shared" si="1009"/>
        <v>2.9190057296121937E-4</v>
      </c>
      <c r="AT361" s="177"/>
      <c r="AU361" s="177"/>
      <c r="AV361" s="177"/>
      <c r="AW361" s="190"/>
      <c r="AX361" s="120"/>
      <c r="AY361" s="120"/>
      <c r="AZ361" s="118">
        <f>IFERROR(INDEX('Total Customers'!$F$7:$AB$91,MATCH($C361,'Total Customers'!$D$7:$D$91,0),MATCH($G361,'Total Customers'!$F$5:$AB$5,0)),"NA")</f>
        <v>160281</v>
      </c>
      <c r="BA361" s="119">
        <f t="shared" si="971"/>
        <v>9.5160006462911059E-3</v>
      </c>
      <c r="BB361" s="119"/>
      <c r="BC361" s="121">
        <v>8437841</v>
      </c>
      <c r="BD361" s="119"/>
      <c r="BE361" s="119"/>
      <c r="BF361" s="119"/>
      <c r="BG361" s="173"/>
      <c r="BH361" s="173"/>
      <c r="BI361" s="173"/>
      <c r="BJ361" s="173"/>
      <c r="BK361" s="173"/>
      <c r="BL361" s="173"/>
      <c r="BM361" s="173"/>
      <c r="BN361" s="173"/>
      <c r="BO361" s="173"/>
      <c r="BP361" s="173"/>
      <c r="BQ361" s="118"/>
      <c r="BR361" s="118"/>
      <c r="BS361" s="118">
        <f>INDEX('Dist. Plant Gas Additions'!$F$7:$AE$91,MATCH($C361,'Dist. Plant Gas Additions'!$D$7:$D$91,0),MATCH(Calculation!$G361,'Dist. Plant Gas Additions'!$F$5:$AE$5,0))</f>
        <v>23110</v>
      </c>
      <c r="BT361" s="118">
        <f>INDEX('Gen. Plant Additions'!$F$7:$AE$91,MATCH($C361,'Gen. Plant Additions'!$D$7:$D$91,0),MATCH(Calculation!$G361,'Gen. Plant Additions'!$F$5:$AE$5,0))</f>
        <v>1166</v>
      </c>
      <c r="BU361" s="118"/>
      <c r="BV361" s="118"/>
      <c r="BW361" s="118">
        <f>INDEX('Dist Plant Depreciation'!$E$7:$AD$94,MATCH($C361,'Dist Plant Depreciation'!$D$7:$D$94,0),MATCH(Calculation!$G361,'Dist Plant Depreciation'!$E$5:$AD$5,0))</f>
        <v>312911</v>
      </c>
      <c r="BX361" s="118">
        <f>INDEX('Gen. Plant Depreciation'!$E$7:$AD$94,MATCH($C361,'Gen. Plant Depreciation'!$D$7:$D$94,0),MATCH(Calculation!$G361,'Gen. Plant Depreciation'!$E$5:$AD$5,0))</f>
        <v>16854</v>
      </c>
      <c r="BY361" s="118"/>
      <c r="BZ361" s="118"/>
      <c r="CA361" s="118"/>
      <c r="CB361" s="118"/>
      <c r="CC361" s="118"/>
      <c r="CD361" s="118"/>
      <c r="CE361" s="118">
        <f>INDEX('Gross Dx Plant'!$E$7:$AD$91,MATCH($C361,'Gross Dx Plant'!$D$7:$D$91,0),MATCH(Calculation!$G361,'Gross Dx Plant'!$E$5:$AD$5,0))</f>
        <v>578600</v>
      </c>
      <c r="CF361" s="118">
        <f>INDEX('Gross Gen Plant'!$E$7:$AD$91,MATCH($C361,'Gross Gen Plant'!$D$7:$D$91,0),MATCH(Calculation!$G361,'Gross Gen Plant'!$E$5:$AD$5,0))</f>
        <v>41140</v>
      </c>
      <c r="CG361" s="118">
        <f t="shared" si="969"/>
        <v>289975</v>
      </c>
      <c r="CH361" s="118"/>
      <c r="CI361" s="121">
        <v>2011</v>
      </c>
      <c r="CJ361" s="118"/>
      <c r="CK361" s="118"/>
      <c r="CL361" s="118"/>
      <c r="CM361" s="183"/>
      <c r="CN361" s="118">
        <f t="shared" si="972"/>
        <v>24276</v>
      </c>
      <c r="CO361" s="118">
        <f t="shared" si="973"/>
        <v>39.691889427598881</v>
      </c>
      <c r="CP361" s="186">
        <v>0.92121212121212126</v>
      </c>
      <c r="CQ361" s="118">
        <f>+CQ348*CP361+CO349*CP360+CO350*CP359+CO351*CP358+CO352*CP357+CO353*CP356+CO354*CP355+CO355*CP354+CO356*CP353+CO357*CP352+CO358*CP351+CO359*CP350+CO360*CP349+CO361</f>
        <v>1824.99869139916</v>
      </c>
      <c r="CR361" s="119">
        <f t="shared" si="974"/>
        <v>1.4525076743984457E-2</v>
      </c>
      <c r="CS361" s="119"/>
      <c r="CT361" s="177">
        <f t="shared" si="975"/>
        <v>7.4361290914534773E-3</v>
      </c>
      <c r="CU361" s="177">
        <f t="shared" si="983"/>
        <v>7.1748496353485243E-3</v>
      </c>
      <c r="CV361" s="119">
        <f>VLOOKUP($H361,RoR!$E:$F,2,FALSE)</f>
        <v>4.6391666666666664E-2</v>
      </c>
      <c r="CW361" s="177">
        <v>2.0840920205183799E-2</v>
      </c>
      <c r="CX361" s="177">
        <f t="shared" si="981"/>
        <v>2.5550746461482865E-2</v>
      </c>
      <c r="CY361" s="177">
        <f t="shared" si="984"/>
        <v>2.3727091973185101E-2</v>
      </c>
      <c r="CZ361" s="177">
        <f t="shared" si="985"/>
        <v>2.4810540821321614E-2</v>
      </c>
      <c r="DA361" s="187">
        <f t="shared" si="976"/>
        <v>0.84925000000000006</v>
      </c>
      <c r="DB361" s="188">
        <f t="shared" si="977"/>
        <v>1.1054151524782025</v>
      </c>
      <c r="DC361" s="188">
        <f t="shared" si="978"/>
        <v>0.43611011316687626</v>
      </c>
      <c r="DD361" s="188">
        <f t="shared" si="979"/>
        <v>0.83698442246886229</v>
      </c>
      <c r="DE361" s="188">
        <f t="shared" si="980"/>
        <v>0.40349573304423936</v>
      </c>
      <c r="DF361" s="189">
        <f>INDEX('State Tax Lookup'!$D$7:$Z$91,MATCH(Calculation!$C361,'State Tax Lookup'!$B$7:$B$91,0),MATCH($H361,'State Tax Lookup'!$D$6:$Z$6,0))</f>
        <v>0.40200000000000002</v>
      </c>
      <c r="DG361" s="189">
        <v>0.375</v>
      </c>
      <c r="DH361" s="190">
        <f t="shared" si="982"/>
        <v>20.573638216987103</v>
      </c>
      <c r="DI361" s="190">
        <v>20.200047695389589</v>
      </c>
      <c r="DJ361" s="177"/>
      <c r="DK361" s="189">
        <f>VLOOKUP($H361,RoR!$E:$F,2,FALSE)</f>
        <v>4.6391666666666664E-2</v>
      </c>
      <c r="DL361" s="191">
        <f>HLOOKUP($H361,'GDP-PI'!$D$8:$CQ$11,3,FALSE)</f>
        <v>2.0840920205183799E-2</v>
      </c>
      <c r="DM361" s="189">
        <f>VLOOKUP(H361,'HW Dx Data'!$E:$F,2,FALSE)</f>
        <v>611.61109612283201</v>
      </c>
      <c r="DN361" s="183">
        <f>VLOOKUP(H361,'ECI - Input Price'!$G$17:$H$37,2,FALSE)</f>
        <v>114.3</v>
      </c>
      <c r="DO361" s="177">
        <f t="shared" ref="DO361" si="1020">LN(DN361/DN360)</f>
        <v>2.1444394205745516E-2</v>
      </c>
      <c r="DP361" s="183">
        <f>HLOOKUP(H361,'GDP-PI'!$8:$9,2,FALSE)</f>
        <v>98.111999999999995</v>
      </c>
      <c r="DQ361" s="177">
        <f t="shared" ref="DQ361" si="1021">LN(DP361/DP360)</f>
        <v>2.0626719212849295E-2</v>
      </c>
    </row>
    <row r="362" spans="1:121" s="167" customFormat="1" ht="21" x14ac:dyDescent="0.35">
      <c r="A362" s="167" t="s">
        <v>50</v>
      </c>
      <c r="B362" s="168" t="s">
        <v>50</v>
      </c>
      <c r="C362" s="168">
        <v>4059402</v>
      </c>
      <c r="D362" s="168" t="s">
        <v>140</v>
      </c>
      <c r="E362" s="168" t="s">
        <v>126</v>
      </c>
      <c r="F362" s="168"/>
      <c r="G362" s="168" t="s">
        <v>18</v>
      </c>
      <c r="H362" s="169">
        <v>2012</v>
      </c>
      <c r="I362" s="170"/>
      <c r="J362" s="166">
        <f>IFERROR(INDEX('Labor Expenditures'!$F$7:$X$91,MATCH($C362,'Labor Expenditures'!$D$7:$D$91,0),MATCH($G362,'Labor Expenditures'!$F$5:$X$5,0)),"NA")</f>
        <v>18266.561074802838</v>
      </c>
      <c r="K362" s="166">
        <f t="shared" si="988"/>
        <v>156.79451566354368</v>
      </c>
      <c r="L362" s="172">
        <f t="shared" si="995"/>
        <v>-6.6623372796344379E-2</v>
      </c>
      <c r="M362" s="172">
        <f t="shared" si="999"/>
        <v>-5.3133183919547441E-4</v>
      </c>
      <c r="N362" s="196"/>
      <c r="O362" s="172"/>
      <c r="P362" s="166">
        <f>IFERROR(INDEX('Non-Labor Expenditures'!$F$7:$AB$91,MATCH($C362,'Non-Labor Expenditures'!$D$7:$D$91,0),MATCH($G362,'Non-Labor Expenditures'!$F$5:$AB$5,0)),"NA")</f>
        <v>26453.392159311934</v>
      </c>
      <c r="Q362" s="166">
        <f t="shared" si="989"/>
        <v>264.53392159311932</v>
      </c>
      <c r="R362" s="172">
        <f t="shared" si="1000"/>
        <v>-6.6619173330096537E-2</v>
      </c>
      <c r="S362" s="172">
        <f t="shared" si="1005"/>
        <v>-5.3129834779401194E-4</v>
      </c>
      <c r="T362" s="172"/>
      <c r="U362" s="172"/>
      <c r="V362" s="166">
        <f t="shared" si="970"/>
        <v>40505.975293503245</v>
      </c>
      <c r="W362" s="170"/>
      <c r="X362" s="174">
        <v>1858.8638929195001</v>
      </c>
      <c r="Y362" s="175">
        <v>1.8386220853552116E-2</v>
      </c>
      <c r="Z362" s="175">
        <f t="shared" si="1006"/>
        <v>1.4663299277619377E-4</v>
      </c>
      <c r="AA362" s="175"/>
      <c r="AB362" s="175"/>
      <c r="AC362" s="170">
        <f t="shared" si="882"/>
        <v>85225.928527618016</v>
      </c>
      <c r="AD362" s="175">
        <f t="shared" si="1001"/>
        <v>1.5637264123926926E-2</v>
      </c>
      <c r="AE362" s="170"/>
      <c r="AF362" s="170"/>
      <c r="AG362" s="121">
        <f t="shared" si="1002"/>
        <v>522.62119361527903</v>
      </c>
      <c r="AH362" s="119">
        <f>+AZ362/$BB$50</f>
        <v>4.5037959171631628E-3</v>
      </c>
      <c r="AI362" s="119">
        <f>+AZ362/$BC$50</f>
        <v>1.921892943277323E-2</v>
      </c>
      <c r="AJ362" s="176">
        <f t="shared" si="1007"/>
        <v>2.3537791980274325</v>
      </c>
      <c r="AK362" s="176">
        <f t="shared" si="1008"/>
        <v>10.044219840163763</v>
      </c>
      <c r="AL362" s="120">
        <f t="shared" si="990"/>
        <v>0.21433103036106482</v>
      </c>
      <c r="AM362" s="120">
        <f t="shared" si="991"/>
        <v>0.3103913634773664</v>
      </c>
      <c r="AN362" s="120">
        <f t="shared" si="992"/>
        <v>0.47527760616156878</v>
      </c>
      <c r="AO362" s="120">
        <f t="shared" si="996"/>
        <v>-2.767383304682261E-2</v>
      </c>
      <c r="AP362" s="173">
        <f t="shared" si="1012"/>
        <v>102.75885984431453</v>
      </c>
      <c r="AQ362" s="175">
        <f t="shared" si="1013"/>
        <v>-2.7673833046822634E-2</v>
      </c>
      <c r="AR362" s="177">
        <f>+AC362/$AE$50</f>
        <v>7.975156718943964E-3</v>
      </c>
      <c r="AS362" s="177">
        <f t="shared" si="1009"/>
        <v>-2.2070315556230104E-4</v>
      </c>
      <c r="AT362" s="177"/>
      <c r="AU362" s="177"/>
      <c r="AV362" s="177"/>
      <c r="AW362" s="190"/>
      <c r="AX362" s="120"/>
      <c r="AY362" s="120"/>
      <c r="AZ362" s="118">
        <f>IFERROR(INDEX('Total Customers'!$F$7:$AB$91,MATCH($C362,'Total Customers'!$D$7:$D$91,0),MATCH($G362,'Total Customers'!$F$5:$AB$5,0)),"NA")</f>
        <v>163074</v>
      </c>
      <c r="BA362" s="119">
        <f t="shared" si="971"/>
        <v>1.7275560685485306E-2</v>
      </c>
      <c r="BB362" s="119"/>
      <c r="BC362" s="121">
        <v>8485072</v>
      </c>
      <c r="BD362" s="119"/>
      <c r="BE362" s="119"/>
      <c r="BF362" s="119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18"/>
      <c r="BR362" s="118"/>
      <c r="BS362" s="118">
        <f>INDEX('Dist. Plant Gas Additions'!$F$7:$AE$91,MATCH($C362,'Dist. Plant Gas Additions'!$D$7:$D$91,0),MATCH(Calculation!$G362,'Dist. Plant Gas Additions'!$F$5:$AE$5,0))</f>
        <v>29963</v>
      </c>
      <c r="BT362" s="118">
        <f>INDEX('Gen. Plant Additions'!$F$7:$AE$91,MATCH($C362,'Gen. Plant Additions'!$D$7:$D$91,0),MATCH(Calculation!$G362,'Gen. Plant Additions'!$F$5:$AE$5,0))</f>
        <v>2093</v>
      </c>
      <c r="BU362" s="118"/>
      <c r="BV362" s="118"/>
      <c r="BW362" s="118">
        <f>INDEX('Dist Plant Depreciation'!$E$7:$AD$94,MATCH($C362,'Dist Plant Depreciation'!$D$7:$D$94,0),MATCH(Calculation!$G362,'Dist Plant Depreciation'!$E$5:$AD$5,0))</f>
        <v>333099</v>
      </c>
      <c r="BX362" s="118">
        <f>INDEX('Gen. Plant Depreciation'!$E$7:$AD$94,MATCH($C362,'Gen. Plant Depreciation'!$D$7:$D$94,0),MATCH(Calculation!$G362,'Gen. Plant Depreciation'!$E$5:$AD$5,0))</f>
        <v>16822</v>
      </c>
      <c r="BY362" s="118"/>
      <c r="BZ362" s="118"/>
      <c r="CA362" s="118"/>
      <c r="CB362" s="118"/>
      <c r="CC362" s="118"/>
      <c r="CD362" s="118"/>
      <c r="CE362" s="118">
        <f>INDEX('Gross Dx Plant'!$E$7:$AD$91,MATCH($C362,'Gross Dx Plant'!$D$7:$D$91,0),MATCH(Calculation!$G362,'Gross Dx Plant'!$E$5:$AD$5,0))</f>
        <v>605440</v>
      </c>
      <c r="CF362" s="118">
        <f>INDEX('Gross Gen Plant'!$E$7:$AD$91,MATCH($C362,'Gross Gen Plant'!$D$7:$D$91,0),MATCH(Calculation!$G362,'Gross Gen Plant'!$E$5:$AD$5,0))</f>
        <v>41804</v>
      </c>
      <c r="CG362" s="118">
        <f t="shared" si="969"/>
        <v>297323</v>
      </c>
      <c r="CH362" s="118"/>
      <c r="CI362" s="121">
        <v>2012</v>
      </c>
      <c r="CJ362" s="118"/>
      <c r="CK362" s="118"/>
      <c r="CL362" s="118"/>
      <c r="CM362" s="183"/>
      <c r="CN362" s="118">
        <f t="shared" si="972"/>
        <v>32056</v>
      </c>
      <c r="CO362" s="118">
        <f t="shared" si="973"/>
        <v>47.922072124869693</v>
      </c>
      <c r="CP362" s="186">
        <v>0.9135802469135802</v>
      </c>
      <c r="CQ362" s="118">
        <f>+CQ348*CP362+CO349*CP361+CO350*CP360+CO351*CP359+CO352*CP358+CO353*CP357+CO354*CP356+CO355*CP355+CO356*CP354+CO357*CP353+CO358*CP352+CO359*CP351+CO360*CP350+CO361*CP349+CO362</f>
        <v>1858.8638929195001</v>
      </c>
      <c r="CR362" s="119">
        <f t="shared" si="974"/>
        <v>1.8386220853552116E-2</v>
      </c>
      <c r="CS362" s="119"/>
      <c r="CT362" s="177">
        <f t="shared" si="975"/>
        <v>7.7024003747381449E-3</v>
      </c>
      <c r="CU362" s="177">
        <f t="shared" si="983"/>
        <v>7.4375306924196966E-3</v>
      </c>
      <c r="CV362" s="119">
        <f>VLOOKUP($H362,RoR!$E:$F,2,FALSE)</f>
        <v>3.6733333333333333E-2</v>
      </c>
      <c r="CW362" s="177">
        <v>1.924331376386168E-2</v>
      </c>
      <c r="CX362" s="177">
        <f t="shared" si="981"/>
        <v>1.7490019569471653E-2</v>
      </c>
      <c r="CY362" s="177">
        <f t="shared" si="984"/>
        <v>2.3464410916113929E-2</v>
      </c>
      <c r="CZ362" s="177">
        <f t="shared" si="985"/>
        <v>6.7122682943869583E-2</v>
      </c>
      <c r="DA362" s="187">
        <f t="shared" si="976"/>
        <v>0.84925000000000006</v>
      </c>
      <c r="DB362" s="188">
        <f t="shared" si="977"/>
        <v>1.3960631020522127</v>
      </c>
      <c r="DC362" s="188">
        <f t="shared" si="978"/>
        <v>0.29441923774954631</v>
      </c>
      <c r="DD362" s="188">
        <f t="shared" si="979"/>
        <v>0.76377954189366437</v>
      </c>
      <c r="DE362" s="188">
        <f t="shared" si="980"/>
        <v>0.31393465103033691</v>
      </c>
      <c r="DF362" s="189">
        <f>INDEX('State Tax Lookup'!$D$7:$Z$91,MATCH(Calculation!$C362,'State Tax Lookup'!$B$7:$B$91,0),MATCH($H362,'State Tax Lookup'!$D$6:$Z$6,0))</f>
        <v>0.40200000000000002</v>
      </c>
      <c r="DG362" s="189">
        <v>0.375</v>
      </c>
      <c r="DH362" s="190">
        <f t="shared" si="982"/>
        <v>22.195070870132401</v>
      </c>
      <c r="DI362" s="190">
        <v>21.834556513701433</v>
      </c>
      <c r="DJ362" s="177"/>
      <c r="DK362" s="189">
        <f>VLOOKUP($H362,RoR!$E:$F,2,FALSE)</f>
        <v>3.6733333333333333E-2</v>
      </c>
      <c r="DL362" s="191">
        <f>HLOOKUP($H362,'GDP-PI'!$D$8:$CQ$11,3,FALSE)</f>
        <v>1.924331376386168E-2</v>
      </c>
      <c r="DM362" s="189">
        <f>VLOOKUP(H362,'HW Dx Data'!$E:$F,2,FALSE)</f>
        <v>668.91932211262167</v>
      </c>
      <c r="DN362" s="183">
        <f>VLOOKUP(H362,'ECI - Input Price'!$G$17:$H$37,2,FALSE)</f>
        <v>116.5</v>
      </c>
      <c r="DO362" s="177">
        <f t="shared" ref="DO362" si="1022">LN(DN362/DN361)</f>
        <v>1.9064702204990347E-2</v>
      </c>
      <c r="DP362" s="183">
        <f>HLOOKUP(H362,'GDP-PI'!$8:$9,2,FALSE)</f>
        <v>100</v>
      </c>
      <c r="DQ362" s="177">
        <f t="shared" ref="DQ362" si="1023">LN(DP362/DP361)</f>
        <v>1.9060502738742411E-2</v>
      </c>
    </row>
    <row r="363" spans="1:121" s="167" customFormat="1" ht="21" x14ac:dyDescent="0.35">
      <c r="A363" s="167" t="s">
        <v>50</v>
      </c>
      <c r="B363" s="168" t="s">
        <v>50</v>
      </c>
      <c r="C363" s="168">
        <v>4059402</v>
      </c>
      <c r="D363" s="168" t="s">
        <v>140</v>
      </c>
      <c r="E363" s="168" t="s">
        <v>126</v>
      </c>
      <c r="F363" s="168"/>
      <c r="G363" s="168" t="s">
        <v>19</v>
      </c>
      <c r="H363" s="169">
        <v>2013</v>
      </c>
      <c r="I363" s="170"/>
      <c r="J363" s="166">
        <f>IFERROR(INDEX('Labor Expenditures'!$F$7:$X$91,MATCH($C363,'Labor Expenditures'!$D$7:$D$91,0),MATCH($G363,'Labor Expenditures'!$F$5:$X$5,0)),"NA")</f>
        <v>21397.565465530948</v>
      </c>
      <c r="K363" s="166">
        <f t="shared" si="988"/>
        <v>180.22796770293493</v>
      </c>
      <c r="L363" s="172">
        <f t="shared" si="995"/>
        <v>0.13928640614122939</v>
      </c>
      <c r="M363" s="172">
        <f t="shared" si="999"/>
        <v>1.166881191345992E-3</v>
      </c>
      <c r="N363" s="196"/>
      <c r="O363" s="172"/>
      <c r="P363" s="166">
        <f>IFERROR(INDEX('Non-Labor Expenditures'!$F$7:$AB$91,MATCH($C363,'Non-Labor Expenditures'!$D$7:$D$91,0),MATCH($G363,'Non-Labor Expenditures'!$F$5:$AB$5,0)),"NA")</f>
        <v>30987.671308040655</v>
      </c>
      <c r="Q363" s="166">
        <f t="shared" si="989"/>
        <v>304.47831259804326</v>
      </c>
      <c r="R363" s="172">
        <f t="shared" si="1000"/>
        <v>0.14063037055414931</v>
      </c>
      <c r="S363" s="172">
        <f t="shared" si="1005"/>
        <v>1.1781403431808414E-3</v>
      </c>
      <c r="T363" s="172"/>
      <c r="U363" s="172"/>
      <c r="V363" s="166">
        <f t="shared" si="970"/>
        <v>40478.998714911628</v>
      </c>
      <c r="W363" s="170"/>
      <c r="X363" s="174">
        <v>1892.0728401296424</v>
      </c>
      <c r="Y363" s="175">
        <v>1.7707478053863818E-2</v>
      </c>
      <c r="Z363" s="175">
        <f t="shared" si="1006"/>
        <v>1.4834558274319222E-4</v>
      </c>
      <c r="AA363" s="175"/>
      <c r="AB363" s="175"/>
      <c r="AC363" s="170">
        <f t="shared" si="882"/>
        <v>92864.235488483231</v>
      </c>
      <c r="AD363" s="175">
        <f t="shared" si="1001"/>
        <v>8.583288012186302E-2</v>
      </c>
      <c r="AE363" s="170"/>
      <c r="AF363" s="170"/>
      <c r="AG363" s="121">
        <f t="shared" si="1002"/>
        <v>558.968522517731</v>
      </c>
      <c r="AH363" s="119">
        <f>+AZ363/$BB$51</f>
        <v>4.5590002845941023E-3</v>
      </c>
      <c r="AI363" s="119">
        <f>+AZ363/$BC$51</f>
        <v>1.9465323697782321E-2</v>
      </c>
      <c r="AJ363" s="176">
        <f t="shared" si="1007"/>
        <v>2.5483376532374806</v>
      </c>
      <c r="AK363" s="176">
        <f t="shared" si="1008"/>
        <v>10.88050322767876</v>
      </c>
      <c r="AL363" s="120">
        <f t="shared" si="990"/>
        <v>0.23041772058937174</v>
      </c>
      <c r="AM363" s="120">
        <f t="shared" si="991"/>
        <v>0.33368789550723932</v>
      </c>
      <c r="AN363" s="120">
        <f t="shared" si="992"/>
        <v>0.43589438390338897</v>
      </c>
      <c r="AO363" s="120">
        <f t="shared" si="996"/>
        <v>8.4329559015152322E-2</v>
      </c>
      <c r="AP363" s="173">
        <f t="shared" si="1012"/>
        <v>111.80034380212219</v>
      </c>
      <c r="AQ363" s="175">
        <f t="shared" si="1013"/>
        <v>8.432955901515235E-2</v>
      </c>
      <c r="AR363" s="177">
        <f>+AC363/$AE$51</f>
        <v>8.3775669404725205E-3</v>
      </c>
      <c r="AS363" s="177">
        <f t="shared" si="1009"/>
        <v>7.0647652570996671E-4</v>
      </c>
      <c r="AT363" s="177"/>
      <c r="AU363" s="177"/>
      <c r="AV363" s="177"/>
      <c r="AW363" s="190"/>
      <c r="AX363" s="120"/>
      <c r="AY363" s="120"/>
      <c r="AZ363" s="118">
        <f>IFERROR(INDEX('Total Customers'!$F$7:$AB$91,MATCH($C363,'Total Customers'!$D$7:$D$91,0),MATCH($G363,'Total Customers'!$F$5:$AB$5,0)),"NA")</f>
        <v>166135</v>
      </c>
      <c r="BA363" s="119">
        <f t="shared" si="971"/>
        <v>1.8596625341967956E-2</v>
      </c>
      <c r="BB363" s="119"/>
      <c r="BC363" s="121">
        <v>8534921</v>
      </c>
      <c r="BD363" s="119"/>
      <c r="BE363" s="119"/>
      <c r="BF363" s="119"/>
      <c r="BG363" s="173"/>
      <c r="BH363" s="173"/>
      <c r="BI363" s="173"/>
      <c r="BJ363" s="173"/>
      <c r="BK363" s="173"/>
      <c r="BL363" s="173"/>
      <c r="BM363" s="173"/>
      <c r="BN363" s="173"/>
      <c r="BO363" s="173"/>
      <c r="BP363" s="173"/>
      <c r="BQ363" s="118"/>
      <c r="BR363" s="118"/>
      <c r="BS363" s="118">
        <f>INDEX('Dist. Plant Gas Additions'!$F$7:$AE$91,MATCH($C363,'Dist. Plant Gas Additions'!$D$7:$D$91,0),MATCH(Calculation!$G363,'Dist. Plant Gas Additions'!$F$5:$AE$5,0))</f>
        <v>30921</v>
      </c>
      <c r="BT363" s="118">
        <f>INDEX('Gen. Plant Additions'!$F$7:$AE$91,MATCH($C363,'Gen. Plant Additions'!$D$7:$D$91,0),MATCH(Calculation!$G363,'Gen. Plant Additions'!$F$5:$AE$5,0))</f>
        <v>929</v>
      </c>
      <c r="BU363" s="118"/>
      <c r="BV363" s="118"/>
      <c r="BW363" s="118">
        <f>INDEX('Dist Plant Depreciation'!$E$7:$AD$94,MATCH($C363,'Dist Plant Depreciation'!$D$7:$D$94,0),MATCH(Calculation!$G363,'Dist Plant Depreciation'!$E$5:$AD$5,0))</f>
        <v>356209</v>
      </c>
      <c r="BX363" s="118">
        <f>INDEX('Gen. Plant Depreciation'!$E$7:$AD$94,MATCH($C363,'Gen. Plant Depreciation'!$D$7:$D$94,0),MATCH(Calculation!$G363,'Gen. Plant Depreciation'!$E$5:$AD$5,0))</f>
        <v>17529</v>
      </c>
      <c r="BY363" s="118"/>
      <c r="BZ363" s="118"/>
      <c r="CA363" s="118"/>
      <c r="CB363" s="118"/>
      <c r="CC363" s="118"/>
      <c r="CD363" s="118"/>
      <c r="CE363" s="118">
        <f>INDEX('Gross Dx Plant'!$E$7:$AD$91,MATCH($C363,'Gross Dx Plant'!$D$7:$D$91,0),MATCH(Calculation!$G363,'Gross Dx Plant'!$E$5:$AD$5,0))</f>
        <v>635129</v>
      </c>
      <c r="CF363" s="118">
        <f>INDEX('Gross Gen Plant'!$E$7:$AD$91,MATCH($C363,'Gross Gen Plant'!$D$7:$D$91,0),MATCH(Calculation!$G363,'Gross Gen Plant'!$E$5:$AD$5,0))</f>
        <v>41641</v>
      </c>
      <c r="CG363" s="118">
        <f t="shared" si="969"/>
        <v>303032</v>
      </c>
      <c r="CH363" s="118"/>
      <c r="CI363" s="121">
        <v>2013</v>
      </c>
      <c r="CJ363" s="118"/>
      <c r="CK363" s="118"/>
      <c r="CL363" s="118"/>
      <c r="CM363" s="183"/>
      <c r="CN363" s="118">
        <f t="shared" si="972"/>
        <v>31850</v>
      </c>
      <c r="CO363" s="118">
        <f t="shared" si="973"/>
        <v>48.021223626697406</v>
      </c>
      <c r="CP363" s="186">
        <v>0.90566037735849059</v>
      </c>
      <c r="CQ363" s="118">
        <f>+CQ348*CP363+CO349*CP362+CO350*CP361+CO351*CP360+CO352*CP359+CO353*CP358+CO354*CP357+CO355*CP356+CO356*CP355+CO357*CP354+CO358*CP353+CO359*CP352+CO360*CP351+CO361*CP350+CO362*CP349+CO363</f>
        <v>1892.0728401296424</v>
      </c>
      <c r="CR363" s="119">
        <f t="shared" si="974"/>
        <v>1.7707478053863818E-2</v>
      </c>
      <c r="CS363" s="119"/>
      <c r="CT363" s="177">
        <f t="shared" si="975"/>
        <v>7.9684566863533271E-3</v>
      </c>
      <c r="CU363" s="177">
        <f t="shared" si="983"/>
        <v>7.7023287175149828E-3</v>
      </c>
      <c r="CV363" s="119">
        <f>VLOOKUP($H363,RoR!$E:$F,2,FALSE)</f>
        <v>4.2350000000000006E-2</v>
      </c>
      <c r="CW363" s="177">
        <v>1.7730000000000024E-2</v>
      </c>
      <c r="CX363" s="177">
        <f t="shared" si="981"/>
        <v>2.4619999999999982E-2</v>
      </c>
      <c r="CY363" s="177">
        <f t="shared" si="984"/>
        <v>2.3199612891018642E-2</v>
      </c>
      <c r="CZ363" s="177">
        <f t="shared" si="985"/>
        <v>5.3376742735721204E-2</v>
      </c>
      <c r="DA363" s="187">
        <f t="shared" si="976"/>
        <v>0.84925000000000006</v>
      </c>
      <c r="DB363" s="188">
        <f t="shared" si="977"/>
        <v>1.2109103018193925</v>
      </c>
      <c r="DC363" s="188">
        <f t="shared" si="978"/>
        <v>0.38468122786304604</v>
      </c>
      <c r="DD363" s="188">
        <f t="shared" si="979"/>
        <v>0.80969194503422559</v>
      </c>
      <c r="DE363" s="188">
        <f t="shared" si="980"/>
        <v>0.37716621754800816</v>
      </c>
      <c r="DF363" s="189">
        <f>INDEX('State Tax Lookup'!$D$7:$Z$91,MATCH(Calculation!$C363,'State Tax Lookup'!$B$7:$B$91,0),MATCH($H363,'State Tax Lookup'!$D$6:$Z$6,0))</f>
        <v>0.40200000000000002</v>
      </c>
      <c r="DG363" s="189">
        <v>0.375</v>
      </c>
      <c r="DH363" s="190">
        <f t="shared" si="982"/>
        <v>21.776203663483937</v>
      </c>
      <c r="DI363" s="190">
        <v>21.41575327461663</v>
      </c>
      <c r="DJ363" s="177"/>
      <c r="DK363" s="189">
        <f>VLOOKUP($H363,RoR!$E:$F,2,FALSE)</f>
        <v>4.2350000000000006E-2</v>
      </c>
      <c r="DL363" s="191">
        <f>HLOOKUP($H363,'GDP-PI'!$D$8:$CQ$11,3,FALSE)</f>
        <v>1.7730000000000024E-2</v>
      </c>
      <c r="DM363" s="189">
        <f>VLOOKUP(H363,'HW Dx Data'!$E:$F,2,FALSE)</f>
        <v>663.24840548821396</v>
      </c>
      <c r="DN363" s="183">
        <f>VLOOKUP(H363,'ECI - Input Price'!$G$17:$H$37,2,FALSE)</f>
        <v>118.72499999999999</v>
      </c>
      <c r="DO363" s="177">
        <f t="shared" ref="DO363" si="1024">LN(DN363/DN362)</f>
        <v>1.8918621429430321E-2</v>
      </c>
      <c r="DP363" s="183">
        <f>HLOOKUP(H363,'GDP-PI'!$8:$9,2,FALSE)</f>
        <v>101.773</v>
      </c>
      <c r="DQ363" s="177">
        <f t="shared" ref="DQ363" si="1025">LN(DP363/DP362)</f>
        <v>1.7574657016510519E-2</v>
      </c>
    </row>
    <row r="364" spans="1:121" s="167" customFormat="1" ht="21" x14ac:dyDescent="0.35">
      <c r="A364" s="167" t="s">
        <v>50</v>
      </c>
      <c r="B364" s="168" t="s">
        <v>50</v>
      </c>
      <c r="C364" s="168">
        <v>4059402</v>
      </c>
      <c r="D364" s="168" t="s">
        <v>140</v>
      </c>
      <c r="E364" s="168" t="s">
        <v>126</v>
      </c>
      <c r="F364" s="168"/>
      <c r="G364" s="168" t="s">
        <v>20</v>
      </c>
      <c r="H364" s="169">
        <v>2014</v>
      </c>
      <c r="I364" s="170"/>
      <c r="J364" s="166">
        <f>IFERROR(INDEX('Labor Expenditures'!$F$7:$X$91,MATCH($C364,'Labor Expenditures'!$D$7:$D$91,0),MATCH($G364,'Labor Expenditures'!$F$5:$X$5,0)),"NA")</f>
        <v>21883.939382583692</v>
      </c>
      <c r="K364" s="166">
        <f t="shared" si="988"/>
        <v>180.56055596191166</v>
      </c>
      <c r="L364" s="172">
        <f t="shared" si="995"/>
        <v>1.8436747921345112E-3</v>
      </c>
      <c r="M364" s="172">
        <f t="shared" si="999"/>
        <v>1.5495252379610947E-5</v>
      </c>
      <c r="N364" s="196"/>
      <c r="O364" s="172"/>
      <c r="P364" s="166">
        <f>IFERROR(INDEX('Non-Labor Expenditures'!$F$7:$AB$91,MATCH($C364,'Non-Labor Expenditures'!$D$7:$D$91,0),MATCH($G364,'Non-Labor Expenditures'!$F$5:$AB$5,0)),"NA")</f>
        <v>31692.031582050022</v>
      </c>
      <c r="Q364" s="166">
        <f t="shared" si="989"/>
        <v>305.76892319169895</v>
      </c>
      <c r="R364" s="172">
        <f t="shared" si="1000"/>
        <v>4.2298020939071802E-3</v>
      </c>
      <c r="S364" s="172">
        <f t="shared" si="1005"/>
        <v>3.5549572647255022E-5</v>
      </c>
      <c r="T364" s="172"/>
      <c r="U364" s="172"/>
      <c r="V364" s="166">
        <f t="shared" si="970"/>
        <v>42066.144202265146</v>
      </c>
      <c r="W364" s="170"/>
      <c r="X364" s="174">
        <v>1939.4908651598735</v>
      </c>
      <c r="Y364" s="175">
        <v>2.4752529092367755E-2</v>
      </c>
      <c r="Z364" s="175">
        <f t="shared" si="1006"/>
        <v>2.0803380669746544E-4</v>
      </c>
      <c r="AA364" s="175"/>
      <c r="AB364" s="175"/>
      <c r="AC364" s="170">
        <f t="shared" si="882"/>
        <v>95642.11516689886</v>
      </c>
      <c r="AD364" s="175">
        <f t="shared" si="1001"/>
        <v>2.9474665167747997E-2</v>
      </c>
      <c r="AE364" s="170"/>
      <c r="AF364" s="170"/>
      <c r="AG364" s="121">
        <f t="shared" si="1002"/>
        <v>568.40847463137391</v>
      </c>
      <c r="AH364" s="119">
        <f>+AZ364/$BB$52</f>
        <v>4.5926093392757213E-3</v>
      </c>
      <c r="AI364" s="119">
        <f>+AZ364/$BC$52</f>
        <v>1.9566024795592989E-2</v>
      </c>
      <c r="AJ364" s="176">
        <f t="shared" si="1007"/>
        <v>2.6104780691155147</v>
      </c>
      <c r="AK364" s="176">
        <f t="shared" si="1008"/>
        <v>11.121494308662649</v>
      </c>
      <c r="AL364" s="120">
        <f t="shared" si="990"/>
        <v>0.22881070064579237</v>
      </c>
      <c r="AM364" s="120">
        <f t="shared" si="991"/>
        <v>0.33136063047901348</v>
      </c>
      <c r="AN364" s="120">
        <f t="shared" si="992"/>
        <v>0.43982866887519417</v>
      </c>
      <c r="AO364" s="120">
        <f t="shared" si="996"/>
        <v>1.2668025926294259E-2</v>
      </c>
      <c r="AP364" s="173">
        <f t="shared" si="1012"/>
        <v>113.2256422540395</v>
      </c>
      <c r="AQ364" s="175">
        <f t="shared" si="1013"/>
        <v>1.2668025926294364E-2</v>
      </c>
      <c r="AR364" s="177">
        <f>+AC364/$AE$52</f>
        <v>8.4045475078993442E-3</v>
      </c>
      <c r="AS364" s="177">
        <f t="shared" si="1009"/>
        <v>1.0646902572884157E-4</v>
      </c>
      <c r="AT364" s="177"/>
      <c r="AU364" s="177"/>
      <c r="AV364" s="177"/>
      <c r="AW364" s="190"/>
      <c r="AX364" s="120"/>
      <c r="AY364" s="120"/>
      <c r="AZ364" s="118">
        <f>IFERROR(INDEX('Total Customers'!$F$7:$AB$91,MATCH($C364,'Total Customers'!$D$7:$D$91,0),MATCH($G364,'Total Customers'!$F$5:$AB$5,0)),"NA")</f>
        <v>168263</v>
      </c>
      <c r="BA364" s="119">
        <f t="shared" si="971"/>
        <v>1.2727520655688438E-2</v>
      </c>
      <c r="BB364" s="119"/>
      <c r="BC364" s="121">
        <v>8599754</v>
      </c>
      <c r="BD364" s="119"/>
      <c r="BE364" s="119"/>
      <c r="BF364" s="119"/>
      <c r="BG364" s="173"/>
      <c r="BH364" s="173"/>
      <c r="BI364" s="173"/>
      <c r="BJ364" s="173"/>
      <c r="BK364" s="173"/>
      <c r="BL364" s="173"/>
      <c r="BM364" s="173"/>
      <c r="BN364" s="173"/>
      <c r="BO364" s="173"/>
      <c r="BP364" s="173"/>
      <c r="BQ364" s="118"/>
      <c r="BR364" s="118"/>
      <c r="BS364" s="118">
        <f>INDEX('Dist. Plant Gas Additions'!$F$7:$AE$91,MATCH($C364,'Dist. Plant Gas Additions'!$D$7:$D$91,0),MATCH(Calculation!$G364,'Dist. Plant Gas Additions'!$F$5:$AE$5,0))</f>
        <v>42858</v>
      </c>
      <c r="BT364" s="118">
        <f>INDEX('Gen. Plant Additions'!$F$7:$AE$91,MATCH($C364,'Gen. Plant Additions'!$D$7:$D$91,0),MATCH(Calculation!$G364,'Gen. Plant Additions'!$F$5:$AE$5,0))</f>
        <v>279</v>
      </c>
      <c r="BU364" s="118"/>
      <c r="BV364" s="118"/>
      <c r="BW364" s="118">
        <f>INDEX('Dist Plant Depreciation'!$E$7:$AD$94,MATCH($C364,'Dist Plant Depreciation'!$D$7:$D$94,0),MATCH(Calculation!$G364,'Dist Plant Depreciation'!$E$5:$AD$5,0))</f>
        <v>375907</v>
      </c>
      <c r="BX364" s="118">
        <f>INDEX('Gen. Plant Depreciation'!$E$7:$AD$94,MATCH($C364,'Gen. Plant Depreciation'!$D$7:$D$94,0),MATCH(Calculation!$G364,'Gen. Plant Depreciation'!$E$5:$AD$5,0))</f>
        <v>18981</v>
      </c>
      <c r="BY364" s="118"/>
      <c r="BZ364" s="118"/>
      <c r="CA364" s="118"/>
      <c r="CB364" s="118"/>
      <c r="CC364" s="118"/>
      <c r="CD364" s="118"/>
      <c r="CE364" s="118">
        <f>INDEX('Gross Dx Plant'!$E$7:$AD$91,MATCH($C364,'Gross Dx Plant'!$D$7:$D$91,0),MATCH(Calculation!$G364,'Gross Dx Plant'!$E$5:$AD$5,0))</f>
        <v>673903</v>
      </c>
      <c r="CF364" s="118">
        <f>INDEX('Gross Gen Plant'!$E$7:$AD$91,MATCH($C364,'Gross Gen Plant'!$D$7:$D$91,0),MATCH(Calculation!$G364,'Gross Gen Plant'!$E$5:$AD$5,0))</f>
        <v>41371</v>
      </c>
      <c r="CG364" s="118">
        <f t="shared" si="969"/>
        <v>320386</v>
      </c>
      <c r="CH364" s="118"/>
      <c r="CI364" s="121">
        <v>2014</v>
      </c>
      <c r="CJ364" s="118"/>
      <c r="CK364" s="118"/>
      <c r="CL364" s="118"/>
      <c r="CM364" s="183"/>
      <c r="CN364" s="118">
        <f t="shared" si="972"/>
        <v>43137</v>
      </c>
      <c r="CO364" s="118">
        <f t="shared" si="973"/>
        <v>63.022563472121867</v>
      </c>
      <c r="CP364" s="186">
        <v>0.89743589743589747</v>
      </c>
      <c r="CQ364" s="118">
        <f>+CQ348*CP364+CO349*CP363+CO350*CP362+CO351*CP361+CO352*CP360+CO353*CP359+CO354*CP358+CO355*CP357+CO356*CP356+CO357*CP355+CO358*CP354+CO359*CP353+CO360*CP352+CO361*CP351+CO362*CP350+CO363*CP349+CO364</f>
        <v>1939.4908651598735</v>
      </c>
      <c r="CR364" s="119">
        <f t="shared" si="974"/>
        <v>2.4752529092367755E-2</v>
      </c>
      <c r="CS364" s="119"/>
      <c r="CT364" s="177">
        <f t="shared" si="975"/>
        <v>8.2473243687709048E-3</v>
      </c>
      <c r="CU364" s="177">
        <f t="shared" si="983"/>
        <v>7.9727271432874589E-3</v>
      </c>
      <c r="CV364" s="119">
        <f>VLOOKUP($H364,RoR!$E:$F,2,FALSE)</f>
        <v>4.1625000000000002E-2</v>
      </c>
      <c r="CW364" s="177">
        <v>1.841352814597208E-2</v>
      </c>
      <c r="CX364" s="177">
        <f t="shared" si="981"/>
        <v>2.3211471854027922E-2</v>
      </c>
      <c r="CY364" s="177">
        <f t="shared" si="984"/>
        <v>2.2929214465246164E-2</v>
      </c>
      <c r="CZ364" s="177">
        <f t="shared" si="985"/>
        <v>3.9072621432650924E-2</v>
      </c>
      <c r="DA364" s="187">
        <f t="shared" si="976"/>
        <v>0.84925000000000006</v>
      </c>
      <c r="DB364" s="188">
        <f t="shared" si="977"/>
        <v>1.2320012320012319</v>
      </c>
      <c r="DC364" s="188">
        <f t="shared" si="978"/>
        <v>0.37439939939939942</v>
      </c>
      <c r="DD364" s="188">
        <f t="shared" si="979"/>
        <v>0.80432100613819935</v>
      </c>
      <c r="DE364" s="188">
        <f t="shared" si="980"/>
        <v>0.37100152660040037</v>
      </c>
      <c r="DF364" s="189">
        <f>INDEX('State Tax Lookup'!$D$7:$Z$91,MATCH(Calculation!$C364,'State Tax Lookup'!$B$7:$B$91,0),MATCH($H364,'State Tax Lookup'!$D$6:$Z$6,0))</f>
        <v>0.40200000000000002</v>
      </c>
      <c r="DG364" s="189">
        <v>0.375</v>
      </c>
      <c r="DH364" s="190">
        <f t="shared" si="982"/>
        <v>22.232835496641254</v>
      </c>
      <c r="DI364" s="190">
        <v>21.84182539230639</v>
      </c>
      <c r="DJ364" s="177"/>
      <c r="DK364" s="189">
        <f>VLOOKUP($H364,RoR!$E:$F,2,FALSE)</f>
        <v>4.1625000000000002E-2</v>
      </c>
      <c r="DL364" s="191">
        <f>HLOOKUP($H364,'GDP-PI'!$D$8:$CQ$11,3,FALSE)</f>
        <v>1.841352814597208E-2</v>
      </c>
      <c r="DM364" s="189">
        <f>VLOOKUP(H364,'HW Dx Data'!$E:$F,2,FALSE)</f>
        <v>684.46914285042885</v>
      </c>
      <c r="DN364" s="183">
        <f>VLOOKUP(H364,'ECI - Input Price'!$G$17:$H$37,2,FALSE)</f>
        <v>121.2</v>
      </c>
      <c r="DO364" s="177">
        <f t="shared" ref="DO364" si="1026">LN(DN364/DN363)</f>
        <v>2.0632179200028689E-2</v>
      </c>
      <c r="DP364" s="183">
        <f>HLOOKUP(H364,'GDP-PI'!$8:$9,2,FALSE)</f>
        <v>103.64700000000001</v>
      </c>
      <c r="DQ364" s="177">
        <f t="shared" ref="DQ364" si="1027">LN(DP364/DP363)</f>
        <v>1.8246051898256087E-2</v>
      </c>
    </row>
    <row r="365" spans="1:121" s="167" customFormat="1" ht="21" x14ac:dyDescent="0.35">
      <c r="A365" s="167" t="s">
        <v>50</v>
      </c>
      <c r="B365" s="168" t="s">
        <v>50</v>
      </c>
      <c r="C365" s="168">
        <v>4059402</v>
      </c>
      <c r="D365" s="168" t="s">
        <v>140</v>
      </c>
      <c r="E365" s="168" t="s">
        <v>126</v>
      </c>
      <c r="F365" s="168"/>
      <c r="G365" s="168" t="s">
        <v>21</v>
      </c>
      <c r="H365" s="169">
        <v>2015</v>
      </c>
      <c r="I365" s="170"/>
      <c r="J365" s="166">
        <f>IFERROR(INDEX('Labor Expenditures'!$F$7:$X$91,MATCH($C365,'Labor Expenditures'!$D$7:$D$91,0),MATCH($G365,'Labor Expenditures'!$F$5:$X$5,0)),"NA")</f>
        <v>24707.796273217318</v>
      </c>
      <c r="K365" s="166">
        <f t="shared" si="988"/>
        <v>199.65895978357429</v>
      </c>
      <c r="L365" s="172">
        <f t="shared" si="995"/>
        <v>0.10054449835327121</v>
      </c>
      <c r="M365" s="172">
        <f t="shared" si="999"/>
        <v>8.9784236191660187E-4</v>
      </c>
      <c r="N365" s="196"/>
      <c r="O365" s="172"/>
      <c r="P365" s="166">
        <f>IFERROR(INDEX('Non-Labor Expenditures'!$F$7:$AB$91,MATCH($C365,'Non-Labor Expenditures'!$D$7:$D$91,0),MATCH($G365,'Non-Labor Expenditures'!$F$5:$AB$5,0)),"NA")</f>
        <v>35781.50378340212</v>
      </c>
      <c r="Q365" s="166">
        <f t="shared" si="989"/>
        <v>341.95188967213107</v>
      </c>
      <c r="R365" s="172">
        <f t="shared" si="1000"/>
        <v>0.11184038998141405</v>
      </c>
      <c r="S365" s="172">
        <f t="shared" si="1005"/>
        <v>9.9871242627090628E-4</v>
      </c>
      <c r="T365" s="172"/>
      <c r="U365" s="172"/>
      <c r="V365" s="166">
        <f t="shared" si="970"/>
        <v>42156.423954566177</v>
      </c>
      <c r="W365" s="170"/>
      <c r="X365" s="174">
        <v>2011.4288330606382</v>
      </c>
      <c r="Y365" s="175">
        <v>3.6419833754909835E-2</v>
      </c>
      <c r="Z365" s="175">
        <f t="shared" si="1006"/>
        <v>3.2522186787611895E-4</v>
      </c>
      <c r="AA365" s="175"/>
      <c r="AB365" s="175"/>
      <c r="AC365" s="170">
        <f t="shared" si="882"/>
        <v>102645.72401118561</v>
      </c>
      <c r="AD365" s="175">
        <f t="shared" si="1001"/>
        <v>7.0670228324457615E-2</v>
      </c>
      <c r="AE365" s="170"/>
      <c r="AF365" s="170"/>
      <c r="AG365" s="121">
        <f t="shared" si="1002"/>
        <v>600.4956504588622</v>
      </c>
      <c r="AH365" s="119">
        <f>+AZ365/$BB$53</f>
        <v>4.6277105660579134E-3</v>
      </c>
      <c r="AI365" s="119">
        <f>+AZ365/$BC$53</f>
        <v>1.9740483691797851E-2</v>
      </c>
      <c r="AJ365" s="176">
        <f t="shared" si="1007"/>
        <v>2.7789200665002962</v>
      </c>
      <c r="AK365" s="176">
        <f t="shared" si="1008"/>
        <v>11.854074594878712</v>
      </c>
      <c r="AL365" s="120">
        <f t="shared" si="990"/>
        <v>0.24070945488703296</v>
      </c>
      <c r="AM365" s="120">
        <f t="shared" si="991"/>
        <v>0.348592249001068</v>
      </c>
      <c r="AN365" s="120">
        <f t="shared" si="992"/>
        <v>0.41069829611189906</v>
      </c>
      <c r="AO365" s="120">
        <f t="shared" si="996"/>
        <v>7.7114957191866743E-2</v>
      </c>
      <c r="AP365" s="173">
        <f t="shared" si="1012"/>
        <v>122.30251650670196</v>
      </c>
      <c r="AQ365" s="175">
        <f t="shared" si="1013"/>
        <v>7.711495719186677E-2</v>
      </c>
      <c r="AR365" s="177">
        <f>+AC365/$AE$53</f>
        <v>8.9298009997718641E-3</v>
      </c>
      <c r="AS365" s="177">
        <f t="shared" si="1009"/>
        <v>6.8862122182929641E-4</v>
      </c>
      <c r="AT365" s="177"/>
      <c r="AU365" s="177"/>
      <c r="AV365" s="177"/>
      <c r="AW365" s="190"/>
      <c r="AX365" s="120"/>
      <c r="AY365" s="120"/>
      <c r="AZ365" s="118">
        <f>IFERROR(INDEX('Total Customers'!$F$7:$AB$91,MATCH($C365,'Total Customers'!$D$7:$D$91,0),MATCH($G365,'Total Customers'!$F$5:$AB$5,0)),"NA")</f>
        <v>170935</v>
      </c>
      <c r="BA365" s="119">
        <f t="shared" si="971"/>
        <v>1.5755135767601725E-2</v>
      </c>
      <c r="BB365" s="119"/>
      <c r="BC365" s="121">
        <v>8659109</v>
      </c>
      <c r="BD365" s="119"/>
      <c r="BE365" s="119"/>
      <c r="BF365" s="119"/>
      <c r="BG365" s="173"/>
      <c r="BH365" s="173"/>
      <c r="BI365" s="173"/>
      <c r="BJ365" s="173"/>
      <c r="BK365" s="173"/>
      <c r="BL365" s="173"/>
      <c r="BM365" s="173"/>
      <c r="BN365" s="173"/>
      <c r="BO365" s="173"/>
      <c r="BP365" s="173"/>
      <c r="BQ365" s="118"/>
      <c r="BR365" s="118"/>
      <c r="BS365" s="118">
        <f>INDEX('Dist. Plant Gas Additions'!$F$7:$AE$91,MATCH($C365,'Dist. Plant Gas Additions'!$D$7:$D$91,0),MATCH(Calculation!$G365,'Dist. Plant Gas Additions'!$F$5:$AE$5,0))</f>
        <v>52106</v>
      </c>
      <c r="BT365" s="118">
        <f>INDEX('Gen. Plant Additions'!$F$7:$AE$91,MATCH($C365,'Gen. Plant Additions'!$D$7:$D$91,0),MATCH(Calculation!$G365,'Gen. Plant Additions'!$F$5:$AE$5,0))</f>
        <v>7651</v>
      </c>
      <c r="BU365" s="118"/>
      <c r="BV365" s="118"/>
      <c r="BW365" s="118">
        <f>INDEX('Dist Plant Depreciation'!$E$7:$AD$94,MATCH($C365,'Dist Plant Depreciation'!$D$7:$D$94,0),MATCH(Calculation!$G365,'Dist Plant Depreciation'!$E$5:$AD$5,0))</f>
        <v>398814</v>
      </c>
      <c r="BX365" s="118">
        <f>INDEX('Gen. Plant Depreciation'!$E$7:$AD$94,MATCH($C365,'Gen. Plant Depreciation'!$D$7:$D$94,0),MATCH(Calculation!$G365,'Gen. Plant Depreciation'!$E$5:$AD$5,0))</f>
        <v>19928</v>
      </c>
      <c r="BY365" s="118"/>
      <c r="BZ365" s="118"/>
      <c r="CA365" s="118"/>
      <c r="CB365" s="118"/>
      <c r="CC365" s="118"/>
      <c r="CD365" s="118"/>
      <c r="CE365" s="118">
        <f>INDEX('Gross Dx Plant'!$E$7:$AD$91,MATCH($C365,'Gross Dx Plant'!$D$7:$D$91,0),MATCH(Calculation!$G365,'Gross Dx Plant'!$E$5:$AD$5,0))</f>
        <v>724001</v>
      </c>
      <c r="CF365" s="118">
        <f>INDEX('Gross Gen Plant'!$E$7:$AD$91,MATCH($C365,'Gross Gen Plant'!$D$7:$D$91,0),MATCH(Calculation!$G365,'Gross Gen Plant'!$E$5:$AD$5,0))</f>
        <v>47903</v>
      </c>
      <c r="CG365" s="118">
        <f t="shared" si="969"/>
        <v>353162</v>
      </c>
      <c r="CH365" s="118"/>
      <c r="CI365" s="121">
        <v>2015</v>
      </c>
      <c r="CJ365" s="118"/>
      <c r="CK365" s="118"/>
      <c r="CL365" s="118"/>
      <c r="CM365" s="183"/>
      <c r="CN365" s="118">
        <f t="shared" si="972"/>
        <v>59757</v>
      </c>
      <c r="CO365" s="118">
        <f t="shared" si="973"/>
        <v>88.448350692154506</v>
      </c>
      <c r="CP365" s="186">
        <v>0.88888888888888884</v>
      </c>
      <c r="CQ365" s="118">
        <f>+CQ348*CP365+CO349*CP364+CO350*CP363+CO351*CP362+CO352*CP361+CO353*CP360+CO354*CP359+CO355*CP358+CO356*CP357+CO357*CP356+CO358*CP355+CO359*CP354+CO360*CP353+CO361*CP352+CO362*CP351+CO363*CP350+CO364*CP349+CO365</f>
        <v>2011.4288330606382</v>
      </c>
      <c r="CR365" s="119">
        <f t="shared" si="974"/>
        <v>3.6419833754909835E-2</v>
      </c>
      <c r="CS365" s="119"/>
      <c r="CT365" s="177">
        <f t="shared" si="975"/>
        <v>8.5127406826063009E-3</v>
      </c>
      <c r="CU365" s="177">
        <f t="shared" si="983"/>
        <v>8.2428405792435103E-3</v>
      </c>
      <c r="CV365" s="119">
        <f>VLOOKUP($H365,RoR!$E:$F,2,FALSE)</f>
        <v>3.8866666666666674E-2</v>
      </c>
      <c r="CW365" s="177">
        <v>9.5709475431029478E-3</v>
      </c>
      <c r="CX365" s="177">
        <f t="shared" si="981"/>
        <v>2.9295719123563727E-2</v>
      </c>
      <c r="CY365" s="177">
        <f t="shared" si="984"/>
        <v>2.2659101029290113E-2</v>
      </c>
      <c r="CZ365" s="177">
        <f t="shared" si="985"/>
        <v>3.5270373279175926E-3</v>
      </c>
      <c r="DA365" s="187">
        <f t="shared" si="976"/>
        <v>0.84925000000000006</v>
      </c>
      <c r="DB365" s="188">
        <f t="shared" si="977"/>
        <v>1.3194352816994324</v>
      </c>
      <c r="DC365" s="188">
        <f t="shared" si="978"/>
        <v>0.33177530017152673</v>
      </c>
      <c r="DD365" s="188">
        <f t="shared" si="979"/>
        <v>0.78242572977668579</v>
      </c>
      <c r="DE365" s="188">
        <f t="shared" si="980"/>
        <v>0.34251158643433932</v>
      </c>
      <c r="DF365" s="189">
        <f>INDEX('State Tax Lookup'!$D$7:$Z$91,MATCH(Calculation!$C365,'State Tax Lookup'!$B$7:$B$91,0),MATCH($H365,'State Tax Lookup'!$D$6:$Z$6,0))</f>
        <v>0.40200000000000002</v>
      </c>
      <c r="DG365" s="189">
        <v>0.375</v>
      </c>
      <c r="DH365" s="190">
        <f t="shared" si="982"/>
        <v>21.735819802941528</v>
      </c>
      <c r="DI365" s="190">
        <v>21.328509544650469</v>
      </c>
      <c r="DJ365" s="177"/>
      <c r="DK365" s="189">
        <f>VLOOKUP($H365,RoR!$E:$F,2,FALSE)</f>
        <v>3.8866666666666674E-2</v>
      </c>
      <c r="DL365" s="191">
        <f>HLOOKUP($H365,'GDP-PI'!$D$8:$CQ$11,3,FALSE)</f>
        <v>9.5709475431029478E-3</v>
      </c>
      <c r="DM365" s="189">
        <f>VLOOKUP(H365,'HW Dx Data'!$E:$F,2,FALSE)</f>
        <v>675.61463308665782</v>
      </c>
      <c r="DN365" s="183">
        <f>VLOOKUP(H365,'ECI - Input Price'!$G$17:$H$37,2,FALSE)</f>
        <v>123.75</v>
      </c>
      <c r="DO365" s="177">
        <f t="shared" ref="DO365" si="1028">LN(DN365/DN364)</f>
        <v>2.0821327813585516E-2</v>
      </c>
      <c r="DP365" s="183">
        <f>HLOOKUP(H365,'GDP-PI'!$8:$9,2,FALSE)</f>
        <v>104.639</v>
      </c>
      <c r="DQ365" s="177">
        <f t="shared" ref="DQ365" si="1029">LN(DP365/DP364)</f>
        <v>9.5254361854427965E-3</v>
      </c>
    </row>
    <row r="366" spans="1:121" s="167" customFormat="1" ht="21" x14ac:dyDescent="0.35">
      <c r="A366" s="167" t="s">
        <v>50</v>
      </c>
      <c r="B366" s="168" t="s">
        <v>50</v>
      </c>
      <c r="C366" s="168">
        <v>4059402</v>
      </c>
      <c r="D366" s="168" t="s">
        <v>140</v>
      </c>
      <c r="E366" s="168" t="s">
        <v>126</v>
      </c>
      <c r="F366" s="168"/>
      <c r="G366" s="168" t="s">
        <v>22</v>
      </c>
      <c r="H366" s="169">
        <v>2016</v>
      </c>
      <c r="I366" s="170"/>
      <c r="J366" s="166">
        <f>IFERROR(INDEX('Labor Expenditures'!$F$7:$X$91,MATCH($C366,'Labor Expenditures'!$D$7:$D$91,0),MATCH($G366,'Labor Expenditures'!$F$5:$X$5,0)),"NA")</f>
        <v>24408.390786746953</v>
      </c>
      <c r="K366" s="166">
        <f t="shared" si="988"/>
        <v>193.10435749008664</v>
      </c>
      <c r="L366" s="172">
        <f t="shared" si="995"/>
        <v>-3.3379954799194707E-2</v>
      </c>
      <c r="M366" s="172">
        <f t="shared" si="999"/>
        <v>-2.8815535221570773E-4</v>
      </c>
      <c r="N366" s="196"/>
      <c r="O366" s="172"/>
      <c r="P366" s="166">
        <f>IFERROR(INDEX('Non-Labor Expenditures'!$F$7:$AB$91,MATCH($C366,'Non-Labor Expenditures'!$D$7:$D$91,0),MATCH($G366,'Non-Labor Expenditures'!$F$5:$AB$5,0)),"NA")</f>
        <v>35347.908717761908</v>
      </c>
      <c r="Q366" s="166">
        <f t="shared" si="989"/>
        <v>334.30344175835955</v>
      </c>
      <c r="R366" s="172">
        <f t="shared" si="1000"/>
        <v>-2.2620964902442212E-2</v>
      </c>
      <c r="S366" s="172">
        <f t="shared" si="1005"/>
        <v>-1.9527743965308344E-4</v>
      </c>
      <c r="T366" s="172"/>
      <c r="U366" s="172"/>
      <c r="V366" s="166">
        <f t="shared" si="970"/>
        <v>42953.232175879486</v>
      </c>
      <c r="W366" s="170"/>
      <c r="X366" s="174">
        <v>2074.5591679083163</v>
      </c>
      <c r="Y366" s="175">
        <v>3.0903350163986858E-2</v>
      </c>
      <c r="Z366" s="175">
        <f t="shared" si="1006"/>
        <v>2.6677584810162221E-4</v>
      </c>
      <c r="AA366" s="175"/>
      <c r="AB366" s="175"/>
      <c r="AC366" s="170">
        <f t="shared" si="882"/>
        <v>102709.53168038835</v>
      </c>
      <c r="AD366" s="175">
        <f t="shared" si="1001"/>
        <v>6.214369439079254E-4</v>
      </c>
      <c r="AE366" s="170"/>
      <c r="AF366" s="170"/>
      <c r="AG366" s="121">
        <f t="shared" si="1002"/>
        <v>588.78225493790751</v>
      </c>
      <c r="AH366" s="119">
        <f>+AZ366/$BB$54</f>
        <v>4.6819042406341695E-3</v>
      </c>
      <c r="AI366" s="119">
        <f>+AZ366/$BC$54</f>
        <v>1.9915792516541977E-2</v>
      </c>
      <c r="AJ366" s="176">
        <f t="shared" si="1007"/>
        <v>2.756622136203938</v>
      </c>
      <c r="AK366" s="176">
        <f t="shared" si="1008"/>
        <v>11.726065226765089</v>
      </c>
      <c r="AL366" s="120">
        <f t="shared" si="990"/>
        <v>0.23764484549205245</v>
      </c>
      <c r="AM366" s="120">
        <f t="shared" si="991"/>
        <v>0.34415412220705643</v>
      </c>
      <c r="AN366" s="120">
        <f t="shared" si="992"/>
        <v>0.41820103230089112</v>
      </c>
      <c r="AO366" s="120">
        <f t="shared" si="996"/>
        <v>-3.0111350387067356E-3</v>
      </c>
      <c r="AP366" s="173">
        <f t="shared" si="1012"/>
        <v>121.93480101226905</v>
      </c>
      <c r="AQ366" s="175">
        <f t="shared" si="1013"/>
        <v>-3.011135038706694E-3</v>
      </c>
      <c r="AR366" s="177">
        <f>+AC366/$AE$54</f>
        <v>8.6325866511556652E-3</v>
      </c>
      <c r="AS366" s="177">
        <f t="shared" si="1009"/>
        <v>-2.5993884139966504E-5</v>
      </c>
      <c r="AT366" s="177"/>
      <c r="AU366" s="177"/>
      <c r="AV366" s="177"/>
      <c r="AW366" s="190"/>
      <c r="AX366" s="120"/>
      <c r="AY366" s="120"/>
      <c r="AZ366" s="118">
        <f>IFERROR(INDEX('Total Customers'!$F$7:$AB$91,MATCH($C366,'Total Customers'!$D$7:$D$91,0),MATCH($G366,'Total Customers'!$F$5:$AB$5,0)),"NA")</f>
        <v>174444</v>
      </c>
      <c r="BA366" s="119">
        <f t="shared" si="971"/>
        <v>2.0320405951356601E-2</v>
      </c>
      <c r="BB366" s="119"/>
      <c r="BC366" s="121">
        <v>8759079</v>
      </c>
      <c r="BD366" s="119"/>
      <c r="BE366" s="119"/>
      <c r="BF366" s="119"/>
      <c r="BG366" s="173"/>
      <c r="BH366" s="173"/>
      <c r="BI366" s="173"/>
      <c r="BJ366" s="173"/>
      <c r="BK366" s="173"/>
      <c r="BL366" s="173"/>
      <c r="BM366" s="173"/>
      <c r="BN366" s="173"/>
      <c r="BO366" s="173"/>
      <c r="BP366" s="173"/>
      <c r="BQ366" s="118"/>
      <c r="BR366" s="118"/>
      <c r="BS366" s="118">
        <f>INDEX('Dist. Plant Gas Additions'!$F$7:$AE$91,MATCH($C366,'Dist. Plant Gas Additions'!$D$7:$D$91,0),MATCH(Calculation!$G366,'Dist. Plant Gas Additions'!$F$5:$AE$5,0))</f>
        <v>48310</v>
      </c>
      <c r="BT366" s="118">
        <f>INDEX('Gen. Plant Additions'!$F$7:$AE$91,MATCH($C366,'Gen. Plant Additions'!$D$7:$D$91,0),MATCH(Calculation!$G366,'Gen. Plant Additions'!$F$5:$AE$5,0))</f>
        <v>5888</v>
      </c>
      <c r="BU366" s="118"/>
      <c r="BV366" s="118"/>
      <c r="BW366" s="118" t="str">
        <f>INDEX('Dist Plant Depreciation'!$E$7:$AD$94,MATCH($C366,'Dist Plant Depreciation'!$D$7:$D$94,0),MATCH(Calculation!$G366,'Dist Plant Depreciation'!$E$5:$AD$5,0))</f>
        <v>NA</v>
      </c>
      <c r="BX366" s="118" t="str">
        <f>INDEX('Gen. Plant Depreciation'!$E$7:$AD$94,MATCH($C366,'Gen. Plant Depreciation'!$D$7:$D$94,0),MATCH(Calculation!$G366,'Gen. Plant Depreciation'!$E$5:$AD$5,0))</f>
        <v>NA</v>
      </c>
      <c r="BY366" s="118"/>
      <c r="BZ366" s="118"/>
      <c r="CA366" s="118"/>
      <c r="CB366" s="118"/>
      <c r="CC366" s="118"/>
      <c r="CD366" s="118"/>
      <c r="CE366" s="118">
        <f>INDEX('Gross Dx Plant'!$E$7:$AD$91,MATCH($C366,'Gross Dx Plant'!$D$7:$D$91,0),MATCH(Calculation!$G366,'Gross Dx Plant'!$E$5:$AD$5,0))</f>
        <v>770960</v>
      </c>
      <c r="CF366" s="118">
        <f>INDEX('Gross Gen Plant'!$E$7:$AD$91,MATCH($C366,'Gross Gen Plant'!$D$7:$D$91,0),MATCH(Calculation!$G366,'Gross Gen Plant'!$E$5:$AD$5,0))</f>
        <v>52167</v>
      </c>
      <c r="CG366" s="118" t="str">
        <f t="shared" si="969"/>
        <v>NA</v>
      </c>
      <c r="CH366" s="118"/>
      <c r="CI366" s="121">
        <v>2016</v>
      </c>
      <c r="CJ366" s="118"/>
      <c r="CK366" s="118"/>
      <c r="CL366" s="118"/>
      <c r="CM366" s="183"/>
      <c r="CN366" s="118">
        <f t="shared" si="972"/>
        <v>54198</v>
      </c>
      <c r="CO366" s="118">
        <f t="shared" si="973"/>
        <v>80.717080804689786</v>
      </c>
      <c r="CP366" s="186">
        <v>0.88</v>
      </c>
      <c r="CQ366" s="118">
        <f>+CQ348*CP366+CO349*CP365+CO350*CP364+CO351*CP363+CO352*CP362+CO353*CP361+CO354*CP360+CO355*CP359+CO356*CP358+CO357*CP357+CO358*CP356+CO359*CP355+CO360*CP354+CO361*CP353+CO362*CP352+CO363*CP351+CO364*CP350+CO365*CP349+CO366</f>
        <v>2074.5591679083163</v>
      </c>
      <c r="CR366" s="119">
        <f t="shared" si="974"/>
        <v>3.0903350163986858E-2</v>
      </c>
      <c r="CS366" s="119"/>
      <c r="CT366" s="177">
        <f t="shared" si="975"/>
        <v>8.7434094947576434E-3</v>
      </c>
      <c r="CU366" s="177">
        <f t="shared" si="983"/>
        <v>8.5011581820449503E-3</v>
      </c>
      <c r="CV366" s="119">
        <f>VLOOKUP($H366,RoR!$E:$F,2,FALSE)</f>
        <v>3.6658333333333334E-2</v>
      </c>
      <c r="CW366" s="177">
        <v>1.0483662879041455E-2</v>
      </c>
      <c r="CX366" s="177">
        <f t="shared" si="981"/>
        <v>2.6174670454291879E-2</v>
      </c>
      <c r="CY366" s="177">
        <f t="shared" si="984"/>
        <v>2.2400783426488675E-2</v>
      </c>
      <c r="CZ366" s="177">
        <f t="shared" si="985"/>
        <v>4.301363574220729E-3</v>
      </c>
      <c r="DA366" s="187">
        <f t="shared" si="976"/>
        <v>0.84925000000000006</v>
      </c>
      <c r="DB366" s="188">
        <f t="shared" si="977"/>
        <v>1.3989193348138562</v>
      </c>
      <c r="DC366" s="188">
        <f t="shared" si="978"/>
        <v>0.29302682427824522</v>
      </c>
      <c r="DD366" s="188">
        <f t="shared" si="979"/>
        <v>0.76309497491941802</v>
      </c>
      <c r="DE366" s="188">
        <f t="shared" si="980"/>
        <v>0.31280857135128509</v>
      </c>
      <c r="DF366" s="189">
        <f>INDEX('State Tax Lookup'!$D$7:$Z$91,MATCH(Calculation!$C366,'State Tax Lookup'!$B$7:$B$91,0),MATCH($H366,'State Tax Lookup'!$D$6:$Z$6,0))</f>
        <v>0.40200000000000002</v>
      </c>
      <c r="DG366" s="189">
        <v>0.375</v>
      </c>
      <c r="DH366" s="190">
        <f t="shared" si="982"/>
        <v>21.354587082517266</v>
      </c>
      <c r="DI366" s="190">
        <v>20.952835390188987</v>
      </c>
      <c r="DJ366" s="177"/>
      <c r="DK366" s="189">
        <f>VLOOKUP($H366,RoR!$E:$F,2,FALSE)</f>
        <v>3.6658333333333334E-2</v>
      </c>
      <c r="DL366" s="191">
        <f>HLOOKUP($H366,'GDP-PI'!$D$8:$CQ$11,3,FALSE)</f>
        <v>1.0483662879041455E-2</v>
      </c>
      <c r="DM366" s="189">
        <f>VLOOKUP(H366,'HW Dx Data'!$E:$F,2,FALSE)</f>
        <v>671.45639385971219</v>
      </c>
      <c r="DN366" s="183">
        <f>VLOOKUP(H366,'ECI - Input Price'!$G$17:$H$37,2,FALSE)</f>
        <v>126.4</v>
      </c>
      <c r="DO366" s="177">
        <f t="shared" ref="DO366" si="1030">LN(DN366/DN365)</f>
        <v>2.11880802639575E-2</v>
      </c>
      <c r="DP366" s="183">
        <f>HLOOKUP(H366,'GDP-PI'!$8:$9,2,FALSE)</f>
        <v>105.736</v>
      </c>
      <c r="DQ366" s="177">
        <f t="shared" ref="DQ366" si="1031">LN(DP366/DP365)</f>
        <v>1.0429090367205095E-2</v>
      </c>
    </row>
    <row r="367" spans="1:121" s="167" customFormat="1" ht="21" x14ac:dyDescent="0.35">
      <c r="A367" s="167" t="s">
        <v>50</v>
      </c>
      <c r="B367" s="168" t="s">
        <v>50</v>
      </c>
      <c r="C367" s="168">
        <v>4059402</v>
      </c>
      <c r="D367" s="168" t="s">
        <v>140</v>
      </c>
      <c r="E367" s="168" t="s">
        <v>126</v>
      </c>
      <c r="F367" s="168"/>
      <c r="G367" s="168" t="s">
        <v>23</v>
      </c>
      <c r="H367" s="169">
        <v>2017</v>
      </c>
      <c r="I367" s="170"/>
      <c r="J367" s="166">
        <f>IFERROR(INDEX('Labor Expenditures'!$F$7:$X$91,MATCH($C367,'Labor Expenditures'!$D$7:$D$91,0),MATCH($G367,'Labor Expenditures'!$F$5:$X$5,0)),"NA")</f>
        <v>30113.503213589251</v>
      </c>
      <c r="K367" s="166">
        <f t="shared" si="988"/>
        <v>232.53670435204054</v>
      </c>
      <c r="L367" s="172">
        <f t="shared" si="995"/>
        <v>0.18581732559187286</v>
      </c>
      <c r="M367" s="172">
        <f t="shared" si="999"/>
        <v>1.7831048428495842E-3</v>
      </c>
      <c r="N367" s="196"/>
      <c r="O367" s="172"/>
      <c r="P367" s="166">
        <f>IFERROR(INDEX('Non-Labor Expenditures'!$F$7:$AB$91,MATCH($C367,'Non-Labor Expenditures'!$D$7:$D$91,0),MATCH($G367,'Non-Labor Expenditures'!$F$5:$AB$5,0)),"NA")</f>
        <v>43609.977079846969</v>
      </c>
      <c r="Q367" s="166">
        <f t="shared" si="989"/>
        <v>404.72920975069343</v>
      </c>
      <c r="R367" s="172">
        <f t="shared" si="1000"/>
        <v>0.19116913679096281</v>
      </c>
      <c r="S367" s="172">
        <f t="shared" si="1005"/>
        <v>1.8344608745690038E-3</v>
      </c>
      <c r="T367" s="172"/>
      <c r="U367" s="172"/>
      <c r="V367" s="166">
        <f t="shared" si="970"/>
        <v>39964.010565319288</v>
      </c>
      <c r="W367" s="170"/>
      <c r="X367" s="174">
        <v>2110.8686429227355</v>
      </c>
      <c r="Y367" s="175">
        <v>1.7350859970359282E-2</v>
      </c>
      <c r="Z367" s="175">
        <f t="shared" si="1006"/>
        <v>1.6649901908880876E-4</v>
      </c>
      <c r="AA367" s="175"/>
      <c r="AB367" s="175"/>
      <c r="AC367" s="170">
        <f t="shared" si="882"/>
        <v>113687.49085875551</v>
      </c>
      <c r="AD367" s="175">
        <f t="shared" si="1001"/>
        <v>0.10154845233439114</v>
      </c>
      <c r="AE367" s="170"/>
      <c r="AF367" s="170"/>
      <c r="AG367" s="121">
        <f t="shared" si="1002"/>
        <v>644.925634551597</v>
      </c>
      <c r="AH367" s="119">
        <f>+AZ367/$BB$55</f>
        <v>4.6956341667000051E-3</v>
      </c>
      <c r="AI367" s="119">
        <f>+AZ367/$BC$56</f>
        <v>1.9781501266473923E-2</v>
      </c>
      <c r="AJ367" s="176">
        <f t="shared" si="1007"/>
        <v>3.0283348445811602</v>
      </c>
      <c r="AK367" s="176">
        <f t="shared" si="1008"/>
        <v>12.757597256663914</v>
      </c>
      <c r="AL367" s="120">
        <f t="shared" si="990"/>
        <v>0.26487965374310213</v>
      </c>
      <c r="AM367" s="120">
        <f t="shared" si="991"/>
        <v>0.3835952113150925</v>
      </c>
      <c r="AN367" s="120">
        <f t="shared" si="992"/>
        <v>0.35152513494180532</v>
      </c>
      <c r="AO367" s="120">
        <f t="shared" si="996"/>
        <v>0.12292819066262435</v>
      </c>
      <c r="AP367" s="173">
        <f t="shared" si="1012"/>
        <v>137.88426510288147</v>
      </c>
      <c r="AQ367" s="175">
        <f t="shared" si="1013"/>
        <v>0.12292819066262438</v>
      </c>
      <c r="AR367" s="177">
        <f>+AC367/$AE$55</f>
        <v>9.5960096141194939E-3</v>
      </c>
      <c r="AS367" s="177">
        <f t="shared" si="1009"/>
        <v>1.1796200994448577E-3</v>
      </c>
      <c r="AT367" s="177"/>
      <c r="AU367" s="177"/>
      <c r="AV367" s="177"/>
      <c r="AW367" s="190"/>
      <c r="AX367" s="120"/>
      <c r="AY367" s="120"/>
      <c r="AZ367" s="118">
        <f>IFERROR(INDEX('Total Customers'!$F$7:$AB$91,MATCH($C367,'Total Customers'!$D$7:$D$91,0),MATCH($G367,'Total Customers'!$F$5:$AB$5,0)),"NA")</f>
        <v>176280</v>
      </c>
      <c r="BA367" s="119">
        <f t="shared" si="971"/>
        <v>1.0469866741598038E-2</v>
      </c>
      <c r="BB367" s="119"/>
      <c r="BC367" s="121">
        <v>8824403</v>
      </c>
      <c r="BD367" s="119"/>
      <c r="BE367" s="119"/>
      <c r="BF367" s="119"/>
      <c r="BG367" s="173"/>
      <c r="BH367" s="173"/>
      <c r="BI367" s="173"/>
      <c r="BJ367" s="173"/>
      <c r="BK367" s="173"/>
      <c r="BL367" s="173"/>
      <c r="BM367" s="173"/>
      <c r="BN367" s="173"/>
      <c r="BO367" s="173"/>
      <c r="BP367" s="173"/>
      <c r="BQ367" s="118"/>
      <c r="BR367" s="118"/>
      <c r="BS367" s="118">
        <f>INDEX('Dist. Plant Gas Additions'!$F$7:$AE$91,MATCH($C367,'Dist. Plant Gas Additions'!$D$7:$D$91,0),MATCH(Calculation!$G367,'Dist. Plant Gas Additions'!$F$5:$AE$5,0))</f>
        <v>36900</v>
      </c>
      <c r="BT367" s="118">
        <f>INDEX('Gen. Plant Additions'!$F$7:$AE$91,MATCH($C367,'Gen. Plant Additions'!$D$7:$D$91,0),MATCH(Calculation!$G367,'Gen. Plant Additions'!$F$5:$AE$5,0))</f>
        <v>2273</v>
      </c>
      <c r="BU367" s="118"/>
      <c r="BV367" s="118"/>
      <c r="BW367" s="118">
        <f>INDEX('Dist Plant Depreciation'!$E$7:$AD$94,MATCH($C367,'Dist Plant Depreciation'!$D$7:$D$94,0),MATCH(Calculation!$G367,'Dist Plant Depreciation'!$E$5:$AD$5,0))</f>
        <v>449483</v>
      </c>
      <c r="BX367" s="118">
        <f>INDEX('Gen. Plant Depreciation'!$E$7:$AD$94,MATCH($C367,'Gen. Plant Depreciation'!$D$7:$D$94,0),MATCH(Calculation!$G367,'Gen. Plant Depreciation'!$E$5:$AD$5,0))</f>
        <v>22431</v>
      </c>
      <c r="BY367" s="118"/>
      <c r="BZ367" s="118"/>
      <c r="CA367" s="118"/>
      <c r="CB367" s="118"/>
      <c r="CC367" s="118"/>
      <c r="CD367" s="118"/>
      <c r="CE367" s="118">
        <f>INDEX('Gross Dx Plant'!$E$7:$AD$91,MATCH($C367,'Gross Dx Plant'!$D$7:$D$91,0),MATCH(Calculation!$G367,'Gross Dx Plant'!$E$5:$AD$5,0))</f>
        <v>806122</v>
      </c>
      <c r="CF367" s="118">
        <f>INDEX('Gross Gen Plant'!$E$7:$AD$91,MATCH($C367,'Gross Gen Plant'!$D$7:$D$91,0),MATCH(Calculation!$G367,'Gross Gen Plant'!$E$5:$AD$5,0))</f>
        <v>53292</v>
      </c>
      <c r="CG367" s="118">
        <f t="shared" si="969"/>
        <v>387500</v>
      </c>
      <c r="CH367" s="118"/>
      <c r="CI367" s="121">
        <v>2017</v>
      </c>
      <c r="CJ367" s="118"/>
      <c r="CK367" s="118"/>
      <c r="CL367" s="118"/>
      <c r="CM367" s="183"/>
      <c r="CN367" s="118">
        <f t="shared" si="972"/>
        <v>39173</v>
      </c>
      <c r="CO367" s="118">
        <f t="shared" si="973"/>
        <v>54.985160472406356</v>
      </c>
      <c r="CP367" s="186">
        <v>0.87074829931972786</v>
      </c>
      <c r="CQ367" s="118">
        <f>+CQ348*CP367+CO349*CP366+CO350*CP365+CO351*CP364+CO352*CP363+CO353*CP362+CO354*CP361+CO355*CP360+CO356*CP359+CO357*CP358+CO358*CP357+CO359*CP356+CO360*CP355+CO361*CP354+CO362*CP353+CO363*CP352+CO364*CP351+CO365*CP350+CO366*CP349+CO367</f>
        <v>2110.8686429227355</v>
      </c>
      <c r="CR367" s="119">
        <f t="shared" si="974"/>
        <v>1.7350859970359282E-2</v>
      </c>
      <c r="CS367" s="119"/>
      <c r="CT367" s="177">
        <f t="shared" si="975"/>
        <v>9.0022428604998768E-3</v>
      </c>
      <c r="CU367" s="177">
        <f t="shared" si="983"/>
        <v>8.7527976792879398E-3</v>
      </c>
      <c r="CV367" s="119">
        <f>VLOOKUP($H367,RoR!$E:$F,2,FALSE)</f>
        <v>3.7433333333333339E-2</v>
      </c>
      <c r="CW367" s="177">
        <v>1.9056896421275615E-2</v>
      </c>
      <c r="CX367" s="177">
        <f t="shared" si="981"/>
        <v>1.8376436912057724E-2</v>
      </c>
      <c r="CY367" s="177">
        <f t="shared" si="984"/>
        <v>2.2149143929245683E-2</v>
      </c>
      <c r="CZ367" s="177">
        <f t="shared" si="985"/>
        <v>1.3976271617800498E-2</v>
      </c>
      <c r="DA367" s="187">
        <f t="shared" si="976"/>
        <v>0.90175000000000005</v>
      </c>
      <c r="DB367" s="188">
        <f t="shared" si="977"/>
        <v>1.3699568463593395</v>
      </c>
      <c r="DC367" s="188">
        <f t="shared" si="978"/>
        <v>0.30714603739982199</v>
      </c>
      <c r="DD367" s="188">
        <f t="shared" si="979"/>
        <v>0.77007188472689425</v>
      </c>
      <c r="DE367" s="188">
        <f t="shared" si="980"/>
        <v>0.32402839633793828</v>
      </c>
      <c r="DF367" s="189">
        <f>INDEX('State Tax Lookup'!$D$7:$Z$91,MATCH(Calculation!$C367,'State Tax Lookup'!$B$7:$B$91,0),MATCH($H367,'State Tax Lookup'!$D$6:$Z$6,0))</f>
        <v>0.26200000000000001</v>
      </c>
      <c r="DG367" s="189">
        <v>0.375</v>
      </c>
      <c r="DH367" s="190">
        <f t="shared" si="982"/>
        <v>19.263856718829178</v>
      </c>
      <c r="DI367" s="190">
        <v>18.927358018323826</v>
      </c>
      <c r="DJ367" s="177"/>
      <c r="DK367" s="189">
        <f>VLOOKUP($H367,RoR!$E:$F,2,FALSE)</f>
        <v>3.7433333333333339E-2</v>
      </c>
      <c r="DL367" s="191">
        <f>HLOOKUP($H367,'GDP-PI'!$D$8:$CQ$11,3,FALSE)</f>
        <v>1.9056896421275615E-2</v>
      </c>
      <c r="DM367" s="189">
        <f>VLOOKUP(H367,'HW Dx Data'!$E:$F,2,FALSE)</f>
        <v>712.42858370229726</v>
      </c>
      <c r="DN367" s="183">
        <f>VLOOKUP(H367,'ECI - Input Price'!$G$17:$H$37,2,FALSE)</f>
        <v>129.5</v>
      </c>
      <c r="DO367" s="177">
        <f t="shared" ref="DO367" si="1032">LN(DN367/DN366)</f>
        <v>2.4229399426835413E-2</v>
      </c>
      <c r="DP367" s="183">
        <f>HLOOKUP(H367,'GDP-PI'!$8:$9,2,FALSE)</f>
        <v>107.751</v>
      </c>
      <c r="DQ367" s="177">
        <f t="shared" ref="DQ367" si="1033">LN(DP367/DP366)</f>
        <v>1.8877588227745139E-2</v>
      </c>
    </row>
    <row r="368" spans="1:121" s="167" customFormat="1" ht="21" x14ac:dyDescent="0.35">
      <c r="A368" s="167" t="s">
        <v>50</v>
      </c>
      <c r="B368" s="168" t="s">
        <v>50</v>
      </c>
      <c r="C368" s="168">
        <v>4059402</v>
      </c>
      <c r="D368" s="168" t="s">
        <v>140</v>
      </c>
      <c r="E368" s="168" t="s">
        <v>126</v>
      </c>
      <c r="F368" s="168"/>
      <c r="G368" s="168" t="s">
        <v>24</v>
      </c>
      <c r="H368" s="169">
        <v>2018</v>
      </c>
      <c r="I368" s="170"/>
      <c r="J368" s="166">
        <f>IFERROR(INDEX('Labor Expenditures'!$F$7:$X$91,MATCH($C368,'Labor Expenditures'!$D$7:$D$91,0),MATCH($G368,'Labor Expenditures'!$F$5:$X$5,0)),"NA")</f>
        <v>25752.298428012698</v>
      </c>
      <c r="K368" s="166">
        <f t="shared" si="988"/>
        <v>193.26302760234671</v>
      </c>
      <c r="L368" s="172">
        <f t="shared" si="995"/>
        <v>-0.18499598234551121</v>
      </c>
      <c r="M368" s="172">
        <f t="shared" si="999"/>
        <v>-1.5158859400061532E-3</v>
      </c>
      <c r="N368" s="196"/>
      <c r="O368" s="172"/>
      <c r="P368" s="166">
        <f>IFERROR(INDEX('Non-Labor Expenditures'!$F$7:$AB$91,MATCH($C368,'Non-Labor Expenditures'!$D$7:$D$91,0),MATCH($G368,'Non-Labor Expenditures'!$F$5:$AB$5,0)),"NA")</f>
        <v>37294.137989638271</v>
      </c>
      <c r="Q368" s="166">
        <f t="shared" si="989"/>
        <v>338.04805922334867</v>
      </c>
      <c r="R368" s="172">
        <f t="shared" si="1000"/>
        <v>-0.18003015315565829</v>
      </c>
      <c r="S368" s="172">
        <f t="shared" si="1005"/>
        <v>-1.4751951609204158E-3</v>
      </c>
      <c r="T368" s="172"/>
      <c r="U368" s="172"/>
      <c r="V368" s="166">
        <f t="shared" si="970"/>
        <v>42511.357377377666</v>
      </c>
      <c r="W368" s="170"/>
      <c r="X368" s="174">
        <v>2149.4580070445463</v>
      </c>
      <c r="Y368" s="175">
        <v>1.8116178731206179E-2</v>
      </c>
      <c r="Z368" s="175">
        <f t="shared" si="1006"/>
        <v>1.4844679477408286E-4</v>
      </c>
      <c r="AA368" s="175"/>
      <c r="AB368" s="175"/>
      <c r="AC368" s="170">
        <f t="shared" si="882"/>
        <v>105557.79379502864</v>
      </c>
      <c r="AD368" s="175">
        <f t="shared" si="1001"/>
        <v>-7.4194764464056123E-2</v>
      </c>
      <c r="AE368" s="170"/>
      <c r="AF368" s="170"/>
      <c r="AG368" s="121">
        <f t="shared" si="1002"/>
        <v>592.52864918510818</v>
      </c>
      <c r="AH368" s="119">
        <f>+AZ368/$BB$56</f>
        <v>4.7041729849581493E-3</v>
      </c>
      <c r="AI368" s="119">
        <f>+AZ368/$BC$57</f>
        <v>1.987451526388833E-2</v>
      </c>
      <c r="AJ368" s="176">
        <f t="shared" si="1007"/>
        <v>2.7873572643103306</v>
      </c>
      <c r="AK368" s="176">
        <f t="shared" si="1008"/>
        <v>11.776219682520566</v>
      </c>
      <c r="AL368" s="120">
        <f t="shared" si="990"/>
        <v>0.24396396989897615</v>
      </c>
      <c r="AM368" s="120">
        <f t="shared" si="991"/>
        <v>0.35330539459791815</v>
      </c>
      <c r="AN368" s="120">
        <f t="shared" si="992"/>
        <v>0.40273063550310562</v>
      </c>
      <c r="AO368" s="120">
        <f t="shared" si="996"/>
        <v>-0.10656706130625446</v>
      </c>
      <c r="AP368" s="173">
        <f t="shared" si="1012"/>
        <v>123.94620158864224</v>
      </c>
      <c r="AQ368" s="175">
        <f t="shared" si="1013"/>
        <v>-0.10656706130625442</v>
      </c>
      <c r="AR368" s="177">
        <f>+AC368/$AE$56</f>
        <v>8.1941560069936029E-3</v>
      </c>
      <c r="AS368" s="177">
        <f t="shared" si="1009"/>
        <v>-8.7322712555030016E-4</v>
      </c>
      <c r="AT368" s="177"/>
      <c r="AU368" s="177"/>
      <c r="AV368" s="177"/>
      <c r="AW368" s="190"/>
      <c r="AX368" s="120"/>
      <c r="AY368" s="120"/>
      <c r="AZ368" s="118">
        <f>IFERROR(INDEX('Total Customers'!$F$7:$AB$91,MATCH($C368,'Total Customers'!$D$7:$D$91,0),MATCH($G368,'Total Customers'!$F$5:$AB$5,0)),"NA")</f>
        <v>178148</v>
      </c>
      <c r="BA368" s="119">
        <f t="shared" si="971"/>
        <v>1.0541025520514204E-2</v>
      </c>
      <c r="BB368" s="119"/>
      <c r="BC368" s="121">
        <v>8911356</v>
      </c>
      <c r="BD368" s="119"/>
      <c r="BE368" s="119"/>
      <c r="BF368" s="119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18"/>
      <c r="BR368" s="118"/>
      <c r="BS368" s="118">
        <f>INDEX('Dist. Plant Gas Additions'!$F$7:$AE$91,MATCH($C368,'Dist. Plant Gas Additions'!$D$7:$D$91,0),MATCH(Calculation!$G368,'Dist. Plant Gas Additions'!$F$5:$AE$5,0))</f>
        <v>41115</v>
      </c>
      <c r="BT368" s="118">
        <f>INDEX('Gen. Plant Additions'!$F$7:$AE$91,MATCH($C368,'Gen. Plant Additions'!$D$7:$D$91,0),MATCH(Calculation!$G368,'Gen. Plant Additions'!$F$5:$AE$5,0))</f>
        <v>2894</v>
      </c>
      <c r="BU368" s="118"/>
      <c r="BV368" s="118"/>
      <c r="BW368" s="118">
        <f>INDEX('Dist Plant Depreciation'!$E$7:$AD$94,MATCH($C368,'Dist Plant Depreciation'!$D$7:$D$94,0),MATCH(Calculation!$G368,'Dist Plant Depreciation'!$E$5:$AD$5,0))</f>
        <v>460098</v>
      </c>
      <c r="BX368" s="118">
        <f>INDEX('Gen. Plant Depreciation'!$E$7:$AD$94,MATCH($C368,'Gen. Plant Depreciation'!$D$7:$D$94,0),MATCH(Calculation!$G368,'Gen. Plant Depreciation'!$E$5:$AD$5,0))</f>
        <v>23909</v>
      </c>
      <c r="BY368" s="118"/>
      <c r="BZ368" s="118"/>
      <c r="CA368" s="118"/>
      <c r="CB368" s="118"/>
      <c r="CC368" s="118"/>
      <c r="CD368" s="118"/>
      <c r="CE368" s="118">
        <f>INDEX('Gross Dx Plant'!$E$7:$AD$91,MATCH($C368,'Gross Dx Plant'!$D$7:$D$91,0),MATCH(Calculation!$G368,'Gross Dx Plant'!$E$5:$AD$5,0))</f>
        <v>845009</v>
      </c>
      <c r="CF368" s="118">
        <f>INDEX('Gross Gen Plant'!$E$7:$AD$91,MATCH($C368,'Gross Gen Plant'!$D$7:$D$91,0),MATCH(Calculation!$G368,'Gross Gen Plant'!$E$5:$AD$5,0))</f>
        <v>57088</v>
      </c>
      <c r="CG368" s="118">
        <f t="shared" si="969"/>
        <v>418090</v>
      </c>
      <c r="CH368" s="118"/>
      <c r="CI368" s="121">
        <v>2018</v>
      </c>
      <c r="CJ368" s="118"/>
      <c r="CK368" s="118"/>
      <c r="CL368" s="118"/>
      <c r="CM368" s="183"/>
      <c r="CN368" s="118">
        <f t="shared" si="972"/>
        <v>44009</v>
      </c>
      <c r="CO368" s="118">
        <f t="shared" si="973"/>
        <v>58.279513052629923</v>
      </c>
      <c r="CP368" s="186">
        <v>0.86111111111111116</v>
      </c>
      <c r="CQ368" s="118">
        <f>+CQ348*CP368++CO349*CP367+CO350*CP366+CO351*CP365+CO352*CP364+CO353*CP363+CO354*CP362+CO355*CP361+CO356*CP360+CO357*CP359+CO358*CP358+CO359*CP357+CO360*CP356+CO361*CP355+CO362*CP354+CO363*CP353+CO364*CP352+CO365*CP351+CO366*CP350+CO367*CP349+CO368</f>
        <v>2149.4580070445463</v>
      </c>
      <c r="CR368" s="119">
        <f t="shared" si="974"/>
        <v>1.8116178731206179E-2</v>
      </c>
      <c r="CS368" s="119"/>
      <c r="CT368" s="177">
        <f t="shared" si="975"/>
        <v>9.3279840016742398E-3</v>
      </c>
      <c r="CU368" s="177">
        <f t="shared" si="983"/>
        <v>9.0245454523105867E-3</v>
      </c>
      <c r="CV368" s="119">
        <f>VLOOKUP($H368,RoR!$E:$F,2,FALSE)</f>
        <v>3.9299999999999995E-2</v>
      </c>
      <c r="CW368" s="177">
        <v>2.386056741932796E-2</v>
      </c>
      <c r="CX368" s="177">
        <f t="shared" si="981"/>
        <v>1.5439432580672034E-2</v>
      </c>
      <c r="CY368" s="177">
        <f t="shared" si="984"/>
        <v>2.1877396156223038E-2</v>
      </c>
      <c r="CZ368" s="177">
        <f t="shared" si="985"/>
        <v>3.8270792163076606E-2</v>
      </c>
      <c r="DA368" s="187">
        <f t="shared" si="976"/>
        <v>0.90175000000000005</v>
      </c>
      <c r="DB368" s="188">
        <f t="shared" si="977"/>
        <v>1.3048868010700074</v>
      </c>
      <c r="DC368" s="188">
        <f t="shared" si="978"/>
        <v>0.33886768447837151</v>
      </c>
      <c r="DD368" s="188">
        <f t="shared" si="979"/>
        <v>0.78602506232557801</v>
      </c>
      <c r="DE368" s="188">
        <f t="shared" si="980"/>
        <v>0.34756768162358759</v>
      </c>
      <c r="DF368" s="189">
        <f>INDEX('State Tax Lookup'!$D$7:$Z$91,MATCH(Calculation!$C368,'State Tax Lookup'!$B$7:$B$91,0),MATCH($H368,'State Tax Lookup'!$D$6:$Z$6,0))</f>
        <v>0.26200000000000001</v>
      </c>
      <c r="DG368" s="189">
        <v>0.375</v>
      </c>
      <c r="DH368" s="190">
        <f t="shared" si="982"/>
        <v>20.139271820588466</v>
      </c>
      <c r="DI368" s="190">
        <v>19.750302605618334</v>
      </c>
      <c r="DJ368" s="177"/>
      <c r="DK368" s="189">
        <f>VLOOKUP($H368,RoR!$E:$F,2,FALSE)</f>
        <v>3.9299999999999995E-2</v>
      </c>
      <c r="DL368" s="191">
        <f>HLOOKUP($H368,'GDP-PI'!$D$8:$CQ$11,3,FALSE)</f>
        <v>2.386056741932796E-2</v>
      </c>
      <c r="DM368" s="189">
        <f>VLOOKUP(H368,'HW Dx Data'!$E:$F,2,FALSE)</f>
        <v>755.13671434174842</v>
      </c>
      <c r="DN368" s="183">
        <f>VLOOKUP(H368,'ECI - Input Price'!$G$17:$H$37,2,FALSE)</f>
        <v>133.25</v>
      </c>
      <c r="DO368" s="177">
        <f t="shared" ref="DO368" si="1034">LN(DN368/DN367)</f>
        <v>2.8546181906361531E-2</v>
      </c>
      <c r="DP368" s="183">
        <f>HLOOKUP(H368,'GDP-PI'!$8:$9,2,FALSE)</f>
        <v>110.322</v>
      </c>
      <c r="DQ368" s="177">
        <f t="shared" ref="DQ368" si="1035">LN(DP368/DP367)</f>
        <v>2.3580352716508712E-2</v>
      </c>
    </row>
    <row r="369" spans="1:121" s="167" customFormat="1" ht="21" x14ac:dyDescent="0.35">
      <c r="A369" s="167" t="s">
        <v>50</v>
      </c>
      <c r="B369" s="168" t="s">
        <v>50</v>
      </c>
      <c r="C369" s="168">
        <v>4059402</v>
      </c>
      <c r="D369" s="168" t="s">
        <v>140</v>
      </c>
      <c r="E369" s="168" t="s">
        <v>126</v>
      </c>
      <c r="F369" s="168"/>
      <c r="G369" s="168" t="s">
        <v>25</v>
      </c>
      <c r="H369" s="169">
        <v>2019</v>
      </c>
      <c r="I369" s="170"/>
      <c r="J369" s="166">
        <v>25752</v>
      </c>
      <c r="K369" s="166">
        <f t="shared" si="988"/>
        <v>188.17683595177203</v>
      </c>
      <c r="L369" s="172">
        <f t="shared" si="995"/>
        <v>-2.6669960910893301E-2</v>
      </c>
      <c r="M369" s="172">
        <f t="shared" si="999"/>
        <v>-2.1428140450492533E-4</v>
      </c>
      <c r="N369" s="196"/>
      <c r="O369" s="172"/>
      <c r="P369" s="166">
        <v>37294</v>
      </c>
      <c r="Q369" s="166">
        <f t="shared" si="989"/>
        <v>332.03938816574367</v>
      </c>
      <c r="R369" s="172">
        <f t="shared" si="1000"/>
        <v>-1.7934471493848102E-2</v>
      </c>
      <c r="S369" s="172">
        <f t="shared" si="1005"/>
        <v>-1.4409558955092585E-4</v>
      </c>
      <c r="T369" s="172"/>
      <c r="U369" s="172"/>
      <c r="V369" s="166">
        <f t="shared" si="970"/>
        <v>43695.036396684889</v>
      </c>
      <c r="W369" s="170"/>
      <c r="X369" s="174">
        <v>2193.3639888487255</v>
      </c>
      <c r="Y369" s="175">
        <v>2.0220712637306067E-2</v>
      </c>
      <c r="Z369" s="175">
        <f t="shared" si="1006"/>
        <v>1.6246453148128395E-4</v>
      </c>
      <c r="AA369" s="175"/>
      <c r="AB369" s="175"/>
      <c r="AC369" s="170">
        <f t="shared" si="882"/>
        <v>106741.03639668488</v>
      </c>
      <c r="AD369" s="175">
        <f t="shared" si="1001"/>
        <v>1.1147068994757875E-2</v>
      </c>
      <c r="AE369" s="170"/>
      <c r="AF369" s="170"/>
      <c r="AG369" s="121">
        <f t="shared" si="1002"/>
        <v>593.60265821011615</v>
      </c>
      <c r="AH369" s="119">
        <f>+AZ369/$BB$57</f>
        <v>4.7094502866070788E-3</v>
      </c>
      <c r="AI369" s="119">
        <f>+AZ369/$BC$58</f>
        <v>1.9847019707619613E-2</v>
      </c>
      <c r="AJ369" s="176">
        <f t="shared" si="1007"/>
        <v>2.7955422088383552</v>
      </c>
      <c r="AK369" s="176">
        <f t="shared" si="1008"/>
        <v>11.781243655991565</v>
      </c>
      <c r="AL369" s="120">
        <f t="shared" si="990"/>
        <v>0.24125679185179613</v>
      </c>
      <c r="AM369" s="120">
        <f t="shared" si="991"/>
        <v>0.34938765126284893</v>
      </c>
      <c r="AN369" s="120">
        <f t="shared" si="992"/>
        <v>0.40935555688535502</v>
      </c>
      <c r="AO369" s="120">
        <f t="shared" si="996"/>
        <v>-4.5611428079755413E-3</v>
      </c>
      <c r="AP369" s="173">
        <f t="shared" si="1012"/>
        <v>123.38215259457036</v>
      </c>
      <c r="AQ369" s="175">
        <f t="shared" si="1013"/>
        <v>-4.5611428079755942E-3</v>
      </c>
      <c r="AR369" s="177">
        <f>+AC369/$AE$57</f>
        <v>8.0345601263105883E-3</v>
      </c>
      <c r="AS369" s="177">
        <f t="shared" si="1009"/>
        <v>-3.6646776135369022E-5</v>
      </c>
      <c r="AT369" s="177"/>
      <c r="AU369" s="177"/>
      <c r="AV369" s="177"/>
      <c r="AW369" s="190"/>
      <c r="AX369" s="120"/>
      <c r="AY369" s="120"/>
      <c r="AZ369" s="118">
        <f>IFERROR(INDEX('Total Customers'!$F$7:$AB$91,MATCH($C369,'Total Customers'!$D$7:$D$91,0),MATCH($G369,'Total Customers'!$F$5:$AB$5,0)),"NA")</f>
        <v>179819</v>
      </c>
      <c r="BA369" s="119">
        <f t="shared" si="971"/>
        <v>9.336123930191096E-3</v>
      </c>
      <c r="BB369" s="119"/>
      <c r="BC369" s="121">
        <v>8963640</v>
      </c>
      <c r="BD369" s="119"/>
      <c r="BE369" s="119"/>
      <c r="BF369" s="119"/>
      <c r="BG369" s="173"/>
      <c r="BH369" s="173"/>
      <c r="BI369" s="173"/>
      <c r="BJ369" s="173"/>
      <c r="BK369" s="173"/>
      <c r="BL369" s="173"/>
      <c r="BM369" s="173"/>
      <c r="BN369" s="173"/>
      <c r="BO369" s="173"/>
      <c r="BP369" s="173"/>
      <c r="BQ369" s="118"/>
      <c r="BR369" s="118"/>
      <c r="BS369" s="118">
        <f>INDEX('Dist. Plant Gas Additions'!$F$7:$AE$91,MATCH($C369,'Dist. Plant Gas Additions'!$D$7:$D$91,0),MATCH(Calculation!$G369,'Dist. Plant Gas Additions'!$F$5:$AE$5,0))</f>
        <v>43649</v>
      </c>
      <c r="BT369" s="118">
        <f>INDEX('Gen. Plant Additions'!$F$7:$AE$91,MATCH($C369,'Gen. Plant Additions'!$D$7:$D$91,0),MATCH(Calculation!$G369,'Gen. Plant Additions'!$F$5:$AE$5,0))</f>
        <v>6384</v>
      </c>
      <c r="BU369" s="118"/>
      <c r="BV369" s="118"/>
      <c r="BW369" s="118">
        <f>INDEX('Dist Plant Depreciation'!$E$7:$AD$94,MATCH($C369,'Dist Plant Depreciation'!$D$7:$D$94,0),MATCH(Calculation!$G369,'Dist Plant Depreciation'!$E$5:$AD$5,0))</f>
        <v>486016</v>
      </c>
      <c r="BX369" s="118">
        <f>INDEX('Gen. Plant Depreciation'!$E$7:$AD$94,MATCH($C369,'Gen. Plant Depreciation'!$D$7:$D$94,0),MATCH(Calculation!$G369,'Gen. Plant Depreciation'!$E$5:$AD$5,0))</f>
        <v>24618</v>
      </c>
      <c r="BY369" s="118"/>
      <c r="BZ369" s="118"/>
      <c r="CA369" s="118"/>
      <c r="CB369" s="118"/>
      <c r="CC369" s="118"/>
      <c r="CD369" s="118"/>
      <c r="CE369" s="118">
        <f>INDEX('Gross Dx Plant'!$E$7:$AD$91,MATCH($C369,'Gross Dx Plant'!$D$7:$D$91,0),MATCH(Calculation!$G369,'Gross Dx Plant'!$E$5:$AD$5,0))</f>
        <v>885459</v>
      </c>
      <c r="CF369" s="118">
        <f>INDEX('Gross Gen Plant'!$E$7:$AD$91,MATCH($C369,'Gross Gen Plant'!$D$7:$D$91,0),MATCH(Calculation!$G369,'Gross Gen Plant'!$E$5:$AD$5,0))</f>
        <v>61263</v>
      </c>
      <c r="CG369" s="118">
        <f t="shared" si="969"/>
        <v>436088</v>
      </c>
      <c r="CH369" s="118"/>
      <c r="CI369" s="121">
        <v>2019</v>
      </c>
      <c r="CJ369" s="118"/>
      <c r="CK369" s="118"/>
      <c r="CL369" s="118"/>
      <c r="CM369" s="183"/>
      <c r="CN369" s="118">
        <f t="shared" si="972"/>
        <v>50033</v>
      </c>
      <c r="CO369" s="118">
        <f t="shared" si="973"/>
        <v>64.68061820941962</v>
      </c>
      <c r="CP369" s="186">
        <v>0.85106382978723405</v>
      </c>
      <c r="CQ369" s="118">
        <f>CQ348*CP369+CO349*CP368+CO350*CP367+CO351*CP366+CO352*CP365+CO353*CP364+CO354*CP363+CO355*CP362+CO356*CP361+CO357*CP360+CO358*CP359+CO359*CP358+CO360*CP357+CO361*CP356+CO362*CP355+CO363*CP354+CO364*CP353+CO365*CP352+CO366*CP351+CO367*CP350+CO368*CP349+CO369</f>
        <v>2193.3639888487255</v>
      </c>
      <c r="CR369" s="119">
        <f t="shared" si="974"/>
        <v>2.0220712637306067E-2</v>
      </c>
      <c r="CS369" s="119"/>
      <c r="CT369" s="177">
        <f t="shared" si="975"/>
        <v>9.6650580458676003E-3</v>
      </c>
      <c r="CU369" s="177">
        <f t="shared" si="983"/>
        <v>9.3317616360139057E-3</v>
      </c>
      <c r="CV369" s="119">
        <f>VLOOKUP($H369,RoR!$E:$F,2,FALSE)</f>
        <v>3.3875000000000009E-2</v>
      </c>
      <c r="CW369" s="177">
        <v>1.8092492884465461E-2</v>
      </c>
      <c r="CX369" s="177">
        <f t="shared" si="981"/>
        <v>1.5782507115534548E-2</v>
      </c>
      <c r="CY369" s="177">
        <f t="shared" si="984"/>
        <v>2.1570179972519719E-2</v>
      </c>
      <c r="CZ369" s="177">
        <f t="shared" si="985"/>
        <v>4.8445665544254078E-2</v>
      </c>
      <c r="DA369" s="187">
        <f t="shared" si="976"/>
        <v>0.90175000000000005</v>
      </c>
      <c r="DB369" s="188">
        <f t="shared" si="977"/>
        <v>1.513861292459078</v>
      </c>
      <c r="DC369" s="188">
        <f t="shared" si="978"/>
        <v>0.23699261992619944</v>
      </c>
      <c r="DD369" s="188">
        <f t="shared" si="979"/>
        <v>0.73619765810468829</v>
      </c>
      <c r="DE369" s="188">
        <f t="shared" si="980"/>
        <v>0.26412854465362851</v>
      </c>
      <c r="DF369" s="189">
        <f>INDEX('State Tax Lookup'!$D$7:$Z$91,MATCH(Calculation!$C369,'State Tax Lookup'!$B$7:$B$91,0),MATCH($H369,'State Tax Lookup'!$D$6:$Z$6,0))</f>
        <v>0.26200000000000001</v>
      </c>
      <c r="DG369" s="189">
        <v>0.375</v>
      </c>
      <c r="DH369" s="190">
        <f t="shared" si="982"/>
        <v>20.32839732317661</v>
      </c>
      <c r="DI369" s="190">
        <v>19.913652980151117</v>
      </c>
      <c r="DJ369" s="177"/>
      <c r="DK369" s="189">
        <f>VLOOKUP($H369,RoR!$E:$F,2,FALSE)</f>
        <v>3.3875000000000009E-2</v>
      </c>
      <c r="DL369" s="191">
        <f>HLOOKUP($H369,'GDP-PI'!$D$8:$CQ$11,3,FALSE)</f>
        <v>1.8092492884465461E-2</v>
      </c>
      <c r="DM369" s="189">
        <f>VLOOKUP(H369,'HW Dx Data'!$E:$F,2,FALSE)</f>
        <v>773.53929793938721</v>
      </c>
      <c r="DN369" s="183">
        <f>VLOOKUP(H369,'ECI - Input Price'!$G$17:$H$37,2,FALSE)</f>
        <v>136.85</v>
      </c>
      <c r="DO369" s="177">
        <f t="shared" ref="DO369" si="1036">LN(DN369/DN368)</f>
        <v>2.6658372440734168E-2</v>
      </c>
      <c r="DP369" s="183">
        <f>HLOOKUP(H369,'GDP-PI'!$8:$9,2,FALSE)</f>
        <v>112.318</v>
      </c>
      <c r="DQ369" s="177">
        <f t="shared" ref="DQ369" si="1037">LN(DP369/DP368)</f>
        <v>1.7930771451401852E-2</v>
      </c>
    </row>
    <row r="370" spans="1:121" s="167" customFormat="1" ht="21" x14ac:dyDescent="0.35">
      <c r="A370" s="167" t="s">
        <v>50</v>
      </c>
      <c r="B370" s="167" t="s">
        <v>50</v>
      </c>
      <c r="C370" s="167">
        <v>4059402</v>
      </c>
      <c r="D370" s="167" t="s">
        <v>140</v>
      </c>
      <c r="E370" s="167" t="s">
        <v>126</v>
      </c>
      <c r="G370" s="168" t="s">
        <v>26</v>
      </c>
      <c r="H370" s="169">
        <v>2020</v>
      </c>
      <c r="I370" s="170"/>
      <c r="J370" s="166">
        <v>25752</v>
      </c>
      <c r="K370" s="166">
        <f t="shared" si="988"/>
        <v>183.35350658597366</v>
      </c>
      <c r="L370" s="172">
        <f t="shared" si="995"/>
        <v>-2.5966118063564723E-2</v>
      </c>
      <c r="M370" s="172">
        <f t="shared" si="999"/>
        <v>-2.0701795473056684E-4</v>
      </c>
      <c r="N370" s="196"/>
      <c r="O370" s="172"/>
      <c r="P370" s="166">
        <v>37294</v>
      </c>
      <c r="Q370" s="166">
        <f t="shared" si="989"/>
        <v>328.22579935400404</v>
      </c>
      <c r="R370" s="172">
        <f t="shared" si="1000"/>
        <v>-1.1551816731392739E-2</v>
      </c>
      <c r="S370" s="172">
        <f t="shared" si="1005"/>
        <v>-9.2098228441427719E-5</v>
      </c>
      <c r="T370" s="172"/>
      <c r="U370" s="172"/>
      <c r="V370" s="166">
        <f t="shared" si="970"/>
        <v>46152.319178306738</v>
      </c>
      <c r="W370" s="170"/>
      <c r="X370" s="174">
        <v>2222.8327558543551</v>
      </c>
      <c r="Y370" s="175">
        <v>1.3345965367878399E-2</v>
      </c>
      <c r="Z370" s="175">
        <f t="shared" si="1006"/>
        <v>1.0640229115494781E-4</v>
      </c>
      <c r="AA370" s="175"/>
      <c r="AB370" s="175"/>
      <c r="AC370" s="170">
        <f t="shared" si="882"/>
        <v>109198.31917830673</v>
      </c>
      <c r="AD370" s="175">
        <f t="shared" si="1001"/>
        <v>2.2759990650025205E-2</v>
      </c>
      <c r="AE370" s="170"/>
      <c r="AF370" s="170"/>
      <c r="AG370" s="121">
        <f t="shared" si="1002"/>
        <v>598.25516730751849</v>
      </c>
      <c r="AH370" s="119">
        <f>+AZ370/$BB$58</f>
        <v>4.7467896859683225E-3</v>
      </c>
      <c r="AI370" s="119">
        <f>+AZ370/$BC$59</f>
        <v>2.0027032895582123E-2</v>
      </c>
      <c r="AJ370" s="176">
        <f t="shared" si="1007"/>
        <v>2.839791457752582</v>
      </c>
      <c r="AK370" s="176">
        <f t="shared" si="1008"/>
        <v>11.981275915619658</v>
      </c>
      <c r="AL370" s="120">
        <f t="shared" si="990"/>
        <v>0.23582780571878872</v>
      </c>
      <c r="AM370" s="120">
        <f t="shared" si="991"/>
        <v>0.34152540332698456</v>
      </c>
      <c r="AN370" s="120">
        <f t="shared" si="992"/>
        <v>0.4226467909542268</v>
      </c>
      <c r="AO370" s="120">
        <f t="shared" si="996"/>
        <v>-4.6327307252569993E-3</v>
      </c>
      <c r="AP370" s="173">
        <f t="shared" si="1012"/>
        <v>122.81187828889045</v>
      </c>
      <c r="AQ370" s="175">
        <f t="shared" si="1013"/>
        <v>-4.6327307252571476E-3</v>
      </c>
      <c r="AR370" s="177">
        <f>+AC370/$AE$58</f>
        <v>7.9726185571439498E-3</v>
      </c>
      <c r="AS370" s="177">
        <f t="shared" si="1009"/>
        <v>-3.6934994950436081E-5</v>
      </c>
      <c r="AT370" s="177"/>
      <c r="AU370" s="177"/>
      <c r="AV370" s="177"/>
      <c r="AW370" s="190"/>
      <c r="AX370" s="120"/>
      <c r="AY370" s="120"/>
      <c r="AZ370" s="118">
        <f>IFERROR(INDEX('Total Customers'!$F$7:$AB$91,MATCH($C370,'Total Customers'!$D$7:$D$91,0),MATCH($G370,'Total Customers'!$F$5:$AB$5,0)),"NA")</f>
        <v>182528</v>
      </c>
      <c r="BA370" s="119">
        <f t="shared" si="971"/>
        <v>1.4952796487229704E-2</v>
      </c>
      <c r="BB370" s="119"/>
      <c r="BC370" s="121">
        <v>9060252</v>
      </c>
      <c r="BD370" s="119"/>
      <c r="BE370" s="119"/>
      <c r="BF370" s="119"/>
      <c r="BG370" s="173"/>
      <c r="BH370" s="173"/>
      <c r="BI370" s="173"/>
      <c r="BJ370" s="173"/>
      <c r="BK370" s="173"/>
      <c r="BL370" s="173"/>
      <c r="BM370" s="173"/>
      <c r="BN370" s="173"/>
      <c r="BO370" s="173"/>
      <c r="BP370" s="173"/>
      <c r="BQ370" s="118"/>
      <c r="BR370" s="118"/>
      <c r="BS370" s="118">
        <f>INDEX('Dist. Plant Gas Additions'!$F$7:$AE$91,MATCH($C370,'Dist. Plant Gas Additions'!$D$7:$D$91,0),MATCH(Calculation!$G370,'Dist. Plant Gas Additions'!$F$5:$AE$5,0))</f>
        <v>38432</v>
      </c>
      <c r="BT370" s="118">
        <f>INDEX('Gen. Plant Additions'!$F$7:$AE$91,MATCH($C370,'Gen. Plant Additions'!$D$7:$D$91,0),MATCH(Calculation!$G370,'Gen. Plant Additions'!$F$5:$AE$5,0))</f>
        <v>3375</v>
      </c>
      <c r="BU370" s="118"/>
      <c r="BV370" s="118"/>
      <c r="BW370" s="118">
        <f>INDEX('Dist Plant Depreciation'!$E$7:$AD$94,MATCH($C370,'Dist Plant Depreciation'!$D$7:$D$94,0),MATCH(Calculation!$G370,'Dist Plant Depreciation'!$E$5:$AD$5,0))</f>
        <v>505292</v>
      </c>
      <c r="BX370" s="118">
        <f>INDEX('Gen. Plant Depreciation'!$E$7:$AD$94,MATCH($C370,'Gen. Plant Depreciation'!$D$7:$D$94,0),MATCH(Calculation!$G370,'Gen. Plant Depreciation'!$E$5:$AD$5,0))</f>
        <v>27537</v>
      </c>
      <c r="BY370" s="118"/>
      <c r="BZ370" s="118"/>
      <c r="CA370" s="118"/>
      <c r="CB370" s="118"/>
      <c r="CC370" s="118"/>
      <c r="CD370" s="118"/>
      <c r="CE370" s="118">
        <f>INDEX('Gross Dx Plant'!$E$7:$AD$91,MATCH($C370,'Gross Dx Plant'!$D$7:$D$91,0),MATCH(Calculation!$G370,'Gross Dx Plant'!$E$5:$AD$5,0))</f>
        <v>911424</v>
      </c>
      <c r="CF370" s="118">
        <f>INDEX('Gross Gen Plant'!$E$7:$AD$91,MATCH($C370,'Gross Gen Plant'!$D$7:$D$91,0),MATCH(Calculation!$G370,'Gross Gen Plant'!$E$5:$AD$5,0))</f>
        <v>64136</v>
      </c>
      <c r="CG370" s="118">
        <f t="shared" si="969"/>
        <v>442731</v>
      </c>
      <c r="CH370" s="118"/>
      <c r="CI370" s="121">
        <v>2020</v>
      </c>
      <c r="CJ370" s="118"/>
      <c r="CK370" s="118"/>
      <c r="CL370" s="118"/>
      <c r="CM370" s="183"/>
      <c r="CN370" s="118">
        <f t="shared" si="972"/>
        <v>41807</v>
      </c>
      <c r="CO370" s="118">
        <f t="shared" si="973"/>
        <v>51.418054369413703</v>
      </c>
      <c r="CP370" s="186">
        <v>0.84057971014492749</v>
      </c>
      <c r="CQ370" s="118">
        <f>CQ348*CP370+CO349*CP369+CO350*CP368+CO351*CP367+CO352*CP366+CO353*CP365+CO354*CP364+CO355*CP363+CO356*CP362+CO357*CP361+CO358*CP360+CO359*CP359+CO360*CP358+CO361*CP357+CO362*CP356+CO363*CP355+CO364*CP354+CO365*CP353+CO366*CP352+CO367*CP351+CO368*CP350+CO369*CP349+CO370</f>
        <v>2222.8327558543551</v>
      </c>
      <c r="CR370" s="119">
        <f t="shared" si="974"/>
        <v>1.3345965367878399E-2</v>
      </c>
      <c r="CS370" s="119"/>
      <c r="CT370" s="177">
        <f t="shared" si="975"/>
        <v>1.0007134007568459E-2</v>
      </c>
      <c r="CU370" s="177">
        <f t="shared" si="983"/>
        <v>9.666725351703433E-3</v>
      </c>
      <c r="CV370" s="119">
        <f>VLOOKUP($H370,RoR!$E:$F,2,FALSE)</f>
        <v>2.4766666666666666E-2</v>
      </c>
      <c r="CW370" s="177">
        <v>1.1618796630994188E-2</v>
      </c>
      <c r="CX370" s="177">
        <f t="shared" si="981"/>
        <v>1.3147870035672478E-2</v>
      </c>
      <c r="CY370" s="177">
        <f t="shared" si="984"/>
        <v>2.123521625683019E-2</v>
      </c>
      <c r="CZ370" s="177">
        <f t="shared" si="985"/>
        <v>4.5144642961987357E-2</v>
      </c>
      <c r="DA370" s="187">
        <f t="shared" si="976"/>
        <v>0.90175000000000005</v>
      </c>
      <c r="DB370" s="188">
        <f t="shared" si="977"/>
        <v>2.0706077233668081</v>
      </c>
      <c r="DC370" s="188">
        <f t="shared" si="978"/>
        <v>-3.4421265141318998E-2</v>
      </c>
      <c r="DD370" s="188">
        <f t="shared" si="979"/>
        <v>0.62416226176410472</v>
      </c>
      <c r="DE370" s="188">
        <f t="shared" si="980"/>
        <v>-4.4485877841158712E-2</v>
      </c>
      <c r="DF370" s="189">
        <f>INDEX('State Tax Lookup'!$D$7:$Z$91,MATCH(Calculation!$C370,'State Tax Lookup'!$B$7:$B$91,0),MATCH($H370,'State Tax Lookup'!$D$6:$Z$6,0))</f>
        <v>0.26200000000000001</v>
      </c>
      <c r="DG370" s="189">
        <v>0.375</v>
      </c>
      <c r="DH370" s="190">
        <f t="shared" si="982"/>
        <v>21.041796716345115</v>
      </c>
      <c r="DI370" s="190">
        <v>20.638245509362502</v>
      </c>
      <c r="DJ370" s="177"/>
      <c r="DK370" s="189">
        <f>VLOOKUP($H370,RoR!$E:$F,2,FALSE)</f>
        <v>2.4766666666666666E-2</v>
      </c>
      <c r="DL370" s="191">
        <f>HLOOKUP($H370,'GDP-PI'!$D$8:$CQ$11,3,FALSE)</f>
        <v>1.1618796630994188E-2</v>
      </c>
      <c r="DM370" s="189">
        <f>VLOOKUP(H370,'HW Dx Data'!$E:$F,2,FALSE)</f>
        <v>813.080162458833</v>
      </c>
      <c r="DN370" s="183">
        <f>VLOOKUP(H370,'ECI - Input Price'!$G$17:$H$37,2,FALSE)</f>
        <v>140.44999999999999</v>
      </c>
      <c r="DO370" s="177">
        <f t="shared" ref="DO370" si="1038">LN(DN370/DN369)</f>
        <v>2.5966118063564539E-2</v>
      </c>
      <c r="DP370" s="183">
        <f>HLOOKUP(H370,'GDP-PI'!$8:$9,2,FALSE)</f>
        <v>113.623</v>
      </c>
      <c r="DQ370" s="177">
        <f t="shared" ref="DQ370" si="1039">LN(DP370/DP369)</f>
        <v>1.1551816731392881E-2</v>
      </c>
    </row>
    <row r="371" spans="1:121" s="167" customFormat="1" ht="21" x14ac:dyDescent="0.35">
      <c r="A371" s="167" t="s">
        <v>50</v>
      </c>
      <c r="B371" s="167" t="s">
        <v>50</v>
      </c>
      <c r="C371" s="167">
        <v>4059402</v>
      </c>
      <c r="D371" s="167" t="s">
        <v>140</v>
      </c>
      <c r="E371" s="167" t="s">
        <v>126</v>
      </c>
      <c r="G371" s="168" t="s">
        <v>462</v>
      </c>
      <c r="H371" s="169">
        <v>2021</v>
      </c>
      <c r="I371" s="170"/>
      <c r="J371" s="166">
        <f>IFERROR(INDEX('Labor Expenditures'!$E$7:$X$91,MATCH($C371,'Labor Expenditures'!$D$7:$D$91,0),MATCH($G371,'Labor Expenditures'!$E$5:$X$5,0)),"NA")</f>
        <v>28913.812754069393</v>
      </c>
      <c r="K371" s="166">
        <f t="shared" si="988"/>
        <v>198.75451283086019</v>
      </c>
      <c r="L371" s="171">
        <f t="shared" si="995"/>
        <v>8.065443991549201E-2</v>
      </c>
      <c r="M371" s="172">
        <f t="shared" si="999"/>
        <v>6.6562361603158138E-4</v>
      </c>
      <c r="N371" s="196"/>
      <c r="O371" s="172"/>
      <c r="P371" s="166">
        <f>IFERROR(INDEX('Non-Labor Expenditures'!$E$7:$AB$91,MATCH($C371,'Non-Labor Expenditures'!$D$7:$D$91,0),MATCH($G371,'Non-Labor Expenditures'!$E$5:$AB$5,0)),"NA")</f>
        <v>40758.0252075436</v>
      </c>
      <c r="Q371" s="166">
        <f t="shared" si="989"/>
        <v>343.97860754108871</v>
      </c>
      <c r="R371" s="172">
        <f t="shared" si="1000"/>
        <v>4.6877683857642211E-2</v>
      </c>
      <c r="S371" s="172">
        <f t="shared" si="1005"/>
        <v>3.868713671956909E-4</v>
      </c>
      <c r="T371" s="172"/>
      <c r="U371" s="172"/>
      <c r="V371" s="166">
        <f t="shared" si="970"/>
        <v>52043.73604368198</v>
      </c>
      <c r="W371" s="170"/>
      <c r="X371" s="174">
        <v>2264.4378716225565</v>
      </c>
      <c r="Y371" s="175"/>
      <c r="Z371" s="175">
        <f t="shared" si="1006"/>
        <v>0</v>
      </c>
      <c r="AA371" s="175"/>
      <c r="AB371" s="175"/>
      <c r="AC371" s="170">
        <f t="shared" si="882"/>
        <v>121715.57400529497</v>
      </c>
      <c r="AD371" s="175">
        <f t="shared" si="1001"/>
        <v>0.10852129121623576</v>
      </c>
      <c r="AE371" s="118"/>
      <c r="AF371" s="119"/>
      <c r="AG371" s="121">
        <f t="shared" si="1002"/>
        <v>660.42449500699934</v>
      </c>
      <c r="AH371" s="119">
        <f>+AZ371/$BB$59</f>
        <v>4.7285040652811205E-3</v>
      </c>
      <c r="AI371" s="119">
        <f t="shared" ref="AI371" si="1040">+AZ371/$BC$44</f>
        <v>2.2346377520998495E-2</v>
      </c>
      <c r="AJ371" s="176">
        <f t="shared" si="1007"/>
        <v>3.1228199094518274</v>
      </c>
      <c r="AK371" s="176">
        <f t="shared" si="1008"/>
        <v>14.758095089541193</v>
      </c>
      <c r="AL371" s="120">
        <f t="shared" si="990"/>
        <v>0.23755228523846555</v>
      </c>
      <c r="AM371" s="120">
        <f t="shared" si="991"/>
        <v>0.33486285991446346</v>
      </c>
      <c r="AN371" s="120">
        <f t="shared" si="992"/>
        <v>0.42758485484707104</v>
      </c>
      <c r="AO371" s="120">
        <f t="shared" si="996"/>
        <v>3.4943860636277142E-2</v>
      </c>
      <c r="AP371" s="173">
        <f t="shared" si="1012"/>
        <v>127.17926166743213</v>
      </c>
      <c r="AQ371" s="175">
        <f t="shared" si="1013"/>
        <v>3.494386063627708E-2</v>
      </c>
      <c r="AR371" s="177">
        <f>+AC371/$AE$59</f>
        <v>8.252783315202579E-3</v>
      </c>
      <c r="AS371" s="177">
        <f t="shared" si="1009"/>
        <v>2.8838411002783166E-4</v>
      </c>
      <c r="AT371" s="177"/>
      <c r="AU371" s="177"/>
      <c r="AV371" s="177"/>
      <c r="AW371" s="190"/>
      <c r="AX371" s="120"/>
      <c r="AY371" s="120"/>
      <c r="AZ371" s="118">
        <f>INDEX('Total Customers'!$E$7:$E$91,MATCH(Calculation!$C371,'Total Customers'!$D$7:$D$91,0))</f>
        <v>184299</v>
      </c>
      <c r="BA371" s="119">
        <f t="shared" si="971"/>
        <v>9.6558528133618947E-3</v>
      </c>
      <c r="BB371" s="118"/>
      <c r="BC371" s="121"/>
      <c r="BD371" s="118"/>
      <c r="BE371" s="119"/>
      <c r="BF371" s="119"/>
      <c r="BG371" s="173"/>
      <c r="BH371" s="173"/>
      <c r="BI371" s="173"/>
      <c r="BJ371" s="173"/>
      <c r="BK371" s="173"/>
      <c r="BL371" s="173"/>
      <c r="BM371" s="173"/>
      <c r="BN371" s="173"/>
      <c r="BO371" s="173"/>
      <c r="BP371" s="173"/>
      <c r="BQ371" s="118"/>
      <c r="BR371" s="118"/>
      <c r="BS371" s="118">
        <f>INDEX('Dist. Plant Gas Additions'!$E$7:$AE$91,MATCH($C371,'Dist. Plant Gas Additions'!$D$7:$D$91,0),MATCH(Calculation!$G371,'Dist. Plant Gas Additions'!$E$5:$AE$5,0))</f>
        <v>51678</v>
      </c>
      <c r="BT371" s="118">
        <f>INDEX('Gen. Plant Additions'!$E$7:$AE$91,MATCH($C371,'Gen. Plant Additions'!$D$7:$D$91,0),MATCH(Calculation!$G371,'Gen. Plant Additions'!$E$5:$AE$5,0))</f>
        <v>10334</v>
      </c>
      <c r="BU371" s="118"/>
      <c r="BV371" s="118"/>
      <c r="BW371" s="118"/>
      <c r="BX371" s="118"/>
      <c r="BY371" s="183"/>
      <c r="BZ371" s="183"/>
      <c r="CA371" s="178"/>
      <c r="CB371" s="184"/>
      <c r="CC371" s="185"/>
      <c r="CD371" s="185"/>
      <c r="CE371" s="118"/>
      <c r="CF371" s="118"/>
      <c r="CG371" s="118"/>
      <c r="CH371" s="118"/>
      <c r="CI371" s="121">
        <v>2021</v>
      </c>
      <c r="CJ371" s="118"/>
      <c r="CK371" s="118"/>
      <c r="CL371" s="118"/>
      <c r="CM371" s="183"/>
      <c r="CN371" s="118">
        <f t="shared" si="972"/>
        <v>62012</v>
      </c>
      <c r="CO371" s="118">
        <f t="shared" si="973"/>
        <v>66.463563367513473</v>
      </c>
      <c r="CP371" s="186">
        <f>+(51-23)/(51-23*0.75)</f>
        <v>0.82962962962962961</v>
      </c>
      <c r="CQ371" s="118">
        <f>CQ348*CP371+CO349*CP370+CO350*CP369+CO351*CP368+CO352*CP367+CO353*CP366+CO354*CP365+CO355*CP364+CO356*CP363+CO357*CP362+CO358*CP361+CO359*CP360+CO360*CP359+CO361*CP358+CO362*CP357+CO353*CP356+CO364*CP355+CO365*CP354+CO366*CP353+CO367*CP352+CO368*CP351+CO369*CP350+CO371+CO370*CP349</f>
        <v>2264.4378716225565</v>
      </c>
      <c r="CR371" s="119"/>
      <c r="CS371" s="118"/>
      <c r="CT371" s="177">
        <f t="shared" si="975"/>
        <v>1.1183228937868366E-2</v>
      </c>
      <c r="CU371" s="177">
        <f t="shared" si="983"/>
        <v>1.0285140330434808E-2</v>
      </c>
      <c r="CV371" s="119">
        <f>VLOOKUP($H371,RoR!$E:$F,2,FALSE)</f>
        <v>2.7033333333333336E-2</v>
      </c>
      <c r="CW371" s="177"/>
      <c r="CX371" s="177"/>
      <c r="CY371" s="177">
        <f t="shared" si="984"/>
        <v>2.0616801278098819E-2</v>
      </c>
      <c r="CZ371" s="177">
        <f t="shared" si="985"/>
        <v>7.433422950153494E-2</v>
      </c>
      <c r="DA371" s="187">
        <f t="shared" si="976"/>
        <v>0.90175000000000005</v>
      </c>
      <c r="DB371" s="188">
        <f t="shared" si="977"/>
        <v>1.8969932656739068</v>
      </c>
      <c r="DC371" s="188">
        <f t="shared" si="978"/>
        <v>5.0215782983970621E-2</v>
      </c>
      <c r="DD371" s="188">
        <f t="shared" si="979"/>
        <v>0.655952481704143</v>
      </c>
      <c r="DE371" s="188">
        <f t="shared" si="980"/>
        <v>6.2485378865697057E-2</v>
      </c>
      <c r="DF371" s="189">
        <f>DF370</f>
        <v>0.26200000000000001</v>
      </c>
      <c r="DG371" s="189">
        <v>0.375</v>
      </c>
      <c r="DH371" s="190">
        <f t="shared" si="982"/>
        <v>23.413248660571746</v>
      </c>
      <c r="DI371" s="190"/>
      <c r="DJ371" s="177">
        <f t="shared" ref="DJ371" si="1041">LN(DH371/DH370)</f>
        <v>0.10679126473168091</v>
      </c>
      <c r="DK371" s="189">
        <f>VLOOKUP($H371,RoR!$E:$F,2,FALSE)</f>
        <v>2.7033333333333336E-2</v>
      </c>
      <c r="DL371" s="191">
        <f>HLOOKUP($H371,'GDP-PI'!$D$8:$CR$11,3,FALSE)</f>
        <v>4.2834637353352578E-2</v>
      </c>
      <c r="DM371" s="189">
        <f>VLOOKUP(H371,'HW Dx Data'!$E:$F,2,FALSE)</f>
        <v>933.02249921662576</v>
      </c>
      <c r="DN371" s="183">
        <f>VLOOKUP(H371,'ECI - Input Price'!$G$17:$H$37,2,FALSE)</f>
        <v>145.47500000000002</v>
      </c>
      <c r="DO371" s="177">
        <f t="shared" ref="DO371" si="1042">LN(DN371/DN370)</f>
        <v>3.5152696992481205E-2</v>
      </c>
      <c r="DP371" s="183">
        <f>HLOOKUP(H371,'GDP-PI'!$8:$9,2,FALSE)</f>
        <v>118.49</v>
      </c>
      <c r="DQ371" s="177">
        <f t="shared" ref="DQ371" si="1043">LN(DP371/DP370)</f>
        <v>4.194261824609434E-2</v>
      </c>
    </row>
    <row r="372" spans="1:121" s="167" customFormat="1" ht="21" x14ac:dyDescent="0.35">
      <c r="A372" s="167" t="s">
        <v>51</v>
      </c>
      <c r="B372" s="168" t="s">
        <v>51</v>
      </c>
      <c r="C372" s="168">
        <v>4057080</v>
      </c>
      <c r="D372" s="168" t="s">
        <v>136</v>
      </c>
      <c r="E372" s="168" t="s">
        <v>126</v>
      </c>
      <c r="F372" s="168"/>
      <c r="G372" s="168" t="s">
        <v>4</v>
      </c>
      <c r="H372" s="169">
        <v>1998</v>
      </c>
      <c r="I372" s="170"/>
      <c r="J372" s="166"/>
      <c r="K372" s="166"/>
      <c r="L372" s="166"/>
      <c r="M372" s="166"/>
      <c r="N372" s="196"/>
      <c r="O372" s="166"/>
      <c r="P372" s="172"/>
      <c r="Q372" s="172"/>
      <c r="R372" s="172"/>
      <c r="S372" s="166"/>
      <c r="T372" s="172"/>
      <c r="U372" s="172"/>
      <c r="V372" s="166"/>
      <c r="W372" s="170"/>
      <c r="X372" s="174">
        <v>6060.9924752512061</v>
      </c>
      <c r="Y372" s="175"/>
      <c r="Z372" s="166"/>
      <c r="AA372" s="175"/>
      <c r="AB372" s="175"/>
      <c r="AC372" s="170">
        <f t="shared" si="882"/>
        <v>0</v>
      </c>
      <c r="AD372" s="170"/>
      <c r="AE372" s="170"/>
      <c r="AF372" s="119"/>
      <c r="AG372" s="174">
        <f>+(AG394+AG393+AG392)/3</f>
        <v>603.44779548583472</v>
      </c>
      <c r="AH372" s="175"/>
      <c r="AI372" s="175"/>
      <c r="AJ372" s="174"/>
      <c r="AK372" s="174"/>
      <c r="AL372" s="120"/>
      <c r="AM372" s="120"/>
      <c r="AN372" s="120"/>
      <c r="AO372" s="120"/>
      <c r="AP372" s="120"/>
      <c r="AQ372" s="175">
        <f>AVERAGE(AQ381:AQ395)</f>
        <v>3.1120426723693431E-2</v>
      </c>
      <c r="AR372" s="120"/>
      <c r="AS372" s="120"/>
      <c r="AT372" s="120"/>
      <c r="AU372" s="120"/>
      <c r="AV372" s="120"/>
      <c r="AW372" s="120"/>
      <c r="AX372" s="120"/>
      <c r="AY372" s="120"/>
      <c r="AZ372" s="118">
        <f>IFERROR(INDEX('Total Customers'!$F$7:$AB$91,MATCH($C372,'Total Customers'!$D$7:$D$91,0),MATCH($G372,'Total Customers'!$F$5:$AB$5,0)),"NA")</f>
        <v>1037951</v>
      </c>
      <c r="BA372" s="119"/>
      <c r="BB372" s="119"/>
      <c r="BC372" s="121"/>
      <c r="BD372" s="119"/>
      <c r="BE372" s="119"/>
      <c r="BF372" s="119"/>
      <c r="BG372" s="173"/>
      <c r="BH372" s="173"/>
      <c r="BI372" s="173"/>
      <c r="BJ372" s="173"/>
      <c r="BK372" s="173"/>
      <c r="BL372" s="173"/>
      <c r="BM372" s="173"/>
      <c r="BN372" s="173"/>
      <c r="BO372" s="173"/>
      <c r="BP372" s="173"/>
      <c r="BQ372" s="118">
        <f>INDEX('Gross Dx Plant'!$E$7:$AD$91,MATCH($C372,'Gross Dx Plant'!$D$7:$D$91,0),MATCH(Calculation!$G372,'Gross Dx Plant'!$E$5:$AD$5,0))</f>
        <v>1541535</v>
      </c>
      <c r="BR372" s="118">
        <f>INDEX('Gross Gen Plant'!$E$7:$AD$91,MATCH($C372,'Gross Gen Plant'!$D$7:$D$91,0),MATCH(Calculation!$G372,'Gross Gen Plant'!$E$5:$AD$5,0))</f>
        <v>0</v>
      </c>
      <c r="BS372" s="118">
        <f>INDEX('Dist. Plant Gas Additions'!$F$7:$AE$91,MATCH($C372,'Dist. Plant Gas Additions'!$D$7:$D$91,0),MATCH(Calculation!$G372,'Dist. Plant Gas Additions'!$F$5:$AE$5,0))</f>
        <v>94451</v>
      </c>
      <c r="BT372" s="118">
        <f>INDEX('Gen. Plant Additions'!$F$7:$AE$91,MATCH($C372,'Gen. Plant Additions'!$D$7:$D$91,0),MATCH(Calculation!$G372,'Gen. Plant Additions'!$F$5:$AE$5,0))</f>
        <v>0</v>
      </c>
      <c r="BU372" s="118" t="e">
        <f>INDEX('Dist Plant Depreciation'!$E$7:$AA$94,MATCH($C372,'Dist Plant Depreciation'!$D$7:$D$94,0),MATCH(#REF!,'Dist Plant Depreciation'!$E$5:$AA$5,0))</f>
        <v>#REF!</v>
      </c>
      <c r="BV372" s="118" t="e">
        <f>INDEX('Gen. Plant Depreciation'!$E$7:$AA$94,MATCH($C372,'Gen. Plant Depreciation'!$D$7:$D$94,0),MATCH(#REF!,'Gen. Plant Depreciation'!$E$5:$AA$5,0))</f>
        <v>#REF!</v>
      </c>
      <c r="BW372" s="118">
        <f>INDEX('Dist Plant Depreciation'!$E$7:$AD$94,MATCH($C372,'Dist Plant Depreciation'!$D$7:$D$94,0),MATCH(Calculation!$G372,'Dist Plant Depreciation'!$E$5:$AD$5,0))</f>
        <v>318915</v>
      </c>
      <c r="BX372" s="118">
        <f>INDEX('Gen. Plant Depreciation'!$E$7:$AD$94,MATCH($C372,'Gen. Plant Depreciation'!$D$7:$D$94,0),MATCH(Calculation!$G372,'Gen. Plant Depreciation'!$E$5:$AD$5,0))</f>
        <v>0</v>
      </c>
      <c r="BY372" s="118"/>
      <c r="BZ372" s="118"/>
      <c r="CA372" s="118"/>
      <c r="CB372" s="118"/>
      <c r="CC372" s="118"/>
      <c r="CD372" s="118"/>
      <c r="CE372" s="118">
        <f>INDEX('Gross Dx Plant'!$E$7:$AD$91,MATCH($C372,'Gross Dx Plant'!$D$7:$D$91,0),MATCH(Calculation!$G372,'Gross Dx Plant'!$E$5:$AD$5,0))</f>
        <v>1541535</v>
      </c>
      <c r="CF372" s="118">
        <f>INDEX('Gross Gen Plant'!$E$7:$AD$91,MATCH($C372,'Gross Gen Plant'!$D$7:$D$91,0),MATCH(Calculation!$G372,'Gross Gen Plant'!$E$5:$AD$5,0))</f>
        <v>0</v>
      </c>
      <c r="CG372" s="118">
        <f t="shared" si="969"/>
        <v>1222620</v>
      </c>
      <c r="CH372" s="118"/>
      <c r="CI372" s="121">
        <v>1998</v>
      </c>
      <c r="CJ372" s="118">
        <f>BQ372+BR372</f>
        <v>1541535</v>
      </c>
      <c r="CK372" s="118">
        <v>318915</v>
      </c>
      <c r="CL372" s="118">
        <f>+CJ372-CK372</f>
        <v>1222620</v>
      </c>
      <c r="CM372" s="118">
        <f>CL372/$CD$36</f>
        <v>6060.9924752512061</v>
      </c>
      <c r="CN372" s="183"/>
      <c r="CO372" s="183"/>
      <c r="CP372" s="186">
        <v>1</v>
      </c>
      <c r="CQ372" s="118">
        <f>+CM372</f>
        <v>6060.9924752512061</v>
      </c>
      <c r="CR372" s="119"/>
      <c r="CS372" s="119"/>
      <c r="CT372" s="177"/>
      <c r="CU372" s="177"/>
      <c r="CV372" s="119" t="e">
        <f>VLOOKUP($H372,RoR!$E:$F,2,FALSE)</f>
        <v>#N/A</v>
      </c>
      <c r="CW372" s="177">
        <v>1.1028127770464469E-2</v>
      </c>
      <c r="CX372" s="177"/>
      <c r="CY372" s="177"/>
      <c r="CZ372" s="177"/>
      <c r="DA372" s="187"/>
      <c r="DB372" s="190" t="e">
        <f>2/(DK372*39)</f>
        <v>#N/A</v>
      </c>
      <c r="DC372" s="188" t="e">
        <f>+(DK372*40-(1+DK372))/(DK372*40)</f>
        <v>#N/A</v>
      </c>
      <c r="DD372" s="188" t="e">
        <f>+(1-(1/(1+DK372)^40))</f>
        <v>#N/A</v>
      </c>
      <c r="DE372" s="188" t="e">
        <f>+DD372*DC372*DB372</f>
        <v>#N/A</v>
      </c>
      <c r="DF372" s="189">
        <f>INDEX('State Tax Lookup'!$D$7:$Z$91,MATCH(Calculation!$C372,'State Tax Lookup'!$B$7:$B$91,0),MATCH($H372,'State Tax Lookup'!$D$6:$Z$6,0))</f>
        <v>0.39649667</v>
      </c>
      <c r="DG372" s="189">
        <v>0.375</v>
      </c>
      <c r="DH372" s="183"/>
      <c r="DI372" s="183"/>
      <c r="DJ372" s="177"/>
      <c r="DK372" s="189" t="e">
        <f>VLOOKUP($H372,RoR!$E:$F,2,FALSE)</f>
        <v>#N/A</v>
      </c>
      <c r="DL372" s="191">
        <f>HLOOKUP($H372,'GDP-PI'!$D$8:$CQ$11,3,FALSE)</f>
        <v>1.1028127770464469E-2</v>
      </c>
      <c r="DM372" s="189">
        <f>VLOOKUP(H372,'HW Dx Data'!$E:$F,2,FALSE)</f>
        <v>329.24564746449528</v>
      </c>
      <c r="DN372" s="183" t="e">
        <f>VLOOKUP(H372,'ECI - Input Price'!$G$17:$H$37,2,FALSE)</f>
        <v>#N/A</v>
      </c>
      <c r="DO372" s="177"/>
      <c r="DP372" s="183">
        <f>HLOOKUP(H372,'GDP-PI'!$8:$9,2,FALSE)</f>
        <v>75.266999999999996</v>
      </c>
    </row>
    <row r="373" spans="1:121" s="167" customFormat="1" ht="21" x14ac:dyDescent="0.35">
      <c r="A373" s="167" t="s">
        <v>51</v>
      </c>
      <c r="B373" s="168" t="s">
        <v>51</v>
      </c>
      <c r="C373" s="168">
        <v>4057080</v>
      </c>
      <c r="D373" s="168" t="s">
        <v>136</v>
      </c>
      <c r="E373" s="168" t="s">
        <v>126</v>
      </c>
      <c r="F373" s="168"/>
      <c r="G373" s="168" t="s">
        <v>5</v>
      </c>
      <c r="H373" s="169">
        <v>1999</v>
      </c>
      <c r="I373" s="170"/>
      <c r="J373" s="166"/>
      <c r="K373" s="170"/>
      <c r="L373" s="170"/>
      <c r="M373" s="166"/>
      <c r="N373" s="173"/>
      <c r="O373" s="170"/>
      <c r="P373" s="177"/>
      <c r="Q373" s="177"/>
      <c r="R373" s="177"/>
      <c r="S373" s="195"/>
      <c r="T373" s="177"/>
      <c r="U373" s="177"/>
      <c r="V373" s="166">
        <f t="shared" ref="V373:V395" si="1044">+CQ372*DH373</f>
        <v>0</v>
      </c>
      <c r="W373" s="170"/>
      <c r="X373" s="174">
        <v>6304.8500704217377</v>
      </c>
      <c r="Y373" s="175">
        <v>3.9445628195464509E-2</v>
      </c>
      <c r="Z373" s="175"/>
      <c r="AA373" s="175"/>
      <c r="AB373" s="175"/>
      <c r="AC373" s="170">
        <f t="shared" si="882"/>
        <v>0</v>
      </c>
      <c r="AD373" s="175"/>
      <c r="AE373" s="170"/>
      <c r="AF373" s="119"/>
      <c r="AG373" s="174"/>
      <c r="AH373" s="175"/>
      <c r="AI373" s="175"/>
      <c r="AJ373" s="174"/>
      <c r="AK373" s="174"/>
      <c r="AL373" s="120"/>
      <c r="AM373" s="120"/>
      <c r="AN373" s="120"/>
      <c r="AO373" s="120"/>
      <c r="AP373" s="120"/>
      <c r="AQ373" s="175"/>
      <c r="AR373" s="120"/>
      <c r="AS373" s="120"/>
      <c r="AT373" s="120"/>
      <c r="AU373" s="120"/>
      <c r="AV373" s="120"/>
      <c r="AW373" s="120"/>
      <c r="AX373" s="120"/>
      <c r="AY373" s="120"/>
      <c r="AZ373" s="118">
        <f>IFERROR(INDEX('Total Customers'!$F$7:$AB$91,MATCH($C373,'Total Customers'!$D$7:$D$91,0),MATCH($G373,'Total Customers'!$F$5:$AB$5,0)),"NA")</f>
        <v>1043048</v>
      </c>
      <c r="BA373" s="119">
        <f t="shared" ref="BA373:BA395" si="1045">LN(AZ373/AZ372)</f>
        <v>4.8986185889507653E-3</v>
      </c>
      <c r="BB373" s="119"/>
      <c r="BC373" s="121"/>
      <c r="BD373" s="119"/>
      <c r="BE373" s="119"/>
      <c r="BF373" s="119"/>
      <c r="BG373" s="173"/>
      <c r="BH373" s="173"/>
      <c r="BI373" s="173"/>
      <c r="BJ373" s="173"/>
      <c r="BK373" s="173"/>
      <c r="BL373" s="173"/>
      <c r="BM373" s="173"/>
      <c r="BN373" s="173"/>
      <c r="BO373" s="173"/>
      <c r="BP373" s="173"/>
      <c r="BQ373" s="118"/>
      <c r="BR373" s="118"/>
      <c r="BS373" s="118">
        <f>INDEX('Dist. Plant Gas Additions'!$F$7:$AE$91,MATCH($C373,'Dist. Plant Gas Additions'!$D$7:$D$91,0),MATCH(Calculation!$G373,'Dist. Plant Gas Additions'!$F$5:$AE$5,0))</f>
        <v>91883</v>
      </c>
      <c r="BT373" s="118">
        <f>INDEX('Gen. Plant Additions'!$F$7:$AE$91,MATCH($C373,'Gen. Plant Additions'!$D$7:$D$91,0),MATCH(Calculation!$G373,'Gen. Plant Additions'!$F$5:$AE$5,0))</f>
        <v>0</v>
      </c>
      <c r="BU373" s="118"/>
      <c r="BV373" s="118"/>
      <c r="BW373" s="118">
        <f>INDEX('Dist Plant Depreciation'!$E$7:$AD$94,MATCH($C373,'Dist Plant Depreciation'!$D$7:$D$94,0),MATCH(Calculation!$G373,'Dist Plant Depreciation'!$E$5:$AD$5,0))</f>
        <v>348410</v>
      </c>
      <c r="BX373" s="118">
        <f>INDEX('Gen. Plant Depreciation'!$E$7:$AD$94,MATCH($C373,'Gen. Plant Depreciation'!$D$7:$D$94,0),MATCH(Calculation!$G373,'Gen. Plant Depreciation'!$E$5:$AD$5,0))</f>
        <v>0</v>
      </c>
      <c r="BY373" s="118"/>
      <c r="BZ373" s="118"/>
      <c r="CA373" s="118"/>
      <c r="CB373" s="118"/>
      <c r="CC373" s="118"/>
      <c r="CD373" s="118"/>
      <c r="CE373" s="118">
        <f>INDEX('Gross Dx Plant'!$E$7:$AD$91,MATCH($C373,'Gross Dx Plant'!$D$7:$D$91,0),MATCH(Calculation!$G373,'Gross Dx Plant'!$E$5:$AD$5,0))</f>
        <v>1626315</v>
      </c>
      <c r="CF373" s="118">
        <f>INDEX('Gross Gen Plant'!$E$7:$AD$91,MATCH($C373,'Gross Gen Plant'!$D$7:$D$91,0),MATCH(Calculation!$G373,'Gross Gen Plant'!$E$5:$AD$5,0))</f>
        <v>0</v>
      </c>
      <c r="CG373" s="118">
        <f t="shared" si="969"/>
        <v>1277905</v>
      </c>
      <c r="CH373" s="118"/>
      <c r="CI373" s="121">
        <v>1999</v>
      </c>
      <c r="CJ373" s="118"/>
      <c r="CK373" s="118"/>
      <c r="CL373" s="118"/>
      <c r="CM373" s="183"/>
      <c r="CN373" s="118">
        <f t="shared" ref="CN373:CN395" si="1046">+BT373+BS373</f>
        <v>91883</v>
      </c>
      <c r="CO373" s="118">
        <f t="shared" ref="CO373:CO395" si="1047">+CN373/$DM373</f>
        <v>274.01178658969212</v>
      </c>
      <c r="CP373" s="186">
        <v>0.99502487562189057</v>
      </c>
      <c r="CQ373" s="118">
        <f>+CQ372*CP373+CO373</f>
        <v>6304.8500704217377</v>
      </c>
      <c r="CR373" s="119">
        <f t="shared" ref="CR373:CR394" si="1048">LN(CQ373/CQ372)</f>
        <v>3.9445628195464509E-2</v>
      </c>
      <c r="CS373" s="119"/>
      <c r="CT373" s="177">
        <f t="shared" ref="CT373:CT395" si="1049">+(CQ372-CQ373+CO373)/CQ372</f>
        <v>4.9751243781095064E-3</v>
      </c>
      <c r="CU373" s="177"/>
      <c r="CV373" s="119">
        <f>VLOOKUP($H373,RoR!$E:$F,2,FALSE)</f>
        <v>7.0416666666666669E-2</v>
      </c>
      <c r="CW373" s="177">
        <v>1.4335631817396832E-2</v>
      </c>
      <c r="CX373" s="177">
        <f>+CV373-CW373</f>
        <v>5.6081034849269837E-2</v>
      </c>
      <c r="CY373" s="177"/>
      <c r="CZ373" s="177"/>
      <c r="DA373" s="187">
        <f t="shared" ref="DA373:DA395" si="1050">1-DF373*DG373</f>
        <v>0.85131374874999999</v>
      </c>
      <c r="DB373" s="188">
        <f t="shared" ref="DB373:DB395" si="1051">2/(DK373*39)</f>
        <v>0.72826581702321336</v>
      </c>
      <c r="DC373" s="188">
        <f t="shared" ref="DC373:DC395" si="1052">+(DK373*40-(1+DK373))/(DK373*40)</f>
        <v>0.61997041420118348</v>
      </c>
      <c r="DD373" s="188">
        <f t="shared" ref="DD373:DD395" si="1053">+(1-(1/(1+DK373)^40))</f>
        <v>0.93425155319585029</v>
      </c>
      <c r="DE373" s="188">
        <f t="shared" ref="DE373:DE395" si="1054">+DD373*DC373*DB373</f>
        <v>0.42181762214141483</v>
      </c>
      <c r="DF373" s="189">
        <f>INDEX('State Tax Lookup'!$D$7:$Z$91,MATCH(Calculation!$C373,'State Tax Lookup'!$B$7:$B$91,0),MATCH($H373,'State Tax Lookup'!$D$6:$Z$6,0))</f>
        <v>0.39649667</v>
      </c>
      <c r="DG373" s="189">
        <v>0.375</v>
      </c>
      <c r="DH373" s="190"/>
      <c r="DI373" s="190"/>
      <c r="DJ373" s="177"/>
      <c r="DK373" s="189">
        <f>VLOOKUP($H373,RoR!$E:$F,2,FALSE)</f>
        <v>7.0416666666666669E-2</v>
      </c>
      <c r="DL373" s="191">
        <f>HLOOKUP($H373,'GDP-PI'!$D$8:$CQ$11,3,FALSE)</f>
        <v>1.4335631817396832E-2</v>
      </c>
      <c r="DM373" s="189">
        <f>VLOOKUP(H373,'HW Dx Data'!$E:$F,2,FALSE)</f>
        <v>335.32499146683239</v>
      </c>
      <c r="DN373" s="183" t="e">
        <f>VLOOKUP(H373,'ECI - Input Price'!$G$17:$H$37,2,FALSE)</f>
        <v>#N/A</v>
      </c>
      <c r="DO373" s="177"/>
      <c r="DP373" s="183">
        <f>HLOOKUP(H373,'GDP-PI'!$8:$9,2,FALSE)</f>
        <v>76.346000000000004</v>
      </c>
    </row>
    <row r="374" spans="1:121" s="167" customFormat="1" ht="21" x14ac:dyDescent="0.35">
      <c r="A374" s="167" t="s">
        <v>51</v>
      </c>
      <c r="B374" s="168" t="s">
        <v>51</v>
      </c>
      <c r="C374" s="168">
        <v>4057080</v>
      </c>
      <c r="D374" s="168" t="s">
        <v>136</v>
      </c>
      <c r="E374" s="168" t="s">
        <v>126</v>
      </c>
      <c r="F374" s="168"/>
      <c r="G374" s="168" t="s">
        <v>6</v>
      </c>
      <c r="H374" s="169">
        <v>2000</v>
      </c>
      <c r="I374" s="170"/>
      <c r="J374" s="166"/>
      <c r="K374" s="166"/>
      <c r="L374" s="166"/>
      <c r="M374" s="166"/>
      <c r="N374" s="196"/>
      <c r="O374" s="166"/>
      <c r="P374" s="166"/>
      <c r="Q374" s="166"/>
      <c r="R374" s="166"/>
      <c r="S374" s="166"/>
      <c r="T374" s="166"/>
      <c r="U374" s="166"/>
      <c r="V374" s="166">
        <f t="shared" si="1044"/>
        <v>0</v>
      </c>
      <c r="W374" s="170"/>
      <c r="X374" s="174">
        <v>6524.5472965109775</v>
      </c>
      <c r="Y374" s="175">
        <v>3.4252381295814788E-2</v>
      </c>
      <c r="Z374" s="175"/>
      <c r="AA374" s="175"/>
      <c r="AB374" s="175"/>
      <c r="AC374" s="170">
        <f t="shared" si="882"/>
        <v>0</v>
      </c>
      <c r="AD374" s="175"/>
      <c r="AE374" s="170"/>
      <c r="AF374" s="170"/>
      <c r="AG374" s="174"/>
      <c r="AH374" s="175"/>
      <c r="AI374" s="175"/>
      <c r="AJ374" s="174"/>
      <c r="AK374" s="174"/>
      <c r="AL374" s="120"/>
      <c r="AM374" s="120"/>
      <c r="AN374" s="120"/>
      <c r="AO374" s="120"/>
      <c r="AP374" s="120"/>
      <c r="AQ374" s="175"/>
      <c r="AR374" s="120"/>
      <c r="AS374" s="120"/>
      <c r="AT374" s="120"/>
      <c r="AU374" s="120"/>
      <c r="AV374" s="120"/>
      <c r="AW374" s="120"/>
      <c r="AX374" s="120"/>
      <c r="AY374" s="120"/>
      <c r="AZ374" s="118">
        <f>IFERROR(INDEX('Total Customers'!$F$7:$AB$91,MATCH($C374,'Total Customers'!$D$7:$D$91,0),MATCH($G374,'Total Customers'!$F$5:$AB$5,0)),"NA")</f>
        <v>1048357</v>
      </c>
      <c r="BA374" s="119">
        <f t="shared" si="1045"/>
        <v>5.0769806934658976E-3</v>
      </c>
      <c r="BB374" s="119"/>
      <c r="BC374" s="121"/>
      <c r="BD374" s="119"/>
      <c r="BE374" s="119"/>
      <c r="BF374" s="119"/>
      <c r="BG374" s="173"/>
      <c r="BH374" s="173"/>
      <c r="BI374" s="173"/>
      <c r="BJ374" s="173"/>
      <c r="BK374" s="173"/>
      <c r="BL374" s="173"/>
      <c r="BM374" s="173"/>
      <c r="BN374" s="173"/>
      <c r="BO374" s="173"/>
      <c r="BP374" s="173"/>
      <c r="BQ374" s="118"/>
      <c r="BR374" s="118"/>
      <c r="BS374" s="118">
        <f>INDEX('Dist. Plant Gas Additions'!$F$7:$AE$91,MATCH($C374,'Dist. Plant Gas Additions'!$D$7:$D$91,0),MATCH(Calculation!$G374,'Dist. Plant Gas Additions'!$F$5:$AE$5,0))</f>
        <v>87371</v>
      </c>
      <c r="BT374" s="118">
        <f>INDEX('Gen. Plant Additions'!$F$7:$AE$91,MATCH($C374,'Gen. Plant Additions'!$D$7:$D$91,0),MATCH(Calculation!$G374,'Gen. Plant Additions'!$F$5:$AE$5,0))</f>
        <v>0</v>
      </c>
      <c r="BU374" s="118"/>
      <c r="BV374" s="118"/>
      <c r="BW374" s="118">
        <f>INDEX('Dist Plant Depreciation'!$E$7:$AD$94,MATCH($C374,'Dist Plant Depreciation'!$D$7:$D$94,0),MATCH(Calculation!$G374,'Dist Plant Depreciation'!$E$5:$AD$5,0))</f>
        <v>377575</v>
      </c>
      <c r="BX374" s="118">
        <f>INDEX('Gen. Plant Depreciation'!$E$7:$AD$94,MATCH($C374,'Gen. Plant Depreciation'!$D$7:$D$94,0),MATCH(Calculation!$G374,'Gen. Plant Depreciation'!$E$5:$AD$5,0))</f>
        <v>0</v>
      </c>
      <c r="BY374" s="118"/>
      <c r="BZ374" s="118"/>
      <c r="CA374" s="118"/>
      <c r="CB374" s="118"/>
      <c r="CC374" s="118"/>
      <c r="CD374" s="118"/>
      <c r="CE374" s="118">
        <f>INDEX('Gross Dx Plant'!$E$7:$AD$91,MATCH($C374,'Gross Dx Plant'!$D$7:$D$91,0),MATCH(Calculation!$G374,'Gross Dx Plant'!$E$5:$AD$5,0))</f>
        <v>1705259</v>
      </c>
      <c r="CF374" s="118">
        <f>INDEX('Gross Gen Plant'!$E$7:$AD$91,MATCH($C374,'Gross Gen Plant'!$D$7:$D$91,0),MATCH(Calculation!$G374,'Gross Gen Plant'!$E$5:$AD$5,0))</f>
        <v>0</v>
      </c>
      <c r="CG374" s="118">
        <f t="shared" si="969"/>
        <v>1327684</v>
      </c>
      <c r="CH374" s="118"/>
      <c r="CI374" s="121">
        <v>2000</v>
      </c>
      <c r="CJ374" s="118"/>
      <c r="CK374" s="118"/>
      <c r="CL374" s="118"/>
      <c r="CM374" s="183"/>
      <c r="CN374" s="118">
        <f t="shared" si="1046"/>
        <v>87371</v>
      </c>
      <c r="CO374" s="118">
        <f t="shared" si="1047"/>
        <v>252.12842360408942</v>
      </c>
      <c r="CP374" s="186">
        <v>0.98989898989898994</v>
      </c>
      <c r="CQ374" s="118">
        <f>+CQ372*CP374+CO373*CP373+CO374</f>
        <v>6524.5472965109775</v>
      </c>
      <c r="CR374" s="119">
        <f t="shared" si="1048"/>
        <v>3.4252381295814788E-2</v>
      </c>
      <c r="CS374" s="119"/>
      <c r="CT374" s="177">
        <f t="shared" si="1049"/>
        <v>5.1438491245011028E-3</v>
      </c>
      <c r="CU374" s="177"/>
      <c r="CV374" s="119">
        <f>VLOOKUP($H374,RoR!$E:$F,2,FALSE)</f>
        <v>7.6225000000000001E-2</v>
      </c>
      <c r="CW374" s="177">
        <v>2.2568307442433211E-2</v>
      </c>
      <c r="CX374" s="177">
        <f t="shared" ref="CX374:CX394" si="1055">+CV374-CW374</f>
        <v>5.365669255756679E-2</v>
      </c>
      <c r="CY374" s="177"/>
      <c r="CZ374" s="177"/>
      <c r="DA374" s="187">
        <f t="shared" si="1050"/>
        <v>0.85131374874999999</v>
      </c>
      <c r="DB374" s="188">
        <f t="shared" si="1051"/>
        <v>0.67277207323124022</v>
      </c>
      <c r="DC374" s="188">
        <f t="shared" si="1052"/>
        <v>0.6470236142997704</v>
      </c>
      <c r="DD374" s="188">
        <f t="shared" si="1053"/>
        <v>0.94704866037543145</v>
      </c>
      <c r="DE374" s="188">
        <f t="shared" si="1054"/>
        <v>0.41224973107878493</v>
      </c>
      <c r="DF374" s="189">
        <f>INDEX('State Tax Lookup'!$D$7:$Z$91,MATCH(Calculation!$C374,'State Tax Lookup'!$B$7:$B$91,0),MATCH($H374,'State Tax Lookup'!$D$6:$Z$6,0))</f>
        <v>0.39649667</v>
      </c>
      <c r="DG374" s="189">
        <v>0.375</v>
      </c>
      <c r="DH374" s="190"/>
      <c r="DI374" s="190"/>
      <c r="DJ374" s="177"/>
      <c r="DK374" s="189">
        <f>VLOOKUP($H374,RoR!$E:$F,2,FALSE)</f>
        <v>7.6225000000000001E-2</v>
      </c>
      <c r="DL374" s="191">
        <f>HLOOKUP($H374,'GDP-PI'!$D$8:$CQ$11,3,FALSE)</f>
        <v>2.2568307442433211E-2</v>
      </c>
      <c r="DM374" s="189">
        <f>VLOOKUP(H374,'HW Dx Data'!$E:$F,2,FALSE)</f>
        <v>346.53371782150339</v>
      </c>
      <c r="DN374" s="183" t="e">
        <f>VLOOKUP(H374,'ECI - Input Price'!$G$17:$H$37,2,FALSE)</f>
        <v>#N/A</v>
      </c>
      <c r="DO374" s="177"/>
      <c r="DP374" s="183">
        <f>HLOOKUP(H374,'GDP-PI'!$8:$9,2,FALSE)</f>
        <v>78.069000000000003</v>
      </c>
    </row>
    <row r="375" spans="1:121" s="167" customFormat="1" ht="21" x14ac:dyDescent="0.35">
      <c r="A375" s="167" t="s">
        <v>51</v>
      </c>
      <c r="B375" s="168" t="s">
        <v>51</v>
      </c>
      <c r="C375" s="168">
        <v>4057080</v>
      </c>
      <c r="D375" s="168" t="s">
        <v>136</v>
      </c>
      <c r="E375" s="168" t="s">
        <v>126</v>
      </c>
      <c r="F375" s="168"/>
      <c r="G375" s="168" t="s">
        <v>7</v>
      </c>
      <c r="H375" s="169">
        <v>2001</v>
      </c>
      <c r="I375" s="170"/>
      <c r="J375" s="166"/>
      <c r="K375" s="166"/>
      <c r="L375" s="166"/>
      <c r="M375" s="166"/>
      <c r="N375" s="196"/>
      <c r="O375" s="166"/>
      <c r="P375" s="166"/>
      <c r="Q375" s="166"/>
      <c r="R375" s="166"/>
      <c r="S375" s="166"/>
      <c r="T375" s="166"/>
      <c r="U375" s="166"/>
      <c r="V375" s="166">
        <f t="shared" si="1044"/>
        <v>83775.909380710393</v>
      </c>
      <c r="W375" s="170"/>
      <c r="X375" s="174">
        <v>6757.5007948817502</v>
      </c>
      <c r="Y375" s="175">
        <v>3.5081545841215048E-2</v>
      </c>
      <c r="Z375" s="175"/>
      <c r="AA375" s="175"/>
      <c r="AB375" s="175"/>
      <c r="AC375" s="170">
        <f t="shared" si="882"/>
        <v>83775.909380710393</v>
      </c>
      <c r="AD375" s="175"/>
      <c r="AE375" s="170"/>
      <c r="AF375" s="170"/>
      <c r="AG375" s="174"/>
      <c r="AH375" s="175"/>
      <c r="AI375" s="175"/>
      <c r="AJ375" s="174"/>
      <c r="AK375" s="174"/>
      <c r="AL375" s="120"/>
      <c r="AM375" s="120"/>
      <c r="AN375" s="120"/>
      <c r="AO375" s="120"/>
      <c r="AP375" s="120"/>
      <c r="AQ375" s="175"/>
      <c r="AR375" s="120"/>
      <c r="AS375" s="120"/>
      <c r="AT375" s="120"/>
      <c r="AU375" s="120"/>
      <c r="AV375" s="120"/>
      <c r="AW375" s="120"/>
      <c r="AX375" s="120"/>
      <c r="AY375" s="120"/>
      <c r="AZ375" s="118">
        <f>IFERROR(INDEX('Total Customers'!$F$7:$AB$91,MATCH($C375,'Total Customers'!$D$7:$D$91,0),MATCH($G375,'Total Customers'!$F$5:$AB$5,0)),"NA")</f>
        <v>1048357</v>
      </c>
      <c r="BA375" s="119">
        <f t="shared" si="1045"/>
        <v>0</v>
      </c>
      <c r="BB375" s="119"/>
      <c r="BC375" s="121"/>
      <c r="BD375" s="119"/>
      <c r="BE375" s="119"/>
      <c r="BF375" s="119"/>
      <c r="BG375" s="173"/>
      <c r="BH375" s="173"/>
      <c r="BI375" s="173"/>
      <c r="BJ375" s="173"/>
      <c r="BK375" s="173"/>
      <c r="BL375" s="173"/>
      <c r="BM375" s="173"/>
      <c r="BN375" s="173"/>
      <c r="BO375" s="173"/>
      <c r="BP375" s="173"/>
      <c r="BQ375" s="118"/>
      <c r="BR375" s="118"/>
      <c r="BS375" s="118">
        <f>INDEX('Dist. Plant Gas Additions'!$F$7:$AE$91,MATCH($C375,'Dist. Plant Gas Additions'!$D$7:$D$91,0),MATCH(Calculation!$G375,'Dist. Plant Gas Additions'!$F$5:$AE$5,0))</f>
        <v>94152</v>
      </c>
      <c r="BT375" s="118">
        <f>INDEX('Gen. Plant Additions'!$F$7:$AE$91,MATCH($C375,'Gen. Plant Additions'!$D$7:$D$91,0),MATCH(Calculation!$G375,'Gen. Plant Additions'!$F$5:$AE$5,0))</f>
        <v>0</v>
      </c>
      <c r="BU375" s="118"/>
      <c r="BV375" s="118"/>
      <c r="BW375" s="118">
        <f>INDEX('Dist Plant Depreciation'!$E$7:$AD$94,MATCH($C375,'Dist Plant Depreciation'!$D$7:$D$94,0),MATCH(Calculation!$G375,'Dist Plant Depreciation'!$E$5:$AD$5,0))</f>
        <v>404890</v>
      </c>
      <c r="BX375" s="118">
        <f>INDEX('Gen. Plant Depreciation'!$E$7:$AD$94,MATCH($C375,'Gen. Plant Depreciation'!$D$7:$D$94,0),MATCH(Calculation!$G375,'Gen. Plant Depreciation'!$E$5:$AD$5,0))</f>
        <v>0</v>
      </c>
      <c r="BY375" s="118"/>
      <c r="BZ375" s="118"/>
      <c r="CA375" s="118"/>
      <c r="CB375" s="118"/>
      <c r="CC375" s="118"/>
      <c r="CD375" s="118"/>
      <c r="CE375" s="118">
        <f>INDEX('Gross Dx Plant'!$E$7:$AD$91,MATCH($C375,'Gross Dx Plant'!$D$7:$D$91,0),MATCH(Calculation!$G375,'Gross Dx Plant'!$E$5:$AD$5,0))</f>
        <v>1791455</v>
      </c>
      <c r="CF375" s="118">
        <f>INDEX('Gross Gen Plant'!$E$7:$AD$91,MATCH($C375,'Gross Gen Plant'!$D$7:$D$91,0),MATCH(Calculation!$G375,'Gross Gen Plant'!$E$5:$AD$5,0))</f>
        <v>0</v>
      </c>
      <c r="CG375" s="118">
        <f t="shared" si="969"/>
        <v>1386565</v>
      </c>
      <c r="CH375" s="118"/>
      <c r="CI375" s="121">
        <v>2001</v>
      </c>
      <c r="CJ375" s="118"/>
      <c r="CK375" s="118"/>
      <c r="CL375" s="118"/>
      <c r="CM375" s="183"/>
      <c r="CN375" s="118">
        <f t="shared" si="1046"/>
        <v>94152</v>
      </c>
      <c r="CO375" s="118">
        <f t="shared" si="1047"/>
        <v>266.38194334168804</v>
      </c>
      <c r="CP375" s="186">
        <v>0.98461538461538467</v>
      </c>
      <c r="CQ375" s="118">
        <f>+CQ372*CP375+CO373*CP374+CO374*CP372+CO375</f>
        <v>6757.5007948817502</v>
      </c>
      <c r="CR375" s="119">
        <f t="shared" si="1048"/>
        <v>3.5081545841215048E-2</v>
      </c>
      <c r="CS375" s="119"/>
      <c r="CT375" s="177">
        <f t="shared" si="1049"/>
        <v>5.1234887957347418E-3</v>
      </c>
      <c r="CU375" s="177">
        <f>+(CT375+CT374+CT373)/3</f>
        <v>5.0808207661151164E-3</v>
      </c>
      <c r="CV375" s="119">
        <f>VLOOKUP($H375,RoR!$E:$F,2,FALSE)</f>
        <v>7.0824999999999999E-2</v>
      </c>
      <c r="CW375" s="177">
        <v>2.2454495382290052E-2</v>
      </c>
      <c r="CX375" s="177">
        <f t="shared" si="1055"/>
        <v>4.8370504617709947E-2</v>
      </c>
      <c r="CY375" s="177">
        <f>+$CX$35-CU375</f>
        <v>2.5821120842418509E-2</v>
      </c>
      <c r="CZ375" s="177">
        <f>+((DM373/DM372-1)+(DM374/DM373-1)+(DM375/DM374-1))/3</f>
        <v>2.3947275901631187E-2</v>
      </c>
      <c r="DA375" s="187">
        <f t="shared" si="1050"/>
        <v>0.85131374874999999</v>
      </c>
      <c r="DB375" s="188">
        <f t="shared" si="1051"/>
        <v>0.72406708481540816</v>
      </c>
      <c r="DC375" s="188">
        <f t="shared" si="1052"/>
        <v>0.62201729615248857</v>
      </c>
      <c r="DD375" s="188">
        <f t="shared" si="1053"/>
        <v>0.9352469954311422</v>
      </c>
      <c r="DE375" s="188">
        <f t="shared" si="1054"/>
        <v>0.42121864641655071</v>
      </c>
      <c r="DF375" s="189">
        <f>INDEX('State Tax Lookup'!$D$7:$Z$91,MATCH(Calculation!$C375,'State Tax Lookup'!$B$7:$B$91,0),MATCH($H375,'State Tax Lookup'!$D$6:$Z$6,0))</f>
        <v>0.39649667</v>
      </c>
      <c r="DG375" s="189">
        <v>0.375</v>
      </c>
      <c r="DH375" s="190">
        <f t="shared" ref="DH375:DH395" si="1056">+(DM375*CY375-CZ375)*DA375/(1-DF375)</f>
        <v>12.840110673350445</v>
      </c>
      <c r="DI375" s="190"/>
      <c r="DJ375" s="177"/>
      <c r="DK375" s="189">
        <f>VLOOKUP($H375,RoR!$E:$F,2,FALSE)</f>
        <v>7.0824999999999999E-2</v>
      </c>
      <c r="DL375" s="191">
        <f>HLOOKUP($H375,'GDP-PI'!$D$8:$CQ$11,3,FALSE)</f>
        <v>2.2454495382290052E-2</v>
      </c>
      <c r="DM375" s="189">
        <f>VLOOKUP(H375,'HW Dx Data'!$E:$F,2,FALSE)</f>
        <v>353.44738017483138</v>
      </c>
      <c r="DN375" s="183">
        <f>VLOOKUP(H375,'ECI - Input Price'!$G$17:$H$37,2,FALSE)</f>
        <v>86.2</v>
      </c>
      <c r="DO375" s="177"/>
      <c r="DP375" s="183">
        <f>HLOOKUP(H375,'GDP-PI'!$8:$9,2,FALSE)</f>
        <v>79.822000000000003</v>
      </c>
    </row>
    <row r="376" spans="1:121" s="167" customFormat="1" ht="21" x14ac:dyDescent="0.35">
      <c r="A376" s="167" t="s">
        <v>51</v>
      </c>
      <c r="B376" s="168" t="s">
        <v>51</v>
      </c>
      <c r="C376" s="168">
        <v>4057080</v>
      </c>
      <c r="D376" s="168" t="s">
        <v>136</v>
      </c>
      <c r="E376" s="168" t="s">
        <v>126</v>
      </c>
      <c r="F376" s="168"/>
      <c r="G376" s="168" t="s">
        <v>8</v>
      </c>
      <c r="H376" s="169">
        <v>2002</v>
      </c>
      <c r="I376" s="170"/>
      <c r="J376" s="166"/>
      <c r="K376" s="166"/>
      <c r="L376" s="166"/>
      <c r="M376" s="166"/>
      <c r="N376" s="196"/>
      <c r="O376" s="166"/>
      <c r="P376" s="166"/>
      <c r="Q376" s="166"/>
      <c r="R376" s="166"/>
      <c r="S376" s="166"/>
      <c r="T376" s="166"/>
      <c r="U376" s="166"/>
      <c r="V376" s="166">
        <f t="shared" si="1044"/>
        <v>87896.528045892381</v>
      </c>
      <c r="W376" s="170"/>
      <c r="X376" s="174">
        <v>7052.4055867723409</v>
      </c>
      <c r="Y376" s="175">
        <v>4.2715659806434852E-2</v>
      </c>
      <c r="Z376" s="175"/>
      <c r="AA376" s="175"/>
      <c r="AB376" s="175"/>
      <c r="AC376" s="170">
        <f t="shared" si="882"/>
        <v>87896.528045892381</v>
      </c>
      <c r="AD376" s="175"/>
      <c r="AE376" s="170"/>
      <c r="AF376" s="170"/>
      <c r="AG376" s="174"/>
      <c r="AH376" s="175"/>
      <c r="AI376" s="175"/>
      <c r="AJ376" s="174"/>
      <c r="AK376" s="174"/>
      <c r="AL376" s="120"/>
      <c r="AM376" s="120"/>
      <c r="AN376" s="120"/>
      <c r="AO376" s="120"/>
      <c r="AP376" s="120"/>
      <c r="AQ376" s="175"/>
      <c r="AR376" s="120"/>
      <c r="AS376" s="120"/>
      <c r="AT376" s="120"/>
      <c r="AU376" s="120"/>
      <c r="AV376" s="120"/>
      <c r="AW376" s="120"/>
      <c r="AX376" s="120"/>
      <c r="AY376" s="120"/>
      <c r="AZ376" s="118">
        <f>IFERROR(INDEX('Total Customers'!$F$7:$AB$91,MATCH($C376,'Total Customers'!$D$7:$D$91,0),MATCH($G376,'Total Customers'!$F$5:$AB$5,0)),"NA")</f>
        <v>1048776</v>
      </c>
      <c r="BA376" s="119">
        <f t="shared" si="1045"/>
        <v>3.9959316416774017E-4</v>
      </c>
      <c r="BB376" s="119"/>
      <c r="BC376" s="121"/>
      <c r="BD376" s="119"/>
      <c r="BE376" s="119"/>
      <c r="BF376" s="119"/>
      <c r="BG376" s="173"/>
      <c r="BH376" s="173"/>
      <c r="BI376" s="173"/>
      <c r="BJ376" s="173"/>
      <c r="BK376" s="173"/>
      <c r="BL376" s="173"/>
      <c r="BM376" s="173"/>
      <c r="BN376" s="173"/>
      <c r="BO376" s="173"/>
      <c r="BP376" s="173"/>
      <c r="BQ376" s="118"/>
      <c r="BR376" s="118"/>
      <c r="BS376" s="118">
        <f>INDEX('Dist. Plant Gas Additions'!$F$7:$AE$91,MATCH($C376,'Dist. Plant Gas Additions'!$D$7:$D$91,0),MATCH(Calculation!$G376,'Dist. Plant Gas Additions'!$F$5:$AE$5,0))</f>
        <v>120419</v>
      </c>
      <c r="BT376" s="118">
        <f>INDEX('Gen. Plant Additions'!$F$7:$AE$91,MATCH($C376,'Gen. Plant Additions'!$D$7:$D$91,0),MATCH(Calculation!$G376,'Gen. Plant Additions'!$F$5:$AE$5,0))</f>
        <v>0</v>
      </c>
      <c r="BU376" s="118"/>
      <c r="BV376" s="118"/>
      <c r="BW376" s="118">
        <f>INDEX('Dist Plant Depreciation'!$E$7:$AD$94,MATCH($C376,'Dist Plant Depreciation'!$D$7:$D$94,0),MATCH(Calculation!$G376,'Dist Plant Depreciation'!$E$5:$AD$5,0))</f>
        <v>431102</v>
      </c>
      <c r="BX376" s="118">
        <f>INDEX('Gen. Plant Depreciation'!$E$7:$AD$94,MATCH($C376,'Gen. Plant Depreciation'!$D$7:$D$94,0),MATCH(Calculation!$G376,'Gen. Plant Depreciation'!$E$5:$AD$5,0))</f>
        <v>0</v>
      </c>
      <c r="BY376" s="118"/>
      <c r="BZ376" s="118"/>
      <c r="CA376" s="118"/>
      <c r="CB376" s="118"/>
      <c r="CC376" s="118"/>
      <c r="CD376" s="118"/>
      <c r="CE376" s="118">
        <f>INDEX('Gross Dx Plant'!$E$7:$AD$91,MATCH($C376,'Gross Dx Plant'!$D$7:$D$91,0),MATCH(Calculation!$G376,'Gross Dx Plant'!$E$5:$AD$5,0))</f>
        <v>1902805</v>
      </c>
      <c r="CF376" s="118">
        <f>INDEX('Gross Gen Plant'!$E$7:$AD$91,MATCH($C376,'Gross Gen Plant'!$D$7:$D$91,0),MATCH(Calculation!$G376,'Gross Gen Plant'!$E$5:$AD$5,0))</f>
        <v>0</v>
      </c>
      <c r="CG376" s="118">
        <f t="shared" si="969"/>
        <v>1471703</v>
      </c>
      <c r="CH376" s="118"/>
      <c r="CI376" s="121">
        <v>2002</v>
      </c>
      <c r="CJ376" s="118"/>
      <c r="CK376" s="118"/>
      <c r="CL376" s="118"/>
      <c r="CM376" s="183"/>
      <c r="CN376" s="118">
        <f t="shared" si="1046"/>
        <v>120419</v>
      </c>
      <c r="CO376" s="118">
        <f t="shared" si="1047"/>
        <v>333.24923555471702</v>
      </c>
      <c r="CP376" s="186">
        <v>0.97916666666666663</v>
      </c>
      <c r="CQ376" s="118">
        <f>+CQ372*CP376+CO373*CP375+CO374*CP374+CO375*CP373+CO376</f>
        <v>7052.4055867723409</v>
      </c>
      <c r="CR376" s="119">
        <f t="shared" si="1048"/>
        <v>4.2715659806434852E-2</v>
      </c>
      <c r="CS376" s="119"/>
      <c r="CT376" s="177">
        <f t="shared" si="1049"/>
        <v>5.6743528159358837E-3</v>
      </c>
      <c r="CU376" s="177">
        <f t="shared" ref="CU376:CU395" si="1057">+(CT376+CT375+CT374)/3</f>
        <v>5.3138969120572433E-3</v>
      </c>
      <c r="CV376" s="119">
        <f>VLOOKUP($H376,RoR!$E:$F,2,FALSE)</f>
        <v>6.4916666666666664E-2</v>
      </c>
      <c r="CW376" s="177">
        <v>1.5246423291824351E-2</v>
      </c>
      <c r="CX376" s="177">
        <f t="shared" si="1055"/>
        <v>4.9670243374842313E-2</v>
      </c>
      <c r="CY376" s="177">
        <f t="shared" ref="CY376:CY395" si="1058">+$CX$35-CU376</f>
        <v>2.5588044696476381E-2</v>
      </c>
      <c r="CZ376" s="177">
        <f t="shared" ref="CZ376:CZ395" si="1059">+((DM374/DM373-1)+(DM375/DM374-1)+(DM376/DM375-1))/3</f>
        <v>2.5243621214759093E-2</v>
      </c>
      <c r="DA376" s="187">
        <f t="shared" si="1050"/>
        <v>0.85131374874999999</v>
      </c>
      <c r="DB376" s="188">
        <f t="shared" si="1051"/>
        <v>0.78996741384417901</v>
      </c>
      <c r="DC376" s="188">
        <f t="shared" si="1052"/>
        <v>0.58989088575096271</v>
      </c>
      <c r="DD376" s="188">
        <f t="shared" si="1053"/>
        <v>0.91920675783645744</v>
      </c>
      <c r="DE376" s="188">
        <f t="shared" si="1054"/>
        <v>0.42834536472275586</v>
      </c>
      <c r="DF376" s="189">
        <f>INDEX('State Tax Lookup'!$D$7:$Z$91,MATCH(Calculation!$C376,'State Tax Lookup'!$B$7:$B$91,0),MATCH($H376,'State Tax Lookup'!$D$6:$Z$6,0))</f>
        <v>0.39649667</v>
      </c>
      <c r="DG376" s="189">
        <v>0.375</v>
      </c>
      <c r="DH376" s="190">
        <f t="shared" si="1056"/>
        <v>13.007253822665735</v>
      </c>
      <c r="DI376" s="190"/>
      <c r="DJ376" s="177"/>
      <c r="DK376" s="189">
        <f>VLOOKUP($H376,RoR!$E:$F,2,FALSE)</f>
        <v>6.4916666666666664E-2</v>
      </c>
      <c r="DL376" s="191">
        <f>HLOOKUP($H376,'GDP-PI'!$D$8:$CQ$11,3,FALSE)</f>
        <v>1.5246423291824351E-2</v>
      </c>
      <c r="DM376" s="189">
        <f>VLOOKUP(H376,'HW Dx Data'!$E:$F,2,FALSE)</f>
        <v>361.34816573413599</v>
      </c>
      <c r="DN376" s="183">
        <f>VLOOKUP(H376,'ECI - Input Price'!$G$17:$H$37,2,FALSE)</f>
        <v>89.275000000000006</v>
      </c>
      <c r="DO376" s="177">
        <f>LN(DN376/DN375)</f>
        <v>3.5051315810864674E-2</v>
      </c>
      <c r="DP376" s="183">
        <f>HLOOKUP(H376,'GDP-PI'!$8:$9,2,FALSE)</f>
        <v>81.039000000000001</v>
      </c>
      <c r="DQ376" s="177">
        <f>LN(DP376/DP375)</f>
        <v>1.513136459537477E-2</v>
      </c>
    </row>
    <row r="377" spans="1:121" s="167" customFormat="1" ht="21" x14ac:dyDescent="0.35">
      <c r="A377" s="167" t="s">
        <v>51</v>
      </c>
      <c r="B377" s="168" t="s">
        <v>51</v>
      </c>
      <c r="C377" s="168">
        <v>4057080</v>
      </c>
      <c r="D377" s="168" t="s">
        <v>136</v>
      </c>
      <c r="E377" s="168" t="s">
        <v>126</v>
      </c>
      <c r="F377" s="168"/>
      <c r="G377" s="168" t="s">
        <v>9</v>
      </c>
      <c r="H377" s="169">
        <v>2003</v>
      </c>
      <c r="I377" s="170"/>
      <c r="J377" s="166"/>
      <c r="K377" s="166"/>
      <c r="L377" s="166"/>
      <c r="M377" s="172"/>
      <c r="N377" s="196"/>
      <c r="O377" s="172"/>
      <c r="P377" s="166"/>
      <c r="Q377" s="166"/>
      <c r="R377" s="166"/>
      <c r="S377" s="166"/>
      <c r="T377" s="166"/>
      <c r="U377" s="166"/>
      <c r="V377" s="166">
        <f t="shared" si="1044"/>
        <v>93145.209758958794</v>
      </c>
      <c r="W377" s="170"/>
      <c r="X377" s="174">
        <v>7386.4240086070986</v>
      </c>
      <c r="Y377" s="175">
        <v>4.6274945246581538E-2</v>
      </c>
      <c r="Z377" s="175"/>
      <c r="AA377" s="175"/>
      <c r="AB377" s="175"/>
      <c r="AC377" s="170">
        <f t="shared" si="882"/>
        <v>93145.209758958794</v>
      </c>
      <c r="AD377" s="175"/>
      <c r="AE377" s="170"/>
      <c r="AF377" s="170"/>
      <c r="AG377" s="174"/>
      <c r="AH377" s="175"/>
      <c r="AI377" s="175"/>
      <c r="AJ377" s="174"/>
      <c r="AK377" s="174"/>
      <c r="AL377" s="120"/>
      <c r="AM377" s="120"/>
      <c r="AN377" s="120"/>
      <c r="AO377" s="120"/>
      <c r="AP377" s="120"/>
      <c r="AQ377" s="175"/>
      <c r="AR377" s="120"/>
      <c r="AS377" s="120"/>
      <c r="AT377" s="120"/>
      <c r="AU377" s="120"/>
      <c r="AV377" s="120"/>
      <c r="AW377" s="120"/>
      <c r="AX377" s="120"/>
      <c r="AY377" s="120"/>
      <c r="AZ377" s="118">
        <f>IFERROR(INDEX('Total Customers'!$F$7:$AB$91,MATCH($C377,'Total Customers'!$D$7:$D$91,0),MATCH($G377,'Total Customers'!$F$5:$AB$5,0)),"NA")</f>
        <v>1051147</v>
      </c>
      <c r="BA377" s="119">
        <f t="shared" si="1045"/>
        <v>2.2581789975640865E-3</v>
      </c>
      <c r="BB377" s="119"/>
      <c r="BC377" s="121"/>
      <c r="BD377" s="119"/>
      <c r="BE377" s="119"/>
      <c r="BF377" s="119"/>
      <c r="BG377" s="173"/>
      <c r="BH377" s="173"/>
      <c r="BI377" s="173"/>
      <c r="BJ377" s="173"/>
      <c r="BK377" s="173"/>
      <c r="BL377" s="173"/>
      <c r="BM377" s="173"/>
      <c r="BN377" s="173"/>
      <c r="BO377" s="173"/>
      <c r="BP377" s="173"/>
      <c r="BQ377" s="118"/>
      <c r="BR377" s="118"/>
      <c r="BS377" s="118">
        <f>INDEX('Dist. Plant Gas Additions'!$F$7:$AE$91,MATCH($C377,'Dist. Plant Gas Additions'!$D$7:$D$91,0),MATCH(Calculation!$G377,'Dist. Plant Gas Additions'!$F$5:$AE$5,0))</f>
        <v>138071</v>
      </c>
      <c r="BT377" s="118">
        <f>INDEX('Gen. Plant Additions'!$F$7:$AE$91,MATCH($C377,'Gen. Plant Additions'!$D$7:$D$91,0),MATCH(Calculation!$G377,'Gen. Plant Additions'!$F$5:$AE$5,0))</f>
        <v>0</v>
      </c>
      <c r="BU377" s="118"/>
      <c r="BV377" s="118"/>
      <c r="BW377" s="118">
        <f>INDEX('Dist Plant Depreciation'!$E$7:$AD$94,MATCH($C377,'Dist Plant Depreciation'!$D$7:$D$94,0),MATCH(Calculation!$G377,'Dist Plant Depreciation'!$E$5:$AD$5,0))</f>
        <v>462602</v>
      </c>
      <c r="BX377" s="118">
        <f>INDEX('Gen. Plant Depreciation'!$E$7:$AD$94,MATCH($C377,'Gen. Plant Depreciation'!$D$7:$D$94,0),MATCH(Calculation!$G377,'Gen. Plant Depreciation'!$E$5:$AD$5,0))</f>
        <v>0</v>
      </c>
      <c r="BY377" s="118"/>
      <c r="BZ377" s="118"/>
      <c r="CA377" s="118"/>
      <c r="CB377" s="118"/>
      <c r="CC377" s="118"/>
      <c r="CD377" s="118"/>
      <c r="CE377" s="118">
        <f>INDEX('Gross Dx Plant'!$E$7:$AD$91,MATCH($C377,'Gross Dx Plant'!$D$7:$D$91,0),MATCH(Calculation!$G377,'Gross Dx Plant'!$E$5:$AD$5,0))</f>
        <v>2030145</v>
      </c>
      <c r="CF377" s="118">
        <f>INDEX('Gross Gen Plant'!$E$7:$AD$91,MATCH($C377,'Gross Gen Plant'!$D$7:$D$91,0),MATCH(Calculation!$G377,'Gross Gen Plant'!$E$5:$AD$5,0))</f>
        <v>0</v>
      </c>
      <c r="CG377" s="118">
        <f t="shared" si="969"/>
        <v>1567543</v>
      </c>
      <c r="CH377" s="118"/>
      <c r="CI377" s="121">
        <v>2003</v>
      </c>
      <c r="CJ377" s="118"/>
      <c r="CK377" s="118"/>
      <c r="CL377" s="118"/>
      <c r="CM377" s="183"/>
      <c r="CN377" s="118">
        <f t="shared" si="1046"/>
        <v>138071</v>
      </c>
      <c r="CO377" s="118">
        <f t="shared" si="1047"/>
        <v>373.94002135037221</v>
      </c>
      <c r="CP377" s="186">
        <v>0.97354497354497349</v>
      </c>
      <c r="CQ377" s="118">
        <f>+CQ372*CP377+CO373*CP376+CO374*CP375+CO375*CP374+CO376*CP373+CO377</f>
        <v>7386.4240086070986</v>
      </c>
      <c r="CR377" s="119">
        <f t="shared" si="1048"/>
        <v>4.6274945246581538E-2</v>
      </c>
      <c r="CS377" s="119"/>
      <c r="CT377" s="177">
        <f t="shared" si="1049"/>
        <v>5.6607066942508891E-3</v>
      </c>
      <c r="CU377" s="177">
        <f t="shared" si="1057"/>
        <v>5.4861827686405046E-3</v>
      </c>
      <c r="CV377" s="119">
        <f>VLOOKUP($H377,RoR!$E:$F,2,FALSE)</f>
        <v>5.6666666666666671E-2</v>
      </c>
      <c r="CW377" s="177">
        <v>1.8855119140166909E-2</v>
      </c>
      <c r="CX377" s="177">
        <f t="shared" si="1055"/>
        <v>3.7811547526499761E-2</v>
      </c>
      <c r="CY377" s="177">
        <f t="shared" si="1058"/>
        <v>2.541575883989312E-2</v>
      </c>
      <c r="CZ377" s="177">
        <f t="shared" si="1059"/>
        <v>2.1375012817671957E-2</v>
      </c>
      <c r="DA377" s="187">
        <f t="shared" si="1050"/>
        <v>0.85131374874999999</v>
      </c>
      <c r="DB377" s="188">
        <f t="shared" si="1051"/>
        <v>0.90497737556561086</v>
      </c>
      <c r="DC377" s="188">
        <f t="shared" si="1052"/>
        <v>0.5338235294117647</v>
      </c>
      <c r="DD377" s="188">
        <f t="shared" si="1053"/>
        <v>0.88972433127405692</v>
      </c>
      <c r="DE377" s="188">
        <f t="shared" si="1054"/>
        <v>0.42982423775949252</v>
      </c>
      <c r="DF377" s="189">
        <f>INDEX('State Tax Lookup'!$D$7:$Z$91,MATCH(Calculation!$C377,'State Tax Lookup'!$B$7:$B$91,0),MATCH($H377,'State Tax Lookup'!$D$6:$Z$6,0))</f>
        <v>0.39649667</v>
      </c>
      <c r="DG377" s="189">
        <v>0.375</v>
      </c>
      <c r="DH377" s="190">
        <f t="shared" si="1056"/>
        <v>13.207579826898236</v>
      </c>
      <c r="DI377" s="190"/>
      <c r="DJ377" s="177"/>
      <c r="DK377" s="189">
        <f>VLOOKUP($H377,RoR!$E:$F,2,FALSE)</f>
        <v>5.6666666666666671E-2</v>
      </c>
      <c r="DL377" s="191">
        <f>HLOOKUP($H377,'GDP-PI'!$D$8:$CQ$11,3,FALSE)</f>
        <v>1.8855119140166909E-2</v>
      </c>
      <c r="DM377" s="189">
        <f>VLOOKUP(H377,'HW Dx Data'!$E:$F,2,FALSE)</f>
        <v>369.23301095560191</v>
      </c>
      <c r="DN377" s="183">
        <f>VLOOKUP(H377,'ECI - Input Price'!$G$17:$H$37,2,FALSE)</f>
        <v>92.625</v>
      </c>
      <c r="DO377" s="177">
        <f t="shared" ref="DO377" si="1060">LN(DN377/DN376)</f>
        <v>3.6837590135738785E-2</v>
      </c>
      <c r="DP377" s="183">
        <f>HLOOKUP(H377,'GDP-PI'!$8:$9,2,FALSE)</f>
        <v>82.566999999999993</v>
      </c>
      <c r="DQ377" s="177">
        <f t="shared" ref="DQ377" si="1061">LN(DP377/DP376)</f>
        <v>1.8679564681853753E-2</v>
      </c>
    </row>
    <row r="378" spans="1:121" s="167" customFormat="1" ht="21" x14ac:dyDescent="0.35">
      <c r="A378" s="167" t="s">
        <v>51</v>
      </c>
      <c r="B378" s="168" t="s">
        <v>51</v>
      </c>
      <c r="C378" s="168">
        <v>4057080</v>
      </c>
      <c r="D378" s="168" t="s">
        <v>136</v>
      </c>
      <c r="E378" s="168" t="s">
        <v>126</v>
      </c>
      <c r="F378" s="168"/>
      <c r="G378" s="168" t="s">
        <v>10</v>
      </c>
      <c r="H378" s="169">
        <v>2004</v>
      </c>
      <c r="I378" s="170"/>
      <c r="J378" s="166">
        <f>IFERROR(INDEX('Labor Expenditures'!$F$7:$X$91,MATCH($C378,'Labor Expenditures'!$D$7:$D$91,0),MATCH($G378,'Labor Expenditures'!$F$5:$X$5,0)),"NA")</f>
        <v>61522.071778329351</v>
      </c>
      <c r="K378" s="166">
        <f t="shared" ref="K378:K395" si="1062">+J378/DN378</f>
        <v>639.68881495533515</v>
      </c>
      <c r="L378" s="172"/>
      <c r="M378" s="172"/>
      <c r="N378" s="196"/>
      <c r="O378" s="172"/>
      <c r="P378" s="166">
        <f>IFERROR(INDEX('Non-Labor Expenditures'!$F$7:$AB$91,MATCH($C378,'Non-Labor Expenditures'!$D$7:$D$91,0),MATCH($G378,'Non-Labor Expenditures'!$F$5:$AB$5,0)),"NA")</f>
        <v>89095.450673002488</v>
      </c>
      <c r="Q378" s="166">
        <f t="shared" ref="Q378:Q395" si="1063">+P378/DP378</f>
        <v>1050.9265454835274</v>
      </c>
      <c r="R378" s="166"/>
      <c r="S378" s="166"/>
      <c r="T378" s="166"/>
      <c r="U378" s="166"/>
      <c r="V378" s="166">
        <f t="shared" si="1044"/>
        <v>108268.70900560265</v>
      </c>
      <c r="W378" s="170"/>
      <c r="X378" s="174">
        <v>7685.6787468780412</v>
      </c>
      <c r="Y378" s="175">
        <v>3.9714972238549168E-2</v>
      </c>
      <c r="Z378" s="175"/>
      <c r="AA378" s="175"/>
      <c r="AB378" s="175"/>
      <c r="AC378" s="170">
        <f t="shared" si="882"/>
        <v>258886.23145693447</v>
      </c>
      <c r="AD378" s="175"/>
      <c r="AE378" s="170"/>
      <c r="AF378" s="170"/>
      <c r="AG378" s="174"/>
      <c r="AH378" s="175"/>
      <c r="AI378" s="175"/>
      <c r="AJ378" s="174"/>
      <c r="AK378" s="174"/>
      <c r="AL378" s="120">
        <f t="shared" ref="AL378:AL395" si="1064">+J378/AC378</f>
        <v>0.23764134319581803</v>
      </c>
      <c r="AM378" s="120">
        <f t="shared" ref="AM378:AM395" si="1065">+P378/AC378</f>
        <v>0.34414905022797032</v>
      </c>
      <c r="AN378" s="120">
        <f t="shared" ref="AN378:AN395" si="1066">+V378/AC378</f>
        <v>0.4182096065762117</v>
      </c>
      <c r="AO378" s="120"/>
      <c r="AP378" s="120"/>
      <c r="AQ378" s="175"/>
      <c r="AR378" s="120"/>
      <c r="AS378" s="120"/>
      <c r="AT378" s="120"/>
      <c r="AU378" s="120"/>
      <c r="AV378" s="120"/>
      <c r="AW378" s="120"/>
      <c r="AX378" s="120"/>
      <c r="AY378" s="120"/>
      <c r="AZ378" s="118">
        <f>IFERROR(INDEX('Total Customers'!$F$7:$AB$91,MATCH($C378,'Total Customers'!$D$7:$D$91,0),MATCH($G378,'Total Customers'!$F$5:$AB$5,0)),"NA")</f>
        <v>1041458</v>
      </c>
      <c r="BA378" s="119">
        <f t="shared" si="1045"/>
        <v>-9.2602944543719538E-3</v>
      </c>
      <c r="BB378" s="119"/>
      <c r="BC378" s="121"/>
      <c r="BD378" s="119"/>
      <c r="BE378" s="119"/>
      <c r="BF378" s="119"/>
      <c r="BG378" s="173"/>
      <c r="BH378" s="173"/>
      <c r="BI378" s="173"/>
      <c r="BJ378" s="173"/>
      <c r="BK378" s="173"/>
      <c r="BL378" s="173"/>
      <c r="BM378" s="173"/>
      <c r="BN378" s="173"/>
      <c r="BO378" s="173"/>
      <c r="BP378" s="173"/>
      <c r="BQ378" s="118"/>
      <c r="BR378" s="118"/>
      <c r="BS378" s="118">
        <f>INDEX('Dist. Plant Gas Additions'!$F$7:$AE$91,MATCH($C378,'Dist. Plant Gas Additions'!$D$7:$D$91,0),MATCH(Calculation!$G378,'Dist. Plant Gas Additions'!$F$5:$AE$5,0))</f>
        <v>142023</v>
      </c>
      <c r="BT378" s="118">
        <f>INDEX('Gen. Plant Additions'!$F$7:$AE$91,MATCH($C378,'Gen. Plant Additions'!$D$7:$D$91,0),MATCH(Calculation!$G378,'Gen. Plant Additions'!$F$5:$AE$5,0))</f>
        <v>0</v>
      </c>
      <c r="BU378" s="118"/>
      <c r="BV378" s="118"/>
      <c r="BW378" s="118">
        <f>INDEX('Dist Plant Depreciation'!$E$7:$AD$94,MATCH($C378,'Dist Plant Depreciation'!$D$7:$D$94,0),MATCH(Calculation!$G378,'Dist Plant Depreciation'!$E$5:$AD$5,0))</f>
        <v>500384</v>
      </c>
      <c r="BX378" s="118">
        <f>INDEX('Gen. Plant Depreciation'!$E$7:$AD$94,MATCH($C378,'Gen. Plant Depreciation'!$D$7:$D$94,0),MATCH(Calculation!$G378,'Gen. Plant Depreciation'!$E$5:$AD$5,0))</f>
        <v>0</v>
      </c>
      <c r="BY378" s="118"/>
      <c r="BZ378" s="118"/>
      <c r="CA378" s="118"/>
      <c r="CB378" s="118"/>
      <c r="CC378" s="118"/>
      <c r="CD378" s="118"/>
      <c r="CE378" s="118">
        <f>INDEX('Gross Dx Plant'!$E$7:$AD$91,MATCH($C378,'Gross Dx Plant'!$D$7:$D$91,0),MATCH(Calculation!$G378,'Gross Dx Plant'!$E$5:$AD$5,0))</f>
        <v>2162736</v>
      </c>
      <c r="CF378" s="118">
        <f>INDEX('Gross Gen Plant'!$E$7:$AD$91,MATCH($C378,'Gross Gen Plant'!$D$7:$D$91,0),MATCH(Calculation!$G378,'Gross Gen Plant'!$E$5:$AD$5,0))</f>
        <v>0</v>
      </c>
      <c r="CG378" s="118">
        <f t="shared" si="969"/>
        <v>1662352</v>
      </c>
      <c r="CH378" s="118"/>
      <c r="CI378" s="121">
        <v>2004</v>
      </c>
      <c r="CJ378" s="118"/>
      <c r="CK378" s="118"/>
      <c r="CL378" s="118"/>
      <c r="CM378" s="183"/>
      <c r="CN378" s="118">
        <f t="shared" si="1046"/>
        <v>142023</v>
      </c>
      <c r="CO378" s="118">
        <f t="shared" si="1047"/>
        <v>342.31714779405485</v>
      </c>
      <c r="CP378" s="186">
        <v>0.967741935483871</v>
      </c>
      <c r="CQ378" s="118">
        <f>+CQ372*CP378+CO373*CP377+CO374*CP376+CO375*CP375+CO376*CP374+CO377*CP373+CO378</f>
        <v>7685.6787468780412</v>
      </c>
      <c r="CR378" s="119">
        <f t="shared" si="1048"/>
        <v>3.9714972238549168E-2</v>
      </c>
      <c r="CS378" s="119"/>
      <c r="CT378" s="177">
        <f t="shared" si="1049"/>
        <v>5.8299400999635717E-3</v>
      </c>
      <c r="CU378" s="177">
        <f t="shared" si="1057"/>
        <v>5.7216665367167824E-3</v>
      </c>
      <c r="CV378" s="119">
        <f>VLOOKUP($H378,RoR!$E:$F,2,FALSE)</f>
        <v>5.6283333333333331E-2</v>
      </c>
      <c r="CW378" s="177">
        <v>2.6778252812867276E-2</v>
      </c>
      <c r="CX378" s="177">
        <f t="shared" si="1055"/>
        <v>2.9505080520466055E-2</v>
      </c>
      <c r="CY378" s="177">
        <f t="shared" si="1058"/>
        <v>2.5180275071816843E-2</v>
      </c>
      <c r="CZ378" s="177">
        <f t="shared" si="1059"/>
        <v>5.5940039414565046E-2</v>
      </c>
      <c r="DA378" s="187">
        <f t="shared" si="1050"/>
        <v>0.85131374874999999</v>
      </c>
      <c r="DB378" s="188">
        <f t="shared" si="1051"/>
        <v>0.91114097628755619</v>
      </c>
      <c r="DC378" s="188">
        <f t="shared" si="1052"/>
        <v>0.53081877405981637</v>
      </c>
      <c r="DD378" s="188">
        <f t="shared" si="1053"/>
        <v>0.88811215519385678</v>
      </c>
      <c r="DE378" s="188">
        <f t="shared" si="1054"/>
        <v>0.42953609753547711</v>
      </c>
      <c r="DF378" s="189">
        <f>INDEX('State Tax Lookup'!$D$7:$Z$91,MATCH(Calculation!$C378,'State Tax Lookup'!$B$7:$B$91,0),MATCH($H378,'State Tax Lookup'!$D$6:$Z$6,0))</f>
        <v>0.39649667</v>
      </c>
      <c r="DG378" s="189">
        <v>0.375</v>
      </c>
      <c r="DH378" s="190">
        <f t="shared" si="1056"/>
        <v>14.65779772179901</v>
      </c>
      <c r="DI378" s="190"/>
      <c r="DJ378" s="177"/>
      <c r="DK378" s="189">
        <f>VLOOKUP($H378,RoR!$E:$F,2,FALSE)</f>
        <v>5.6283333333333331E-2</v>
      </c>
      <c r="DL378" s="191">
        <f>HLOOKUP($H378,'GDP-PI'!$D$8:$CQ$11,3,FALSE)</f>
        <v>2.6778252812867276E-2</v>
      </c>
      <c r="DM378" s="189">
        <f>VLOOKUP(H378,'HW Dx Data'!$E:$F,2,FALSE)</f>
        <v>414.88719135228365</v>
      </c>
      <c r="DN378" s="183">
        <f>VLOOKUP(H378,'ECI - Input Price'!$G$17:$H$37,2,FALSE)</f>
        <v>96.174999999999997</v>
      </c>
      <c r="DO378" s="177">
        <f t="shared" ref="DO378" si="1067">LN(DN378/DN377)</f>
        <v>3.7610365022107912E-2</v>
      </c>
      <c r="DP378" s="183">
        <f>HLOOKUP(H378,'GDP-PI'!$8:$9,2,FALSE)</f>
        <v>84.778000000000006</v>
      </c>
      <c r="DQ378" s="177">
        <f t="shared" ref="DQ378" si="1068">LN(DP378/DP377)</f>
        <v>2.6425990216022755E-2</v>
      </c>
    </row>
    <row r="379" spans="1:121" s="167" customFormat="1" ht="21" x14ac:dyDescent="0.35">
      <c r="A379" s="167" t="s">
        <v>51</v>
      </c>
      <c r="B379" s="168" t="s">
        <v>51</v>
      </c>
      <c r="C379" s="168">
        <v>4057080</v>
      </c>
      <c r="D379" s="168" t="s">
        <v>136</v>
      </c>
      <c r="E379" s="168" t="s">
        <v>126</v>
      </c>
      <c r="F379" s="168"/>
      <c r="G379" s="168" t="s">
        <v>11</v>
      </c>
      <c r="H379" s="169">
        <v>2005</v>
      </c>
      <c r="I379" s="170"/>
      <c r="J379" s="166">
        <f>IFERROR(INDEX('Labor Expenditures'!$F$7:$X$91,MATCH($C379,'Labor Expenditures'!$D$7:$D$91,0),MATCH($G379,'Labor Expenditures'!$F$5:$X$5,0)),"NA")</f>
        <v>68711.047060469995</v>
      </c>
      <c r="K379" s="166">
        <f t="shared" si="1062"/>
        <v>693.00097892556721</v>
      </c>
      <c r="L379" s="172">
        <f t="shared" ref="L379:L395" si="1069">LN(K379/K378)</f>
        <v>8.0049580304983076E-2</v>
      </c>
      <c r="M379" s="172"/>
      <c r="N379" s="196"/>
      <c r="O379" s="172"/>
      <c r="P379" s="166">
        <f>IFERROR(INDEX('Non-Labor Expenditures'!$F$7:$AB$91,MATCH($C379,'Non-Labor Expenditures'!$D$7:$D$91,0),MATCH($G379,'Non-Labor Expenditures'!$F$5:$AB$5,0)),"NA")</f>
        <v>99506.429596911374</v>
      </c>
      <c r="Q379" s="166">
        <f t="shared" si="1063"/>
        <v>1138.4263227992194</v>
      </c>
      <c r="R379" s="172">
        <f>LN(Q379/Q378)</f>
        <v>7.9974690821695837E-2</v>
      </c>
      <c r="S379" s="172"/>
      <c r="T379" s="172"/>
      <c r="U379" s="172"/>
      <c r="V379" s="166">
        <f t="shared" si="1044"/>
        <v>126527.84083982083</v>
      </c>
      <c r="W379" s="170"/>
      <c r="X379" s="174">
        <v>7938.9244755827076</v>
      </c>
      <c r="Y379" s="175">
        <v>3.241911551867406E-2</v>
      </c>
      <c r="Z379" s="175"/>
      <c r="AA379" s="175"/>
      <c r="AB379" s="175"/>
      <c r="AC379" s="170">
        <f t="shared" si="882"/>
        <v>294745.3174972022</v>
      </c>
      <c r="AD379" s="175">
        <f>LN(AC379/AC378)</f>
        <v>0.12972294852521735</v>
      </c>
      <c r="AE379" s="170"/>
      <c r="AF379" s="170"/>
      <c r="AG379" s="121"/>
      <c r="AH379" s="119"/>
      <c r="AI379" s="119"/>
      <c r="AJ379" s="121"/>
      <c r="AK379" s="121"/>
      <c r="AL379" s="120">
        <f t="shared" si="1064"/>
        <v>0.23312006325977416</v>
      </c>
      <c r="AM379" s="120">
        <f t="shared" si="1065"/>
        <v>0.33760139242197096</v>
      </c>
      <c r="AN379" s="120">
        <f t="shared" si="1066"/>
        <v>0.42927854431825491</v>
      </c>
      <c r="AO379" s="120">
        <f t="shared" ref="AO379:AO395" si="1070">+(((AL379+AL378)/2)*L379+((AM378+AM379)/2)*R379+((AN378+AN379)/2)*Y379)</f>
        <v>5.9840925071796107E-2</v>
      </c>
      <c r="AP379" s="173">
        <v>100</v>
      </c>
      <c r="AQ379" s="175"/>
      <c r="AR379" s="120"/>
      <c r="AS379" s="120"/>
      <c r="AT379" s="120"/>
      <c r="AU379" s="120"/>
      <c r="AV379" s="120"/>
      <c r="AW379" s="120"/>
      <c r="AX379" s="120"/>
      <c r="AY379" s="120"/>
      <c r="AZ379" s="118">
        <f>IFERROR(INDEX('Total Customers'!$F$7:$AB$91,MATCH($C379,'Total Customers'!$D$7:$D$91,0),MATCH($G379,'Total Customers'!$F$5:$AB$5,0)),"NA")</f>
        <v>1054926</v>
      </c>
      <c r="BA379" s="119">
        <f t="shared" si="1045"/>
        <v>1.2848967834333152E-2</v>
      </c>
      <c r="BB379" s="119"/>
      <c r="BC379" s="121"/>
      <c r="BD379" s="119"/>
      <c r="BE379" s="119"/>
      <c r="BF379" s="119"/>
      <c r="BG379" s="173"/>
      <c r="BH379" s="173"/>
      <c r="BI379" s="173"/>
      <c r="BJ379" s="173"/>
      <c r="BK379" s="173"/>
      <c r="BL379" s="173"/>
      <c r="BM379" s="173"/>
      <c r="BN379" s="173"/>
      <c r="BO379" s="173"/>
      <c r="BP379" s="173"/>
      <c r="BQ379" s="118"/>
      <c r="BR379" s="118"/>
      <c r="BS379" s="118">
        <f>INDEX('Dist. Plant Gas Additions'!$F$7:$AE$91,MATCH($C379,'Dist. Plant Gas Additions'!$D$7:$D$91,0),MATCH(Calculation!$G379,'Dist. Plant Gas Additions'!$F$5:$AE$5,0))</f>
        <v>140485</v>
      </c>
      <c r="BT379" s="118">
        <f>INDEX('Gen. Plant Additions'!$F$7:$AE$91,MATCH($C379,'Gen. Plant Additions'!$D$7:$D$91,0),MATCH(Calculation!$G379,'Gen. Plant Additions'!$F$5:$AE$5,0))</f>
        <v>0</v>
      </c>
      <c r="BU379" s="118"/>
      <c r="BV379" s="118"/>
      <c r="BW379" s="118">
        <f>INDEX('Dist Plant Depreciation'!$E$7:$AD$94,MATCH($C379,'Dist Plant Depreciation'!$D$7:$D$94,0),MATCH(Calculation!$G379,'Dist Plant Depreciation'!$E$5:$AD$5,0))</f>
        <v>537924</v>
      </c>
      <c r="BX379" s="118">
        <f>INDEX('Gen. Plant Depreciation'!$E$7:$AD$94,MATCH($C379,'Gen. Plant Depreciation'!$D$7:$D$94,0),MATCH(Calculation!$G379,'Gen. Plant Depreciation'!$E$5:$AD$5,0))</f>
        <v>0</v>
      </c>
      <c r="BY379" s="118"/>
      <c r="BZ379" s="118"/>
      <c r="CA379" s="118"/>
      <c r="CB379" s="118"/>
      <c r="CC379" s="118"/>
      <c r="CD379" s="118"/>
      <c r="CE379" s="118">
        <f>INDEX('Gross Dx Plant'!$E$7:$AD$91,MATCH($C379,'Gross Dx Plant'!$D$7:$D$91,0),MATCH(Calculation!$G379,'Gross Dx Plant'!$E$5:$AD$5,0))</f>
        <v>2292855</v>
      </c>
      <c r="CF379" s="118">
        <f>INDEX('Gross Gen Plant'!$E$7:$AD$91,MATCH($C379,'Gross Gen Plant'!$D$7:$D$91,0),MATCH(Calculation!$G379,'Gross Gen Plant'!$E$5:$AD$5,0))</f>
        <v>0</v>
      </c>
      <c r="CG379" s="118">
        <f t="shared" si="969"/>
        <v>1754931</v>
      </c>
      <c r="CH379" s="118"/>
      <c r="CI379" s="121">
        <v>2005</v>
      </c>
      <c r="CJ379" s="118"/>
      <c r="CK379" s="118"/>
      <c r="CL379" s="118"/>
      <c r="CM379" s="183"/>
      <c r="CN379" s="118">
        <f t="shared" si="1046"/>
        <v>140485</v>
      </c>
      <c r="CO379" s="118">
        <f t="shared" si="1047"/>
        <v>299.41061578182439</v>
      </c>
      <c r="CP379" s="186">
        <v>0.96174863387978138</v>
      </c>
      <c r="CQ379" s="118">
        <f>+CQ372*CP379+CO373*CP378+CO374*CP377+CO375*CP376+CO376*CP375+CO377*CP374+CO378*CP373+CO379</f>
        <v>7938.9244755827076</v>
      </c>
      <c r="CR379" s="119">
        <f t="shared" si="1048"/>
        <v>3.241911551867406E-2</v>
      </c>
      <c r="CS379" s="119"/>
      <c r="CT379" s="177">
        <f t="shared" si="1049"/>
        <v>6.0066115950930714E-3</v>
      </c>
      <c r="CU379" s="177">
        <f t="shared" si="1057"/>
        <v>5.8324194631025105E-3</v>
      </c>
      <c r="CV379" s="119">
        <f>VLOOKUP($H379,RoR!$E:$F,2,FALSE)</f>
        <v>5.2350000000000001E-2</v>
      </c>
      <c r="CW379" s="177">
        <v>3.1010403642454332E-2</v>
      </c>
      <c r="CX379" s="177">
        <f t="shared" si="1055"/>
        <v>2.1339596357545669E-2</v>
      </c>
      <c r="CY379" s="177">
        <f t="shared" si="1058"/>
        <v>2.5069522145431115E-2</v>
      </c>
      <c r="CZ379" s="177">
        <f t="shared" si="1059"/>
        <v>9.2129610649277341E-2</v>
      </c>
      <c r="DA379" s="187">
        <f t="shared" si="1050"/>
        <v>0.85131374874999999</v>
      </c>
      <c r="DB379" s="188">
        <f t="shared" si="1051"/>
        <v>0.97959983346802826</v>
      </c>
      <c r="DC379" s="188">
        <f t="shared" si="1052"/>
        <v>0.49744508118433622</v>
      </c>
      <c r="DD379" s="188">
        <f t="shared" si="1053"/>
        <v>0.87010519444335932</v>
      </c>
      <c r="DE379" s="188">
        <f t="shared" si="1054"/>
        <v>0.42399975420741998</v>
      </c>
      <c r="DF379" s="189">
        <f>INDEX('State Tax Lookup'!$D$7:$Z$91,MATCH(Calculation!$C379,'State Tax Lookup'!$B$7:$B$91,0),MATCH($H379,'State Tax Lookup'!$D$6:$Z$6,0))</f>
        <v>0.39649667</v>
      </c>
      <c r="DG379" s="189">
        <v>0.375</v>
      </c>
      <c r="DH379" s="190">
        <f t="shared" si="1056"/>
        <v>16.462806345011106</v>
      </c>
      <c r="DI379" s="190"/>
      <c r="DJ379" s="177"/>
      <c r="DK379" s="189">
        <f>VLOOKUP($H379,RoR!$E:$F,2,FALSE)</f>
        <v>5.2350000000000001E-2</v>
      </c>
      <c r="DL379" s="191">
        <f>HLOOKUP($H379,'GDP-PI'!$D$8:$CQ$11,3,FALSE)</f>
        <v>3.1010403642454332E-2</v>
      </c>
      <c r="DM379" s="189">
        <f>VLOOKUP(H379,'HW Dx Data'!$E:$F,2,FALSE)</f>
        <v>469.20514034936258</v>
      </c>
      <c r="DN379" s="183">
        <f>VLOOKUP(H379,'ECI - Input Price'!$G$17:$H$37,2,FALSE)</f>
        <v>99.15</v>
      </c>
      <c r="DO379" s="177">
        <f t="shared" ref="DO379" si="1071">LN(DN379/DN378)</f>
        <v>3.046440632744625E-2</v>
      </c>
      <c r="DP379" s="183">
        <f>HLOOKUP(H379,'GDP-PI'!$8:$9,2,FALSE)</f>
        <v>87.406999999999996</v>
      </c>
      <c r="DQ379" s="177">
        <f t="shared" ref="DQ379" si="1072">LN(DP379/DP378)</f>
        <v>3.0539295810733648E-2</v>
      </c>
    </row>
    <row r="380" spans="1:121" s="167" customFormat="1" ht="21" x14ac:dyDescent="0.35">
      <c r="A380" s="167" t="s">
        <v>51</v>
      </c>
      <c r="B380" s="168" t="s">
        <v>51</v>
      </c>
      <c r="C380" s="168">
        <v>4057080</v>
      </c>
      <c r="D380" s="168" t="s">
        <v>136</v>
      </c>
      <c r="E380" s="168" t="s">
        <v>126</v>
      </c>
      <c r="F380" s="168"/>
      <c r="G380" s="168" t="s">
        <v>12</v>
      </c>
      <c r="H380" s="169">
        <v>2006</v>
      </c>
      <c r="I380" s="170"/>
      <c r="J380" s="166">
        <f>IFERROR(INDEX('Labor Expenditures'!$F$7:$X$91,MATCH($C380,'Labor Expenditures'!$D$7:$D$91,0),MATCH($G380,'Labor Expenditures'!$F$5:$X$5,0)),"NA")</f>
        <v>73972.106776327477</v>
      </c>
      <c r="K380" s="166">
        <f t="shared" si="1062"/>
        <v>724.86140888120997</v>
      </c>
      <c r="L380" s="172">
        <f t="shared" si="1069"/>
        <v>4.4949064637481967E-2</v>
      </c>
      <c r="M380" s="172">
        <f t="shared" ref="M380:M395" si="1073">+L380*AR380</f>
        <v>1.7446271110204536E-3</v>
      </c>
      <c r="N380" s="196"/>
      <c r="O380" s="172"/>
      <c r="P380" s="166">
        <f>IFERROR(INDEX('Non-Labor Expenditures'!$F$7:$AB$91,MATCH($C380,'Non-Labor Expenditures'!$D$7:$D$91,0),MATCH($G380,'Non-Labor Expenditures'!$F$5:$AB$5,0)),"NA")</f>
        <v>107125.42669588438</v>
      </c>
      <c r="Q380" s="166">
        <f t="shared" si="1063"/>
        <v>1189.3046461341162</v>
      </c>
      <c r="R380" s="172">
        <f t="shared" ref="R380:R395" si="1074">LN(Q380/Q379)</f>
        <v>4.3721915202076141E-2</v>
      </c>
      <c r="S380" s="172">
        <f>+R380*AR380</f>
        <v>1.6969972394858814E-3</v>
      </c>
      <c r="T380" s="172"/>
      <c r="U380" s="172"/>
      <c r="V380" s="166">
        <f t="shared" si="1044"/>
        <v>127645.33662070055</v>
      </c>
      <c r="W380" s="170"/>
      <c r="X380" s="174">
        <v>8240.7277524000474</v>
      </c>
      <c r="Y380" s="175">
        <v>3.7310849879213272E-2</v>
      </c>
      <c r="Z380" s="175">
        <f>+Y380*AR380</f>
        <v>1.448161841841971E-3</v>
      </c>
      <c r="AA380" s="175"/>
      <c r="AB380" s="175"/>
      <c r="AC380" s="170">
        <f t="shared" si="882"/>
        <v>308742.8700929124</v>
      </c>
      <c r="AD380" s="175">
        <f t="shared" ref="AD380:AD395" si="1075">LN(AC380/AC379)</f>
        <v>4.6397141921626694E-2</v>
      </c>
      <c r="AE380" s="170"/>
      <c r="AF380" s="170"/>
      <c r="AG380" s="121">
        <f t="shared" ref="AG380:AG395" si="1076">+(AC380*1000)/AZ380</f>
        <v>268.82035863241276</v>
      </c>
      <c r="AH380" s="119">
        <f>+AZ380/$BB$44</f>
        <v>3.2670437857712932E-2</v>
      </c>
      <c r="AI380" s="119">
        <f>+AZ380/$BC$44</f>
        <v>0.1392576088130808</v>
      </c>
      <c r="AJ380" s="176">
        <f>+AH380*AG380</f>
        <v>8.7824788215883451</v>
      </c>
      <c r="AK380" s="176">
        <f>+AI380*AG380</f>
        <v>37.435280343424623</v>
      </c>
      <c r="AL380" s="120">
        <f t="shared" si="1064"/>
        <v>0.2395913037734814</v>
      </c>
      <c r="AM380" s="120">
        <f t="shared" si="1065"/>
        <v>0.34697295734682487</v>
      </c>
      <c r="AN380" s="120">
        <f t="shared" si="1066"/>
        <v>0.41343573887969376</v>
      </c>
      <c r="AO380" s="120">
        <f t="shared" si="1070"/>
        <v>4.1310610786612724E-2</v>
      </c>
      <c r="AP380" s="173">
        <f>+AP379*EXP(AO380)</f>
        <v>104.21757663111775</v>
      </c>
      <c r="AQ380" s="175">
        <f>LN(AP380/AP379)</f>
        <v>4.1310610786612738E-2</v>
      </c>
      <c r="AR380" s="177">
        <f>+AC380/$AE$44</f>
        <v>3.8813424152226966E-2</v>
      </c>
      <c r="AS380" s="177">
        <f>+AR380*AQ380</f>
        <v>1.6034062584483627E-3</v>
      </c>
      <c r="AT380" s="177"/>
      <c r="AU380" s="177"/>
      <c r="AV380" s="177"/>
      <c r="AW380" s="190"/>
      <c r="AX380" s="120"/>
      <c r="AY380" s="120"/>
      <c r="AZ380" s="118">
        <f>IFERROR(INDEX('Total Customers'!$F$7:$AB$91,MATCH($C380,'Total Customers'!$D$7:$D$91,0),MATCH($G380,'Total Customers'!$F$5:$AB$5,0)),"NA")</f>
        <v>1148510</v>
      </c>
      <c r="BA380" s="119">
        <f t="shared" si="1045"/>
        <v>8.4994827830395081E-2</v>
      </c>
      <c r="BB380" s="119"/>
      <c r="BC380" s="121">
        <v>8247377</v>
      </c>
      <c r="BD380" s="119"/>
      <c r="BE380" s="119"/>
      <c r="BF380" s="119"/>
      <c r="BG380" s="173"/>
      <c r="BH380" s="173"/>
      <c r="BI380" s="173"/>
      <c r="BJ380" s="173"/>
      <c r="BK380" s="173"/>
      <c r="BL380" s="173"/>
      <c r="BM380" s="173"/>
      <c r="BN380" s="173"/>
      <c r="BO380" s="173"/>
      <c r="BP380" s="173"/>
      <c r="BQ380" s="118"/>
      <c r="BR380" s="118"/>
      <c r="BS380" s="118">
        <f>INDEX('Dist. Plant Gas Additions'!$F$7:$AE$91,MATCH($C380,'Dist. Plant Gas Additions'!$D$7:$D$91,0),MATCH(Calculation!$G380,'Dist. Plant Gas Additions'!$F$5:$AE$5,0))</f>
        <v>161831</v>
      </c>
      <c r="BT380" s="118">
        <f>INDEX('Gen. Plant Additions'!$F$7:$AE$91,MATCH($C380,'Gen. Plant Additions'!$D$7:$D$91,0),MATCH(Calculation!$G380,'Gen. Plant Additions'!$F$5:$AE$5,0))</f>
        <v>0</v>
      </c>
      <c r="BU380" s="118"/>
      <c r="BV380" s="118"/>
      <c r="BW380" s="118">
        <f>INDEX('Dist Plant Depreciation'!$E$7:$AD$94,MATCH($C380,'Dist Plant Depreciation'!$D$7:$D$94,0),MATCH(Calculation!$G380,'Dist Plant Depreciation'!$E$5:$AD$5,0))</f>
        <v>579904</v>
      </c>
      <c r="BX380" s="118">
        <f>INDEX('Gen. Plant Depreciation'!$E$7:$AD$94,MATCH($C380,'Gen. Plant Depreciation'!$D$7:$D$94,0),MATCH(Calculation!$G380,'Gen. Plant Depreciation'!$E$5:$AD$5,0))</f>
        <v>0</v>
      </c>
      <c r="BY380" s="118"/>
      <c r="BZ380" s="118"/>
      <c r="CA380" s="118"/>
      <c r="CB380" s="118"/>
      <c r="CC380" s="118"/>
      <c r="CD380" s="118"/>
      <c r="CE380" s="118">
        <f>INDEX('Gross Dx Plant'!$E$7:$AD$91,MATCH($C380,'Gross Dx Plant'!$D$7:$D$91,0),MATCH(Calculation!$G380,'Gross Dx Plant'!$E$5:$AD$5,0))</f>
        <v>2445432</v>
      </c>
      <c r="CF380" s="118">
        <f>INDEX('Gross Gen Plant'!$E$7:$AD$91,MATCH($C380,'Gross Gen Plant'!$D$7:$D$91,0),MATCH(Calculation!$G380,'Gross Gen Plant'!$E$5:$AD$5,0))</f>
        <v>0</v>
      </c>
      <c r="CG380" s="118">
        <f t="shared" si="969"/>
        <v>1865528</v>
      </c>
      <c r="CH380" s="119" t="e">
        <f>SUM(#REF!)/15</f>
        <v>#REF!</v>
      </c>
      <c r="CI380" s="121">
        <v>2006</v>
      </c>
      <c r="CJ380" s="118"/>
      <c r="CK380" s="118"/>
      <c r="CL380" s="118"/>
      <c r="CM380" s="183"/>
      <c r="CN380" s="118">
        <f t="shared" si="1046"/>
        <v>161831</v>
      </c>
      <c r="CO380" s="118">
        <f t="shared" si="1047"/>
        <v>350.97815779425224</v>
      </c>
      <c r="CP380" s="186">
        <v>0.9555555555555556</v>
      </c>
      <c r="CQ380" s="118">
        <f>+CQ372*CP380+CO373*CP379+CO374*CP378+CO375*CP377+CO376*CP376+CO377*CP375+CO378*CP374+CO379*CP373+CO380</f>
        <v>8240.7277524000474</v>
      </c>
      <c r="CR380" s="119">
        <f t="shared" si="1048"/>
        <v>3.7310849879213272E-2</v>
      </c>
      <c r="CS380" s="119"/>
      <c r="CT380" s="177">
        <f t="shared" si="1049"/>
        <v>6.1941489843059718E-3</v>
      </c>
      <c r="CU380" s="177">
        <f t="shared" si="1057"/>
        <v>6.0102335597875386E-3</v>
      </c>
      <c r="CV380" s="119">
        <f>VLOOKUP($H380,RoR!$E:$F,2,FALSE)</f>
        <v>5.5874999999999994E-2</v>
      </c>
      <c r="CW380" s="177">
        <v>3.0512430354548314E-2</v>
      </c>
      <c r="CX380" s="177">
        <f t="shared" si="1055"/>
        <v>2.536256964545168E-2</v>
      </c>
      <c r="CY380" s="177">
        <f t="shared" si="1058"/>
        <v>2.4891708048746086E-2</v>
      </c>
      <c r="CZ380" s="177">
        <f t="shared" si="1059"/>
        <v>7.9087823893859641E-2</v>
      </c>
      <c r="DA380" s="187">
        <f t="shared" si="1050"/>
        <v>0.85131374874999999</v>
      </c>
      <c r="DB380" s="188">
        <f t="shared" si="1051"/>
        <v>0.91779957551769631</v>
      </c>
      <c r="DC380" s="188">
        <f t="shared" si="1052"/>
        <v>0.52757270693512304</v>
      </c>
      <c r="DD380" s="188">
        <f t="shared" si="1053"/>
        <v>0.88636824549024895</v>
      </c>
      <c r="DE380" s="188">
        <f t="shared" si="1054"/>
        <v>0.42918482841932087</v>
      </c>
      <c r="DF380" s="189">
        <f>INDEX('State Tax Lookup'!$D$7:$Z$91,MATCH(Calculation!$C380,'State Tax Lookup'!$B$7:$B$91,0),MATCH($H380,'State Tax Lookup'!$D$6:$Z$6,0))</f>
        <v>0.39649667</v>
      </c>
      <c r="DG380" s="189">
        <v>0.375</v>
      </c>
      <c r="DH380" s="190">
        <f t="shared" si="1056"/>
        <v>16.078416794780193</v>
      </c>
      <c r="DI380" s="190">
        <v>15.617814914014538</v>
      </c>
      <c r="DJ380" s="177"/>
      <c r="DK380" s="189">
        <f>VLOOKUP($H380,RoR!$E:$F,2,FALSE)</f>
        <v>5.5874999999999994E-2</v>
      </c>
      <c r="DL380" s="191">
        <f>HLOOKUP($H380,'GDP-PI'!$D$8:$CQ$11,3,FALSE)</f>
        <v>3.0512430354548314E-2</v>
      </c>
      <c r="DM380" s="189">
        <f>VLOOKUP(H380,'HW Dx Data'!$E:$F,2,FALSE)</f>
        <v>461.08567272971823</v>
      </c>
      <c r="DN380" s="183">
        <f>VLOOKUP(H380,'ECI - Input Price'!$G$17:$H$37,2,FALSE)</f>
        <v>102.05</v>
      </c>
      <c r="DO380" s="177">
        <f t="shared" ref="DO380" si="1077">LN(DN380/DN379)</f>
        <v>2.8829034290048662E-2</v>
      </c>
      <c r="DP380" s="183">
        <f>HLOOKUP(H380,'GDP-PI'!$8:$9,2,FALSE)</f>
        <v>90.073999999999998</v>
      </c>
      <c r="DQ380" s="177">
        <f t="shared" ref="DQ380" si="1078">LN(DP380/DP379)</f>
        <v>3.005618372545445E-2</v>
      </c>
    </row>
    <row r="381" spans="1:121" s="167" customFormat="1" ht="21" x14ac:dyDescent="0.35">
      <c r="A381" s="167" t="s">
        <v>51</v>
      </c>
      <c r="B381" s="168" t="s">
        <v>51</v>
      </c>
      <c r="C381" s="168">
        <v>4057080</v>
      </c>
      <c r="D381" s="168" t="s">
        <v>136</v>
      </c>
      <c r="E381" s="168" t="s">
        <v>126</v>
      </c>
      <c r="F381" s="168"/>
      <c r="G381" s="168" t="s">
        <v>13</v>
      </c>
      <c r="H381" s="169">
        <v>2007</v>
      </c>
      <c r="I381" s="170"/>
      <c r="J381" s="166">
        <f>IFERROR(INDEX('Labor Expenditures'!$F$7:$X$91,MATCH($C381,'Labor Expenditures'!$D$7:$D$91,0),MATCH($G381,'Labor Expenditures'!$F$5:$X$5,0)),"NA")</f>
        <v>78490.775650091135</v>
      </c>
      <c r="K381" s="166">
        <f t="shared" si="1062"/>
        <v>745.93276930473871</v>
      </c>
      <c r="L381" s="172">
        <f t="shared" si="1069"/>
        <v>2.8654998149756923E-2</v>
      </c>
      <c r="M381" s="172">
        <f t="shared" si="1073"/>
        <v>1.1406666407149239E-3</v>
      </c>
      <c r="N381" s="196"/>
      <c r="O381" s="172"/>
      <c r="P381" s="166">
        <f>IFERROR(INDEX('Non-Labor Expenditures'!$F$7:$AB$91,MATCH($C381,'Non-Labor Expenditures'!$D$7:$D$91,0),MATCH($G381,'Non-Labor Expenditures'!$F$5:$AB$5,0)),"NA")</f>
        <v>113669.30319602285</v>
      </c>
      <c r="Q381" s="166">
        <f t="shared" si="1063"/>
        <v>1228.8839023116484</v>
      </c>
      <c r="R381" s="172">
        <f t="shared" si="1074"/>
        <v>3.2737555600499513E-2</v>
      </c>
      <c r="S381" s="172">
        <f t="shared" ref="S381:S395" si="1079">+R381*AR381</f>
        <v>1.3031805961696281E-3</v>
      </c>
      <c r="T381" s="172"/>
      <c r="U381" s="172"/>
      <c r="V381" s="166">
        <f t="shared" si="1044"/>
        <v>142295.8692350403</v>
      </c>
      <c r="W381" s="170"/>
      <c r="X381" s="174">
        <v>8481.7158660071418</v>
      </c>
      <c r="Y381" s="175">
        <v>2.8824112537341039E-2</v>
      </c>
      <c r="Z381" s="175">
        <f t="shared" ref="Z381:Z395" si="1080">+Y381*AR381</f>
        <v>1.1473985601997544E-3</v>
      </c>
      <c r="AA381" s="175"/>
      <c r="AB381" s="175"/>
      <c r="AC381" s="170">
        <f t="shared" si="882"/>
        <v>334455.94808115426</v>
      </c>
      <c r="AD381" s="175">
        <f t="shared" si="1075"/>
        <v>7.9996381212041626E-2</v>
      </c>
      <c r="AE381" s="170"/>
      <c r="AF381" s="170"/>
      <c r="AG381" s="121">
        <f t="shared" si="1076"/>
        <v>315.42152097631742</v>
      </c>
      <c r="AH381" s="119">
        <f>+AZ381/$BB$45</f>
        <v>2.9936378459571488E-2</v>
      </c>
      <c r="AI381" s="119">
        <f>+AZ381/$BC$45</f>
        <v>0.12950384336027559</v>
      </c>
      <c r="AJ381" s="176">
        <f t="shared" ref="AJ381:AJ395" si="1081">+AH381*AG381</f>
        <v>9.4425780262407049</v>
      </c>
      <c r="AK381" s="176">
        <f t="shared" ref="AK381:AK395" si="1082">+AI381*AG381</f>
        <v>40.848299244976893</v>
      </c>
      <c r="AL381" s="120">
        <f t="shared" si="1064"/>
        <v>0.23468195468015923</v>
      </c>
      <c r="AM381" s="120">
        <f t="shared" si="1065"/>
        <v>0.33986330291976596</v>
      </c>
      <c r="AN381" s="120">
        <f t="shared" si="1066"/>
        <v>0.42545474240007486</v>
      </c>
      <c r="AO381" s="120">
        <f t="shared" si="1070"/>
        <v>3.0127956620648585E-2</v>
      </c>
      <c r="AP381" s="173">
        <f>+AP380*EXP(AO381)</f>
        <v>107.40521668652084</v>
      </c>
      <c r="AQ381" s="175">
        <f>LN(AP381/AP380)</f>
        <v>3.012795662064862E-2</v>
      </c>
      <c r="AR381" s="177">
        <f>+AC381/$AE$45</f>
        <v>3.9806899820881682E-2</v>
      </c>
      <c r="AS381" s="177">
        <f t="shared" ref="AS381:AS395" si="1083">+AR381*AQ381</f>
        <v>1.1993005510060287E-3</v>
      </c>
      <c r="AT381" s="177"/>
      <c r="AU381" s="177"/>
      <c r="AV381" s="177"/>
      <c r="AW381" s="190"/>
      <c r="AX381" s="120"/>
      <c r="AY381" s="120"/>
      <c r="AZ381" s="118">
        <f>IFERROR(INDEX('Total Customers'!$F$7:$AB$91,MATCH($C381,'Total Customers'!$D$7:$D$91,0),MATCH($G381,'Total Customers'!$F$5:$AB$5,0)),"NA")</f>
        <v>1060346</v>
      </c>
      <c r="BA381" s="119">
        <f t="shared" si="1045"/>
        <v>-7.9870180161753998E-2</v>
      </c>
      <c r="BB381" s="119"/>
      <c r="BC381" s="121">
        <v>8187757</v>
      </c>
      <c r="BD381" s="119"/>
      <c r="BE381" s="119"/>
      <c r="BF381" s="119"/>
      <c r="BG381" s="173"/>
      <c r="BH381" s="173"/>
      <c r="BI381" s="173"/>
      <c r="BJ381" s="173"/>
      <c r="BK381" s="173"/>
      <c r="BL381" s="173"/>
      <c r="BM381" s="173"/>
      <c r="BN381" s="173"/>
      <c r="BO381" s="173"/>
      <c r="BP381" s="173"/>
      <c r="BQ381" s="118"/>
      <c r="BR381" s="118"/>
      <c r="BS381" s="118">
        <f>INDEX('Dist. Plant Gas Additions'!$F$7:$AE$91,MATCH($C381,'Dist. Plant Gas Additions'!$D$7:$D$91,0),MATCH(Calculation!$G381,'Dist. Plant Gas Additions'!$F$5:$AE$5,0))</f>
        <v>146195</v>
      </c>
      <c r="BT381" s="118">
        <f>INDEX('Gen. Plant Additions'!$F$7:$AE$91,MATCH($C381,'Gen. Plant Additions'!$D$7:$D$91,0),MATCH(Calculation!$G381,'Gen. Plant Additions'!$F$5:$AE$5,0))</f>
        <v>0</v>
      </c>
      <c r="BU381" s="118"/>
      <c r="BV381" s="118"/>
      <c r="BW381" s="118">
        <f>INDEX('Dist Plant Depreciation'!$E$7:$AD$94,MATCH($C381,'Dist Plant Depreciation'!$D$7:$D$94,0),MATCH(Calculation!$G381,'Dist Plant Depreciation'!$E$5:$AD$5,0))</f>
        <v>618997</v>
      </c>
      <c r="BX381" s="118">
        <f>INDEX('Gen. Plant Depreciation'!$E$7:$AD$94,MATCH($C381,'Gen. Plant Depreciation'!$D$7:$D$94,0),MATCH(Calculation!$G381,'Gen. Plant Depreciation'!$E$5:$AD$5,0))</f>
        <v>0</v>
      </c>
      <c r="BY381" s="118"/>
      <c r="BZ381" s="118"/>
      <c r="CA381" s="118"/>
      <c r="CB381" s="118"/>
      <c r="CC381" s="118"/>
      <c r="CD381" s="118"/>
      <c r="CE381" s="118">
        <f>INDEX('Gross Dx Plant'!$E$7:$AD$91,MATCH($C381,'Gross Dx Plant'!$D$7:$D$91,0),MATCH(Calculation!$G381,'Gross Dx Plant'!$E$5:$AD$5,0))</f>
        <v>2577852</v>
      </c>
      <c r="CF381" s="118">
        <f>INDEX('Gross Gen Plant'!$E$7:$AD$91,MATCH($C381,'Gross Gen Plant'!$D$7:$D$91,0),MATCH(Calculation!$G381,'Gross Gen Plant'!$E$5:$AD$5,0))</f>
        <v>0</v>
      </c>
      <c r="CG381" s="118">
        <f t="shared" si="969"/>
        <v>1958855</v>
      </c>
      <c r="CH381" s="118"/>
      <c r="CI381" s="121">
        <v>2007</v>
      </c>
      <c r="CJ381" s="118"/>
      <c r="CK381" s="118"/>
      <c r="CL381" s="118"/>
      <c r="CM381" s="183"/>
      <c r="CN381" s="118">
        <f t="shared" si="1046"/>
        <v>146195</v>
      </c>
      <c r="CO381" s="118">
        <f t="shared" si="1047"/>
        <v>293.55110294585637</v>
      </c>
      <c r="CP381" s="186">
        <v>0.94915254237288138</v>
      </c>
      <c r="CQ381" s="118">
        <f>+CQ372*CP381+CO373*CP380+CO374*CP379+CO375*CP378+CO376*CP377+CO377*CP376+CO378*CP375+CO379*CP374+CO380*CP373+CO381</f>
        <v>8481.7158660071418</v>
      </c>
      <c r="CR381" s="119">
        <f t="shared" si="1048"/>
        <v>2.8824112537341039E-2</v>
      </c>
      <c r="CS381" s="119"/>
      <c r="CT381" s="177">
        <f t="shared" si="1049"/>
        <v>6.3784402200950507E-3</v>
      </c>
      <c r="CU381" s="177">
        <f t="shared" si="1057"/>
        <v>6.193066933164698E-3</v>
      </c>
      <c r="CV381" s="119">
        <f>VLOOKUP($H381,RoR!$E:$F,2,FALSE)</f>
        <v>5.5558333333333321E-2</v>
      </c>
      <c r="CW381" s="177">
        <v>2.691120634145272E-2</v>
      </c>
      <c r="CX381" s="177">
        <f t="shared" si="1055"/>
        <v>2.86471269918806E-2</v>
      </c>
      <c r="CY381" s="177">
        <f t="shared" si="1058"/>
        <v>2.4708874675368926E-2</v>
      </c>
      <c r="CZ381" s="177">
        <f t="shared" si="1059"/>
        <v>6.4575155250632399E-2</v>
      </c>
      <c r="DA381" s="187">
        <f t="shared" si="1050"/>
        <v>0.85131374874999999</v>
      </c>
      <c r="DB381" s="188">
        <f t="shared" si="1051"/>
        <v>0.92303077153834634</v>
      </c>
      <c r="DC381" s="188">
        <f t="shared" si="1052"/>
        <v>0.52502249887505614</v>
      </c>
      <c r="DD381" s="188">
        <f t="shared" si="1053"/>
        <v>0.88499666072084604</v>
      </c>
      <c r="DE381" s="188">
        <f t="shared" si="1054"/>
        <v>0.42887993290280618</v>
      </c>
      <c r="DF381" s="189">
        <f>INDEX('State Tax Lookup'!$D$7:$Z$91,MATCH(Calculation!$C381,'State Tax Lookup'!$B$7:$B$91,0),MATCH($H381,'State Tax Lookup'!$D$6:$Z$6,0))</f>
        <v>0.39649667</v>
      </c>
      <c r="DG381" s="189">
        <v>0.375</v>
      </c>
      <c r="DH381" s="190">
        <f t="shared" si="1056"/>
        <v>17.267391122537418</v>
      </c>
      <c r="DI381" s="190">
        <v>17.026912112196044</v>
      </c>
      <c r="DJ381" s="177"/>
      <c r="DK381" s="189">
        <f>VLOOKUP($H381,RoR!$E:$F,2,FALSE)</f>
        <v>5.5558333333333321E-2</v>
      </c>
      <c r="DL381" s="191">
        <f>HLOOKUP($H381,'GDP-PI'!$D$8:$CQ$11,3,FALSE)</f>
        <v>2.691120634145272E-2</v>
      </c>
      <c r="DM381" s="189">
        <f>VLOOKUP(H381,'HW Dx Data'!$E:$F,2,FALSE)</f>
        <v>498.0223154772637</v>
      </c>
      <c r="DN381" s="183">
        <f>VLOOKUP(H381,'ECI - Input Price'!$G$17:$H$37,2,FALSE)</f>
        <v>105.22500000000001</v>
      </c>
      <c r="DO381" s="177">
        <f t="shared" ref="DO381" si="1084">LN(DN381/DN380)</f>
        <v>3.0638025400780679E-2</v>
      </c>
      <c r="DP381" s="183">
        <f>HLOOKUP(H381,'GDP-PI'!$8:$9,2,FALSE)</f>
        <v>92.498000000000005</v>
      </c>
      <c r="DQ381" s="177">
        <f t="shared" ref="DQ381" si="1085">LN(DP381/DP380)</f>
        <v>2.6555467950038037E-2</v>
      </c>
    </row>
    <row r="382" spans="1:121" s="167" customFormat="1" ht="21" x14ac:dyDescent="0.35">
      <c r="A382" s="167" t="s">
        <v>51</v>
      </c>
      <c r="B382" s="168" t="s">
        <v>51</v>
      </c>
      <c r="C382" s="168">
        <v>4057080</v>
      </c>
      <c r="D382" s="168" t="s">
        <v>136</v>
      </c>
      <c r="E382" s="168" t="s">
        <v>126</v>
      </c>
      <c r="F382" s="168"/>
      <c r="G382" s="168" t="s">
        <v>14</v>
      </c>
      <c r="H382" s="169">
        <v>2008</v>
      </c>
      <c r="I382" s="170"/>
      <c r="J382" s="166">
        <f>IFERROR(INDEX('Labor Expenditures'!$F$7:$X$91,MATCH($C382,'Labor Expenditures'!$D$7:$D$91,0),MATCH($G382,'Labor Expenditures'!$F$5:$X$5,0)),"NA")</f>
        <v>90665.546732827643</v>
      </c>
      <c r="K382" s="166">
        <f t="shared" si="1062"/>
        <v>837.75048956181706</v>
      </c>
      <c r="L382" s="172">
        <f t="shared" si="1069"/>
        <v>0.11608483642708117</v>
      </c>
      <c r="M382" s="172">
        <f t="shared" si="1073"/>
        <v>5.0185877149215991E-3</v>
      </c>
      <c r="N382" s="196"/>
      <c r="O382" s="172"/>
      <c r="P382" s="166">
        <f>IFERROR(INDEX('Non-Labor Expenditures'!$F$7:$AB$91,MATCH($C382,'Non-Labor Expenditures'!$D$7:$D$91,0),MATCH($G382,'Non-Labor Expenditures'!$F$5:$AB$5,0)),"NA")</f>
        <v>131300.64565739833</v>
      </c>
      <c r="Q382" s="166">
        <f t="shared" si="1063"/>
        <v>1392.9033953301189</v>
      </c>
      <c r="R382" s="172">
        <f t="shared" si="1074"/>
        <v>0.1252839813504586</v>
      </c>
      <c r="S382" s="172">
        <f t="shared" si="1079"/>
        <v>5.4162857874794643E-3</v>
      </c>
      <c r="T382" s="172"/>
      <c r="U382" s="172"/>
      <c r="V382" s="166">
        <f t="shared" si="1044"/>
        <v>166346.2227842655</v>
      </c>
      <c r="W382" s="170"/>
      <c r="X382" s="174">
        <v>8831.5264513983493</v>
      </c>
      <c r="Y382" s="175">
        <v>4.0415098703618473E-2</v>
      </c>
      <c r="Z382" s="175">
        <f t="shared" si="1080"/>
        <v>1.7472283555202263E-3</v>
      </c>
      <c r="AA382" s="175"/>
      <c r="AB382" s="175"/>
      <c r="AC382" s="170">
        <f t="shared" ref="AC382:AC445" si="1086">+J382+P382+V382</f>
        <v>388312.41517449147</v>
      </c>
      <c r="AD382" s="175">
        <f t="shared" si="1075"/>
        <v>0.14930503330627626</v>
      </c>
      <c r="AE382" s="170"/>
      <c r="AF382" s="170"/>
      <c r="AG382" s="121">
        <f t="shared" si="1076"/>
        <v>365.94822151315788</v>
      </c>
      <c r="AH382" s="119">
        <f>+AZ382/$BB$46</f>
        <v>2.9798300253783064E-2</v>
      </c>
      <c r="AI382" s="119">
        <f>+AZ382/$BC$46</f>
        <v>0.12871169673076782</v>
      </c>
      <c r="AJ382" s="176">
        <f t="shared" si="1081"/>
        <v>10.904634981986993</v>
      </c>
      <c r="AK382" s="176">
        <f t="shared" si="1082"/>
        <v>47.10181650656542</v>
      </c>
      <c r="AL382" s="120">
        <f t="shared" si="1064"/>
        <v>0.23348608797915027</v>
      </c>
      <c r="AM382" s="120">
        <f t="shared" si="1065"/>
        <v>0.33813146457961502</v>
      </c>
      <c r="AN382" s="120">
        <f t="shared" si="1066"/>
        <v>0.42838244744123471</v>
      </c>
      <c r="AO382" s="120">
        <f t="shared" si="1070"/>
        <v>8.6898504381925201E-2</v>
      </c>
      <c r="AP382" s="173">
        <f t="shared" ref="AP382:AP395" si="1087">+AP381*EXP(AO382)</f>
        <v>117.15610283322542</v>
      </c>
      <c r="AQ382" s="175">
        <f t="shared" ref="AQ382:AQ395" si="1088">LN(AP382/AP381)</f>
        <v>8.6898504381925257E-2</v>
      </c>
      <c r="AR382" s="177">
        <f>+AC382/$AE$46</f>
        <v>4.3232069488025084E-2</v>
      </c>
      <c r="AS382" s="177">
        <f t="shared" si="1083"/>
        <v>3.7568021798448448E-3</v>
      </c>
      <c r="AT382" s="177"/>
      <c r="AU382" s="177"/>
      <c r="AV382" s="177"/>
      <c r="AW382" s="190"/>
      <c r="AX382" s="120"/>
      <c r="AY382" s="120"/>
      <c r="AZ382" s="118">
        <f>IFERROR(INDEX('Total Customers'!$F$7:$AB$91,MATCH($C382,'Total Customers'!$D$7:$D$91,0),MATCH($G382,'Total Customers'!$F$5:$AB$5,0)),"NA")</f>
        <v>1061113</v>
      </c>
      <c r="BA382" s="119">
        <f t="shared" si="1045"/>
        <v>7.230873030487601E-4</v>
      </c>
      <c r="BB382" s="119"/>
      <c r="BC382" s="121">
        <v>8244107</v>
      </c>
      <c r="BD382" s="119"/>
      <c r="BE382" s="119"/>
      <c r="BF382" s="119"/>
      <c r="BG382" s="173"/>
      <c r="BH382" s="173"/>
      <c r="BI382" s="173"/>
      <c r="BJ382" s="173"/>
      <c r="BK382" s="173"/>
      <c r="BL382" s="173"/>
      <c r="BM382" s="173"/>
      <c r="BN382" s="173"/>
      <c r="BO382" s="173"/>
      <c r="BP382" s="173"/>
      <c r="BQ382" s="118"/>
      <c r="BR382" s="118"/>
      <c r="BS382" s="118">
        <f>INDEX('Dist. Plant Gas Additions'!$F$7:$AE$91,MATCH($C382,'Dist. Plant Gas Additions'!$D$7:$D$91,0),MATCH(Calculation!$G382,'Dist. Plant Gas Additions'!$F$5:$AE$5,0))</f>
        <v>231151</v>
      </c>
      <c r="BT382" s="118">
        <f>INDEX('Gen. Plant Additions'!$F$7:$AE$91,MATCH($C382,'Gen. Plant Additions'!$D$7:$D$91,0),MATCH(Calculation!$G382,'Gen. Plant Additions'!$F$5:$AE$5,0))</f>
        <v>0</v>
      </c>
      <c r="BU382" s="118"/>
      <c r="BV382" s="118"/>
      <c r="BW382" s="118">
        <f>INDEX('Dist Plant Depreciation'!$E$7:$AD$94,MATCH($C382,'Dist Plant Depreciation'!$D$7:$D$94,0),MATCH(Calculation!$G382,'Dist Plant Depreciation'!$E$5:$AD$5,0))</f>
        <v>654655</v>
      </c>
      <c r="BX382" s="118">
        <f>INDEX('Gen. Plant Depreciation'!$E$7:$AD$94,MATCH($C382,'Gen. Plant Depreciation'!$D$7:$D$94,0),MATCH(Calculation!$G382,'Gen. Plant Depreciation'!$E$5:$AD$5,0))</f>
        <v>0</v>
      </c>
      <c r="BY382" s="118"/>
      <c r="BZ382" s="118"/>
      <c r="CA382" s="118"/>
      <c r="CB382" s="118"/>
      <c r="CC382" s="118"/>
      <c r="CD382" s="118"/>
      <c r="CE382" s="118">
        <f>INDEX('Gross Dx Plant'!$E$7:$AD$91,MATCH($C382,'Gross Dx Plant'!$D$7:$D$91,0),MATCH(Calculation!$G382,'Gross Dx Plant'!$E$5:$AD$5,0))</f>
        <v>2789532</v>
      </c>
      <c r="CF382" s="118">
        <f>INDEX('Gross Gen Plant'!$E$7:$AD$91,MATCH($C382,'Gross Gen Plant'!$D$7:$D$91,0),MATCH(Calculation!$G382,'Gross Gen Plant'!$E$5:$AD$5,0))</f>
        <v>0</v>
      </c>
      <c r="CG382" s="118">
        <f t="shared" si="969"/>
        <v>2134877</v>
      </c>
      <c r="CH382" s="118"/>
      <c r="CI382" s="121">
        <v>2008</v>
      </c>
      <c r="CJ382" s="118"/>
      <c r="CK382" s="118"/>
      <c r="CL382" s="118"/>
      <c r="CM382" s="183"/>
      <c r="CN382" s="118">
        <f t="shared" si="1046"/>
        <v>231151</v>
      </c>
      <c r="CO382" s="118">
        <f t="shared" si="1047"/>
        <v>405.61260600844668</v>
      </c>
      <c r="CP382" s="186">
        <v>0.94252873563218387</v>
      </c>
      <c r="CQ382" s="118">
        <f>+CQ372*CP382+CO373*CP381+CO374*CP380+CO375*CP379+CO376*CP378+CO377*CP377+CO378*CP376+CO379*CP375+CO380*CP374+CO381*CP373+CO382</f>
        <v>8831.5264513983493</v>
      </c>
      <c r="CR382" s="119">
        <f t="shared" si="1048"/>
        <v>4.0415098703618473E-2</v>
      </c>
      <c r="CS382" s="119"/>
      <c r="CT382" s="177">
        <f t="shared" si="1049"/>
        <v>6.5790957276559391E-3</v>
      </c>
      <c r="CU382" s="177">
        <f t="shared" si="1057"/>
        <v>6.3838949773523208E-3</v>
      </c>
      <c r="CV382" s="119">
        <f>VLOOKUP($H382,RoR!$E:$F,2,FALSE)</f>
        <v>5.6316666666666668E-2</v>
      </c>
      <c r="CW382" s="177">
        <v>1.9092304698479889E-2</v>
      </c>
      <c r="CX382" s="177">
        <f t="shared" si="1055"/>
        <v>3.7224361968186778E-2</v>
      </c>
      <c r="CY382" s="177">
        <f t="shared" si="1058"/>
        <v>2.4518046631181303E-2</v>
      </c>
      <c r="CZ382" s="177">
        <f t="shared" si="1059"/>
        <v>6.9030581091053131E-2</v>
      </c>
      <c r="DA382" s="187">
        <f t="shared" si="1050"/>
        <v>0.85131374874999999</v>
      </c>
      <c r="DB382" s="188">
        <f t="shared" si="1051"/>
        <v>0.91060168006009956</v>
      </c>
      <c r="DC382" s="188">
        <f t="shared" si="1052"/>
        <v>0.53108168097070152</v>
      </c>
      <c r="DD382" s="188">
        <f t="shared" si="1053"/>
        <v>0.88825329850328805</v>
      </c>
      <c r="DE382" s="188">
        <f t="shared" si="1054"/>
        <v>0.4295627335323573</v>
      </c>
      <c r="DF382" s="189">
        <f>INDEX('State Tax Lookup'!$D$7:$Z$91,MATCH(Calculation!$C382,'State Tax Lookup'!$B$7:$B$91,0),MATCH($H382,'State Tax Lookup'!$D$6:$Z$6,0))</f>
        <v>0.39649667</v>
      </c>
      <c r="DG382" s="189">
        <v>0.375</v>
      </c>
      <c r="DH382" s="190">
        <f t="shared" si="1056"/>
        <v>19.612331444742768</v>
      </c>
      <c r="DI382" s="190">
        <v>19.344550108680085</v>
      </c>
      <c r="DJ382" s="177"/>
      <c r="DK382" s="189">
        <f>VLOOKUP($H382,RoR!$E:$F,2,FALSE)</f>
        <v>5.6316666666666668E-2</v>
      </c>
      <c r="DL382" s="191">
        <f>HLOOKUP($H382,'GDP-PI'!$D$8:$CQ$11,3,FALSE)</f>
        <v>1.9092304698479889E-2</v>
      </c>
      <c r="DM382" s="189">
        <f>VLOOKUP(H382,'HW Dx Data'!$E:$F,2,FALSE)</f>
        <v>569.88120333515076</v>
      </c>
      <c r="DN382" s="183">
        <f>VLOOKUP(H382,'ECI - Input Price'!$G$17:$H$37,2,FALSE)</f>
        <v>108.22499999999999</v>
      </c>
      <c r="DO382" s="177">
        <f t="shared" ref="DO382" si="1089">LN(DN382/DN381)</f>
        <v>2.8111478671409691E-2</v>
      </c>
      <c r="DP382" s="183">
        <f>HLOOKUP(H382,'GDP-PI'!$8:$9,2,FALSE)</f>
        <v>94.263999999999996</v>
      </c>
      <c r="DQ382" s="177">
        <f t="shared" ref="DQ382" si="1090">LN(DP382/DP381)</f>
        <v>1.8912333748032254E-2</v>
      </c>
    </row>
    <row r="383" spans="1:121" s="167" customFormat="1" ht="21" x14ac:dyDescent="0.35">
      <c r="A383" s="167" t="s">
        <v>51</v>
      </c>
      <c r="B383" s="168" t="s">
        <v>51</v>
      </c>
      <c r="C383" s="168">
        <v>4057080</v>
      </c>
      <c r="D383" s="168" t="s">
        <v>136</v>
      </c>
      <c r="E383" s="168" t="s">
        <v>126</v>
      </c>
      <c r="F383" s="168"/>
      <c r="G383" s="168" t="s">
        <v>15</v>
      </c>
      <c r="H383" s="169">
        <v>2009</v>
      </c>
      <c r="I383" s="170"/>
      <c r="J383" s="166">
        <f>IFERROR(INDEX('Labor Expenditures'!$F$7:$X$91,MATCH($C383,'Labor Expenditures'!$D$7:$D$91,0),MATCH($G383,'Labor Expenditures'!$F$5:$X$5,0)),"NA")</f>
        <v>97782.663292966579</v>
      </c>
      <c r="K383" s="166">
        <f t="shared" si="1062"/>
        <v>890.75530214499281</v>
      </c>
      <c r="L383" s="172">
        <f t="shared" si="1069"/>
        <v>6.1349445924172429E-2</v>
      </c>
      <c r="M383" s="172">
        <f t="shared" si="1073"/>
        <v>2.6557884463754571E-3</v>
      </c>
      <c r="N383" s="196"/>
      <c r="O383" s="172"/>
      <c r="P383" s="166">
        <f>IFERROR(INDEX('Non-Labor Expenditures'!$F$7:$AB$91,MATCH($C383,'Non-Labor Expenditures'!$D$7:$D$91,0),MATCH($G383,'Non-Labor Expenditures'!$F$5:$AB$5,0)),"NA")</f>
        <v>141607.55973049079</v>
      </c>
      <c r="Q383" s="166">
        <f t="shared" si="1063"/>
        <v>1490.6215826534046</v>
      </c>
      <c r="R383" s="172">
        <f t="shared" si="1074"/>
        <v>6.7802860225599573E-2</v>
      </c>
      <c r="S383" s="172">
        <f t="shared" si="1079"/>
        <v>2.9351536938234612E-3</v>
      </c>
      <c r="T383" s="172"/>
      <c r="U383" s="172"/>
      <c r="V383" s="166">
        <f t="shared" si="1044"/>
        <v>166184.39026704463</v>
      </c>
      <c r="W383" s="170"/>
      <c r="X383" s="174">
        <v>9231.1859919781255</v>
      </c>
      <c r="Y383" s="175">
        <v>4.4259662703850899E-2</v>
      </c>
      <c r="Z383" s="175">
        <f t="shared" si="1080"/>
        <v>1.9159798279946333E-3</v>
      </c>
      <c r="AA383" s="175"/>
      <c r="AB383" s="175"/>
      <c r="AC383" s="170">
        <f t="shared" si="1086"/>
        <v>405574.61329050199</v>
      </c>
      <c r="AD383" s="175">
        <f t="shared" si="1075"/>
        <v>4.3494650434070407E-2</v>
      </c>
      <c r="AE383" s="170"/>
      <c r="AF383" s="170"/>
      <c r="AG383" s="121">
        <f t="shared" si="1076"/>
        <v>383.0414348052156</v>
      </c>
      <c r="AH383" s="119">
        <f>+AZ383/$BB$47</f>
        <v>2.9691202222451172E-2</v>
      </c>
      <c r="AI383" s="119">
        <f>+AZ383/$BC$47</f>
        <v>0.12700622252247021</v>
      </c>
      <c r="AJ383" s="176">
        <f t="shared" si="1081"/>
        <v>11.372960700379503</v>
      </c>
      <c r="AK383" s="176">
        <f t="shared" si="1082"/>
        <v>48.648645704197477</v>
      </c>
      <c r="AL383" s="120">
        <f t="shared" si="1064"/>
        <v>0.24109660735329982</v>
      </c>
      <c r="AM383" s="120">
        <f t="shared" si="1065"/>
        <v>0.34915291808232873</v>
      </c>
      <c r="AN383" s="120">
        <f t="shared" si="1066"/>
        <v>0.40975047456437147</v>
      </c>
      <c r="AO383" s="120">
        <f t="shared" si="1070"/>
        <v>5.6405356382836253E-2</v>
      </c>
      <c r="AP383" s="173">
        <f t="shared" si="1087"/>
        <v>123.95425845955219</v>
      </c>
      <c r="AQ383" s="175">
        <f t="shared" si="1088"/>
        <v>5.6405356382836287E-2</v>
      </c>
      <c r="AR383" s="177">
        <f>+AC383/$AE$47</f>
        <v>4.328952619487382E-2</v>
      </c>
      <c r="AS383" s="177">
        <f t="shared" si="1083"/>
        <v>2.4417611526659846E-3</v>
      </c>
      <c r="AT383" s="177"/>
      <c r="AU383" s="177"/>
      <c r="AV383" s="177"/>
      <c r="AW383" s="190"/>
      <c r="AX383" s="120"/>
      <c r="AY383" s="120"/>
      <c r="AZ383" s="118">
        <f>IFERROR(INDEX('Total Customers'!$F$7:$AB$91,MATCH($C383,'Total Customers'!$D$7:$D$91,0),MATCH($G383,'Total Customers'!$F$5:$AB$5,0)),"NA")</f>
        <v>1058827</v>
      </c>
      <c r="BA383" s="119">
        <f t="shared" si="1045"/>
        <v>-2.156665647192631E-3</v>
      </c>
      <c r="BB383" s="119"/>
      <c r="BC383" s="121">
        <v>8336812</v>
      </c>
      <c r="BD383" s="119"/>
      <c r="BE383" s="119"/>
      <c r="BF383" s="119"/>
      <c r="BG383" s="173"/>
      <c r="BH383" s="173"/>
      <c r="BI383" s="173"/>
      <c r="BJ383" s="173"/>
      <c r="BK383" s="173"/>
      <c r="BL383" s="173"/>
      <c r="BM383" s="173"/>
      <c r="BN383" s="173"/>
      <c r="BO383" s="173"/>
      <c r="BP383" s="173"/>
      <c r="BQ383" s="118"/>
      <c r="BR383" s="118"/>
      <c r="BS383" s="118">
        <f>INDEX('Dist. Plant Gas Additions'!$F$7:$AE$91,MATCH($C383,'Dist. Plant Gas Additions'!$D$7:$D$91,0),MATCH(Calculation!$G383,'Dist. Plant Gas Additions'!$F$5:$AE$5,0))</f>
        <v>253099</v>
      </c>
      <c r="BT383" s="118">
        <f>INDEX('Gen. Plant Additions'!$F$7:$AE$91,MATCH($C383,'Gen. Plant Additions'!$D$7:$D$91,0),MATCH(Calculation!$G383,'Gen. Plant Additions'!$F$5:$AE$5,0))</f>
        <v>0</v>
      </c>
      <c r="BU383" s="118"/>
      <c r="BV383" s="118"/>
      <c r="BW383" s="118">
        <f>INDEX('Dist Plant Depreciation'!$E$7:$AD$94,MATCH($C383,'Dist Plant Depreciation'!$D$7:$D$94,0),MATCH(Calculation!$G383,'Dist Plant Depreciation'!$E$5:$AD$5,0))</f>
        <v>697168</v>
      </c>
      <c r="BX383" s="118">
        <f>INDEX('Gen. Plant Depreciation'!$E$7:$AD$94,MATCH($C383,'Gen. Plant Depreciation'!$D$7:$D$94,0),MATCH(Calculation!$G383,'Gen. Plant Depreciation'!$E$5:$AD$5,0))</f>
        <v>0</v>
      </c>
      <c r="BY383" s="118"/>
      <c r="BZ383" s="118"/>
      <c r="CA383" s="118"/>
      <c r="CB383" s="118"/>
      <c r="CC383" s="118"/>
      <c r="CD383" s="118"/>
      <c r="CE383" s="118">
        <f>INDEX('Gross Dx Plant'!$E$7:$AD$91,MATCH($C383,'Gross Dx Plant'!$D$7:$D$91,0),MATCH(Calculation!$G383,'Gross Dx Plant'!$E$5:$AD$5,0))</f>
        <v>3025520</v>
      </c>
      <c r="CF383" s="118">
        <f>INDEX('Gross Gen Plant'!$E$7:$AD$91,MATCH($C383,'Gross Gen Plant'!$D$7:$D$91,0),MATCH(Calculation!$G383,'Gross Gen Plant'!$E$5:$AD$5,0))</f>
        <v>0</v>
      </c>
      <c r="CG383" s="118">
        <f t="shared" si="969"/>
        <v>2328352</v>
      </c>
      <c r="CH383" s="118"/>
      <c r="CI383" s="121">
        <v>2009</v>
      </c>
      <c r="CJ383" s="118"/>
      <c r="CK383" s="118"/>
      <c r="CL383" s="118"/>
      <c r="CM383" s="183"/>
      <c r="CN383" s="118">
        <f t="shared" si="1046"/>
        <v>253099</v>
      </c>
      <c r="CO383" s="118">
        <f t="shared" si="1047"/>
        <v>459.39432144899143</v>
      </c>
      <c r="CP383" s="186">
        <v>0.93567251461988299</v>
      </c>
      <c r="CQ383" s="118">
        <f>+CQ372*CP383+CO373*CP382+CO374*CP381+CO375*CP380+CO376*CP379+CO377*CP378+CO378*CP377+CO379*CP376+CO380*CP375+CO381*CP374+CO382*CP373+CO383</f>
        <v>9231.1859919781255</v>
      </c>
      <c r="CR383" s="119">
        <f t="shared" si="1048"/>
        <v>4.4259662703850899E-2</v>
      </c>
      <c r="CS383" s="119"/>
      <c r="CT383" s="177">
        <f t="shared" si="1049"/>
        <v>6.7638115786605741E-3</v>
      </c>
      <c r="CU383" s="177">
        <f t="shared" si="1057"/>
        <v>6.5737825088038543E-3</v>
      </c>
      <c r="CV383" s="119">
        <f>VLOOKUP($H383,RoR!$E:$F,2,FALSE)</f>
        <v>5.3133333333333324E-2</v>
      </c>
      <c r="CW383" s="177">
        <v>7.7972502758210105E-3</v>
      </c>
      <c r="CX383" s="177">
        <f t="shared" si="1055"/>
        <v>4.5336083057512314E-2</v>
      </c>
      <c r="CY383" s="177">
        <f t="shared" si="1058"/>
        <v>2.4328159099729772E-2</v>
      </c>
      <c r="CZ383" s="177">
        <f t="shared" si="1059"/>
        <v>6.3720160300892073E-2</v>
      </c>
      <c r="DA383" s="187">
        <f t="shared" si="1050"/>
        <v>0.85131374874999999</v>
      </c>
      <c r="DB383" s="188">
        <f t="shared" si="1051"/>
        <v>0.96515780330083989</v>
      </c>
      <c r="DC383" s="188">
        <f t="shared" si="1052"/>
        <v>0.50448557089084056</v>
      </c>
      <c r="DD383" s="188">
        <f t="shared" si="1053"/>
        <v>0.87391435735465484</v>
      </c>
      <c r="DE383" s="188">
        <f t="shared" si="1054"/>
        <v>0.42551605393279146</v>
      </c>
      <c r="DF383" s="189">
        <f>INDEX('State Tax Lookup'!$D$7:$Z$91,MATCH(Calculation!$C383,'State Tax Lookup'!$B$7:$B$91,0),MATCH($H383,'State Tax Lookup'!$D$6:$Z$6,0))</f>
        <v>0.39649667</v>
      </c>
      <c r="DG383" s="189">
        <v>0.375</v>
      </c>
      <c r="DH383" s="190">
        <f t="shared" si="1056"/>
        <v>18.817176303733046</v>
      </c>
      <c r="DI383" s="190">
        <v>18.499695738099643</v>
      </c>
      <c r="DJ383" s="177"/>
      <c r="DK383" s="189">
        <f>VLOOKUP($H383,RoR!$E:$F,2,FALSE)</f>
        <v>5.3133333333333324E-2</v>
      </c>
      <c r="DL383" s="191">
        <f>HLOOKUP($H383,'GDP-PI'!$D$8:$CQ$11,3,FALSE)</f>
        <v>7.7972502758210105E-3</v>
      </c>
      <c r="DM383" s="189">
        <f>VLOOKUP(H383,'HW Dx Data'!$E:$F,2,FALSE)</f>
        <v>550.94063679692806</v>
      </c>
      <c r="DN383" s="183">
        <f>VLOOKUP(H383,'ECI - Input Price'!$G$17:$H$37,2,FALSE)</f>
        <v>109.77499999999999</v>
      </c>
      <c r="DO383" s="177">
        <f t="shared" ref="DO383" si="1091">LN(DN383/DN382)</f>
        <v>1.4220423119736749E-2</v>
      </c>
      <c r="DP383" s="183">
        <f>HLOOKUP(H383,'GDP-PI'!$8:$9,2,FALSE)</f>
        <v>94.998999999999995</v>
      </c>
      <c r="DQ383" s="177">
        <f t="shared" ref="DQ383" si="1092">LN(DP383/DP382)</f>
        <v>7.7670088183096342E-3</v>
      </c>
    </row>
    <row r="384" spans="1:121" s="167" customFormat="1" ht="21" x14ac:dyDescent="0.35">
      <c r="A384" s="167" t="s">
        <v>51</v>
      </c>
      <c r="B384" s="168" t="s">
        <v>51</v>
      </c>
      <c r="C384" s="168">
        <v>4057080</v>
      </c>
      <c r="D384" s="168" t="s">
        <v>136</v>
      </c>
      <c r="E384" s="168" t="s">
        <v>126</v>
      </c>
      <c r="F384" s="168"/>
      <c r="G384" s="168" t="s">
        <v>16</v>
      </c>
      <c r="H384" s="169">
        <v>2010</v>
      </c>
      <c r="I384" s="170"/>
      <c r="J384" s="166">
        <f>IFERROR(INDEX('Labor Expenditures'!$F$7:$X$91,MATCH($C384,'Labor Expenditures'!$D$7:$D$91,0),MATCH($G384,'Labor Expenditures'!$F$5:$X$5,0)),"NA")</f>
        <v>109839.17599763915</v>
      </c>
      <c r="K384" s="166">
        <f t="shared" si="1062"/>
        <v>981.80269048169066</v>
      </c>
      <c r="L384" s="172">
        <f t="shared" si="1069"/>
        <v>9.7320605057966234E-2</v>
      </c>
      <c r="M384" s="172">
        <f t="shared" si="1073"/>
        <v>4.4810181866244015E-3</v>
      </c>
      <c r="N384" s="196"/>
      <c r="O384" s="172"/>
      <c r="P384" s="166">
        <f>IFERROR(INDEX('Non-Labor Expenditures'!$F$7:$AB$91,MATCH($C384,'Non-Labor Expenditures'!$D$7:$D$91,0),MATCH($G384,'Non-Labor Expenditures'!$F$5:$AB$5,0)),"NA")</f>
        <v>159067.64197281143</v>
      </c>
      <c r="Q384" s="166">
        <f t="shared" si="1063"/>
        <v>1655.0754036855178</v>
      </c>
      <c r="R384" s="172">
        <f t="shared" si="1074"/>
        <v>0.10465336639805455</v>
      </c>
      <c r="S384" s="172">
        <f t="shared" si="1079"/>
        <v>4.8186469642459645E-3</v>
      </c>
      <c r="T384" s="172"/>
      <c r="U384" s="172"/>
      <c r="V384" s="166">
        <f t="shared" si="1044"/>
        <v>178232.59834507402</v>
      </c>
      <c r="W384" s="170"/>
      <c r="X384" s="174">
        <v>9675.7788008839925</v>
      </c>
      <c r="Y384" s="175">
        <v>4.7038198459317337E-2</v>
      </c>
      <c r="Z384" s="175">
        <f t="shared" si="1080"/>
        <v>2.165821129417603E-3</v>
      </c>
      <c r="AA384" s="175"/>
      <c r="AB384" s="175"/>
      <c r="AC384" s="170">
        <f t="shared" si="1086"/>
        <v>447139.41631552461</v>
      </c>
      <c r="AD384" s="175">
        <f t="shared" si="1075"/>
        <v>9.7565579496824567E-2</v>
      </c>
      <c r="AE384" s="170"/>
      <c r="AF384" s="170"/>
      <c r="AG384" s="121">
        <f t="shared" si="1076"/>
        <v>420.79313720216015</v>
      </c>
      <c r="AH384" s="119">
        <f>+AZ384/$BB$48</f>
        <v>2.9633273894283739E-2</v>
      </c>
      <c r="AI384" s="119">
        <f>+AZ384/$BC$48</f>
        <v>0.12644951038509106</v>
      </c>
      <c r="AJ384" s="176">
        <f t="shared" si="1081"/>
        <v>12.469478287546528</v>
      </c>
      <c r="AK384" s="176">
        <f t="shared" si="1082"/>
        <v>53.2090861726196</v>
      </c>
      <c r="AL384" s="120">
        <f t="shared" si="1064"/>
        <v>0.24564860978422659</v>
      </c>
      <c r="AM384" s="120">
        <f t="shared" si="1065"/>
        <v>0.3557450677990891</v>
      </c>
      <c r="AN384" s="120">
        <f t="shared" si="1066"/>
        <v>0.39860632241668426</v>
      </c>
      <c r="AO384" s="120">
        <f t="shared" si="1070"/>
        <v>7.9581966836463458E-2</v>
      </c>
      <c r="AP384" s="173">
        <f t="shared" si="1087"/>
        <v>134.22192422748063</v>
      </c>
      <c r="AQ384" s="175">
        <f t="shared" si="1088"/>
        <v>7.9581966836463375E-2</v>
      </c>
      <c r="AR384" s="177">
        <f>+AC384/$AE$48</f>
        <v>4.6043879237653851E-2</v>
      </c>
      <c r="AS384" s="177">
        <f t="shared" si="1083"/>
        <v>3.6642624705130935E-3</v>
      </c>
      <c r="AT384" s="177"/>
      <c r="AU384" s="177"/>
      <c r="AV384" s="177"/>
      <c r="AW384" s="190"/>
      <c r="AX384" s="120"/>
      <c r="AY384" s="120"/>
      <c r="AZ384" s="118">
        <f>IFERROR(INDEX('Total Customers'!$F$7:$AB$91,MATCH($C384,'Total Customers'!$D$7:$D$91,0),MATCH($G384,'Total Customers'!$F$5:$AB$5,0)),"NA")</f>
        <v>1062611</v>
      </c>
      <c r="BA384" s="119">
        <f t="shared" si="1045"/>
        <v>3.5673953356436853E-3</v>
      </c>
      <c r="BB384" s="119"/>
      <c r="BC384" s="121">
        <v>8403441</v>
      </c>
      <c r="BD384" s="119"/>
      <c r="BE384" s="119"/>
      <c r="BF384" s="119"/>
      <c r="BG384" s="173"/>
      <c r="BH384" s="173"/>
      <c r="BI384" s="173"/>
      <c r="BJ384" s="173"/>
      <c r="BK384" s="173"/>
      <c r="BL384" s="173"/>
      <c r="BM384" s="173"/>
      <c r="BN384" s="173"/>
      <c r="BO384" s="173"/>
      <c r="BP384" s="173"/>
      <c r="BQ384" s="118"/>
      <c r="BR384" s="118"/>
      <c r="BS384" s="118">
        <f>INDEX('Dist. Plant Gas Additions'!$F$7:$AE$91,MATCH($C384,'Dist. Plant Gas Additions'!$D$7:$D$91,0),MATCH(Calculation!$G384,'Dist. Plant Gas Additions'!$F$5:$AE$5,0))</f>
        <v>289439</v>
      </c>
      <c r="BT384" s="118">
        <f>INDEX('Gen. Plant Additions'!$F$7:$AE$91,MATCH($C384,'Gen. Plant Additions'!$D$7:$D$91,0),MATCH(Calculation!$G384,'Gen. Plant Additions'!$F$5:$AE$5,0))</f>
        <v>0</v>
      </c>
      <c r="BU384" s="118"/>
      <c r="BV384" s="118"/>
      <c r="BW384" s="118">
        <f>INDEX('Dist Plant Depreciation'!$E$7:$AD$94,MATCH($C384,'Dist Plant Depreciation'!$D$7:$D$94,0),MATCH(Calculation!$G384,'Dist Plant Depreciation'!$E$5:$AD$5,0))</f>
        <v>749635</v>
      </c>
      <c r="BX384" s="118">
        <f>INDEX('Gen. Plant Depreciation'!$E$7:$AD$94,MATCH($C384,'Gen. Plant Depreciation'!$D$7:$D$94,0),MATCH(Calculation!$G384,'Gen. Plant Depreciation'!$E$5:$AD$5,0))</f>
        <v>0</v>
      </c>
      <c r="BY384" s="118"/>
      <c r="BZ384" s="118"/>
      <c r="CA384" s="118"/>
      <c r="CB384" s="118"/>
      <c r="CC384" s="118"/>
      <c r="CD384" s="118"/>
      <c r="CE384" s="118">
        <f>INDEX('Gross Dx Plant'!$E$7:$AD$91,MATCH($C384,'Gross Dx Plant'!$D$7:$D$91,0),MATCH(Calculation!$G384,'Gross Dx Plant'!$E$5:$AD$5,0))</f>
        <v>3301820</v>
      </c>
      <c r="CF384" s="118">
        <f>INDEX('Gross Gen Plant'!$E$7:$AD$91,MATCH($C384,'Gross Gen Plant'!$D$7:$D$91,0),MATCH(Calculation!$G384,'Gross Gen Plant'!$E$5:$AD$5,0))</f>
        <v>0</v>
      </c>
      <c r="CG384" s="118">
        <f t="shared" si="969"/>
        <v>2552185</v>
      </c>
      <c r="CH384" s="118"/>
      <c r="CI384" s="121">
        <v>2010</v>
      </c>
      <c r="CJ384" s="118"/>
      <c r="CK384" s="118"/>
      <c r="CL384" s="118"/>
      <c r="CM384" s="183"/>
      <c r="CN384" s="118">
        <f t="shared" si="1046"/>
        <v>289439</v>
      </c>
      <c r="CO384" s="118">
        <f t="shared" si="1047"/>
        <v>508.68952531160994</v>
      </c>
      <c r="CP384" s="186">
        <v>0.9285714285714286</v>
      </c>
      <c r="CQ384" s="118">
        <f>+CQ372*CP384+CO373*CP383+CO374*CP382+CO375*CP381+CO376*CP380+CO377*CP379+CO378*CP378+CO379*CP377+CO380*CP376+CO381*CP375+CO382*CP374+CO383*CP373+CO384</f>
        <v>9675.7788008839925</v>
      </c>
      <c r="CR384" s="119">
        <f t="shared" si="1048"/>
        <v>4.7038198459317337E-2</v>
      </c>
      <c r="CS384" s="119"/>
      <c r="CT384" s="177">
        <f t="shared" si="1049"/>
        <v>6.9434974510797151E-3</v>
      </c>
      <c r="CU384" s="177">
        <f t="shared" si="1057"/>
        <v>6.7621349191320764E-3</v>
      </c>
      <c r="CV384" s="119">
        <f>VLOOKUP($H384,RoR!$E:$F,2,FALSE)</f>
        <v>4.9433333333333322E-2</v>
      </c>
      <c r="CW384" s="177">
        <v>1.1684333519300205E-2</v>
      </c>
      <c r="CX384" s="177">
        <f t="shared" si="1055"/>
        <v>3.7748999814033117E-2</v>
      </c>
      <c r="CY384" s="177">
        <f t="shared" si="1058"/>
        <v>2.4139806689401549E-2</v>
      </c>
      <c r="CZ384" s="177">
        <f t="shared" si="1059"/>
        <v>4.7937530248493419E-2</v>
      </c>
      <c r="DA384" s="187">
        <f t="shared" si="1050"/>
        <v>0.85131374874999999</v>
      </c>
      <c r="DB384" s="188">
        <f t="shared" si="1051"/>
        <v>1.037398205301105</v>
      </c>
      <c r="DC384" s="188">
        <f t="shared" si="1052"/>
        <v>0.46926837491571133</v>
      </c>
      <c r="DD384" s="188">
        <f t="shared" si="1053"/>
        <v>0.8548537519972772</v>
      </c>
      <c r="DE384" s="188">
        <f t="shared" si="1054"/>
        <v>0.41615833911547367</v>
      </c>
      <c r="DF384" s="189">
        <f>INDEX('State Tax Lookup'!$D$7:$Z$91,MATCH(Calculation!$C384,'State Tax Lookup'!$B$7:$B$91,0),MATCH($H384,'State Tax Lookup'!$D$6:$Z$6,0))</f>
        <v>0.39649667</v>
      </c>
      <c r="DG384" s="189">
        <v>0.375</v>
      </c>
      <c r="DH384" s="190">
        <f t="shared" si="1056"/>
        <v>19.307659763323763</v>
      </c>
      <c r="DI384" s="190">
        <v>19.018839248333524</v>
      </c>
      <c r="DJ384" s="177"/>
      <c r="DK384" s="189">
        <f>VLOOKUP($H384,RoR!$E:$F,2,FALSE)</f>
        <v>4.9433333333333322E-2</v>
      </c>
      <c r="DL384" s="191">
        <f>HLOOKUP($H384,'GDP-PI'!$D$8:$CQ$11,3,FALSE)</f>
        <v>1.1684333519300205E-2</v>
      </c>
      <c r="DM384" s="189">
        <f>VLOOKUP(H384,'HW Dx Data'!$E:$F,2,FALSE)</f>
        <v>568.98950262971744</v>
      </c>
      <c r="DN384" s="183">
        <f>VLOOKUP(H384,'ECI - Input Price'!$G$17:$H$37,2,FALSE)</f>
        <v>111.875</v>
      </c>
      <c r="DO384" s="177">
        <f t="shared" ref="DO384" si="1093">LN(DN384/DN383)</f>
        <v>1.8949360147238387E-2</v>
      </c>
      <c r="DP384" s="183">
        <f>HLOOKUP(H384,'GDP-PI'!$8:$9,2,FALSE)</f>
        <v>96.108999999999995</v>
      </c>
      <c r="DQ384" s="177">
        <f t="shared" ref="DQ384" si="1094">LN(DP384/DP383)</f>
        <v>1.1616598807150427E-2</v>
      </c>
    </row>
    <row r="385" spans="1:122" s="167" customFormat="1" ht="21" x14ac:dyDescent="0.35">
      <c r="A385" s="167" t="s">
        <v>51</v>
      </c>
      <c r="B385" s="168" t="s">
        <v>51</v>
      </c>
      <c r="C385" s="168">
        <v>4057080</v>
      </c>
      <c r="D385" s="168" t="s">
        <v>136</v>
      </c>
      <c r="E385" s="168" t="s">
        <v>126</v>
      </c>
      <c r="F385" s="168"/>
      <c r="G385" s="168" t="s">
        <v>17</v>
      </c>
      <c r="H385" s="169">
        <v>2011</v>
      </c>
      <c r="I385" s="170"/>
      <c r="J385" s="166">
        <f>IFERROR(INDEX('Labor Expenditures'!$F$7:$X$91,MATCH($C385,'Labor Expenditures'!$D$7:$D$91,0),MATCH($G385,'Labor Expenditures'!$F$5:$X$5,0)),"NA")</f>
        <v>117334.51076646303</v>
      </c>
      <c r="K385" s="166">
        <f t="shared" si="1062"/>
        <v>1026.5486506252234</v>
      </c>
      <c r="L385" s="172">
        <f t="shared" si="1069"/>
        <v>4.4567268026085793E-2</v>
      </c>
      <c r="M385" s="172">
        <f t="shared" si="1073"/>
        <v>2.1277992071996859E-3</v>
      </c>
      <c r="N385" s="196"/>
      <c r="O385" s="172"/>
      <c r="P385" s="166">
        <f>IFERROR(INDEX('Non-Labor Expenditures'!$F$7:$AB$91,MATCH($C385,'Non-Labor Expenditures'!$D$7:$D$91,0),MATCH($G385,'Non-Labor Expenditures'!$F$5:$AB$5,0)),"NA")</f>
        <v>169922.28665349682</v>
      </c>
      <c r="Q385" s="166">
        <f t="shared" si="1063"/>
        <v>1731.9215453104291</v>
      </c>
      <c r="R385" s="172">
        <f t="shared" si="1074"/>
        <v>4.5384943018981841E-2</v>
      </c>
      <c r="S385" s="172">
        <f t="shared" si="1079"/>
        <v>2.1668379070951533E-3</v>
      </c>
      <c r="T385" s="172"/>
      <c r="U385" s="172"/>
      <c r="V385" s="166">
        <f t="shared" si="1044"/>
        <v>199672.45210824371</v>
      </c>
      <c r="W385" s="170"/>
      <c r="X385" s="174">
        <v>10129.250013573899</v>
      </c>
      <c r="Y385" s="175">
        <v>4.5801547455811289E-2</v>
      </c>
      <c r="Z385" s="175">
        <f t="shared" si="1080"/>
        <v>2.1867280782827325E-3</v>
      </c>
      <c r="AA385" s="175"/>
      <c r="AB385" s="175"/>
      <c r="AC385" s="170">
        <f t="shared" si="1086"/>
        <v>486929.24952820357</v>
      </c>
      <c r="AD385" s="175">
        <f t="shared" si="1075"/>
        <v>8.5248395044241462E-2</v>
      </c>
      <c r="AE385" s="170"/>
      <c r="AF385" s="170"/>
      <c r="AG385" s="121">
        <f t="shared" si="1076"/>
        <v>456.98914847660996</v>
      </c>
      <c r="AH385" s="119">
        <f>+AZ385/$BB$49</f>
        <v>2.9569833807861396E-2</v>
      </c>
      <c r="AI385" s="119">
        <f>+AZ385/$BC$49</f>
        <v>0.12627827426470822</v>
      </c>
      <c r="AJ385" s="176">
        <f t="shared" si="1081"/>
        <v>13.513093172449452</v>
      </c>
      <c r="AK385" s="176">
        <f t="shared" si="1082"/>
        <v>57.70780102732482</v>
      </c>
      <c r="AL385" s="120">
        <f t="shared" si="1064"/>
        <v>0.24096829442912091</v>
      </c>
      <c r="AM385" s="120">
        <f t="shared" si="1065"/>
        <v>0.34896709700256917</v>
      </c>
      <c r="AN385" s="120">
        <f t="shared" si="1066"/>
        <v>0.41006460856830995</v>
      </c>
      <c r="AO385" s="120">
        <f t="shared" si="1070"/>
        <v>4.5354443731025637E-2</v>
      </c>
      <c r="AP385" s="173">
        <f t="shared" si="1087"/>
        <v>140.44964482730796</v>
      </c>
      <c r="AQ385" s="175">
        <f t="shared" si="1088"/>
        <v>4.5354443731025575E-2</v>
      </c>
      <c r="AR385" s="177">
        <f>+AC385/$AE$49</f>
        <v>4.7743541424936746E-2</v>
      </c>
      <c r="AS385" s="177">
        <f t="shared" si="1083"/>
        <v>2.1653817630771822E-3</v>
      </c>
      <c r="AT385" s="177"/>
      <c r="AU385" s="177"/>
      <c r="AV385" s="177"/>
      <c r="AW385" s="190"/>
      <c r="AX385" s="120"/>
      <c r="AY385" s="120"/>
      <c r="AZ385" s="118">
        <f>IFERROR(INDEX('Total Customers'!$F$7:$AB$91,MATCH($C385,'Total Customers'!$D$7:$D$91,0),MATCH($G385,'Total Customers'!$F$5:$AB$5,0)),"NA")</f>
        <v>1065516</v>
      </c>
      <c r="BA385" s="119">
        <f t="shared" si="1045"/>
        <v>2.7301019200050227E-3</v>
      </c>
      <c r="BB385" s="119"/>
      <c r="BC385" s="121">
        <v>8437841</v>
      </c>
      <c r="BD385" s="119"/>
      <c r="BE385" s="119"/>
      <c r="BF385" s="119"/>
      <c r="BG385" s="173"/>
      <c r="BH385" s="173"/>
      <c r="BI385" s="173"/>
      <c r="BJ385" s="173"/>
      <c r="BK385" s="173"/>
      <c r="BL385" s="173"/>
      <c r="BM385" s="173"/>
      <c r="BN385" s="173"/>
      <c r="BO385" s="173"/>
      <c r="BP385" s="173"/>
      <c r="BQ385" s="118"/>
      <c r="BR385" s="118"/>
      <c r="BS385" s="118">
        <f>INDEX('Dist. Plant Gas Additions'!$F$7:$AE$91,MATCH($C385,'Dist. Plant Gas Additions'!$D$7:$D$91,0),MATCH(Calculation!$G385,'Dist. Plant Gas Additions'!$F$5:$AE$5,0))</f>
        <v>319478</v>
      </c>
      <c r="BT385" s="118">
        <f>INDEX('Gen. Plant Additions'!$F$7:$AE$91,MATCH($C385,'Gen. Plant Additions'!$D$7:$D$91,0),MATCH(Calculation!$G385,'Gen. Plant Additions'!$F$5:$AE$5,0))</f>
        <v>0</v>
      </c>
      <c r="BU385" s="118"/>
      <c r="BV385" s="118"/>
      <c r="BW385" s="118">
        <f>INDEX('Dist Plant Depreciation'!$E$7:$AD$94,MATCH($C385,'Dist Plant Depreciation'!$D$7:$D$94,0),MATCH(Calculation!$G385,'Dist Plant Depreciation'!$E$5:$AD$5,0))</f>
        <v>811630</v>
      </c>
      <c r="BX385" s="118">
        <f>INDEX('Gen. Plant Depreciation'!$E$7:$AD$94,MATCH($C385,'Gen. Plant Depreciation'!$D$7:$D$94,0),MATCH(Calculation!$G385,'Gen. Plant Depreciation'!$E$5:$AD$5,0))</f>
        <v>0</v>
      </c>
      <c r="BY385" s="118"/>
      <c r="BZ385" s="118"/>
      <c r="CA385" s="118"/>
      <c r="CB385" s="118"/>
      <c r="CC385" s="118"/>
      <c r="CD385" s="118"/>
      <c r="CE385" s="118">
        <f>INDEX('Gross Dx Plant'!$E$7:$AD$91,MATCH($C385,'Gross Dx Plant'!$D$7:$D$91,0),MATCH(Calculation!$G385,'Gross Dx Plant'!$E$5:$AD$5,0))</f>
        <v>3610878</v>
      </c>
      <c r="CF385" s="118">
        <f>INDEX('Gross Gen Plant'!$E$7:$AD$91,MATCH($C385,'Gross Gen Plant'!$D$7:$D$91,0),MATCH(Calculation!$G385,'Gross Gen Plant'!$E$5:$AD$5,0))</f>
        <v>0</v>
      </c>
      <c r="CG385" s="118">
        <f t="shared" si="969"/>
        <v>2799248</v>
      </c>
      <c r="CH385" s="118"/>
      <c r="CI385" s="121">
        <v>2011</v>
      </c>
      <c r="CJ385" s="118"/>
      <c r="CK385" s="118"/>
      <c r="CL385" s="118"/>
      <c r="CM385" s="183"/>
      <c r="CN385" s="118">
        <f t="shared" si="1046"/>
        <v>319478</v>
      </c>
      <c r="CO385" s="118">
        <f t="shared" si="1047"/>
        <v>522.35481341862067</v>
      </c>
      <c r="CP385" s="186">
        <v>0.92121212121212126</v>
      </c>
      <c r="CQ385" s="118">
        <f>+CQ372*CP385+CO373*CP384+CO374*CP383+CO375*CP382+CO376*CP381+CO377*CP380+CO378*CP379+CO379*CP378+CO380*CP377+CO381*CP376+CO382*CP375+CO383*CP374+CO384*CP373+CO385</f>
        <v>10129.250013573899</v>
      </c>
      <c r="CR385" s="119">
        <f t="shared" si="1048"/>
        <v>4.5801547455811289E-2</v>
      </c>
      <c r="CS385" s="119"/>
      <c r="CT385" s="177">
        <f t="shared" si="1049"/>
        <v>7.1191789463418368E-3</v>
      </c>
      <c r="CU385" s="177">
        <f t="shared" si="1057"/>
        <v>6.942162658694042E-3</v>
      </c>
      <c r="CV385" s="119">
        <f>VLOOKUP($H385,RoR!$E:$F,2,FALSE)</f>
        <v>4.6391666666666664E-2</v>
      </c>
      <c r="CW385" s="177">
        <v>2.0840920205183799E-2</v>
      </c>
      <c r="CX385" s="177">
        <f t="shared" si="1055"/>
        <v>2.5550746461482865E-2</v>
      </c>
      <c r="CY385" s="177">
        <f t="shared" si="1058"/>
        <v>2.3959778949839583E-2</v>
      </c>
      <c r="CZ385" s="177">
        <f t="shared" si="1059"/>
        <v>2.4810540821321614E-2</v>
      </c>
      <c r="DA385" s="187">
        <f t="shared" si="1050"/>
        <v>0.85131374874999999</v>
      </c>
      <c r="DB385" s="188">
        <f t="shared" si="1051"/>
        <v>1.1054151524782025</v>
      </c>
      <c r="DC385" s="188">
        <f t="shared" si="1052"/>
        <v>0.43611011316687626</v>
      </c>
      <c r="DD385" s="188">
        <f t="shared" si="1053"/>
        <v>0.83698442246886229</v>
      </c>
      <c r="DE385" s="188">
        <f t="shared" si="1054"/>
        <v>0.40349573304423936</v>
      </c>
      <c r="DF385" s="189">
        <f>INDEX('State Tax Lookup'!$D$7:$Z$91,MATCH(Calculation!$C385,'State Tax Lookup'!$B$7:$B$91,0),MATCH($H385,'State Tax Lookup'!$D$6:$Z$6,0))</f>
        <v>0.39649667</v>
      </c>
      <c r="DG385" s="189">
        <v>0.375</v>
      </c>
      <c r="DH385" s="190">
        <f t="shared" si="1056"/>
        <v>20.636318400540674</v>
      </c>
      <c r="DI385" s="190">
        <v>20.336124907898654</v>
      </c>
      <c r="DJ385" s="177"/>
      <c r="DK385" s="189">
        <f>VLOOKUP($H385,RoR!$E:$F,2,FALSE)</f>
        <v>4.6391666666666664E-2</v>
      </c>
      <c r="DL385" s="191">
        <f>HLOOKUP($H385,'GDP-PI'!$D$8:$CQ$11,3,FALSE)</f>
        <v>2.0840920205183799E-2</v>
      </c>
      <c r="DM385" s="189">
        <f>VLOOKUP(H385,'HW Dx Data'!$E:$F,2,FALSE)</f>
        <v>611.61109612283201</v>
      </c>
      <c r="DN385" s="183">
        <f>VLOOKUP(H385,'ECI - Input Price'!$G$17:$H$37,2,FALSE)</f>
        <v>114.3</v>
      </c>
      <c r="DO385" s="177">
        <f t="shared" ref="DO385" si="1095">LN(DN385/DN384)</f>
        <v>2.1444394205745516E-2</v>
      </c>
      <c r="DP385" s="183">
        <f>HLOOKUP(H385,'GDP-PI'!$8:$9,2,FALSE)</f>
        <v>98.111999999999995</v>
      </c>
      <c r="DQ385" s="177">
        <f t="shared" ref="DQ385" si="1096">LN(DP385/DP384)</f>
        <v>2.0626719212849295E-2</v>
      </c>
    </row>
    <row r="386" spans="1:122" s="167" customFormat="1" ht="21" x14ac:dyDescent="0.35">
      <c r="A386" s="167" t="s">
        <v>51</v>
      </c>
      <c r="B386" s="168" t="s">
        <v>51</v>
      </c>
      <c r="C386" s="168">
        <v>4057080</v>
      </c>
      <c r="D386" s="168" t="s">
        <v>136</v>
      </c>
      <c r="E386" s="168" t="s">
        <v>126</v>
      </c>
      <c r="F386" s="168"/>
      <c r="G386" s="168" t="s">
        <v>18</v>
      </c>
      <c r="H386" s="169">
        <v>2012</v>
      </c>
      <c r="I386" s="170"/>
      <c r="J386" s="166">
        <f>IFERROR(INDEX('Labor Expenditures'!$F$7:$X$91,MATCH($C386,'Labor Expenditures'!$D$7:$D$91,0),MATCH($G386,'Labor Expenditures'!$F$5:$X$5,0)),"NA")</f>
        <v>109599.99298994782</v>
      </c>
      <c r="K386" s="166">
        <f t="shared" si="1062"/>
        <v>940.77247201671946</v>
      </c>
      <c r="L386" s="172">
        <f t="shared" si="1069"/>
        <v>-8.7256313472491423E-2</v>
      </c>
      <c r="M386" s="172">
        <f t="shared" si="1073"/>
        <v>-4.0389780882138229E-3</v>
      </c>
      <c r="N386" s="196"/>
      <c r="O386" s="172"/>
      <c r="P386" s="166">
        <f>IFERROR(INDEX('Non-Labor Expenditures'!$F$7:$AB$91,MATCH($C386,'Non-Labor Expenditures'!$D$7:$D$91,0),MATCH($G386,'Non-Labor Expenditures'!$F$5:$AB$5,0)),"NA")</f>
        <v>158721.26030445073</v>
      </c>
      <c r="Q386" s="166">
        <f t="shared" si="1063"/>
        <v>1587.2126030445072</v>
      </c>
      <c r="R386" s="172">
        <f t="shared" si="1074"/>
        <v>-8.7252114006243497E-2</v>
      </c>
      <c r="S386" s="172">
        <f t="shared" si="1079"/>
        <v>-4.0387837005359285E-3</v>
      </c>
      <c r="T386" s="172"/>
      <c r="U386" s="172"/>
      <c r="V386" s="166">
        <f t="shared" si="1044"/>
        <v>226339.15562102973</v>
      </c>
      <c r="W386" s="170"/>
      <c r="X386" s="174">
        <v>10539.830547161451</v>
      </c>
      <c r="Y386" s="175">
        <v>3.9734186517161027E-2</v>
      </c>
      <c r="Z386" s="175">
        <f t="shared" si="1080"/>
        <v>1.8392423689365407E-3</v>
      </c>
      <c r="AA386" s="175"/>
      <c r="AB386" s="175"/>
      <c r="AC386" s="170">
        <f t="shared" si="1086"/>
        <v>494660.40891542827</v>
      </c>
      <c r="AD386" s="175">
        <f t="shared" si="1075"/>
        <v>1.5752650186169639E-2</v>
      </c>
      <c r="AE386" s="170"/>
      <c r="AF386" s="170"/>
      <c r="AG386" s="121">
        <f t="shared" si="1076"/>
        <v>463.26450982039057</v>
      </c>
      <c r="AH386" s="119">
        <f>+AZ386/$BB$50</f>
        <v>2.9489818550260786E-2</v>
      </c>
      <c r="AI386" s="119">
        <f>+AZ386/$BC$50</f>
        <v>0.12584112427095492</v>
      </c>
      <c r="AJ386" s="176">
        <f t="shared" si="1081"/>
        <v>13.661586335378823</v>
      </c>
      <c r="AK386" s="176">
        <f t="shared" si="1082"/>
        <v>58.297726750630787</v>
      </c>
      <c r="AL386" s="120">
        <f t="shared" si="1064"/>
        <v>0.22156613105595449</v>
      </c>
      <c r="AM386" s="120">
        <f t="shared" si="1065"/>
        <v>0.32086914061397459</v>
      </c>
      <c r="AN386" s="120">
        <f t="shared" si="1066"/>
        <v>0.45756472833007095</v>
      </c>
      <c r="AO386" s="120">
        <f t="shared" si="1070"/>
        <v>-3.2164565345947665E-2</v>
      </c>
      <c r="AP386" s="173">
        <f t="shared" si="1087"/>
        <v>136.00402207527549</v>
      </c>
      <c r="AQ386" s="175">
        <f t="shared" si="1088"/>
        <v>-3.2164565345947783E-2</v>
      </c>
      <c r="AR386" s="177">
        <f>+AC386/$AE$50</f>
        <v>4.628866299155715E-2</v>
      </c>
      <c r="AS386" s="177">
        <f t="shared" si="1083"/>
        <v>-1.4888547255684948E-3</v>
      </c>
      <c r="AT386" s="177"/>
      <c r="AU386" s="177"/>
      <c r="AV386" s="177"/>
      <c r="AW386" s="190"/>
      <c r="AX386" s="120"/>
      <c r="AY386" s="120"/>
      <c r="AZ386" s="118">
        <f>IFERROR(INDEX('Total Customers'!$F$7:$AB$91,MATCH($C386,'Total Customers'!$D$7:$D$91,0),MATCH($G386,'Total Customers'!$F$5:$AB$5,0)),"NA")</f>
        <v>1067771</v>
      </c>
      <c r="BA386" s="119">
        <f t="shared" si="1045"/>
        <v>2.1141092032019404E-3</v>
      </c>
      <c r="BB386" s="119"/>
      <c r="BC386" s="121">
        <v>8485072</v>
      </c>
      <c r="BD386" s="119"/>
      <c r="BE386" s="119"/>
      <c r="BF386" s="119"/>
      <c r="BG386" s="173"/>
      <c r="BH386" s="173"/>
      <c r="BI386" s="173"/>
      <c r="BJ386" s="173"/>
      <c r="BK386" s="173"/>
      <c r="BL386" s="173"/>
      <c r="BM386" s="173"/>
      <c r="BN386" s="173"/>
      <c r="BO386" s="173"/>
      <c r="BP386" s="173"/>
      <c r="BQ386" s="118"/>
      <c r="BR386" s="118"/>
      <c r="BS386" s="118">
        <f>INDEX('Dist. Plant Gas Additions'!$F$7:$AE$91,MATCH($C386,'Dist. Plant Gas Additions'!$D$7:$D$91,0),MATCH(Calculation!$G386,'Dist. Plant Gas Additions'!$F$5:$AE$5,0))</f>
        <v>324103</v>
      </c>
      <c r="BT386" s="118">
        <f>INDEX('Gen. Plant Additions'!$F$7:$AE$91,MATCH($C386,'Gen. Plant Additions'!$D$7:$D$91,0),MATCH(Calculation!$G386,'Gen. Plant Additions'!$F$5:$AE$5,0))</f>
        <v>0</v>
      </c>
      <c r="BU386" s="118"/>
      <c r="BV386" s="118"/>
      <c r="BW386" s="118">
        <f>INDEX('Dist Plant Depreciation'!$E$7:$AD$94,MATCH($C386,'Dist Plant Depreciation'!$D$7:$D$94,0),MATCH(Calculation!$G386,'Dist Plant Depreciation'!$E$5:$AD$5,0))</f>
        <v>882724</v>
      </c>
      <c r="BX386" s="118">
        <f>INDEX('Gen. Plant Depreciation'!$E$7:$AD$94,MATCH($C386,'Gen. Plant Depreciation'!$D$7:$D$94,0),MATCH(Calculation!$G386,'Gen. Plant Depreciation'!$E$5:$AD$5,0))</f>
        <v>0</v>
      </c>
      <c r="BY386" s="118"/>
      <c r="BZ386" s="118"/>
      <c r="CA386" s="118"/>
      <c r="CB386" s="118"/>
      <c r="CC386" s="118"/>
      <c r="CD386" s="118"/>
      <c r="CE386" s="118">
        <f>INDEX('Gross Dx Plant'!$E$7:$AD$91,MATCH($C386,'Gross Dx Plant'!$D$7:$D$91,0),MATCH(Calculation!$G386,'Gross Dx Plant'!$E$5:$AD$5,0))</f>
        <v>3926889</v>
      </c>
      <c r="CF386" s="118">
        <f>INDEX('Gross Gen Plant'!$E$7:$AD$91,MATCH($C386,'Gross Gen Plant'!$D$7:$D$91,0),MATCH(Calculation!$G386,'Gross Gen Plant'!$E$5:$AD$5,0))</f>
        <v>0</v>
      </c>
      <c r="CG386" s="118">
        <f t="shared" si="969"/>
        <v>3044165</v>
      </c>
      <c r="CH386" s="118"/>
      <c r="CI386" s="121">
        <v>2012</v>
      </c>
      <c r="CJ386" s="118"/>
      <c r="CK386" s="118"/>
      <c r="CL386" s="118"/>
      <c r="CM386" s="183"/>
      <c r="CN386" s="118">
        <f t="shared" si="1046"/>
        <v>324103</v>
      </c>
      <c r="CO386" s="118">
        <f t="shared" si="1047"/>
        <v>484.51732411675329</v>
      </c>
      <c r="CP386" s="186">
        <v>0.9135802469135802</v>
      </c>
      <c r="CQ386" s="118">
        <f>+CQ372*CP386+CO373*CP385+CO374*CP384+CO375*CP383+CO376*CP382+CO377*CP381+CO378*CP380+CO379*CP379+CO380*CP378+CO381*CP377+CO382*CP376+CO383*CP375+CO384*CP374+CO385*CP373+CO386</f>
        <v>10539.830547161451</v>
      </c>
      <c r="CR386" s="119">
        <f t="shared" si="1048"/>
        <v>3.9734186517161027E-2</v>
      </c>
      <c r="CS386" s="119"/>
      <c r="CT386" s="177">
        <f t="shared" si="1049"/>
        <v>7.2993351363744401E-3</v>
      </c>
      <c r="CU386" s="177">
        <f t="shared" si="1057"/>
        <v>7.1206705112653312E-3</v>
      </c>
      <c r="CV386" s="119">
        <f>VLOOKUP($H386,RoR!$E:$F,2,FALSE)</f>
        <v>3.6733333333333333E-2</v>
      </c>
      <c r="CW386" s="177">
        <v>1.924331376386168E-2</v>
      </c>
      <c r="CX386" s="177">
        <f t="shared" si="1055"/>
        <v>1.7490019569471653E-2</v>
      </c>
      <c r="CY386" s="177">
        <f t="shared" si="1058"/>
        <v>2.3781271097268294E-2</v>
      </c>
      <c r="CZ386" s="177">
        <f t="shared" si="1059"/>
        <v>6.7122682943869583E-2</v>
      </c>
      <c r="DA386" s="187">
        <f t="shared" si="1050"/>
        <v>0.85131374874999999</v>
      </c>
      <c r="DB386" s="188">
        <f t="shared" si="1051"/>
        <v>1.3960631020522127</v>
      </c>
      <c r="DC386" s="188">
        <f t="shared" si="1052"/>
        <v>0.29441923774954631</v>
      </c>
      <c r="DD386" s="188">
        <f t="shared" si="1053"/>
        <v>0.76377954189366437</v>
      </c>
      <c r="DE386" s="188">
        <f t="shared" si="1054"/>
        <v>0.31393465103033691</v>
      </c>
      <c r="DF386" s="189">
        <f>INDEX('State Tax Lookup'!$D$7:$Z$91,MATCH(Calculation!$C386,'State Tax Lookup'!$B$7:$B$91,0),MATCH($H386,'State Tax Lookup'!$D$6:$Z$6,0))</f>
        <v>0.39649667</v>
      </c>
      <c r="DG386" s="189">
        <v>0.375</v>
      </c>
      <c r="DH386" s="190">
        <f t="shared" si="1056"/>
        <v>22.345105049013455</v>
      </c>
      <c r="DI386" s="190">
        <v>22.066452206306622</v>
      </c>
      <c r="DJ386" s="177"/>
      <c r="DK386" s="189">
        <f>VLOOKUP($H386,RoR!$E:$F,2,FALSE)</f>
        <v>3.6733333333333333E-2</v>
      </c>
      <c r="DL386" s="191">
        <f>HLOOKUP($H386,'GDP-PI'!$D$8:$CQ$11,3,FALSE)</f>
        <v>1.924331376386168E-2</v>
      </c>
      <c r="DM386" s="189">
        <f>VLOOKUP(H386,'HW Dx Data'!$E:$F,2,FALSE)</f>
        <v>668.91932211262167</v>
      </c>
      <c r="DN386" s="183">
        <f>VLOOKUP(H386,'ECI - Input Price'!$G$17:$H$37,2,FALSE)</f>
        <v>116.5</v>
      </c>
      <c r="DO386" s="177">
        <f t="shared" ref="DO386" si="1097">LN(DN386/DN385)</f>
        <v>1.9064702204990347E-2</v>
      </c>
      <c r="DP386" s="183">
        <f>HLOOKUP(H386,'GDP-PI'!$8:$9,2,FALSE)</f>
        <v>100</v>
      </c>
      <c r="DQ386" s="177">
        <f t="shared" ref="DQ386" si="1098">LN(DP386/DP385)</f>
        <v>1.9060502738742411E-2</v>
      </c>
    </row>
    <row r="387" spans="1:122" s="167" customFormat="1" ht="21" x14ac:dyDescent="0.35">
      <c r="A387" s="167" t="s">
        <v>51</v>
      </c>
      <c r="B387" s="168" t="s">
        <v>51</v>
      </c>
      <c r="C387" s="168">
        <v>4057080</v>
      </c>
      <c r="D387" s="168" t="s">
        <v>136</v>
      </c>
      <c r="E387" s="168" t="s">
        <v>126</v>
      </c>
      <c r="F387" s="168"/>
      <c r="G387" s="168" t="s">
        <v>19</v>
      </c>
      <c r="H387" s="169">
        <v>2013</v>
      </c>
      <c r="I387" s="170"/>
      <c r="J387" s="166">
        <f>IFERROR(INDEX('Labor Expenditures'!$F$7:$X$91,MATCH($C387,'Labor Expenditures'!$D$7:$D$91,0),MATCH($G387,'Labor Expenditures'!$F$5:$X$5,0)),"NA")</f>
        <v>113890.16012322962</v>
      </c>
      <c r="K387" s="166">
        <f t="shared" si="1062"/>
        <v>959.27698566628453</v>
      </c>
      <c r="L387" s="172">
        <f t="shared" si="1069"/>
        <v>1.9478544248606736E-2</v>
      </c>
      <c r="M387" s="172">
        <f t="shared" si="1073"/>
        <v>8.9744469686754442E-4</v>
      </c>
      <c r="N387" s="196"/>
      <c r="O387" s="172"/>
      <c r="P387" s="166">
        <f>IFERROR(INDEX('Non-Labor Expenditures'!$F$7:$AB$91,MATCH($C387,'Non-Labor Expenditures'!$D$7:$D$91,0),MATCH($G387,'Non-Labor Expenditures'!$F$5:$AB$5,0)),"NA")</f>
        <v>164934.22360613337</v>
      </c>
      <c r="Q387" s="166">
        <f t="shared" si="1063"/>
        <v>1620.6088413049961</v>
      </c>
      <c r="R387" s="172">
        <f t="shared" si="1074"/>
        <v>2.0822508661526337E-2</v>
      </c>
      <c r="S387" s="172">
        <f t="shared" si="1079"/>
        <v>9.5936584044785443E-4</v>
      </c>
      <c r="T387" s="172"/>
      <c r="U387" s="172"/>
      <c r="V387" s="166">
        <f t="shared" si="1044"/>
        <v>231894.34033661577</v>
      </c>
      <c r="W387" s="170"/>
      <c r="X387" s="174">
        <v>10966.416879164613</v>
      </c>
      <c r="Y387" s="175">
        <v>3.9676126003375084E-2</v>
      </c>
      <c r="Z387" s="175">
        <f t="shared" si="1080"/>
        <v>1.8280179678481035E-3</v>
      </c>
      <c r="AA387" s="175"/>
      <c r="AB387" s="175"/>
      <c r="AC387" s="170">
        <f t="shared" si="1086"/>
        <v>510718.72406597878</v>
      </c>
      <c r="AD387" s="175">
        <f t="shared" si="1075"/>
        <v>3.1947511975182627E-2</v>
      </c>
      <c r="AE387" s="170"/>
      <c r="AF387" s="170"/>
      <c r="AG387" s="121">
        <f t="shared" si="1076"/>
        <v>477.40760820357434</v>
      </c>
      <c r="AH387" s="119">
        <f>+AZ387/$BB$51</f>
        <v>2.9356273689780336E-2</v>
      </c>
      <c r="AI387" s="119">
        <f>+AZ387/$BC$51</f>
        <v>0.12534093754353437</v>
      </c>
      <c r="AJ387" s="176">
        <f t="shared" si="1081"/>
        <v>14.014908408007548</v>
      </c>
      <c r="AK387" s="176">
        <f t="shared" si="1082"/>
        <v>59.83871720265234</v>
      </c>
      <c r="AL387" s="120">
        <f t="shared" si="1064"/>
        <v>0.22299977415458214</v>
      </c>
      <c r="AM387" s="120">
        <f t="shared" si="1065"/>
        <v>0.32294532358838252</v>
      </c>
      <c r="AN387" s="120">
        <f t="shared" si="1066"/>
        <v>0.45405490225703532</v>
      </c>
      <c r="AO387" s="120">
        <f t="shared" si="1070"/>
        <v>2.9117432121829573E-2</v>
      </c>
      <c r="AP387" s="173">
        <f t="shared" si="1087"/>
        <v>140.02232742540292</v>
      </c>
      <c r="AQ387" s="175">
        <f t="shared" si="1088"/>
        <v>2.9117432121829635E-2</v>
      </c>
      <c r="AR387" s="177">
        <f>+AC387/$AE$51</f>
        <v>4.607349940598035E-2</v>
      </c>
      <c r="AS387" s="177">
        <f t="shared" si="1083"/>
        <v>1.341541991568791E-3</v>
      </c>
      <c r="AT387" s="177"/>
      <c r="AU387" s="177"/>
      <c r="AV387" s="177"/>
      <c r="AW387" s="190"/>
      <c r="AX387" s="120"/>
      <c r="AY387" s="120"/>
      <c r="AZ387" s="118">
        <f>IFERROR(INDEX('Total Customers'!$F$7:$AB$91,MATCH($C387,'Total Customers'!$D$7:$D$91,0),MATCH($G387,'Total Customers'!$F$5:$AB$5,0)),"NA")</f>
        <v>1069775</v>
      </c>
      <c r="BA387" s="119">
        <f t="shared" si="1045"/>
        <v>1.8750479167599021E-3</v>
      </c>
      <c r="BB387" s="119"/>
      <c r="BC387" s="121">
        <v>8534921</v>
      </c>
      <c r="BD387" s="119"/>
      <c r="BE387" s="119"/>
      <c r="BF387" s="119"/>
      <c r="BG387" s="173"/>
      <c r="BH387" s="173"/>
      <c r="BI387" s="173"/>
      <c r="BJ387" s="173"/>
      <c r="BK387" s="173"/>
      <c r="BL387" s="173"/>
      <c r="BM387" s="173"/>
      <c r="BN387" s="173"/>
      <c r="BO387" s="173"/>
      <c r="BP387" s="173"/>
      <c r="BQ387" s="118"/>
      <c r="BR387" s="118"/>
      <c r="BS387" s="118">
        <f>INDEX('Dist. Plant Gas Additions'!$F$7:$AE$91,MATCH($C387,'Dist. Plant Gas Additions'!$D$7:$D$91,0),MATCH(Calculation!$G387,'Dist. Plant Gas Additions'!$F$5:$AE$5,0))</f>
        <v>335339</v>
      </c>
      <c r="BT387" s="118">
        <f>INDEX('Gen. Plant Additions'!$F$7:$AE$91,MATCH($C387,'Gen. Plant Additions'!$D$7:$D$91,0),MATCH(Calculation!$G387,'Gen. Plant Additions'!$F$5:$AE$5,0))</f>
        <v>0</v>
      </c>
      <c r="BU387" s="118"/>
      <c r="BV387" s="118"/>
      <c r="BW387" s="118">
        <f>INDEX('Dist Plant Depreciation'!$E$7:$AD$94,MATCH($C387,'Dist Plant Depreciation'!$D$7:$D$94,0),MATCH(Calculation!$G387,'Dist Plant Depreciation'!$E$5:$AD$5,0))</f>
        <v>952542</v>
      </c>
      <c r="BX387" s="118">
        <f>INDEX('Gen. Plant Depreciation'!$E$7:$AD$94,MATCH($C387,'Gen. Plant Depreciation'!$D$7:$D$94,0),MATCH(Calculation!$G387,'Gen. Plant Depreciation'!$E$5:$AD$5,0))</f>
        <v>5</v>
      </c>
      <c r="BY387" s="118"/>
      <c r="BZ387" s="118"/>
      <c r="CA387" s="118"/>
      <c r="CB387" s="118"/>
      <c r="CC387" s="118"/>
      <c r="CD387" s="118"/>
      <c r="CE387" s="118">
        <f>INDEX('Gross Dx Plant'!$E$7:$AD$91,MATCH($C387,'Gross Dx Plant'!$D$7:$D$91,0),MATCH(Calculation!$G387,'Gross Dx Plant'!$E$5:$AD$5,0))</f>
        <v>4249532</v>
      </c>
      <c r="CF387" s="118">
        <f>INDEX('Gross Gen Plant'!$E$7:$AD$91,MATCH($C387,'Gross Gen Plant'!$D$7:$D$91,0),MATCH(Calculation!$G387,'Gross Gen Plant'!$E$5:$AD$5,0))</f>
        <v>0</v>
      </c>
      <c r="CG387" s="118">
        <f t="shared" si="969"/>
        <v>3296985</v>
      </c>
      <c r="CH387" s="118"/>
      <c r="CI387" s="121">
        <v>2013</v>
      </c>
      <c r="CJ387" s="118"/>
      <c r="CK387" s="118"/>
      <c r="CL387" s="118"/>
      <c r="CM387" s="183"/>
      <c r="CN387" s="118">
        <f t="shared" si="1046"/>
        <v>335339</v>
      </c>
      <c r="CO387" s="118">
        <f t="shared" si="1047"/>
        <v>505.60091396398997</v>
      </c>
      <c r="CP387" s="186">
        <v>0.90566037735849059</v>
      </c>
      <c r="CQ387" s="118">
        <f>+CQ372*CP387+CO373*CP386+CO374*CP385+CO375*CP384+CO376*CP383+CO377*CP382+CO378*CP381+CO379*CP380+CO380*CP379+CO381*CP378+CO382*CP377+CO383*CP376+CO384*CP375+CO385*CP374+CO386*CP373+CO387</f>
        <v>10966.416879164613</v>
      </c>
      <c r="CR387" s="119">
        <f t="shared" si="1048"/>
        <v>3.9676126003375084E-2</v>
      </c>
      <c r="CS387" s="119"/>
      <c r="CT387" s="177">
        <f t="shared" si="1049"/>
        <v>7.4967601810360905E-3</v>
      </c>
      <c r="CU387" s="177">
        <f t="shared" si="1057"/>
        <v>7.3050914212507883E-3</v>
      </c>
      <c r="CV387" s="119">
        <f>VLOOKUP($H387,RoR!$E:$F,2,FALSE)</f>
        <v>4.2350000000000006E-2</v>
      </c>
      <c r="CW387" s="177">
        <v>1.7730000000000024E-2</v>
      </c>
      <c r="CX387" s="177">
        <f t="shared" si="1055"/>
        <v>2.4619999999999982E-2</v>
      </c>
      <c r="CY387" s="177">
        <f t="shared" si="1058"/>
        <v>2.3596850187282838E-2</v>
      </c>
      <c r="CZ387" s="177">
        <f t="shared" si="1059"/>
        <v>5.3376742735721204E-2</v>
      </c>
      <c r="DA387" s="187">
        <f t="shared" si="1050"/>
        <v>0.85131374874999999</v>
      </c>
      <c r="DB387" s="188">
        <f t="shared" si="1051"/>
        <v>1.2109103018193925</v>
      </c>
      <c r="DC387" s="188">
        <f t="shared" si="1052"/>
        <v>0.38468122786304604</v>
      </c>
      <c r="DD387" s="188">
        <f t="shared" si="1053"/>
        <v>0.80969194503422559</v>
      </c>
      <c r="DE387" s="188">
        <f t="shared" si="1054"/>
        <v>0.37716621754800816</v>
      </c>
      <c r="DF387" s="189">
        <f>INDEX('State Tax Lookup'!$D$7:$Z$91,MATCH(Calculation!$C387,'State Tax Lookup'!$B$7:$B$91,0),MATCH($H387,'State Tax Lookup'!$D$6:$Z$6,0))</f>
        <v>0.39649667</v>
      </c>
      <c r="DG387" s="189">
        <v>0.375</v>
      </c>
      <c r="DH387" s="190">
        <f t="shared" si="1056"/>
        <v>22.001714287434034</v>
      </c>
      <c r="DI387" s="190">
        <v>21.710683054327582</v>
      </c>
      <c r="DJ387" s="177"/>
      <c r="DK387" s="189">
        <f>VLOOKUP($H387,RoR!$E:$F,2,FALSE)</f>
        <v>4.2350000000000006E-2</v>
      </c>
      <c r="DL387" s="191">
        <f>HLOOKUP($H387,'GDP-PI'!$D$8:$CQ$11,3,FALSE)</f>
        <v>1.7730000000000024E-2</v>
      </c>
      <c r="DM387" s="189">
        <f>VLOOKUP(H387,'HW Dx Data'!$E:$F,2,FALSE)</f>
        <v>663.24840548821396</v>
      </c>
      <c r="DN387" s="183">
        <f>VLOOKUP(H387,'ECI - Input Price'!$G$17:$H$37,2,FALSE)</f>
        <v>118.72499999999999</v>
      </c>
      <c r="DO387" s="177">
        <f t="shared" ref="DO387" si="1099">LN(DN387/DN386)</f>
        <v>1.8918621429430321E-2</v>
      </c>
      <c r="DP387" s="183">
        <f>HLOOKUP(H387,'GDP-PI'!$8:$9,2,FALSE)</f>
        <v>101.773</v>
      </c>
      <c r="DQ387" s="177">
        <f t="shared" ref="DQ387" si="1100">LN(DP387/DP386)</f>
        <v>1.7574657016510519E-2</v>
      </c>
    </row>
    <row r="388" spans="1:122" s="167" customFormat="1" ht="21" x14ac:dyDescent="0.35">
      <c r="A388" s="167" t="s">
        <v>51</v>
      </c>
      <c r="B388" s="168" t="s">
        <v>51</v>
      </c>
      <c r="C388" s="168">
        <v>4057080</v>
      </c>
      <c r="D388" s="168" t="s">
        <v>136</v>
      </c>
      <c r="E388" s="168" t="s">
        <v>126</v>
      </c>
      <c r="F388" s="168"/>
      <c r="G388" s="168" t="s">
        <v>20</v>
      </c>
      <c r="H388" s="169">
        <v>2014</v>
      </c>
      <c r="I388" s="170"/>
      <c r="J388" s="166">
        <f>IFERROR(INDEX('Labor Expenditures'!$F$7:$X$91,MATCH($C388,'Labor Expenditures'!$D$7:$D$91,0),MATCH($G388,'Labor Expenditures'!$F$5:$X$5,0)),"NA")</f>
        <v>135183.09782483571</v>
      </c>
      <c r="K388" s="166">
        <f t="shared" si="1062"/>
        <v>1115.372094264321</v>
      </c>
      <c r="L388" s="172">
        <f t="shared" si="1069"/>
        <v>0.15076348427355943</v>
      </c>
      <c r="M388" s="172">
        <f t="shared" si="1073"/>
        <v>7.6596376412075206E-3</v>
      </c>
      <c r="N388" s="196"/>
      <c r="O388" s="172"/>
      <c r="P388" s="166">
        <f>IFERROR(INDEX('Non-Labor Expenditures'!$F$7:$AB$91,MATCH($C388,'Non-Labor Expenditures'!$D$7:$D$91,0),MATCH($G388,'Non-Labor Expenditures'!$F$5:$AB$5,0)),"NA")</f>
        <v>195770.37437024011</v>
      </c>
      <c r="Q388" s="166">
        <f t="shared" si="1063"/>
        <v>1888.8185318459782</v>
      </c>
      <c r="R388" s="172">
        <f t="shared" si="1074"/>
        <v>0.15314961157533216</v>
      </c>
      <c r="S388" s="172">
        <f t="shared" si="1079"/>
        <v>7.7808664028366165E-3</v>
      </c>
      <c r="T388" s="172"/>
      <c r="U388" s="172"/>
      <c r="V388" s="166">
        <f t="shared" si="1044"/>
        <v>247205.00071896822</v>
      </c>
      <c r="W388" s="170"/>
      <c r="X388" s="174">
        <v>11625.500588771883</v>
      </c>
      <c r="Y388" s="175">
        <v>5.8363420078090263E-2</v>
      </c>
      <c r="Z388" s="175">
        <f t="shared" si="1080"/>
        <v>2.9651918132151335E-3</v>
      </c>
      <c r="AA388" s="175"/>
      <c r="AB388" s="175"/>
      <c r="AC388" s="170">
        <f t="shared" si="1086"/>
        <v>578158.47291404405</v>
      </c>
      <c r="AD388" s="175">
        <f t="shared" si="1075"/>
        <v>0.12402900917129209</v>
      </c>
      <c r="AE388" s="170"/>
      <c r="AF388" s="170"/>
      <c r="AG388" s="121">
        <f t="shared" si="1076"/>
        <v>536.71794375850607</v>
      </c>
      <c r="AH388" s="119">
        <f>+AZ388/$BB$52</f>
        <v>2.9401646820575757E-2</v>
      </c>
      <c r="AI388" s="119">
        <f>+AZ388/$BC$52</f>
        <v>0.12526067606119895</v>
      </c>
      <c r="AJ388" s="176">
        <f t="shared" si="1081"/>
        <v>15.780391424653237</v>
      </c>
      <c r="AK388" s="176">
        <f t="shared" si="1082"/>
        <v>67.229652489367027</v>
      </c>
      <c r="AL388" s="120">
        <f t="shared" si="1064"/>
        <v>0.23381668549019716</v>
      </c>
      <c r="AM388" s="120">
        <f t="shared" si="1065"/>
        <v>0.33861023152270864</v>
      </c>
      <c r="AN388" s="120">
        <f t="shared" si="1066"/>
        <v>0.42757308298709423</v>
      </c>
      <c r="AO388" s="120">
        <f t="shared" si="1070"/>
        <v>0.11082152094286457</v>
      </c>
      <c r="AP388" s="173">
        <f t="shared" si="1087"/>
        <v>156.4323131275938</v>
      </c>
      <c r="AQ388" s="175">
        <f t="shared" si="1088"/>
        <v>0.11082152094286454</v>
      </c>
      <c r="AR388" s="177">
        <f>+AC388/$AE$52</f>
        <v>5.0805655481596289E-2</v>
      </c>
      <c r="AS388" s="177">
        <f t="shared" si="1083"/>
        <v>5.6303600129696835E-3</v>
      </c>
      <c r="AT388" s="177"/>
      <c r="AU388" s="177"/>
      <c r="AV388" s="177"/>
      <c r="AW388" s="190"/>
      <c r="AX388" s="120"/>
      <c r="AY388" s="120"/>
      <c r="AZ388" s="118">
        <f>IFERROR(INDEX('Total Customers'!$F$7:$AB$91,MATCH($C388,'Total Customers'!$D$7:$D$91,0),MATCH($G388,'Total Customers'!$F$5:$AB$5,0)),"NA")</f>
        <v>1077211</v>
      </c>
      <c r="BA388" s="119">
        <f t="shared" si="1045"/>
        <v>6.9269475750617553E-3</v>
      </c>
      <c r="BB388" s="119"/>
      <c r="BC388" s="121">
        <v>8599754</v>
      </c>
      <c r="BD388" s="119"/>
      <c r="BE388" s="119"/>
      <c r="BF388" s="119"/>
      <c r="BG388" s="173"/>
      <c r="BH388" s="173"/>
      <c r="BI388" s="173"/>
      <c r="BJ388" s="173"/>
      <c r="BK388" s="173"/>
      <c r="BL388" s="173"/>
      <c r="BM388" s="173"/>
      <c r="BN388" s="173"/>
      <c r="BO388" s="173"/>
      <c r="BP388" s="173"/>
      <c r="BQ388" s="118"/>
      <c r="BR388" s="118"/>
      <c r="BS388" s="118">
        <f>INDEX('Dist. Plant Gas Additions'!$F$7:$AE$91,MATCH($C388,'Dist. Plant Gas Additions'!$D$7:$D$91,0),MATCH(Calculation!$G388,'Dist. Plant Gas Additions'!$F$5:$AE$5,0))</f>
        <v>508904</v>
      </c>
      <c r="BT388" s="118">
        <f>INDEX('Gen. Plant Additions'!$F$7:$AE$91,MATCH($C388,'Gen. Plant Additions'!$D$7:$D$91,0),MATCH(Calculation!$G388,'Gen. Plant Additions'!$F$5:$AE$5,0))</f>
        <v>0</v>
      </c>
      <c r="BU388" s="118"/>
      <c r="BV388" s="118"/>
      <c r="BW388" s="118">
        <f>INDEX('Dist Plant Depreciation'!$E$7:$AD$94,MATCH($C388,'Dist Plant Depreciation'!$D$7:$D$94,0),MATCH(Calculation!$G388,'Dist Plant Depreciation'!$E$5:$AD$5,0))</f>
        <v>1004884</v>
      </c>
      <c r="BX388" s="118">
        <f>INDEX('Gen. Plant Depreciation'!$E$7:$AD$94,MATCH($C388,'Gen. Plant Depreciation'!$D$7:$D$94,0),MATCH(Calculation!$G388,'Gen. Plant Depreciation'!$E$5:$AD$5,0))</f>
        <v>0</v>
      </c>
      <c r="BY388" s="118"/>
      <c r="BZ388" s="118"/>
      <c r="CA388" s="118"/>
      <c r="CB388" s="118"/>
      <c r="CC388" s="118"/>
      <c r="CD388" s="118"/>
      <c r="CE388" s="118">
        <f>INDEX('Gross Dx Plant'!$E$7:$AD$91,MATCH($C388,'Gross Dx Plant'!$D$7:$D$91,0),MATCH(Calculation!$G388,'Gross Dx Plant'!$E$5:$AD$5,0))</f>
        <v>4741384</v>
      </c>
      <c r="CF388" s="118">
        <f>INDEX('Gross Gen Plant'!$E$7:$AD$91,MATCH($C388,'Gross Gen Plant'!$D$7:$D$91,0),MATCH(Calculation!$G388,'Gross Gen Plant'!$E$5:$AD$5,0))</f>
        <v>0</v>
      </c>
      <c r="CG388" s="118">
        <f t="shared" si="969"/>
        <v>3736500</v>
      </c>
      <c r="CH388" s="118"/>
      <c r="CI388" s="121">
        <v>2014</v>
      </c>
      <c r="CJ388" s="118"/>
      <c r="CK388" s="118"/>
      <c r="CL388" s="118"/>
      <c r="CM388" s="183"/>
      <c r="CN388" s="118">
        <f t="shared" si="1046"/>
        <v>508904</v>
      </c>
      <c r="CO388" s="118">
        <f t="shared" si="1047"/>
        <v>743.50174192031682</v>
      </c>
      <c r="CP388" s="186">
        <v>0.89743589743589747</v>
      </c>
      <c r="CQ388" s="118">
        <f>+CQ372*CP388+CO373*CP387+CO374*CP386+CO375*CP385+CO376*CP384+CO377*CP383+CO378*CP382+CO379*CP381+CO380*CP380+CO381*CP379+CO382*CP378+CO383*CP377+CO384*CP376+CO385*CP375+CO386*CP374+CO387*CP373+CO388</f>
        <v>11625.500588771883</v>
      </c>
      <c r="CR388" s="119">
        <f t="shared" si="1048"/>
        <v>5.8363420078090263E-2</v>
      </c>
      <c r="CS388" s="119"/>
      <c r="CT388" s="177">
        <f t="shared" si="1049"/>
        <v>7.6978682502426852E-3</v>
      </c>
      <c r="CU388" s="177">
        <f t="shared" si="1057"/>
        <v>7.4979878558844052E-3</v>
      </c>
      <c r="CV388" s="119">
        <f>VLOOKUP($H388,RoR!$E:$F,2,FALSE)</f>
        <v>4.1625000000000002E-2</v>
      </c>
      <c r="CW388" s="177">
        <v>1.841352814597208E-2</v>
      </c>
      <c r="CX388" s="177">
        <f t="shared" si="1055"/>
        <v>2.3211471854027922E-2</v>
      </c>
      <c r="CY388" s="177">
        <f t="shared" si="1058"/>
        <v>2.3403953752649219E-2</v>
      </c>
      <c r="CZ388" s="177">
        <f t="shared" si="1059"/>
        <v>3.9072621432650924E-2</v>
      </c>
      <c r="DA388" s="187">
        <f t="shared" si="1050"/>
        <v>0.85131374874999999</v>
      </c>
      <c r="DB388" s="188">
        <f t="shared" si="1051"/>
        <v>1.2320012320012319</v>
      </c>
      <c r="DC388" s="188">
        <f t="shared" si="1052"/>
        <v>0.37439939939939942</v>
      </c>
      <c r="DD388" s="188">
        <f t="shared" si="1053"/>
        <v>0.80432100613819935</v>
      </c>
      <c r="DE388" s="188">
        <f t="shared" si="1054"/>
        <v>0.37100152660040037</v>
      </c>
      <c r="DF388" s="189">
        <f>INDEX('State Tax Lookup'!$D$7:$Z$91,MATCH(Calculation!$C388,'State Tax Lookup'!$B$7:$B$91,0),MATCH($H388,'State Tax Lookup'!$D$6:$Z$6,0))</f>
        <v>0.39649667</v>
      </c>
      <c r="DG388" s="189">
        <v>0.375</v>
      </c>
      <c r="DH388" s="190">
        <f t="shared" si="1056"/>
        <v>22.542002865916903</v>
      </c>
      <c r="DI388" s="190">
        <v>22.221858112445076</v>
      </c>
      <c r="DJ388" s="177"/>
      <c r="DK388" s="189">
        <f>VLOOKUP($H388,RoR!$E:$F,2,FALSE)</f>
        <v>4.1625000000000002E-2</v>
      </c>
      <c r="DL388" s="191">
        <f>HLOOKUP($H388,'GDP-PI'!$D$8:$CQ$11,3,FALSE)</f>
        <v>1.841352814597208E-2</v>
      </c>
      <c r="DM388" s="189">
        <f>VLOOKUP(H388,'HW Dx Data'!$E:$F,2,FALSE)</f>
        <v>684.46914285042885</v>
      </c>
      <c r="DN388" s="183">
        <f>VLOOKUP(H388,'ECI - Input Price'!$G$17:$H$37,2,FALSE)</f>
        <v>121.2</v>
      </c>
      <c r="DO388" s="177">
        <f t="shared" ref="DO388" si="1101">LN(DN388/DN387)</f>
        <v>2.0632179200028689E-2</v>
      </c>
      <c r="DP388" s="183">
        <f>HLOOKUP(H388,'GDP-PI'!$8:$9,2,FALSE)</f>
        <v>103.64700000000001</v>
      </c>
      <c r="DQ388" s="177">
        <f t="shared" ref="DQ388" si="1102">LN(DP388/DP387)</f>
        <v>1.8246051898256087E-2</v>
      </c>
    </row>
    <row r="389" spans="1:122" s="167" customFormat="1" ht="21" x14ac:dyDescent="0.35">
      <c r="A389" s="167" t="s">
        <v>51</v>
      </c>
      <c r="B389" s="168" t="s">
        <v>51</v>
      </c>
      <c r="C389" s="168">
        <v>4057080</v>
      </c>
      <c r="D389" s="168" t="s">
        <v>136</v>
      </c>
      <c r="E389" s="168" t="s">
        <v>126</v>
      </c>
      <c r="F389" s="168"/>
      <c r="G389" s="168" t="s">
        <v>21</v>
      </c>
      <c r="H389" s="169">
        <v>2015</v>
      </c>
      <c r="I389" s="170"/>
      <c r="J389" s="166">
        <f>IFERROR(INDEX('Labor Expenditures'!$F$7:$X$91,MATCH($C389,'Labor Expenditures'!$D$7:$D$91,0),MATCH($G389,'Labor Expenditures'!$F$5:$X$5,0)),"NA")</f>
        <v>146038.09545015765</v>
      </c>
      <c r="K389" s="166">
        <f t="shared" si="1062"/>
        <v>1180.1058218194557</v>
      </c>
      <c r="L389" s="172">
        <f t="shared" si="1069"/>
        <v>5.6416047894626294E-2</v>
      </c>
      <c r="M389" s="172">
        <f t="shared" si="1073"/>
        <v>3.0171699990324831E-3</v>
      </c>
      <c r="N389" s="196"/>
      <c r="O389" s="172"/>
      <c r="P389" s="166">
        <f>IFERROR(INDEX('Non-Labor Expenditures'!$F$7:$AB$91,MATCH($C389,'Non-Labor Expenditures'!$D$7:$D$91,0),MATCH($G389,'Non-Labor Expenditures'!$F$5:$AB$5,0)),"NA")</f>
        <v>211490.43836559949</v>
      </c>
      <c r="Q389" s="166">
        <f t="shared" si="1063"/>
        <v>2021.1435350643594</v>
      </c>
      <c r="R389" s="172">
        <f t="shared" si="1074"/>
        <v>6.771193952276916E-2</v>
      </c>
      <c r="S389" s="172">
        <f t="shared" si="1079"/>
        <v>3.6212822437684559E-3</v>
      </c>
      <c r="T389" s="172"/>
      <c r="U389" s="172"/>
      <c r="V389" s="166">
        <f t="shared" si="1044"/>
        <v>257218.16176618266</v>
      </c>
      <c r="W389" s="170"/>
      <c r="X389" s="174">
        <v>12506.75521759603</v>
      </c>
      <c r="Y389" s="175">
        <v>7.3067903797002592E-2</v>
      </c>
      <c r="Z389" s="175">
        <f t="shared" si="1080"/>
        <v>3.9077229876201035E-3</v>
      </c>
      <c r="AA389" s="175"/>
      <c r="AB389" s="175"/>
      <c r="AC389" s="170">
        <f t="shared" si="1086"/>
        <v>614746.69558193977</v>
      </c>
      <c r="AD389" s="175">
        <f t="shared" si="1075"/>
        <v>6.1362300174144728E-2</v>
      </c>
      <c r="AE389" s="170"/>
      <c r="AF389" s="170"/>
      <c r="AG389" s="121">
        <f t="shared" si="1076"/>
        <v>570.89934248195573</v>
      </c>
      <c r="AH389" s="119">
        <f>+AZ389/$BB$53</f>
        <v>2.9152234758085968E-2</v>
      </c>
      <c r="AI389" s="119">
        <f>+AZ389/$BC$53</f>
        <v>0.12435505777788454</v>
      </c>
      <c r="AJ389" s="176">
        <f t="shared" si="1081"/>
        <v>16.642991655270894</v>
      </c>
      <c r="AK389" s="176">
        <f t="shared" si="1082"/>
        <v>70.994220719699896</v>
      </c>
      <c r="AL389" s="120">
        <f t="shared" si="1064"/>
        <v>0.23755816257281889</v>
      </c>
      <c r="AM389" s="120">
        <f t="shared" si="1065"/>
        <v>0.34402858914987022</v>
      </c>
      <c r="AN389" s="120">
        <f t="shared" si="1066"/>
        <v>0.41841324827731097</v>
      </c>
      <c r="AO389" s="120">
        <f t="shared" si="1070"/>
        <v>6.7315176206164076E-2</v>
      </c>
      <c r="AP389" s="173">
        <f t="shared" si="1087"/>
        <v>167.32509364610749</v>
      </c>
      <c r="AQ389" s="175">
        <f t="shared" si="1088"/>
        <v>6.7315176206164035E-2</v>
      </c>
      <c r="AR389" s="177">
        <f>+AC389/$AE$53</f>
        <v>5.3480704721960377E-2</v>
      </c>
      <c r="AS389" s="177">
        <f t="shared" si="1083"/>
        <v>3.6000630619885919E-3</v>
      </c>
      <c r="AT389" s="177"/>
      <c r="AU389" s="177"/>
      <c r="AV389" s="177"/>
      <c r="AW389" s="190"/>
      <c r="AX389" s="120"/>
      <c r="AY389" s="120"/>
      <c r="AZ389" s="118">
        <f>IFERROR(INDEX('Total Customers'!$F$7:$AB$91,MATCH($C389,'Total Customers'!$D$7:$D$91,0),MATCH($G389,'Total Customers'!$F$5:$AB$5,0)),"NA")</f>
        <v>1076804</v>
      </c>
      <c r="BA389" s="119">
        <f t="shared" si="1045"/>
        <v>-3.7789895134768476E-4</v>
      </c>
      <c r="BB389" s="119"/>
      <c r="BC389" s="121">
        <v>8659109</v>
      </c>
      <c r="BD389" s="119"/>
      <c r="BE389" s="119"/>
      <c r="BF389" s="119"/>
      <c r="BG389" s="173"/>
      <c r="BH389" s="173"/>
      <c r="BI389" s="173"/>
      <c r="BJ389" s="173"/>
      <c r="BK389" s="173"/>
      <c r="BL389" s="173"/>
      <c r="BM389" s="173"/>
      <c r="BN389" s="173"/>
      <c r="BO389" s="173"/>
      <c r="BP389" s="173"/>
      <c r="BQ389" s="118"/>
      <c r="BR389" s="118"/>
      <c r="BS389" s="118">
        <f>INDEX('Dist. Plant Gas Additions'!$F$7:$AE$91,MATCH($C389,'Dist. Plant Gas Additions'!$D$7:$D$91,0),MATCH(Calculation!$G389,'Dist. Plant Gas Additions'!$F$5:$AE$5,0))</f>
        <v>657034</v>
      </c>
      <c r="BT389" s="118">
        <f>INDEX('Gen. Plant Additions'!$F$7:$AE$91,MATCH($C389,'Gen. Plant Additions'!$D$7:$D$91,0),MATCH(Calculation!$G389,'Gen. Plant Additions'!$F$5:$AE$5,0))</f>
        <v>0</v>
      </c>
      <c r="BU389" s="118"/>
      <c r="BV389" s="118"/>
      <c r="BW389" s="118">
        <f>INDEX('Dist Plant Depreciation'!$E$7:$AD$94,MATCH($C389,'Dist Plant Depreciation'!$D$7:$D$94,0),MATCH(Calculation!$G389,'Dist Plant Depreciation'!$E$5:$AD$5,0))</f>
        <v>1053743</v>
      </c>
      <c r="BX389" s="118">
        <f>INDEX('Gen. Plant Depreciation'!$E$7:$AD$94,MATCH($C389,'Gen. Plant Depreciation'!$D$7:$D$94,0),MATCH(Calculation!$G389,'Gen. Plant Depreciation'!$E$5:$AD$5,0))</f>
        <v>0</v>
      </c>
      <c r="BY389" s="118"/>
      <c r="BZ389" s="118"/>
      <c r="CA389" s="118"/>
      <c r="CB389" s="118"/>
      <c r="CC389" s="118"/>
      <c r="CD389" s="118"/>
      <c r="CE389" s="118">
        <f>INDEX('Gross Dx Plant'!$E$7:$AD$91,MATCH($C389,'Gross Dx Plant'!$D$7:$D$91,0),MATCH(Calculation!$G389,'Gross Dx Plant'!$E$5:$AD$5,0))</f>
        <v>5374273</v>
      </c>
      <c r="CF389" s="118">
        <f>INDEX('Gross Gen Plant'!$E$7:$AD$91,MATCH($C389,'Gross Gen Plant'!$D$7:$D$91,0),MATCH(Calculation!$G389,'Gross Gen Plant'!$E$5:$AD$5,0))</f>
        <v>0</v>
      </c>
      <c r="CG389" s="118">
        <f t="shared" si="969"/>
        <v>4320530</v>
      </c>
      <c r="CH389" s="118"/>
      <c r="CI389" s="121">
        <v>2015</v>
      </c>
      <c r="CJ389" s="118"/>
      <c r="CK389" s="118"/>
      <c r="CL389" s="118"/>
      <c r="CM389" s="183"/>
      <c r="CN389" s="118">
        <f t="shared" si="1046"/>
        <v>657034</v>
      </c>
      <c r="CO389" s="118">
        <f t="shared" si="1047"/>
        <v>972.49817843380754</v>
      </c>
      <c r="CP389" s="186">
        <v>0.88888888888888884</v>
      </c>
      <c r="CQ389" s="118">
        <f>+CQ372*CP389+CO373*CP388+CO374*CP387+CO375*CP386+CO376*CP385+CO377*CP384+CO378*CP383+CO379*CP382+CO380*CP381+CO381*CP380+CO382*CP379+CO383*CP378+CO384*CP377+CO385*CP376+CO386*CP375+CO387*CP374+CO388*CP373+CO389</f>
        <v>12506.75521759603</v>
      </c>
      <c r="CR389" s="119">
        <f t="shared" si="1048"/>
        <v>7.3067903797002592E-2</v>
      </c>
      <c r="CS389" s="119"/>
      <c r="CT389" s="177">
        <f t="shared" si="1049"/>
        <v>7.8485695229146262E-3</v>
      </c>
      <c r="CU389" s="177">
        <f t="shared" si="1057"/>
        <v>7.6810659847311342E-3</v>
      </c>
      <c r="CV389" s="119">
        <f>VLOOKUP($H389,RoR!$E:$F,2,FALSE)</f>
        <v>3.8866666666666674E-2</v>
      </c>
      <c r="CW389" s="177">
        <v>9.5709475431029478E-3</v>
      </c>
      <c r="CX389" s="177">
        <f t="shared" si="1055"/>
        <v>2.9295719123563727E-2</v>
      </c>
      <c r="CY389" s="177">
        <f t="shared" si="1058"/>
        <v>2.3220875623802491E-2</v>
      </c>
      <c r="CZ389" s="177">
        <f t="shared" si="1059"/>
        <v>3.5270373279175926E-3</v>
      </c>
      <c r="DA389" s="187">
        <f t="shared" si="1050"/>
        <v>0.85131374874999999</v>
      </c>
      <c r="DB389" s="188">
        <f t="shared" si="1051"/>
        <v>1.3194352816994324</v>
      </c>
      <c r="DC389" s="188">
        <f t="shared" si="1052"/>
        <v>0.33177530017152673</v>
      </c>
      <c r="DD389" s="188">
        <f t="shared" si="1053"/>
        <v>0.78242572977668579</v>
      </c>
      <c r="DE389" s="188">
        <f t="shared" si="1054"/>
        <v>0.34251158643433932</v>
      </c>
      <c r="DF389" s="189">
        <f>INDEX('State Tax Lookup'!$D$7:$Z$91,MATCH(Calculation!$C389,'State Tax Lookup'!$B$7:$B$91,0),MATCH($H389,'State Tax Lookup'!$D$6:$Z$6,0))</f>
        <v>0.39649667</v>
      </c>
      <c r="DG389" s="189">
        <v>0.375</v>
      </c>
      <c r="DH389" s="190">
        <f t="shared" si="1056"/>
        <v>22.125340737121338</v>
      </c>
      <c r="DI389" s="190">
        <v>21.812342328966988</v>
      </c>
      <c r="DJ389" s="177"/>
      <c r="DK389" s="189">
        <f>VLOOKUP($H389,RoR!$E:$F,2,FALSE)</f>
        <v>3.8866666666666674E-2</v>
      </c>
      <c r="DL389" s="191">
        <f>HLOOKUP($H389,'GDP-PI'!$D$8:$CQ$11,3,FALSE)</f>
        <v>9.5709475431029478E-3</v>
      </c>
      <c r="DM389" s="189">
        <f>VLOOKUP(H389,'HW Dx Data'!$E:$F,2,FALSE)</f>
        <v>675.61463308665782</v>
      </c>
      <c r="DN389" s="183">
        <f>VLOOKUP(H389,'ECI - Input Price'!$G$17:$H$37,2,FALSE)</f>
        <v>123.75</v>
      </c>
      <c r="DO389" s="177">
        <f t="shared" ref="DO389" si="1103">LN(DN389/DN388)</f>
        <v>2.0821327813585516E-2</v>
      </c>
      <c r="DP389" s="183">
        <f>HLOOKUP(H389,'GDP-PI'!$8:$9,2,FALSE)</f>
        <v>104.639</v>
      </c>
      <c r="DQ389" s="177">
        <f t="shared" ref="DQ389" si="1104">LN(DP389/DP388)</f>
        <v>9.5254361854427965E-3</v>
      </c>
    </row>
    <row r="390" spans="1:122" s="167" customFormat="1" ht="21" x14ac:dyDescent="0.35">
      <c r="A390" s="167" t="s">
        <v>51</v>
      </c>
      <c r="B390" s="168" t="s">
        <v>51</v>
      </c>
      <c r="C390" s="168">
        <v>4057080</v>
      </c>
      <c r="D390" s="168" t="s">
        <v>136</v>
      </c>
      <c r="E390" s="168" t="s">
        <v>126</v>
      </c>
      <c r="F390" s="168"/>
      <c r="G390" s="168" t="s">
        <v>22</v>
      </c>
      <c r="H390" s="169">
        <v>2016</v>
      </c>
      <c r="I390" s="170"/>
      <c r="J390" s="166">
        <f>IFERROR(INDEX('Labor Expenditures'!$F$7:$X$91,MATCH($C390,'Labor Expenditures'!$D$7:$D$91,0),MATCH($G390,'Labor Expenditures'!$F$5:$X$5,0)),"NA")</f>
        <v>139222.50442893512</v>
      </c>
      <c r="K390" s="166">
        <f t="shared" si="1062"/>
        <v>1101.4438641529678</v>
      </c>
      <c r="L390" s="172">
        <f t="shared" si="1069"/>
        <v>-6.8982191096106024E-2</v>
      </c>
      <c r="M390" s="172">
        <f t="shared" si="1073"/>
        <v>-3.5600553274304845E-3</v>
      </c>
      <c r="N390" s="196"/>
      <c r="O390" s="172"/>
      <c r="P390" s="166">
        <f>IFERROR(INDEX('Non-Labor Expenditures'!$F$7:$AB$91,MATCH($C390,'Non-Labor Expenditures'!$D$7:$D$91,0),MATCH($G390,'Non-Labor Expenditures'!$F$5:$AB$5,0)),"NA")</f>
        <v>201620.18959006027</v>
      </c>
      <c r="Q390" s="166">
        <f t="shared" si="1063"/>
        <v>1906.8263371988751</v>
      </c>
      <c r="R390" s="172">
        <f t="shared" si="1074"/>
        <v>-5.8223201199353869E-2</v>
      </c>
      <c r="S390" s="172">
        <f t="shared" si="1079"/>
        <v>-3.0048018817064996E-3</v>
      </c>
      <c r="T390" s="172"/>
      <c r="U390" s="172"/>
      <c r="V390" s="166">
        <f t="shared" si="1044"/>
        <v>273187.2707024992</v>
      </c>
      <c r="W390" s="170"/>
      <c r="X390" s="174">
        <v>13222.130011500301</v>
      </c>
      <c r="Y390" s="175">
        <v>5.5623026087807823E-2</v>
      </c>
      <c r="Z390" s="175">
        <f t="shared" si="1080"/>
        <v>2.8706111998649335E-3</v>
      </c>
      <c r="AA390" s="175"/>
      <c r="AB390" s="175"/>
      <c r="AC390" s="170">
        <f t="shared" si="1086"/>
        <v>614029.96472149459</v>
      </c>
      <c r="AD390" s="175">
        <f t="shared" si="1075"/>
        <v>-1.1665764249647495E-3</v>
      </c>
      <c r="AE390" s="170"/>
      <c r="AF390" s="170"/>
      <c r="AG390" s="121">
        <f t="shared" si="1076"/>
        <v>569.98600606113826</v>
      </c>
      <c r="AH390" s="119">
        <f>+AZ390/$BB$54</f>
        <v>2.8912913858409876E-2</v>
      </c>
      <c r="AI390" s="119">
        <f>+AZ390/$BC$54</f>
        <v>0.12298918642017043</v>
      </c>
      <c r="AJ390" s="176">
        <f t="shared" si="1081"/>
        <v>16.479956293744781</v>
      </c>
      <c r="AK390" s="176">
        <f t="shared" si="1082"/>
        <v>70.102115156341725</v>
      </c>
      <c r="AL390" s="120">
        <f t="shared" si="1064"/>
        <v>0.22673568462099766</v>
      </c>
      <c r="AM390" s="120">
        <f t="shared" si="1065"/>
        <v>0.32835561971557703</v>
      </c>
      <c r="AN390" s="120">
        <f t="shared" si="1066"/>
        <v>0.44490869566342528</v>
      </c>
      <c r="AO390" s="120">
        <f t="shared" si="1070"/>
        <v>-1.1577894478959436E-2</v>
      </c>
      <c r="AP390" s="173">
        <f t="shared" si="1087"/>
        <v>165.39899297905313</v>
      </c>
      <c r="AQ390" s="175">
        <f t="shared" si="1088"/>
        <v>-1.1577894478959285E-2</v>
      </c>
      <c r="AR390" s="177">
        <f>+AC390/$AE$54</f>
        <v>5.1608324856927401E-2</v>
      </c>
      <c r="AS390" s="177">
        <f t="shared" si="1083"/>
        <v>-5.9751573942935701E-4</v>
      </c>
      <c r="AT390" s="177"/>
      <c r="AU390" s="177"/>
      <c r="AV390" s="177"/>
      <c r="AW390" s="190"/>
      <c r="AX390" s="120"/>
      <c r="AY390" s="120"/>
      <c r="AZ390" s="118">
        <f>IFERROR(INDEX('Total Customers'!$F$7:$AB$91,MATCH($C390,'Total Customers'!$D$7:$D$91,0),MATCH($G390,'Total Customers'!$F$5:$AB$5,0)),"NA")</f>
        <v>1077272</v>
      </c>
      <c r="BA390" s="119">
        <f t="shared" si="1045"/>
        <v>4.3452506537721054E-4</v>
      </c>
      <c r="BB390" s="119"/>
      <c r="BC390" s="121">
        <v>8759079</v>
      </c>
      <c r="BD390" s="119"/>
      <c r="BE390" s="119"/>
      <c r="BF390" s="119"/>
      <c r="BG390" s="173"/>
      <c r="BH390" s="173"/>
      <c r="BI390" s="173"/>
      <c r="BJ390" s="173"/>
      <c r="BK390" s="173"/>
      <c r="BL390" s="173"/>
      <c r="BM390" s="173"/>
      <c r="BN390" s="173"/>
      <c r="BO390" s="173"/>
      <c r="BP390" s="173"/>
      <c r="BQ390" s="118"/>
      <c r="BR390" s="118"/>
      <c r="BS390" s="118">
        <f>INDEX('Dist. Plant Gas Additions'!$F$7:$AE$91,MATCH($C390,'Dist. Plant Gas Additions'!$D$7:$D$91,0),MATCH(Calculation!$G390,'Dist. Plant Gas Additions'!$F$5:$AE$5,0))</f>
        <v>547152</v>
      </c>
      <c r="BT390" s="118">
        <f>INDEX('Gen. Plant Additions'!$F$7:$AE$91,MATCH($C390,'Gen. Plant Additions'!$D$7:$D$91,0),MATCH(Calculation!$G390,'Gen. Plant Additions'!$F$5:$AE$5,0))</f>
        <v>0</v>
      </c>
      <c r="BU390" s="118"/>
      <c r="BV390" s="118"/>
      <c r="BW390" s="118">
        <f>INDEX('Dist Plant Depreciation'!$E$7:$AD$94,MATCH($C390,'Dist Plant Depreciation'!$D$7:$D$94,0),MATCH(Calculation!$G390,'Dist Plant Depreciation'!$E$5:$AD$5,0))</f>
        <v>1109522</v>
      </c>
      <c r="BX390" s="118">
        <f>INDEX('Gen. Plant Depreciation'!$E$7:$AD$94,MATCH($C390,'Gen. Plant Depreciation'!$D$7:$D$94,0),MATCH(Calculation!$G390,'Gen. Plant Depreciation'!$E$5:$AD$5,0))</f>
        <v>-1</v>
      </c>
      <c r="BY390" s="118"/>
      <c r="BZ390" s="118"/>
      <c r="CA390" s="118"/>
      <c r="CB390" s="118"/>
      <c r="CC390" s="118"/>
      <c r="CD390" s="118"/>
      <c r="CE390" s="118">
        <f>INDEX('Gross Dx Plant'!$E$7:$AD$91,MATCH($C390,'Gross Dx Plant'!$D$7:$D$91,0),MATCH(Calculation!$G390,'Gross Dx Plant'!$E$5:$AD$5,0))</f>
        <v>5891454</v>
      </c>
      <c r="CF390" s="118">
        <f>INDEX('Gross Gen Plant'!$E$7:$AD$91,MATCH($C390,'Gross Gen Plant'!$D$7:$D$91,0),MATCH(Calculation!$G390,'Gross Gen Plant'!$E$5:$AD$5,0))</f>
        <v>0</v>
      </c>
      <c r="CG390" s="118">
        <f t="shared" si="969"/>
        <v>4781933</v>
      </c>
      <c r="CH390" s="118"/>
      <c r="CI390" s="121">
        <v>2016</v>
      </c>
      <c r="CJ390" s="118"/>
      <c r="CK390" s="118"/>
      <c r="CL390" s="118"/>
      <c r="CM390" s="183"/>
      <c r="CN390" s="118">
        <f t="shared" si="1046"/>
        <v>547152</v>
      </c>
      <c r="CO390" s="118">
        <f t="shared" si="1047"/>
        <v>814.87346759008869</v>
      </c>
      <c r="CP390" s="186">
        <v>0.88</v>
      </c>
      <c r="CQ390" s="118">
        <f>+CQ372*CP390+CO373*CP389+CO374*CP388+CO375*CP387+CO376*CP386+CO377*CP385+CO378*CP384+CO379*CP383+CO380*CP382+CO381*CP381+CO382*CP380+CO383*CP379+CO384*CP378+CO385*CP377+CO386*CP376+CO387*CP375+CO388*CP374+CO389*CP373+CO390</f>
        <v>13222.130011500301</v>
      </c>
      <c r="CR390" s="119">
        <f t="shared" si="1048"/>
        <v>5.5623026087807823E-2</v>
      </c>
      <c r="CS390" s="119"/>
      <c r="CT390" s="177">
        <f t="shared" si="1049"/>
        <v>7.9555945530804337E-3</v>
      </c>
      <c r="CU390" s="177">
        <f t="shared" si="1057"/>
        <v>7.834010775412582E-3</v>
      </c>
      <c r="CV390" s="119">
        <f>VLOOKUP($H390,RoR!$E:$F,2,FALSE)</f>
        <v>3.6658333333333334E-2</v>
      </c>
      <c r="CW390" s="177">
        <v>1.0483662879041455E-2</v>
      </c>
      <c r="CX390" s="177">
        <f t="shared" si="1055"/>
        <v>2.6174670454291879E-2</v>
      </c>
      <c r="CY390" s="177">
        <f t="shared" si="1058"/>
        <v>2.3067930833121045E-2</v>
      </c>
      <c r="CZ390" s="177">
        <f t="shared" si="1059"/>
        <v>4.301363574220729E-3</v>
      </c>
      <c r="DA390" s="187">
        <f t="shared" si="1050"/>
        <v>0.85131374874999999</v>
      </c>
      <c r="DB390" s="188">
        <f t="shared" si="1051"/>
        <v>1.3989193348138562</v>
      </c>
      <c r="DC390" s="188">
        <f t="shared" si="1052"/>
        <v>0.29302682427824522</v>
      </c>
      <c r="DD390" s="188">
        <f t="shared" si="1053"/>
        <v>0.76309497491941802</v>
      </c>
      <c r="DE390" s="188">
        <f t="shared" si="1054"/>
        <v>0.31280857135128509</v>
      </c>
      <c r="DF390" s="189">
        <f>INDEX('State Tax Lookup'!$D$7:$Z$91,MATCH(Calculation!$C390,'State Tax Lookup'!$B$7:$B$91,0),MATCH($H390,'State Tax Lookup'!$D$6:$Z$6,0))</f>
        <v>0.39649667</v>
      </c>
      <c r="DG390" s="189">
        <v>0.375</v>
      </c>
      <c r="DH390" s="190">
        <f t="shared" si="1056"/>
        <v>21.843177222989539</v>
      </c>
      <c r="DI390" s="190">
        <v>21.54988077750933</v>
      </c>
      <c r="DJ390" s="177"/>
      <c r="DK390" s="189">
        <f>VLOOKUP($H390,RoR!$E:$F,2,FALSE)</f>
        <v>3.6658333333333334E-2</v>
      </c>
      <c r="DL390" s="191">
        <f>HLOOKUP($H390,'GDP-PI'!$D$8:$CQ$11,3,FALSE)</f>
        <v>1.0483662879041455E-2</v>
      </c>
      <c r="DM390" s="189">
        <f>VLOOKUP(H390,'HW Dx Data'!$E:$F,2,FALSE)</f>
        <v>671.45639385971219</v>
      </c>
      <c r="DN390" s="183">
        <f>VLOOKUP(H390,'ECI - Input Price'!$G$17:$H$37,2,FALSE)</f>
        <v>126.4</v>
      </c>
      <c r="DO390" s="177">
        <f t="shared" ref="DO390" si="1105">LN(DN390/DN389)</f>
        <v>2.11880802639575E-2</v>
      </c>
      <c r="DP390" s="183">
        <f>HLOOKUP(H390,'GDP-PI'!$8:$9,2,FALSE)</f>
        <v>105.736</v>
      </c>
      <c r="DQ390" s="177">
        <f t="shared" ref="DQ390" si="1106">LN(DP390/DP389)</f>
        <v>1.0429090367205095E-2</v>
      </c>
    </row>
    <row r="391" spans="1:122" s="167" customFormat="1" ht="21" x14ac:dyDescent="0.35">
      <c r="A391" s="167" t="s">
        <v>51</v>
      </c>
      <c r="B391" s="168" t="s">
        <v>51</v>
      </c>
      <c r="C391" s="168">
        <v>4057080</v>
      </c>
      <c r="D391" s="168" t="s">
        <v>136</v>
      </c>
      <c r="E391" s="168" t="s">
        <v>126</v>
      </c>
      <c r="F391" s="168"/>
      <c r="G391" s="168" t="s">
        <v>23</v>
      </c>
      <c r="H391" s="169">
        <v>2017</v>
      </c>
      <c r="I391" s="170"/>
      <c r="J391" s="166">
        <f>IFERROR(INDEX('Labor Expenditures'!$F$7:$X$91,MATCH($C391,'Labor Expenditures'!$D$7:$D$91,0),MATCH($G391,'Labor Expenditures'!$F$5:$X$5,0)),"NA")</f>
        <v>149376.08595545925</v>
      </c>
      <c r="K391" s="166">
        <f t="shared" si="1062"/>
        <v>1153.4832892313455</v>
      </c>
      <c r="L391" s="172">
        <f t="shared" si="1069"/>
        <v>4.6164388645948615E-2</v>
      </c>
      <c r="M391" s="172">
        <f t="shared" si="1073"/>
        <v>2.4471666050183243E-3</v>
      </c>
      <c r="N391" s="196"/>
      <c r="O391" s="172"/>
      <c r="P391" s="166">
        <f>IFERROR(INDEX('Non-Labor Expenditures'!$F$7:$AB$91,MATCH($C391,'Non-Labor Expenditures'!$D$7:$D$91,0),MATCH($G391,'Non-Labor Expenditures'!$F$5:$AB$5,0)),"NA")</f>
        <v>216324.47206790411</v>
      </c>
      <c r="Q391" s="166">
        <f t="shared" si="1063"/>
        <v>2007.6330806016101</v>
      </c>
      <c r="R391" s="172">
        <f t="shared" si="1074"/>
        <v>5.1516199845038795E-2</v>
      </c>
      <c r="S391" s="172">
        <f t="shared" si="1079"/>
        <v>2.7308652313170595E-3</v>
      </c>
      <c r="T391" s="172"/>
      <c r="U391" s="172"/>
      <c r="V391" s="166">
        <f t="shared" si="1044"/>
        <v>262326.64548390446</v>
      </c>
      <c r="W391" s="170"/>
      <c r="X391" s="174">
        <v>14065.943410818494</v>
      </c>
      <c r="Y391" s="175">
        <v>6.1864572928622685E-2</v>
      </c>
      <c r="Z391" s="175">
        <f t="shared" si="1080"/>
        <v>3.2794307765176556E-3</v>
      </c>
      <c r="AA391" s="175"/>
      <c r="AB391" s="175"/>
      <c r="AC391" s="170">
        <f t="shared" si="1086"/>
        <v>628027.20350726787</v>
      </c>
      <c r="AD391" s="175">
        <f t="shared" si="1075"/>
        <v>2.2539753782402548E-2</v>
      </c>
      <c r="AE391" s="170"/>
      <c r="AF391" s="170"/>
      <c r="AG391" s="121">
        <f t="shared" si="1076"/>
        <v>582.87101985691311</v>
      </c>
      <c r="AH391" s="119">
        <f>+AZ391/$BB$55</f>
        <v>2.8701011668156272E-2</v>
      </c>
      <c r="AI391" s="119">
        <f>+AZ391/$BC$56</f>
        <v>0.12090999394480481</v>
      </c>
      <c r="AJ391" s="176">
        <f t="shared" si="1081"/>
        <v>16.728987941943409</v>
      </c>
      <c r="AK391" s="176">
        <f t="shared" si="1082"/>
        <v>70.474931481501571</v>
      </c>
      <c r="AL391" s="120">
        <f t="shared" si="1064"/>
        <v>0.23784970638414485</v>
      </c>
      <c r="AM391" s="120">
        <f t="shared" si="1065"/>
        <v>0.34445079904154291</v>
      </c>
      <c r="AN391" s="120">
        <f t="shared" si="1066"/>
        <v>0.41769949457431216</v>
      </c>
      <c r="AO391" s="120">
        <f t="shared" si="1070"/>
        <v>5.473630888454889E-2</v>
      </c>
      <c r="AP391" s="173">
        <f t="shared" si="1087"/>
        <v>174.70467956256365</v>
      </c>
      <c r="AQ391" s="175">
        <f t="shared" si="1088"/>
        <v>5.473630888454898E-2</v>
      </c>
      <c r="AR391" s="177">
        <f>+AC391/$AE$55</f>
        <v>5.3009834567214344E-2</v>
      </c>
      <c r="AS391" s="177">
        <f t="shared" si="1083"/>
        <v>2.9015626787898862E-3</v>
      </c>
      <c r="AT391" s="177"/>
      <c r="AU391" s="177"/>
      <c r="AV391" s="177"/>
      <c r="AW391" s="190"/>
      <c r="AX391" s="120"/>
      <c r="AY391" s="120"/>
      <c r="AZ391" s="118">
        <f>IFERROR(INDEX('Total Customers'!$F$7:$AB$91,MATCH($C391,'Total Customers'!$D$7:$D$91,0),MATCH($G391,'Total Customers'!$F$5:$AB$5,0)),"NA")</f>
        <v>1077472</v>
      </c>
      <c r="BA391" s="119">
        <f t="shared" si="1045"/>
        <v>1.8563690217904396E-4</v>
      </c>
      <c r="BB391" s="119"/>
      <c r="BC391" s="121">
        <v>8824403</v>
      </c>
      <c r="BD391" s="119"/>
      <c r="BE391" s="119"/>
      <c r="BF391" s="119"/>
      <c r="BG391" s="173"/>
      <c r="BH391" s="173"/>
      <c r="BI391" s="173"/>
      <c r="BJ391" s="173"/>
      <c r="BK391" s="173"/>
      <c r="BL391" s="173"/>
      <c r="BM391" s="173"/>
      <c r="BN391" s="173"/>
      <c r="BO391" s="173"/>
      <c r="BP391" s="173"/>
      <c r="BQ391" s="118"/>
      <c r="BR391" s="118"/>
      <c r="BS391" s="118">
        <f>INDEX('Dist. Plant Gas Additions'!$F$7:$AE$91,MATCH($C391,'Dist. Plant Gas Additions'!$D$7:$D$91,0),MATCH(Calculation!$G391,'Dist. Plant Gas Additions'!$F$5:$AE$5,0))</f>
        <v>677610</v>
      </c>
      <c r="BT391" s="118">
        <f>INDEX('Gen. Plant Additions'!$F$7:$AE$91,MATCH($C391,'Gen. Plant Additions'!$D$7:$D$91,0),MATCH(Calculation!$G391,'Gen. Plant Additions'!$F$5:$AE$5,0))</f>
        <v>0</v>
      </c>
      <c r="BU391" s="118"/>
      <c r="BV391" s="118"/>
      <c r="BW391" s="118">
        <f>INDEX('Dist Plant Depreciation'!$E$7:$AD$94,MATCH($C391,'Dist Plant Depreciation'!$D$7:$D$94,0),MATCH(Calculation!$G391,'Dist Plant Depreciation'!$E$5:$AD$5,0))</f>
        <v>1128699</v>
      </c>
      <c r="BX391" s="118">
        <f>INDEX('Gen. Plant Depreciation'!$E$7:$AD$94,MATCH($C391,'Gen. Plant Depreciation'!$D$7:$D$94,0),MATCH(Calculation!$G391,'Gen. Plant Depreciation'!$E$5:$AD$5,0))</f>
        <v>0</v>
      </c>
      <c r="BY391" s="118"/>
      <c r="BZ391" s="118"/>
      <c r="CA391" s="118"/>
      <c r="CB391" s="118"/>
      <c r="CC391" s="118"/>
      <c r="CD391" s="118"/>
      <c r="CE391" s="118">
        <f>INDEX('Gross Dx Plant'!$E$7:$AD$91,MATCH($C391,'Gross Dx Plant'!$D$7:$D$91,0),MATCH(Calculation!$G391,'Gross Dx Plant'!$E$5:$AD$5,0))</f>
        <v>6483385</v>
      </c>
      <c r="CF391" s="118">
        <f>INDEX('Gross Gen Plant'!$E$7:$AD$91,MATCH($C391,'Gross Gen Plant'!$D$7:$D$91,0),MATCH(Calculation!$G391,'Gross Gen Plant'!$E$5:$AD$5,0))</f>
        <v>0</v>
      </c>
      <c r="CG391" s="118">
        <f t="shared" si="969"/>
        <v>5354686</v>
      </c>
      <c r="CH391" s="118"/>
      <c r="CI391" s="121">
        <v>2017</v>
      </c>
      <c r="CJ391" s="118"/>
      <c r="CK391" s="118"/>
      <c r="CL391" s="118"/>
      <c r="CM391" s="183"/>
      <c r="CN391" s="118">
        <f t="shared" si="1046"/>
        <v>677610</v>
      </c>
      <c r="CO391" s="118">
        <f t="shared" si="1047"/>
        <v>951.12691363202396</v>
      </c>
      <c r="CP391" s="186">
        <v>0.87074829931972786</v>
      </c>
      <c r="CQ391" s="118">
        <f>+CQ372*CP391+CO373*CP390+CO374*CP389+CO375*CP388+CO376*CP387+CO377*CP386+CO378*CP385+CO379*CP384+CO380*CP383+CO381*CP382+CO382*CP381+CO383*CP380+CO384*CP379+CO385*CP378+CO386*CP377+CO387*CP376+CO388*CP375+CO389*CP374+CO390*CP373+CO391</f>
        <v>14065.943410818494</v>
      </c>
      <c r="CR391" s="119">
        <f t="shared" si="1048"/>
        <v>6.1864572928622685E-2</v>
      </c>
      <c r="CS391" s="119"/>
      <c r="CT391" s="177">
        <f t="shared" si="1049"/>
        <v>8.1162047431459529E-3</v>
      </c>
      <c r="CU391" s="177">
        <f t="shared" si="1057"/>
        <v>7.9734562730470054E-3</v>
      </c>
      <c r="CV391" s="119">
        <f>VLOOKUP($H391,RoR!$E:$F,2,FALSE)</f>
        <v>3.7433333333333339E-2</v>
      </c>
      <c r="CW391" s="177">
        <v>1.9056896421275615E-2</v>
      </c>
      <c r="CX391" s="177">
        <f t="shared" si="1055"/>
        <v>1.8376436912057724E-2</v>
      </c>
      <c r="CY391" s="177">
        <f t="shared" si="1058"/>
        <v>2.292848533548662E-2</v>
      </c>
      <c r="CZ391" s="177">
        <f t="shared" si="1059"/>
        <v>1.3976271617800498E-2</v>
      </c>
      <c r="DA391" s="187">
        <f t="shared" si="1050"/>
        <v>0.90381374874999998</v>
      </c>
      <c r="DB391" s="188">
        <f t="shared" si="1051"/>
        <v>1.3699568463593395</v>
      </c>
      <c r="DC391" s="188">
        <f t="shared" si="1052"/>
        <v>0.30714603739982199</v>
      </c>
      <c r="DD391" s="188">
        <f t="shared" si="1053"/>
        <v>0.77007188472689425</v>
      </c>
      <c r="DE391" s="188">
        <f t="shared" si="1054"/>
        <v>0.32402839633793828</v>
      </c>
      <c r="DF391" s="189">
        <f>INDEX('State Tax Lookup'!$D$7:$Z$91,MATCH(Calculation!$C391,'State Tax Lookup'!$B$7:$B$91,0),MATCH($H391,'State Tax Lookup'!$D$6:$Z$6,0))</f>
        <v>0.25649666999999998</v>
      </c>
      <c r="DG391" s="189">
        <v>0.375</v>
      </c>
      <c r="DH391" s="190">
        <f t="shared" si="1056"/>
        <v>19.839968693072812</v>
      </c>
      <c r="DI391" s="190">
        <v>19.589789484614464</v>
      </c>
      <c r="DJ391" s="177"/>
      <c r="DK391" s="189">
        <f>VLOOKUP($H391,RoR!$E:$F,2,FALSE)</f>
        <v>3.7433333333333339E-2</v>
      </c>
      <c r="DL391" s="191">
        <f>HLOOKUP($H391,'GDP-PI'!$D$8:$CQ$11,3,FALSE)</f>
        <v>1.9056896421275615E-2</v>
      </c>
      <c r="DM391" s="189">
        <f>VLOOKUP(H391,'HW Dx Data'!$E:$F,2,FALSE)</f>
        <v>712.42858370229726</v>
      </c>
      <c r="DN391" s="183">
        <f>VLOOKUP(H391,'ECI - Input Price'!$G$17:$H$37,2,FALSE)</f>
        <v>129.5</v>
      </c>
      <c r="DO391" s="177">
        <f t="shared" ref="DO391" si="1107">LN(DN391/DN390)</f>
        <v>2.4229399426835413E-2</v>
      </c>
      <c r="DP391" s="183">
        <f>HLOOKUP(H391,'GDP-PI'!$8:$9,2,FALSE)</f>
        <v>107.751</v>
      </c>
      <c r="DQ391" s="177">
        <f t="shared" ref="DQ391" si="1108">LN(DP391/DP390)</f>
        <v>1.8877588227745139E-2</v>
      </c>
    </row>
    <row r="392" spans="1:122" s="167" customFormat="1" ht="21" x14ac:dyDescent="0.35">
      <c r="A392" s="167" t="s">
        <v>51</v>
      </c>
      <c r="B392" s="168" t="s">
        <v>51</v>
      </c>
      <c r="C392" s="168">
        <v>4057080</v>
      </c>
      <c r="D392" s="168" t="s">
        <v>136</v>
      </c>
      <c r="E392" s="168" t="s">
        <v>126</v>
      </c>
      <c r="F392" s="168"/>
      <c r="G392" s="168" t="s">
        <v>24</v>
      </c>
      <c r="H392" s="169">
        <v>2018</v>
      </c>
      <c r="I392" s="170"/>
      <c r="J392" s="166">
        <f>IFERROR(INDEX('Labor Expenditures'!$F$7:$X$91,MATCH($C392,'Labor Expenditures'!$D$7:$D$91,0),MATCH($G392,'Labor Expenditures'!$F$5:$X$5,0)),"NA")</f>
        <v>151597.08864638535</v>
      </c>
      <c r="K392" s="166">
        <f t="shared" si="1062"/>
        <v>1137.6892206107718</v>
      </c>
      <c r="L392" s="172">
        <f t="shared" si="1069"/>
        <v>-1.3787105716063969E-2</v>
      </c>
      <c r="M392" s="172">
        <f t="shared" si="1073"/>
        <v>-7.1147767592019239E-4</v>
      </c>
      <c r="N392" s="196"/>
      <c r="O392" s="172"/>
      <c r="P392" s="166">
        <f>IFERROR(INDEX('Non-Labor Expenditures'!$F$7:$AB$91,MATCH($C392,'Non-Labor Expenditures'!$D$7:$D$91,0),MATCH($G392,'Non-Labor Expenditures'!$F$5:$AB$5,0)),"NA")</f>
        <v>219540.89879044687</v>
      </c>
      <c r="Q392" s="166">
        <f t="shared" si="1063"/>
        <v>1990.0010767611795</v>
      </c>
      <c r="R392" s="172">
        <f t="shared" si="1074"/>
        <v>-8.8212765262112806E-3</v>
      </c>
      <c r="S392" s="172">
        <f t="shared" si="1079"/>
        <v>-4.5521819087856406E-4</v>
      </c>
      <c r="T392" s="172"/>
      <c r="U392" s="172"/>
      <c r="V392" s="166">
        <f t="shared" si="1044"/>
        <v>293636.35426475108</v>
      </c>
      <c r="W392" s="170"/>
      <c r="X392" s="174">
        <v>14929.531139040817</v>
      </c>
      <c r="Y392" s="175">
        <v>5.9584692349474139E-2</v>
      </c>
      <c r="Z392" s="175">
        <f t="shared" si="1080"/>
        <v>3.0748424873415854E-3</v>
      </c>
      <c r="AA392" s="175"/>
      <c r="AB392" s="175"/>
      <c r="AC392" s="170">
        <f t="shared" si="1086"/>
        <v>664774.34170158324</v>
      </c>
      <c r="AD392" s="175">
        <f t="shared" si="1075"/>
        <v>5.6864164064597919E-2</v>
      </c>
      <c r="AE392" s="170"/>
      <c r="AF392" s="170"/>
      <c r="AG392" s="121">
        <f t="shared" si="1076"/>
        <v>613.7196202154779</v>
      </c>
      <c r="AH392" s="119">
        <f>+AZ392/$BB$56</f>
        <v>2.860266986664926E-2</v>
      </c>
      <c r="AI392" s="119">
        <f>+AZ392/$BC$57</f>
        <v>0.12084253718355489</v>
      </c>
      <c r="AJ392" s="176">
        <f t="shared" si="1081"/>
        <v>17.554019687708678</v>
      </c>
      <c r="AK392" s="176">
        <f t="shared" si="1082"/>
        <v>74.163436026166082</v>
      </c>
      <c r="AL392" s="120">
        <f t="shared" si="1064"/>
        <v>0.22804292996379993</v>
      </c>
      <c r="AM392" s="120">
        <f t="shared" si="1065"/>
        <v>0.33024875513170548</v>
      </c>
      <c r="AN392" s="120">
        <f t="shared" si="1066"/>
        <v>0.44170831490449469</v>
      </c>
      <c r="AO392" s="120">
        <f t="shared" si="1070"/>
        <v>1.941626378069582E-2</v>
      </c>
      <c r="AP392" s="173">
        <f t="shared" si="1087"/>
        <v>178.12993694811982</v>
      </c>
      <c r="AQ392" s="175">
        <f t="shared" si="1088"/>
        <v>1.9416263780695747E-2</v>
      </c>
      <c r="AR392" s="177">
        <f>+AC392/$AE$56</f>
        <v>5.16045710080556E-2</v>
      </c>
      <c r="AS392" s="177">
        <f t="shared" si="1083"/>
        <v>1.0019679629820518E-3</v>
      </c>
      <c r="AT392" s="177"/>
      <c r="AU392" s="177"/>
      <c r="AV392" s="177"/>
      <c r="AW392" s="190"/>
      <c r="AX392" s="120"/>
      <c r="AY392" s="120"/>
      <c r="AZ392" s="118">
        <f>IFERROR(INDEX('Total Customers'!$F$7:$AB$91,MATCH($C392,'Total Customers'!$D$7:$D$91,0),MATCH($G392,'Total Customers'!$F$5:$AB$5,0)),"NA")</f>
        <v>1083189</v>
      </c>
      <c r="BA392" s="119">
        <f t="shared" si="1045"/>
        <v>5.2919114490628319E-3</v>
      </c>
      <c r="BB392" s="119"/>
      <c r="BC392" s="121">
        <v>8911356</v>
      </c>
      <c r="BD392" s="119"/>
      <c r="BE392" s="119"/>
      <c r="BF392" s="119"/>
      <c r="BG392" s="173"/>
      <c r="BH392" s="173"/>
      <c r="BI392" s="173"/>
      <c r="BJ392" s="173"/>
      <c r="BK392" s="173"/>
      <c r="BL392" s="173"/>
      <c r="BM392" s="173"/>
      <c r="BN392" s="173"/>
      <c r="BO392" s="173"/>
      <c r="BP392" s="173"/>
      <c r="BQ392" s="118"/>
      <c r="BR392" s="118"/>
      <c r="BS392" s="118">
        <f>INDEX('Dist. Plant Gas Additions'!$F$7:$AE$91,MATCH($C392,'Dist. Plant Gas Additions'!$D$7:$D$91,0),MATCH(Calculation!$G392,'Dist. Plant Gas Additions'!$F$5:$AE$5,0))</f>
        <v>739835</v>
      </c>
      <c r="BT392" s="118">
        <f>INDEX('Gen. Plant Additions'!$F$7:$AE$91,MATCH($C392,'Gen. Plant Additions'!$D$7:$D$91,0),MATCH(Calculation!$G392,'Gen. Plant Additions'!$F$5:$AE$5,0))</f>
        <v>0</v>
      </c>
      <c r="BU392" s="118"/>
      <c r="BV392" s="118"/>
      <c r="BW392" s="118">
        <f>INDEX('Dist Plant Depreciation'!$E$7:$AD$94,MATCH($C392,'Dist Plant Depreciation'!$D$7:$D$94,0),MATCH(Calculation!$G392,'Dist Plant Depreciation'!$E$5:$AD$5,0))</f>
        <v>1212731</v>
      </c>
      <c r="BX392" s="118">
        <f>INDEX('Gen. Plant Depreciation'!$E$7:$AD$94,MATCH($C392,'Gen. Plant Depreciation'!$D$7:$D$94,0),MATCH(Calculation!$G392,'Gen. Plant Depreciation'!$E$5:$AD$5,0))</f>
        <v>0</v>
      </c>
      <c r="BY392" s="118"/>
      <c r="BZ392" s="118"/>
      <c r="CA392" s="118"/>
      <c r="CB392" s="118"/>
      <c r="CC392" s="118"/>
      <c r="CD392" s="118"/>
      <c r="CE392" s="118">
        <f>INDEX('Gross Dx Plant'!$E$7:$AD$91,MATCH($C392,'Gross Dx Plant'!$D$7:$D$91,0),MATCH(Calculation!$G392,'Gross Dx Plant'!$E$5:$AD$5,0))</f>
        <v>7191048</v>
      </c>
      <c r="CF392" s="118">
        <f>INDEX('Gross Gen Plant'!$E$7:$AD$91,MATCH($C392,'Gross Gen Plant'!$D$7:$D$91,0),MATCH(Calculation!$G392,'Gross Gen Plant'!$E$5:$AD$5,0))</f>
        <v>0</v>
      </c>
      <c r="CG392" s="118">
        <f t="shared" si="969"/>
        <v>5978317</v>
      </c>
      <c r="CH392" s="118"/>
      <c r="CI392" s="121">
        <v>2018</v>
      </c>
      <c r="CJ392" s="118"/>
      <c r="CK392" s="118"/>
      <c r="CL392" s="118"/>
      <c r="CM392" s="183"/>
      <c r="CN392" s="118">
        <f t="shared" si="1046"/>
        <v>739835</v>
      </c>
      <c r="CO392" s="118">
        <f t="shared" si="1047"/>
        <v>979.73649797297048</v>
      </c>
      <c r="CP392" s="186">
        <v>0.86111111111111116</v>
      </c>
      <c r="CQ392" s="118">
        <f>+CQ372*CP392++CO373*CP391+CO374*CP390+CO375*CP389+CO376*CP388+CO377*CP387+CO378*CP386+CO379*CP385+CO380*CP384+CO381*CP383+CO382*CP382+CO383*CP381+CO384*CP380+CO385*CP379+CO386*CP378+CO387*CP377+CO388*CP376+CO389*CP375+CO390*CP374+CO391*CP373+CO392</f>
        <v>14929.531139040817</v>
      </c>
      <c r="CR392" s="119">
        <f t="shared" si="1048"/>
        <v>5.9584692349474139E-2</v>
      </c>
      <c r="CS392" s="119"/>
      <c r="CT392" s="177">
        <f t="shared" si="1049"/>
        <v>8.2574461135194524E-3</v>
      </c>
      <c r="CU392" s="177">
        <f t="shared" si="1057"/>
        <v>8.1097484699152803E-3</v>
      </c>
      <c r="CV392" s="119">
        <f>VLOOKUP($H392,RoR!$E:$F,2,FALSE)</f>
        <v>3.9299999999999995E-2</v>
      </c>
      <c r="CW392" s="177">
        <v>2.386056741932796E-2</v>
      </c>
      <c r="CX392" s="177">
        <f t="shared" si="1055"/>
        <v>1.5439432580672034E-2</v>
      </c>
      <c r="CY392" s="177">
        <f t="shared" si="1058"/>
        <v>2.2792193138618345E-2</v>
      </c>
      <c r="CZ392" s="177">
        <f t="shared" si="1059"/>
        <v>3.8270792163076606E-2</v>
      </c>
      <c r="DA392" s="187">
        <f t="shared" si="1050"/>
        <v>0.90381374874999998</v>
      </c>
      <c r="DB392" s="188">
        <f t="shared" si="1051"/>
        <v>1.3048868010700074</v>
      </c>
      <c r="DC392" s="188">
        <f t="shared" si="1052"/>
        <v>0.33886768447837151</v>
      </c>
      <c r="DD392" s="188">
        <f t="shared" si="1053"/>
        <v>0.78602506232557801</v>
      </c>
      <c r="DE392" s="188">
        <f t="shared" si="1054"/>
        <v>0.34756768162358759</v>
      </c>
      <c r="DF392" s="189">
        <f>INDEX('State Tax Lookup'!$D$7:$Z$91,MATCH(Calculation!$C392,'State Tax Lookup'!$B$7:$B$91,0),MATCH($H392,'State Tax Lookup'!$D$6:$Z$6,0))</f>
        <v>0.25649666999999998</v>
      </c>
      <c r="DG392" s="189">
        <v>0.375</v>
      </c>
      <c r="DH392" s="190">
        <f t="shared" si="1056"/>
        <v>20.875695691972389</v>
      </c>
      <c r="DI392" s="190">
        <v>20.621979781733426</v>
      </c>
      <c r="DJ392" s="177"/>
      <c r="DK392" s="189">
        <f>VLOOKUP($H392,RoR!$E:$F,2,FALSE)</f>
        <v>3.9299999999999995E-2</v>
      </c>
      <c r="DL392" s="191">
        <f>HLOOKUP($H392,'GDP-PI'!$D$8:$CQ$11,3,FALSE)</f>
        <v>2.386056741932796E-2</v>
      </c>
      <c r="DM392" s="189">
        <f>VLOOKUP(H392,'HW Dx Data'!$E:$F,2,FALSE)</f>
        <v>755.13671434174842</v>
      </c>
      <c r="DN392" s="183">
        <f>VLOOKUP(H392,'ECI - Input Price'!$G$17:$H$37,2,FALSE)</f>
        <v>133.25</v>
      </c>
      <c r="DO392" s="177">
        <f t="shared" ref="DO392" si="1109">LN(DN392/DN391)</f>
        <v>2.8546181906361531E-2</v>
      </c>
      <c r="DP392" s="183">
        <f>HLOOKUP(H392,'GDP-PI'!$8:$9,2,FALSE)</f>
        <v>110.322</v>
      </c>
      <c r="DQ392" s="177">
        <f t="shared" ref="DQ392" si="1110">LN(DP392/DP391)</f>
        <v>2.3580352716508712E-2</v>
      </c>
    </row>
    <row r="393" spans="1:122" s="167" customFormat="1" ht="21" x14ac:dyDescent="0.35">
      <c r="A393" s="167" t="s">
        <v>51</v>
      </c>
      <c r="B393" s="168" t="s">
        <v>51</v>
      </c>
      <c r="C393" s="168">
        <v>4057080</v>
      </c>
      <c r="D393" s="168" t="s">
        <v>136</v>
      </c>
      <c r="E393" s="168" t="s">
        <v>126</v>
      </c>
      <c r="F393" s="168"/>
      <c r="G393" s="168" t="s">
        <v>25</v>
      </c>
      <c r="H393" s="169">
        <v>2019</v>
      </c>
      <c r="I393" s="170"/>
      <c r="J393" s="166">
        <f>IFERROR(INDEX('Labor Expenditures'!$F$7:$X$91,MATCH($C393,'Labor Expenditures'!$D$7:$D$91,0),MATCH($G393,'Labor Expenditures'!$F$5:$X$5,0)),"NA")</f>
        <v>139778.84443068921</v>
      </c>
      <c r="K393" s="166">
        <f t="shared" si="1062"/>
        <v>1021.4018591939292</v>
      </c>
      <c r="L393" s="172">
        <f t="shared" si="1069"/>
        <v>-0.10782315032787212</v>
      </c>
      <c r="M393" s="172">
        <f t="shared" si="1073"/>
        <v>-5.3499466374539511E-3</v>
      </c>
      <c r="N393" s="196"/>
      <c r="O393" s="172"/>
      <c r="P393" s="166">
        <f>IFERROR(INDEX('Non-Labor Expenditures'!$F$7:$AB$91,MATCH($C393,'Non-Labor Expenditures'!$D$7:$D$91,0),MATCH($G393,'Non-Labor Expenditures'!$F$5:$AB$5,0)),"NA")</f>
        <v>202425.87382257925</v>
      </c>
      <c r="Q393" s="166">
        <f t="shared" si="1063"/>
        <v>1802.2567515676851</v>
      </c>
      <c r="R393" s="172">
        <f t="shared" si="1074"/>
        <v>-9.9095549338539646E-2</v>
      </c>
      <c r="S393" s="172">
        <f t="shared" si="1079"/>
        <v>-4.916902347578021E-3</v>
      </c>
      <c r="T393" s="172"/>
      <c r="U393" s="172"/>
      <c r="V393" s="166">
        <f t="shared" si="1044"/>
        <v>316979.41259115312</v>
      </c>
      <c r="W393" s="170"/>
      <c r="X393" s="174">
        <v>15866.350986077163</v>
      </c>
      <c r="Y393" s="175">
        <v>6.0859369426923271E-2</v>
      </c>
      <c r="Z393" s="175">
        <f t="shared" si="1080"/>
        <v>3.0197075287918969E-3</v>
      </c>
      <c r="AA393" s="175"/>
      <c r="AB393" s="175"/>
      <c r="AC393" s="170">
        <f t="shared" si="1086"/>
        <v>659184.13084442157</v>
      </c>
      <c r="AD393" s="175">
        <f t="shared" si="1075"/>
        <v>-8.4447423307940101E-3</v>
      </c>
      <c r="AE393" s="170"/>
      <c r="AF393" s="170"/>
      <c r="AG393" s="121">
        <f t="shared" si="1076"/>
        <v>607.56033660355422</v>
      </c>
      <c r="AH393" s="119">
        <f>+AZ393/$BB$57</f>
        <v>2.8415281855698204E-2</v>
      </c>
      <c r="AI393" s="119">
        <f>+AZ393/$BC$58</f>
        <v>0.11975042195294347</v>
      </c>
      <c r="AJ393" s="176">
        <f t="shared" si="1081"/>
        <v>17.263998208932868</v>
      </c>
      <c r="AK393" s="176">
        <f t="shared" si="1082"/>
        <v>72.755606670147984</v>
      </c>
      <c r="AL393" s="120">
        <f t="shared" si="1064"/>
        <v>0.21204825463809496</v>
      </c>
      <c r="AM393" s="120">
        <f t="shared" si="1065"/>
        <v>0.30708547786681339</v>
      </c>
      <c r="AN393" s="120">
        <f t="shared" si="1066"/>
        <v>0.48086626749509165</v>
      </c>
      <c r="AO393" s="120">
        <f t="shared" si="1070"/>
        <v>-2.7230848276200297E-2</v>
      </c>
      <c r="AP393" s="173">
        <f t="shared" si="1087"/>
        <v>173.344755623243</v>
      </c>
      <c r="AQ393" s="175">
        <f t="shared" si="1088"/>
        <v>-2.7230848276200169E-2</v>
      </c>
      <c r="AR393" s="177">
        <f>+AC393/$AE$57</f>
        <v>4.9617791923030077E-2</v>
      </c>
      <c r="AS393" s="177">
        <f t="shared" si="1083"/>
        <v>-1.3511345636561022E-3</v>
      </c>
      <c r="AT393" s="177"/>
      <c r="AU393" s="177"/>
      <c r="AV393" s="177"/>
      <c r="AW393" s="190"/>
      <c r="AX393" s="120"/>
      <c r="AY393" s="120"/>
      <c r="AZ393" s="118">
        <f>IFERROR(INDEX('Total Customers'!$F$7:$AB$91,MATCH($C393,'Total Customers'!$D$7:$D$91,0),MATCH($G393,'Total Customers'!$F$5:$AB$5,0)),"NA")</f>
        <v>1084969</v>
      </c>
      <c r="BA393" s="119">
        <f t="shared" si="1045"/>
        <v>1.6419471273820387E-3</v>
      </c>
      <c r="BB393" s="119"/>
      <c r="BC393" s="121">
        <v>8963640</v>
      </c>
      <c r="BD393" s="119"/>
      <c r="BE393" s="119"/>
      <c r="BF393" s="119"/>
      <c r="BG393" s="173"/>
      <c r="BH393" s="173"/>
      <c r="BI393" s="173"/>
      <c r="BJ393" s="173"/>
      <c r="BK393" s="173"/>
      <c r="BL393" s="173"/>
      <c r="BM393" s="173"/>
      <c r="BN393" s="173"/>
      <c r="BO393" s="173"/>
      <c r="BP393" s="173"/>
      <c r="BQ393" s="118"/>
      <c r="BR393" s="118"/>
      <c r="BS393" s="118">
        <f>INDEX('Dist. Plant Gas Additions'!$F$7:$AE$91,MATCH($C393,'Dist. Plant Gas Additions'!$D$7:$D$91,0),MATCH(Calculation!$G393,'Dist. Plant Gas Additions'!$F$5:$AE$5,0))</f>
        <v>821756</v>
      </c>
      <c r="BT393" s="118">
        <f>INDEX('Gen. Plant Additions'!$F$7:$AE$91,MATCH($C393,'Gen. Plant Additions'!$D$7:$D$91,0),MATCH(Calculation!$G393,'Gen. Plant Additions'!$F$5:$AE$5,0))</f>
        <v>0</v>
      </c>
      <c r="BU393" s="118"/>
      <c r="BV393" s="118"/>
      <c r="BW393" s="118">
        <f>INDEX('Dist Plant Depreciation'!$E$7:$AD$94,MATCH($C393,'Dist Plant Depreciation'!$D$7:$D$94,0),MATCH(Calculation!$G393,'Dist Plant Depreciation'!$E$5:$AD$5,0))</f>
        <v>1276174</v>
      </c>
      <c r="BX393" s="118">
        <f>INDEX('Gen. Plant Depreciation'!$E$7:$AD$94,MATCH($C393,'Gen. Plant Depreciation'!$D$7:$D$94,0),MATCH(Calculation!$G393,'Gen. Plant Depreciation'!$E$5:$AD$5,0))</f>
        <v>0</v>
      </c>
      <c r="BY393" s="118"/>
      <c r="BZ393" s="118"/>
      <c r="CA393" s="118"/>
      <c r="CB393" s="118"/>
      <c r="CC393" s="118"/>
      <c r="CD393" s="118"/>
      <c r="CE393" s="118">
        <f>INDEX('Gross Dx Plant'!$E$7:$AD$91,MATCH($C393,'Gross Dx Plant'!$D$7:$D$91,0),MATCH(Calculation!$G393,'Gross Dx Plant'!$E$5:$AD$5,0))</f>
        <v>7959211</v>
      </c>
      <c r="CF393" s="118">
        <f>INDEX('Gross Gen Plant'!$E$7:$AD$91,MATCH($C393,'Gross Gen Plant'!$D$7:$D$91,0),MATCH(Calculation!$G393,'Gross Gen Plant'!$E$5:$AD$5,0))</f>
        <v>0</v>
      </c>
      <c r="CG393" s="118">
        <f t="shared" si="969"/>
        <v>6683037</v>
      </c>
      <c r="CH393" s="118"/>
      <c r="CI393" s="121">
        <v>2019</v>
      </c>
      <c r="CJ393" s="118"/>
      <c r="CK393" s="118"/>
      <c r="CL393" s="118"/>
      <c r="CM393" s="183"/>
      <c r="CN393" s="118">
        <f t="shared" si="1046"/>
        <v>821756</v>
      </c>
      <c r="CO393" s="118">
        <f t="shared" si="1047"/>
        <v>1062.3325824415851</v>
      </c>
      <c r="CP393" s="186">
        <v>0.85106382978723405</v>
      </c>
      <c r="CQ393" s="118">
        <f>CQ372*CP393+CO373*CP392+CO374*CP391+CO375*CP390+CO376*CP389+CO377*CP388+CO378*CP387+CO379*CP386+CO380*CP385+CO381*CP384+CO382*CP383+CO383*CP382+CO384*CP381+CO385*CP380+CO386*CP379+CO387*CP378+CO388*CP377+CO389*CP376+CO390*CP375+CO391*CP374+CO392*CP373+CO393</f>
        <v>15866.350986077163</v>
      </c>
      <c r="CR393" s="119">
        <f t="shared" si="1048"/>
        <v>6.0859369426923271E-2</v>
      </c>
      <c r="CS393" s="119"/>
      <c r="CT393" s="177">
        <f t="shared" si="1049"/>
        <v>8.4070111938761866E-3</v>
      </c>
      <c r="CU393" s="177">
        <f t="shared" si="1057"/>
        <v>8.260220683513864E-3</v>
      </c>
      <c r="CV393" s="119">
        <f>VLOOKUP($H393,RoR!$E:$F,2,FALSE)</f>
        <v>3.3875000000000009E-2</v>
      </c>
      <c r="CW393" s="177">
        <v>1.8092492884465461E-2</v>
      </c>
      <c r="CX393" s="177">
        <f t="shared" si="1055"/>
        <v>1.5782507115534548E-2</v>
      </c>
      <c r="CY393" s="177">
        <f t="shared" si="1058"/>
        <v>2.2641720925019759E-2</v>
      </c>
      <c r="CZ393" s="177">
        <f t="shared" si="1059"/>
        <v>4.8445665544254078E-2</v>
      </c>
      <c r="DA393" s="187">
        <f t="shared" si="1050"/>
        <v>0.90381374874999998</v>
      </c>
      <c r="DB393" s="188">
        <f t="shared" si="1051"/>
        <v>1.513861292459078</v>
      </c>
      <c r="DC393" s="188">
        <f t="shared" si="1052"/>
        <v>0.23699261992619944</v>
      </c>
      <c r="DD393" s="188">
        <f t="shared" si="1053"/>
        <v>0.73619765810468829</v>
      </c>
      <c r="DE393" s="188">
        <f t="shared" si="1054"/>
        <v>0.26412854465362851</v>
      </c>
      <c r="DF393" s="189">
        <f>INDEX('State Tax Lookup'!$D$7:$Z$91,MATCH(Calculation!$C393,'State Tax Lookup'!$B$7:$B$91,0),MATCH($H393,'State Tax Lookup'!$D$6:$Z$6,0))</f>
        <v>0.25649666999999998</v>
      </c>
      <c r="DG393" s="189">
        <v>0.375</v>
      </c>
      <c r="DH393" s="190">
        <f t="shared" si="1056"/>
        <v>21.23170578091699</v>
      </c>
      <c r="DI393" s="190">
        <v>20.982742943362027</v>
      </c>
      <c r="DJ393" s="177"/>
      <c r="DK393" s="189">
        <f>VLOOKUP($H393,RoR!$E:$F,2,FALSE)</f>
        <v>3.3875000000000009E-2</v>
      </c>
      <c r="DL393" s="191">
        <f>HLOOKUP($H393,'GDP-PI'!$D$8:$CQ$11,3,FALSE)</f>
        <v>1.8092492884465461E-2</v>
      </c>
      <c r="DM393" s="189">
        <f>VLOOKUP(H393,'HW Dx Data'!$E:$F,2,FALSE)</f>
        <v>773.53929793938721</v>
      </c>
      <c r="DN393" s="183">
        <f>VLOOKUP(H393,'ECI - Input Price'!$G$17:$H$37,2,FALSE)</f>
        <v>136.85</v>
      </c>
      <c r="DO393" s="177">
        <f t="shared" ref="DO393" si="1111">LN(DN393/DN392)</f>
        <v>2.6658372440734168E-2</v>
      </c>
      <c r="DP393" s="183">
        <f>HLOOKUP(H393,'GDP-PI'!$8:$9,2,FALSE)</f>
        <v>112.318</v>
      </c>
      <c r="DQ393" s="177">
        <f t="shared" ref="DQ393" si="1112">LN(DP393/DP392)</f>
        <v>1.7930771451401852E-2</v>
      </c>
    </row>
    <row r="394" spans="1:122" s="167" customFormat="1" ht="21" x14ac:dyDescent="0.35">
      <c r="A394" s="167" t="s">
        <v>51</v>
      </c>
      <c r="B394" s="167" t="s">
        <v>51</v>
      </c>
      <c r="C394" s="167">
        <v>4057080</v>
      </c>
      <c r="D394" s="167" t="s">
        <v>136</v>
      </c>
      <c r="E394" s="167" t="s">
        <v>126</v>
      </c>
      <c r="G394" s="168" t="s">
        <v>26</v>
      </c>
      <c r="H394" s="169">
        <v>2020</v>
      </c>
      <c r="I394" s="170"/>
      <c r="J394" s="166">
        <f>IFERROR(INDEX('Labor Expenditures'!$F$7:$X$91,MATCH($C394,'Labor Expenditures'!$D$7:$D$91,0),MATCH($G394,'Labor Expenditures'!$F$5:$X$5,0)),"NA")</f>
        <v>132051.58497180408</v>
      </c>
      <c r="K394" s="166">
        <f t="shared" si="1062"/>
        <v>940.20352418514847</v>
      </c>
      <c r="L394" s="172">
        <f t="shared" si="1069"/>
        <v>-8.2834967534039877E-2</v>
      </c>
      <c r="M394" s="172">
        <f t="shared" si="1073"/>
        <v>-4.0835143589552456E-3</v>
      </c>
      <c r="N394" s="196"/>
      <c r="O394" s="172"/>
      <c r="P394" s="166">
        <f>IFERROR(INDEX('Non-Labor Expenditures'!$F$7:$AB$91,MATCH($C394,'Non-Labor Expenditures'!$D$7:$D$91,0),MATCH($G394,'Non-Labor Expenditures'!$F$5:$AB$5,0)),"NA")</f>
        <v>191235.35887312822</v>
      </c>
      <c r="Q394" s="166">
        <f t="shared" si="1063"/>
        <v>1683.0690870081605</v>
      </c>
      <c r="R394" s="172">
        <f t="shared" si="1074"/>
        <v>-6.8420666201868444E-2</v>
      </c>
      <c r="S394" s="172">
        <f t="shared" si="1079"/>
        <v>-3.3729327263851395E-3</v>
      </c>
      <c r="T394" s="172"/>
      <c r="U394" s="172"/>
      <c r="V394" s="166">
        <f t="shared" si="1044"/>
        <v>351917.58736329229</v>
      </c>
      <c r="W394" s="170"/>
      <c r="X394" s="174">
        <v>16482.203146389274</v>
      </c>
      <c r="Y394" s="175">
        <v>3.8080625077583037E-2</v>
      </c>
      <c r="Z394" s="175">
        <f t="shared" si="1080"/>
        <v>1.8772600983805521E-3</v>
      </c>
      <c r="AA394" s="175"/>
      <c r="AB394" s="175"/>
      <c r="AC394" s="170">
        <f t="shared" si="1086"/>
        <v>675204.53120822459</v>
      </c>
      <c r="AD394" s="175">
        <f t="shared" si="1075"/>
        <v>2.4012749221333209E-2</v>
      </c>
      <c r="AE394" s="170"/>
      <c r="AF394" s="170"/>
      <c r="AG394" s="121">
        <f t="shared" si="1076"/>
        <v>589.06342963847214</v>
      </c>
      <c r="AH394" s="119">
        <f>+AZ394/$BB$58</f>
        <v>2.9808751144515987E-2</v>
      </c>
      <c r="AI394" s="119">
        <f>+AZ394/$BC$59</f>
        <v>0.1257651758855336</v>
      </c>
      <c r="AJ394" s="176">
        <f t="shared" si="1081"/>
        <v>17.55924518242832</v>
      </c>
      <c r="AK394" s="176">
        <f t="shared" si="1082"/>
        <v>74.083665836218088</v>
      </c>
      <c r="AL394" s="120">
        <f t="shared" si="1064"/>
        <v>0.19557271740387808</v>
      </c>
      <c r="AM394" s="120">
        <f t="shared" si="1065"/>
        <v>0.28322582274578018</v>
      </c>
      <c r="AN394" s="120">
        <f t="shared" si="1066"/>
        <v>0.52120145985034172</v>
      </c>
      <c r="AO394" s="120">
        <f t="shared" si="1070"/>
        <v>-1.7997698506154271E-2</v>
      </c>
      <c r="AP394" s="173">
        <f t="shared" si="1087"/>
        <v>170.25285597227102</v>
      </c>
      <c r="AQ394" s="175">
        <f t="shared" si="1088"/>
        <v>-1.7997698506154305E-2</v>
      </c>
      <c r="AR394" s="177">
        <f>+AC394/$AE$58</f>
        <v>4.9296987498391689E-2</v>
      </c>
      <c r="AS394" s="177">
        <f t="shared" si="1083"/>
        <v>-8.8723231825771159E-4</v>
      </c>
      <c r="AT394" s="177"/>
      <c r="AU394" s="177"/>
      <c r="AV394" s="177"/>
      <c r="AW394" s="190"/>
      <c r="AX394" s="120"/>
      <c r="AY394" s="120"/>
      <c r="AZ394" s="118">
        <f>IFERROR(INDEX('Total Customers'!$F$7:$AB$91,MATCH($C394,'Total Customers'!$D$7:$D$91,0),MATCH($G394,'Total Customers'!$F$5:$AB$5,0)),"NA")</f>
        <v>1146234</v>
      </c>
      <c r="BA394" s="119">
        <f t="shared" si="1045"/>
        <v>5.4930370774912002E-2</v>
      </c>
      <c r="BB394" s="119"/>
      <c r="BC394" s="121">
        <v>9060252</v>
      </c>
      <c r="BD394" s="119"/>
      <c r="BE394" s="119"/>
      <c r="BF394" s="119"/>
      <c r="BG394" s="173"/>
      <c r="BH394" s="173"/>
      <c r="BI394" s="173"/>
      <c r="BJ394" s="173"/>
      <c r="BK394" s="173"/>
      <c r="BL394" s="173"/>
      <c r="BM394" s="173"/>
      <c r="BN394" s="173"/>
      <c r="BO394" s="173"/>
      <c r="BP394" s="173"/>
      <c r="BQ394" s="118"/>
      <c r="BR394" s="118"/>
      <c r="BS394" s="118">
        <f>INDEX('Dist. Plant Gas Additions'!$F$7:$AE$91,MATCH($C394,'Dist. Plant Gas Additions'!$D$7:$D$91,0),MATCH(Calculation!$G394,'Dist. Plant Gas Additions'!$F$5:$AE$5,0))</f>
        <v>600822</v>
      </c>
      <c r="BT394" s="118">
        <f>INDEX('Gen. Plant Additions'!$F$7:$AE$91,MATCH($C394,'Gen. Plant Additions'!$D$7:$D$91,0),MATCH(Calculation!$G394,'Gen. Plant Additions'!$F$5:$AE$5,0))</f>
        <v>10254</v>
      </c>
      <c r="BU394" s="118"/>
      <c r="BV394" s="118"/>
      <c r="BW394" s="118">
        <f>INDEX('Dist Plant Depreciation'!$E$7:$AD$94,MATCH($C394,'Dist Plant Depreciation'!$D$7:$D$94,0),MATCH(Calculation!$G394,'Dist Plant Depreciation'!$E$5:$AD$5,0))</f>
        <v>1395185</v>
      </c>
      <c r="BX394" s="118">
        <f>INDEX('Gen. Plant Depreciation'!$E$7:$AD$94,MATCH($C394,'Gen. Plant Depreciation'!$D$7:$D$94,0),MATCH(Calculation!$G394,'Gen. Plant Depreciation'!$E$5:$AD$5,0))</f>
        <v>1405</v>
      </c>
      <c r="BY394" s="118"/>
      <c r="BZ394" s="118"/>
      <c r="CA394" s="118"/>
      <c r="CB394" s="118"/>
      <c r="CC394" s="118"/>
      <c r="CD394" s="118"/>
      <c r="CE394" s="118">
        <f>INDEX('Gross Dx Plant'!$E$7:$AD$91,MATCH($C394,'Gross Dx Plant'!$D$7:$D$91,0),MATCH(Calculation!$G394,'Gross Dx Plant'!$E$5:$AD$5,0))</f>
        <v>8497540</v>
      </c>
      <c r="CF394" s="118">
        <f>INDEX('Gross Gen Plant'!$E$7:$AD$91,MATCH($C394,'Gross Gen Plant'!$D$7:$D$91,0),MATCH(Calculation!$G394,'Gross Gen Plant'!$E$5:$AD$5,0))</f>
        <v>16245</v>
      </c>
      <c r="CG394" s="118">
        <f t="shared" si="969"/>
        <v>7117195</v>
      </c>
      <c r="CH394" s="118"/>
      <c r="CI394" s="121">
        <v>2020</v>
      </c>
      <c r="CJ394" s="118"/>
      <c r="CK394" s="118"/>
      <c r="CL394" s="118"/>
      <c r="CM394" s="183"/>
      <c r="CN394" s="118">
        <f t="shared" si="1046"/>
        <v>611076</v>
      </c>
      <c r="CO394" s="118">
        <f t="shared" si="1047"/>
        <v>751.55689219135184</v>
      </c>
      <c r="CP394" s="186">
        <v>0.84057971014492749</v>
      </c>
      <c r="CQ394" s="118">
        <f>CQ372*CP394+CO373*CP393+CO374*CP392+CO375*CP391+CO376*CP390+CO377*CP389+CO378*CP388+CO379*CP387+CO380*CP386+CO381*CP385+CO382*CP384+CO383*CP383+CO384*CP382+CO385*CP381+CO386*CP380+CO387*CP379+CO388*CP378+CO389*CP377+CO390*CP376+CO391*CP375+CO392*CP374+CO393*CP373+CO394</f>
        <v>16482.203146389274</v>
      </c>
      <c r="CR394" s="119">
        <f t="shared" si="1048"/>
        <v>3.8080625077583037E-2</v>
      </c>
      <c r="CS394" s="119"/>
      <c r="CT394" s="177">
        <f t="shared" si="1049"/>
        <v>8.5529894049565687E-3</v>
      </c>
      <c r="CU394" s="177">
        <f t="shared" si="1057"/>
        <v>8.4058155707840698E-3</v>
      </c>
      <c r="CV394" s="119">
        <f>VLOOKUP($H394,RoR!$E:$F,2,FALSE)</f>
        <v>2.4766666666666666E-2</v>
      </c>
      <c r="CW394" s="177">
        <v>1.1618796630994188E-2</v>
      </c>
      <c r="CX394" s="177">
        <f t="shared" si="1055"/>
        <v>1.3147870035672478E-2</v>
      </c>
      <c r="CY394" s="177">
        <f t="shared" si="1058"/>
        <v>2.2496126037749555E-2</v>
      </c>
      <c r="CZ394" s="177">
        <f t="shared" si="1059"/>
        <v>4.5144642961987357E-2</v>
      </c>
      <c r="DA394" s="187">
        <f t="shared" si="1050"/>
        <v>0.90381374874999998</v>
      </c>
      <c r="DB394" s="188">
        <f t="shared" si="1051"/>
        <v>2.0706077233668081</v>
      </c>
      <c r="DC394" s="188">
        <f t="shared" si="1052"/>
        <v>-3.4421265141318998E-2</v>
      </c>
      <c r="DD394" s="188">
        <f t="shared" si="1053"/>
        <v>0.62416226176410472</v>
      </c>
      <c r="DE394" s="188">
        <f t="shared" si="1054"/>
        <v>-4.4485877841158712E-2</v>
      </c>
      <c r="DF394" s="189">
        <f>INDEX('State Tax Lookup'!$D$7:$Z$91,MATCH(Calculation!$C394,'State Tax Lookup'!$B$7:$B$91,0),MATCH($H394,'State Tax Lookup'!$D$6:$Z$6,0))</f>
        <v>0.25649666999999998</v>
      </c>
      <c r="DG394" s="189">
        <v>0.375</v>
      </c>
      <c r="DH394" s="190">
        <f t="shared" si="1056"/>
        <v>22.180121167879275</v>
      </c>
      <c r="DI394" s="190">
        <v>21.957146749829665</v>
      </c>
      <c r="DJ394" s="177"/>
      <c r="DK394" s="189">
        <f>VLOOKUP($H394,RoR!$E:$F,2,FALSE)</f>
        <v>2.4766666666666666E-2</v>
      </c>
      <c r="DL394" s="191">
        <f>HLOOKUP($H394,'GDP-PI'!$D$8:$CQ$11,3,FALSE)</f>
        <v>1.1618796630994188E-2</v>
      </c>
      <c r="DM394" s="189">
        <f>VLOOKUP(H394,'HW Dx Data'!$E:$F,2,FALSE)</f>
        <v>813.080162458833</v>
      </c>
      <c r="DN394" s="183">
        <f>VLOOKUP(H394,'ECI - Input Price'!$G$17:$H$37,2,FALSE)</f>
        <v>140.44999999999999</v>
      </c>
      <c r="DO394" s="177">
        <f t="shared" ref="DO394" si="1113">LN(DN394/DN393)</f>
        <v>2.5966118063564539E-2</v>
      </c>
      <c r="DP394" s="183">
        <f>HLOOKUP(H394,'GDP-PI'!$8:$9,2,FALSE)</f>
        <v>113.623</v>
      </c>
      <c r="DQ394" s="177">
        <f t="shared" ref="DQ394" si="1114">LN(DP394/DP393)</f>
        <v>1.1551816731392881E-2</v>
      </c>
    </row>
    <row r="395" spans="1:122" s="167" customFormat="1" ht="21" x14ac:dyDescent="0.35">
      <c r="A395" s="167" t="s">
        <v>51</v>
      </c>
      <c r="B395" s="167" t="s">
        <v>51</v>
      </c>
      <c r="C395" s="167">
        <v>4057080</v>
      </c>
      <c r="D395" s="167" t="s">
        <v>136</v>
      </c>
      <c r="E395" s="167" t="s">
        <v>126</v>
      </c>
      <c r="G395" s="168" t="s">
        <v>462</v>
      </c>
      <c r="H395" s="169">
        <v>2021</v>
      </c>
      <c r="I395" s="170"/>
      <c r="J395" s="166">
        <f>IFERROR(INDEX('Labor Expenditures'!$E$7:$X$91,MATCH($C395,'Labor Expenditures'!$D$7:$D$91,0),MATCH($G395,'Labor Expenditures'!$E$5:$X$5,0)),"NA")</f>
        <v>132600.11101561776</v>
      </c>
      <c r="K395" s="166">
        <f t="shared" si="1062"/>
        <v>911.49758388463817</v>
      </c>
      <c r="L395" s="171">
        <f t="shared" si="1069"/>
        <v>-3.1007423505955301E-2</v>
      </c>
      <c r="M395" s="172">
        <f t="shared" si="1073"/>
        <v>-1.4458699901608552E-3</v>
      </c>
      <c r="N395" s="196"/>
      <c r="O395" s="172"/>
      <c r="P395" s="166">
        <f>IFERROR(INDEX('Non-Labor Expenditures'!$E$7:$AB$91,MATCH($C395,'Non-Labor Expenditures'!$D$7:$D$91,0),MATCH($G395,'Non-Labor Expenditures'!$E$5:$AB$5,0)),"NA")</f>
        <v>186918.22878105156</v>
      </c>
      <c r="Q395" s="166">
        <f t="shared" si="1063"/>
        <v>1577.5021417929916</v>
      </c>
      <c r="R395" s="172">
        <f t="shared" si="1074"/>
        <v>-6.4776291136091707E-2</v>
      </c>
      <c r="S395" s="172">
        <f t="shared" si="1079"/>
        <v>-3.0205055705324751E-3</v>
      </c>
      <c r="T395" s="172"/>
      <c r="U395" s="172"/>
      <c r="V395" s="166">
        <f t="shared" si="1044"/>
        <v>368197.88729045773</v>
      </c>
      <c r="W395" s="170"/>
      <c r="X395" s="174">
        <v>17495.24925020049</v>
      </c>
      <c r="Y395" s="175"/>
      <c r="Z395" s="175">
        <f t="shared" si="1080"/>
        <v>0</v>
      </c>
      <c r="AA395" s="175"/>
      <c r="AB395" s="175"/>
      <c r="AC395" s="170">
        <f t="shared" si="1086"/>
        <v>687716.22708712704</v>
      </c>
      <c r="AD395" s="175">
        <f t="shared" si="1075"/>
        <v>1.8360638047001415E-2</v>
      </c>
      <c r="AE395" s="118"/>
      <c r="AF395" s="119"/>
      <c r="AG395" s="121">
        <f t="shared" si="1076"/>
        <v>599.97891101391781</v>
      </c>
      <c r="AH395" s="119">
        <f>+AZ395/$BB$59</f>
        <v>2.9408581320373092E-2</v>
      </c>
      <c r="AI395" s="119">
        <f t="shared" ref="AI395" si="1115">+AZ395/$BC$44</f>
        <v>0.13898164228457122</v>
      </c>
      <c r="AJ395" s="176">
        <f t="shared" si="1081"/>
        <v>17.644528595061693</v>
      </c>
      <c r="AK395" s="176">
        <f t="shared" si="1082"/>
        <v>83.386054388822913</v>
      </c>
      <c r="AL395" s="120">
        <f t="shared" si="1064"/>
        <v>0.19281224696013841</v>
      </c>
      <c r="AM395" s="120">
        <f t="shared" si="1065"/>
        <v>0.27179557704019514</v>
      </c>
      <c r="AN395" s="120">
        <f t="shared" si="1066"/>
        <v>0.53539217599966649</v>
      </c>
      <c r="AO395" s="120">
        <f t="shared" si="1070"/>
        <v>-2.3997522426338951E-2</v>
      </c>
      <c r="AP395" s="173">
        <f t="shared" si="1087"/>
        <v>166.21584214268211</v>
      </c>
      <c r="AQ395" s="175">
        <f t="shared" si="1088"/>
        <v>-2.3997522426338999E-2</v>
      </c>
      <c r="AR395" s="177">
        <f>+AC395/$AE$59</f>
        <v>4.662980108241372E-2</v>
      </c>
      <c r="AS395" s="177">
        <f t="shared" si="1083"/>
        <v>-1.1189996972109499E-3</v>
      </c>
      <c r="AT395" s="177"/>
      <c r="AU395" s="177"/>
      <c r="AV395" s="177"/>
      <c r="AW395" s="190"/>
      <c r="AX395" s="120"/>
      <c r="AY395" s="120"/>
      <c r="AZ395" s="118">
        <f>INDEX('Total Customers'!$E$7:$E$91,MATCH(Calculation!$C395,'Total Customers'!$D$7:$D$91,0))</f>
        <v>1146234</v>
      </c>
      <c r="BA395" s="119">
        <f t="shared" si="1045"/>
        <v>0</v>
      </c>
      <c r="BB395" s="118"/>
      <c r="BC395" s="121"/>
      <c r="BD395" s="118"/>
      <c r="BE395" s="119"/>
      <c r="BF395" s="119"/>
      <c r="BG395" s="173"/>
      <c r="BH395" s="173"/>
      <c r="BI395" s="173"/>
      <c r="BJ395" s="173"/>
      <c r="BK395" s="173"/>
      <c r="BL395" s="173"/>
      <c r="BM395" s="173"/>
      <c r="BN395" s="173"/>
      <c r="BO395" s="173"/>
      <c r="BP395" s="173"/>
      <c r="BQ395" s="118"/>
      <c r="BR395" s="118"/>
      <c r="BS395" s="118">
        <f>INDEX('Dist. Plant Gas Additions'!$E$7:$AE$91,MATCH($C395,'Dist. Plant Gas Additions'!$D$7:$D$91,0),MATCH(Calculation!$G395,'Dist. Plant Gas Additions'!$E$5:$AE$5,0))</f>
        <v>1174807</v>
      </c>
      <c r="BT395" s="118">
        <f>INDEX('Gen. Plant Additions'!$E$7:$AE$91,MATCH($C395,'Gen. Plant Additions'!$D$7:$D$91,0),MATCH(Calculation!$G395,'Gen. Plant Additions'!$E$5:$AE$5,0))</f>
        <v>22881</v>
      </c>
      <c r="BU395" s="118"/>
      <c r="BV395" s="118"/>
      <c r="BW395" s="118"/>
      <c r="BX395" s="118"/>
      <c r="BY395" s="183"/>
      <c r="BZ395" s="183"/>
      <c r="CA395" s="178"/>
      <c r="CB395" s="184"/>
      <c r="CC395" s="185"/>
      <c r="CD395" s="185"/>
      <c r="CE395" s="118"/>
      <c r="CF395" s="118"/>
      <c r="CG395" s="118"/>
      <c r="CH395" s="118"/>
      <c r="CI395" s="121">
        <v>2021</v>
      </c>
      <c r="CJ395" s="118"/>
      <c r="CK395" s="118"/>
      <c r="CL395" s="118"/>
      <c r="CM395" s="183"/>
      <c r="CN395" s="118">
        <f t="shared" si="1046"/>
        <v>1197688</v>
      </c>
      <c r="CO395" s="118">
        <f t="shared" si="1047"/>
        <v>1283.6646501082125</v>
      </c>
      <c r="CP395" s="186">
        <f>+(51-23)/(51-23*0.75)</f>
        <v>0.82962962962962961</v>
      </c>
      <c r="CQ395" s="118">
        <f>CQ372*CP395+CO373*CP394+CO374*CP393+CO375*CP392+CO376*CP391+CO377*CP390+CO378*CP389+CO379*CP388+CO380*CP387+CO381*CP386+CO382*CP385+CO383*CP384+CO384*CP383+CO385*CP382+CO386*CP381+CO377*CP380+CO388*CP379+CO389*CP378+CO390*CP377+CO391*CP376+CO392*CP375+CO393*CP374+CO395+CO394*CP373</f>
        <v>17495.24925020049</v>
      </c>
      <c r="CR395" s="119"/>
      <c r="CS395" s="118"/>
      <c r="CT395" s="177">
        <f t="shared" si="1049"/>
        <v>1.6418833325463601E-2</v>
      </c>
      <c r="CU395" s="177">
        <f t="shared" si="1057"/>
        <v>1.1126277974765453E-2</v>
      </c>
      <c r="CV395" s="119">
        <f>VLOOKUP($H395,RoR!$E:$F,2,FALSE)</f>
        <v>2.7033333333333336E-2</v>
      </c>
      <c r="CW395" s="177"/>
      <c r="CX395" s="177"/>
      <c r="CY395" s="177">
        <f t="shared" si="1058"/>
        <v>1.9775663633768172E-2</v>
      </c>
      <c r="CZ395" s="177">
        <f t="shared" si="1059"/>
        <v>7.433422950153494E-2</v>
      </c>
      <c r="DA395" s="187">
        <f t="shared" si="1050"/>
        <v>0.90381374874999998</v>
      </c>
      <c r="DB395" s="188">
        <f t="shared" si="1051"/>
        <v>1.8969932656739068</v>
      </c>
      <c r="DC395" s="188">
        <f t="shared" si="1052"/>
        <v>5.0215782983970621E-2</v>
      </c>
      <c r="DD395" s="188">
        <f t="shared" si="1053"/>
        <v>0.655952481704143</v>
      </c>
      <c r="DE395" s="188">
        <f t="shared" si="1054"/>
        <v>6.2485378865697057E-2</v>
      </c>
      <c r="DF395" s="189">
        <f>DF394</f>
        <v>0.25649666999999998</v>
      </c>
      <c r="DG395" s="189">
        <v>0.375</v>
      </c>
      <c r="DH395" s="190">
        <f t="shared" si="1056"/>
        <v>22.339118382430456</v>
      </c>
      <c r="DI395" s="190"/>
      <c r="DJ395" s="177">
        <f t="shared" ref="DJ395" si="1116">LN(DH395/DH394)</f>
        <v>7.142884387530979E-3</v>
      </c>
      <c r="DK395" s="189">
        <f>VLOOKUP($H395,RoR!$E:$F,2,FALSE)</f>
        <v>2.7033333333333336E-2</v>
      </c>
      <c r="DL395" s="191">
        <f>HLOOKUP($H395,'GDP-PI'!$D$8:$CR$11,3,FALSE)</f>
        <v>4.2834637353352578E-2</v>
      </c>
      <c r="DM395" s="189">
        <f>VLOOKUP(H395,'HW Dx Data'!$E:$F,2,FALSE)</f>
        <v>933.02249921662576</v>
      </c>
      <c r="DN395" s="183">
        <f>VLOOKUP(H395,'ECI - Input Price'!$G$17:$H$37,2,FALSE)</f>
        <v>145.47500000000002</v>
      </c>
      <c r="DO395" s="177">
        <f t="shared" ref="DO395" si="1117">LN(DN395/DN394)</f>
        <v>3.5152696992481205E-2</v>
      </c>
      <c r="DP395" s="183">
        <f>HLOOKUP(H395,'GDP-PI'!$8:$9,2,FALSE)</f>
        <v>118.49</v>
      </c>
      <c r="DQ395" s="177">
        <f t="shared" ref="DQ395" si="1118">LN(DP395/DP394)</f>
        <v>4.194261824609434E-2</v>
      </c>
    </row>
    <row r="396" spans="1:122" s="167" customFormat="1" ht="21" x14ac:dyDescent="0.35">
      <c r="A396" s="167" t="s">
        <v>52</v>
      </c>
      <c r="B396" s="168" t="s">
        <v>52</v>
      </c>
      <c r="C396" s="168">
        <v>4057081</v>
      </c>
      <c r="D396" s="168" t="s">
        <v>137</v>
      </c>
      <c r="E396" s="168"/>
      <c r="F396" s="168"/>
      <c r="G396" s="168" t="s">
        <v>4</v>
      </c>
      <c r="H396" s="169">
        <v>1998</v>
      </c>
      <c r="I396" s="170"/>
      <c r="J396" s="166"/>
      <c r="K396" s="166"/>
      <c r="L396" s="166"/>
      <c r="M396" s="166"/>
      <c r="N396" s="196"/>
      <c r="O396" s="166"/>
      <c r="P396" s="172"/>
      <c r="Q396" s="172"/>
      <c r="R396" s="172"/>
      <c r="S396" s="166"/>
      <c r="T396" s="172"/>
      <c r="U396" s="172"/>
      <c r="V396" s="166"/>
      <c r="W396" s="170"/>
      <c r="X396" s="174">
        <v>3505.2546477365595</v>
      </c>
      <c r="Y396" s="175"/>
      <c r="Z396" s="166"/>
      <c r="AA396" s="175"/>
      <c r="AB396" s="175"/>
      <c r="AC396" s="170">
        <f t="shared" si="1086"/>
        <v>0</v>
      </c>
      <c r="AD396" s="170"/>
      <c r="AE396" s="170"/>
      <c r="AF396" s="119"/>
      <c r="AG396" s="174">
        <f>+(AG418+AG417+AG416)/3</f>
        <v>252.82065891618973</v>
      </c>
      <c r="AH396" s="175"/>
      <c r="AI396" s="175"/>
      <c r="AJ396" s="174"/>
      <c r="AK396" s="174"/>
      <c r="AL396" s="120"/>
      <c r="AM396" s="120"/>
      <c r="AN396" s="120"/>
      <c r="AO396" s="120"/>
      <c r="AP396" s="120"/>
      <c r="AQ396" s="175">
        <f>AVERAGE(AQ405:AQ419)</f>
        <v>3.7949434052975714E-3</v>
      </c>
      <c r="AR396" s="120"/>
      <c r="AS396" s="120"/>
      <c r="AT396" s="120"/>
      <c r="AU396" s="120"/>
      <c r="AV396" s="120"/>
      <c r="AW396" s="120"/>
      <c r="AX396" s="120"/>
      <c r="AY396" s="120"/>
      <c r="AZ396" s="118">
        <f>IFERROR(INDEX('Total Customers'!$F$7:$AB$91,MATCH($C396,'Total Customers'!$D$7:$D$91,0),MATCH($G396,'Total Customers'!$F$5:$AB$5,0)),"NA")</f>
        <v>1542448</v>
      </c>
      <c r="BA396" s="119"/>
      <c r="BB396" s="119"/>
      <c r="BC396" s="121"/>
      <c r="BD396" s="119"/>
      <c r="BE396" s="119"/>
      <c r="BF396" s="119"/>
      <c r="BG396" s="173"/>
      <c r="BH396" s="173"/>
      <c r="BI396" s="173"/>
      <c r="BJ396" s="173"/>
      <c r="BK396" s="173"/>
      <c r="BL396" s="173"/>
      <c r="BM396" s="173"/>
      <c r="BN396" s="173"/>
      <c r="BO396" s="173"/>
      <c r="BP396" s="173"/>
      <c r="BQ396" s="118">
        <f>INDEX('Gross Dx Plant'!$E$7:$AD$91,MATCH($C396,'Gross Dx Plant'!$D$7:$D$91,0),MATCH(Calculation!$G396,'Gross Dx Plant'!$E$5:$AD$5,0))</f>
        <v>1570879</v>
      </c>
      <c r="BR396" s="118">
        <f>INDEX('Gross Gen Plant'!$E$7:$AD$91,MATCH($C396,'Gross Gen Plant'!$D$7:$D$91,0),MATCH(Calculation!$G396,'Gross Gen Plant'!$E$5:$AD$5,0))</f>
        <v>51099</v>
      </c>
      <c r="BS396" s="118">
        <f>INDEX('Dist. Plant Gas Additions'!$F$7:$AE$91,MATCH($C396,'Dist. Plant Gas Additions'!$D$7:$D$91,0),MATCH(Calculation!$G396,'Dist. Plant Gas Additions'!$F$5:$AE$5,0))</f>
        <v>82485</v>
      </c>
      <c r="BT396" s="118">
        <f>INDEX('Gen. Plant Additions'!$F$7:$AE$91,MATCH($C396,'Gen. Plant Additions'!$D$7:$D$91,0),MATCH(Calculation!$G396,'Gen. Plant Additions'!$F$5:$AE$5,0))</f>
        <v>3290</v>
      </c>
      <c r="BU396" s="118" t="e">
        <f>INDEX('Dist Plant Depreciation'!$E$7:$AA$94,MATCH($C396,'Dist Plant Depreciation'!$D$7:$D$94,0),MATCH(#REF!,'Dist Plant Depreciation'!$E$5:$AA$5,0))</f>
        <v>#REF!</v>
      </c>
      <c r="BV396" s="118" t="e">
        <f>INDEX('Gen. Plant Depreciation'!$E$7:$AA$94,MATCH($C396,'Gen. Plant Depreciation'!$D$7:$D$94,0),MATCH(#REF!,'Gen. Plant Depreciation'!$E$5:$AA$5,0))</f>
        <v>#REF!</v>
      </c>
      <c r="BW396" s="118">
        <f>INDEX('Dist Plant Depreciation'!$E$7:$AD$94,MATCH($C396,'Dist Plant Depreciation'!$D$7:$D$94,0),MATCH(Calculation!$G396,'Dist Plant Depreciation'!$E$5:$AD$5,0))</f>
        <v>893628</v>
      </c>
      <c r="BX396" s="118">
        <f>INDEX('Gen. Plant Depreciation'!$E$7:$AD$94,MATCH($C396,'Gen. Plant Depreciation'!$D$7:$D$94,0),MATCH(Calculation!$G396,'Gen. Plant Depreciation'!$E$5:$AD$5,0))</f>
        <v>21272</v>
      </c>
      <c r="BY396" s="118"/>
      <c r="BZ396" s="118"/>
      <c r="CA396" s="118"/>
      <c r="CB396" s="118"/>
      <c r="CC396" s="118"/>
      <c r="CD396" s="118"/>
      <c r="CE396" s="118">
        <f>INDEX('Gross Dx Plant'!$E$7:$AD$91,MATCH($C396,'Gross Dx Plant'!$D$7:$D$91,0),MATCH(Calculation!$G396,'Gross Dx Plant'!$E$5:$AD$5,0))</f>
        <v>1570879</v>
      </c>
      <c r="CF396" s="118">
        <f>INDEX('Gross Gen Plant'!$E$7:$AD$91,MATCH($C396,'Gross Gen Plant'!$D$7:$D$91,0),MATCH(Calculation!$G396,'Gross Gen Plant'!$E$5:$AD$5,0))</f>
        <v>51099</v>
      </c>
      <c r="CG396" s="118">
        <f t="shared" si="969"/>
        <v>707078</v>
      </c>
      <c r="CH396" s="118"/>
      <c r="CI396" s="121">
        <v>1998</v>
      </c>
      <c r="CJ396" s="118">
        <f>BQ396+BR396</f>
        <v>1621978</v>
      </c>
      <c r="CK396" s="118">
        <f>893628+21272</f>
        <v>914900</v>
      </c>
      <c r="CL396" s="118">
        <f>+CJ396-CK396</f>
        <v>707078</v>
      </c>
      <c r="CM396" s="118">
        <f>CL396/$CD$36</f>
        <v>3505.2546477365595</v>
      </c>
      <c r="CN396" s="183"/>
      <c r="CO396" s="183"/>
      <c r="CP396" s="186">
        <v>1</v>
      </c>
      <c r="CQ396" s="118">
        <f>+CM396</f>
        <v>3505.2546477365595</v>
      </c>
      <c r="CR396" s="119"/>
      <c r="CS396" s="119"/>
      <c r="CT396" s="177"/>
      <c r="CU396" s="177"/>
      <c r="CV396" s="119" t="e">
        <f>VLOOKUP($H396,RoR!$E:$F,2,FALSE)</f>
        <v>#N/A</v>
      </c>
      <c r="CW396" s="177">
        <v>1.1028127770464469E-2</v>
      </c>
      <c r="CX396" s="177"/>
      <c r="CY396" s="177"/>
      <c r="CZ396" s="177"/>
      <c r="DA396" s="187"/>
      <c r="DB396" s="190" t="e">
        <f>2/(DK396*39)</f>
        <v>#N/A</v>
      </c>
      <c r="DC396" s="188" t="e">
        <f>+(DK396*40-(1+DK396))/(DK396*40)</f>
        <v>#N/A</v>
      </c>
      <c r="DD396" s="188" t="e">
        <f>+(1-(1/(1+DK396)^40))</f>
        <v>#N/A</v>
      </c>
      <c r="DE396" s="188" t="e">
        <f>+DD396*DC396*DB396</f>
        <v>#N/A</v>
      </c>
      <c r="DF396" s="189">
        <f>INDEX('State Tax Lookup'!$D$7:$Z$91,MATCH(Calculation!$C396,'State Tax Lookup'!$B$7:$B$91,0),MATCH($H396,'State Tax Lookup'!$D$6:$Z$6,0))</f>
        <v>0.35</v>
      </c>
      <c r="DG396" s="189">
        <v>0.375</v>
      </c>
      <c r="DH396" s="183"/>
      <c r="DI396" s="183"/>
      <c r="DJ396" s="177"/>
      <c r="DK396" s="189" t="e">
        <f>VLOOKUP($H396,RoR!$E:$F,2,FALSE)</f>
        <v>#N/A</v>
      </c>
      <c r="DL396" s="191">
        <f>HLOOKUP($H396,'GDP-PI'!$D$8:$CQ$11,3,FALSE)</f>
        <v>1.1028127770464469E-2</v>
      </c>
      <c r="DM396" s="189">
        <f>VLOOKUP(H396,'HW Dx Data'!$E:$F,2,FALSE)</f>
        <v>329.24564746449528</v>
      </c>
      <c r="DN396" s="183" t="e">
        <f>VLOOKUP(H396,'ECI - Input Price'!$G$17:$H$37,2,FALSE)</f>
        <v>#N/A</v>
      </c>
      <c r="DO396" s="177"/>
      <c r="DP396" s="183">
        <f>HLOOKUP(H396,'GDP-PI'!$8:$9,2,FALSE)</f>
        <v>75.266999999999996</v>
      </c>
      <c r="DR396" s="167">
        <v>2.5640776638641321E-2</v>
      </c>
    </row>
    <row r="397" spans="1:122" s="167" customFormat="1" ht="21" x14ac:dyDescent="0.35">
      <c r="A397" s="167" t="s">
        <v>52</v>
      </c>
      <c r="B397" s="168" t="s">
        <v>52</v>
      </c>
      <c r="C397" s="168">
        <v>4057081</v>
      </c>
      <c r="D397" s="168" t="s">
        <v>137</v>
      </c>
      <c r="E397" s="168"/>
      <c r="F397" s="168"/>
      <c r="G397" s="168" t="s">
        <v>5</v>
      </c>
      <c r="H397" s="169">
        <v>1999</v>
      </c>
      <c r="I397" s="170"/>
      <c r="J397" s="166"/>
      <c r="K397" s="170"/>
      <c r="L397" s="170"/>
      <c r="M397" s="166"/>
      <c r="N397" s="173"/>
      <c r="O397" s="170"/>
      <c r="P397" s="177"/>
      <c r="Q397" s="177"/>
      <c r="R397" s="177"/>
      <c r="S397" s="195"/>
      <c r="T397" s="177"/>
      <c r="U397" s="177"/>
      <c r="V397" s="166">
        <f t="shared" ref="V397:V419" si="1119">+CQ396*DH397</f>
        <v>0</v>
      </c>
      <c r="W397" s="170"/>
      <c r="X397" s="174">
        <v>3742.1777622990085</v>
      </c>
      <c r="Y397" s="175">
        <v>6.5404560792467717E-2</v>
      </c>
      <c r="Z397" s="175"/>
      <c r="AA397" s="175"/>
      <c r="AB397" s="175"/>
      <c r="AC397" s="170">
        <f t="shared" si="1086"/>
        <v>0</v>
      </c>
      <c r="AD397" s="175"/>
      <c r="AE397" s="170"/>
      <c r="AF397" s="119"/>
      <c r="AG397" s="174"/>
      <c r="AH397" s="175"/>
      <c r="AI397" s="175"/>
      <c r="AJ397" s="174"/>
      <c r="AK397" s="174"/>
      <c r="AL397" s="120"/>
      <c r="AM397" s="120"/>
      <c r="AN397" s="120"/>
      <c r="AO397" s="120"/>
      <c r="AP397" s="120"/>
      <c r="AQ397" s="175"/>
      <c r="AR397" s="120"/>
      <c r="AS397" s="120"/>
      <c r="AT397" s="120"/>
      <c r="AU397" s="120"/>
      <c r="AV397" s="120"/>
      <c r="AW397" s="120"/>
      <c r="AX397" s="120"/>
      <c r="AY397" s="120"/>
      <c r="AZ397" s="118">
        <f>IFERROR(INDEX('Total Customers'!$F$7:$AB$91,MATCH($C397,'Total Customers'!$D$7:$D$91,0),MATCH($G397,'Total Customers'!$F$5:$AB$5,0)),"NA")</f>
        <v>1567712</v>
      </c>
      <c r="BA397" s="119">
        <f t="shared" ref="BA397:BA419" si="1120">LN(AZ397/AZ396)</f>
        <v>1.6246466866924093E-2</v>
      </c>
      <c r="BB397" s="119"/>
      <c r="BC397" s="121"/>
      <c r="BD397" s="119"/>
      <c r="BE397" s="119"/>
      <c r="BF397" s="119"/>
      <c r="BG397" s="173"/>
      <c r="BH397" s="173"/>
      <c r="BI397" s="173"/>
      <c r="BJ397" s="173"/>
      <c r="BK397" s="173"/>
      <c r="BL397" s="173"/>
      <c r="BM397" s="173"/>
      <c r="BN397" s="173"/>
      <c r="BO397" s="173"/>
      <c r="BP397" s="173"/>
      <c r="BQ397" s="118"/>
      <c r="BR397" s="118"/>
      <c r="BS397" s="118">
        <f>INDEX('Dist. Plant Gas Additions'!$F$7:$AE$91,MATCH($C397,'Dist. Plant Gas Additions'!$D$7:$D$91,0),MATCH(Calculation!$G397,'Dist. Plant Gas Additions'!$F$5:$AE$5,0))</f>
        <v>83445</v>
      </c>
      <c r="BT397" s="118">
        <f>INDEX('Gen. Plant Additions'!$F$7:$AE$91,MATCH($C397,'Gen. Plant Additions'!$D$7:$D$91,0),MATCH(Calculation!$G397,'Gen. Plant Additions'!$F$5:$AE$5,0))</f>
        <v>1849</v>
      </c>
      <c r="BU397" s="118"/>
      <c r="BV397" s="118"/>
      <c r="BW397" s="118">
        <f>INDEX('Dist Plant Depreciation'!$E$7:$AD$94,MATCH($C397,'Dist Plant Depreciation'!$D$7:$D$94,0),MATCH(Calculation!$G397,'Dist Plant Depreciation'!$E$5:$AD$5,0))</f>
        <v>962316</v>
      </c>
      <c r="BX397" s="118">
        <f>INDEX('Gen. Plant Depreciation'!$E$7:$AD$94,MATCH($C397,'Gen. Plant Depreciation'!$D$7:$D$94,0),MATCH(Calculation!$G397,'Gen. Plant Depreciation'!$E$5:$AD$5,0))</f>
        <v>23036</v>
      </c>
      <c r="BY397" s="118"/>
      <c r="BZ397" s="118"/>
      <c r="CA397" s="118"/>
      <c r="CB397" s="118"/>
      <c r="CC397" s="118"/>
      <c r="CD397" s="118"/>
      <c r="CE397" s="118">
        <f>INDEX('Gross Dx Plant'!$E$7:$AD$91,MATCH($C397,'Gross Dx Plant'!$D$7:$D$91,0),MATCH(Calculation!$G397,'Gross Dx Plant'!$E$5:$AD$5,0))</f>
        <v>1650457</v>
      </c>
      <c r="CF397" s="118">
        <f>INDEX('Gross Gen Plant'!$E$7:$AD$91,MATCH($C397,'Gross Gen Plant'!$D$7:$D$91,0),MATCH(Calculation!$G397,'Gross Gen Plant'!$E$5:$AD$5,0))</f>
        <v>52280</v>
      </c>
      <c r="CG397" s="118">
        <f t="shared" si="969"/>
        <v>717385</v>
      </c>
      <c r="CH397" s="118"/>
      <c r="CI397" s="121">
        <v>1999</v>
      </c>
      <c r="CJ397" s="118"/>
      <c r="CK397" s="118"/>
      <c r="CL397" s="118"/>
      <c r="CM397" s="183"/>
      <c r="CN397" s="118">
        <f t="shared" ref="CN397:CN419" si="1121">+BT397+BS397</f>
        <v>85294</v>
      </c>
      <c r="CO397" s="118">
        <f t="shared" ref="CO397:CO419" si="1122">+CN397/$DM397</f>
        <v>254.36219241188465</v>
      </c>
      <c r="CP397" s="186">
        <v>0.99502487562189057</v>
      </c>
      <c r="CQ397" s="118">
        <f>+CQ396*CP397+CO397</f>
        <v>3742.1777622990085</v>
      </c>
      <c r="CR397" s="119">
        <f t="shared" ref="CR397:CR418" si="1123">LN(CQ397/CQ396)</f>
        <v>6.5404560792467717E-2</v>
      </c>
      <c r="CS397" s="119"/>
      <c r="CT397" s="177">
        <f t="shared" ref="CT397:CT419" si="1124">+(CQ396-CQ397+CO397)/CQ396</f>
        <v>4.9751243781094691E-3</v>
      </c>
      <c r="CU397" s="177"/>
      <c r="CV397" s="119">
        <f>VLOOKUP($H397,RoR!$E:$F,2,FALSE)</f>
        <v>7.0416666666666669E-2</v>
      </c>
      <c r="CW397" s="177">
        <v>1.4335631817396832E-2</v>
      </c>
      <c r="CX397" s="177">
        <f>+CV397-CW397</f>
        <v>5.6081034849269837E-2</v>
      </c>
      <c r="CY397" s="177"/>
      <c r="CZ397" s="177"/>
      <c r="DA397" s="187">
        <f t="shared" ref="DA397:DA419" si="1125">1-DF397*DG397</f>
        <v>0.86875000000000002</v>
      </c>
      <c r="DB397" s="188">
        <f t="shared" ref="DB397:DB419" si="1126">2/(DK397*39)</f>
        <v>0.72826581702321336</v>
      </c>
      <c r="DC397" s="188">
        <f t="shared" ref="DC397:DC419" si="1127">+(DK397*40-(1+DK397))/(DK397*40)</f>
        <v>0.61997041420118348</v>
      </c>
      <c r="DD397" s="188">
        <f t="shared" ref="DD397:DD419" si="1128">+(1-(1/(1+DK397)^40))</f>
        <v>0.93425155319585029</v>
      </c>
      <c r="DE397" s="188">
        <f t="shared" ref="DE397:DE419" si="1129">+DD397*DC397*DB397</f>
        <v>0.42181762214141483</v>
      </c>
      <c r="DF397" s="189">
        <f>INDEX('State Tax Lookup'!$D$7:$Z$91,MATCH(Calculation!$C397,'State Tax Lookup'!$B$7:$B$91,0),MATCH($H397,'State Tax Lookup'!$D$6:$Z$6,0))</f>
        <v>0.35</v>
      </c>
      <c r="DG397" s="189">
        <v>0.375</v>
      </c>
      <c r="DH397" s="190"/>
      <c r="DI397" s="190"/>
      <c r="DJ397" s="177"/>
      <c r="DK397" s="189">
        <f>VLOOKUP($H397,RoR!$E:$F,2,FALSE)</f>
        <v>7.0416666666666669E-2</v>
      </c>
      <c r="DL397" s="191">
        <f>HLOOKUP($H397,'GDP-PI'!$D$8:$CQ$11,3,FALSE)</f>
        <v>1.4335631817396832E-2</v>
      </c>
      <c r="DM397" s="189">
        <f>VLOOKUP(H397,'HW Dx Data'!$E:$F,2,FALSE)</f>
        <v>335.32499146683239</v>
      </c>
      <c r="DN397" s="183" t="e">
        <f>VLOOKUP(H397,'ECI - Input Price'!$G$17:$H$37,2,FALSE)</f>
        <v>#N/A</v>
      </c>
      <c r="DO397" s="177"/>
      <c r="DP397" s="183">
        <f>HLOOKUP(H397,'GDP-PI'!$8:$9,2,FALSE)</f>
        <v>76.346000000000004</v>
      </c>
      <c r="DR397" s="167">
        <v>9.3649579827502199E-3</v>
      </c>
    </row>
    <row r="398" spans="1:122" s="167" customFormat="1" ht="21" x14ac:dyDescent="0.35">
      <c r="A398" s="167" t="s">
        <v>52</v>
      </c>
      <c r="B398" s="168" t="s">
        <v>52</v>
      </c>
      <c r="C398" s="168">
        <v>4057081</v>
      </c>
      <c r="D398" s="168" t="s">
        <v>137</v>
      </c>
      <c r="E398" s="168"/>
      <c r="F398" s="168"/>
      <c r="G398" s="168" t="s">
        <v>6</v>
      </c>
      <c r="H398" s="169">
        <v>2000</v>
      </c>
      <c r="I398" s="170"/>
      <c r="J398" s="166"/>
      <c r="K398" s="166"/>
      <c r="L398" s="166"/>
      <c r="M398" s="166"/>
      <c r="N398" s="196"/>
      <c r="O398" s="166"/>
      <c r="P398" s="166"/>
      <c r="Q398" s="166"/>
      <c r="R398" s="166"/>
      <c r="S398" s="166"/>
      <c r="T398" s="166"/>
      <c r="U398" s="166"/>
      <c r="V398" s="166">
        <f t="shared" si="1119"/>
        <v>0</v>
      </c>
      <c r="W398" s="170"/>
      <c r="X398" s="174">
        <v>3992.1854995223921</v>
      </c>
      <c r="Y398" s="175">
        <v>6.4671093839332408E-2</v>
      </c>
      <c r="Z398" s="175"/>
      <c r="AA398" s="175"/>
      <c r="AB398" s="175"/>
      <c r="AC398" s="170">
        <f t="shared" si="1086"/>
        <v>0</v>
      </c>
      <c r="AD398" s="175"/>
      <c r="AE398" s="170"/>
      <c r="AF398" s="170"/>
      <c r="AG398" s="174"/>
      <c r="AH398" s="175"/>
      <c r="AI398" s="175"/>
      <c r="AJ398" s="174"/>
      <c r="AK398" s="174"/>
      <c r="AL398" s="120"/>
      <c r="AM398" s="120"/>
      <c r="AN398" s="120"/>
      <c r="AO398" s="120"/>
      <c r="AP398" s="120"/>
      <c r="AQ398" s="175"/>
      <c r="AR398" s="120"/>
      <c r="AS398" s="120"/>
      <c r="AT398" s="120"/>
      <c r="AU398" s="120"/>
      <c r="AV398" s="120"/>
      <c r="AW398" s="120"/>
      <c r="AX398" s="120"/>
      <c r="AY398" s="120"/>
      <c r="AZ398" s="118">
        <f>IFERROR(INDEX('Total Customers'!$F$7:$AB$91,MATCH($C398,'Total Customers'!$D$7:$D$91,0),MATCH($G398,'Total Customers'!$F$5:$AB$5,0)),"NA")</f>
        <v>1594484</v>
      </c>
      <c r="BA398" s="119">
        <f t="shared" si="1120"/>
        <v>1.6932941335266745E-2</v>
      </c>
      <c r="BB398" s="119"/>
      <c r="BC398" s="121"/>
      <c r="BD398" s="119"/>
      <c r="BE398" s="119"/>
      <c r="BF398" s="119"/>
      <c r="BG398" s="173"/>
      <c r="BH398" s="173"/>
      <c r="BI398" s="173"/>
      <c r="BJ398" s="173"/>
      <c r="BK398" s="173"/>
      <c r="BL398" s="173"/>
      <c r="BM398" s="173"/>
      <c r="BN398" s="173"/>
      <c r="BO398" s="173"/>
      <c r="BP398" s="173"/>
      <c r="BQ398" s="118"/>
      <c r="BR398" s="118"/>
      <c r="BS398" s="118">
        <f>INDEX('Dist. Plant Gas Additions'!$F$7:$AE$91,MATCH($C398,'Dist. Plant Gas Additions'!$D$7:$D$91,0),MATCH(Calculation!$G398,'Dist. Plant Gas Additions'!$F$5:$AE$5,0))</f>
        <v>88307</v>
      </c>
      <c r="BT398" s="118">
        <f>INDEX('Gen. Plant Additions'!$F$7:$AE$91,MATCH($C398,'Gen. Plant Additions'!$D$7:$D$91,0),MATCH(Calculation!$G398,'Gen. Plant Additions'!$F$5:$AE$5,0))</f>
        <v>4994</v>
      </c>
      <c r="BU398" s="118"/>
      <c r="BV398" s="118"/>
      <c r="BW398" s="118">
        <f>INDEX('Dist Plant Depreciation'!$E$7:$AD$94,MATCH($C398,'Dist Plant Depreciation'!$D$7:$D$94,0),MATCH(Calculation!$G398,'Dist Plant Depreciation'!$E$5:$AD$5,0))</f>
        <v>1023095</v>
      </c>
      <c r="BX398" s="118">
        <f>INDEX('Gen. Plant Depreciation'!$E$7:$AD$94,MATCH($C398,'Gen. Plant Depreciation'!$D$7:$D$94,0),MATCH(Calculation!$G398,'Gen. Plant Depreciation'!$E$5:$AD$5,0))</f>
        <v>22487</v>
      </c>
      <c r="BY398" s="118"/>
      <c r="BZ398" s="118"/>
      <c r="CA398" s="118"/>
      <c r="CB398" s="118"/>
      <c r="CC398" s="118"/>
      <c r="CD398" s="118"/>
      <c r="CE398" s="118">
        <f>INDEX('Gross Dx Plant'!$E$7:$AD$91,MATCH($C398,'Gross Dx Plant'!$D$7:$D$91,0),MATCH(Calculation!$G398,'Gross Dx Plant'!$E$5:$AD$5,0))</f>
        <v>1722362</v>
      </c>
      <c r="CF398" s="118">
        <f>INDEX('Gross Gen Plant'!$E$7:$AD$91,MATCH($C398,'Gross Gen Plant'!$D$7:$D$91,0),MATCH(Calculation!$G398,'Gross Gen Plant'!$E$5:$AD$5,0))</f>
        <v>64797</v>
      </c>
      <c r="CG398" s="118">
        <f t="shared" si="969"/>
        <v>741577</v>
      </c>
      <c r="CH398" s="118"/>
      <c r="CI398" s="121">
        <v>2000</v>
      </c>
      <c r="CJ398" s="118"/>
      <c r="CK398" s="118"/>
      <c r="CL398" s="118"/>
      <c r="CM398" s="183"/>
      <c r="CN398" s="118">
        <f t="shared" si="1121"/>
        <v>93301</v>
      </c>
      <c r="CO398" s="118">
        <f t="shared" si="1122"/>
        <v>269.24075552168506</v>
      </c>
      <c r="CP398" s="186">
        <v>0.98989898989898994</v>
      </c>
      <c r="CQ398" s="118">
        <f>+CQ396*CP398+CO397*CP397+CO398</f>
        <v>3992.1854995223921</v>
      </c>
      <c r="CR398" s="119">
        <f t="shared" si="1123"/>
        <v>6.4671093839332408E-2</v>
      </c>
      <c r="CS398" s="119"/>
      <c r="CT398" s="177">
        <f t="shared" si="1124"/>
        <v>5.1395255703955709E-3</v>
      </c>
      <c r="CU398" s="177"/>
      <c r="CV398" s="119">
        <f>VLOOKUP($H398,RoR!$E:$F,2,FALSE)</f>
        <v>7.6225000000000001E-2</v>
      </c>
      <c r="CW398" s="177">
        <v>2.2568307442433211E-2</v>
      </c>
      <c r="CX398" s="177">
        <f t="shared" ref="CX398:CX418" si="1130">+CV398-CW398</f>
        <v>5.365669255756679E-2</v>
      </c>
      <c r="CY398" s="177"/>
      <c r="CZ398" s="177"/>
      <c r="DA398" s="187">
        <f t="shared" si="1125"/>
        <v>0.86875000000000002</v>
      </c>
      <c r="DB398" s="188">
        <f t="shared" si="1126"/>
        <v>0.67277207323124022</v>
      </c>
      <c r="DC398" s="188">
        <f t="shared" si="1127"/>
        <v>0.6470236142997704</v>
      </c>
      <c r="DD398" s="188">
        <f t="shared" si="1128"/>
        <v>0.94704866037543145</v>
      </c>
      <c r="DE398" s="188">
        <f t="shared" si="1129"/>
        <v>0.41224973107878493</v>
      </c>
      <c r="DF398" s="189">
        <f>INDEX('State Tax Lookup'!$D$7:$Z$91,MATCH(Calculation!$C398,'State Tax Lookup'!$B$7:$B$91,0),MATCH($H398,'State Tax Lookup'!$D$6:$Z$6,0))</f>
        <v>0.35</v>
      </c>
      <c r="DG398" s="189">
        <v>0.375</v>
      </c>
      <c r="DH398" s="190"/>
      <c r="DI398" s="190"/>
      <c r="DJ398" s="177"/>
      <c r="DK398" s="189">
        <f>VLOOKUP($H398,RoR!$E:$F,2,FALSE)</f>
        <v>7.6225000000000001E-2</v>
      </c>
      <c r="DL398" s="191">
        <f>HLOOKUP($H398,'GDP-PI'!$D$8:$CQ$11,3,FALSE)</f>
        <v>2.2568307442433211E-2</v>
      </c>
      <c r="DM398" s="189">
        <f>VLOOKUP(H398,'HW Dx Data'!$E:$F,2,FALSE)</f>
        <v>346.53371782150339</v>
      </c>
      <c r="DN398" s="183" t="e">
        <f>VLOOKUP(H398,'ECI - Input Price'!$G$17:$H$37,2,FALSE)</f>
        <v>#N/A</v>
      </c>
      <c r="DO398" s="177"/>
      <c r="DP398" s="183">
        <f>HLOOKUP(H398,'GDP-PI'!$8:$9,2,FALSE)</f>
        <v>78.069000000000003</v>
      </c>
      <c r="DR398" s="167">
        <v>2.2656063207879284E-2</v>
      </c>
    </row>
    <row r="399" spans="1:122" s="167" customFormat="1" ht="21" x14ac:dyDescent="0.35">
      <c r="A399" s="167" t="s">
        <v>52</v>
      </c>
      <c r="B399" s="168" t="s">
        <v>52</v>
      </c>
      <c r="C399" s="168">
        <v>4057081</v>
      </c>
      <c r="D399" s="168" t="s">
        <v>137</v>
      </c>
      <c r="E399" s="168"/>
      <c r="F399" s="168"/>
      <c r="G399" s="168" t="s">
        <v>7</v>
      </c>
      <c r="H399" s="169">
        <v>2001</v>
      </c>
      <c r="I399" s="170"/>
      <c r="J399" s="166"/>
      <c r="K399" s="166"/>
      <c r="L399" s="166"/>
      <c r="M399" s="166"/>
      <c r="N399" s="196"/>
      <c r="O399" s="166"/>
      <c r="P399" s="166"/>
      <c r="Q399" s="166"/>
      <c r="R399" s="166"/>
      <c r="S399" s="166"/>
      <c r="T399" s="166"/>
      <c r="U399" s="166"/>
      <c r="V399" s="166">
        <f t="shared" si="1119"/>
        <v>48669.957758772696</v>
      </c>
      <c r="W399" s="170"/>
      <c r="X399" s="174">
        <v>4247.9808137413247</v>
      </c>
      <c r="Y399" s="175">
        <v>6.2104942204349499E-2</v>
      </c>
      <c r="Z399" s="175"/>
      <c r="AA399" s="175"/>
      <c r="AB399" s="175"/>
      <c r="AC399" s="170">
        <f t="shared" si="1086"/>
        <v>48669.957758772696</v>
      </c>
      <c r="AD399" s="175"/>
      <c r="AE399" s="170"/>
      <c r="AF399" s="170"/>
      <c r="AG399" s="174"/>
      <c r="AH399" s="175"/>
      <c r="AI399" s="175"/>
      <c r="AJ399" s="174"/>
      <c r="AK399" s="174"/>
      <c r="AL399" s="120"/>
      <c r="AM399" s="120"/>
      <c r="AN399" s="120"/>
      <c r="AO399" s="120"/>
      <c r="AP399" s="120"/>
      <c r="AQ399" s="175"/>
      <c r="AR399" s="120"/>
      <c r="AS399" s="120"/>
      <c r="AT399" s="120"/>
      <c r="AU399" s="120"/>
      <c r="AV399" s="120"/>
      <c r="AW399" s="120"/>
      <c r="AX399" s="120"/>
      <c r="AY399" s="120"/>
      <c r="AZ399" s="118">
        <f>IFERROR(INDEX('Total Customers'!$F$7:$AB$91,MATCH($C399,'Total Customers'!$D$7:$D$91,0),MATCH($G399,'Total Customers'!$F$5:$AB$5,0)),"NA")</f>
        <v>1617294</v>
      </c>
      <c r="BA399" s="119">
        <f t="shared" si="1120"/>
        <v>1.4204209325807803E-2</v>
      </c>
      <c r="BB399" s="119"/>
      <c r="BC399" s="121"/>
      <c r="BD399" s="119"/>
      <c r="BE399" s="119"/>
      <c r="BF399" s="119"/>
      <c r="BG399" s="173"/>
      <c r="BH399" s="173"/>
      <c r="BI399" s="173"/>
      <c r="BJ399" s="173"/>
      <c r="BK399" s="173"/>
      <c r="BL399" s="173"/>
      <c r="BM399" s="173"/>
      <c r="BN399" s="173"/>
      <c r="BO399" s="173"/>
      <c r="BP399" s="173"/>
      <c r="BQ399" s="118"/>
      <c r="BR399" s="118"/>
      <c r="BS399" s="118">
        <f>INDEX('Dist. Plant Gas Additions'!$F$7:$AE$91,MATCH($C399,'Dist. Plant Gas Additions'!$D$7:$D$91,0),MATCH(Calculation!$G399,'Dist. Plant Gas Additions'!$F$5:$AE$5,0))</f>
        <v>90232</v>
      </c>
      <c r="BT399" s="118">
        <f>INDEX('Gen. Plant Additions'!$F$7:$AE$91,MATCH($C399,'Gen. Plant Additions'!$D$7:$D$91,0),MATCH(Calculation!$G399,'Gen. Plant Additions'!$F$5:$AE$5,0))</f>
        <v>7185</v>
      </c>
      <c r="BU399" s="118"/>
      <c r="BV399" s="118"/>
      <c r="BW399" s="118">
        <f>INDEX('Dist Plant Depreciation'!$E$7:$AD$94,MATCH($C399,'Dist Plant Depreciation'!$D$7:$D$94,0),MATCH(Calculation!$G399,'Dist Plant Depreciation'!$E$5:$AD$5,0))</f>
        <v>1098892</v>
      </c>
      <c r="BX399" s="118">
        <f>INDEX('Gen. Plant Depreciation'!$E$7:$AD$94,MATCH($C399,'Gen. Plant Depreciation'!$D$7:$D$94,0),MATCH(Calculation!$G399,'Gen. Plant Depreciation'!$E$5:$AD$5,0))</f>
        <v>17836</v>
      </c>
      <c r="BY399" s="118"/>
      <c r="BZ399" s="118"/>
      <c r="CA399" s="118"/>
      <c r="CB399" s="118"/>
      <c r="CC399" s="118"/>
      <c r="CD399" s="118"/>
      <c r="CE399" s="118">
        <f>INDEX('Gross Dx Plant'!$E$7:$AD$91,MATCH($C399,'Gross Dx Plant'!$D$7:$D$91,0),MATCH(Calculation!$G399,'Gross Dx Plant'!$E$5:$AD$5,0))</f>
        <v>1806833</v>
      </c>
      <c r="CF399" s="118">
        <f>INDEX('Gross Gen Plant'!$E$7:$AD$91,MATCH($C399,'Gross Gen Plant'!$D$7:$D$91,0),MATCH(Calculation!$G399,'Gross Gen Plant'!$E$5:$AD$5,0))</f>
        <v>60786</v>
      </c>
      <c r="CG399" s="118">
        <f t="shared" si="969"/>
        <v>750891</v>
      </c>
      <c r="CH399" s="118"/>
      <c r="CI399" s="121">
        <v>2001</v>
      </c>
      <c r="CJ399" s="118"/>
      <c r="CK399" s="118"/>
      <c r="CL399" s="118"/>
      <c r="CM399" s="183"/>
      <c r="CN399" s="118">
        <f t="shared" si="1121"/>
        <v>97417</v>
      </c>
      <c r="CO399" s="118">
        <f t="shared" si="1122"/>
        <v>275.61952772662528</v>
      </c>
      <c r="CP399" s="186">
        <v>0.98461538461538467</v>
      </c>
      <c r="CQ399" s="118">
        <f>+CQ396*CP399+CO397*CP398+CO398*CP396+CO399</f>
        <v>4247.9808137413247</v>
      </c>
      <c r="CR399" s="119">
        <f t="shared" si="1123"/>
        <v>6.2104942204349499E-2</v>
      </c>
      <c r="CS399" s="119"/>
      <c r="CT399" s="177">
        <f t="shared" si="1124"/>
        <v>4.9657545998462111E-3</v>
      </c>
      <c r="CU399" s="177">
        <f>+(CT399+CT398+CT397)/3</f>
        <v>5.026801516117084E-3</v>
      </c>
      <c r="CV399" s="119">
        <f>VLOOKUP($H399,RoR!$E:$F,2,FALSE)</f>
        <v>7.0824999999999999E-2</v>
      </c>
      <c r="CW399" s="177">
        <v>2.2454495382290052E-2</v>
      </c>
      <c r="CX399" s="177">
        <f t="shared" si="1130"/>
        <v>4.8370504617709947E-2</v>
      </c>
      <c r="CY399" s="177">
        <f>+$CX$35-CU399</f>
        <v>2.5875140092416541E-2</v>
      </c>
      <c r="CZ399" s="177">
        <f>+((DM397/DM396-1)+(DM398/DM397-1)+(DM399/DM398-1))/3</f>
        <v>2.3947275901631187E-2</v>
      </c>
      <c r="DA399" s="187">
        <f t="shared" si="1125"/>
        <v>0.86875000000000002</v>
      </c>
      <c r="DB399" s="188">
        <f t="shared" si="1126"/>
        <v>0.72406708481540816</v>
      </c>
      <c r="DC399" s="188">
        <f t="shared" si="1127"/>
        <v>0.62201729615248857</v>
      </c>
      <c r="DD399" s="188">
        <f t="shared" si="1128"/>
        <v>0.9352469954311422</v>
      </c>
      <c r="DE399" s="188">
        <f t="shared" si="1129"/>
        <v>0.42121864641655071</v>
      </c>
      <c r="DF399" s="189">
        <f>INDEX('State Tax Lookup'!$D$7:$Z$91,MATCH(Calculation!$C399,'State Tax Lookup'!$B$7:$B$91,0),MATCH($H399,'State Tax Lookup'!$D$6:$Z$6,0))</f>
        <v>0.35</v>
      </c>
      <c r="DG399" s="189">
        <v>0.375</v>
      </c>
      <c r="DH399" s="190">
        <f t="shared" ref="DH399:DH419" si="1131">+(DM399*CY399-CZ399)*DA399/(1-DF399)</f>
        <v>12.191306682666765</v>
      </c>
      <c r="DI399" s="190"/>
      <c r="DJ399" s="177"/>
      <c r="DK399" s="189">
        <f>VLOOKUP($H399,RoR!$E:$F,2,FALSE)</f>
        <v>7.0824999999999999E-2</v>
      </c>
      <c r="DL399" s="191">
        <f>HLOOKUP($H399,'GDP-PI'!$D$8:$CQ$11,3,FALSE)</f>
        <v>2.2454495382290052E-2</v>
      </c>
      <c r="DM399" s="189">
        <f>VLOOKUP(H399,'HW Dx Data'!$E:$F,2,FALSE)</f>
        <v>353.44738017483138</v>
      </c>
      <c r="DN399" s="183">
        <f>VLOOKUP(H399,'ECI - Input Price'!$G$17:$H$37,2,FALSE)</f>
        <v>86.2</v>
      </c>
      <c r="DO399" s="177"/>
      <c r="DP399" s="183">
        <f>HLOOKUP(H399,'GDP-PI'!$8:$9,2,FALSE)</f>
        <v>79.822000000000003</v>
      </c>
      <c r="DR399" s="167">
        <v>3.4390332219296701E-3</v>
      </c>
    </row>
    <row r="400" spans="1:122" s="167" customFormat="1" ht="21" x14ac:dyDescent="0.35">
      <c r="A400" s="167" t="s">
        <v>52</v>
      </c>
      <c r="B400" s="168" t="s">
        <v>52</v>
      </c>
      <c r="C400" s="168">
        <v>4057081</v>
      </c>
      <c r="D400" s="168" t="s">
        <v>137</v>
      </c>
      <c r="E400" s="168"/>
      <c r="F400" s="168"/>
      <c r="G400" s="168" t="s">
        <v>8</v>
      </c>
      <c r="H400" s="169">
        <v>2002</v>
      </c>
      <c r="I400" s="170"/>
      <c r="J400" s="166"/>
      <c r="K400" s="166"/>
      <c r="L400" s="166"/>
      <c r="M400" s="166"/>
      <c r="N400" s="196"/>
      <c r="O400" s="166"/>
      <c r="P400" s="166"/>
      <c r="Q400" s="166"/>
      <c r="R400" s="166"/>
      <c r="S400" s="166"/>
      <c r="T400" s="166"/>
      <c r="U400" s="166"/>
      <c r="V400" s="166">
        <f t="shared" si="1119"/>
        <v>52394.466366921835</v>
      </c>
      <c r="W400" s="170"/>
      <c r="X400" s="174">
        <v>4537.2633292977207</v>
      </c>
      <c r="Y400" s="175">
        <v>6.588027200798971E-2</v>
      </c>
      <c r="Z400" s="175"/>
      <c r="AA400" s="175"/>
      <c r="AB400" s="175"/>
      <c r="AC400" s="170">
        <f t="shared" si="1086"/>
        <v>52394.466366921835</v>
      </c>
      <c r="AD400" s="175"/>
      <c r="AE400" s="170"/>
      <c r="AF400" s="170"/>
      <c r="AG400" s="174"/>
      <c r="AH400" s="175"/>
      <c r="AI400" s="175"/>
      <c r="AJ400" s="174"/>
      <c r="AK400" s="174"/>
      <c r="AL400" s="120"/>
      <c r="AM400" s="120"/>
      <c r="AN400" s="120"/>
      <c r="AO400" s="120"/>
      <c r="AP400" s="120"/>
      <c r="AQ400" s="175"/>
      <c r="AR400" s="120"/>
      <c r="AS400" s="120"/>
      <c r="AT400" s="120"/>
      <c r="AU400" s="120"/>
      <c r="AV400" s="120"/>
      <c r="AW400" s="120"/>
      <c r="AX400" s="120"/>
      <c r="AY400" s="120"/>
      <c r="AZ400" s="118">
        <f>IFERROR(INDEX('Total Customers'!$F$7:$AB$91,MATCH($C400,'Total Customers'!$D$7:$D$91,0),MATCH($G400,'Total Customers'!$F$5:$AB$5,0)),"NA")</f>
        <v>1652309</v>
      </c>
      <c r="BA400" s="119">
        <f t="shared" si="1120"/>
        <v>2.1419321362840454E-2</v>
      </c>
      <c r="BB400" s="119"/>
      <c r="BC400" s="121"/>
      <c r="BD400" s="119"/>
      <c r="BE400" s="119"/>
      <c r="BF400" s="119"/>
      <c r="BG400" s="173"/>
      <c r="BH400" s="173"/>
      <c r="BI400" s="173"/>
      <c r="BJ400" s="173"/>
      <c r="BK400" s="173"/>
      <c r="BL400" s="173"/>
      <c r="BM400" s="173"/>
      <c r="BN400" s="173"/>
      <c r="BO400" s="173"/>
      <c r="BP400" s="173"/>
      <c r="BQ400" s="118"/>
      <c r="BR400" s="118"/>
      <c r="BS400" s="118">
        <f>INDEX('Dist. Plant Gas Additions'!$F$7:$AE$91,MATCH($C400,'Dist. Plant Gas Additions'!$D$7:$D$91,0),MATCH(Calculation!$G400,'Dist. Plant Gas Additions'!$F$5:$AE$5,0))</f>
        <v>97186</v>
      </c>
      <c r="BT400" s="118">
        <f>INDEX('Gen. Plant Additions'!$F$7:$AE$91,MATCH($C400,'Gen. Plant Additions'!$D$7:$D$91,0),MATCH(Calculation!$G400,'Gen. Plant Additions'!$F$5:$AE$5,0))</f>
        <v>16211</v>
      </c>
      <c r="BU400" s="118"/>
      <c r="BV400" s="118"/>
      <c r="BW400" s="118">
        <f>INDEX('Dist Plant Depreciation'!$E$7:$AD$94,MATCH($C400,'Dist Plant Depreciation'!$D$7:$D$94,0),MATCH(Calculation!$G400,'Dist Plant Depreciation'!$E$5:$AD$5,0))</f>
        <v>1180196</v>
      </c>
      <c r="BX400" s="118">
        <f>INDEX('Gen. Plant Depreciation'!$E$7:$AD$94,MATCH($C400,'Gen. Plant Depreciation'!$D$7:$D$94,0),MATCH(Calculation!$G400,'Gen. Plant Depreciation'!$E$5:$AD$5,0))</f>
        <v>22042</v>
      </c>
      <c r="BY400" s="118"/>
      <c r="BZ400" s="118"/>
      <c r="CA400" s="118"/>
      <c r="CB400" s="118"/>
      <c r="CC400" s="118"/>
      <c r="CD400" s="118"/>
      <c r="CE400" s="118">
        <f>INDEX('Gross Dx Plant'!$E$7:$AD$91,MATCH($C400,'Gross Dx Plant'!$D$7:$D$91,0),MATCH(Calculation!$G400,'Gross Dx Plant'!$E$5:$AD$5,0))</f>
        <v>1898656</v>
      </c>
      <c r="CF400" s="118">
        <f>INDEX('Gross Gen Plant'!$E$7:$AD$91,MATCH($C400,'Gross Gen Plant'!$D$7:$D$91,0),MATCH(Calculation!$G400,'Gross Gen Plant'!$E$5:$AD$5,0))</f>
        <v>71374</v>
      </c>
      <c r="CG400" s="118">
        <f t="shared" si="969"/>
        <v>767792</v>
      </c>
      <c r="CH400" s="118"/>
      <c r="CI400" s="121">
        <v>2002</v>
      </c>
      <c r="CJ400" s="118"/>
      <c r="CK400" s="118"/>
      <c r="CL400" s="118"/>
      <c r="CM400" s="183"/>
      <c r="CN400" s="118">
        <f t="shared" si="1121"/>
        <v>113397</v>
      </c>
      <c r="CO400" s="118">
        <f t="shared" si="1122"/>
        <v>313.81645391672612</v>
      </c>
      <c r="CP400" s="186">
        <v>0.97916666666666663</v>
      </c>
      <c r="CQ400" s="118">
        <f>+CQ396*CP400+CO397*CP399+CO398*CP398+CO399*CP397+CO400</f>
        <v>4537.2633292977207</v>
      </c>
      <c r="CR400" s="119">
        <f t="shared" si="1123"/>
        <v>6.588027200798971E-2</v>
      </c>
      <c r="CS400" s="119"/>
      <c r="CT400" s="177">
        <f t="shared" si="1124"/>
        <v>5.7754353035136116E-3</v>
      </c>
      <c r="CU400" s="177">
        <f t="shared" ref="CU400:CU419" si="1132">+(CT400+CT399+CT398)/3</f>
        <v>5.2935718245851306E-3</v>
      </c>
      <c r="CV400" s="119">
        <f>VLOOKUP($H400,RoR!$E:$F,2,FALSE)</f>
        <v>6.4916666666666664E-2</v>
      </c>
      <c r="CW400" s="177">
        <v>1.5246423291824351E-2</v>
      </c>
      <c r="CX400" s="177">
        <f t="shared" si="1130"/>
        <v>4.9670243374842313E-2</v>
      </c>
      <c r="CY400" s="177">
        <f t="shared" ref="CY400:CY419" si="1133">+$CX$35-CU400</f>
        <v>2.5608369783948495E-2</v>
      </c>
      <c r="CZ400" s="177">
        <f t="shared" ref="CZ400:CZ419" si="1134">+((DM398/DM397-1)+(DM399/DM398-1)+(DM400/DM399-1))/3</f>
        <v>2.5243621214759093E-2</v>
      </c>
      <c r="DA400" s="187">
        <f t="shared" si="1125"/>
        <v>0.86875000000000002</v>
      </c>
      <c r="DB400" s="188">
        <f t="shared" si="1126"/>
        <v>0.78996741384417901</v>
      </c>
      <c r="DC400" s="188">
        <f t="shared" si="1127"/>
        <v>0.58989088575096271</v>
      </c>
      <c r="DD400" s="188">
        <f t="shared" si="1128"/>
        <v>0.91920675783645744</v>
      </c>
      <c r="DE400" s="188">
        <f t="shared" si="1129"/>
        <v>0.42834536472275586</v>
      </c>
      <c r="DF400" s="189">
        <f>INDEX('State Tax Lookup'!$D$7:$Z$91,MATCH(Calculation!$C400,'State Tax Lookup'!$B$7:$B$91,0),MATCH($H400,'State Tax Lookup'!$D$6:$Z$6,0))</f>
        <v>0.35</v>
      </c>
      <c r="DG400" s="189">
        <v>0.375</v>
      </c>
      <c r="DH400" s="190">
        <f t="shared" si="1131"/>
        <v>12.333969635040901</v>
      </c>
      <c r="DI400" s="190"/>
      <c r="DJ400" s="177"/>
      <c r="DK400" s="189">
        <f>VLOOKUP($H400,RoR!$E:$F,2,FALSE)</f>
        <v>6.4916666666666664E-2</v>
      </c>
      <c r="DL400" s="191">
        <f>HLOOKUP($H400,'GDP-PI'!$D$8:$CQ$11,3,FALSE)</f>
        <v>1.5246423291824351E-2</v>
      </c>
      <c r="DM400" s="189">
        <f>VLOOKUP(H400,'HW Dx Data'!$E:$F,2,FALSE)</f>
        <v>361.34816573413599</v>
      </c>
      <c r="DN400" s="183">
        <f>VLOOKUP(H400,'ECI - Input Price'!$G$17:$H$37,2,FALSE)</f>
        <v>89.275000000000006</v>
      </c>
      <c r="DO400" s="177">
        <f>LN(DN400/DN399)</f>
        <v>3.5051315810864674E-2</v>
      </c>
      <c r="DP400" s="183">
        <f>HLOOKUP(H400,'GDP-PI'!$8:$9,2,FALSE)</f>
        <v>81.039000000000001</v>
      </c>
      <c r="DQ400" s="177">
        <f>LN(DP400/DP399)</f>
        <v>1.513136459537477E-2</v>
      </c>
      <c r="DR400" s="167">
        <v>8.1307452597312275E-5</v>
      </c>
    </row>
    <row r="401" spans="1:122" s="167" customFormat="1" ht="21" x14ac:dyDescent="0.35">
      <c r="A401" s="167" t="s">
        <v>52</v>
      </c>
      <c r="B401" s="168" t="s">
        <v>52</v>
      </c>
      <c r="C401" s="168">
        <v>4057081</v>
      </c>
      <c r="D401" s="168" t="s">
        <v>137</v>
      </c>
      <c r="E401" s="168"/>
      <c r="F401" s="168"/>
      <c r="G401" s="168" t="s">
        <v>9</v>
      </c>
      <c r="H401" s="169">
        <v>2003</v>
      </c>
      <c r="I401" s="170"/>
      <c r="J401" s="166"/>
      <c r="K401" s="166"/>
      <c r="L401" s="166"/>
      <c r="M401" s="172"/>
      <c r="N401" s="196"/>
      <c r="O401" s="172"/>
      <c r="P401" s="166"/>
      <c r="Q401" s="166"/>
      <c r="R401" s="166"/>
      <c r="S401" s="166"/>
      <c r="T401" s="166"/>
      <c r="U401" s="166"/>
      <c r="V401" s="166">
        <f t="shared" si="1119"/>
        <v>56853.66390247488</v>
      </c>
      <c r="W401" s="170"/>
      <c r="X401" s="174">
        <v>4755.079639691121</v>
      </c>
      <c r="Y401" s="175">
        <v>4.6889405079540647E-2</v>
      </c>
      <c r="Z401" s="175"/>
      <c r="AA401" s="175"/>
      <c r="AB401" s="175"/>
      <c r="AC401" s="170">
        <f t="shared" si="1086"/>
        <v>56853.66390247488</v>
      </c>
      <c r="AD401" s="175"/>
      <c r="AE401" s="170"/>
      <c r="AF401" s="170"/>
      <c r="AG401" s="174"/>
      <c r="AH401" s="175"/>
      <c r="AI401" s="175"/>
      <c r="AJ401" s="174"/>
      <c r="AK401" s="174"/>
      <c r="AL401" s="120"/>
      <c r="AM401" s="120"/>
      <c r="AN401" s="120"/>
      <c r="AO401" s="120"/>
      <c r="AP401" s="120"/>
      <c r="AQ401" s="175"/>
      <c r="AR401" s="120"/>
      <c r="AS401" s="120"/>
      <c r="AT401" s="120"/>
      <c r="AU401" s="120"/>
      <c r="AV401" s="120"/>
      <c r="AW401" s="120"/>
      <c r="AX401" s="120"/>
      <c r="AY401" s="120"/>
      <c r="AZ401" s="118">
        <f>IFERROR(INDEX('Total Customers'!$F$7:$AB$91,MATCH($C401,'Total Customers'!$D$7:$D$91,0),MATCH($G401,'Total Customers'!$F$5:$AB$5,0)),"NA")</f>
        <v>1670989</v>
      </c>
      <c r="BA401" s="119">
        <f t="shared" si="1120"/>
        <v>1.1241963094382976E-2</v>
      </c>
      <c r="BB401" s="119"/>
      <c r="BC401" s="121"/>
      <c r="BD401" s="119"/>
      <c r="BE401" s="119"/>
      <c r="BF401" s="119"/>
      <c r="BG401" s="173"/>
      <c r="BH401" s="173"/>
      <c r="BI401" s="173"/>
      <c r="BJ401" s="173"/>
      <c r="BK401" s="173"/>
      <c r="BL401" s="173"/>
      <c r="BM401" s="173"/>
      <c r="BN401" s="173"/>
      <c r="BO401" s="173"/>
      <c r="BP401" s="173"/>
      <c r="BQ401" s="118"/>
      <c r="BR401" s="118"/>
      <c r="BS401" s="118">
        <f>INDEX('Dist. Plant Gas Additions'!$F$7:$AE$91,MATCH($C401,'Dist. Plant Gas Additions'!$D$7:$D$91,0),MATCH(Calculation!$G401,'Dist. Plant Gas Additions'!$F$5:$AE$5,0))</f>
        <v>83974</v>
      </c>
      <c r="BT401" s="118">
        <f>INDEX('Gen. Plant Additions'!$F$7:$AE$91,MATCH($C401,'Gen. Plant Additions'!$D$7:$D$91,0),MATCH(Calculation!$G401,'Gen. Plant Additions'!$F$5:$AE$5,0))</f>
        <v>5862</v>
      </c>
      <c r="BU401" s="118"/>
      <c r="BV401" s="118"/>
      <c r="BW401" s="118">
        <f>INDEX('Dist Plant Depreciation'!$E$7:$AD$94,MATCH($C401,'Dist Plant Depreciation'!$D$7:$D$94,0),MATCH(Calculation!$G401,'Dist Plant Depreciation'!$E$5:$AD$5,0))</f>
        <v>1263590</v>
      </c>
      <c r="BX401" s="118">
        <f>INDEX('Gen. Plant Depreciation'!$E$7:$AD$94,MATCH($C401,'Gen. Plant Depreciation'!$D$7:$D$94,0),MATCH(Calculation!$G401,'Gen. Plant Depreciation'!$E$5:$AD$5,0))</f>
        <v>24418</v>
      </c>
      <c r="BY401" s="118"/>
      <c r="BZ401" s="118"/>
      <c r="CA401" s="118"/>
      <c r="CB401" s="118"/>
      <c r="CC401" s="118"/>
      <c r="CD401" s="118"/>
      <c r="CE401" s="118">
        <f>INDEX('Gross Dx Plant'!$E$7:$AD$91,MATCH($C401,'Gross Dx Plant'!$D$7:$D$91,0),MATCH(Calculation!$G401,'Gross Dx Plant'!$E$5:$AD$5,0))</f>
        <v>1976032</v>
      </c>
      <c r="CF401" s="118">
        <f>INDEX('Gross Gen Plant'!$E$7:$AD$91,MATCH($C401,'Gross Gen Plant'!$D$7:$D$91,0),MATCH(Calculation!$G401,'Gross Gen Plant'!$E$5:$AD$5,0))</f>
        <v>70914</v>
      </c>
      <c r="CG401" s="118">
        <f t="shared" si="969"/>
        <v>758938</v>
      </c>
      <c r="CH401" s="118"/>
      <c r="CI401" s="121">
        <v>2003</v>
      </c>
      <c r="CJ401" s="118"/>
      <c r="CK401" s="118"/>
      <c r="CL401" s="118"/>
      <c r="CM401" s="183"/>
      <c r="CN401" s="118">
        <f t="shared" si="1121"/>
        <v>89836</v>
      </c>
      <c r="CO401" s="118">
        <f t="shared" si="1122"/>
        <v>243.30435615032874</v>
      </c>
      <c r="CP401" s="186">
        <v>0.97354497354497349</v>
      </c>
      <c r="CQ401" s="118">
        <f>+CQ396*CP401+CO397*CP400+CO398*CP399+CO399*CP398+CO400*CP397+CO401</f>
        <v>4755.079639691121</v>
      </c>
      <c r="CR401" s="119">
        <f t="shared" si="1123"/>
        <v>4.6889405079540647E-2</v>
      </c>
      <c r="CS401" s="119"/>
      <c r="CT401" s="177">
        <f t="shared" si="1124"/>
        <v>5.6174931687012139E-3</v>
      </c>
      <c r="CU401" s="177">
        <f t="shared" si="1132"/>
        <v>5.4528943573536786E-3</v>
      </c>
      <c r="CV401" s="119">
        <f>VLOOKUP($H401,RoR!$E:$F,2,FALSE)</f>
        <v>5.6666666666666671E-2</v>
      </c>
      <c r="CW401" s="177">
        <v>1.8855119140166909E-2</v>
      </c>
      <c r="CX401" s="177">
        <f t="shared" si="1130"/>
        <v>3.7811547526499761E-2</v>
      </c>
      <c r="CY401" s="177">
        <f t="shared" si="1133"/>
        <v>2.5449047251179947E-2</v>
      </c>
      <c r="CZ401" s="177">
        <f t="shared" si="1134"/>
        <v>2.1375012817671957E-2</v>
      </c>
      <c r="DA401" s="187">
        <f t="shared" si="1125"/>
        <v>0.86875000000000002</v>
      </c>
      <c r="DB401" s="188">
        <f t="shared" si="1126"/>
        <v>0.90497737556561086</v>
      </c>
      <c r="DC401" s="188">
        <f t="shared" si="1127"/>
        <v>0.5338235294117647</v>
      </c>
      <c r="DD401" s="188">
        <f t="shared" si="1128"/>
        <v>0.88972433127405692</v>
      </c>
      <c r="DE401" s="188">
        <f t="shared" si="1129"/>
        <v>0.42982423775949252</v>
      </c>
      <c r="DF401" s="189">
        <f>INDEX('State Tax Lookup'!$D$7:$Z$91,MATCH(Calculation!$C401,'State Tax Lookup'!$B$7:$B$91,0),MATCH($H401,'State Tax Lookup'!$D$6:$Z$6,0))</f>
        <v>0.35</v>
      </c>
      <c r="DG401" s="189">
        <v>0.375</v>
      </c>
      <c r="DH401" s="190">
        <f t="shared" si="1131"/>
        <v>12.530386661793049</v>
      </c>
      <c r="DI401" s="190"/>
      <c r="DJ401" s="177"/>
      <c r="DK401" s="189">
        <f>VLOOKUP($H401,RoR!$E:$F,2,FALSE)</f>
        <v>5.6666666666666671E-2</v>
      </c>
      <c r="DL401" s="191">
        <f>HLOOKUP($H401,'GDP-PI'!$D$8:$CQ$11,3,FALSE)</f>
        <v>1.8855119140166909E-2</v>
      </c>
      <c r="DM401" s="189">
        <f>VLOOKUP(H401,'HW Dx Data'!$E:$F,2,FALSE)</f>
        <v>369.23301095560191</v>
      </c>
      <c r="DN401" s="183">
        <f>VLOOKUP(H401,'ECI - Input Price'!$G$17:$H$37,2,FALSE)</f>
        <v>92.625</v>
      </c>
      <c r="DO401" s="177">
        <f t="shared" ref="DO401" si="1135">LN(DN401/DN400)</f>
        <v>3.6837590135738785E-2</v>
      </c>
      <c r="DP401" s="183">
        <f>HLOOKUP(H401,'GDP-PI'!$8:$9,2,FALSE)</f>
        <v>82.566999999999993</v>
      </c>
      <c r="DQ401" s="177">
        <f t="shared" ref="DQ401" si="1136">LN(DP401/DP400)</f>
        <v>1.8679564681853753E-2</v>
      </c>
      <c r="DR401" s="167">
        <v>5.2482057898802836E-2</v>
      </c>
    </row>
    <row r="402" spans="1:122" s="167" customFormat="1" ht="21" x14ac:dyDescent="0.35">
      <c r="A402" s="167" t="s">
        <v>52</v>
      </c>
      <c r="B402" s="168" t="s">
        <v>52</v>
      </c>
      <c r="C402" s="168">
        <v>4057081</v>
      </c>
      <c r="D402" s="168" t="s">
        <v>137</v>
      </c>
      <c r="E402" s="168"/>
      <c r="F402" s="168"/>
      <c r="G402" s="168" t="s">
        <v>10</v>
      </c>
      <c r="H402" s="169">
        <v>2004</v>
      </c>
      <c r="I402" s="170"/>
      <c r="J402" s="166">
        <f>IFERROR(INDEX('Labor Expenditures'!$F$7:$X$91,MATCH($C402,'Labor Expenditures'!$D$7:$D$91,0),MATCH($G402,'Labor Expenditures'!$F$5:$X$5,0)),"NA")</f>
        <v>91667.35283122379</v>
      </c>
      <c r="K402" s="166">
        <f t="shared" ref="K402:K419" si="1137">+J402/DN402</f>
        <v>953.13078067297943</v>
      </c>
      <c r="L402" s="172"/>
      <c r="M402" s="172"/>
      <c r="N402" s="196"/>
      <c r="O402" s="172"/>
      <c r="P402" s="166">
        <f>IFERROR(INDEX('Non-Labor Expenditures'!$F$7:$AB$91,MATCH($C402,'Non-Labor Expenditures'!$D$7:$D$91,0),MATCH($G402,'Non-Labor Expenditures'!$F$5:$AB$5,0)),"NA")</f>
        <v>132751.44799944502</v>
      </c>
      <c r="Q402" s="166">
        <f t="shared" ref="Q402:Q419" si="1138">+P402/DP402</f>
        <v>1565.8714289018969</v>
      </c>
      <c r="R402" s="166"/>
      <c r="S402" s="166"/>
      <c r="T402" s="166"/>
      <c r="U402" s="166"/>
      <c r="V402" s="166">
        <f t="shared" si="1119"/>
        <v>66026.283743780979</v>
      </c>
      <c r="W402" s="170"/>
      <c r="X402" s="174">
        <v>4942.8295628175338</v>
      </c>
      <c r="Y402" s="175">
        <v>3.8724508738266376E-2</v>
      </c>
      <c r="Z402" s="175"/>
      <c r="AA402" s="175"/>
      <c r="AB402" s="175"/>
      <c r="AC402" s="170">
        <f t="shared" si="1086"/>
        <v>290445.08457444981</v>
      </c>
      <c r="AD402" s="175"/>
      <c r="AE402" s="170"/>
      <c r="AF402" s="170"/>
      <c r="AG402" s="174"/>
      <c r="AH402" s="175"/>
      <c r="AI402" s="175"/>
      <c r="AJ402" s="174"/>
      <c r="AK402" s="174"/>
      <c r="AL402" s="120">
        <f t="shared" ref="AL402:AL419" si="1139">+J402/AC402</f>
        <v>0.31560993006830074</v>
      </c>
      <c r="AM402" s="120">
        <f t="shared" ref="AM402:AM419" si="1140">+P402/AC402</f>
        <v>0.45706212654260581</v>
      </c>
      <c r="AN402" s="120">
        <f t="shared" ref="AN402:AN419" si="1141">+V402/AC402</f>
        <v>0.22732794338909343</v>
      </c>
      <c r="AO402" s="120"/>
      <c r="AP402" s="120"/>
      <c r="AQ402" s="175"/>
      <c r="AR402" s="120"/>
      <c r="AS402" s="120"/>
      <c r="AT402" s="120"/>
      <c r="AU402" s="120"/>
      <c r="AV402" s="120"/>
      <c r="AW402" s="120"/>
      <c r="AX402" s="120"/>
      <c r="AY402" s="120"/>
      <c r="AZ402" s="118">
        <f>IFERROR(INDEX('Total Customers'!$F$7:$AB$91,MATCH($C402,'Total Customers'!$D$7:$D$91,0),MATCH($G402,'Total Customers'!$F$5:$AB$5,0)),"NA")</f>
        <v>1690874</v>
      </c>
      <c r="BA402" s="119">
        <f t="shared" si="1120"/>
        <v>1.1829888310183853E-2</v>
      </c>
      <c r="BB402" s="119"/>
      <c r="BC402" s="121"/>
      <c r="BD402" s="119"/>
      <c r="BE402" s="119"/>
      <c r="BF402" s="119"/>
      <c r="BG402" s="173"/>
      <c r="BH402" s="173"/>
      <c r="BI402" s="173"/>
      <c r="BJ402" s="173"/>
      <c r="BK402" s="173"/>
      <c r="BL402" s="173"/>
      <c r="BM402" s="173"/>
      <c r="BN402" s="173"/>
      <c r="BO402" s="173"/>
      <c r="BP402" s="173"/>
      <c r="BQ402" s="118"/>
      <c r="BR402" s="118"/>
      <c r="BS402" s="118">
        <f>INDEX('Dist. Plant Gas Additions'!$F$7:$AE$91,MATCH($C402,'Dist. Plant Gas Additions'!$D$7:$D$91,0),MATCH(Calculation!$G402,'Dist. Plant Gas Additions'!$F$5:$AE$5,0))</f>
        <v>88031</v>
      </c>
      <c r="BT402" s="118">
        <f>INDEX('Gen. Plant Additions'!$F$7:$AE$91,MATCH($C402,'Gen. Plant Additions'!$D$7:$D$91,0),MATCH(Calculation!$G402,'Gen. Plant Additions'!$F$5:$AE$5,0))</f>
        <v>1279</v>
      </c>
      <c r="BU402" s="118"/>
      <c r="BV402" s="118"/>
      <c r="BW402" s="118">
        <f>INDEX('Dist Plant Depreciation'!$E$7:$AD$94,MATCH($C402,'Dist Plant Depreciation'!$D$7:$D$94,0),MATCH(Calculation!$G402,'Dist Plant Depreciation'!$E$5:$AD$5,0))</f>
        <v>1328511</v>
      </c>
      <c r="BX402" s="118">
        <f>INDEX('Gen. Plant Depreciation'!$E$7:$AD$94,MATCH($C402,'Gen. Plant Depreciation'!$D$7:$D$94,0),MATCH(Calculation!$G402,'Gen. Plant Depreciation'!$E$5:$AD$5,0))</f>
        <v>24724</v>
      </c>
      <c r="BY402" s="118"/>
      <c r="BZ402" s="118"/>
      <c r="CA402" s="118"/>
      <c r="CB402" s="118"/>
      <c r="CC402" s="118"/>
      <c r="CD402" s="118"/>
      <c r="CE402" s="118">
        <f>INDEX('Gross Dx Plant'!$E$7:$AD$91,MATCH($C402,'Gross Dx Plant'!$D$7:$D$91,0),MATCH(Calculation!$G402,'Gross Dx Plant'!$E$5:$AD$5,0))</f>
        <v>2056922</v>
      </c>
      <c r="CF402" s="118">
        <f>INDEX('Gross Gen Plant'!$E$7:$AD$91,MATCH($C402,'Gross Gen Plant'!$D$7:$D$91,0),MATCH(Calculation!$G402,'Gross Gen Plant'!$E$5:$AD$5,0))</f>
        <v>53853</v>
      </c>
      <c r="CG402" s="118">
        <f t="shared" si="969"/>
        <v>757540</v>
      </c>
      <c r="CH402" s="118"/>
      <c r="CI402" s="121">
        <v>2004</v>
      </c>
      <c r="CJ402" s="118"/>
      <c r="CK402" s="118"/>
      <c r="CL402" s="118"/>
      <c r="CM402" s="183"/>
      <c r="CN402" s="118">
        <f t="shared" si="1121"/>
        <v>89310</v>
      </c>
      <c r="CO402" s="118">
        <f t="shared" si="1122"/>
        <v>215.26333389301055</v>
      </c>
      <c r="CP402" s="186">
        <v>0.967741935483871</v>
      </c>
      <c r="CQ402" s="118">
        <f>+CQ396*CP402+CO397*CP401+CO398*CP400+CO399*CP399+CO400*CP398+CO401*CP397+CO402</f>
        <v>4942.8295628175338</v>
      </c>
      <c r="CR402" s="119">
        <f t="shared" si="1123"/>
        <v>3.8724508738266376E-2</v>
      </c>
      <c r="CS402" s="119"/>
      <c r="CT402" s="177">
        <f t="shared" si="1124"/>
        <v>5.7861093507121505E-3</v>
      </c>
      <c r="CU402" s="177">
        <f t="shared" si="1132"/>
        <v>5.7263459409756592E-3</v>
      </c>
      <c r="CV402" s="119">
        <f>VLOOKUP($H402,RoR!$E:$F,2,FALSE)</f>
        <v>5.6283333333333331E-2</v>
      </c>
      <c r="CW402" s="177">
        <v>2.6778252812867276E-2</v>
      </c>
      <c r="CX402" s="177">
        <f t="shared" si="1130"/>
        <v>2.9505080520466055E-2</v>
      </c>
      <c r="CY402" s="177">
        <f t="shared" si="1133"/>
        <v>2.5175595667557966E-2</v>
      </c>
      <c r="CZ402" s="177">
        <f t="shared" si="1134"/>
        <v>5.5940039414565046E-2</v>
      </c>
      <c r="DA402" s="187">
        <f t="shared" si="1125"/>
        <v>0.86875000000000002</v>
      </c>
      <c r="DB402" s="188">
        <f t="shared" si="1126"/>
        <v>0.91114097628755619</v>
      </c>
      <c r="DC402" s="188">
        <f t="shared" si="1127"/>
        <v>0.53081877405981637</v>
      </c>
      <c r="DD402" s="188">
        <f t="shared" si="1128"/>
        <v>0.88811215519385678</v>
      </c>
      <c r="DE402" s="188">
        <f t="shared" si="1129"/>
        <v>0.42953609753547711</v>
      </c>
      <c r="DF402" s="189">
        <f>INDEX('State Tax Lookup'!$D$7:$Z$91,MATCH(Calculation!$C402,'State Tax Lookup'!$B$7:$B$91,0),MATCH($H402,'State Tax Lookup'!$D$6:$Z$6,0))</f>
        <v>0.35</v>
      </c>
      <c r="DG402" s="189">
        <v>0.375</v>
      </c>
      <c r="DH402" s="190">
        <f t="shared" si="1131"/>
        <v>13.885421222528651</v>
      </c>
      <c r="DI402" s="190"/>
      <c r="DJ402" s="177"/>
      <c r="DK402" s="189">
        <f>VLOOKUP($H402,RoR!$E:$F,2,FALSE)</f>
        <v>5.6283333333333331E-2</v>
      </c>
      <c r="DL402" s="191">
        <f>HLOOKUP($H402,'GDP-PI'!$D$8:$CQ$11,3,FALSE)</f>
        <v>2.6778252812867276E-2</v>
      </c>
      <c r="DM402" s="189">
        <f>VLOOKUP(H402,'HW Dx Data'!$E:$F,2,FALSE)</f>
        <v>414.88719135228365</v>
      </c>
      <c r="DN402" s="183">
        <f>VLOOKUP(H402,'ECI - Input Price'!$G$17:$H$37,2,FALSE)</f>
        <v>96.174999999999997</v>
      </c>
      <c r="DO402" s="177">
        <f t="shared" ref="DO402" si="1142">LN(DN402/DN401)</f>
        <v>3.7610365022107912E-2</v>
      </c>
      <c r="DP402" s="183">
        <f>HLOOKUP(H402,'GDP-PI'!$8:$9,2,FALSE)</f>
        <v>84.778000000000006</v>
      </c>
      <c r="DQ402" s="177">
        <f t="shared" ref="DQ402" si="1143">LN(DP402/DP401)</f>
        <v>2.6425990216022755E-2</v>
      </c>
      <c r="DR402" s="167">
        <v>7.3928096917723254E-3</v>
      </c>
    </row>
    <row r="403" spans="1:122" s="167" customFormat="1" ht="21" x14ac:dyDescent="0.35">
      <c r="A403" s="167" t="s">
        <v>52</v>
      </c>
      <c r="B403" s="168" t="s">
        <v>52</v>
      </c>
      <c r="C403" s="168">
        <v>4057081</v>
      </c>
      <c r="D403" s="168" t="s">
        <v>137</v>
      </c>
      <c r="E403" s="168"/>
      <c r="F403" s="168"/>
      <c r="G403" s="168" t="s">
        <v>11</v>
      </c>
      <c r="H403" s="169">
        <v>2005</v>
      </c>
      <c r="I403" s="170"/>
      <c r="J403" s="166">
        <f>IFERROR(INDEX('Labor Expenditures'!$F$7:$X$91,MATCH($C403,'Labor Expenditures'!$D$7:$D$91,0),MATCH($G403,'Labor Expenditures'!$F$5:$X$5,0)),"NA")</f>
        <v>105575.7339739138</v>
      </c>
      <c r="K403" s="166">
        <f t="shared" si="1137"/>
        <v>1064.8082095200584</v>
      </c>
      <c r="L403" s="172">
        <f t="shared" ref="L403:L419" si="1144">LN(K403/K402)</f>
        <v>0.11079785222283436</v>
      </c>
      <c r="M403" s="172"/>
      <c r="N403" s="196"/>
      <c r="O403" s="172"/>
      <c r="P403" s="166">
        <f>IFERROR(INDEX('Non-Labor Expenditures'!$F$7:$AB$91,MATCH($C403,'Non-Labor Expenditures'!$D$7:$D$91,0),MATCH($G403,'Non-Labor Expenditures'!$F$5:$AB$5,0)),"NA")</f>
        <v>152893.38162132844</v>
      </c>
      <c r="Q403" s="166">
        <f t="shared" si="1138"/>
        <v>1749.2120953851345</v>
      </c>
      <c r="R403" s="172">
        <f>LN(Q403/Q402)</f>
        <v>0.11072296273954714</v>
      </c>
      <c r="S403" s="172"/>
      <c r="T403" s="172"/>
      <c r="U403" s="172"/>
      <c r="V403" s="166">
        <f t="shared" si="1119"/>
        <v>77234.06505208103</v>
      </c>
      <c r="W403" s="170"/>
      <c r="X403" s="174">
        <v>5114.7434088698374</v>
      </c>
      <c r="Y403" s="175">
        <v>3.4189280485488617E-2</v>
      </c>
      <c r="Z403" s="175"/>
      <c r="AA403" s="175"/>
      <c r="AB403" s="175"/>
      <c r="AC403" s="170">
        <f t="shared" si="1086"/>
        <v>335703.18064732326</v>
      </c>
      <c r="AD403" s="175">
        <f>LN(AC403/AC402)</f>
        <v>0.14481285780026704</v>
      </c>
      <c r="AE403" s="170"/>
      <c r="AF403" s="170"/>
      <c r="AG403" s="121"/>
      <c r="AH403" s="119"/>
      <c r="AI403" s="119"/>
      <c r="AJ403" s="121"/>
      <c r="AK403" s="121"/>
      <c r="AL403" s="120">
        <f t="shared" si="1139"/>
        <v>0.31449131274340703</v>
      </c>
      <c r="AM403" s="120">
        <f t="shared" si="1140"/>
        <v>0.45544215972726304</v>
      </c>
      <c r="AN403" s="120">
        <f t="shared" si="1141"/>
        <v>0.23006652752932999</v>
      </c>
      <c r="AO403" s="120">
        <f t="shared" ref="AO403:AO419" si="1145">+(((AL403+AL402)/2)*L403+((AM402+AM403)/2)*R403+((AN402+AN403)/2)*Y403)</f>
        <v>9.3243515166776633E-2</v>
      </c>
      <c r="AP403" s="173">
        <v>100</v>
      </c>
      <c r="AQ403" s="175"/>
      <c r="AR403" s="120"/>
      <c r="AS403" s="120"/>
      <c r="AT403" s="120"/>
      <c r="AU403" s="120"/>
      <c r="AV403" s="120"/>
      <c r="AW403" s="120"/>
      <c r="AX403" s="120"/>
      <c r="AY403" s="120"/>
      <c r="AZ403" s="118">
        <f>IFERROR(INDEX('Total Customers'!$F$7:$AB$91,MATCH($C403,'Total Customers'!$D$7:$D$91,0),MATCH($G403,'Total Customers'!$F$5:$AB$5,0)),"NA")</f>
        <v>1696524</v>
      </c>
      <c r="BA403" s="119">
        <f t="shared" si="1120"/>
        <v>3.3358968975777292E-3</v>
      </c>
      <c r="BB403" s="119"/>
      <c r="BC403" s="121"/>
      <c r="BD403" s="119"/>
      <c r="BE403" s="119"/>
      <c r="BF403" s="119"/>
      <c r="BG403" s="173"/>
      <c r="BH403" s="173"/>
      <c r="BI403" s="173"/>
      <c r="BJ403" s="173"/>
      <c r="BK403" s="173"/>
      <c r="BL403" s="173"/>
      <c r="BM403" s="173"/>
      <c r="BN403" s="173"/>
      <c r="BO403" s="173"/>
      <c r="BP403" s="173"/>
      <c r="BQ403" s="118"/>
      <c r="BR403" s="118"/>
      <c r="BS403" s="118">
        <f>INDEX('Dist. Plant Gas Additions'!$F$7:$AE$91,MATCH($C403,'Dist. Plant Gas Additions'!$D$7:$D$91,0),MATCH(Calculation!$G403,'Dist. Plant Gas Additions'!$F$5:$AE$5,0))</f>
        <v>91333</v>
      </c>
      <c r="BT403" s="118">
        <f>INDEX('Gen. Plant Additions'!$F$7:$AE$91,MATCH($C403,'Gen. Plant Additions'!$D$7:$D$91,0),MATCH(Calculation!$G403,'Gen. Plant Additions'!$F$5:$AE$5,0))</f>
        <v>3160</v>
      </c>
      <c r="BU403" s="118"/>
      <c r="BV403" s="118"/>
      <c r="BW403" s="118">
        <f>INDEX('Dist Plant Depreciation'!$E$7:$AD$94,MATCH($C403,'Dist Plant Depreciation'!$D$7:$D$94,0),MATCH(Calculation!$G403,'Dist Plant Depreciation'!$E$5:$AD$5,0))</f>
        <v>1397984</v>
      </c>
      <c r="BX403" s="118">
        <f>INDEX('Gen. Plant Depreciation'!$E$7:$AD$94,MATCH($C403,'Gen. Plant Depreciation'!$D$7:$D$94,0),MATCH(Calculation!$G403,'Gen. Plant Depreciation'!$E$5:$AD$5,0))</f>
        <v>26737</v>
      </c>
      <c r="BY403" s="118"/>
      <c r="BZ403" s="118"/>
      <c r="CA403" s="118"/>
      <c r="CB403" s="118"/>
      <c r="CC403" s="118"/>
      <c r="CD403" s="118"/>
      <c r="CE403" s="118">
        <f>INDEX('Gross Dx Plant'!$E$7:$AD$91,MATCH($C403,'Gross Dx Plant'!$D$7:$D$91,0),MATCH(Calculation!$G403,'Gross Dx Plant'!$E$5:$AD$5,0))</f>
        <v>2140572</v>
      </c>
      <c r="CF403" s="118">
        <f>INDEX('Gross Gen Plant'!$E$7:$AD$91,MATCH($C403,'Gross Gen Plant'!$D$7:$D$91,0),MATCH(Calculation!$G403,'Gross Gen Plant'!$E$5:$AD$5,0))</f>
        <v>56320</v>
      </c>
      <c r="CG403" s="118">
        <f t="shared" si="969"/>
        <v>772171</v>
      </c>
      <c r="CH403" s="118"/>
      <c r="CI403" s="121">
        <v>2005</v>
      </c>
      <c r="CJ403" s="118"/>
      <c r="CK403" s="118"/>
      <c r="CL403" s="118"/>
      <c r="CM403" s="183"/>
      <c r="CN403" s="118">
        <f t="shared" si="1121"/>
        <v>94493</v>
      </c>
      <c r="CO403" s="118">
        <f t="shared" si="1122"/>
        <v>201.389524270007</v>
      </c>
      <c r="CP403" s="186">
        <v>0.96174863387978138</v>
      </c>
      <c r="CQ403" s="118">
        <f>+CQ396*CP403+CO397*CP402+CO398*CP401+CO399*CP400+CO400*CP399+CO401*CP398+CO402*CP397+CO403</f>
        <v>5114.7434088698374</v>
      </c>
      <c r="CR403" s="119">
        <f t="shared" si="1123"/>
        <v>3.4189280485488617E-2</v>
      </c>
      <c r="CS403" s="119"/>
      <c r="CT403" s="177">
        <f t="shared" si="1124"/>
        <v>5.9633207746903468E-3</v>
      </c>
      <c r="CU403" s="177">
        <f t="shared" si="1132"/>
        <v>5.7889744313679046E-3</v>
      </c>
      <c r="CV403" s="119">
        <f>VLOOKUP($H403,RoR!$E:$F,2,FALSE)</f>
        <v>5.2350000000000001E-2</v>
      </c>
      <c r="CW403" s="177">
        <v>3.1010403642454332E-2</v>
      </c>
      <c r="CX403" s="177">
        <f t="shared" si="1130"/>
        <v>2.1339596357545669E-2</v>
      </c>
      <c r="CY403" s="177">
        <f t="shared" si="1133"/>
        <v>2.511296717716572E-2</v>
      </c>
      <c r="CZ403" s="177">
        <f t="shared" si="1134"/>
        <v>9.2129610649277341E-2</v>
      </c>
      <c r="DA403" s="187">
        <f t="shared" si="1125"/>
        <v>0.86875000000000002</v>
      </c>
      <c r="DB403" s="188">
        <f t="shared" si="1126"/>
        <v>0.97959983346802826</v>
      </c>
      <c r="DC403" s="188">
        <f t="shared" si="1127"/>
        <v>0.49744508118433622</v>
      </c>
      <c r="DD403" s="188">
        <f t="shared" si="1128"/>
        <v>0.87010519444335932</v>
      </c>
      <c r="DE403" s="188">
        <f t="shared" si="1129"/>
        <v>0.42399975420741998</v>
      </c>
      <c r="DF403" s="189">
        <f>INDEX('State Tax Lookup'!$D$7:$Z$91,MATCH(Calculation!$C403,'State Tax Lookup'!$B$7:$B$91,0),MATCH($H403,'State Tax Lookup'!$D$6:$Z$6,0))</f>
        <v>0.35</v>
      </c>
      <c r="DG403" s="189">
        <v>0.375</v>
      </c>
      <c r="DH403" s="190">
        <f t="shared" si="1131"/>
        <v>15.625476070037852</v>
      </c>
      <c r="DI403" s="190"/>
      <c r="DJ403" s="177"/>
      <c r="DK403" s="189">
        <f>VLOOKUP($H403,RoR!$E:$F,2,FALSE)</f>
        <v>5.2350000000000001E-2</v>
      </c>
      <c r="DL403" s="191">
        <f>HLOOKUP($H403,'GDP-PI'!$D$8:$CQ$11,3,FALSE)</f>
        <v>3.1010403642454332E-2</v>
      </c>
      <c r="DM403" s="189">
        <f>VLOOKUP(H403,'HW Dx Data'!$E:$F,2,FALSE)</f>
        <v>469.20514034936258</v>
      </c>
      <c r="DN403" s="183">
        <f>VLOOKUP(H403,'ECI - Input Price'!$G$17:$H$37,2,FALSE)</f>
        <v>99.15</v>
      </c>
      <c r="DO403" s="177">
        <f t="shared" ref="DO403" si="1146">LN(DN403/DN402)</f>
        <v>3.046440632744625E-2</v>
      </c>
      <c r="DP403" s="183">
        <f>HLOOKUP(H403,'GDP-PI'!$8:$9,2,FALSE)</f>
        <v>87.406999999999996</v>
      </c>
      <c r="DQ403" s="177">
        <f t="shared" ref="DQ403" si="1147">LN(DP403/DP402)</f>
        <v>3.0539295810733648E-2</v>
      </c>
      <c r="DR403" s="167">
        <v>4.4391290945732563E-3</v>
      </c>
    </row>
    <row r="404" spans="1:122" s="167" customFormat="1" ht="21" x14ac:dyDescent="0.35">
      <c r="A404" s="167" t="s">
        <v>52</v>
      </c>
      <c r="B404" s="168" t="s">
        <v>52</v>
      </c>
      <c r="C404" s="168">
        <v>4057081</v>
      </c>
      <c r="D404" s="168" t="s">
        <v>137</v>
      </c>
      <c r="E404" s="168"/>
      <c r="F404" s="168"/>
      <c r="G404" s="168" t="s">
        <v>12</v>
      </c>
      <c r="H404" s="169">
        <v>2006</v>
      </c>
      <c r="I404" s="170"/>
      <c r="J404" s="166">
        <f>IFERROR(INDEX('Labor Expenditures'!$F$7:$X$91,MATCH($C404,'Labor Expenditures'!$D$7:$D$91,0),MATCH($G404,'Labor Expenditures'!$F$5:$X$5,0)),"NA")</f>
        <v>101324.71397236465</v>
      </c>
      <c r="K404" s="166">
        <f t="shared" si="1137"/>
        <v>992.89283657388194</v>
      </c>
      <c r="L404" s="172">
        <f t="shared" si="1144"/>
        <v>-6.9927237605202169E-2</v>
      </c>
      <c r="M404" s="172">
        <f t="shared" ref="M404:M419" si="1148">+L404*AR404</f>
        <v>-2.8668754523783163E-3</v>
      </c>
      <c r="N404" s="196"/>
      <c r="O404" s="172"/>
      <c r="P404" s="166">
        <f>IFERROR(INDEX('Non-Labor Expenditures'!$F$7:$AB$91,MATCH($C404,'Non-Labor Expenditures'!$D$7:$D$91,0),MATCH($G404,'Non-Labor Expenditures'!$F$5:$AB$5,0)),"NA")</f>
        <v>146737.11067807034</v>
      </c>
      <c r="Q404" s="166">
        <f t="shared" si="1138"/>
        <v>1629.0728809431173</v>
      </c>
      <c r="R404" s="172">
        <f t="shared" ref="R404:R419" si="1149">LN(Q404/Q403)</f>
        <v>-7.1154387040607711E-2</v>
      </c>
      <c r="S404" s="172">
        <f>+R404*AR404</f>
        <v>-2.9171860997490389E-3</v>
      </c>
      <c r="T404" s="172"/>
      <c r="U404" s="172"/>
      <c r="V404" s="166">
        <f t="shared" si="1119"/>
        <v>78058.174522736183</v>
      </c>
      <c r="W404" s="170"/>
      <c r="X404" s="174">
        <v>5267.9187729814466</v>
      </c>
      <c r="Y404" s="175">
        <v>2.9508131112581115E-2</v>
      </c>
      <c r="Z404" s="175">
        <f>+Y404*AR404</f>
        <v>1.2097737538244498E-3</v>
      </c>
      <c r="AA404" s="175"/>
      <c r="AB404" s="175"/>
      <c r="AC404" s="170">
        <f t="shared" si="1086"/>
        <v>326119.99917317118</v>
      </c>
      <c r="AD404" s="175">
        <f t="shared" ref="AD404:AD419" si="1150">LN(AC404/AC403)</f>
        <v>-2.8961969353546203E-2</v>
      </c>
      <c r="AE404" s="170"/>
      <c r="AF404" s="170"/>
      <c r="AG404" s="121">
        <f t="shared" ref="AG404:AG419" si="1151">+(AC404*1000)/AZ404</f>
        <v>190.96941583290069</v>
      </c>
      <c r="AH404" s="119">
        <f>+AZ404/$BB$44</f>
        <v>4.8577346381937676E-2</v>
      </c>
      <c r="AI404" s="119"/>
      <c r="AJ404" s="176">
        <f>+AH404*AG404</f>
        <v>9.2767874612711108</v>
      </c>
      <c r="AK404" s="176">
        <f>+AI404*AG404</f>
        <v>0</v>
      </c>
      <c r="AL404" s="120">
        <f t="shared" si="1139"/>
        <v>0.31069763960891211</v>
      </c>
      <c r="AM404" s="120">
        <f t="shared" si="1140"/>
        <v>0.4499482124681114</v>
      </c>
      <c r="AN404" s="120">
        <f t="shared" si="1141"/>
        <v>0.23935414792297649</v>
      </c>
      <c r="AO404" s="120">
        <f t="shared" si="1145"/>
        <v>-4.7144253273557271E-2</v>
      </c>
      <c r="AP404" s="173">
        <f>+AP403*EXP(AO404)</f>
        <v>95.394977728633734</v>
      </c>
      <c r="AQ404" s="175">
        <f>LN(AP404/AP403)</f>
        <v>-4.714425327355725E-2</v>
      </c>
      <c r="AR404" s="177">
        <f>+AC404/$AE$44</f>
        <v>4.0997979479244266E-2</v>
      </c>
      <c r="AS404" s="177">
        <f>+AR404*AQ404</f>
        <v>-1.9328191282735946E-3</v>
      </c>
      <c r="AT404" s="177"/>
      <c r="AU404" s="177"/>
      <c r="AV404" s="177"/>
      <c r="AW404" s="190"/>
      <c r="AX404" s="120"/>
      <c r="AY404" s="120"/>
      <c r="AZ404" s="118">
        <f>IFERROR(INDEX('Total Customers'!$F$7:$AB$91,MATCH($C404,'Total Customers'!$D$7:$D$91,0),MATCH($G404,'Total Customers'!$F$5:$AB$5,0)),"NA")</f>
        <v>1707708</v>
      </c>
      <c r="BA404" s="119">
        <f t="shared" si="1120"/>
        <v>6.5706686488153617E-3</v>
      </c>
      <c r="BB404" s="119"/>
      <c r="BC404" s="121"/>
      <c r="BD404" s="119"/>
      <c r="BE404" s="119"/>
      <c r="BF404" s="119"/>
      <c r="BG404" s="173"/>
      <c r="BH404" s="173"/>
      <c r="BI404" s="173"/>
      <c r="BJ404" s="173"/>
      <c r="BK404" s="173"/>
      <c r="BL404" s="173"/>
      <c r="BM404" s="173"/>
      <c r="BN404" s="173"/>
      <c r="BO404" s="173"/>
      <c r="BP404" s="173"/>
      <c r="BQ404" s="118"/>
      <c r="BR404" s="118"/>
      <c r="BS404" s="118">
        <f>INDEX('Dist. Plant Gas Additions'!$F$7:$AE$91,MATCH($C404,'Dist. Plant Gas Additions'!$D$7:$D$91,0),MATCH(Calculation!$G404,'Dist. Plant Gas Additions'!$F$5:$AE$5,0))</f>
        <v>85018</v>
      </c>
      <c r="BT404" s="118">
        <f>INDEX('Gen. Plant Additions'!$F$7:$AE$91,MATCH($C404,'Gen. Plant Additions'!$D$7:$D$91,0),MATCH(Calculation!$G404,'Gen. Plant Additions'!$F$5:$AE$5,0))</f>
        <v>108</v>
      </c>
      <c r="BU404" s="118"/>
      <c r="BV404" s="118"/>
      <c r="BW404" s="118">
        <f>INDEX('Dist Plant Depreciation'!$E$7:$AD$94,MATCH($C404,'Dist Plant Depreciation'!$D$7:$D$94,0),MATCH(Calculation!$G404,'Dist Plant Depreciation'!$E$5:$AD$5,0))</f>
        <v>1468887</v>
      </c>
      <c r="BX404" s="118">
        <f>INDEX('Gen. Plant Depreciation'!$E$7:$AD$94,MATCH($C404,'Gen. Plant Depreciation'!$D$7:$D$94,0),MATCH(Calculation!$G404,'Gen. Plant Depreciation'!$E$5:$AD$5,0))</f>
        <v>24459</v>
      </c>
      <c r="BY404" s="118"/>
      <c r="BZ404" s="118"/>
      <c r="CA404" s="118"/>
      <c r="CB404" s="118"/>
      <c r="CC404" s="118"/>
      <c r="CD404" s="118"/>
      <c r="CE404" s="118">
        <f>INDEX('Gross Dx Plant'!$E$7:$AD$91,MATCH($C404,'Gross Dx Plant'!$D$7:$D$91,0),MATCH(Calculation!$G404,'Gross Dx Plant'!$E$5:$AD$5,0))</f>
        <v>2216516</v>
      </c>
      <c r="CF404" s="118">
        <f>INDEX('Gross Gen Plant'!$E$7:$AD$91,MATCH($C404,'Gross Gen Plant'!$D$7:$D$91,0),MATCH(Calculation!$G404,'Gross Gen Plant'!$E$5:$AD$5,0))</f>
        <v>52355</v>
      </c>
      <c r="CG404" s="118">
        <f t="shared" si="969"/>
        <v>775525</v>
      </c>
      <c r="CH404" s="119" t="e">
        <f>SUM(#REF!)/15</f>
        <v>#REF!</v>
      </c>
      <c r="CI404" s="121">
        <v>2006</v>
      </c>
      <c r="CJ404" s="118"/>
      <c r="CK404" s="118"/>
      <c r="CL404" s="118"/>
      <c r="CM404" s="183"/>
      <c r="CN404" s="118">
        <f t="shared" si="1121"/>
        <v>85126</v>
      </c>
      <c r="CO404" s="118">
        <f t="shared" si="1122"/>
        <v>184.62078749061376</v>
      </c>
      <c r="CP404" s="186">
        <v>0.9555555555555556</v>
      </c>
      <c r="CQ404" s="118">
        <f>+CQ396*CP404+CO397*CP403+CO398*CP402+CO399*CP401+CO400*CP400+CO401*CP399+CO402*CP398+CO403*CP397+CO404</f>
        <v>5267.9187729814466</v>
      </c>
      <c r="CR404" s="119">
        <f t="shared" si="1123"/>
        <v>2.9508131112581115E-2</v>
      </c>
      <c r="CS404" s="119"/>
      <c r="CT404" s="177">
        <f t="shared" si="1124"/>
        <v>6.1479962659461602E-3</v>
      </c>
      <c r="CU404" s="177">
        <f t="shared" si="1132"/>
        <v>5.9658087971162198E-3</v>
      </c>
      <c r="CV404" s="119">
        <f>VLOOKUP($H404,RoR!$E:$F,2,FALSE)</f>
        <v>5.5874999999999994E-2</v>
      </c>
      <c r="CW404" s="177">
        <v>3.0512430354548314E-2</v>
      </c>
      <c r="CX404" s="177">
        <f t="shared" si="1130"/>
        <v>2.536256964545168E-2</v>
      </c>
      <c r="CY404" s="177">
        <f t="shared" si="1133"/>
        <v>2.4936132811417405E-2</v>
      </c>
      <c r="CZ404" s="177">
        <f t="shared" si="1134"/>
        <v>7.9087823893859641E-2</v>
      </c>
      <c r="DA404" s="187">
        <f t="shared" si="1125"/>
        <v>0.86875000000000002</v>
      </c>
      <c r="DB404" s="188">
        <f t="shared" si="1126"/>
        <v>0.91779957551769631</v>
      </c>
      <c r="DC404" s="188">
        <f t="shared" si="1127"/>
        <v>0.52757270693512304</v>
      </c>
      <c r="DD404" s="188">
        <f t="shared" si="1128"/>
        <v>0.88636824549024895</v>
      </c>
      <c r="DE404" s="188">
        <f t="shared" si="1129"/>
        <v>0.42918482841932087</v>
      </c>
      <c r="DF404" s="189">
        <f>INDEX('State Tax Lookup'!$D$7:$Z$91,MATCH(Calculation!$C404,'State Tax Lookup'!$B$7:$B$91,0),MATCH($H404,'State Tax Lookup'!$D$6:$Z$6,0))</f>
        <v>0.35</v>
      </c>
      <c r="DG404" s="189">
        <v>0.375</v>
      </c>
      <c r="DH404" s="190">
        <f t="shared" si="1131"/>
        <v>15.261405760330028</v>
      </c>
      <c r="DI404" s="190">
        <v>14.825432342659434</v>
      </c>
      <c r="DJ404" s="177"/>
      <c r="DK404" s="189">
        <f>VLOOKUP($H404,RoR!$E:$F,2,FALSE)</f>
        <v>5.5874999999999994E-2</v>
      </c>
      <c r="DL404" s="191">
        <f>HLOOKUP($H404,'GDP-PI'!$D$8:$CQ$11,3,FALSE)</f>
        <v>3.0512430354548314E-2</v>
      </c>
      <c r="DM404" s="189">
        <f>VLOOKUP(H404,'HW Dx Data'!$E:$F,2,FALSE)</f>
        <v>461.08567272971823</v>
      </c>
      <c r="DN404" s="183">
        <f>VLOOKUP(H404,'ECI - Input Price'!$G$17:$H$37,2,FALSE)</f>
        <v>102.05</v>
      </c>
      <c r="DO404" s="177">
        <f t="shared" ref="DO404" si="1152">LN(DN404/DN403)</f>
        <v>2.8829034290048662E-2</v>
      </c>
      <c r="DP404" s="183">
        <f>HLOOKUP(H404,'GDP-PI'!$8:$9,2,FALSE)</f>
        <v>90.073999999999998</v>
      </c>
      <c r="DQ404" s="177">
        <f t="shared" ref="DQ404" si="1153">LN(DP404/DP403)</f>
        <v>3.005618372545445E-2</v>
      </c>
      <c r="DR404" s="167">
        <v>4.2856778722666529E-3</v>
      </c>
    </row>
    <row r="405" spans="1:122" s="167" customFormat="1" ht="21" x14ac:dyDescent="0.35">
      <c r="A405" s="167" t="s">
        <v>52</v>
      </c>
      <c r="B405" s="168" t="s">
        <v>52</v>
      </c>
      <c r="C405" s="168">
        <v>4057081</v>
      </c>
      <c r="D405" s="168" t="s">
        <v>137</v>
      </c>
      <c r="E405" s="168"/>
      <c r="F405" s="168"/>
      <c r="G405" s="168" t="s">
        <v>13</v>
      </c>
      <c r="H405" s="169">
        <v>2007</v>
      </c>
      <c r="I405" s="170"/>
      <c r="J405" s="166">
        <f>IFERROR(INDEX('Labor Expenditures'!$F$7:$X$91,MATCH($C405,'Labor Expenditures'!$D$7:$D$91,0),MATCH($G405,'Labor Expenditures'!$F$5:$X$5,0)),"NA")</f>
        <v>101899.5695421228</v>
      </c>
      <c r="K405" s="166">
        <f t="shared" si="1137"/>
        <v>968.39695454618948</v>
      </c>
      <c r="L405" s="172">
        <f t="shared" si="1144"/>
        <v>-2.498065913488311E-2</v>
      </c>
      <c r="M405" s="172">
        <f t="shared" si="1148"/>
        <v>-9.984049671673816E-4</v>
      </c>
      <c r="N405" s="196"/>
      <c r="O405" s="172"/>
      <c r="P405" s="166">
        <f>IFERROR(INDEX('Non-Labor Expenditures'!$F$7:$AB$91,MATCH($C405,'Non-Labor Expenditures'!$D$7:$D$91,0),MATCH($G405,'Non-Labor Expenditures'!$F$5:$AB$5,0)),"NA")</f>
        <v>147569.60891129024</v>
      </c>
      <c r="Q405" s="166">
        <f t="shared" si="1138"/>
        <v>1595.3816181029886</v>
      </c>
      <c r="R405" s="172">
        <f t="shared" si="1149"/>
        <v>-2.08981016841405E-2</v>
      </c>
      <c r="S405" s="172">
        <f t="shared" ref="S405:S419" si="1154">+R405*AR405</f>
        <v>-8.3523690920866208E-4</v>
      </c>
      <c r="T405" s="172"/>
      <c r="U405" s="172"/>
      <c r="V405" s="166">
        <f t="shared" si="1119"/>
        <v>86332.921547496662</v>
      </c>
      <c r="W405" s="170"/>
      <c r="X405" s="174">
        <v>5417.2168507106408</v>
      </c>
      <c r="Y405" s="175">
        <v>2.7946822574324875E-2</v>
      </c>
      <c r="Z405" s="175">
        <f t="shared" ref="Z405:Z419" si="1155">+Y405*AR405</f>
        <v>1.1169539732355837E-3</v>
      </c>
      <c r="AA405" s="175"/>
      <c r="AB405" s="175"/>
      <c r="AC405" s="170">
        <f t="shared" si="1086"/>
        <v>335802.1000009097</v>
      </c>
      <c r="AD405" s="175">
        <f t="shared" si="1150"/>
        <v>2.9256589089690227E-2</v>
      </c>
      <c r="AE405" s="170"/>
      <c r="AF405" s="170"/>
      <c r="AG405" s="121">
        <f t="shared" si="1151"/>
        <v>196.52996273147414</v>
      </c>
      <c r="AH405" s="119">
        <f>+AZ405/$BB$45</f>
        <v>4.8239888369661962E-2</v>
      </c>
      <c r="AI405" s="119"/>
      <c r="AJ405" s="176">
        <f t="shared" ref="AJ405:AJ419" si="1156">+AH405*AG405</f>
        <v>9.4805834634601389</v>
      </c>
      <c r="AK405" s="176">
        <f t="shared" ref="AK405:AK419" si="1157">+AI405*AG405</f>
        <v>0</v>
      </c>
      <c r="AL405" s="120">
        <f t="shared" si="1139"/>
        <v>0.30345125757655106</v>
      </c>
      <c r="AM405" s="120">
        <f t="shared" si="1140"/>
        <v>0.43945409784778139</v>
      </c>
      <c r="AN405" s="120">
        <f t="shared" si="1141"/>
        <v>0.25709464457566755</v>
      </c>
      <c r="AO405" s="120">
        <f t="shared" si="1145"/>
        <v>-1.0027248928274005E-2</v>
      </c>
      <c r="AP405" s="173">
        <f>+AP404*EXP(AO405)</f>
        <v>94.443208329467126</v>
      </c>
      <c r="AQ405" s="175">
        <f>LN(AP405/AP404)</f>
        <v>-1.0027248928273988E-2</v>
      </c>
      <c r="AR405" s="177">
        <f>+AC405/$AE$45</f>
        <v>3.9967118632718714E-2</v>
      </c>
      <c r="AS405" s="177">
        <f t="shared" ref="AS405:AS419" si="1158">+AR405*AQ405</f>
        <v>-4.0076024747612808E-4</v>
      </c>
      <c r="AT405" s="177"/>
      <c r="AU405" s="177"/>
      <c r="AV405" s="177"/>
      <c r="AW405" s="190"/>
      <c r="AX405" s="120"/>
      <c r="AY405" s="120"/>
      <c r="AZ405" s="118">
        <f>IFERROR(INDEX('Total Customers'!$F$7:$AB$91,MATCH($C405,'Total Customers'!$D$7:$D$91,0),MATCH($G405,'Total Customers'!$F$5:$AB$5,0)),"NA")</f>
        <v>1708656</v>
      </c>
      <c r="BA405" s="119">
        <f t="shared" si="1120"/>
        <v>5.5497600626380858E-4</v>
      </c>
      <c r="BB405" s="119"/>
      <c r="BC405" s="121"/>
      <c r="BD405" s="119"/>
      <c r="BE405" s="119"/>
      <c r="BF405" s="119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18"/>
      <c r="BR405" s="118"/>
      <c r="BS405" s="118">
        <f>INDEX('Dist. Plant Gas Additions'!$F$7:$AE$91,MATCH($C405,'Dist. Plant Gas Additions'!$D$7:$D$91,0),MATCH(Calculation!$G405,'Dist. Plant Gas Additions'!$F$5:$AE$5,0))</f>
        <v>77548</v>
      </c>
      <c r="BT405" s="118">
        <f>INDEX('Gen. Plant Additions'!$F$7:$AE$91,MATCH($C405,'Gen. Plant Additions'!$D$7:$D$91,0),MATCH(Calculation!$G405,'Gen. Plant Additions'!$F$5:$AE$5,0))</f>
        <v>13445</v>
      </c>
      <c r="BU405" s="118"/>
      <c r="BV405" s="118"/>
      <c r="BW405" s="118">
        <f>INDEX('Dist Plant Depreciation'!$E$7:$AD$94,MATCH($C405,'Dist Plant Depreciation'!$D$7:$D$94,0),MATCH(Calculation!$G405,'Dist Plant Depreciation'!$E$5:$AD$5,0))</f>
        <v>1402450</v>
      </c>
      <c r="BX405" s="118">
        <f>INDEX('Gen. Plant Depreciation'!$E$7:$AD$94,MATCH($C405,'Gen. Plant Depreciation'!$D$7:$D$94,0),MATCH(Calculation!$G405,'Gen. Plant Depreciation'!$E$5:$AD$5,0))</f>
        <v>26055</v>
      </c>
      <c r="BY405" s="118"/>
      <c r="BZ405" s="118"/>
      <c r="CA405" s="118"/>
      <c r="CB405" s="118"/>
      <c r="CC405" s="118"/>
      <c r="CD405" s="118"/>
      <c r="CE405" s="118">
        <f>INDEX('Gross Dx Plant'!$E$7:$AD$91,MATCH($C405,'Gross Dx Plant'!$D$7:$D$91,0),MATCH(Calculation!$G405,'Gross Dx Plant'!$E$5:$AD$5,0))</f>
        <v>2285645</v>
      </c>
      <c r="CF405" s="118">
        <f>INDEX('Gross Gen Plant'!$E$7:$AD$91,MATCH($C405,'Gross Gen Plant'!$D$7:$D$91,0),MATCH(Calculation!$G405,'Gross Gen Plant'!$E$5:$AD$5,0))</f>
        <v>62226</v>
      </c>
      <c r="CG405" s="118">
        <f t="shared" si="969"/>
        <v>919366</v>
      </c>
      <c r="CH405" s="118"/>
      <c r="CI405" s="121">
        <v>2007</v>
      </c>
      <c r="CJ405" s="118"/>
      <c r="CK405" s="118"/>
      <c r="CL405" s="118"/>
      <c r="CM405" s="183"/>
      <c r="CN405" s="118">
        <f t="shared" si="1121"/>
        <v>90993</v>
      </c>
      <c r="CO405" s="118">
        <f t="shared" si="1122"/>
        <v>182.70868025823256</v>
      </c>
      <c r="CP405" s="186">
        <v>0.94915254237288138</v>
      </c>
      <c r="CQ405" s="118">
        <f>+CQ396*CP405+CO397*CP404+CO398*CP403+CO399*CP402+CO400*CP401+CO401*CP400+CO402*CP399+CO403*CP398+CO404*CP397+CO405</f>
        <v>5417.2168507106408</v>
      </c>
      <c r="CR405" s="119">
        <f t="shared" si="1123"/>
        <v>2.7946822574324875E-2</v>
      </c>
      <c r="CS405" s="119"/>
      <c r="CT405" s="177">
        <f t="shared" si="1124"/>
        <v>6.3422774664631514E-3</v>
      </c>
      <c r="CU405" s="177">
        <f t="shared" si="1132"/>
        <v>6.1511981690332189E-3</v>
      </c>
      <c r="CV405" s="119">
        <f>VLOOKUP($H405,RoR!$E:$F,2,FALSE)</f>
        <v>5.5558333333333321E-2</v>
      </c>
      <c r="CW405" s="177">
        <v>2.691120634145272E-2</v>
      </c>
      <c r="CX405" s="177">
        <f t="shared" si="1130"/>
        <v>2.86471269918806E-2</v>
      </c>
      <c r="CY405" s="177">
        <f t="shared" si="1133"/>
        <v>2.4750743439500407E-2</v>
      </c>
      <c r="CZ405" s="177">
        <f t="shared" si="1134"/>
        <v>6.4575155250632399E-2</v>
      </c>
      <c r="DA405" s="187">
        <f t="shared" si="1125"/>
        <v>0.86875000000000002</v>
      </c>
      <c r="DB405" s="188">
        <f t="shared" si="1126"/>
        <v>0.92303077153834634</v>
      </c>
      <c r="DC405" s="188">
        <f t="shared" si="1127"/>
        <v>0.52502249887505614</v>
      </c>
      <c r="DD405" s="188">
        <f t="shared" si="1128"/>
        <v>0.88499666072084604</v>
      </c>
      <c r="DE405" s="188">
        <f t="shared" si="1129"/>
        <v>0.42887993290280618</v>
      </c>
      <c r="DF405" s="189">
        <f>INDEX('State Tax Lookup'!$D$7:$Z$91,MATCH(Calculation!$C405,'State Tax Lookup'!$B$7:$B$91,0),MATCH($H405,'State Tax Lookup'!$D$6:$Z$6,0))</f>
        <v>0.35</v>
      </c>
      <c r="DG405" s="189">
        <v>0.375</v>
      </c>
      <c r="DH405" s="190">
        <f t="shared" si="1131"/>
        <v>16.388430662653409</v>
      </c>
      <c r="DI405" s="190">
        <v>16.156447222470327</v>
      </c>
      <c r="DJ405" s="177"/>
      <c r="DK405" s="189">
        <f>VLOOKUP($H405,RoR!$E:$F,2,FALSE)</f>
        <v>5.5558333333333321E-2</v>
      </c>
      <c r="DL405" s="191">
        <f>HLOOKUP($H405,'GDP-PI'!$D$8:$CQ$11,3,FALSE)</f>
        <v>2.691120634145272E-2</v>
      </c>
      <c r="DM405" s="189">
        <f>VLOOKUP(H405,'HW Dx Data'!$E:$F,2,FALSE)</f>
        <v>498.0223154772637</v>
      </c>
      <c r="DN405" s="183">
        <f>VLOOKUP(H405,'ECI - Input Price'!$G$17:$H$37,2,FALSE)</f>
        <v>105.22500000000001</v>
      </c>
      <c r="DO405" s="177">
        <f t="shared" ref="DO405" si="1159">LN(DN405/DN404)</f>
        <v>3.0638025400780679E-2</v>
      </c>
      <c r="DP405" s="183">
        <f>HLOOKUP(H405,'GDP-PI'!$8:$9,2,FALSE)</f>
        <v>92.498000000000005</v>
      </c>
      <c r="DQ405" s="177">
        <f t="shared" ref="DQ405" si="1160">LN(DP405/DP404)</f>
        <v>2.6555467950038037E-2</v>
      </c>
      <c r="DR405" s="167">
        <v>1.0258771601337193E-2</v>
      </c>
    </row>
    <row r="406" spans="1:122" s="167" customFormat="1" ht="21" x14ac:dyDescent="0.35">
      <c r="A406" s="167" t="s">
        <v>52</v>
      </c>
      <c r="B406" s="168" t="s">
        <v>52</v>
      </c>
      <c r="C406" s="168">
        <v>4057081</v>
      </c>
      <c r="D406" s="168" t="s">
        <v>137</v>
      </c>
      <c r="E406" s="168"/>
      <c r="F406" s="168"/>
      <c r="G406" s="168" t="s">
        <v>14</v>
      </c>
      <c r="H406" s="169">
        <v>2008</v>
      </c>
      <c r="I406" s="170"/>
      <c r="J406" s="166">
        <f>IFERROR(INDEX('Labor Expenditures'!$F$7:$X$91,MATCH($C406,'Labor Expenditures'!$D$7:$D$91,0),MATCH($G406,'Labor Expenditures'!$F$5:$X$5,0)),"NA")</f>
        <v>109238.41661394139</v>
      </c>
      <c r="K406" s="166">
        <f t="shared" si="1137"/>
        <v>1009.3639788767973</v>
      </c>
      <c r="L406" s="172">
        <f t="shared" si="1144"/>
        <v>4.1433607363076448E-2</v>
      </c>
      <c r="M406" s="172">
        <f t="shared" si="1148"/>
        <v>1.6987735435392657E-3</v>
      </c>
      <c r="N406" s="196"/>
      <c r="O406" s="172"/>
      <c r="P406" s="166">
        <f>IFERROR(INDEX('Non-Labor Expenditures'!$F$7:$AB$91,MATCH($C406,'Non-Labor Expenditures'!$D$7:$D$91,0),MATCH($G406,'Non-Labor Expenditures'!$F$5:$AB$5,0)),"NA")</f>
        <v>158197.63017884188</v>
      </c>
      <c r="Q406" s="166">
        <f t="shared" si="1138"/>
        <v>1678.2401572057402</v>
      </c>
      <c r="R406" s="172">
        <f t="shared" si="1149"/>
        <v>5.0632752286453968E-2</v>
      </c>
      <c r="S406" s="172">
        <f t="shared" si="1154"/>
        <v>2.0759375177517429E-3</v>
      </c>
      <c r="T406" s="172"/>
      <c r="U406" s="172"/>
      <c r="V406" s="166">
        <f t="shared" si="1119"/>
        <v>100826.87387285635</v>
      </c>
      <c r="W406" s="170"/>
      <c r="X406" s="174">
        <v>5527.7069832893421</v>
      </c>
      <c r="Y406" s="175">
        <v>2.0190891754843957E-2</v>
      </c>
      <c r="Z406" s="175">
        <f t="shared" si="1155"/>
        <v>8.2782443809515435E-4</v>
      </c>
      <c r="AA406" s="175"/>
      <c r="AB406" s="175"/>
      <c r="AC406" s="170">
        <f t="shared" si="1086"/>
        <v>368262.92066563957</v>
      </c>
      <c r="AD406" s="175">
        <f t="shared" si="1150"/>
        <v>9.2275143046571459E-2</v>
      </c>
      <c r="AE406" s="170"/>
      <c r="AF406" s="170"/>
      <c r="AG406" s="121">
        <f t="shared" si="1151"/>
        <v>215.82972447768378</v>
      </c>
      <c r="AH406" s="119">
        <f>+AZ406/$BB$46</f>
        <v>4.7915562791918873E-2</v>
      </c>
      <c r="AI406" s="119"/>
      <c r="AJ406" s="176">
        <f t="shared" si="1156"/>
        <v>10.341602715573007</v>
      </c>
      <c r="AK406" s="176">
        <f t="shared" si="1157"/>
        <v>0</v>
      </c>
      <c r="AL406" s="120">
        <f t="shared" si="1139"/>
        <v>0.29663159249508925</v>
      </c>
      <c r="AM406" s="120">
        <f t="shared" si="1140"/>
        <v>0.4295779490720863</v>
      </c>
      <c r="AN406" s="120">
        <f t="shared" si="1141"/>
        <v>0.27379045843282451</v>
      </c>
      <c r="AO406" s="120">
        <f t="shared" si="1145"/>
        <v>3.9792062602485787E-2</v>
      </c>
      <c r="AP406" s="173">
        <f t="shared" ref="AP406:AP419" si="1161">+AP405*EXP(AO406)</f>
        <v>98.277071175392791</v>
      </c>
      <c r="AQ406" s="175">
        <f t="shared" ref="AQ406:AQ419" si="1162">LN(AP406/AP405)</f>
        <v>3.9792062602485856E-2</v>
      </c>
      <c r="AR406" s="177">
        <f>+AC406/$AE$46</f>
        <v>4.0999894811310285E-2</v>
      </c>
      <c r="AS406" s="177">
        <f t="shared" si="1158"/>
        <v>1.6314703810269939E-3</v>
      </c>
      <c r="AT406" s="177"/>
      <c r="AU406" s="177"/>
      <c r="AV406" s="177"/>
      <c r="AW406" s="190"/>
      <c r="AX406" s="120"/>
      <c r="AY406" s="120"/>
      <c r="AZ406" s="118">
        <f>IFERROR(INDEX('Total Customers'!$F$7:$AB$91,MATCH($C406,'Total Customers'!$D$7:$D$91,0),MATCH($G406,'Total Customers'!$F$5:$AB$5,0)),"NA")</f>
        <v>1706266</v>
      </c>
      <c r="BA406" s="119">
        <f t="shared" si="1120"/>
        <v>-1.3997393733861478E-3</v>
      </c>
      <c r="BB406" s="119"/>
      <c r="BC406" s="121"/>
      <c r="BD406" s="119"/>
      <c r="BE406" s="119"/>
      <c r="BF406" s="119"/>
      <c r="BG406" s="173"/>
      <c r="BH406" s="173"/>
      <c r="BI406" s="173"/>
      <c r="BJ406" s="173"/>
      <c r="BK406" s="173"/>
      <c r="BL406" s="173"/>
      <c r="BM406" s="173"/>
      <c r="BN406" s="173"/>
      <c r="BO406" s="173"/>
      <c r="BP406" s="173"/>
      <c r="BQ406" s="118"/>
      <c r="BR406" s="118"/>
      <c r="BS406" s="118">
        <f>INDEX('Dist. Plant Gas Additions'!$F$7:$AE$91,MATCH($C406,'Dist. Plant Gas Additions'!$D$7:$D$91,0),MATCH(Calculation!$G406,'Dist. Plant Gas Additions'!$F$5:$AE$5,0))</f>
        <v>81780</v>
      </c>
      <c r="BT406" s="118">
        <f>INDEX('Gen. Plant Additions'!$F$7:$AE$91,MATCH($C406,'Gen. Plant Additions'!$D$7:$D$91,0),MATCH(Calculation!$G406,'Gen. Plant Additions'!$F$5:$AE$5,0))</f>
        <v>1387</v>
      </c>
      <c r="BU406" s="118"/>
      <c r="BV406" s="118"/>
      <c r="BW406" s="118">
        <f>INDEX('Dist Plant Depreciation'!$E$7:$AD$94,MATCH($C406,'Dist Plant Depreciation'!$D$7:$D$94,0),MATCH(Calculation!$G406,'Dist Plant Depreciation'!$E$5:$AD$5,0))</f>
        <v>1478542</v>
      </c>
      <c r="BX406" s="118">
        <f>INDEX('Gen. Plant Depreciation'!$E$7:$AD$94,MATCH($C406,'Gen. Plant Depreciation'!$D$7:$D$94,0),MATCH(Calculation!$G406,'Gen. Plant Depreciation'!$E$5:$AD$5,0))</f>
        <v>28665</v>
      </c>
      <c r="BY406" s="118"/>
      <c r="BZ406" s="118"/>
      <c r="CA406" s="118"/>
      <c r="CB406" s="118"/>
      <c r="CC406" s="118"/>
      <c r="CD406" s="118"/>
      <c r="CE406" s="118">
        <f>INDEX('Gross Dx Plant'!$E$7:$AD$91,MATCH($C406,'Gross Dx Plant'!$D$7:$D$91,0),MATCH(Calculation!$G406,'Gross Dx Plant'!$E$5:$AD$5,0))</f>
        <v>2459443</v>
      </c>
      <c r="CF406" s="118">
        <f>INDEX('Gross Gen Plant'!$E$7:$AD$91,MATCH($C406,'Gross Gen Plant'!$D$7:$D$91,0),MATCH(Calculation!$G406,'Gross Gen Plant'!$E$5:$AD$5,0))</f>
        <v>61995</v>
      </c>
      <c r="CG406" s="118">
        <f t="shared" si="969"/>
        <v>1014231</v>
      </c>
      <c r="CH406" s="118"/>
      <c r="CI406" s="121">
        <v>2008</v>
      </c>
      <c r="CJ406" s="118"/>
      <c r="CK406" s="118"/>
      <c r="CL406" s="118"/>
      <c r="CM406" s="183"/>
      <c r="CN406" s="118">
        <f t="shared" si="1121"/>
        <v>83167</v>
      </c>
      <c r="CO406" s="118">
        <f t="shared" si="1122"/>
        <v>145.93743312338898</v>
      </c>
      <c r="CP406" s="186">
        <v>0.94252873563218387</v>
      </c>
      <c r="CQ406" s="118">
        <f>+CQ396*CP406+CO397*CP405+CO398*CP404+CO399*CP403+CO400*CP402+CO401*CP401+CO402*CP400+CO403*CP399+CO404*CP398+CO405*CP397+CO406</f>
        <v>5527.7069832893421</v>
      </c>
      <c r="CR406" s="119">
        <f t="shared" si="1123"/>
        <v>2.0190891754843957E-2</v>
      </c>
      <c r="CS406" s="119"/>
      <c r="CT406" s="177">
        <f t="shared" si="1124"/>
        <v>6.5434523892167178E-3</v>
      </c>
      <c r="CU406" s="177">
        <f t="shared" si="1132"/>
        <v>6.3445753738753429E-3</v>
      </c>
      <c r="CV406" s="119">
        <f>VLOOKUP($H406,RoR!$E:$F,2,FALSE)</f>
        <v>5.6316666666666668E-2</v>
      </c>
      <c r="CW406" s="177">
        <v>1.9092304698479889E-2</v>
      </c>
      <c r="CX406" s="177">
        <f t="shared" si="1130"/>
        <v>3.7224361968186778E-2</v>
      </c>
      <c r="CY406" s="177">
        <f t="shared" si="1133"/>
        <v>2.4557366234658283E-2</v>
      </c>
      <c r="CZ406" s="177">
        <f t="shared" si="1134"/>
        <v>6.9030581091053131E-2</v>
      </c>
      <c r="DA406" s="187">
        <f t="shared" si="1125"/>
        <v>0.86875000000000002</v>
      </c>
      <c r="DB406" s="188">
        <f t="shared" si="1126"/>
        <v>0.91060168006009956</v>
      </c>
      <c r="DC406" s="188">
        <f t="shared" si="1127"/>
        <v>0.53108168097070152</v>
      </c>
      <c r="DD406" s="188">
        <f t="shared" si="1128"/>
        <v>0.88825329850328805</v>
      </c>
      <c r="DE406" s="188">
        <f t="shared" si="1129"/>
        <v>0.4295627335323573</v>
      </c>
      <c r="DF406" s="189">
        <f>INDEX('State Tax Lookup'!$D$7:$Z$91,MATCH(Calculation!$C406,'State Tax Lookup'!$B$7:$B$91,0),MATCH($H406,'State Tax Lookup'!$D$6:$Z$6,0))</f>
        <v>0.35</v>
      </c>
      <c r="DG406" s="189">
        <v>0.375</v>
      </c>
      <c r="DH406" s="190">
        <f t="shared" si="1131"/>
        <v>18.612301602737148</v>
      </c>
      <c r="DI406" s="190">
        <v>18.35537812318141</v>
      </c>
      <c r="DJ406" s="177"/>
      <c r="DK406" s="189">
        <f>VLOOKUP($H406,RoR!$E:$F,2,FALSE)</f>
        <v>5.6316666666666668E-2</v>
      </c>
      <c r="DL406" s="191">
        <f>HLOOKUP($H406,'GDP-PI'!$D$8:$CQ$11,3,FALSE)</f>
        <v>1.9092304698479889E-2</v>
      </c>
      <c r="DM406" s="189">
        <f>VLOOKUP(H406,'HW Dx Data'!$E:$F,2,FALSE)</f>
        <v>569.88120333515076</v>
      </c>
      <c r="DN406" s="183">
        <f>VLOOKUP(H406,'ECI - Input Price'!$G$17:$H$37,2,FALSE)</f>
        <v>108.22499999999999</v>
      </c>
      <c r="DO406" s="177">
        <f t="shared" ref="DO406" si="1163">LN(DN406/DN405)</f>
        <v>2.8111478671409691E-2</v>
      </c>
      <c r="DP406" s="183">
        <f>HLOOKUP(H406,'GDP-PI'!$8:$9,2,FALSE)</f>
        <v>94.263999999999996</v>
      </c>
      <c r="DQ406" s="177">
        <f t="shared" ref="DQ406" si="1164">LN(DP406/DP405)</f>
        <v>1.8912333748032254E-2</v>
      </c>
      <c r="DR406" s="167">
        <v>7.8947970301827992E-3</v>
      </c>
    </row>
    <row r="407" spans="1:122" s="167" customFormat="1" ht="21" x14ac:dyDescent="0.35">
      <c r="A407" s="167" t="s">
        <v>52</v>
      </c>
      <c r="B407" s="168" t="s">
        <v>52</v>
      </c>
      <c r="C407" s="168">
        <v>4057081</v>
      </c>
      <c r="D407" s="168" t="s">
        <v>137</v>
      </c>
      <c r="E407" s="168"/>
      <c r="F407" s="168"/>
      <c r="G407" s="168" t="s">
        <v>15</v>
      </c>
      <c r="H407" s="169">
        <v>2009</v>
      </c>
      <c r="I407" s="170"/>
      <c r="J407" s="166">
        <f>IFERROR(INDEX('Labor Expenditures'!$F$7:$X$91,MATCH($C407,'Labor Expenditures'!$D$7:$D$91,0),MATCH($G407,'Labor Expenditures'!$F$5:$X$5,0)),"NA")</f>
        <v>110453.24097685704</v>
      </c>
      <c r="K407" s="166">
        <f t="shared" si="1137"/>
        <v>1006.17846483131</v>
      </c>
      <c r="L407" s="172">
        <f t="shared" si="1144"/>
        <v>-3.160952236755275E-3</v>
      </c>
      <c r="M407" s="172">
        <f t="shared" si="1148"/>
        <v>-1.2451693842875088E-4</v>
      </c>
      <c r="N407" s="196"/>
      <c r="O407" s="172"/>
      <c r="P407" s="166">
        <f>IFERROR(INDEX('Non-Labor Expenditures'!$F$7:$AB$91,MATCH($C407,'Non-Labor Expenditures'!$D$7:$D$91,0),MATCH($G407,'Non-Labor Expenditures'!$F$5:$AB$5,0)),"NA")</f>
        <v>159956.92275423656</v>
      </c>
      <c r="Q407" s="166">
        <f t="shared" si="1138"/>
        <v>1683.7748055688646</v>
      </c>
      <c r="R407" s="172">
        <f t="shared" si="1149"/>
        <v>3.2924620646719522E-3</v>
      </c>
      <c r="S407" s="172">
        <f t="shared" si="1154"/>
        <v>1.2969740302263722E-4</v>
      </c>
      <c r="T407" s="172"/>
      <c r="U407" s="172"/>
      <c r="V407" s="166">
        <f t="shared" si="1119"/>
        <v>98651.071225251057</v>
      </c>
      <c r="W407" s="170"/>
      <c r="X407" s="174">
        <v>5708.9063902992821</v>
      </c>
      <c r="Y407" s="175">
        <v>3.225440083972908E-2</v>
      </c>
      <c r="Z407" s="175">
        <f t="shared" si="1155"/>
        <v>1.2705725814887527E-3</v>
      </c>
      <c r="AA407" s="175"/>
      <c r="AB407" s="175"/>
      <c r="AC407" s="170">
        <f t="shared" si="1086"/>
        <v>369061.23495634465</v>
      </c>
      <c r="AD407" s="175">
        <f t="shared" si="1150"/>
        <v>2.1654372681736895E-3</v>
      </c>
      <c r="AE407" s="170"/>
      <c r="AF407" s="170"/>
      <c r="AG407" s="121">
        <f t="shared" si="1151"/>
        <v>216.8052178274462</v>
      </c>
      <c r="AH407" s="119">
        <f>+AZ407/$BB$47</f>
        <v>4.7734400896854892E-2</v>
      </c>
      <c r="AI407" s="119"/>
      <c r="AJ407" s="176">
        <f t="shared" si="1156"/>
        <v>10.349067184305268</v>
      </c>
      <c r="AK407" s="176">
        <f t="shared" si="1157"/>
        <v>0</v>
      </c>
      <c r="AL407" s="120">
        <f t="shared" si="1139"/>
        <v>0.29928161105818191</v>
      </c>
      <c r="AM407" s="120">
        <f t="shared" si="1140"/>
        <v>0.43341567090663824</v>
      </c>
      <c r="AN407" s="120">
        <f t="shared" si="1141"/>
        <v>0.26730271803517985</v>
      </c>
      <c r="AO407" s="120">
        <f t="shared" si="1145"/>
        <v>9.2051783937957179E-3</v>
      </c>
      <c r="AP407" s="173">
        <f t="shared" si="1161"/>
        <v>99.185905722126293</v>
      </c>
      <c r="AQ407" s="175">
        <f t="shared" si="1162"/>
        <v>9.2051783937956624E-3</v>
      </c>
      <c r="AR407" s="177">
        <f>+AC407/$AE$47</f>
        <v>3.9392223957350217E-2</v>
      </c>
      <c r="AS407" s="177">
        <f t="shared" si="1158"/>
        <v>3.6261244885576007E-4</v>
      </c>
      <c r="AT407" s="177"/>
      <c r="AU407" s="177"/>
      <c r="AV407" s="177"/>
      <c r="AW407" s="190"/>
      <c r="AX407" s="120"/>
      <c r="AY407" s="120"/>
      <c r="AZ407" s="118">
        <f>IFERROR(INDEX('Total Customers'!$F$7:$AB$91,MATCH($C407,'Total Customers'!$D$7:$D$91,0),MATCH($G407,'Total Customers'!$F$5:$AB$5,0)),"NA")</f>
        <v>1702271</v>
      </c>
      <c r="BA407" s="119">
        <f t="shared" si="1120"/>
        <v>-2.3441152783940582E-3</v>
      </c>
      <c r="BB407" s="119"/>
      <c r="BC407" s="121"/>
      <c r="BD407" s="119"/>
      <c r="BE407" s="119"/>
      <c r="BF407" s="119"/>
      <c r="BG407" s="173"/>
      <c r="BH407" s="173"/>
      <c r="BI407" s="173"/>
      <c r="BJ407" s="173"/>
      <c r="BK407" s="173"/>
      <c r="BL407" s="173"/>
      <c r="BM407" s="173"/>
      <c r="BN407" s="173"/>
      <c r="BO407" s="173"/>
      <c r="BP407" s="173"/>
      <c r="BQ407" s="118"/>
      <c r="BR407" s="118"/>
      <c r="BS407" s="118">
        <f>INDEX('Dist. Plant Gas Additions'!$F$7:$AE$91,MATCH($C407,'Dist. Plant Gas Additions'!$D$7:$D$91,0),MATCH(Calculation!$G407,'Dist. Plant Gas Additions'!$F$5:$AE$5,0))</f>
        <v>110951</v>
      </c>
      <c r="BT407" s="118">
        <f>INDEX('Gen. Plant Additions'!$F$7:$AE$91,MATCH($C407,'Gen. Plant Additions'!$D$7:$D$91,0),MATCH(Calculation!$G407,'Gen. Plant Additions'!$F$5:$AE$5,0))</f>
        <v>9477</v>
      </c>
      <c r="BU407" s="118"/>
      <c r="BV407" s="118"/>
      <c r="BW407" s="118">
        <f>INDEX('Dist Plant Depreciation'!$E$7:$AD$94,MATCH($C407,'Dist Plant Depreciation'!$D$7:$D$94,0),MATCH(Calculation!$G407,'Dist Plant Depreciation'!$E$5:$AD$5,0))</f>
        <v>1528832</v>
      </c>
      <c r="BX407" s="118">
        <f>INDEX('Gen. Plant Depreciation'!$E$7:$AD$94,MATCH($C407,'Gen. Plant Depreciation'!$D$7:$D$94,0),MATCH(Calculation!$G407,'Gen. Plant Depreciation'!$E$5:$AD$5,0))</f>
        <v>26980</v>
      </c>
      <c r="BY407" s="118"/>
      <c r="BZ407" s="118"/>
      <c r="CA407" s="118"/>
      <c r="CB407" s="118"/>
      <c r="CC407" s="118"/>
      <c r="CD407" s="118"/>
      <c r="CE407" s="118">
        <f>INDEX('Gross Dx Plant'!$E$7:$AD$91,MATCH($C407,'Gross Dx Plant'!$D$7:$D$91,0),MATCH(Calculation!$G407,'Gross Dx Plant'!$E$5:$AD$5,0))</f>
        <v>2557421</v>
      </c>
      <c r="CF407" s="118">
        <f>INDEX('Gross Gen Plant'!$E$7:$AD$91,MATCH($C407,'Gross Gen Plant'!$D$7:$D$91,0),MATCH(Calculation!$G407,'Gross Gen Plant'!$E$5:$AD$5,0))</f>
        <v>66471</v>
      </c>
      <c r="CG407" s="118">
        <f t="shared" si="969"/>
        <v>1068080</v>
      </c>
      <c r="CH407" s="118"/>
      <c r="CI407" s="121">
        <v>2009</v>
      </c>
      <c r="CJ407" s="118"/>
      <c r="CK407" s="118"/>
      <c r="CL407" s="118"/>
      <c r="CM407" s="183"/>
      <c r="CN407" s="118">
        <f t="shared" si="1121"/>
        <v>120428</v>
      </c>
      <c r="CO407" s="118">
        <f t="shared" si="1122"/>
        <v>218.5861632936485</v>
      </c>
      <c r="CP407" s="186">
        <v>0.93567251461988299</v>
      </c>
      <c r="CQ407" s="118">
        <f>+CQ396*CP407+CO397*CP406+CO398*CP405+CO399*CP404+CO400*CP403+CO401*CP402+CO402*CP401+CO403*CP400+CO404*CP399+CO405*CP398+CO406*CP397+CO407</f>
        <v>5708.9063902992821</v>
      </c>
      <c r="CR407" s="119">
        <f t="shared" si="1123"/>
        <v>3.225440083972908E-2</v>
      </c>
      <c r="CS407" s="119"/>
      <c r="CT407" s="177">
        <f t="shared" si="1124"/>
        <v>6.7635199182466497E-3</v>
      </c>
      <c r="CU407" s="177">
        <f t="shared" si="1132"/>
        <v>6.5497499246421733E-3</v>
      </c>
      <c r="CV407" s="119">
        <f>VLOOKUP($H407,RoR!$E:$F,2,FALSE)</f>
        <v>5.3133333333333324E-2</v>
      </c>
      <c r="CW407" s="177">
        <v>7.7972502758210105E-3</v>
      </c>
      <c r="CX407" s="177">
        <f t="shared" si="1130"/>
        <v>4.5336083057512314E-2</v>
      </c>
      <c r="CY407" s="177">
        <f t="shared" si="1133"/>
        <v>2.4352191683891453E-2</v>
      </c>
      <c r="CZ407" s="177">
        <f t="shared" si="1134"/>
        <v>6.3720160300892073E-2</v>
      </c>
      <c r="DA407" s="187">
        <f t="shared" si="1125"/>
        <v>0.86875000000000002</v>
      </c>
      <c r="DB407" s="188">
        <f t="shared" si="1126"/>
        <v>0.96515780330083989</v>
      </c>
      <c r="DC407" s="188">
        <f t="shared" si="1127"/>
        <v>0.50448557089084056</v>
      </c>
      <c r="DD407" s="188">
        <f t="shared" si="1128"/>
        <v>0.87391435735465484</v>
      </c>
      <c r="DE407" s="188">
        <f t="shared" si="1129"/>
        <v>0.42551605393279146</v>
      </c>
      <c r="DF407" s="189">
        <f>INDEX('State Tax Lookup'!$D$7:$Z$91,MATCH(Calculation!$C407,'State Tax Lookup'!$B$7:$B$91,0),MATCH($H407,'State Tax Lookup'!$D$6:$Z$6,0))</f>
        <v>0.35</v>
      </c>
      <c r="DG407" s="189">
        <v>0.375</v>
      </c>
      <c r="DH407" s="190">
        <f t="shared" si="1131"/>
        <v>17.846653508132825</v>
      </c>
      <c r="DI407" s="190">
        <v>17.528119257981608</v>
      </c>
      <c r="DJ407" s="177"/>
      <c r="DK407" s="189">
        <f>VLOOKUP($H407,RoR!$E:$F,2,FALSE)</f>
        <v>5.3133333333333324E-2</v>
      </c>
      <c r="DL407" s="191">
        <f>HLOOKUP($H407,'GDP-PI'!$D$8:$CQ$11,3,FALSE)</f>
        <v>7.7972502758210105E-3</v>
      </c>
      <c r="DM407" s="189">
        <f>VLOOKUP(H407,'HW Dx Data'!$E:$F,2,FALSE)</f>
        <v>550.94063679692806</v>
      </c>
      <c r="DN407" s="183">
        <f>VLOOKUP(H407,'ECI - Input Price'!$G$17:$H$37,2,FALSE)</f>
        <v>109.77499999999999</v>
      </c>
      <c r="DO407" s="177">
        <f t="shared" ref="DO407" si="1165">LN(DN407/DN406)</f>
        <v>1.4220423119736749E-2</v>
      </c>
      <c r="DP407" s="183">
        <f>HLOOKUP(H407,'GDP-PI'!$8:$9,2,FALSE)</f>
        <v>94.998999999999995</v>
      </c>
      <c r="DQ407" s="177">
        <f t="shared" ref="DQ407" si="1166">LN(DP407/DP406)</f>
        <v>7.7670088183096342E-3</v>
      </c>
      <c r="DR407" s="167">
        <v>5.1851356378726017E-2</v>
      </c>
    </row>
    <row r="408" spans="1:122" s="167" customFormat="1" ht="21" x14ac:dyDescent="0.35">
      <c r="A408" s="167" t="s">
        <v>52</v>
      </c>
      <c r="B408" s="168" t="s">
        <v>52</v>
      </c>
      <c r="C408" s="168">
        <v>4057081</v>
      </c>
      <c r="D408" s="168" t="s">
        <v>137</v>
      </c>
      <c r="E408" s="168"/>
      <c r="F408" s="168"/>
      <c r="G408" s="168" t="s">
        <v>16</v>
      </c>
      <c r="H408" s="169">
        <v>2010</v>
      </c>
      <c r="I408" s="170"/>
      <c r="J408" s="166">
        <f>IFERROR(INDEX('Labor Expenditures'!$F$7:$X$91,MATCH($C408,'Labor Expenditures'!$D$7:$D$91,0),MATCH($G408,'Labor Expenditures'!$F$5:$X$5,0)),"NA")</f>
        <v>106779.14164816841</v>
      </c>
      <c r="K408" s="166">
        <f t="shared" si="1137"/>
        <v>954.45042814005285</v>
      </c>
      <c r="L408" s="172">
        <f t="shared" si="1144"/>
        <v>-5.27790284354848E-2</v>
      </c>
      <c r="M408" s="172">
        <f t="shared" si="1148"/>
        <v>-1.9884634409279536E-3</v>
      </c>
      <c r="N408" s="196"/>
      <c r="O408" s="172"/>
      <c r="P408" s="166">
        <f>IFERROR(INDEX('Non-Labor Expenditures'!$F$7:$AB$91,MATCH($C408,'Non-Labor Expenditures'!$D$7:$D$91,0),MATCH($G408,'Non-Labor Expenditures'!$F$5:$AB$5,0)),"NA")</f>
        <v>154636.14069919862</v>
      </c>
      <c r="Q408" s="166">
        <f t="shared" si="1138"/>
        <v>1608.9662851470582</v>
      </c>
      <c r="R408" s="172">
        <f t="shared" si="1149"/>
        <v>-4.5446267095397119E-2</v>
      </c>
      <c r="S408" s="172">
        <f t="shared" si="1154"/>
        <v>-1.7121997756420829E-3</v>
      </c>
      <c r="T408" s="172"/>
      <c r="U408" s="172"/>
      <c r="V408" s="166">
        <f t="shared" si="1119"/>
        <v>104455.1120998183</v>
      </c>
      <c r="W408" s="170"/>
      <c r="X408" s="174">
        <v>5857.8361951270608</v>
      </c>
      <c r="Y408" s="175">
        <v>2.5752805438077696E-2</v>
      </c>
      <c r="Z408" s="175">
        <f t="shared" si="1155"/>
        <v>9.702435537922708E-4</v>
      </c>
      <c r="AA408" s="175"/>
      <c r="AB408" s="175"/>
      <c r="AC408" s="170">
        <f t="shared" si="1086"/>
        <v>365870.39444718533</v>
      </c>
      <c r="AD408" s="175">
        <f t="shared" si="1150"/>
        <v>-8.683421507710537E-3</v>
      </c>
      <c r="AE408" s="170"/>
      <c r="AF408" s="170"/>
      <c r="AG408" s="121">
        <f t="shared" si="1151"/>
        <v>214.669083887418</v>
      </c>
      <c r="AH408" s="119">
        <f>+AZ408/$BB$48</f>
        <v>4.7529483346800391E-2</v>
      </c>
      <c r="AI408" s="119"/>
      <c r="AJ408" s="176">
        <f t="shared" si="1156"/>
        <v>10.20311064769993</v>
      </c>
      <c r="AK408" s="176">
        <f t="shared" si="1157"/>
        <v>0</v>
      </c>
      <c r="AL408" s="120">
        <f t="shared" si="1139"/>
        <v>0.29184963656189555</v>
      </c>
      <c r="AM408" s="120">
        <f t="shared" si="1140"/>
        <v>0.42265278373465354</v>
      </c>
      <c r="AN408" s="120">
        <f t="shared" si="1141"/>
        <v>0.28549757970345085</v>
      </c>
      <c r="AO408" s="120">
        <f t="shared" si="1145"/>
        <v>-2.7934145027520649E-2</v>
      </c>
      <c r="AP408" s="173">
        <f t="shared" si="1161"/>
        <v>96.453572613061738</v>
      </c>
      <c r="AQ408" s="175">
        <f t="shared" si="1162"/>
        <v>-2.7934145027520629E-2</v>
      </c>
      <c r="AR408" s="177">
        <f>+AC408/$AE$48</f>
        <v>3.7675256628844168E-2</v>
      </c>
      <c r="AS408" s="177">
        <f t="shared" si="1158"/>
        <v>-1.052426082619191E-3</v>
      </c>
      <c r="AT408" s="177"/>
      <c r="AU408" s="177"/>
      <c r="AV408" s="177"/>
      <c r="AW408" s="190"/>
      <c r="AX408" s="120"/>
      <c r="AY408" s="120"/>
      <c r="AZ408" s="118">
        <f>IFERROR(INDEX('Total Customers'!$F$7:$AB$91,MATCH($C408,'Total Customers'!$D$7:$D$91,0),MATCH($G408,'Total Customers'!$F$5:$AB$5,0)),"NA")</f>
        <v>1704346</v>
      </c>
      <c r="BA408" s="119">
        <f t="shared" si="1120"/>
        <v>1.2182175199723366E-3</v>
      </c>
      <c r="BB408" s="119"/>
      <c r="BC408" s="121"/>
      <c r="BD408" s="119"/>
      <c r="BE408" s="119"/>
      <c r="BF408" s="119"/>
      <c r="BG408" s="173"/>
      <c r="BH408" s="173"/>
      <c r="BI408" s="173"/>
      <c r="BJ408" s="173"/>
      <c r="BK408" s="173"/>
      <c r="BL408" s="173"/>
      <c r="BM408" s="173"/>
      <c r="BN408" s="173"/>
      <c r="BO408" s="173"/>
      <c r="BP408" s="173"/>
      <c r="BQ408" s="118"/>
      <c r="BR408" s="118"/>
      <c r="BS408" s="118">
        <f>INDEX('Dist. Plant Gas Additions'!$F$7:$AE$91,MATCH($C408,'Dist. Plant Gas Additions'!$D$7:$D$91,0),MATCH(Calculation!$G408,'Dist. Plant Gas Additions'!$F$5:$AE$5,0))</f>
        <v>106197</v>
      </c>
      <c r="BT408" s="118">
        <f>INDEX('Gen. Plant Additions'!$F$7:$AE$91,MATCH($C408,'Gen. Plant Additions'!$D$7:$D$91,0),MATCH(Calculation!$G408,'Gen. Plant Additions'!$F$5:$AE$5,0))</f>
        <v>1173</v>
      </c>
      <c r="BU408" s="118"/>
      <c r="BV408" s="118"/>
      <c r="BW408" s="118">
        <f>INDEX('Dist Plant Depreciation'!$E$7:$AD$94,MATCH($C408,'Dist Plant Depreciation'!$D$7:$D$94,0),MATCH(Calculation!$G408,'Dist Plant Depreciation'!$E$5:$AD$5,0))</f>
        <v>1586520</v>
      </c>
      <c r="BX408" s="118">
        <f>INDEX('Gen. Plant Depreciation'!$E$7:$AD$94,MATCH($C408,'Gen. Plant Depreciation'!$D$7:$D$94,0),MATCH(Calculation!$G408,'Gen. Plant Depreciation'!$E$5:$AD$5,0))</f>
        <v>27958</v>
      </c>
      <c r="BY408" s="118"/>
      <c r="BZ408" s="118"/>
      <c r="CA408" s="118"/>
      <c r="CB408" s="118"/>
      <c r="CC408" s="118"/>
      <c r="CD408" s="118"/>
      <c r="CE408" s="118">
        <f>INDEX('Gross Dx Plant'!$E$7:$AD$91,MATCH($C408,'Gross Dx Plant'!$D$7:$D$91,0),MATCH(Calculation!$G408,'Gross Dx Plant'!$E$5:$AD$5,0))</f>
        <v>2654410</v>
      </c>
      <c r="CF408" s="118">
        <f>INDEX('Gross Gen Plant'!$E$7:$AD$91,MATCH($C408,'Gross Gen Plant'!$D$7:$D$91,0),MATCH(Calculation!$G408,'Gross Gen Plant'!$E$5:$AD$5,0))</f>
        <v>63738</v>
      </c>
      <c r="CG408" s="118">
        <f t="shared" si="969"/>
        <v>1103670</v>
      </c>
      <c r="CH408" s="118"/>
      <c r="CI408" s="121">
        <v>2010</v>
      </c>
      <c r="CJ408" s="118"/>
      <c r="CK408" s="118"/>
      <c r="CL408" s="118"/>
      <c r="CM408" s="183"/>
      <c r="CN408" s="118">
        <f t="shared" si="1121"/>
        <v>107370</v>
      </c>
      <c r="CO408" s="118">
        <f t="shared" si="1122"/>
        <v>188.70295410330868</v>
      </c>
      <c r="CP408" s="186">
        <v>0.9285714285714286</v>
      </c>
      <c r="CQ408" s="118">
        <f>+CQ396*CP408+CO397*CP407+CO398*CP406+CO399*CP405+CO400*CP404+CO401*CP403+CO402*CP402+CO403*CP401+CO404*CP400+CO405*CP399+CO406*CP398+CO407*CP397+CO408</f>
        <v>5857.8361951270608</v>
      </c>
      <c r="CR408" s="119">
        <f t="shared" si="1123"/>
        <v>2.5752805438077696E-2</v>
      </c>
      <c r="CS408" s="119"/>
      <c r="CT408" s="177">
        <f t="shared" si="1124"/>
        <v>6.9668595973325946E-3</v>
      </c>
      <c r="CU408" s="177">
        <f t="shared" si="1132"/>
        <v>6.7579439682653201E-3</v>
      </c>
      <c r="CV408" s="119">
        <f>VLOOKUP($H408,RoR!$E:$F,2,FALSE)</f>
        <v>4.9433333333333322E-2</v>
      </c>
      <c r="CW408" s="177">
        <v>1.1684333519300205E-2</v>
      </c>
      <c r="CX408" s="177">
        <f t="shared" si="1130"/>
        <v>3.7748999814033117E-2</v>
      </c>
      <c r="CY408" s="177">
        <f t="shared" si="1133"/>
        <v>2.4143997640268304E-2</v>
      </c>
      <c r="CZ408" s="177">
        <f t="shared" si="1134"/>
        <v>4.7937530248493419E-2</v>
      </c>
      <c r="DA408" s="187">
        <f t="shared" si="1125"/>
        <v>0.86875000000000002</v>
      </c>
      <c r="DB408" s="188">
        <f t="shared" si="1126"/>
        <v>1.037398205301105</v>
      </c>
      <c r="DC408" s="188">
        <f t="shared" si="1127"/>
        <v>0.46926837491571133</v>
      </c>
      <c r="DD408" s="188">
        <f t="shared" si="1128"/>
        <v>0.8548537519972772</v>
      </c>
      <c r="DE408" s="188">
        <f t="shared" si="1129"/>
        <v>0.41615833911547367</v>
      </c>
      <c r="DF408" s="189">
        <f>INDEX('State Tax Lookup'!$D$7:$Z$91,MATCH(Calculation!$C408,'State Tax Lookup'!$B$7:$B$91,0),MATCH($H408,'State Tax Lookup'!$D$6:$Z$6,0))</f>
        <v>0.35</v>
      </c>
      <c r="DG408" s="189">
        <v>0.375</v>
      </c>
      <c r="DH408" s="190">
        <f t="shared" si="1131"/>
        <v>18.296868955026319</v>
      </c>
      <c r="DI408" s="190">
        <v>18.002086926552359</v>
      </c>
      <c r="DJ408" s="177"/>
      <c r="DK408" s="189">
        <f>VLOOKUP($H408,RoR!$E:$F,2,FALSE)</f>
        <v>4.9433333333333322E-2</v>
      </c>
      <c r="DL408" s="191">
        <f>HLOOKUP($H408,'GDP-PI'!$D$8:$CQ$11,3,FALSE)</f>
        <v>1.1684333519300205E-2</v>
      </c>
      <c r="DM408" s="189">
        <f>VLOOKUP(H408,'HW Dx Data'!$E:$F,2,FALSE)</f>
        <v>568.98950262971744</v>
      </c>
      <c r="DN408" s="183">
        <f>VLOOKUP(H408,'ECI - Input Price'!$G$17:$H$37,2,FALSE)</f>
        <v>111.875</v>
      </c>
      <c r="DO408" s="177">
        <f t="shared" ref="DO408" si="1167">LN(DN408/DN407)</f>
        <v>1.8949360147238387E-2</v>
      </c>
      <c r="DP408" s="183">
        <f>HLOOKUP(H408,'GDP-PI'!$8:$9,2,FALSE)</f>
        <v>96.108999999999995</v>
      </c>
      <c r="DQ408" s="177">
        <f t="shared" ref="DQ408" si="1168">LN(DP408/DP407)</f>
        <v>1.1616598807150427E-2</v>
      </c>
      <c r="DR408" s="167">
        <v>4.3705481173557353E-2</v>
      </c>
    </row>
    <row r="409" spans="1:122" s="167" customFormat="1" ht="21" x14ac:dyDescent="0.35">
      <c r="A409" s="167" t="s">
        <v>52</v>
      </c>
      <c r="B409" s="168" t="s">
        <v>52</v>
      </c>
      <c r="C409" s="168">
        <v>4057081</v>
      </c>
      <c r="D409" s="168" t="s">
        <v>137</v>
      </c>
      <c r="E409" s="168"/>
      <c r="F409" s="168"/>
      <c r="G409" s="168" t="s">
        <v>17</v>
      </c>
      <c r="H409" s="169">
        <v>2011</v>
      </c>
      <c r="I409" s="170"/>
      <c r="J409" s="166">
        <f>IFERROR(INDEX('Labor Expenditures'!$F$7:$X$91,MATCH($C409,'Labor Expenditures'!$D$7:$D$91,0),MATCH($G409,'Labor Expenditures'!$F$5:$X$5,0)),"NA")</f>
        <v>107757.50586358148</v>
      </c>
      <c r="K409" s="166">
        <f t="shared" si="1137"/>
        <v>942.76033126492985</v>
      </c>
      <c r="L409" s="172">
        <f t="shared" si="1144"/>
        <v>-1.2323612193421818E-2</v>
      </c>
      <c r="M409" s="172">
        <f t="shared" si="1148"/>
        <v>-4.5698893401763512E-4</v>
      </c>
      <c r="N409" s="196"/>
      <c r="O409" s="172"/>
      <c r="P409" s="166">
        <f>IFERROR(INDEX('Non-Labor Expenditures'!$F$7:$AB$91,MATCH($C409,'Non-Labor Expenditures'!$D$7:$D$91,0),MATCH($G409,'Non-Labor Expenditures'!$F$5:$AB$5,0)),"NA")</f>
        <v>156052.99481634604</v>
      </c>
      <c r="Q409" s="166">
        <f t="shared" si="1138"/>
        <v>1590.5597155938729</v>
      </c>
      <c r="R409" s="172">
        <f t="shared" si="1149"/>
        <v>-1.1505937200525456E-2</v>
      </c>
      <c r="S409" s="172">
        <f t="shared" si="1154"/>
        <v>-4.2666759498880355E-4</v>
      </c>
      <c r="T409" s="172"/>
      <c r="U409" s="172"/>
      <c r="V409" s="166">
        <f t="shared" si="1119"/>
        <v>114387.20819684202</v>
      </c>
      <c r="W409" s="170"/>
      <c r="X409" s="174">
        <v>5983.1320095000701</v>
      </c>
      <c r="Y409" s="175">
        <v>2.1163892841731986E-2</v>
      </c>
      <c r="Z409" s="175">
        <f t="shared" si="1155"/>
        <v>7.848076260115655E-4</v>
      </c>
      <c r="AA409" s="175"/>
      <c r="AB409" s="175"/>
      <c r="AC409" s="170">
        <f t="shared" si="1086"/>
        <v>378197.70887676952</v>
      </c>
      <c r="AD409" s="175">
        <f t="shared" si="1150"/>
        <v>3.3137941082630476E-2</v>
      </c>
      <c r="AE409" s="170"/>
      <c r="AF409" s="170"/>
      <c r="AG409" s="121">
        <f t="shared" si="1151"/>
        <v>221.43008216544331</v>
      </c>
      <c r="AH409" s="119">
        <f>+AZ409/$BB$49</f>
        <v>4.739921841387975E-2</v>
      </c>
      <c r="AI409" s="119"/>
      <c r="AJ409" s="176">
        <f t="shared" si="1156"/>
        <v>10.495612827963187</v>
      </c>
      <c r="AK409" s="176">
        <f t="shared" si="1157"/>
        <v>0</v>
      </c>
      <c r="AL409" s="120">
        <f t="shared" si="1139"/>
        <v>0.28492374050497687</v>
      </c>
      <c r="AM409" s="120">
        <f t="shared" si="1140"/>
        <v>0.41262279266528751</v>
      </c>
      <c r="AN409" s="120">
        <f t="shared" si="1141"/>
        <v>0.30245346682973562</v>
      </c>
      <c r="AO409" s="120">
        <f t="shared" si="1145"/>
        <v>-2.1376134023201382E-3</v>
      </c>
      <c r="AP409" s="173">
        <f t="shared" si="1161"/>
        <v>96.247612373652515</v>
      </c>
      <c r="AQ409" s="175">
        <f t="shared" si="1162"/>
        <v>-2.1376134023201646E-3</v>
      </c>
      <c r="AR409" s="177">
        <f>+AC409/$AE$49</f>
        <v>3.7082385168008596E-2</v>
      </c>
      <c r="AS409" s="177">
        <f t="shared" si="1158"/>
        <v>-7.9267803525133663E-5</v>
      </c>
      <c r="AT409" s="177"/>
      <c r="AU409" s="177"/>
      <c r="AV409" s="177"/>
      <c r="AW409" s="190"/>
      <c r="AX409" s="120"/>
      <c r="AY409" s="120"/>
      <c r="AZ409" s="118">
        <f>IFERROR(INDEX('Total Customers'!$F$7:$AB$91,MATCH($C409,'Total Customers'!$D$7:$D$91,0),MATCH($G409,'Total Customers'!$F$5:$AB$5,0)),"NA")</f>
        <v>1707978</v>
      </c>
      <c r="BA409" s="119">
        <f t="shared" si="1120"/>
        <v>2.1287552832404341E-3</v>
      </c>
      <c r="BB409" s="119"/>
      <c r="BC409" s="121"/>
      <c r="BD409" s="119"/>
      <c r="BE409" s="119"/>
      <c r="BF409" s="119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18"/>
      <c r="BR409" s="118"/>
      <c r="BS409" s="118">
        <f>INDEX('Dist. Plant Gas Additions'!$F$7:$AE$91,MATCH($C409,'Dist. Plant Gas Additions'!$D$7:$D$91,0),MATCH(Calculation!$G409,'Dist. Plant Gas Additions'!$F$5:$AE$5,0))</f>
        <v>97700</v>
      </c>
      <c r="BT409" s="118">
        <f>INDEX('Gen. Plant Additions'!$F$7:$AE$91,MATCH($C409,'Gen. Plant Additions'!$D$7:$D$91,0),MATCH(Calculation!$G409,'Gen. Plant Additions'!$F$5:$AE$5,0))</f>
        <v>4689</v>
      </c>
      <c r="BU409" s="118"/>
      <c r="BV409" s="118"/>
      <c r="BW409" s="118">
        <f>INDEX('Dist Plant Depreciation'!$E$7:$AD$94,MATCH($C409,'Dist Plant Depreciation'!$D$7:$D$94,0),MATCH(Calculation!$G409,'Dist Plant Depreciation'!$E$5:$AD$5,0))</f>
        <v>1647763</v>
      </c>
      <c r="BX409" s="118">
        <f>INDEX('Gen. Plant Depreciation'!$E$7:$AD$94,MATCH($C409,'Gen. Plant Depreciation'!$D$7:$D$94,0),MATCH(Calculation!$G409,'Gen. Plant Depreciation'!$E$5:$AD$5,0))</f>
        <v>32081</v>
      </c>
      <c r="BY409" s="118"/>
      <c r="BZ409" s="118"/>
      <c r="CA409" s="118"/>
      <c r="CB409" s="118"/>
      <c r="CC409" s="118"/>
      <c r="CD409" s="118"/>
      <c r="CE409" s="118">
        <f>INDEX('Gross Dx Plant'!$E$7:$AD$91,MATCH($C409,'Gross Dx Plant'!$D$7:$D$91,0),MATCH(Calculation!$G409,'Gross Dx Plant'!$E$5:$AD$5,0))</f>
        <v>2742375</v>
      </c>
      <c r="CF409" s="118">
        <f>INDEX('Gross Gen Plant'!$E$7:$AD$91,MATCH($C409,'Gross Gen Plant'!$D$7:$D$91,0),MATCH(Calculation!$G409,'Gross Gen Plant'!$E$5:$AD$5,0))</f>
        <v>67556</v>
      </c>
      <c r="CG409" s="118">
        <f t="shared" si="969"/>
        <v>1130087</v>
      </c>
      <c r="CH409" s="118"/>
      <c r="CI409" s="121">
        <v>2011</v>
      </c>
      <c r="CJ409" s="118"/>
      <c r="CK409" s="118"/>
      <c r="CL409" s="118"/>
      <c r="CM409" s="183"/>
      <c r="CN409" s="118">
        <f t="shared" si="1121"/>
        <v>102389</v>
      </c>
      <c r="CO409" s="118">
        <f t="shared" si="1122"/>
        <v>167.40866973976034</v>
      </c>
      <c r="CP409" s="186">
        <v>0.92121212121212126</v>
      </c>
      <c r="CQ409" s="118">
        <f>+CQ396*CP409+CO397*CP408+CO398*CP407+CO399*CP406+CO400*CP405+CO401*CP404+CO402*CP403+CO403*CP402+CO404*CP401+CO405*CP400+CO406*CP399+CO407*CP398+CO408*CP397+CO409</f>
        <v>5983.1320095000701</v>
      </c>
      <c r="CR409" s="119">
        <f t="shared" si="1123"/>
        <v>2.1163892841731986E-2</v>
      </c>
      <c r="CS409" s="119"/>
      <c r="CT409" s="177">
        <f t="shared" si="1124"/>
        <v>7.1891486828845295E-3</v>
      </c>
      <c r="CU409" s="177">
        <f t="shared" si="1132"/>
        <v>6.9731760661545907E-3</v>
      </c>
      <c r="CV409" s="119">
        <f>VLOOKUP($H409,RoR!$E:$F,2,FALSE)</f>
        <v>4.6391666666666664E-2</v>
      </c>
      <c r="CW409" s="177">
        <v>2.0840920205183799E-2</v>
      </c>
      <c r="CX409" s="177">
        <f t="shared" si="1130"/>
        <v>2.5550746461482865E-2</v>
      </c>
      <c r="CY409" s="177">
        <f t="shared" si="1133"/>
        <v>2.3928765542379035E-2</v>
      </c>
      <c r="CZ409" s="177">
        <f t="shared" si="1134"/>
        <v>2.4810540821321614E-2</v>
      </c>
      <c r="DA409" s="187">
        <f t="shared" si="1125"/>
        <v>0.86875000000000002</v>
      </c>
      <c r="DB409" s="188">
        <f t="shared" si="1126"/>
        <v>1.1054151524782025</v>
      </c>
      <c r="DC409" s="188">
        <f t="shared" si="1127"/>
        <v>0.43611011316687626</v>
      </c>
      <c r="DD409" s="188">
        <f t="shared" si="1128"/>
        <v>0.83698442246886229</v>
      </c>
      <c r="DE409" s="188">
        <f t="shared" si="1129"/>
        <v>0.40349573304423936</v>
      </c>
      <c r="DF409" s="189">
        <f>INDEX('State Tax Lookup'!$D$7:$Z$91,MATCH(Calculation!$C409,'State Tax Lookup'!$B$7:$B$91,0),MATCH($H409,'State Tax Lookup'!$D$6:$Z$6,0))</f>
        <v>0.35</v>
      </c>
      <c r="DG409" s="189">
        <v>0.375</v>
      </c>
      <c r="DH409" s="190">
        <f t="shared" si="1131"/>
        <v>19.527211821320122</v>
      </c>
      <c r="DI409" s="190">
        <v>19.211013711519321</v>
      </c>
      <c r="DJ409" s="177"/>
      <c r="DK409" s="189">
        <f>VLOOKUP($H409,RoR!$E:$F,2,FALSE)</f>
        <v>4.6391666666666664E-2</v>
      </c>
      <c r="DL409" s="191">
        <f>HLOOKUP($H409,'GDP-PI'!$D$8:$CQ$11,3,FALSE)</f>
        <v>2.0840920205183799E-2</v>
      </c>
      <c r="DM409" s="189">
        <f>VLOOKUP(H409,'HW Dx Data'!$E:$F,2,FALSE)</f>
        <v>611.61109612283201</v>
      </c>
      <c r="DN409" s="183">
        <f>VLOOKUP(H409,'ECI - Input Price'!$G$17:$H$37,2,FALSE)</f>
        <v>114.3</v>
      </c>
      <c r="DO409" s="177">
        <f t="shared" ref="DO409" si="1169">LN(DN409/DN408)</f>
        <v>2.1444394205745516E-2</v>
      </c>
      <c r="DP409" s="183">
        <f>HLOOKUP(H409,'GDP-PI'!$8:$9,2,FALSE)</f>
        <v>98.111999999999995</v>
      </c>
      <c r="DQ409" s="177">
        <f t="shared" ref="DQ409" si="1170">LN(DP409/DP408)</f>
        <v>2.0626719212849295E-2</v>
      </c>
      <c r="DR409" s="167">
        <v>7.0491873246850015E-4</v>
      </c>
    </row>
    <row r="410" spans="1:122" s="167" customFormat="1" ht="21" x14ac:dyDescent="0.35">
      <c r="A410" s="167" t="s">
        <v>52</v>
      </c>
      <c r="B410" s="168" t="s">
        <v>52</v>
      </c>
      <c r="C410" s="168">
        <v>4057081</v>
      </c>
      <c r="D410" s="168" t="s">
        <v>137</v>
      </c>
      <c r="E410" s="168"/>
      <c r="F410" s="168"/>
      <c r="G410" s="168" t="s">
        <v>18</v>
      </c>
      <c r="H410" s="169">
        <v>2012</v>
      </c>
      <c r="I410" s="170"/>
      <c r="J410" s="166">
        <f>IFERROR(INDEX('Labor Expenditures'!$F$7:$X$91,MATCH($C410,'Labor Expenditures'!$D$7:$D$91,0),MATCH($G410,'Labor Expenditures'!$F$5:$X$5,0)),"NA")</f>
        <v>110647.19852325744</v>
      </c>
      <c r="K410" s="166">
        <f t="shared" si="1137"/>
        <v>949.76136071465612</v>
      </c>
      <c r="L410" s="172">
        <f t="shared" si="1144"/>
        <v>7.3986590651202956E-3</v>
      </c>
      <c r="M410" s="172">
        <f t="shared" si="1148"/>
        <v>2.7496999175797475E-4</v>
      </c>
      <c r="N410" s="196"/>
      <c r="O410" s="172"/>
      <c r="P410" s="166">
        <f>IFERROR(INDEX('Non-Labor Expenditures'!$F$7:$AB$91,MATCH($C410,'Non-Labor Expenditures'!$D$7:$D$91,0),MATCH($G410,'Non-Labor Expenditures'!$F$5:$AB$5,0)),"NA")</f>
        <v>160237.80950769695</v>
      </c>
      <c r="Q410" s="166">
        <f t="shared" si="1138"/>
        <v>1602.3780950769694</v>
      </c>
      <c r="R410" s="172">
        <f t="shared" si="1149"/>
        <v>7.4028585313682385E-3</v>
      </c>
      <c r="S410" s="172">
        <f t="shared" si="1154"/>
        <v>2.7512606425562892E-4</v>
      </c>
      <c r="T410" s="172"/>
      <c r="U410" s="172"/>
      <c r="V410" s="166">
        <f t="shared" si="1119"/>
        <v>126274.3507611798</v>
      </c>
      <c r="W410" s="170"/>
      <c r="X410" s="174">
        <v>6137.4512582809566</v>
      </c>
      <c r="Y410" s="175">
        <v>2.546537320204386E-2</v>
      </c>
      <c r="Z410" s="175">
        <f t="shared" si="1155"/>
        <v>9.4641655979128456E-4</v>
      </c>
      <c r="AA410" s="175"/>
      <c r="AB410" s="175"/>
      <c r="AC410" s="170">
        <f t="shared" si="1086"/>
        <v>397159.35879213421</v>
      </c>
      <c r="AD410" s="175">
        <f t="shared" si="1150"/>
        <v>4.8920509442886125E-2</v>
      </c>
      <c r="AE410" s="170"/>
      <c r="AF410" s="170"/>
      <c r="AG410" s="121">
        <f t="shared" si="1151"/>
        <v>232.15443403183636</v>
      </c>
      <c r="AH410" s="119">
        <f>+AZ410/$BB$50</f>
        <v>4.7247822364487699E-2</v>
      </c>
      <c r="AI410" s="119"/>
      <c r="AJ410" s="176">
        <f t="shared" si="1156"/>
        <v>10.968791460264383</v>
      </c>
      <c r="AK410" s="176">
        <f t="shared" si="1157"/>
        <v>0</v>
      </c>
      <c r="AL410" s="120">
        <f t="shared" si="1139"/>
        <v>0.27859647789684372</v>
      </c>
      <c r="AM410" s="120">
        <f t="shared" si="1140"/>
        <v>0.4034597346390682</v>
      </c>
      <c r="AN410" s="120">
        <f t="shared" si="1141"/>
        <v>0.31794378746408802</v>
      </c>
      <c r="AO410" s="120">
        <f t="shared" si="1145"/>
        <v>1.3004642542964165E-2</v>
      </c>
      <c r="AP410" s="173">
        <f t="shared" si="1161"/>
        <v>97.50745229674591</v>
      </c>
      <c r="AQ410" s="175">
        <f t="shared" si="1162"/>
        <v>1.3004642542964207E-2</v>
      </c>
      <c r="AR410" s="177">
        <f>+AC410/$AE$50</f>
        <v>3.7164841539228839E-2</v>
      </c>
      <c r="AS410" s="177">
        <f t="shared" si="1158"/>
        <v>4.8331547938357873E-4</v>
      </c>
      <c r="AT410" s="177"/>
      <c r="AU410" s="177"/>
      <c r="AV410" s="177"/>
      <c r="AW410" s="190"/>
      <c r="AX410" s="120"/>
      <c r="AY410" s="120"/>
      <c r="AZ410" s="118">
        <f>IFERROR(INDEX('Total Customers'!$F$7:$AB$91,MATCH($C410,'Total Customers'!$D$7:$D$91,0),MATCH($G410,'Total Customers'!$F$5:$AB$5,0)),"NA")</f>
        <v>1710755</v>
      </c>
      <c r="BA410" s="119">
        <f t="shared" si="1120"/>
        <v>1.6245788195615291E-3</v>
      </c>
      <c r="BB410" s="119"/>
      <c r="BC410" s="121"/>
      <c r="BD410" s="119"/>
      <c r="BE410" s="119"/>
      <c r="BF410" s="119"/>
      <c r="BG410" s="173"/>
      <c r="BH410" s="173"/>
      <c r="BI410" s="173"/>
      <c r="BJ410" s="173"/>
      <c r="BK410" s="173"/>
      <c r="BL410" s="173"/>
      <c r="BM410" s="173"/>
      <c r="BN410" s="173"/>
      <c r="BO410" s="173"/>
      <c r="BP410" s="173"/>
      <c r="BQ410" s="118"/>
      <c r="BR410" s="118"/>
      <c r="BS410" s="118">
        <f>INDEX('Dist. Plant Gas Additions'!$F$7:$AE$91,MATCH($C410,'Dist. Plant Gas Additions'!$D$7:$D$91,0),MATCH(Calculation!$G410,'Dist. Plant Gas Additions'!$F$5:$AE$5,0))</f>
        <v>128481</v>
      </c>
      <c r="BT410" s="118">
        <f>INDEX('Gen. Plant Additions'!$F$7:$AE$91,MATCH($C410,'Gen. Plant Additions'!$D$7:$D$91,0),MATCH(Calculation!$G410,'Gen. Plant Additions'!$F$5:$AE$5,0))</f>
        <v>4480</v>
      </c>
      <c r="BU410" s="118"/>
      <c r="BV410" s="118"/>
      <c r="BW410" s="118">
        <f>INDEX('Dist Plant Depreciation'!$E$7:$AD$94,MATCH($C410,'Dist Plant Depreciation'!$D$7:$D$94,0),MATCH(Calculation!$G410,'Dist Plant Depreciation'!$E$5:$AD$5,0))</f>
        <v>1714727</v>
      </c>
      <c r="BX410" s="118">
        <f>INDEX('Gen. Plant Depreciation'!$E$7:$AD$94,MATCH($C410,'Gen. Plant Depreciation'!$D$7:$D$94,0),MATCH(Calculation!$G410,'Gen. Plant Depreciation'!$E$5:$AD$5,0))</f>
        <v>34927</v>
      </c>
      <c r="BY410" s="118"/>
      <c r="BZ410" s="118"/>
      <c r="CA410" s="118"/>
      <c r="CB410" s="118"/>
      <c r="CC410" s="118"/>
      <c r="CD410" s="118"/>
      <c r="CE410" s="118">
        <f>INDEX('Gross Dx Plant'!$E$7:$AD$91,MATCH($C410,'Gross Dx Plant'!$D$7:$D$91,0),MATCH(Calculation!$G410,'Gross Dx Plant'!$E$5:$AD$5,0))</f>
        <v>2861200</v>
      </c>
      <c r="CF410" s="118">
        <f>INDEX('Gross Gen Plant'!$E$7:$AD$91,MATCH($C410,'Gross Gen Plant'!$D$7:$D$91,0),MATCH(Calculation!$G410,'Gross Gen Plant'!$E$5:$AD$5,0))</f>
        <v>69584</v>
      </c>
      <c r="CG410" s="118">
        <f t="shared" si="969"/>
        <v>1181130</v>
      </c>
      <c r="CH410" s="118"/>
      <c r="CI410" s="121">
        <v>2012</v>
      </c>
      <c r="CJ410" s="118"/>
      <c r="CK410" s="118"/>
      <c r="CL410" s="118"/>
      <c r="CM410" s="183"/>
      <c r="CN410" s="118">
        <f t="shared" si="1121"/>
        <v>132961</v>
      </c>
      <c r="CO410" s="118">
        <f t="shared" si="1122"/>
        <v>198.76985998860744</v>
      </c>
      <c r="CP410" s="186">
        <v>0.9135802469135802</v>
      </c>
      <c r="CQ410" s="118">
        <f>+CQ396*CP410+CO397*CP409+CO398*CP408+CO399*CP407+CO400*CP406+CO401*CP405+CO402*CP404+CO403*CP403+CO404*CP402+CO405*CP401+CO406*CP400+CO407*CP399+CO408*CP398+CO409*CP397+CO410</f>
        <v>6137.4512582809566</v>
      </c>
      <c r="CR410" s="119">
        <f t="shared" si="1123"/>
        <v>2.546537320204386E-2</v>
      </c>
      <c r="CS410" s="119"/>
      <c r="CT410" s="177">
        <f t="shared" si="1124"/>
        <v>7.4293214886687903E-3</v>
      </c>
      <c r="CU410" s="177">
        <f t="shared" si="1132"/>
        <v>7.1951099229619715E-3</v>
      </c>
      <c r="CV410" s="119">
        <f>VLOOKUP($H410,RoR!$E:$F,2,FALSE)</f>
        <v>3.6733333333333333E-2</v>
      </c>
      <c r="CW410" s="177">
        <v>1.924331376386168E-2</v>
      </c>
      <c r="CX410" s="177">
        <f t="shared" si="1130"/>
        <v>1.7490019569471653E-2</v>
      </c>
      <c r="CY410" s="177">
        <f t="shared" si="1133"/>
        <v>2.3706831685571653E-2</v>
      </c>
      <c r="CZ410" s="177">
        <f t="shared" si="1134"/>
        <v>6.7122682943869583E-2</v>
      </c>
      <c r="DA410" s="187">
        <f t="shared" si="1125"/>
        <v>0.86875000000000002</v>
      </c>
      <c r="DB410" s="188">
        <f t="shared" si="1126"/>
        <v>1.3960631020522127</v>
      </c>
      <c r="DC410" s="188">
        <f t="shared" si="1127"/>
        <v>0.29441923774954631</v>
      </c>
      <c r="DD410" s="188">
        <f t="shared" si="1128"/>
        <v>0.76377954189366437</v>
      </c>
      <c r="DE410" s="188">
        <f t="shared" si="1129"/>
        <v>0.31393465103033691</v>
      </c>
      <c r="DF410" s="189">
        <f>INDEX('State Tax Lookup'!$D$7:$Z$91,MATCH(Calculation!$C410,'State Tax Lookup'!$B$7:$B$91,0),MATCH($H410,'State Tax Lookup'!$D$6:$Z$6,0))</f>
        <v>0.35</v>
      </c>
      <c r="DG410" s="189">
        <v>0.375</v>
      </c>
      <c r="DH410" s="190">
        <f t="shared" si="1131"/>
        <v>21.105058447762854</v>
      </c>
      <c r="DI410" s="190">
        <v>20.791625053330957</v>
      </c>
      <c r="DJ410" s="177"/>
      <c r="DK410" s="189">
        <f>VLOOKUP($H410,RoR!$E:$F,2,FALSE)</f>
        <v>3.6733333333333333E-2</v>
      </c>
      <c r="DL410" s="191">
        <f>HLOOKUP($H410,'GDP-PI'!$D$8:$CQ$11,3,FALSE)</f>
        <v>1.924331376386168E-2</v>
      </c>
      <c r="DM410" s="189">
        <f>VLOOKUP(H410,'HW Dx Data'!$E:$F,2,FALSE)</f>
        <v>668.91932211262167</v>
      </c>
      <c r="DN410" s="183">
        <f>VLOOKUP(H410,'ECI - Input Price'!$G$17:$H$37,2,FALSE)</f>
        <v>116.5</v>
      </c>
      <c r="DO410" s="177">
        <f t="shared" ref="DO410" si="1171">LN(DN410/DN409)</f>
        <v>1.9064702204990347E-2</v>
      </c>
      <c r="DP410" s="183">
        <f>HLOOKUP(H410,'GDP-PI'!$8:$9,2,FALSE)</f>
        <v>100</v>
      </c>
      <c r="DQ410" s="177">
        <f t="shared" ref="DQ410" si="1172">LN(DP410/DP409)</f>
        <v>1.9060502738742411E-2</v>
      </c>
      <c r="DR410" s="167">
        <v>1.2856192326674205E-3</v>
      </c>
    </row>
    <row r="411" spans="1:122" s="167" customFormat="1" ht="21" x14ac:dyDescent="0.35">
      <c r="A411" s="167" t="s">
        <v>52</v>
      </c>
      <c r="B411" s="168" t="s">
        <v>52</v>
      </c>
      <c r="C411" s="168">
        <v>4057081</v>
      </c>
      <c r="D411" s="168" t="s">
        <v>137</v>
      </c>
      <c r="E411" s="168"/>
      <c r="F411" s="168"/>
      <c r="G411" s="168" t="s">
        <v>19</v>
      </c>
      <c r="H411" s="169">
        <v>2013</v>
      </c>
      <c r="I411" s="170"/>
      <c r="J411" s="166">
        <f>IFERROR(INDEX('Labor Expenditures'!$F$7:$X$91,MATCH($C411,'Labor Expenditures'!$D$7:$D$91,0),MATCH($G411,'Labor Expenditures'!$F$5:$X$5,0)),"NA")</f>
        <v>110877.57693443171</v>
      </c>
      <c r="K411" s="166">
        <f t="shared" si="1137"/>
        <v>933.90252208407423</v>
      </c>
      <c r="L411" s="172">
        <f t="shared" si="1144"/>
        <v>-1.6838687085724148E-2</v>
      </c>
      <c r="M411" s="172">
        <f t="shared" si="1148"/>
        <v>-6.0568588925465452E-4</v>
      </c>
      <c r="N411" s="196"/>
      <c r="O411" s="172"/>
      <c r="P411" s="166">
        <f>IFERROR(INDEX('Non-Labor Expenditures'!$F$7:$AB$91,MATCH($C411,'Non-Labor Expenditures'!$D$7:$D$91,0),MATCH($G411,'Non-Labor Expenditures'!$F$5:$AB$5,0)),"NA")</f>
        <v>160571.44047582915</v>
      </c>
      <c r="Q411" s="166">
        <f t="shared" si="1138"/>
        <v>1577.741055838279</v>
      </c>
      <c r="R411" s="172">
        <f t="shared" si="1149"/>
        <v>-1.549472267280415E-2</v>
      </c>
      <c r="S411" s="172">
        <f t="shared" si="1154"/>
        <v>-5.5734362382612321E-4</v>
      </c>
      <c r="T411" s="172"/>
      <c r="U411" s="172"/>
      <c r="V411" s="166">
        <f t="shared" si="1119"/>
        <v>127272.62580502893</v>
      </c>
      <c r="W411" s="170"/>
      <c r="X411" s="174">
        <v>6375.6905264665056</v>
      </c>
      <c r="Y411" s="175">
        <v>3.8082851590811068E-2</v>
      </c>
      <c r="Z411" s="175">
        <f t="shared" si="1155"/>
        <v>1.3698363603828125E-3</v>
      </c>
      <c r="AA411" s="175"/>
      <c r="AB411" s="175"/>
      <c r="AC411" s="170">
        <f t="shared" si="1086"/>
        <v>398721.64321528981</v>
      </c>
      <c r="AD411" s="175">
        <f t="shared" si="1150"/>
        <v>3.925929695089583E-3</v>
      </c>
      <c r="AE411" s="170"/>
      <c r="AF411" s="170"/>
      <c r="AG411" s="121">
        <f t="shared" si="1151"/>
        <v>232.02238002079176</v>
      </c>
      <c r="AH411" s="119">
        <f>+AZ411/$BB$51</f>
        <v>4.7157244091035305E-2</v>
      </c>
      <c r="AI411" s="119"/>
      <c r="AJ411" s="176">
        <f t="shared" si="1156"/>
        <v>10.94153600922343</v>
      </c>
      <c r="AK411" s="176">
        <f t="shared" si="1157"/>
        <v>0</v>
      </c>
      <c r="AL411" s="120">
        <f t="shared" si="1139"/>
        <v>0.27808266448822633</v>
      </c>
      <c r="AM411" s="120">
        <f t="shared" si="1140"/>
        <v>0.40271563685628314</v>
      </c>
      <c r="AN411" s="120">
        <f t="shared" si="1141"/>
        <v>0.31920169865549047</v>
      </c>
      <c r="AO411" s="120">
        <f t="shared" si="1145"/>
        <v>1.1995536484551376E-3</v>
      </c>
      <c r="AP411" s="173">
        <f t="shared" si="1161"/>
        <v>97.624487898107517</v>
      </c>
      <c r="AQ411" s="175">
        <f t="shared" si="1162"/>
        <v>1.1995536484551491E-3</v>
      </c>
      <c r="AR411" s="177">
        <f>+AC411/$AE$51</f>
        <v>3.5969899919819491E-2</v>
      </c>
      <c r="AS411" s="177">
        <f t="shared" si="1158"/>
        <v>4.3147824683386046E-5</v>
      </c>
      <c r="AT411" s="177"/>
      <c r="AU411" s="177"/>
      <c r="AV411" s="177"/>
      <c r="AW411" s="190"/>
      <c r="AX411" s="120"/>
      <c r="AY411" s="120"/>
      <c r="AZ411" s="118">
        <f>IFERROR(INDEX('Total Customers'!$F$7:$AB$91,MATCH($C411,'Total Customers'!$D$7:$D$91,0),MATCH($G411,'Total Customers'!$F$5:$AB$5,0)),"NA")</f>
        <v>1718462</v>
      </c>
      <c r="BA411" s="119">
        <f t="shared" si="1120"/>
        <v>4.4949112151026474E-3</v>
      </c>
      <c r="BB411" s="119"/>
      <c r="BC411" s="121"/>
      <c r="BD411" s="119"/>
      <c r="BE411" s="119"/>
      <c r="BF411" s="119"/>
      <c r="BG411" s="173"/>
      <c r="BH411" s="173"/>
      <c r="BI411" s="173"/>
      <c r="BJ411" s="173"/>
      <c r="BK411" s="173"/>
      <c r="BL411" s="173"/>
      <c r="BM411" s="173"/>
      <c r="BN411" s="173"/>
      <c r="BO411" s="173"/>
      <c r="BP411" s="173"/>
      <c r="BQ411" s="118"/>
      <c r="BR411" s="118"/>
      <c r="BS411" s="118">
        <f>INDEX('Dist. Plant Gas Additions'!$F$7:$AE$91,MATCH($C411,'Dist. Plant Gas Additions'!$D$7:$D$91,0),MATCH(Calculation!$G411,'Dist. Plant Gas Additions'!$F$5:$AE$5,0))</f>
        <v>163183</v>
      </c>
      <c r="BT411" s="118">
        <f>INDEX('Gen. Plant Additions'!$F$7:$AE$91,MATCH($C411,'Gen. Plant Additions'!$D$7:$D$91,0),MATCH(Calculation!$G411,'Gen. Plant Additions'!$F$5:$AE$5,0))</f>
        <v>26036</v>
      </c>
      <c r="BU411" s="118"/>
      <c r="BV411" s="118"/>
      <c r="BW411" s="118">
        <f>INDEX('Dist Plant Depreciation'!$E$7:$AD$94,MATCH($C411,'Dist Plant Depreciation'!$D$7:$D$94,0),MATCH(Calculation!$G411,'Dist Plant Depreciation'!$E$5:$AD$5,0))</f>
        <v>1776417</v>
      </c>
      <c r="BX411" s="118">
        <f>INDEX('Gen. Plant Depreciation'!$E$7:$AD$94,MATCH($C411,'Gen. Plant Depreciation'!$D$7:$D$94,0),MATCH(Calculation!$G411,'Gen. Plant Depreciation'!$E$5:$AD$5,0))</f>
        <v>38751</v>
      </c>
      <c r="BY411" s="118"/>
      <c r="BZ411" s="118"/>
      <c r="CA411" s="118"/>
      <c r="CB411" s="118"/>
      <c r="CC411" s="118"/>
      <c r="CD411" s="118"/>
      <c r="CE411" s="118">
        <f>INDEX('Gross Dx Plant'!$E$7:$AD$91,MATCH($C411,'Gross Dx Plant'!$D$7:$D$91,0),MATCH(Calculation!$G411,'Gross Dx Plant'!$E$5:$AD$5,0))</f>
        <v>3014718</v>
      </c>
      <c r="CF411" s="118">
        <f>INDEX('Gross Gen Plant'!$E$7:$AD$91,MATCH($C411,'Gross Gen Plant'!$D$7:$D$91,0),MATCH(Calculation!$G411,'Gross Gen Plant'!$E$5:$AD$5,0))</f>
        <v>94751</v>
      </c>
      <c r="CG411" s="118">
        <f t="shared" si="969"/>
        <v>1294301</v>
      </c>
      <c r="CH411" s="118"/>
      <c r="CI411" s="121">
        <v>2013</v>
      </c>
      <c r="CJ411" s="118"/>
      <c r="CK411" s="118"/>
      <c r="CL411" s="118"/>
      <c r="CM411" s="183"/>
      <c r="CN411" s="118">
        <f t="shared" si="1121"/>
        <v>189219</v>
      </c>
      <c r="CO411" s="118">
        <f t="shared" si="1122"/>
        <v>285.29130026436599</v>
      </c>
      <c r="CP411" s="186">
        <v>0.90566037735849059</v>
      </c>
      <c r="CQ411" s="118">
        <f>+CQ396*CP411+CO397*CP410+CO398*CP409+CO399*CP408+CO400*CP407+CO401*CP406+CO402*CP405+CO403*CP404+CO404*CP403+CO405*CP402+CO406*CP401+CO407*CP400+CO408*CP399+CO409*CP398+CO410*CP397+CO411</f>
        <v>6375.6905264665056</v>
      </c>
      <c r="CR411" s="119">
        <f t="shared" si="1123"/>
        <v>3.8082851590811068E-2</v>
      </c>
      <c r="CS411" s="119"/>
      <c r="CT411" s="177">
        <f t="shared" si="1124"/>
        <v>7.6663797558199779E-3</v>
      </c>
      <c r="CU411" s="177">
        <f t="shared" si="1132"/>
        <v>7.4282833091244326E-3</v>
      </c>
      <c r="CV411" s="119">
        <f>VLOOKUP($H411,RoR!$E:$F,2,FALSE)</f>
        <v>4.2350000000000006E-2</v>
      </c>
      <c r="CW411" s="177">
        <v>1.7730000000000024E-2</v>
      </c>
      <c r="CX411" s="177">
        <f t="shared" si="1130"/>
        <v>2.4619999999999982E-2</v>
      </c>
      <c r="CY411" s="177">
        <f t="shared" si="1133"/>
        <v>2.3473658299409193E-2</v>
      </c>
      <c r="CZ411" s="177">
        <f t="shared" si="1134"/>
        <v>5.3376742735721204E-2</v>
      </c>
      <c r="DA411" s="187">
        <f t="shared" si="1125"/>
        <v>0.86875000000000002</v>
      </c>
      <c r="DB411" s="188">
        <f t="shared" si="1126"/>
        <v>1.2109103018193925</v>
      </c>
      <c r="DC411" s="188">
        <f t="shared" si="1127"/>
        <v>0.38468122786304604</v>
      </c>
      <c r="DD411" s="188">
        <f t="shared" si="1128"/>
        <v>0.80969194503422559</v>
      </c>
      <c r="DE411" s="188">
        <f t="shared" si="1129"/>
        <v>0.37716621754800816</v>
      </c>
      <c r="DF411" s="189">
        <f>INDEX('State Tax Lookup'!$D$7:$Z$91,MATCH(Calculation!$C411,'State Tax Lookup'!$B$7:$B$91,0),MATCH($H411,'State Tax Lookup'!$D$6:$Z$6,0))</f>
        <v>0.35</v>
      </c>
      <c r="DG411" s="189">
        <v>0.375</v>
      </c>
      <c r="DH411" s="190">
        <f t="shared" si="1131"/>
        <v>20.737048727402328</v>
      </c>
      <c r="DI411" s="190">
        <v>20.420713424733105</v>
      </c>
      <c r="DJ411" s="177"/>
      <c r="DK411" s="189">
        <f>VLOOKUP($H411,RoR!$E:$F,2,FALSE)</f>
        <v>4.2350000000000006E-2</v>
      </c>
      <c r="DL411" s="191">
        <f>HLOOKUP($H411,'GDP-PI'!$D$8:$CQ$11,3,FALSE)</f>
        <v>1.7730000000000024E-2</v>
      </c>
      <c r="DM411" s="189">
        <f>VLOOKUP(H411,'HW Dx Data'!$E:$F,2,FALSE)</f>
        <v>663.24840548821396</v>
      </c>
      <c r="DN411" s="183">
        <f>VLOOKUP(H411,'ECI - Input Price'!$G$17:$H$37,2,FALSE)</f>
        <v>118.72499999999999</v>
      </c>
      <c r="DO411" s="177">
        <f t="shared" ref="DO411" si="1173">LN(DN411/DN410)</f>
        <v>1.8918621429430321E-2</v>
      </c>
      <c r="DP411" s="183">
        <f>HLOOKUP(H411,'GDP-PI'!$8:$9,2,FALSE)</f>
        <v>101.773</v>
      </c>
      <c r="DQ411" s="177">
        <f t="shared" ref="DQ411" si="1174">LN(DP411/DP410)</f>
        <v>1.7574657016510519E-2</v>
      </c>
      <c r="DR411" s="167">
        <v>3.7681794141276863E-2</v>
      </c>
    </row>
    <row r="412" spans="1:122" s="167" customFormat="1" ht="21" x14ac:dyDescent="0.35">
      <c r="A412" s="167" t="s">
        <v>52</v>
      </c>
      <c r="B412" s="168" t="s">
        <v>52</v>
      </c>
      <c r="C412" s="168">
        <v>4057081</v>
      </c>
      <c r="D412" s="168" t="s">
        <v>137</v>
      </c>
      <c r="E412" s="168"/>
      <c r="F412" s="168"/>
      <c r="G412" s="168" t="s">
        <v>20</v>
      </c>
      <c r="H412" s="169">
        <v>2014</v>
      </c>
      <c r="I412" s="170"/>
      <c r="J412" s="166">
        <f>IFERROR(INDEX('Labor Expenditures'!$F$7:$X$91,MATCH($C412,'Labor Expenditures'!$D$7:$D$91,0),MATCH($G412,'Labor Expenditures'!$F$5:$X$5,0)),"NA")</f>
        <v>109347.33676154299</v>
      </c>
      <c r="K412" s="166">
        <f t="shared" si="1137"/>
        <v>902.20574885761539</v>
      </c>
      <c r="L412" s="172">
        <f t="shared" si="1144"/>
        <v>-3.4529469707855774E-2</v>
      </c>
      <c r="M412" s="172">
        <f t="shared" si="1148"/>
        <v>-1.2226627392857633E-3</v>
      </c>
      <c r="N412" s="196"/>
      <c r="O412" s="172"/>
      <c r="P412" s="166">
        <f>IFERROR(INDEX('Non-Labor Expenditures'!$F$7:$AB$91,MATCH($C412,'Non-Labor Expenditures'!$D$7:$D$91,0),MATCH($G412,'Non-Labor Expenditures'!$F$5:$AB$5,0)),"NA")</f>
        <v>158355.36689604638</v>
      </c>
      <c r="Q412" s="166">
        <f t="shared" si="1138"/>
        <v>1527.8335783577563</v>
      </c>
      <c r="R412" s="172">
        <f t="shared" si="1149"/>
        <v>-3.2143342406083332E-2</v>
      </c>
      <c r="S412" s="172">
        <f t="shared" si="1154"/>
        <v>-1.1381717532453406E-3</v>
      </c>
      <c r="T412" s="172"/>
      <c r="U412" s="172"/>
      <c r="V412" s="166">
        <f t="shared" si="1119"/>
        <v>135247.70850280466</v>
      </c>
      <c r="W412" s="170"/>
      <c r="X412" s="174">
        <v>6734.4812719891952</v>
      </c>
      <c r="Y412" s="175">
        <v>5.4748384091331537E-2</v>
      </c>
      <c r="Z412" s="175">
        <f t="shared" si="1155"/>
        <v>1.9385994001914057E-3</v>
      </c>
      <c r="AA412" s="175"/>
      <c r="AB412" s="175"/>
      <c r="AC412" s="170">
        <f t="shared" si="1086"/>
        <v>402950.41216039401</v>
      </c>
      <c r="AD412" s="175">
        <f t="shared" si="1150"/>
        <v>1.0549970250719343E-2</v>
      </c>
      <c r="AE412" s="170"/>
      <c r="AF412" s="170"/>
      <c r="AG412" s="121">
        <f t="shared" si="1151"/>
        <v>233.48155857422788</v>
      </c>
      <c r="AH412" s="119">
        <f>+AZ412/$BB$52</f>
        <v>4.7105313387016602E-2</v>
      </c>
      <c r="AI412" s="119"/>
      <c r="AJ412" s="176">
        <f t="shared" si="1156"/>
        <v>10.998221986728078</v>
      </c>
      <c r="AK412" s="176">
        <f t="shared" si="1157"/>
        <v>0</v>
      </c>
      <c r="AL412" s="120">
        <f t="shared" si="1139"/>
        <v>0.27136673263413214</v>
      </c>
      <c r="AM412" s="120">
        <f t="shared" si="1140"/>
        <v>0.39298971316851061</v>
      </c>
      <c r="AN412" s="120">
        <f t="shared" si="1141"/>
        <v>0.33564355419735725</v>
      </c>
      <c r="AO412" s="120">
        <f t="shared" si="1145"/>
        <v>-4.3485532052813039E-3</v>
      </c>
      <c r="AP412" s="173">
        <f t="shared" si="1161"/>
        <v>97.200884317224407</v>
      </c>
      <c r="AQ412" s="175">
        <f t="shared" si="1162"/>
        <v>-4.3485532052811486E-3</v>
      </c>
      <c r="AR412" s="177">
        <f>+AC412/$AE$52</f>
        <v>3.5409253302479654E-2</v>
      </c>
      <c r="AS412" s="177">
        <f t="shared" si="1158"/>
        <v>-1.5397902194511001E-4</v>
      </c>
      <c r="AT412" s="177"/>
      <c r="AU412" s="177"/>
      <c r="AV412" s="177"/>
      <c r="AW412" s="190"/>
      <c r="AX412" s="120"/>
      <c r="AY412" s="120"/>
      <c r="AZ412" s="118">
        <f>IFERROR(INDEX('Total Customers'!$F$7:$AB$91,MATCH($C412,'Total Customers'!$D$7:$D$91,0),MATCH($G412,'Total Customers'!$F$5:$AB$5,0)),"NA")</f>
        <v>1725834</v>
      </c>
      <c r="BA412" s="119">
        <f t="shared" si="1120"/>
        <v>4.2807071502095669E-3</v>
      </c>
      <c r="BB412" s="119"/>
      <c r="BC412" s="121"/>
      <c r="BD412" s="119"/>
      <c r="BE412" s="119"/>
      <c r="BF412" s="119"/>
      <c r="BG412" s="173"/>
      <c r="BH412" s="173"/>
      <c r="BI412" s="173"/>
      <c r="BJ412" s="173"/>
      <c r="BK412" s="173"/>
      <c r="BL412" s="173"/>
      <c r="BM412" s="173"/>
      <c r="BN412" s="173"/>
      <c r="BO412" s="173"/>
      <c r="BP412" s="173"/>
      <c r="BQ412" s="118"/>
      <c r="BR412" s="118"/>
      <c r="BS412" s="118">
        <f>INDEX('Dist. Plant Gas Additions'!$F$7:$AE$91,MATCH($C412,'Dist. Plant Gas Additions'!$D$7:$D$91,0),MATCH(Calculation!$G412,'Dist. Plant Gas Additions'!$F$5:$AE$5,0))</f>
        <v>240078</v>
      </c>
      <c r="BT412" s="118">
        <f>INDEX('Gen. Plant Additions'!$F$7:$AE$91,MATCH($C412,'Gen. Plant Additions'!$D$7:$D$91,0),MATCH(Calculation!$G412,'Gen. Plant Additions'!$F$5:$AE$5,0))</f>
        <v>39866</v>
      </c>
      <c r="BU412" s="118"/>
      <c r="BV412" s="118"/>
      <c r="BW412" s="118">
        <f>INDEX('Dist Plant Depreciation'!$E$7:$AD$94,MATCH($C412,'Dist Plant Depreciation'!$D$7:$D$94,0),MATCH(Calculation!$G412,'Dist Plant Depreciation'!$E$5:$AD$5,0))</f>
        <v>1836225</v>
      </c>
      <c r="BX412" s="118">
        <f>INDEX('Gen. Plant Depreciation'!$E$7:$AD$94,MATCH($C412,'Gen. Plant Depreciation'!$D$7:$D$94,0),MATCH(Calculation!$G412,'Gen. Plant Depreciation'!$E$5:$AD$5,0))</f>
        <v>40492</v>
      </c>
      <c r="BY412" s="118"/>
      <c r="BZ412" s="118"/>
      <c r="CA412" s="118"/>
      <c r="CB412" s="118"/>
      <c r="CC412" s="118"/>
      <c r="CD412" s="118"/>
      <c r="CE412" s="118">
        <f>INDEX('Gross Dx Plant'!$E$7:$AD$91,MATCH($C412,'Gross Dx Plant'!$D$7:$D$91,0),MATCH(Calculation!$G412,'Gross Dx Plant'!$E$5:$AD$5,0))</f>
        <v>3239233</v>
      </c>
      <c r="CF412" s="118">
        <f>INDEX('Gross Gen Plant'!$E$7:$AD$91,MATCH($C412,'Gross Gen Plant'!$D$7:$D$91,0),MATCH(Calculation!$G412,'Gross Gen Plant'!$E$5:$AD$5,0))</f>
        <v>131699</v>
      </c>
      <c r="CG412" s="118">
        <f t="shared" si="969"/>
        <v>1494215</v>
      </c>
      <c r="CH412" s="118"/>
      <c r="CI412" s="121">
        <v>2014</v>
      </c>
      <c r="CJ412" s="118"/>
      <c r="CK412" s="118"/>
      <c r="CL412" s="118"/>
      <c r="CM412" s="183"/>
      <c r="CN412" s="118">
        <f t="shared" si="1121"/>
        <v>279944</v>
      </c>
      <c r="CO412" s="118">
        <f t="shared" si="1122"/>
        <v>408.99433221224666</v>
      </c>
      <c r="CP412" s="186">
        <v>0.89743589743589747</v>
      </c>
      <c r="CQ412" s="118">
        <f>+CQ396*CP412+CO397*CP411+CO398*CP410+CO399*CP409+CO400*CP408+CO401*CP407+CO402*CP406+CO403*CP405+CO404*CP404+CO405*CP403+CO406*CP402+CO407*CP401+CO408*CP400+CO409*CP399+CO410*CP398+CO411*CP397+CO412</f>
        <v>6734.4812719891952</v>
      </c>
      <c r="CR412" s="119">
        <f t="shared" si="1123"/>
        <v>5.4748384091331537E-2</v>
      </c>
      <c r="CS412" s="119"/>
      <c r="CT412" s="177">
        <f t="shared" si="1124"/>
        <v>7.874219503150915E-3</v>
      </c>
      <c r="CU412" s="177">
        <f t="shared" si="1132"/>
        <v>7.6566402492132283E-3</v>
      </c>
      <c r="CV412" s="119">
        <f>VLOOKUP($H412,RoR!$E:$F,2,FALSE)</f>
        <v>4.1625000000000002E-2</v>
      </c>
      <c r="CW412" s="177">
        <v>1.841352814597208E-2</v>
      </c>
      <c r="CX412" s="177">
        <f t="shared" si="1130"/>
        <v>2.3211471854027922E-2</v>
      </c>
      <c r="CY412" s="177">
        <f t="shared" si="1133"/>
        <v>2.3245301359320396E-2</v>
      </c>
      <c r="CZ412" s="177">
        <f t="shared" si="1134"/>
        <v>3.9072621432650924E-2</v>
      </c>
      <c r="DA412" s="187">
        <f t="shared" si="1125"/>
        <v>0.86875000000000002</v>
      </c>
      <c r="DB412" s="188">
        <f t="shared" si="1126"/>
        <v>1.2320012320012319</v>
      </c>
      <c r="DC412" s="188">
        <f t="shared" si="1127"/>
        <v>0.37439939939939942</v>
      </c>
      <c r="DD412" s="188">
        <f t="shared" si="1128"/>
        <v>0.80432100613819935</v>
      </c>
      <c r="DE412" s="188">
        <f t="shared" si="1129"/>
        <v>0.37100152660040037</v>
      </c>
      <c r="DF412" s="189">
        <f>INDEX('State Tax Lookup'!$D$7:$Z$91,MATCH(Calculation!$C412,'State Tax Lookup'!$B$7:$B$91,0),MATCH($H412,'State Tax Lookup'!$D$6:$Z$6,0))</f>
        <v>0.35</v>
      </c>
      <c r="DG412" s="189">
        <v>0.375</v>
      </c>
      <c r="DH412" s="190">
        <f t="shared" si="1131"/>
        <v>21.21302907369326</v>
      </c>
      <c r="DI412" s="190">
        <v>20.894254083215021</v>
      </c>
      <c r="DJ412" s="177"/>
      <c r="DK412" s="189">
        <f>VLOOKUP($H412,RoR!$E:$F,2,FALSE)</f>
        <v>4.1625000000000002E-2</v>
      </c>
      <c r="DL412" s="191">
        <f>HLOOKUP($H412,'GDP-PI'!$D$8:$CQ$11,3,FALSE)</f>
        <v>1.841352814597208E-2</v>
      </c>
      <c r="DM412" s="189">
        <f>VLOOKUP(H412,'HW Dx Data'!$E:$F,2,FALSE)</f>
        <v>684.46914285042885</v>
      </c>
      <c r="DN412" s="183">
        <f>VLOOKUP(H412,'ECI - Input Price'!$G$17:$H$37,2,FALSE)</f>
        <v>121.2</v>
      </c>
      <c r="DO412" s="177">
        <f t="shared" ref="DO412" si="1175">LN(DN412/DN411)</f>
        <v>2.0632179200028689E-2</v>
      </c>
      <c r="DP412" s="183">
        <f>HLOOKUP(H412,'GDP-PI'!$8:$9,2,FALSE)</f>
        <v>103.64700000000001</v>
      </c>
      <c r="DQ412" s="177">
        <f t="shared" ref="DQ412" si="1176">LN(DP412/DP411)</f>
        <v>1.8246051898256087E-2</v>
      </c>
      <c r="DR412" s="167">
        <v>3.3310601358195048E-3</v>
      </c>
    </row>
    <row r="413" spans="1:122" s="167" customFormat="1" ht="21" x14ac:dyDescent="0.35">
      <c r="A413" s="167" t="s">
        <v>52</v>
      </c>
      <c r="B413" s="168" t="s">
        <v>52</v>
      </c>
      <c r="C413" s="168">
        <v>4057081</v>
      </c>
      <c r="D413" s="168" t="s">
        <v>137</v>
      </c>
      <c r="E413" s="168"/>
      <c r="F413" s="168"/>
      <c r="G413" s="168" t="s">
        <v>21</v>
      </c>
      <c r="H413" s="169">
        <v>2015</v>
      </c>
      <c r="I413" s="170"/>
      <c r="J413" s="166">
        <f>IFERROR(INDEX('Labor Expenditures'!$F$7:$X$91,MATCH($C413,'Labor Expenditures'!$D$7:$D$91,0),MATCH($G413,'Labor Expenditures'!$F$5:$X$5,0)),"NA")</f>
        <v>113048.56167988709</v>
      </c>
      <c r="K413" s="166">
        <f t="shared" si="1137"/>
        <v>913.52373074656236</v>
      </c>
      <c r="L413" s="172">
        <f t="shared" si="1144"/>
        <v>1.2466756311932062E-2</v>
      </c>
      <c r="M413" s="172">
        <f t="shared" si="1148"/>
        <v>4.5211306846705367E-4</v>
      </c>
      <c r="N413" s="196"/>
      <c r="O413" s="172"/>
      <c r="P413" s="166">
        <f>IFERROR(INDEX('Non-Labor Expenditures'!$F$7:$AB$91,MATCH($C413,'Non-Labor Expenditures'!$D$7:$D$91,0),MATCH($G413,'Non-Labor Expenditures'!$F$5:$AB$5,0)),"NA")</f>
        <v>163715.43187126672</v>
      </c>
      <c r="Q413" s="166">
        <f t="shared" si="1138"/>
        <v>1564.5737427848767</v>
      </c>
      <c r="R413" s="172">
        <f t="shared" si="1149"/>
        <v>2.3762647940074776E-2</v>
      </c>
      <c r="S413" s="172">
        <f t="shared" si="1154"/>
        <v>8.6176415149840507E-4</v>
      </c>
      <c r="T413" s="172"/>
      <c r="U413" s="172"/>
      <c r="V413" s="166">
        <f t="shared" si="1119"/>
        <v>140098.35583749739</v>
      </c>
      <c r="W413" s="170"/>
      <c r="X413" s="174">
        <v>7153.6440185373167</v>
      </c>
      <c r="Y413" s="175">
        <v>6.0381092672284802E-2</v>
      </c>
      <c r="Z413" s="175">
        <f t="shared" si="1155"/>
        <v>2.1897501164221825E-3</v>
      </c>
      <c r="AA413" s="175"/>
      <c r="AB413" s="175"/>
      <c r="AC413" s="170">
        <f t="shared" si="1086"/>
        <v>416862.3493886512</v>
      </c>
      <c r="AD413" s="175">
        <f t="shared" si="1150"/>
        <v>3.3942562287931188E-2</v>
      </c>
      <c r="AE413" s="170"/>
      <c r="AF413" s="170"/>
      <c r="AG413" s="121">
        <f t="shared" si="1151"/>
        <v>240.19933873738535</v>
      </c>
      <c r="AH413" s="119">
        <f>+AZ413/$BB$53</f>
        <v>4.6984656575511263E-2</v>
      </c>
      <c r="AI413" s="119"/>
      <c r="AJ413" s="176">
        <f t="shared" si="1156"/>
        <v>11.28568344024095</v>
      </c>
      <c r="AK413" s="176">
        <f t="shared" si="1157"/>
        <v>0</v>
      </c>
      <c r="AL413" s="120">
        <f t="shared" si="1139"/>
        <v>0.27118918713977952</v>
      </c>
      <c r="AM413" s="120">
        <f t="shared" si="1140"/>
        <v>0.39273259413176392</v>
      </c>
      <c r="AN413" s="120">
        <f t="shared" si="1141"/>
        <v>0.33607821872845656</v>
      </c>
      <c r="AO413" s="120">
        <f t="shared" si="1145"/>
        <v>3.2997024812741096E-2</v>
      </c>
      <c r="AP413" s="173">
        <f t="shared" si="1161"/>
        <v>100.46172750790271</v>
      </c>
      <c r="AQ413" s="175">
        <f t="shared" si="1162"/>
        <v>3.2997024812741013E-2</v>
      </c>
      <c r="AR413" s="177">
        <f>+AC413/$AE$53</f>
        <v>3.6265493377321538E-2</v>
      </c>
      <c r="AS413" s="177">
        <f t="shared" si="1158"/>
        <v>1.1966533848177738E-3</v>
      </c>
      <c r="AT413" s="177"/>
      <c r="AU413" s="177"/>
      <c r="AV413" s="177"/>
      <c r="AW413" s="190"/>
      <c r="AX413" s="120"/>
      <c r="AY413" s="120"/>
      <c r="AZ413" s="118">
        <f>IFERROR(INDEX('Total Customers'!$F$7:$AB$91,MATCH($C413,'Total Customers'!$D$7:$D$91,0),MATCH($G413,'Total Customers'!$F$5:$AB$5,0)),"NA")</f>
        <v>1735485</v>
      </c>
      <c r="BA413" s="119">
        <f t="shared" si="1120"/>
        <v>5.576501333765871E-3</v>
      </c>
      <c r="BB413" s="119"/>
      <c r="BC413" s="121"/>
      <c r="BD413" s="119"/>
      <c r="BE413" s="119"/>
      <c r="BF413" s="119"/>
      <c r="BG413" s="173"/>
      <c r="BH413" s="173"/>
      <c r="BI413" s="173"/>
      <c r="BJ413" s="173"/>
      <c r="BK413" s="173"/>
      <c r="BL413" s="173"/>
      <c r="BM413" s="173"/>
      <c r="BN413" s="173"/>
      <c r="BO413" s="173"/>
      <c r="BP413" s="173"/>
      <c r="BQ413" s="118"/>
      <c r="BR413" s="118"/>
      <c r="BS413" s="118">
        <f>INDEX('Dist. Plant Gas Additions'!$F$7:$AE$91,MATCH($C413,'Dist. Plant Gas Additions'!$D$7:$D$91,0),MATCH(Calculation!$G413,'Dist. Plant Gas Additions'!$F$5:$AE$5,0))</f>
        <v>273076</v>
      </c>
      <c r="BT413" s="118">
        <f>INDEX('Gen. Plant Additions'!$F$7:$AE$91,MATCH($C413,'Gen. Plant Additions'!$D$7:$D$91,0),MATCH(Calculation!$G413,'Gen. Plant Additions'!$F$5:$AE$5,0))</f>
        <v>46675</v>
      </c>
      <c r="BU413" s="118"/>
      <c r="BV413" s="118"/>
      <c r="BW413" s="118">
        <f>INDEX('Dist Plant Depreciation'!$E$7:$AD$94,MATCH($C413,'Dist Plant Depreciation'!$D$7:$D$94,0),MATCH(Calculation!$G413,'Dist Plant Depreciation'!$E$5:$AD$5,0))</f>
        <v>1905140</v>
      </c>
      <c r="BX413" s="118">
        <f>INDEX('Gen. Plant Depreciation'!$E$7:$AD$94,MATCH($C413,'Gen. Plant Depreciation'!$D$7:$D$94,0),MATCH(Calculation!$G413,'Gen. Plant Depreciation'!$E$5:$AD$5,0))</f>
        <v>45932</v>
      </c>
      <c r="BY413" s="118"/>
      <c r="BZ413" s="118"/>
      <c r="CA413" s="118"/>
      <c r="CB413" s="118"/>
      <c r="CC413" s="118"/>
      <c r="CD413" s="118"/>
      <c r="CE413" s="118">
        <f>INDEX('Gross Dx Plant'!$E$7:$AD$91,MATCH($C413,'Gross Dx Plant'!$D$7:$D$91,0),MATCH(Calculation!$G413,'Gross Dx Plant'!$E$5:$AD$5,0))</f>
        <v>3497182</v>
      </c>
      <c r="CF413" s="118">
        <f>INDEX('Gross Gen Plant'!$E$7:$AD$91,MATCH($C413,'Gross Gen Plant'!$D$7:$D$91,0),MATCH(Calculation!$G413,'Gross Gen Plant'!$E$5:$AD$5,0))</f>
        <v>169876</v>
      </c>
      <c r="CG413" s="118">
        <f t="shared" ref="CG413:CG479" si="1177">IF(OR(BW413="NA",BX413="NA"),"NA",(SUM(CE413:CF413)-SUM(BW413:BX413)))</f>
        <v>1715986</v>
      </c>
      <c r="CH413" s="118"/>
      <c r="CI413" s="121">
        <v>2015</v>
      </c>
      <c r="CJ413" s="118"/>
      <c r="CK413" s="118"/>
      <c r="CL413" s="118"/>
      <c r="CM413" s="183"/>
      <c r="CN413" s="118">
        <f t="shared" si="1121"/>
        <v>319751</v>
      </c>
      <c r="CO413" s="118">
        <f t="shared" si="1122"/>
        <v>473.2742370294207</v>
      </c>
      <c r="CP413" s="186">
        <v>0.88888888888888884</v>
      </c>
      <c r="CQ413" s="118">
        <f>+CQ396*CP413+CO397*CP412+CO398*CP411+CO399*CP410+CO400*CP409+CO401*CP408+CO402*CP407+CO403*CP406+CO404*CP405+CO405*CP404+CO406*CP403+CO407*CP402+CO408*CP401+CO409*CP400+CO410*CP399+CO411*CP398+CO412*CP397+CO413</f>
        <v>7153.6440185373167</v>
      </c>
      <c r="CR413" s="119">
        <f t="shared" si="1123"/>
        <v>6.0381092672284802E-2</v>
      </c>
      <c r="CS413" s="119"/>
      <c r="CT413" s="177">
        <f t="shared" si="1124"/>
        <v>8.0349901196348616E-3</v>
      </c>
      <c r="CU413" s="177">
        <f t="shared" si="1132"/>
        <v>7.8585297928685845E-3</v>
      </c>
      <c r="CV413" s="119">
        <f>VLOOKUP($H413,RoR!$E:$F,2,FALSE)</f>
        <v>3.8866666666666674E-2</v>
      </c>
      <c r="CW413" s="177">
        <v>9.5709475431029478E-3</v>
      </c>
      <c r="CX413" s="177">
        <f t="shared" si="1130"/>
        <v>2.9295719123563727E-2</v>
      </c>
      <c r="CY413" s="177">
        <f t="shared" si="1133"/>
        <v>2.3043411815665042E-2</v>
      </c>
      <c r="CZ413" s="177">
        <f t="shared" si="1134"/>
        <v>3.5270373279175926E-3</v>
      </c>
      <c r="DA413" s="187">
        <f t="shared" si="1125"/>
        <v>0.86875000000000002</v>
      </c>
      <c r="DB413" s="188">
        <f t="shared" si="1126"/>
        <v>1.3194352816994324</v>
      </c>
      <c r="DC413" s="188">
        <f t="shared" si="1127"/>
        <v>0.33177530017152673</v>
      </c>
      <c r="DD413" s="188">
        <f t="shared" si="1128"/>
        <v>0.78242572977668579</v>
      </c>
      <c r="DE413" s="188">
        <f t="shared" si="1129"/>
        <v>0.34251158643433932</v>
      </c>
      <c r="DF413" s="189">
        <f>INDEX('State Tax Lookup'!$D$7:$Z$91,MATCH(Calculation!$C413,'State Tax Lookup'!$B$7:$B$91,0),MATCH($H413,'State Tax Lookup'!$D$6:$Z$6,0))</f>
        <v>0.35</v>
      </c>
      <c r="DG413" s="189">
        <v>0.375</v>
      </c>
      <c r="DH413" s="190">
        <f t="shared" si="1131"/>
        <v>20.803139867685147</v>
      </c>
      <c r="DI413" s="190">
        <v>20.499582471088797</v>
      </c>
      <c r="DJ413" s="177"/>
      <c r="DK413" s="189">
        <f>VLOOKUP($H413,RoR!$E:$F,2,FALSE)</f>
        <v>3.8866666666666674E-2</v>
      </c>
      <c r="DL413" s="191">
        <f>HLOOKUP($H413,'GDP-PI'!$D$8:$CQ$11,3,FALSE)</f>
        <v>9.5709475431029478E-3</v>
      </c>
      <c r="DM413" s="189">
        <f>VLOOKUP(H413,'HW Dx Data'!$E:$F,2,FALSE)</f>
        <v>675.61463308665782</v>
      </c>
      <c r="DN413" s="183">
        <f>VLOOKUP(H413,'ECI - Input Price'!$G$17:$H$37,2,FALSE)</f>
        <v>123.75</v>
      </c>
      <c r="DO413" s="177">
        <f t="shared" ref="DO413" si="1178">LN(DN413/DN412)</f>
        <v>2.0821327813585516E-2</v>
      </c>
      <c r="DP413" s="183">
        <f>HLOOKUP(H413,'GDP-PI'!$8:$9,2,FALSE)</f>
        <v>104.639</v>
      </c>
      <c r="DQ413" s="177">
        <f t="shared" ref="DQ413" si="1179">LN(DP413/DP412)</f>
        <v>9.5254361854427965E-3</v>
      </c>
      <c r="DR413" s="167">
        <v>1.2225736679067095E-2</v>
      </c>
    </row>
    <row r="414" spans="1:122" s="167" customFormat="1" ht="21" x14ac:dyDescent="0.35">
      <c r="A414" s="167" t="s">
        <v>52</v>
      </c>
      <c r="B414" s="168" t="s">
        <v>52</v>
      </c>
      <c r="C414" s="168">
        <v>4057081</v>
      </c>
      <c r="D414" s="168" t="s">
        <v>137</v>
      </c>
      <c r="E414" s="168"/>
      <c r="F414" s="168"/>
      <c r="G414" s="168" t="s">
        <v>22</v>
      </c>
      <c r="H414" s="169">
        <v>2016</v>
      </c>
      <c r="I414" s="170"/>
      <c r="J414" s="166">
        <f>IFERROR(INDEX('Labor Expenditures'!$F$7:$X$91,MATCH($C414,'Labor Expenditures'!$D$7:$D$91,0),MATCH($G414,'Labor Expenditures'!$F$5:$X$5,0)),"NA")</f>
        <v>111819.22825536168</v>
      </c>
      <c r="K414" s="166">
        <f t="shared" si="1137"/>
        <v>884.64579315950698</v>
      </c>
      <c r="L414" s="172">
        <f t="shared" si="1144"/>
        <v>-3.2122022134426019E-2</v>
      </c>
      <c r="M414" s="172">
        <f t="shared" si="1148"/>
        <v>-1.1354114693014291E-3</v>
      </c>
      <c r="N414" s="196"/>
      <c r="O414" s="172"/>
      <c r="P414" s="166">
        <f>IFERROR(INDEX('Non-Labor Expenditures'!$F$7:$AB$91,MATCH($C414,'Non-Labor Expenditures'!$D$7:$D$91,0),MATCH($G414,'Non-Labor Expenditures'!$F$5:$AB$5,0)),"NA")</f>
        <v>161935.12746474223</v>
      </c>
      <c r="Q414" s="166">
        <f t="shared" si="1138"/>
        <v>1531.5041940752649</v>
      </c>
      <c r="R414" s="172">
        <f t="shared" si="1149"/>
        <v>-2.1363032237673499E-2</v>
      </c>
      <c r="S414" s="172">
        <f t="shared" si="1154"/>
        <v>-7.5511534486227285E-4</v>
      </c>
      <c r="T414" s="172"/>
      <c r="U414" s="172"/>
      <c r="V414" s="166">
        <f t="shared" si="1119"/>
        <v>146798.12832367292</v>
      </c>
      <c r="W414" s="170"/>
      <c r="X414" s="174">
        <v>7631.6307290679697</v>
      </c>
      <c r="Y414" s="175">
        <v>6.4679668600083923E-2</v>
      </c>
      <c r="Z414" s="175">
        <f t="shared" si="1155"/>
        <v>2.2862208752557115E-3</v>
      </c>
      <c r="AA414" s="175"/>
      <c r="AB414" s="175"/>
      <c r="AC414" s="170">
        <f t="shared" si="1086"/>
        <v>420552.48404377681</v>
      </c>
      <c r="AD414" s="175">
        <f t="shared" si="1150"/>
        <v>8.8132151307015877E-3</v>
      </c>
      <c r="AE414" s="170"/>
      <c r="AF414" s="170"/>
      <c r="AG414" s="121">
        <f t="shared" si="1151"/>
        <v>240.36625075660299</v>
      </c>
      <c r="AH414" s="119">
        <f>+AZ414/$BB$54</f>
        <v>4.6958390545672211E-2</v>
      </c>
      <c r="AI414" s="119"/>
      <c r="AJ414" s="176">
        <f t="shared" si="1156"/>
        <v>11.287212277027542</v>
      </c>
      <c r="AK414" s="176">
        <f t="shared" si="1157"/>
        <v>0</v>
      </c>
      <c r="AL414" s="120">
        <f t="shared" si="1139"/>
        <v>0.26588650049139173</v>
      </c>
      <c r="AM414" s="120">
        <f t="shared" si="1140"/>
        <v>0.38505331345964849</v>
      </c>
      <c r="AN414" s="120">
        <f t="shared" si="1141"/>
        <v>0.34906018604895978</v>
      </c>
      <c r="AO414" s="120">
        <f t="shared" si="1145"/>
        <v>5.2233512111796963E-3</v>
      </c>
      <c r="AP414" s="173">
        <f t="shared" si="1161"/>
        <v>100.98784725186526</v>
      </c>
      <c r="AQ414" s="175">
        <f t="shared" si="1162"/>
        <v>5.2233512111797501E-3</v>
      </c>
      <c r="AR414" s="177">
        <f>+AC414/$AE$54</f>
        <v>3.5346824198983995E-2</v>
      </c>
      <c r="AS414" s="177">
        <f t="shared" si="1158"/>
        <v>1.8462887699112075E-4</v>
      </c>
      <c r="AT414" s="177"/>
      <c r="AU414" s="177"/>
      <c r="AV414" s="177"/>
      <c r="AW414" s="190"/>
      <c r="AX414" s="120"/>
      <c r="AY414" s="120"/>
      <c r="AZ414" s="118">
        <f>IFERROR(INDEX('Total Customers'!$F$7:$AB$91,MATCH($C414,'Total Customers'!$D$7:$D$91,0),MATCH($G414,'Total Customers'!$F$5:$AB$5,0)),"NA")</f>
        <v>1749632</v>
      </c>
      <c r="BA414" s="119">
        <f t="shared" si="1120"/>
        <v>8.1185668679944218E-3</v>
      </c>
      <c r="BB414" s="119"/>
      <c r="BC414" s="121"/>
      <c r="BD414" s="119"/>
      <c r="BE414" s="119"/>
      <c r="BF414" s="119"/>
      <c r="BG414" s="173"/>
      <c r="BH414" s="173"/>
      <c r="BI414" s="173"/>
      <c r="BJ414" s="173"/>
      <c r="BK414" s="173"/>
      <c r="BL414" s="173"/>
      <c r="BM414" s="173"/>
      <c r="BN414" s="173"/>
      <c r="BO414" s="173"/>
      <c r="BP414" s="173"/>
      <c r="BQ414" s="118"/>
      <c r="BR414" s="118"/>
      <c r="BS414" s="118">
        <f>INDEX('Dist. Plant Gas Additions'!$F$7:$AE$91,MATCH($C414,'Dist. Plant Gas Additions'!$D$7:$D$91,0),MATCH(Calculation!$G414,'Dist. Plant Gas Additions'!$F$5:$AE$5,0))</f>
        <v>324644</v>
      </c>
      <c r="BT414" s="118">
        <f>INDEX('Gen. Plant Additions'!$F$7:$AE$91,MATCH($C414,'Gen. Plant Additions'!$D$7:$D$91,0),MATCH(Calculation!$G414,'Gen. Plant Additions'!$F$5:$AE$5,0))</f>
        <v>35589</v>
      </c>
      <c r="BU414" s="118"/>
      <c r="BV414" s="118"/>
      <c r="BW414" s="118">
        <f>INDEX('Dist Plant Depreciation'!$E$7:$AD$94,MATCH($C414,'Dist Plant Depreciation'!$D$7:$D$94,0),MATCH(Calculation!$G414,'Dist Plant Depreciation'!$E$5:$AD$5,0))</f>
        <v>1984804</v>
      </c>
      <c r="BX414" s="118">
        <f>INDEX('Gen. Plant Depreciation'!$E$7:$AD$94,MATCH($C414,'Gen. Plant Depreciation'!$D$7:$D$94,0),MATCH(Calculation!$G414,'Gen. Plant Depreciation'!$E$5:$AD$5,0))</f>
        <v>53270</v>
      </c>
      <c r="BY414" s="118"/>
      <c r="BZ414" s="118"/>
      <c r="CA414" s="118"/>
      <c r="CB414" s="118"/>
      <c r="CC414" s="118"/>
      <c r="CD414" s="118"/>
      <c r="CE414" s="118">
        <f>INDEX('Gross Dx Plant'!$E$7:$AD$91,MATCH($C414,'Gross Dx Plant'!$D$7:$D$91,0),MATCH(Calculation!$G414,'Gross Dx Plant'!$E$5:$AD$5,0))</f>
        <v>3805705</v>
      </c>
      <c r="CF414" s="118">
        <f>INDEX('Gross Gen Plant'!$E$7:$AD$91,MATCH($C414,'Gross Gen Plant'!$D$7:$D$91,0),MATCH(Calculation!$G414,'Gross Gen Plant'!$E$5:$AD$5,0))</f>
        <v>197868</v>
      </c>
      <c r="CG414" s="118">
        <f t="shared" si="1177"/>
        <v>1965499</v>
      </c>
      <c r="CH414" s="118"/>
      <c r="CI414" s="121">
        <v>2016</v>
      </c>
      <c r="CJ414" s="118"/>
      <c r="CK414" s="118"/>
      <c r="CL414" s="118"/>
      <c r="CM414" s="183"/>
      <c r="CN414" s="118">
        <f t="shared" si="1121"/>
        <v>360233</v>
      </c>
      <c r="CO414" s="118">
        <f t="shared" si="1122"/>
        <v>536.49500294320478</v>
      </c>
      <c r="CP414" s="186">
        <v>0.88</v>
      </c>
      <c r="CQ414" s="118">
        <f>+CQ396*CP414+CO397*CP413+CO398*CP412+CO399*CP411+CO400*CP410+CO401*CP409+CO402*CP408+CO403*CP407+CO404*CP406+CO405*CP405+CO406*CP404+CO407*CP403+CO408*CP402+CO409*CP401+CO410*CP400+CO411*CP399+CO412*CP398+CO413*CP397+CO414</f>
        <v>7631.6307290679697</v>
      </c>
      <c r="CR414" s="119">
        <f t="shared" si="1123"/>
        <v>6.4679668600083923E-2</v>
      </c>
      <c r="CS414" s="119"/>
      <c r="CT414" s="177">
        <f t="shared" si="1124"/>
        <v>8.1788096054176869E-3</v>
      </c>
      <c r="CU414" s="177">
        <f t="shared" si="1132"/>
        <v>8.0293397427344867E-3</v>
      </c>
      <c r="CV414" s="119">
        <f>VLOOKUP($H414,RoR!$E:$F,2,FALSE)</f>
        <v>3.6658333333333334E-2</v>
      </c>
      <c r="CW414" s="177">
        <v>1.0483662879041455E-2</v>
      </c>
      <c r="CX414" s="177">
        <f t="shared" si="1130"/>
        <v>2.6174670454291879E-2</v>
      </c>
      <c r="CY414" s="177">
        <f t="shared" si="1133"/>
        <v>2.287260186579914E-2</v>
      </c>
      <c r="CZ414" s="177">
        <f t="shared" si="1134"/>
        <v>4.301363574220729E-3</v>
      </c>
      <c r="DA414" s="187">
        <f t="shared" si="1125"/>
        <v>0.86875000000000002</v>
      </c>
      <c r="DB414" s="188">
        <f t="shared" si="1126"/>
        <v>1.3989193348138562</v>
      </c>
      <c r="DC414" s="188">
        <f t="shared" si="1127"/>
        <v>0.29302682427824522</v>
      </c>
      <c r="DD414" s="188">
        <f t="shared" si="1128"/>
        <v>0.76309497491941802</v>
      </c>
      <c r="DE414" s="188">
        <f t="shared" si="1129"/>
        <v>0.31280857135128509</v>
      </c>
      <c r="DF414" s="189">
        <f>INDEX('State Tax Lookup'!$D$7:$Z$91,MATCH(Calculation!$C414,'State Tax Lookup'!$B$7:$B$91,0),MATCH($H414,'State Tax Lookup'!$D$6:$Z$6,0))</f>
        <v>0.35</v>
      </c>
      <c r="DG414" s="189">
        <v>0.375</v>
      </c>
      <c r="DH414" s="190">
        <f t="shared" si="1131"/>
        <v>20.520748298807337</v>
      </c>
      <c r="DI414" s="190">
        <v>20.219549494344957</v>
      </c>
      <c r="DJ414" s="177"/>
      <c r="DK414" s="189">
        <f>VLOOKUP($H414,RoR!$E:$F,2,FALSE)</f>
        <v>3.6658333333333334E-2</v>
      </c>
      <c r="DL414" s="191">
        <f>HLOOKUP($H414,'GDP-PI'!$D$8:$CQ$11,3,FALSE)</f>
        <v>1.0483662879041455E-2</v>
      </c>
      <c r="DM414" s="189">
        <f>VLOOKUP(H414,'HW Dx Data'!$E:$F,2,FALSE)</f>
        <v>671.45639385971219</v>
      </c>
      <c r="DN414" s="183">
        <f>VLOOKUP(H414,'ECI - Input Price'!$G$17:$H$37,2,FALSE)</f>
        <v>126.4</v>
      </c>
      <c r="DO414" s="177">
        <f t="shared" ref="DO414" si="1180">LN(DN414/DN413)</f>
        <v>2.11880802639575E-2</v>
      </c>
      <c r="DP414" s="183">
        <f>HLOOKUP(H414,'GDP-PI'!$8:$9,2,FALSE)</f>
        <v>105.736</v>
      </c>
      <c r="DQ414" s="177">
        <f t="shared" ref="DQ414" si="1181">LN(DP414/DP413)</f>
        <v>1.0429090367205095E-2</v>
      </c>
      <c r="DR414" s="167">
        <v>8.1954649143381481E-3</v>
      </c>
    </row>
    <row r="415" spans="1:122" s="167" customFormat="1" ht="21" x14ac:dyDescent="0.35">
      <c r="A415" s="167" t="s">
        <v>52</v>
      </c>
      <c r="B415" s="168" t="s">
        <v>52</v>
      </c>
      <c r="C415" s="168">
        <v>4057081</v>
      </c>
      <c r="D415" s="168" t="s">
        <v>137</v>
      </c>
      <c r="E415" s="168"/>
      <c r="F415" s="168"/>
      <c r="G415" s="168" t="s">
        <v>23</v>
      </c>
      <c r="H415" s="169">
        <v>2017</v>
      </c>
      <c r="I415" s="170"/>
      <c r="J415" s="166">
        <f>IFERROR(INDEX('Labor Expenditures'!$F$7:$X$91,MATCH($C415,'Labor Expenditures'!$D$7:$D$91,0),MATCH($G415,'Labor Expenditures'!$F$5:$X$5,0)),"NA")</f>
        <v>106858.4565753466</v>
      </c>
      <c r="K415" s="166">
        <f t="shared" si="1137"/>
        <v>825.16182683665329</v>
      </c>
      <c r="L415" s="172">
        <f t="shared" si="1144"/>
        <v>-6.9607810334517461E-2</v>
      </c>
      <c r="M415" s="172">
        <f t="shared" si="1148"/>
        <v>-2.3829692234962232E-3</v>
      </c>
      <c r="N415" s="196"/>
      <c r="O415" s="172"/>
      <c r="P415" s="166">
        <f>IFERROR(INDEX('Non-Labor Expenditures'!$F$7:$AB$91,MATCH($C415,'Non-Labor Expenditures'!$D$7:$D$91,0),MATCH($G415,'Non-Labor Expenditures'!$F$5:$AB$5,0)),"NA")</f>
        <v>154751.00352773763</v>
      </c>
      <c r="Q415" s="166">
        <f t="shared" si="1138"/>
        <v>1436.1908801564498</v>
      </c>
      <c r="R415" s="172">
        <f t="shared" si="1149"/>
        <v>-6.4255999135427025E-2</v>
      </c>
      <c r="S415" s="172">
        <f t="shared" si="1154"/>
        <v>-2.1997541314525823E-3</v>
      </c>
      <c r="T415" s="172"/>
      <c r="U415" s="172"/>
      <c r="V415" s="166">
        <f t="shared" si="1119"/>
        <v>143976.08466203674</v>
      </c>
      <c r="W415" s="170"/>
      <c r="X415" s="174">
        <v>8144.1061393358714</v>
      </c>
      <c r="Y415" s="175">
        <v>6.4992944130022989E-2</v>
      </c>
      <c r="Z415" s="175">
        <f t="shared" si="1155"/>
        <v>2.2249828699101248E-3</v>
      </c>
      <c r="AA415" s="175"/>
      <c r="AB415" s="175"/>
      <c r="AC415" s="170">
        <f t="shared" si="1086"/>
        <v>405585.54476512095</v>
      </c>
      <c r="AD415" s="175">
        <f t="shared" si="1150"/>
        <v>-3.6237472543405473E-2</v>
      </c>
      <c r="AE415" s="170"/>
      <c r="AF415" s="170"/>
      <c r="AG415" s="121">
        <f t="shared" si="1151"/>
        <v>229.95167484327519</v>
      </c>
      <c r="AH415" s="119">
        <f>+AZ415/$BB$55</f>
        <v>4.6982606105894796E-2</v>
      </c>
      <c r="AI415" s="119"/>
      <c r="AJ415" s="176">
        <f t="shared" si="1156"/>
        <v>10.803728962552395</v>
      </c>
      <c r="AK415" s="176">
        <f t="shared" si="1157"/>
        <v>0</v>
      </c>
      <c r="AL415" s="120">
        <f t="shared" si="1139"/>
        <v>0.26346712291541236</v>
      </c>
      <c r="AM415" s="120">
        <f t="shared" si="1140"/>
        <v>0.38154960285223094</v>
      </c>
      <c r="AN415" s="120">
        <f t="shared" si="1141"/>
        <v>0.35498327423235676</v>
      </c>
      <c r="AO415" s="120">
        <f t="shared" si="1145"/>
        <v>-2.017406283328535E-2</v>
      </c>
      <c r="AP415" s="173">
        <f t="shared" si="1161"/>
        <v>98.970925237332807</v>
      </c>
      <c r="AQ415" s="175">
        <f t="shared" si="1162"/>
        <v>-2.0174062833285197E-2</v>
      </c>
      <c r="AR415" s="177">
        <f>+AC415/$AE$55</f>
        <v>3.4234221878899483E-2</v>
      </c>
      <c r="AS415" s="177">
        <f t="shared" si="1158"/>
        <v>-6.90643343233545E-4</v>
      </c>
      <c r="AT415" s="177"/>
      <c r="AU415" s="177"/>
      <c r="AV415" s="177"/>
      <c r="AW415" s="190"/>
      <c r="AX415" s="120"/>
      <c r="AY415" s="120"/>
      <c r="AZ415" s="118">
        <f>IFERROR(INDEX('Total Customers'!$F$7:$AB$91,MATCH($C415,'Total Customers'!$D$7:$D$91,0),MATCH($G415,'Total Customers'!$F$5:$AB$5,0)),"NA")</f>
        <v>1763786</v>
      </c>
      <c r="BA415" s="119">
        <f t="shared" si="1120"/>
        <v>8.0571549245764783E-3</v>
      </c>
      <c r="BB415" s="119"/>
      <c r="BC415" s="121"/>
      <c r="BD415" s="119"/>
      <c r="BE415" s="119"/>
      <c r="BF415" s="119"/>
      <c r="BG415" s="173"/>
      <c r="BH415" s="173"/>
      <c r="BI415" s="173"/>
      <c r="BJ415" s="173"/>
      <c r="BK415" s="173"/>
      <c r="BL415" s="173"/>
      <c r="BM415" s="173"/>
      <c r="BN415" s="173"/>
      <c r="BO415" s="173"/>
      <c r="BP415" s="173"/>
      <c r="BQ415" s="118"/>
      <c r="BR415" s="118"/>
      <c r="BS415" s="118">
        <f>INDEX('Dist. Plant Gas Additions'!$F$7:$AE$91,MATCH($C415,'Dist. Plant Gas Additions'!$D$7:$D$91,0),MATCH(Calculation!$G415,'Dist. Plant Gas Additions'!$F$5:$AE$5,0))</f>
        <v>394545</v>
      </c>
      <c r="BT415" s="118">
        <f>INDEX('Gen. Plant Additions'!$F$7:$AE$91,MATCH($C415,'Gen. Plant Additions'!$D$7:$D$91,0),MATCH(Calculation!$G415,'Gen. Plant Additions'!$F$5:$AE$5,0))</f>
        <v>15732</v>
      </c>
      <c r="BU415" s="118"/>
      <c r="BV415" s="118"/>
      <c r="BW415" s="118">
        <f>INDEX('Dist Plant Depreciation'!$E$7:$AD$94,MATCH($C415,'Dist Plant Depreciation'!$D$7:$D$94,0),MATCH(Calculation!$G415,'Dist Plant Depreciation'!$E$5:$AD$5,0))</f>
        <v>2074548</v>
      </c>
      <c r="BX415" s="118">
        <f>INDEX('Gen. Plant Depreciation'!$E$7:$AD$94,MATCH($C415,'Gen. Plant Depreciation'!$D$7:$D$94,0),MATCH(Calculation!$G415,'Gen. Plant Depreciation'!$E$5:$AD$5,0))</f>
        <v>61821</v>
      </c>
      <c r="BY415" s="118"/>
      <c r="BZ415" s="118"/>
      <c r="CA415" s="118"/>
      <c r="CB415" s="118"/>
      <c r="CC415" s="118"/>
      <c r="CD415" s="118"/>
      <c r="CE415" s="118">
        <f>INDEX('Gross Dx Plant'!$E$7:$AD$91,MATCH($C415,'Gross Dx Plant'!$D$7:$D$91,0),MATCH(Calculation!$G415,'Gross Dx Plant'!$E$5:$AD$5,0))</f>
        <v>4181921</v>
      </c>
      <c r="CF415" s="118">
        <f>INDEX('Gross Gen Plant'!$E$7:$AD$91,MATCH($C415,'Gross Gen Plant'!$D$7:$D$91,0),MATCH(Calculation!$G415,'Gross Gen Plant'!$E$5:$AD$5,0))</f>
        <v>207527</v>
      </c>
      <c r="CG415" s="118">
        <f t="shared" si="1177"/>
        <v>2253079</v>
      </c>
      <c r="CH415" s="118"/>
      <c r="CI415" s="121">
        <v>2017</v>
      </c>
      <c r="CJ415" s="118"/>
      <c r="CK415" s="118"/>
      <c r="CL415" s="118"/>
      <c r="CM415" s="183"/>
      <c r="CN415" s="118">
        <f t="shared" si="1121"/>
        <v>410277</v>
      </c>
      <c r="CO415" s="118">
        <f t="shared" si="1122"/>
        <v>575.885091341931</v>
      </c>
      <c r="CP415" s="186">
        <v>0.87074829931972786</v>
      </c>
      <c r="CQ415" s="118">
        <f>+CQ396*CP415+CO397*CP414+CO398*CP413+CO399*CP412+CO400*CP411+CO401*CP410+CO402*CP409+CO403*CP408+CO404*CP407+CO405*CP406+CO406*CP405+CO407*CP404+CO408*CP403+CO409*CP402+CO410*CP401+CO411*CP400+CO412*CP399+CO413*CP398+CO414*CP397+CO415</f>
        <v>8144.1061393358714</v>
      </c>
      <c r="CR415" s="119">
        <f t="shared" si="1123"/>
        <v>6.4992944130022989E-2</v>
      </c>
      <c r="CS415" s="119"/>
      <c r="CT415" s="177">
        <f t="shared" si="1124"/>
        <v>8.3087983846636369E-3</v>
      </c>
      <c r="CU415" s="177">
        <f t="shared" si="1132"/>
        <v>8.1741993699053963E-3</v>
      </c>
      <c r="CV415" s="119">
        <f>VLOOKUP($H415,RoR!$E:$F,2,FALSE)</f>
        <v>3.7433333333333339E-2</v>
      </c>
      <c r="CW415" s="177">
        <v>1.9056896421275615E-2</v>
      </c>
      <c r="CX415" s="177">
        <f t="shared" si="1130"/>
        <v>1.8376436912057724E-2</v>
      </c>
      <c r="CY415" s="177">
        <f t="shared" si="1133"/>
        <v>2.272774223862823E-2</v>
      </c>
      <c r="CZ415" s="177">
        <f t="shared" si="1134"/>
        <v>1.3976271617800498E-2</v>
      </c>
      <c r="DA415" s="187">
        <f t="shared" si="1125"/>
        <v>0.92125000000000001</v>
      </c>
      <c r="DB415" s="188">
        <f t="shared" si="1126"/>
        <v>1.3699568463593395</v>
      </c>
      <c r="DC415" s="188">
        <f t="shared" si="1127"/>
        <v>0.30714603739982199</v>
      </c>
      <c r="DD415" s="188">
        <f t="shared" si="1128"/>
        <v>0.77007188472689425</v>
      </c>
      <c r="DE415" s="188">
        <f t="shared" si="1129"/>
        <v>0.32402839633793828</v>
      </c>
      <c r="DF415" s="189">
        <f>INDEX('State Tax Lookup'!$D$7:$Z$91,MATCH(Calculation!$C415,'State Tax Lookup'!$B$7:$B$91,0),MATCH($H415,'State Tax Lookup'!$D$6:$Z$6,0))</f>
        <v>0.20999999999999996</v>
      </c>
      <c r="DG415" s="189">
        <v>0.375</v>
      </c>
      <c r="DH415" s="190">
        <f t="shared" si="1131"/>
        <v>18.865703775950404</v>
      </c>
      <c r="DI415" s="190">
        <v>18.633602641337628</v>
      </c>
      <c r="DJ415" s="177"/>
      <c r="DK415" s="189">
        <f>VLOOKUP($H415,RoR!$E:$F,2,FALSE)</f>
        <v>3.7433333333333339E-2</v>
      </c>
      <c r="DL415" s="191">
        <f>HLOOKUP($H415,'GDP-PI'!$D$8:$CQ$11,3,FALSE)</f>
        <v>1.9056896421275615E-2</v>
      </c>
      <c r="DM415" s="189">
        <f>VLOOKUP(H415,'HW Dx Data'!$E:$F,2,FALSE)</f>
        <v>712.42858370229726</v>
      </c>
      <c r="DN415" s="183">
        <f>VLOOKUP(H415,'ECI - Input Price'!$G$17:$H$37,2,FALSE)</f>
        <v>129.5</v>
      </c>
      <c r="DO415" s="177">
        <f t="shared" ref="DO415" si="1182">LN(DN415/DN414)</f>
        <v>2.4229399426835413E-2</v>
      </c>
      <c r="DP415" s="183">
        <f>HLOOKUP(H415,'GDP-PI'!$8:$9,2,FALSE)</f>
        <v>107.751</v>
      </c>
      <c r="DQ415" s="177">
        <f t="shared" ref="DQ415" si="1183">LN(DP415/DP414)</f>
        <v>1.8877588227745139E-2</v>
      </c>
      <c r="DR415" s="167">
        <v>6.6641116146713324E-3</v>
      </c>
    </row>
    <row r="416" spans="1:122" s="167" customFormat="1" ht="21" x14ac:dyDescent="0.35">
      <c r="A416" s="167" t="s">
        <v>52</v>
      </c>
      <c r="B416" s="168" t="s">
        <v>52</v>
      </c>
      <c r="C416" s="168">
        <v>4057081</v>
      </c>
      <c r="D416" s="168" t="s">
        <v>137</v>
      </c>
      <c r="E416" s="168"/>
      <c r="F416" s="168"/>
      <c r="G416" s="168" t="s">
        <v>24</v>
      </c>
      <c r="H416" s="169">
        <v>2018</v>
      </c>
      <c r="I416" s="170"/>
      <c r="J416" s="166">
        <f>IFERROR(INDEX('Labor Expenditures'!$F$7:$X$91,MATCH($C416,'Labor Expenditures'!$D$7:$D$91,0),MATCH($G416,'Labor Expenditures'!$F$5:$X$5,0)),"NA")</f>
        <v>114322.44571808956</v>
      </c>
      <c r="K416" s="166">
        <f t="shared" si="1137"/>
        <v>857.95456448847699</v>
      </c>
      <c r="L416" s="172">
        <f t="shared" si="1144"/>
        <v>3.8971622103704855E-2</v>
      </c>
      <c r="M416" s="172">
        <f t="shared" si="1148"/>
        <v>1.3358072758129697E-3</v>
      </c>
      <c r="N416" s="196"/>
      <c r="O416" s="172"/>
      <c r="P416" s="166">
        <f>IFERROR(INDEX('Non-Labor Expenditures'!$F$7:$AB$91,MATCH($C416,'Non-Labor Expenditures'!$D$7:$D$91,0),MATCH($G416,'Non-Labor Expenditures'!$F$5:$AB$5,0)),"NA")</f>
        <v>165560.25388730245</v>
      </c>
      <c r="Q416" s="166">
        <f t="shared" si="1138"/>
        <v>1500.7002582195976</v>
      </c>
      <c r="R416" s="172">
        <f t="shared" si="1149"/>
        <v>4.3937451293557597E-2</v>
      </c>
      <c r="S416" s="172">
        <f t="shared" si="1154"/>
        <v>1.5060180703392542E-3</v>
      </c>
      <c r="T416" s="172"/>
      <c r="U416" s="172"/>
      <c r="V416" s="166">
        <f t="shared" si="1119"/>
        <v>161668.83501714907</v>
      </c>
      <c r="W416" s="170"/>
      <c r="X416" s="174">
        <v>8748.3589532563783</v>
      </c>
      <c r="Y416" s="175">
        <v>7.1571642031534932E-2</v>
      </c>
      <c r="Z416" s="175">
        <f t="shared" si="1155"/>
        <v>2.4532189066494335E-3</v>
      </c>
      <c r="AA416" s="175"/>
      <c r="AB416" s="175"/>
      <c r="AC416" s="170">
        <f t="shared" si="1086"/>
        <v>441551.53462254105</v>
      </c>
      <c r="AD416" s="175">
        <f t="shared" si="1150"/>
        <v>8.4962926941275482E-2</v>
      </c>
      <c r="AE416" s="170"/>
      <c r="AF416" s="170"/>
      <c r="AG416" s="121">
        <f t="shared" si="1151"/>
        <v>248.67666774003288</v>
      </c>
      <c r="AH416" s="119">
        <f>+AZ416/$BB$56</f>
        <v>4.6886594701914218E-2</v>
      </c>
      <c r="AI416" s="119"/>
      <c r="AJ416" s="176">
        <f t="shared" si="1156"/>
        <v>11.659602132149509</v>
      </c>
      <c r="AK416" s="176">
        <f t="shared" si="1157"/>
        <v>0</v>
      </c>
      <c r="AL416" s="120">
        <f t="shared" si="1139"/>
        <v>0.25891076523110207</v>
      </c>
      <c r="AM416" s="120">
        <f t="shared" si="1140"/>
        <v>0.37495114591512202</v>
      </c>
      <c r="AN416" s="120">
        <f t="shared" si="1141"/>
        <v>0.36613808885377597</v>
      </c>
      <c r="AO416" s="120">
        <f t="shared" si="1145"/>
        <v>5.2604234257388E-2</v>
      </c>
      <c r="AP416" s="173">
        <f t="shared" si="1161"/>
        <v>104.3165844739556</v>
      </c>
      <c r="AQ416" s="175">
        <f t="shared" si="1162"/>
        <v>5.2604234257387993E-2</v>
      </c>
      <c r="AR416" s="177">
        <f>+AC416/$AE$56</f>
        <v>3.4276409441165667E-2</v>
      </c>
      <c r="AS416" s="177">
        <f t="shared" si="1158"/>
        <v>1.8030842717452241E-3</v>
      </c>
      <c r="AT416" s="177"/>
      <c r="AU416" s="177"/>
      <c r="AV416" s="177"/>
      <c r="AW416" s="190"/>
      <c r="AX416" s="120"/>
      <c r="AY416" s="120"/>
      <c r="AZ416" s="118">
        <f>IFERROR(INDEX('Total Customers'!$F$7:$AB$91,MATCH($C416,'Total Customers'!$D$7:$D$91,0),MATCH($G416,'Total Customers'!$F$5:$AB$5,0)),"NA")</f>
        <v>1775605</v>
      </c>
      <c r="BA416" s="119">
        <f t="shared" si="1120"/>
        <v>6.6785748907439288E-3</v>
      </c>
      <c r="BB416" s="119"/>
      <c r="BC416" s="121"/>
      <c r="BD416" s="119"/>
      <c r="BE416" s="119"/>
      <c r="BF416" s="119"/>
      <c r="BG416" s="173"/>
      <c r="BH416" s="173"/>
      <c r="BI416" s="173"/>
      <c r="BJ416" s="173"/>
      <c r="BK416" s="173"/>
      <c r="BL416" s="173"/>
      <c r="BM416" s="173"/>
      <c r="BN416" s="173"/>
      <c r="BO416" s="173"/>
      <c r="BP416" s="173"/>
      <c r="BQ416" s="118"/>
      <c r="BR416" s="118"/>
      <c r="BS416" s="118">
        <f>INDEX('Dist. Plant Gas Additions'!$F$7:$AE$91,MATCH($C416,'Dist. Plant Gas Additions'!$D$7:$D$91,0),MATCH(Calculation!$G416,'Dist. Plant Gas Additions'!$F$5:$AE$5,0))</f>
        <v>486899</v>
      </c>
      <c r="BT416" s="118">
        <f>INDEX('Gen. Plant Additions'!$F$7:$AE$91,MATCH($C416,'Gen. Plant Additions'!$D$7:$D$91,0),MATCH(Calculation!$G416,'Gen. Plant Additions'!$F$5:$AE$5,0))</f>
        <v>21287</v>
      </c>
      <c r="BU416" s="118"/>
      <c r="BV416" s="118"/>
      <c r="BW416" s="118">
        <f>INDEX('Dist Plant Depreciation'!$E$7:$AD$94,MATCH($C416,'Dist Plant Depreciation'!$D$7:$D$94,0),MATCH(Calculation!$G416,'Dist Plant Depreciation'!$E$5:$AD$5,0))</f>
        <v>2178057</v>
      </c>
      <c r="BX416" s="118">
        <f>INDEX('Gen. Plant Depreciation'!$E$7:$AD$94,MATCH($C416,'Gen. Plant Depreciation'!$D$7:$D$94,0),MATCH(Calculation!$G416,'Gen. Plant Depreciation'!$E$5:$AD$5,0))</f>
        <v>73755</v>
      </c>
      <c r="BY416" s="118"/>
      <c r="BZ416" s="118"/>
      <c r="CA416" s="118"/>
      <c r="CB416" s="118"/>
      <c r="CC416" s="118"/>
      <c r="CD416" s="118"/>
      <c r="CE416" s="118">
        <f>INDEX('Gross Dx Plant'!$E$7:$AD$91,MATCH($C416,'Gross Dx Plant'!$D$7:$D$91,0),MATCH(Calculation!$G416,'Gross Dx Plant'!$E$5:$AD$5,0))</f>
        <v>4650411</v>
      </c>
      <c r="CF416" s="118">
        <f>INDEX('Gross Gen Plant'!$E$7:$AD$91,MATCH($C416,'Gross Gen Plant'!$D$7:$D$91,0),MATCH(Calculation!$G416,'Gross Gen Plant'!$E$5:$AD$5,0))</f>
        <v>224020</v>
      </c>
      <c r="CG416" s="118">
        <f t="shared" si="1177"/>
        <v>2622619</v>
      </c>
      <c r="CH416" s="118"/>
      <c r="CI416" s="121">
        <v>2018</v>
      </c>
      <c r="CJ416" s="118"/>
      <c r="CK416" s="118"/>
      <c r="CL416" s="118"/>
      <c r="CM416" s="183"/>
      <c r="CN416" s="118">
        <f t="shared" si="1121"/>
        <v>508186</v>
      </c>
      <c r="CO416" s="118">
        <f t="shared" si="1122"/>
        <v>672.97217887622503</v>
      </c>
      <c r="CP416" s="186">
        <v>0.86111111111111116</v>
      </c>
      <c r="CQ416" s="118">
        <f>+CQ396*CP416++CO397*CP415+CO398*CP414+CO399*CP413+CO400*CP412+CO401*CP411+CO402*CP410+CO403*CP409+CO404*CP408+CO405*CP407+CO406*CP406+CO407*CP405+CO408*CP404+CO409*CP403+CO410*CP402+CO411*CP401+CO412*CP400+CO413*CP399+CO414*CP398+CO415*CP397+CO416</f>
        <v>8748.3589532563783</v>
      </c>
      <c r="CR416" s="119">
        <f t="shared" si="1123"/>
        <v>7.1571642031534932E-2</v>
      </c>
      <c r="CS416" s="119"/>
      <c r="CT416" s="177">
        <f t="shared" si="1124"/>
        <v>8.4379260019469705E-3</v>
      </c>
      <c r="CU416" s="177">
        <f t="shared" si="1132"/>
        <v>8.3085113306760987E-3</v>
      </c>
      <c r="CV416" s="119">
        <f>VLOOKUP($H416,RoR!$E:$F,2,FALSE)</f>
        <v>3.9299999999999995E-2</v>
      </c>
      <c r="CW416" s="177">
        <v>2.386056741932796E-2</v>
      </c>
      <c r="CX416" s="177">
        <f t="shared" si="1130"/>
        <v>1.5439432580672034E-2</v>
      </c>
      <c r="CY416" s="177">
        <f t="shared" si="1133"/>
        <v>2.2593430277857526E-2</v>
      </c>
      <c r="CZ416" s="177">
        <f t="shared" si="1134"/>
        <v>3.8270792163076606E-2</v>
      </c>
      <c r="DA416" s="187">
        <f t="shared" si="1125"/>
        <v>0.92125000000000001</v>
      </c>
      <c r="DB416" s="188">
        <f t="shared" si="1126"/>
        <v>1.3048868010700074</v>
      </c>
      <c r="DC416" s="188">
        <f t="shared" si="1127"/>
        <v>0.33886768447837151</v>
      </c>
      <c r="DD416" s="188">
        <f t="shared" si="1128"/>
        <v>0.78602506232557801</v>
      </c>
      <c r="DE416" s="188">
        <f t="shared" si="1129"/>
        <v>0.34756768162358759</v>
      </c>
      <c r="DF416" s="189">
        <f>INDEX('State Tax Lookup'!$D$7:$Z$91,MATCH(Calculation!$C416,'State Tax Lookup'!$B$7:$B$91,0),MATCH($H416,'State Tax Lookup'!$D$6:$Z$6,0))</f>
        <v>0.20999999999999996</v>
      </c>
      <c r="DG416" s="189">
        <v>0.375</v>
      </c>
      <c r="DH416" s="190">
        <f t="shared" si="1131"/>
        <v>19.851022598574914</v>
      </c>
      <c r="DI416" s="190">
        <v>19.624738005132681</v>
      </c>
      <c r="DJ416" s="177"/>
      <c r="DK416" s="189">
        <f>VLOOKUP($H416,RoR!$E:$F,2,FALSE)</f>
        <v>3.9299999999999995E-2</v>
      </c>
      <c r="DL416" s="191">
        <f>HLOOKUP($H416,'GDP-PI'!$D$8:$CQ$11,3,FALSE)</f>
        <v>2.386056741932796E-2</v>
      </c>
      <c r="DM416" s="189">
        <f>VLOOKUP(H416,'HW Dx Data'!$E:$F,2,FALSE)</f>
        <v>755.13671434174842</v>
      </c>
      <c r="DN416" s="183">
        <f>VLOOKUP(H416,'ECI - Input Price'!$G$17:$H$37,2,FALSE)</f>
        <v>133.25</v>
      </c>
      <c r="DO416" s="177">
        <f t="shared" ref="DO416" si="1184">LN(DN416/DN415)</f>
        <v>2.8546181906361531E-2</v>
      </c>
      <c r="DP416" s="183">
        <f>HLOOKUP(H416,'GDP-PI'!$8:$9,2,FALSE)</f>
        <v>110.322</v>
      </c>
      <c r="DQ416" s="177">
        <f t="shared" ref="DQ416" si="1185">LN(DP416/DP415)</f>
        <v>2.3580352716508712E-2</v>
      </c>
    </row>
    <row r="417" spans="1:122" s="167" customFormat="1" ht="21" x14ac:dyDescent="0.35">
      <c r="A417" s="167" t="s">
        <v>52</v>
      </c>
      <c r="B417" s="168" t="s">
        <v>52</v>
      </c>
      <c r="C417" s="168">
        <v>4057081</v>
      </c>
      <c r="D417" s="168" t="s">
        <v>137</v>
      </c>
      <c r="E417" s="168"/>
      <c r="F417" s="168"/>
      <c r="G417" s="168" t="s">
        <v>25</v>
      </c>
      <c r="H417" s="169">
        <v>2019</v>
      </c>
      <c r="I417" s="170"/>
      <c r="J417" s="166">
        <f>IFERROR(INDEX('Labor Expenditures'!$F$7:$X$91,MATCH($C417,'Labor Expenditures'!$D$7:$D$91,0),MATCH($G417,'Labor Expenditures'!$F$5:$X$5,0)),"NA")</f>
        <v>114700.57730108232</v>
      </c>
      <c r="K417" s="166">
        <f t="shared" si="1137"/>
        <v>838.1481717287711</v>
      </c>
      <c r="L417" s="172">
        <f t="shared" si="1144"/>
        <v>-2.3356242186706087E-2</v>
      </c>
      <c r="M417" s="172">
        <f t="shared" si="1148"/>
        <v>-8.0457599911883571E-4</v>
      </c>
      <c r="N417" s="196"/>
      <c r="O417" s="172"/>
      <c r="P417" s="166">
        <f>IFERROR(INDEX('Non-Labor Expenditures'!$F$7:$AB$91,MATCH($C417,'Non-Labor Expenditures'!$D$7:$D$91,0),MATCH($G417,'Non-Labor Expenditures'!$F$5:$AB$5,0)),"NA")</f>
        <v>166107.85904471367</v>
      </c>
      <c r="Q417" s="166">
        <f t="shared" si="1138"/>
        <v>1478.9068452493248</v>
      </c>
      <c r="R417" s="172">
        <f t="shared" si="1149"/>
        <v>-1.4628641197373766E-2</v>
      </c>
      <c r="S417" s="172">
        <f t="shared" si="1154"/>
        <v>-5.0392753735988948E-4</v>
      </c>
      <c r="T417" s="172"/>
      <c r="U417" s="172"/>
      <c r="V417" s="166">
        <f t="shared" si="1119"/>
        <v>176841.50752268752</v>
      </c>
      <c r="W417" s="170"/>
      <c r="X417" s="174">
        <v>9456.9060872989958</v>
      </c>
      <c r="Y417" s="175">
        <v>7.787914290714297E-2</v>
      </c>
      <c r="Z417" s="175">
        <f t="shared" si="1155"/>
        <v>2.6827812759493393E-3</v>
      </c>
      <c r="AA417" s="175"/>
      <c r="AB417" s="175"/>
      <c r="AC417" s="170">
        <f t="shared" si="1086"/>
        <v>457649.94386848353</v>
      </c>
      <c r="AD417" s="175">
        <f t="shared" si="1150"/>
        <v>3.5809837735243745E-2</v>
      </c>
      <c r="AE417" s="170"/>
      <c r="AF417" s="170"/>
      <c r="AG417" s="121">
        <f t="shared" si="1151"/>
        <v>256.80806246021962</v>
      </c>
      <c r="AH417" s="119">
        <f>+AZ417/$BB$57</f>
        <v>4.6672320901872864E-2</v>
      </c>
      <c r="AI417" s="119"/>
      <c r="AJ417" s="176">
        <f t="shared" si="1156"/>
        <v>11.98582830133158</v>
      </c>
      <c r="AK417" s="176">
        <f t="shared" si="1157"/>
        <v>0</v>
      </c>
      <c r="AL417" s="120">
        <f t="shared" si="1139"/>
        <v>0.25062950151709018</v>
      </c>
      <c r="AM417" s="120">
        <f t="shared" si="1140"/>
        <v>0.36295832933052574</v>
      </c>
      <c r="AN417" s="120">
        <f t="shared" si="1141"/>
        <v>0.38641216915238402</v>
      </c>
      <c r="AO417" s="120">
        <f t="shared" si="1145"/>
        <v>1.7956205132254252E-2</v>
      </c>
      <c r="AP417" s="173">
        <f t="shared" si="1161"/>
        <v>106.20663272753282</v>
      </c>
      <c r="AQ417" s="175">
        <f t="shared" si="1162"/>
        <v>1.7956205132254304E-2</v>
      </c>
      <c r="AR417" s="177">
        <f>+AC417/$AE$57</f>
        <v>3.4448007204548707E-2</v>
      </c>
      <c r="AS417" s="177">
        <f t="shared" si="1158"/>
        <v>6.1855548376225076E-4</v>
      </c>
      <c r="AT417" s="177"/>
      <c r="AU417" s="177"/>
      <c r="AV417" s="177"/>
      <c r="AW417" s="190"/>
      <c r="AX417" s="120"/>
      <c r="AY417" s="120"/>
      <c r="AZ417" s="118">
        <f>IFERROR(INDEX('Total Customers'!$F$7:$AB$91,MATCH($C417,'Total Customers'!$D$7:$D$91,0),MATCH($G417,'Total Customers'!$F$5:$AB$5,0)),"NA")</f>
        <v>1782070</v>
      </c>
      <c r="BA417" s="119">
        <f t="shared" si="1120"/>
        <v>3.6344000597434466E-3</v>
      </c>
      <c r="BB417" s="119"/>
      <c r="BC417" s="121"/>
      <c r="BD417" s="119"/>
      <c r="BE417" s="119"/>
      <c r="BF417" s="119"/>
      <c r="BG417" s="173"/>
      <c r="BH417" s="173"/>
      <c r="BI417" s="173"/>
      <c r="BJ417" s="173"/>
      <c r="BK417" s="173"/>
      <c r="BL417" s="173"/>
      <c r="BM417" s="173"/>
      <c r="BN417" s="173"/>
      <c r="BO417" s="173"/>
      <c r="BP417" s="173"/>
      <c r="BQ417" s="118"/>
      <c r="BR417" s="118"/>
      <c r="BS417" s="118">
        <f>INDEX('Dist. Plant Gas Additions'!$F$7:$AE$91,MATCH($C417,'Dist. Plant Gas Additions'!$D$7:$D$91,0),MATCH(Calculation!$G417,'Dist. Plant Gas Additions'!$F$5:$AE$5,0))</f>
        <v>590954</v>
      </c>
      <c r="BT417" s="118">
        <f>INDEX('Gen. Plant Additions'!$F$7:$AE$91,MATCH($C417,'Gen. Plant Additions'!$D$7:$D$91,0),MATCH(Calculation!$G417,'Gen. Plant Additions'!$F$5:$AE$5,0))</f>
        <v>14953</v>
      </c>
      <c r="BU417" s="118"/>
      <c r="BV417" s="118"/>
      <c r="BW417" s="118">
        <f>INDEX('Dist Plant Depreciation'!$E$7:$AD$94,MATCH($C417,'Dist Plant Depreciation'!$D$7:$D$94,0),MATCH(Calculation!$G417,'Dist Plant Depreciation'!$E$5:$AD$5,0))</f>
        <v>2295251</v>
      </c>
      <c r="BX417" s="118">
        <f>INDEX('Gen. Plant Depreciation'!$E$7:$AD$94,MATCH($C417,'Gen. Plant Depreciation'!$D$7:$D$94,0),MATCH(Calculation!$G417,'Gen. Plant Depreciation'!$E$5:$AD$5,0))</f>
        <v>86867</v>
      </c>
      <c r="BY417" s="118"/>
      <c r="BZ417" s="118"/>
      <c r="CA417" s="118"/>
      <c r="CB417" s="118"/>
      <c r="CC417" s="118"/>
      <c r="CD417" s="118"/>
      <c r="CE417" s="118">
        <f>INDEX('Gross Dx Plant'!$E$7:$AD$91,MATCH($C417,'Gross Dx Plant'!$D$7:$D$91,0),MATCH(Calculation!$G417,'Gross Dx Plant'!$E$5:$AD$5,0))</f>
        <v>5235428</v>
      </c>
      <c r="CF417" s="118">
        <f>INDEX('Gross Gen Plant'!$E$7:$AD$91,MATCH($C417,'Gross Gen Plant'!$D$7:$D$91,0),MATCH(Calculation!$G417,'Gross Gen Plant'!$E$5:$AD$5,0))</f>
        <v>235646</v>
      </c>
      <c r="CG417" s="118">
        <f t="shared" si="1177"/>
        <v>3088956</v>
      </c>
      <c r="CH417" s="118"/>
      <c r="CI417" s="121">
        <v>2019</v>
      </c>
      <c r="CJ417" s="118"/>
      <c r="CK417" s="118"/>
      <c r="CL417" s="118"/>
      <c r="CM417" s="183"/>
      <c r="CN417" s="118">
        <f t="shared" si="1121"/>
        <v>605907</v>
      </c>
      <c r="CO417" s="118">
        <f t="shared" si="1122"/>
        <v>783.29181415095672</v>
      </c>
      <c r="CP417" s="186">
        <v>0.85106382978723405</v>
      </c>
      <c r="CQ417" s="118">
        <f>CQ396*CP417+CO397*CP416+CO398*CP415+CO399*CP414+CO400*CP413+CO401*CP412+CO402*CP411+CO403*CP410+CO404*CP409+CO405*CP408+CO406*CP407+CO407*CP406+CO408*CP405+CO409*CP404+CO410*CP403+CO411*CP402+CO412*CP401+CO413*CP400+CO414*CP399+CO415*CP398+CO416*CP397+CO417</f>
        <v>9456.9060872989958</v>
      </c>
      <c r="CR417" s="119">
        <f t="shared" si="1123"/>
        <v>7.787914290714297E-2</v>
      </c>
      <c r="CS417" s="119"/>
      <c r="CT417" s="177">
        <f t="shared" si="1124"/>
        <v>8.5438515392097895E-3</v>
      </c>
      <c r="CU417" s="177">
        <f t="shared" si="1132"/>
        <v>8.4301919752734662E-3</v>
      </c>
      <c r="CV417" s="119">
        <f>VLOOKUP($H417,RoR!$E:$F,2,FALSE)</f>
        <v>3.3875000000000009E-2</v>
      </c>
      <c r="CW417" s="177">
        <v>1.8092492884465461E-2</v>
      </c>
      <c r="CX417" s="177">
        <f t="shared" si="1130"/>
        <v>1.5782507115534548E-2</v>
      </c>
      <c r="CY417" s="177">
        <f t="shared" si="1133"/>
        <v>2.2471749633260159E-2</v>
      </c>
      <c r="CZ417" s="177">
        <f t="shared" si="1134"/>
        <v>4.8445665544254078E-2</v>
      </c>
      <c r="DA417" s="187">
        <f t="shared" si="1125"/>
        <v>0.92125000000000001</v>
      </c>
      <c r="DB417" s="188">
        <f t="shared" si="1126"/>
        <v>1.513861292459078</v>
      </c>
      <c r="DC417" s="188">
        <f t="shared" si="1127"/>
        <v>0.23699261992619944</v>
      </c>
      <c r="DD417" s="188">
        <f t="shared" si="1128"/>
        <v>0.73619765810468829</v>
      </c>
      <c r="DE417" s="188">
        <f t="shared" si="1129"/>
        <v>0.26412854465362851</v>
      </c>
      <c r="DF417" s="189">
        <f>INDEX('State Tax Lookup'!$D$7:$Z$91,MATCH(Calculation!$C417,'State Tax Lookup'!$B$7:$B$91,0),MATCH($H417,'State Tax Lookup'!$D$6:$Z$6,0))</f>
        <v>0.20999999999999996</v>
      </c>
      <c r="DG417" s="189">
        <v>0.375</v>
      </c>
      <c r="DH417" s="190">
        <f t="shared" si="1131"/>
        <v>20.214249148620301</v>
      </c>
      <c r="DI417" s="190">
        <v>20.005875343633253</v>
      </c>
      <c r="DJ417" s="177"/>
      <c r="DK417" s="189">
        <f>VLOOKUP($H417,RoR!$E:$F,2,FALSE)</f>
        <v>3.3875000000000009E-2</v>
      </c>
      <c r="DL417" s="191">
        <f>HLOOKUP($H417,'GDP-PI'!$D$8:$CQ$11,3,FALSE)</f>
        <v>1.8092492884465461E-2</v>
      </c>
      <c r="DM417" s="189">
        <f>VLOOKUP(H417,'HW Dx Data'!$E:$F,2,FALSE)</f>
        <v>773.53929793938721</v>
      </c>
      <c r="DN417" s="183">
        <f>VLOOKUP(H417,'ECI - Input Price'!$G$17:$H$37,2,FALSE)</f>
        <v>136.85</v>
      </c>
      <c r="DO417" s="177">
        <f t="shared" ref="DO417" si="1186">LN(DN417/DN416)</f>
        <v>2.6658372440734168E-2</v>
      </c>
      <c r="DP417" s="183">
        <f>HLOOKUP(H417,'GDP-PI'!$8:$9,2,FALSE)</f>
        <v>112.318</v>
      </c>
      <c r="DQ417" s="177">
        <f t="shared" ref="DQ417" si="1187">LN(DP417/DP416)</f>
        <v>1.7930771451401852E-2</v>
      </c>
      <c r="DR417" s="167">
        <v>1.7081629389229851E-2</v>
      </c>
    </row>
    <row r="418" spans="1:122" s="167" customFormat="1" ht="21" x14ac:dyDescent="0.35">
      <c r="A418" s="167" t="s">
        <v>52</v>
      </c>
      <c r="B418" s="167" t="s">
        <v>52</v>
      </c>
      <c r="C418" s="167">
        <v>4057081</v>
      </c>
      <c r="D418" s="167" t="s">
        <v>137</v>
      </c>
      <c r="G418" s="168" t="s">
        <v>26</v>
      </c>
      <c r="H418" s="169">
        <v>2020</v>
      </c>
      <c r="I418" s="170"/>
      <c r="J418" s="166">
        <f>IFERROR(INDEX('Labor Expenditures'!$F$7:$X$91,MATCH($C418,'Labor Expenditures'!$D$7:$D$91,0),MATCH($G418,'Labor Expenditures'!$F$5:$X$5,0)),"NA")</f>
        <v>104019.6138718424</v>
      </c>
      <c r="K418" s="166">
        <f t="shared" si="1137"/>
        <v>740.61668830076474</v>
      </c>
      <c r="L418" s="172">
        <f t="shared" si="1144"/>
        <v>-0.12371169904441597</v>
      </c>
      <c r="M418" s="172">
        <f t="shared" si="1148"/>
        <v>-4.1070430144191095E-3</v>
      </c>
      <c r="N418" s="196"/>
      <c r="O418" s="172"/>
      <c r="P418" s="166">
        <f>IFERROR(INDEX('Non-Labor Expenditures'!$F$7:$AB$91,MATCH($C418,'Non-Labor Expenditures'!$D$7:$D$91,0),MATCH($G418,'Non-Labor Expenditures'!$F$5:$AB$5,0)),"NA")</f>
        <v>150639.8290703852</v>
      </c>
      <c r="Q418" s="166">
        <f t="shared" si="1138"/>
        <v>1325.7864083010058</v>
      </c>
      <c r="R418" s="172">
        <f t="shared" si="1149"/>
        <v>-0.10929739771224391</v>
      </c>
      <c r="S418" s="172">
        <f t="shared" si="1154"/>
        <v>-3.6285098114051018E-3</v>
      </c>
      <c r="T418" s="172"/>
      <c r="U418" s="172"/>
      <c r="V418" s="166">
        <f t="shared" si="1119"/>
        <v>200049.44932111335</v>
      </c>
      <c r="W418" s="170"/>
      <c r="X418" s="174">
        <v>9987.7605714040983</v>
      </c>
      <c r="Y418" s="175">
        <v>5.4615123016629727E-2</v>
      </c>
      <c r="Z418" s="175">
        <f t="shared" si="1155"/>
        <v>1.8131402381480271E-3</v>
      </c>
      <c r="AA418" s="175"/>
      <c r="AB418" s="175"/>
      <c r="AC418" s="170">
        <f t="shared" si="1086"/>
        <v>454708.89226334094</v>
      </c>
      <c r="AD418" s="175">
        <f t="shared" si="1150"/>
        <v>-6.4471602092150276E-3</v>
      </c>
      <c r="AE418" s="170"/>
      <c r="AF418" s="170"/>
      <c r="AG418" s="121">
        <f t="shared" si="1151"/>
        <v>252.97724654831674</v>
      </c>
      <c r="AH418" s="119">
        <f>+AZ418/$BB$58</f>
        <v>4.6743634868349197E-2</v>
      </c>
      <c r="AI418" s="119"/>
      <c r="AJ418" s="176">
        <f t="shared" si="1156"/>
        <v>11.825076042654871</v>
      </c>
      <c r="AK418" s="176">
        <f t="shared" si="1157"/>
        <v>0</v>
      </c>
      <c r="AL418" s="120">
        <f t="shared" si="1139"/>
        <v>0.22876089656852433</v>
      </c>
      <c r="AM418" s="120">
        <f t="shared" si="1140"/>
        <v>0.33128850487301087</v>
      </c>
      <c r="AN418" s="120">
        <f t="shared" si="1141"/>
        <v>0.43995059855846486</v>
      </c>
      <c r="AO418" s="120">
        <f t="shared" si="1145"/>
        <v>-4.5026834393134943E-2</v>
      </c>
      <c r="AP418" s="173">
        <f t="shared" si="1161"/>
        <v>101.5305488942744</v>
      </c>
      <c r="AQ418" s="175">
        <f t="shared" si="1162"/>
        <v>-4.5026834393135103E-2</v>
      </c>
      <c r="AR418" s="177">
        <f>+AC418/$AE$58</f>
        <v>3.3198501404014875E-2</v>
      </c>
      <c r="AS418" s="177">
        <f t="shared" si="1158"/>
        <v>-1.4948234248188411E-3</v>
      </c>
      <c r="AT418" s="177"/>
      <c r="AU418" s="177"/>
      <c r="AV418" s="177"/>
      <c r="AW418" s="190"/>
      <c r="AX418" s="120"/>
      <c r="AY418" s="120"/>
      <c r="AZ418" s="118">
        <f>IFERROR(INDEX('Total Customers'!$F$7:$AB$91,MATCH($C418,'Total Customers'!$D$7:$D$91,0),MATCH($G418,'Total Customers'!$F$5:$AB$5,0)),"NA")</f>
        <v>1797430</v>
      </c>
      <c r="BA418" s="119">
        <f t="shared" si="1120"/>
        <v>8.5822568953513954E-3</v>
      </c>
      <c r="BB418" s="119"/>
      <c r="BC418" s="121"/>
      <c r="BD418" s="119"/>
      <c r="BE418" s="119"/>
      <c r="BF418" s="119"/>
      <c r="BG418" s="173"/>
      <c r="BH418" s="173"/>
      <c r="BI418" s="173"/>
      <c r="BJ418" s="173"/>
      <c r="BK418" s="173"/>
      <c r="BL418" s="173"/>
      <c r="BM418" s="173"/>
      <c r="BN418" s="173"/>
      <c r="BO418" s="173"/>
      <c r="BP418" s="173"/>
      <c r="BQ418" s="118"/>
      <c r="BR418" s="118"/>
      <c r="BS418" s="118">
        <f>INDEX('Dist. Plant Gas Additions'!$F$7:$AE$91,MATCH($C418,'Dist. Plant Gas Additions'!$D$7:$D$91,0),MATCH(Calculation!$G418,'Dist. Plant Gas Additions'!$F$5:$AE$5,0))</f>
        <v>481405</v>
      </c>
      <c r="BT418" s="118">
        <f>INDEX('Gen. Plant Additions'!$F$7:$AE$91,MATCH($C418,'Gen. Plant Additions'!$D$7:$D$91,0),MATCH(Calculation!$G418,'Gen. Plant Additions'!$F$5:$AE$5,0))</f>
        <v>16555</v>
      </c>
      <c r="BU418" s="118"/>
      <c r="BV418" s="118"/>
      <c r="BW418" s="118">
        <f>INDEX('Dist Plant Depreciation'!$E$7:$AD$94,MATCH($C418,'Dist Plant Depreciation'!$D$7:$D$94,0),MATCH(Calculation!$G418,'Dist Plant Depreciation'!$E$5:$AD$5,0))</f>
        <v>2413834</v>
      </c>
      <c r="BX418" s="118">
        <f>INDEX('Gen. Plant Depreciation'!$E$7:$AD$94,MATCH($C418,'Gen. Plant Depreciation'!$D$7:$D$94,0),MATCH(Calculation!$G418,'Gen. Plant Depreciation'!$E$5:$AD$5,0))</f>
        <v>103586</v>
      </c>
      <c r="BY418" s="118"/>
      <c r="BZ418" s="118"/>
      <c r="CA418" s="118"/>
      <c r="CB418" s="118"/>
      <c r="CC418" s="118"/>
      <c r="CD418" s="118"/>
      <c r="CE418" s="118">
        <f>INDEX('Gross Dx Plant'!$E$7:$AD$91,MATCH($C418,'Gross Dx Plant'!$D$7:$D$91,0),MATCH(Calculation!$G418,'Gross Dx Plant'!$E$5:$AD$5,0))</f>
        <v>5701611</v>
      </c>
      <c r="CF418" s="118">
        <f>INDEX('Gross Gen Plant'!$E$7:$AD$91,MATCH($C418,'Gross Gen Plant'!$D$7:$D$91,0),MATCH(Calculation!$G418,'Gross Gen Plant'!$E$5:$AD$5,0))</f>
        <v>249931</v>
      </c>
      <c r="CG418" s="118">
        <f t="shared" si="1177"/>
        <v>3434122</v>
      </c>
      <c r="CH418" s="118"/>
      <c r="CI418" s="121">
        <v>2020</v>
      </c>
      <c r="CJ418" s="118"/>
      <c r="CK418" s="118"/>
      <c r="CL418" s="118"/>
      <c r="CM418" s="183"/>
      <c r="CN418" s="118">
        <f t="shared" si="1121"/>
        <v>497960</v>
      </c>
      <c r="CO418" s="118">
        <f t="shared" si="1122"/>
        <v>612.4365382302783</v>
      </c>
      <c r="CP418" s="186">
        <v>0.84057971014492749</v>
      </c>
      <c r="CQ418" s="118">
        <f>CQ396*CP418+CO397*CP417+CO398*CP416+CO399*CP415+CO400*CP414+CO401*CP413+CO402*CP412+CO403*CP411+CO404*CP410+CO405*CP409+CO406*CP408+CO407*CP407+CO408*CP406+CO409*CP405+CO410*CP404+CO411*CP403+CO412*CP402+CO413*CP401+CO414*CP400+CO415*CP399+CO416*CP398+CO417*CP397+CO418</f>
        <v>9987.7605714040983</v>
      </c>
      <c r="CR418" s="119">
        <f t="shared" si="1123"/>
        <v>5.4615123016629727E-2</v>
      </c>
      <c r="CS418" s="119"/>
      <c r="CT418" s="177">
        <f t="shared" si="1124"/>
        <v>8.6267171707186292E-3</v>
      </c>
      <c r="CU418" s="177">
        <f t="shared" si="1132"/>
        <v>8.5361649039584625E-3</v>
      </c>
      <c r="CV418" s="119">
        <f>VLOOKUP($H418,RoR!$E:$F,2,FALSE)</f>
        <v>2.4766666666666666E-2</v>
      </c>
      <c r="CW418" s="177">
        <v>1.1618796630994188E-2</v>
      </c>
      <c r="CX418" s="177">
        <f t="shared" si="1130"/>
        <v>1.3147870035672478E-2</v>
      </c>
      <c r="CY418" s="177">
        <f t="shared" si="1133"/>
        <v>2.2365776704575163E-2</v>
      </c>
      <c r="CZ418" s="177">
        <f t="shared" si="1134"/>
        <v>4.5144642961987357E-2</v>
      </c>
      <c r="DA418" s="187">
        <f t="shared" si="1125"/>
        <v>0.92125000000000001</v>
      </c>
      <c r="DB418" s="188">
        <f t="shared" si="1126"/>
        <v>2.0706077233668081</v>
      </c>
      <c r="DC418" s="188">
        <f t="shared" si="1127"/>
        <v>-3.4421265141318998E-2</v>
      </c>
      <c r="DD418" s="188">
        <f t="shared" si="1128"/>
        <v>0.62416226176410472</v>
      </c>
      <c r="DE418" s="188">
        <f t="shared" si="1129"/>
        <v>-4.4485877841158712E-2</v>
      </c>
      <c r="DF418" s="189">
        <f>INDEX('State Tax Lookup'!$D$7:$Z$91,MATCH(Calculation!$C418,'State Tax Lookup'!$B$7:$B$91,0),MATCH($H418,'State Tax Lookup'!$D$6:$Z$6,0))</f>
        <v>0.20999999999999996</v>
      </c>
      <c r="DG418" s="189">
        <v>0.375</v>
      </c>
      <c r="DH418" s="190">
        <f t="shared" si="1131"/>
        <v>21.153794642180891</v>
      </c>
      <c r="DI418" s="190">
        <v>20.993396686495547</v>
      </c>
      <c r="DJ418" s="177"/>
      <c r="DK418" s="189">
        <f>VLOOKUP($H418,RoR!$E:$F,2,FALSE)</f>
        <v>2.4766666666666666E-2</v>
      </c>
      <c r="DL418" s="191">
        <f>HLOOKUP($H418,'GDP-PI'!$D$8:$CQ$11,3,FALSE)</f>
        <v>1.1618796630994188E-2</v>
      </c>
      <c r="DM418" s="189">
        <f>VLOOKUP(H418,'HW Dx Data'!$E:$F,2,FALSE)</f>
        <v>813.080162458833</v>
      </c>
      <c r="DN418" s="183">
        <f>VLOOKUP(H418,'ECI - Input Price'!$G$17:$H$37,2,FALSE)</f>
        <v>140.44999999999999</v>
      </c>
      <c r="DO418" s="177">
        <f t="shared" ref="DO418" si="1188">LN(DN418/DN417)</f>
        <v>2.5966118063564539E-2</v>
      </c>
      <c r="DP418" s="183">
        <f>HLOOKUP(H418,'GDP-PI'!$8:$9,2,FALSE)</f>
        <v>113.623</v>
      </c>
      <c r="DQ418" s="177">
        <f t="shared" ref="DQ418" si="1189">LN(DP418/DP417)</f>
        <v>1.1551816731392881E-2</v>
      </c>
      <c r="DR418" s="167">
        <v>1.0563420558705747E-2</v>
      </c>
    </row>
    <row r="419" spans="1:122" s="167" customFormat="1" ht="21" x14ac:dyDescent="0.35">
      <c r="A419" s="167" t="s">
        <v>52</v>
      </c>
      <c r="B419" s="167" t="s">
        <v>52</v>
      </c>
      <c r="C419" s="167">
        <v>4057081</v>
      </c>
      <c r="D419" s="167" t="s">
        <v>137</v>
      </c>
      <c r="G419" s="168" t="s">
        <v>462</v>
      </c>
      <c r="H419" s="169">
        <v>2021</v>
      </c>
      <c r="I419" s="170"/>
      <c r="J419" s="166">
        <f>IFERROR(INDEX('Labor Expenditures'!$E$7:$X$91,MATCH($C419,'Labor Expenditures'!$D$7:$D$91,0),MATCH($G419,'Labor Expenditures'!$E$5:$X$5,0)),"NA")</f>
        <v>108824.34945213952</v>
      </c>
      <c r="K419" s="166">
        <f t="shared" si="1137"/>
        <v>748.06220623570721</v>
      </c>
      <c r="L419" s="171">
        <f t="shared" si="1144"/>
        <v>1.0002936220280832E-2</v>
      </c>
      <c r="M419" s="172">
        <f t="shared" si="1148"/>
        <v>3.3135803689815735E-4</v>
      </c>
      <c r="N419" s="196"/>
      <c r="O419" s="172"/>
      <c r="P419" s="166">
        <f>IFERROR(INDEX('Non-Labor Expenditures'!$E$7:$AB$91,MATCH($C419,'Non-Labor Expenditures'!$D$7:$D$91,0),MATCH($G419,'Non-Labor Expenditures'!$E$5:$AB$5,0)),"NA")</f>
        <v>153402.99862530513</v>
      </c>
      <c r="Q419" s="166">
        <f t="shared" si="1138"/>
        <v>1294.6493258950557</v>
      </c>
      <c r="R419" s="172">
        <f t="shared" si="1149"/>
        <v>-2.3765931409855799E-2</v>
      </c>
      <c r="S419" s="172">
        <f t="shared" si="1154"/>
        <v>-7.8727207727862371E-4</v>
      </c>
      <c r="T419" s="172"/>
      <c r="U419" s="172"/>
      <c r="V419" s="166">
        <f t="shared" si="1119"/>
        <v>226330.18943617804</v>
      </c>
      <c r="W419" s="170"/>
      <c r="X419" s="174">
        <v>10568.889206536356</v>
      </c>
      <c r="Y419" s="175"/>
      <c r="Z419" s="175">
        <f t="shared" si="1155"/>
        <v>0</v>
      </c>
      <c r="AA419" s="175"/>
      <c r="AB419" s="175"/>
      <c r="AC419" s="170">
        <f t="shared" si="1086"/>
        <v>488557.53751362266</v>
      </c>
      <c r="AD419" s="175">
        <f t="shared" si="1150"/>
        <v>7.1799831637539488E-2</v>
      </c>
      <c r="AE419" s="118"/>
      <c r="AF419" s="119"/>
      <c r="AG419" s="121">
        <f t="shared" si="1151"/>
        <v>270.57695471657985</v>
      </c>
      <c r="AH419" s="119">
        <f>+AZ419/$BB$59</f>
        <v>4.6326095851461517E-2</v>
      </c>
      <c r="AI419" s="119"/>
      <c r="AJ419" s="176">
        <f t="shared" si="1156"/>
        <v>12.534773939396841</v>
      </c>
      <c r="AK419" s="176">
        <f t="shared" si="1157"/>
        <v>0</v>
      </c>
      <c r="AL419" s="120">
        <f t="shared" si="1139"/>
        <v>0.22274622965796556</v>
      </c>
      <c r="AM419" s="120">
        <f t="shared" si="1140"/>
        <v>0.31399167313231297</v>
      </c>
      <c r="AN419" s="120">
        <f t="shared" si="1141"/>
        <v>0.46326209720972156</v>
      </c>
      <c r="AO419" s="120">
        <f t="shared" si="1145"/>
        <v>-5.4096437319841022E-3</v>
      </c>
      <c r="AP419" s="173">
        <f t="shared" si="1161"/>
        <v>100.98278772903809</v>
      </c>
      <c r="AQ419" s="175">
        <f t="shared" si="1162"/>
        <v>-5.4096437319841317E-3</v>
      </c>
      <c r="AR419" s="177">
        <f>+AC419/$AE$59</f>
        <v>3.3126077143862315E-2</v>
      </c>
      <c r="AS419" s="177">
        <f t="shared" si="1158"/>
        <v>-1.7920027558651757E-4</v>
      </c>
      <c r="AT419" s="177"/>
      <c r="AU419" s="177"/>
      <c r="AV419" s="177"/>
      <c r="AW419" s="190"/>
      <c r="AX419" s="120"/>
      <c r="AY419" s="120"/>
      <c r="AZ419" s="118">
        <f>INDEX('Total Customers'!$E$7:$E$91,MATCH(Calculation!$C419,'Total Customers'!$D$7:$D$91,0))</f>
        <v>1805614</v>
      </c>
      <c r="BA419" s="119">
        <f t="shared" si="1120"/>
        <v>4.5428332680127427E-3</v>
      </c>
      <c r="BB419" s="118"/>
      <c r="BC419" s="121"/>
      <c r="BD419" s="118"/>
      <c r="BE419" s="119"/>
      <c r="BF419" s="119"/>
      <c r="BG419" s="173"/>
      <c r="BH419" s="173"/>
      <c r="BI419" s="173"/>
      <c r="BJ419" s="173"/>
      <c r="BK419" s="173"/>
      <c r="BL419" s="173"/>
      <c r="BM419" s="173"/>
      <c r="BN419" s="173"/>
      <c r="BO419" s="173"/>
      <c r="BP419" s="173"/>
      <c r="BQ419" s="118"/>
      <c r="BR419" s="118"/>
      <c r="BS419" s="118">
        <f>INDEX('Dist. Plant Gas Additions'!$E$7:$AE$91,MATCH($C419,'Dist. Plant Gas Additions'!$D$7:$D$91,0),MATCH(Calculation!$G419,'Dist. Plant Gas Additions'!$E$5:$AE$5,0))</f>
        <v>656622</v>
      </c>
      <c r="BT419" s="118">
        <f>INDEX('Gen. Plant Additions'!$E$7:$AE$91,MATCH($C419,'Gen. Plant Additions'!$D$7:$D$91,0),MATCH(Calculation!$G419,'Gen. Plant Additions'!$E$5:$AE$5,0))</f>
        <v>5000</v>
      </c>
      <c r="BU419" s="118"/>
      <c r="BV419" s="118"/>
      <c r="BW419" s="118"/>
      <c r="BX419" s="118"/>
      <c r="BY419" s="183"/>
      <c r="BZ419" s="183"/>
      <c r="CA419" s="178"/>
      <c r="CB419" s="184"/>
      <c r="CC419" s="185"/>
      <c r="CD419" s="185"/>
      <c r="CE419" s="118"/>
      <c r="CF419" s="118"/>
      <c r="CG419" s="118"/>
      <c r="CH419" s="118"/>
      <c r="CI419" s="121">
        <v>2021</v>
      </c>
      <c r="CJ419" s="118"/>
      <c r="CK419" s="118"/>
      <c r="CL419" s="118"/>
      <c r="CM419" s="183"/>
      <c r="CN419" s="118">
        <f t="shared" si="1121"/>
        <v>661622</v>
      </c>
      <c r="CO419" s="118">
        <f t="shared" si="1122"/>
        <v>709.11687612624974</v>
      </c>
      <c r="CP419" s="186">
        <f>+(51-23)/(51-23*0.75)</f>
        <v>0.82962962962962961</v>
      </c>
      <c r="CQ419" s="118">
        <f>CQ396*CP419+CO397*CP418+CO398*CP417+CO399*CP416+CO400*CP415+CO401*CP414+CO402*CP413+CO403*CP412+CO404*CP411+CO405*CP410+CO406*CP409+CO407*CP408+CO408*CP407+CO409*CP406+CO410*CP405+CO401*CP404+CO412*CP403+CO413*CP402+CO414*CP401+CO415*CP400+CO416*CP399+CO417*CP398+CO419+CO418*CP397</f>
        <v>10568.889206536356</v>
      </c>
      <c r="CR419" s="119"/>
      <c r="CS419" s="118"/>
      <c r="CT419" s="177">
        <f t="shared" si="1124"/>
        <v>1.2814508325363176E-2</v>
      </c>
      <c r="CU419" s="177">
        <f t="shared" si="1132"/>
        <v>9.9950256784305316E-3</v>
      </c>
      <c r="CV419" s="119">
        <f>VLOOKUP($H419,RoR!$E:$F,2,FALSE)</f>
        <v>2.7033333333333336E-2</v>
      </c>
      <c r="CW419" s="177"/>
      <c r="CX419" s="177"/>
      <c r="CY419" s="177">
        <f t="shared" si="1133"/>
        <v>2.0906915930103093E-2</v>
      </c>
      <c r="CZ419" s="177">
        <f t="shared" si="1134"/>
        <v>7.433422950153494E-2</v>
      </c>
      <c r="DA419" s="187">
        <f t="shared" si="1125"/>
        <v>0.92125000000000001</v>
      </c>
      <c r="DB419" s="188">
        <f t="shared" si="1126"/>
        <v>1.8969932656739068</v>
      </c>
      <c r="DC419" s="188">
        <f t="shared" si="1127"/>
        <v>5.0215782983970621E-2</v>
      </c>
      <c r="DD419" s="188">
        <f t="shared" si="1128"/>
        <v>0.655952481704143</v>
      </c>
      <c r="DE419" s="188">
        <f t="shared" si="1129"/>
        <v>6.2485378865697057E-2</v>
      </c>
      <c r="DF419" s="189">
        <f>DF418</f>
        <v>0.20999999999999996</v>
      </c>
      <c r="DG419" s="189">
        <v>0.375</v>
      </c>
      <c r="DH419" s="190">
        <f t="shared" si="1131"/>
        <v>22.66075441217351</v>
      </c>
      <c r="DI419" s="190"/>
      <c r="DJ419" s="177">
        <f t="shared" ref="DJ419" si="1190">LN(DH419/DH418)</f>
        <v>6.881524262247804E-2</v>
      </c>
      <c r="DK419" s="189">
        <f>VLOOKUP($H419,RoR!$E:$F,2,FALSE)</f>
        <v>2.7033333333333336E-2</v>
      </c>
      <c r="DL419" s="191">
        <f>HLOOKUP($H419,'GDP-PI'!$D$8:$CR$11,3,FALSE)</f>
        <v>4.2834637353352578E-2</v>
      </c>
      <c r="DM419" s="189">
        <f>VLOOKUP(H419,'HW Dx Data'!$E:$F,2,FALSE)</f>
        <v>933.02249921662576</v>
      </c>
      <c r="DN419" s="183">
        <f>VLOOKUP(H419,'ECI - Input Price'!$G$17:$H$37,2,FALSE)</f>
        <v>145.47500000000002</v>
      </c>
      <c r="DO419" s="177">
        <f t="shared" ref="DO419" si="1191">LN(DN419/DN418)</f>
        <v>3.5152696992481205E-2</v>
      </c>
      <c r="DP419" s="183">
        <f>HLOOKUP(H419,'GDP-PI'!$8:$9,2,FALSE)</f>
        <v>118.49</v>
      </c>
      <c r="DQ419" s="177">
        <f t="shared" ref="DQ419" si="1192">LN(DP419/DP418)</f>
        <v>4.194261824609434E-2</v>
      </c>
    </row>
    <row r="420" spans="1:122" s="167" customFormat="1" ht="21" x14ac:dyDescent="0.35">
      <c r="A420" s="167" t="s">
        <v>53</v>
      </c>
      <c r="B420" s="168" t="s">
        <v>53</v>
      </c>
      <c r="C420" s="168">
        <v>4059459</v>
      </c>
      <c r="D420" s="168" t="s">
        <v>136</v>
      </c>
      <c r="E420" s="168" t="s">
        <v>126</v>
      </c>
      <c r="F420" s="168"/>
      <c r="G420" s="168" t="s">
        <v>4</v>
      </c>
      <c r="H420" s="169">
        <v>1998</v>
      </c>
      <c r="I420" s="170"/>
      <c r="J420" s="166"/>
      <c r="K420" s="166"/>
      <c r="L420" s="166"/>
      <c r="M420" s="166"/>
      <c r="N420" s="196"/>
      <c r="O420" s="166"/>
      <c r="P420" s="172"/>
      <c r="Q420" s="172"/>
      <c r="R420" s="172"/>
      <c r="S420" s="166"/>
      <c r="T420" s="172"/>
      <c r="U420" s="172"/>
      <c r="V420" s="166"/>
      <c r="W420" s="170"/>
      <c r="X420" s="174">
        <v>61.169117266300752</v>
      </c>
      <c r="Y420" s="175"/>
      <c r="Z420" s="166"/>
      <c r="AA420" s="175"/>
      <c r="AB420" s="175"/>
      <c r="AC420" s="170">
        <f t="shared" si="1086"/>
        <v>0</v>
      </c>
      <c r="AD420" s="170"/>
      <c r="AE420" s="170"/>
      <c r="AF420" s="119"/>
      <c r="AG420" s="174"/>
      <c r="AH420" s="175"/>
      <c r="AI420" s="175"/>
      <c r="AJ420" s="174"/>
      <c r="AK420" s="174"/>
      <c r="AL420" s="120"/>
      <c r="AM420" s="120"/>
      <c r="AN420" s="120"/>
      <c r="AO420" s="120"/>
      <c r="AP420" s="120"/>
      <c r="AQ420" s="175">
        <f>AVERAGE(AQ429:AQ443)</f>
        <v>3.6764686985723431E-2</v>
      </c>
      <c r="AR420" s="120"/>
      <c r="AS420" s="120"/>
      <c r="AT420" s="120"/>
      <c r="AU420" s="120"/>
      <c r="AV420" s="120"/>
      <c r="AW420" s="120"/>
      <c r="AX420" s="120"/>
      <c r="AY420" s="120"/>
      <c r="AZ420" s="118">
        <f>IFERROR(INDEX('Total Customers'!$F$7:$AB$91,MATCH($C420,'Total Customers'!$D$7:$D$91,0),MATCH($G420,'Total Customers'!$F$5:$AB$5,0)),"NA")</f>
        <v>13880</v>
      </c>
      <c r="BA420" s="119"/>
      <c r="BB420" s="119"/>
      <c r="BC420" s="121"/>
      <c r="BD420" s="119"/>
      <c r="BE420" s="119"/>
      <c r="BF420" s="119"/>
      <c r="BG420" s="173"/>
      <c r="BH420" s="173"/>
      <c r="BI420" s="173"/>
      <c r="BJ420" s="173"/>
      <c r="BK420" s="173"/>
      <c r="BL420" s="173"/>
      <c r="BM420" s="173"/>
      <c r="BN420" s="173"/>
      <c r="BO420" s="173"/>
      <c r="BP420" s="173"/>
      <c r="BQ420" s="118">
        <f>INDEX('Gross Dx Plant'!$E$7:$AD$91,MATCH($C420,'Gross Dx Plant'!$D$7:$D$91,0),MATCH(Calculation!$G420,'Gross Dx Plant'!$E$5:$AD$5,0))</f>
        <v>10678</v>
      </c>
      <c r="BR420" s="118">
        <f>INDEX('Gross Gen Plant'!$E$7:$AD$91,MATCH($C420,'Gross Gen Plant'!$D$7:$D$91,0),MATCH(Calculation!$G420,'Gross Gen Plant'!$E$5:$AD$5,0))</f>
        <v>6979</v>
      </c>
      <c r="BS420" s="118">
        <f>INDEX('Dist. Plant Gas Additions'!$F$7:$AE$91,MATCH($C420,'Dist. Plant Gas Additions'!$D$7:$D$91,0),MATCH(Calculation!$G420,'Dist. Plant Gas Additions'!$F$5:$AE$5,0))</f>
        <v>717</v>
      </c>
      <c r="BT420" s="118">
        <f>INDEX('Gen. Plant Additions'!$F$7:$AE$91,MATCH($C420,'Gen. Plant Additions'!$D$7:$D$91,0),MATCH(Calculation!$G420,'Gen. Plant Additions'!$F$5:$AE$5,0))</f>
        <v>236</v>
      </c>
      <c r="BU420" s="118" t="e">
        <f>INDEX('Dist Plant Depreciation'!$E$7:$AA$94,MATCH($C420,'Dist Plant Depreciation'!$D$7:$D$94,0),MATCH(#REF!,'Dist Plant Depreciation'!$E$5:$AA$5,0))</f>
        <v>#REF!</v>
      </c>
      <c r="BV420" s="118" t="e">
        <f>INDEX('Gen. Plant Depreciation'!$E$7:$AA$94,MATCH($C420,'Gen. Plant Depreciation'!$D$7:$D$94,0),MATCH(#REF!,'Gen. Plant Depreciation'!$E$5:$AA$5,0))</f>
        <v>#REF!</v>
      </c>
      <c r="BW420" s="118">
        <f>INDEX('Dist Plant Depreciation'!$E$7:$AD$94,MATCH($C420,'Dist Plant Depreciation'!$D$7:$D$94,0),MATCH(Calculation!$G420,'Dist Plant Depreciation'!$E$5:$AD$5,0))</f>
        <v>2904</v>
      </c>
      <c r="BX420" s="118">
        <f>INDEX('Gen. Plant Depreciation'!$E$7:$AD$94,MATCH($C420,'Gen. Plant Depreciation'!$D$7:$D$94,0),MATCH(Calculation!$G420,'Gen. Plant Depreciation'!$E$5:$AD$5,0))</f>
        <v>2414</v>
      </c>
      <c r="BY420" s="118"/>
      <c r="BZ420" s="118"/>
      <c r="CA420" s="118"/>
      <c r="CB420" s="118"/>
      <c r="CC420" s="118"/>
      <c r="CD420" s="118"/>
      <c r="CE420" s="118">
        <f>INDEX('Gross Dx Plant'!$E$7:$AD$91,MATCH($C420,'Gross Dx Plant'!$D$7:$D$91,0),MATCH(Calculation!$G420,'Gross Dx Plant'!$E$5:$AD$5,0))</f>
        <v>10678</v>
      </c>
      <c r="CF420" s="118">
        <f>INDEX('Gross Gen Plant'!$E$7:$AD$91,MATCH($C420,'Gross Gen Plant'!$D$7:$D$91,0),MATCH(Calculation!$G420,'Gross Gen Plant'!$E$5:$AD$5,0))</f>
        <v>6979</v>
      </c>
      <c r="CG420" s="118">
        <f t="shared" si="1177"/>
        <v>12339</v>
      </c>
      <c r="CH420" s="118"/>
      <c r="CI420" s="121">
        <v>1998</v>
      </c>
      <c r="CJ420" s="118">
        <f>BQ420+BR420</f>
        <v>17657</v>
      </c>
      <c r="CK420" s="118">
        <f>2904+2414</f>
        <v>5318</v>
      </c>
      <c r="CL420" s="118">
        <f>+CJ420-CK420</f>
        <v>12339</v>
      </c>
      <c r="CM420" s="118">
        <f>CL420/$CD$36</f>
        <v>61.169117266300752</v>
      </c>
      <c r="CN420" s="183"/>
      <c r="CO420" s="183"/>
      <c r="CP420" s="186">
        <v>1</v>
      </c>
      <c r="CQ420" s="118">
        <f>+CM420</f>
        <v>61.169117266300752</v>
      </c>
      <c r="CR420" s="119"/>
      <c r="CS420" s="119"/>
      <c r="CT420" s="177"/>
      <c r="CU420" s="177"/>
      <c r="CV420" s="119" t="e">
        <f>VLOOKUP($H420,RoR!$E:$F,2,FALSE)</f>
        <v>#N/A</v>
      </c>
      <c r="CW420" s="177">
        <v>1.1028127770464469E-2</v>
      </c>
      <c r="CX420" s="177"/>
      <c r="CY420" s="177"/>
      <c r="CZ420" s="177"/>
      <c r="DA420" s="187"/>
      <c r="DB420" s="190" t="e">
        <f>2/(DK420*39)</f>
        <v>#N/A</v>
      </c>
      <c r="DC420" s="188" t="e">
        <f>+(DK420*40-(1+DK420))/(DK420*40)</f>
        <v>#N/A</v>
      </c>
      <c r="DD420" s="188" t="e">
        <f>+(1-(1/(1+DK420)^40))</f>
        <v>#N/A</v>
      </c>
      <c r="DE420" s="188" t="e">
        <f>+DD420*DC420*DB420</f>
        <v>#N/A</v>
      </c>
      <c r="DF420" s="189">
        <f>INDEX('State Tax Lookup'!$D$7:$Z$91,MATCH(Calculation!$C420,'State Tax Lookup'!$B$7:$B$91,0),MATCH($H420,'State Tax Lookup'!$D$6:$Z$6,0))</f>
        <v>0.39649667</v>
      </c>
      <c r="DG420" s="189">
        <v>0.375</v>
      </c>
      <c r="DH420" s="183"/>
      <c r="DI420" s="183"/>
      <c r="DJ420" s="177"/>
      <c r="DK420" s="189" t="e">
        <f>VLOOKUP($H420,RoR!$E:$F,2,FALSE)</f>
        <v>#N/A</v>
      </c>
      <c r="DL420" s="191">
        <f>HLOOKUP($H420,'GDP-PI'!$D$8:$CQ$11,3,FALSE)</f>
        <v>1.1028127770464469E-2</v>
      </c>
      <c r="DM420" s="189">
        <f>VLOOKUP(H420,'HW Dx Data'!$E:$F,2,FALSE)</f>
        <v>329.24564746449528</v>
      </c>
      <c r="DN420" s="183" t="e">
        <f>VLOOKUP(H420,'ECI - Input Price'!$G$17:$H$37,2,FALSE)</f>
        <v>#N/A</v>
      </c>
      <c r="DO420" s="177"/>
      <c r="DP420" s="183">
        <f>HLOOKUP(H420,'GDP-PI'!$8:$9,2,FALSE)</f>
        <v>75.266999999999996</v>
      </c>
      <c r="DR420" s="167">
        <v>1.9340147467329368E-2</v>
      </c>
    </row>
    <row r="421" spans="1:122" s="167" customFormat="1" ht="21" x14ac:dyDescent="0.35">
      <c r="A421" s="167" t="s">
        <v>53</v>
      </c>
      <c r="B421" s="168" t="s">
        <v>53</v>
      </c>
      <c r="C421" s="168">
        <v>4059459</v>
      </c>
      <c r="D421" s="168" t="s">
        <v>136</v>
      </c>
      <c r="E421" s="168" t="s">
        <v>126</v>
      </c>
      <c r="F421" s="168"/>
      <c r="G421" s="168" t="s">
        <v>5</v>
      </c>
      <c r="H421" s="169">
        <v>1999</v>
      </c>
      <c r="I421" s="170"/>
      <c r="J421" s="166"/>
      <c r="K421" s="170"/>
      <c r="L421" s="170"/>
      <c r="M421" s="166"/>
      <c r="N421" s="173"/>
      <c r="O421" s="170"/>
      <c r="P421" s="177"/>
      <c r="Q421" s="177"/>
      <c r="R421" s="177"/>
      <c r="S421" s="195"/>
      <c r="T421" s="177"/>
      <c r="U421" s="177"/>
      <c r="V421" s="166">
        <f t="shared" ref="V421:V443" si="1193">+CQ420*DH421</f>
        <v>0</v>
      </c>
      <c r="W421" s="170"/>
      <c r="X421" s="174">
        <v>63.489113056437134</v>
      </c>
      <c r="Y421" s="175">
        <v>3.7226000946488078E-2</v>
      </c>
      <c r="Z421" s="175"/>
      <c r="AA421" s="175"/>
      <c r="AB421" s="175"/>
      <c r="AC421" s="170">
        <f t="shared" si="1086"/>
        <v>0</v>
      </c>
      <c r="AD421" s="175"/>
      <c r="AE421" s="170"/>
      <c r="AF421" s="119"/>
      <c r="AG421" s="174"/>
      <c r="AH421" s="175"/>
      <c r="AI421" s="175"/>
      <c r="AJ421" s="174"/>
      <c r="AK421" s="174"/>
      <c r="AL421" s="120"/>
      <c r="AM421" s="120"/>
      <c r="AN421" s="120"/>
      <c r="AO421" s="120"/>
      <c r="AP421" s="120"/>
      <c r="AQ421" s="175"/>
      <c r="AR421" s="120"/>
      <c r="AS421" s="120"/>
      <c r="AT421" s="120"/>
      <c r="AU421" s="120"/>
      <c r="AV421" s="120"/>
      <c r="AW421" s="120"/>
      <c r="AX421" s="120"/>
      <c r="AY421" s="120"/>
      <c r="AZ421" s="118">
        <f>IFERROR(INDEX('Total Customers'!$F$7:$AB$91,MATCH($C421,'Total Customers'!$D$7:$D$91,0),MATCH($G421,'Total Customers'!$F$5:$AB$5,0)),"NA")</f>
        <v>14418</v>
      </c>
      <c r="BA421" s="119">
        <f t="shared" ref="BA421:BA443" si="1194">LN(AZ421/AZ420)</f>
        <v>3.8028470903728379E-2</v>
      </c>
      <c r="BB421" s="119"/>
      <c r="BC421" s="121"/>
      <c r="BD421" s="119"/>
      <c r="BE421" s="119"/>
      <c r="BF421" s="119"/>
      <c r="BG421" s="173"/>
      <c r="BH421" s="173"/>
      <c r="BI421" s="173"/>
      <c r="BJ421" s="173"/>
      <c r="BK421" s="173"/>
      <c r="BL421" s="173"/>
      <c r="BM421" s="173"/>
      <c r="BN421" s="173"/>
      <c r="BO421" s="173"/>
      <c r="BP421" s="173"/>
      <c r="BQ421" s="118"/>
      <c r="BR421" s="118"/>
      <c r="BS421" s="118">
        <f>INDEX('Dist. Plant Gas Additions'!$F$7:$AE$91,MATCH($C421,'Dist. Plant Gas Additions'!$D$7:$D$91,0),MATCH(Calculation!$G421,'Dist. Plant Gas Additions'!$F$5:$AE$5,0))</f>
        <v>595</v>
      </c>
      <c r="BT421" s="118">
        <f>INDEX('Gen. Plant Additions'!$F$7:$AE$91,MATCH($C421,'Gen. Plant Additions'!$D$7:$D$91,0),MATCH(Calculation!$G421,'Gen. Plant Additions'!$F$5:$AE$5,0))</f>
        <v>285</v>
      </c>
      <c r="BU421" s="118"/>
      <c r="BV421" s="118"/>
      <c r="BW421" s="118">
        <f>INDEX('Dist Plant Depreciation'!$E$7:$AD$94,MATCH($C421,'Dist Plant Depreciation'!$D$7:$D$94,0),MATCH(Calculation!$G421,'Dist Plant Depreciation'!$E$5:$AD$5,0))</f>
        <v>3081</v>
      </c>
      <c r="BX421" s="118">
        <f>INDEX('Gen. Plant Depreciation'!$E$7:$AD$94,MATCH($C421,'Gen. Plant Depreciation'!$D$7:$D$94,0),MATCH(Calculation!$G421,'Gen. Plant Depreciation'!$E$5:$AD$5,0))</f>
        <v>2039</v>
      </c>
      <c r="BY421" s="118"/>
      <c r="BZ421" s="118"/>
      <c r="CA421" s="118"/>
      <c r="CB421" s="118"/>
      <c r="CC421" s="118"/>
      <c r="CD421" s="118"/>
      <c r="CE421" s="118">
        <f>INDEX('Gross Dx Plant'!$E$7:$AD$91,MATCH($C421,'Gross Dx Plant'!$D$7:$D$91,0),MATCH(Calculation!$G421,'Gross Dx Plant'!$E$5:$AD$5,0))</f>
        <v>11238</v>
      </c>
      <c r="CF421" s="118">
        <f>INDEX('Gross Gen Plant'!$E$7:$AD$91,MATCH($C421,'Gross Gen Plant'!$D$7:$D$91,0),MATCH(Calculation!$G421,'Gross Gen Plant'!$E$5:$AD$5,0))</f>
        <v>6661</v>
      </c>
      <c r="CG421" s="118">
        <f t="shared" si="1177"/>
        <v>12779</v>
      </c>
      <c r="CH421" s="118"/>
      <c r="CI421" s="121">
        <v>1999</v>
      </c>
      <c r="CJ421" s="118"/>
      <c r="CK421" s="118"/>
      <c r="CL421" s="118"/>
      <c r="CM421" s="183"/>
      <c r="CN421" s="118">
        <f t="shared" ref="CN421:CN443" si="1195">+BT421+BS421</f>
        <v>880</v>
      </c>
      <c r="CO421" s="118">
        <f t="shared" ref="CO421:CO443" si="1196">+CN421/$DM421</f>
        <v>2.6243197566353849</v>
      </c>
      <c r="CP421" s="186">
        <v>0.99502487562189057</v>
      </c>
      <c r="CQ421" s="118">
        <f>+CQ420*CP421+CO421</f>
        <v>63.489113056437134</v>
      </c>
      <c r="CR421" s="119">
        <f t="shared" ref="CR421:CR442" si="1197">LN(CQ421/CQ420)</f>
        <v>3.7226000946488078E-2</v>
      </c>
      <c r="CS421" s="119"/>
      <c r="CT421" s="177">
        <f t="shared" ref="CT421:CT443" si="1198">+(CQ420-CQ421+CO421)/CQ420</f>
        <v>4.9751243781093624E-3</v>
      </c>
      <c r="CU421" s="177"/>
      <c r="CV421" s="119">
        <f>VLOOKUP($H421,RoR!$E:$F,2,FALSE)</f>
        <v>7.0416666666666669E-2</v>
      </c>
      <c r="CW421" s="177">
        <v>1.4335631817396832E-2</v>
      </c>
      <c r="CX421" s="177">
        <f>+CV421-CW421</f>
        <v>5.6081034849269837E-2</v>
      </c>
      <c r="CY421" s="177"/>
      <c r="CZ421" s="177"/>
      <c r="DA421" s="187">
        <f t="shared" ref="DA421:DA443" si="1199">1-DF421*DG421</f>
        <v>0.85131374874999999</v>
      </c>
      <c r="DB421" s="188">
        <f t="shared" ref="DB421:DB443" si="1200">2/(DK421*39)</f>
        <v>0.72826581702321336</v>
      </c>
      <c r="DC421" s="188">
        <f t="shared" ref="DC421:DC443" si="1201">+(DK421*40-(1+DK421))/(DK421*40)</f>
        <v>0.61997041420118348</v>
      </c>
      <c r="DD421" s="188">
        <f t="shared" ref="DD421:DD443" si="1202">+(1-(1/(1+DK421)^40))</f>
        <v>0.93425155319585029</v>
      </c>
      <c r="DE421" s="188">
        <f t="shared" ref="DE421:DE443" si="1203">+DD421*DC421*DB421</f>
        <v>0.42181762214141483</v>
      </c>
      <c r="DF421" s="189">
        <f>INDEX('State Tax Lookup'!$D$7:$Z$91,MATCH(Calculation!$C421,'State Tax Lookup'!$B$7:$B$91,0),MATCH($H421,'State Tax Lookup'!$D$6:$Z$6,0))</f>
        <v>0.39649667</v>
      </c>
      <c r="DG421" s="189">
        <v>0.375</v>
      </c>
      <c r="DH421" s="190"/>
      <c r="DI421" s="190"/>
      <c r="DJ421" s="177"/>
      <c r="DK421" s="189">
        <f>VLOOKUP($H421,RoR!$E:$F,2,FALSE)</f>
        <v>7.0416666666666669E-2</v>
      </c>
      <c r="DL421" s="191">
        <f>HLOOKUP($H421,'GDP-PI'!$D$8:$CQ$11,3,FALSE)</f>
        <v>1.4335631817396832E-2</v>
      </c>
      <c r="DM421" s="189">
        <f>VLOOKUP(H421,'HW Dx Data'!$E:$F,2,FALSE)</f>
        <v>335.32499146683239</v>
      </c>
      <c r="DN421" s="183" t="e">
        <f>VLOOKUP(H421,'ECI - Input Price'!$G$17:$H$37,2,FALSE)</f>
        <v>#N/A</v>
      </c>
      <c r="DO421" s="177"/>
      <c r="DP421" s="183">
        <f>HLOOKUP(H421,'GDP-PI'!$8:$9,2,FALSE)</f>
        <v>76.346000000000004</v>
      </c>
      <c r="DR421" s="167">
        <v>4.9522900380789929E-3</v>
      </c>
    </row>
    <row r="422" spans="1:122" s="167" customFormat="1" ht="21" x14ac:dyDescent="0.35">
      <c r="A422" s="167" t="s">
        <v>53</v>
      </c>
      <c r="B422" s="168" t="s">
        <v>53</v>
      </c>
      <c r="C422" s="168">
        <v>4059459</v>
      </c>
      <c r="D422" s="168" t="s">
        <v>136</v>
      </c>
      <c r="E422" s="168" t="s">
        <v>126</v>
      </c>
      <c r="F422" s="168"/>
      <c r="G422" s="168" t="s">
        <v>6</v>
      </c>
      <c r="H422" s="169">
        <v>2000</v>
      </c>
      <c r="I422" s="170"/>
      <c r="J422" s="166"/>
      <c r="K422" s="166"/>
      <c r="L422" s="166"/>
      <c r="M422" s="166"/>
      <c r="N422" s="196"/>
      <c r="O422" s="166"/>
      <c r="P422" s="166"/>
      <c r="Q422" s="166"/>
      <c r="R422" s="166"/>
      <c r="S422" s="166"/>
      <c r="T422" s="166"/>
      <c r="U422" s="166"/>
      <c r="V422" s="166">
        <f t="shared" si="1193"/>
        <v>0</v>
      </c>
      <c r="W422" s="170"/>
      <c r="X422" s="174">
        <v>65.295059449388006</v>
      </c>
      <c r="Y422" s="175">
        <v>2.80479308761293E-2</v>
      </c>
      <c r="Z422" s="175"/>
      <c r="AA422" s="175"/>
      <c r="AB422" s="175"/>
      <c r="AC422" s="170">
        <f t="shared" si="1086"/>
        <v>0</v>
      </c>
      <c r="AD422" s="175"/>
      <c r="AE422" s="170"/>
      <c r="AF422" s="170"/>
      <c r="AG422" s="174"/>
      <c r="AH422" s="175"/>
      <c r="AI422" s="175"/>
      <c r="AJ422" s="174"/>
      <c r="AK422" s="174"/>
      <c r="AL422" s="120"/>
      <c r="AM422" s="120"/>
      <c r="AN422" s="120"/>
      <c r="AO422" s="120"/>
      <c r="AP422" s="120"/>
      <c r="AQ422" s="175"/>
      <c r="AR422" s="120"/>
      <c r="AS422" s="120"/>
      <c r="AT422" s="120"/>
      <c r="AU422" s="120"/>
      <c r="AV422" s="120"/>
      <c r="AW422" s="120"/>
      <c r="AX422" s="120"/>
      <c r="AY422" s="120"/>
      <c r="AZ422" s="118">
        <f>IFERROR(INDEX('Total Customers'!$F$7:$AB$91,MATCH($C422,'Total Customers'!$D$7:$D$91,0),MATCH($G422,'Total Customers'!$F$5:$AB$5,0)),"NA")</f>
        <v>15234</v>
      </c>
      <c r="BA422" s="119">
        <f t="shared" si="1194"/>
        <v>5.5052345968209584E-2</v>
      </c>
      <c r="BB422" s="119"/>
      <c r="BC422" s="121"/>
      <c r="BD422" s="119"/>
      <c r="BE422" s="119"/>
      <c r="BF422" s="119"/>
      <c r="BG422" s="173"/>
      <c r="BH422" s="173"/>
      <c r="BI422" s="173"/>
      <c r="BJ422" s="173"/>
      <c r="BK422" s="173"/>
      <c r="BL422" s="173"/>
      <c r="BM422" s="173"/>
      <c r="BN422" s="173"/>
      <c r="BO422" s="173"/>
      <c r="BP422" s="173"/>
      <c r="BQ422" s="118"/>
      <c r="BR422" s="118"/>
      <c r="BS422" s="118">
        <f>INDEX('Dist. Plant Gas Additions'!$F$7:$AE$91,MATCH($C422,'Dist. Plant Gas Additions'!$D$7:$D$91,0),MATCH(Calculation!$G422,'Dist. Plant Gas Additions'!$F$5:$AE$5,0))</f>
        <v>518</v>
      </c>
      <c r="BT422" s="118">
        <f>INDEX('Gen. Plant Additions'!$F$7:$AE$91,MATCH($C422,'Gen. Plant Additions'!$D$7:$D$91,0),MATCH(Calculation!$G422,'Gen. Plant Additions'!$F$5:$AE$5,0))</f>
        <v>221</v>
      </c>
      <c r="BU422" s="118"/>
      <c r="BV422" s="118"/>
      <c r="BW422" s="118">
        <f>INDEX('Dist Plant Depreciation'!$E$7:$AD$94,MATCH($C422,'Dist Plant Depreciation'!$D$7:$D$94,0),MATCH(Calculation!$G422,'Dist Plant Depreciation'!$E$5:$AD$5,0))</f>
        <v>3302</v>
      </c>
      <c r="BX422" s="118">
        <f>INDEX('Gen. Plant Depreciation'!$E$7:$AD$94,MATCH($C422,'Gen. Plant Depreciation'!$D$7:$D$94,0),MATCH(Calculation!$G422,'Gen. Plant Depreciation'!$E$5:$AD$5,0))</f>
        <v>2247</v>
      </c>
      <c r="BY422" s="118"/>
      <c r="BZ422" s="118"/>
      <c r="CA422" s="118"/>
      <c r="CB422" s="118"/>
      <c r="CC422" s="118"/>
      <c r="CD422" s="118"/>
      <c r="CE422" s="118">
        <f>INDEX('Gross Dx Plant'!$E$7:$AD$91,MATCH($C422,'Gross Dx Plant'!$D$7:$D$91,0),MATCH(Calculation!$G422,'Gross Dx Plant'!$E$5:$AD$5,0))</f>
        <v>11738</v>
      </c>
      <c r="CF422" s="118">
        <f>INDEX('Gross Gen Plant'!$E$7:$AD$91,MATCH($C422,'Gross Gen Plant'!$D$7:$D$91,0),MATCH(Calculation!$G422,'Gross Gen Plant'!$E$5:$AD$5,0))</f>
        <v>6826</v>
      </c>
      <c r="CG422" s="118">
        <f t="shared" si="1177"/>
        <v>13015</v>
      </c>
      <c r="CH422" s="118"/>
      <c r="CI422" s="121">
        <v>2000</v>
      </c>
      <c r="CJ422" s="118"/>
      <c r="CK422" s="118"/>
      <c r="CL422" s="118"/>
      <c r="CM422" s="183"/>
      <c r="CN422" s="118">
        <f t="shared" si="1195"/>
        <v>739</v>
      </c>
      <c r="CO422" s="118">
        <f t="shared" si="1196"/>
        <v>2.1325486150258333</v>
      </c>
      <c r="CP422" s="186">
        <v>0.98989898989898994</v>
      </c>
      <c r="CQ422" s="118">
        <f>+CQ420*CP422+CO421*CP421+CO422</f>
        <v>65.295059449388006</v>
      </c>
      <c r="CR422" s="119">
        <f t="shared" si="1197"/>
        <v>2.80479308761293E-2</v>
      </c>
      <c r="CS422" s="119"/>
      <c r="CT422" s="177">
        <f t="shared" si="1198"/>
        <v>5.1442240464855075E-3</v>
      </c>
      <c r="CU422" s="177"/>
      <c r="CV422" s="119">
        <f>VLOOKUP($H422,RoR!$E:$F,2,FALSE)</f>
        <v>7.6225000000000001E-2</v>
      </c>
      <c r="CW422" s="177">
        <v>2.2568307442433211E-2</v>
      </c>
      <c r="CX422" s="177">
        <f t="shared" ref="CX422:CX442" si="1204">+CV422-CW422</f>
        <v>5.365669255756679E-2</v>
      </c>
      <c r="CY422" s="177"/>
      <c r="CZ422" s="177"/>
      <c r="DA422" s="187">
        <f t="shared" si="1199"/>
        <v>0.85131374874999999</v>
      </c>
      <c r="DB422" s="188">
        <f t="shared" si="1200"/>
        <v>0.67277207323124022</v>
      </c>
      <c r="DC422" s="188">
        <f t="shared" si="1201"/>
        <v>0.6470236142997704</v>
      </c>
      <c r="DD422" s="188">
        <f t="shared" si="1202"/>
        <v>0.94704866037543145</v>
      </c>
      <c r="DE422" s="188">
        <f t="shared" si="1203"/>
        <v>0.41224973107878493</v>
      </c>
      <c r="DF422" s="189">
        <f>INDEX('State Tax Lookup'!$D$7:$Z$91,MATCH(Calculation!$C422,'State Tax Lookup'!$B$7:$B$91,0),MATCH($H422,'State Tax Lookup'!$D$6:$Z$6,0))</f>
        <v>0.39649667</v>
      </c>
      <c r="DG422" s="189">
        <v>0.375</v>
      </c>
      <c r="DH422" s="190"/>
      <c r="DI422" s="190"/>
      <c r="DJ422" s="177"/>
      <c r="DK422" s="189">
        <f>VLOOKUP($H422,RoR!$E:$F,2,FALSE)</f>
        <v>7.6225000000000001E-2</v>
      </c>
      <c r="DL422" s="191">
        <f>HLOOKUP($H422,'GDP-PI'!$D$8:$CQ$11,3,FALSE)</f>
        <v>2.2568307442433211E-2</v>
      </c>
      <c r="DM422" s="189">
        <f>VLOOKUP(H422,'HW Dx Data'!$E:$F,2,FALSE)</f>
        <v>346.53371782150339</v>
      </c>
      <c r="DN422" s="183" t="e">
        <f>VLOOKUP(H422,'ECI - Input Price'!$G$17:$H$37,2,FALSE)</f>
        <v>#N/A</v>
      </c>
      <c r="DO422" s="177"/>
      <c r="DP422" s="183">
        <f>HLOOKUP(H422,'GDP-PI'!$8:$9,2,FALSE)</f>
        <v>78.069000000000003</v>
      </c>
      <c r="DR422" s="167">
        <v>3.5669720481991657E-2</v>
      </c>
    </row>
    <row r="423" spans="1:122" s="167" customFormat="1" ht="21" x14ac:dyDescent="0.35">
      <c r="A423" s="167" t="s">
        <v>53</v>
      </c>
      <c r="B423" s="168" t="s">
        <v>53</v>
      </c>
      <c r="C423" s="168">
        <v>4059459</v>
      </c>
      <c r="D423" s="168" t="s">
        <v>136</v>
      </c>
      <c r="E423" s="168" t="s">
        <v>126</v>
      </c>
      <c r="F423" s="168"/>
      <c r="G423" s="168" t="s">
        <v>7</v>
      </c>
      <c r="H423" s="169">
        <v>2001</v>
      </c>
      <c r="I423" s="170"/>
      <c r="J423" s="166"/>
      <c r="K423" s="166"/>
      <c r="L423" s="166"/>
      <c r="M423" s="166"/>
      <c r="N423" s="196"/>
      <c r="O423" s="166"/>
      <c r="P423" s="166"/>
      <c r="Q423" s="166"/>
      <c r="R423" s="166"/>
      <c r="S423" s="166"/>
      <c r="T423" s="166"/>
      <c r="U423" s="166"/>
      <c r="V423" s="166">
        <f t="shared" si="1193"/>
        <v>838.04156380946642</v>
      </c>
      <c r="W423" s="170"/>
      <c r="X423" s="174">
        <v>67.790518752957539</v>
      </c>
      <c r="Y423" s="175">
        <v>3.7505969620048138E-2</v>
      </c>
      <c r="Z423" s="175"/>
      <c r="AA423" s="175"/>
      <c r="AB423" s="175"/>
      <c r="AC423" s="170">
        <f t="shared" si="1086"/>
        <v>838.04156380946642</v>
      </c>
      <c r="AD423" s="175"/>
      <c r="AE423" s="170"/>
      <c r="AF423" s="170"/>
      <c r="AG423" s="174"/>
      <c r="AH423" s="175"/>
      <c r="AI423" s="175"/>
      <c r="AJ423" s="174"/>
      <c r="AK423" s="174"/>
      <c r="AL423" s="120"/>
      <c r="AM423" s="120"/>
      <c r="AN423" s="120"/>
      <c r="AO423" s="120"/>
      <c r="AP423" s="120"/>
      <c r="AQ423" s="175"/>
      <c r="AR423" s="120"/>
      <c r="AS423" s="120"/>
      <c r="AT423" s="120"/>
      <c r="AU423" s="120"/>
      <c r="AV423" s="120"/>
      <c r="AW423" s="120"/>
      <c r="AX423" s="120"/>
      <c r="AY423" s="120"/>
      <c r="AZ423" s="118">
        <f>IFERROR(INDEX('Total Customers'!$F$7:$AB$91,MATCH($C423,'Total Customers'!$D$7:$D$91,0),MATCH($G423,'Total Customers'!$F$5:$AB$5,0)),"NA")</f>
        <v>18138</v>
      </c>
      <c r="BA423" s="119">
        <f t="shared" si="1194"/>
        <v>0.17447941307477968</v>
      </c>
      <c r="BB423" s="119"/>
      <c r="BC423" s="121"/>
      <c r="BD423" s="119"/>
      <c r="BE423" s="119"/>
      <c r="BF423" s="119"/>
      <c r="BG423" s="173"/>
      <c r="BH423" s="173"/>
      <c r="BI423" s="173"/>
      <c r="BJ423" s="173"/>
      <c r="BK423" s="173"/>
      <c r="BL423" s="173"/>
      <c r="BM423" s="173"/>
      <c r="BN423" s="173"/>
      <c r="BO423" s="173"/>
      <c r="BP423" s="173"/>
      <c r="BQ423" s="118"/>
      <c r="BR423" s="118"/>
      <c r="BS423" s="118">
        <f>INDEX('Dist. Plant Gas Additions'!$F$7:$AE$91,MATCH($C423,'Dist. Plant Gas Additions'!$D$7:$D$91,0),MATCH(Calculation!$G423,'Dist. Plant Gas Additions'!$F$5:$AE$5,0))</f>
        <v>649</v>
      </c>
      <c r="BT423" s="118">
        <f>INDEX('Gen. Plant Additions'!$F$7:$AE$91,MATCH($C423,'Gen. Plant Additions'!$D$7:$D$91,0),MATCH(Calculation!$G423,'Gen. Plant Additions'!$F$5:$AE$5,0))</f>
        <v>352</v>
      </c>
      <c r="BU423" s="118"/>
      <c r="BV423" s="118"/>
      <c r="BW423" s="118">
        <f>INDEX('Dist Plant Depreciation'!$E$7:$AD$94,MATCH($C423,'Dist Plant Depreciation'!$D$7:$D$94,0),MATCH(Calculation!$G423,'Dist Plant Depreciation'!$E$5:$AD$5,0))</f>
        <v>3508</v>
      </c>
      <c r="BX423" s="118">
        <f>INDEX('Gen. Plant Depreciation'!$E$7:$AD$94,MATCH($C423,'Gen. Plant Depreciation'!$D$7:$D$94,0),MATCH(Calculation!$G423,'Gen. Plant Depreciation'!$E$5:$AD$5,0))</f>
        <v>2376</v>
      </c>
      <c r="BY423" s="118"/>
      <c r="BZ423" s="118"/>
      <c r="CA423" s="118"/>
      <c r="CB423" s="118"/>
      <c r="CC423" s="118"/>
      <c r="CD423" s="118"/>
      <c r="CE423" s="118">
        <f>INDEX('Gross Dx Plant'!$E$7:$AD$91,MATCH($C423,'Gross Dx Plant'!$D$7:$D$91,0),MATCH(Calculation!$G423,'Gross Dx Plant'!$E$5:$AD$5,0))</f>
        <v>12352</v>
      </c>
      <c r="CF423" s="118">
        <f>INDEX('Gross Gen Plant'!$E$7:$AD$91,MATCH($C423,'Gross Gen Plant'!$D$7:$D$91,0),MATCH(Calculation!$G423,'Gross Gen Plant'!$E$5:$AD$5,0))</f>
        <v>6972</v>
      </c>
      <c r="CG423" s="118">
        <f t="shared" si="1177"/>
        <v>13440</v>
      </c>
      <c r="CH423" s="118"/>
      <c r="CI423" s="121">
        <v>2001</v>
      </c>
      <c r="CJ423" s="118"/>
      <c r="CK423" s="118"/>
      <c r="CL423" s="118"/>
      <c r="CM423" s="183"/>
      <c r="CN423" s="118">
        <f t="shared" si="1195"/>
        <v>1001</v>
      </c>
      <c r="CO423" s="118">
        <f t="shared" si="1196"/>
        <v>2.8321047379240984</v>
      </c>
      <c r="CP423" s="186">
        <v>0.98461538461538467</v>
      </c>
      <c r="CQ423" s="118">
        <f>+CQ420*CP423+CO421*CP422+CO422*CP420+CO423</f>
        <v>67.790518752957539</v>
      </c>
      <c r="CR423" s="119">
        <f t="shared" si="1197"/>
        <v>3.7505969620048138E-2</v>
      </c>
      <c r="CS423" s="119"/>
      <c r="CT423" s="177">
        <f t="shared" si="1198"/>
        <v>5.1557566099699947E-3</v>
      </c>
      <c r="CU423" s="177">
        <f>+(CT423+CT422+CT421)/3</f>
        <v>5.0917016781882882E-3</v>
      </c>
      <c r="CV423" s="119">
        <f>VLOOKUP($H423,RoR!$E:$F,2,FALSE)</f>
        <v>7.0824999999999999E-2</v>
      </c>
      <c r="CW423" s="177">
        <v>2.2454495382290052E-2</v>
      </c>
      <c r="CX423" s="177">
        <f t="shared" si="1204"/>
        <v>4.8370504617709947E-2</v>
      </c>
      <c r="CY423" s="177">
        <f>+$CX$35-CU423</f>
        <v>2.5810239930345338E-2</v>
      </c>
      <c r="CZ423" s="177">
        <f>+((DM421/DM420-1)+(DM422/DM421-1)+(DM423/DM422-1))/3</f>
        <v>2.3947275901631187E-2</v>
      </c>
      <c r="DA423" s="187">
        <f t="shared" si="1199"/>
        <v>0.85131374874999999</v>
      </c>
      <c r="DB423" s="188">
        <f t="shared" si="1200"/>
        <v>0.72406708481540816</v>
      </c>
      <c r="DC423" s="188">
        <f t="shared" si="1201"/>
        <v>0.62201729615248857</v>
      </c>
      <c r="DD423" s="188">
        <f t="shared" si="1202"/>
        <v>0.9352469954311422</v>
      </c>
      <c r="DE423" s="188">
        <f t="shared" si="1203"/>
        <v>0.42121864641655071</v>
      </c>
      <c r="DF423" s="189">
        <f>INDEX('State Tax Lookup'!$D$7:$Z$91,MATCH(Calculation!$C423,'State Tax Lookup'!$B$7:$B$91,0),MATCH($H423,'State Tax Lookup'!$D$6:$Z$6,0))</f>
        <v>0.39649667</v>
      </c>
      <c r="DG423" s="189">
        <v>0.375</v>
      </c>
      <c r="DH423" s="190">
        <f t="shared" ref="DH423:DH443" si="1205">+(DM423*CY423-CZ423)*DA423/(1-DF423)</f>
        <v>12.834685669580491</v>
      </c>
      <c r="DI423" s="190"/>
      <c r="DJ423" s="177"/>
      <c r="DK423" s="189">
        <f>VLOOKUP($H423,RoR!$E:$F,2,FALSE)</f>
        <v>7.0824999999999999E-2</v>
      </c>
      <c r="DL423" s="191">
        <f>HLOOKUP($H423,'GDP-PI'!$D$8:$CQ$11,3,FALSE)</f>
        <v>2.2454495382290052E-2</v>
      </c>
      <c r="DM423" s="189">
        <f>VLOOKUP(H423,'HW Dx Data'!$E:$F,2,FALSE)</f>
        <v>353.44738017483138</v>
      </c>
      <c r="DN423" s="183">
        <f>VLOOKUP(H423,'ECI - Input Price'!$G$17:$H$37,2,FALSE)</f>
        <v>86.2</v>
      </c>
      <c r="DO423" s="177"/>
      <c r="DP423" s="183">
        <f>HLOOKUP(H423,'GDP-PI'!$8:$9,2,FALSE)</f>
        <v>79.822000000000003</v>
      </c>
      <c r="DR423" s="167">
        <v>1.9446497596593303E-2</v>
      </c>
    </row>
    <row r="424" spans="1:122" s="167" customFormat="1" ht="21" x14ac:dyDescent="0.35">
      <c r="A424" s="167" t="s">
        <v>53</v>
      </c>
      <c r="B424" s="168" t="s">
        <v>53</v>
      </c>
      <c r="C424" s="168">
        <v>4059459</v>
      </c>
      <c r="D424" s="168" t="s">
        <v>136</v>
      </c>
      <c r="E424" s="168" t="s">
        <v>126</v>
      </c>
      <c r="F424" s="168"/>
      <c r="G424" s="168" t="s">
        <v>8</v>
      </c>
      <c r="H424" s="169">
        <v>2002</v>
      </c>
      <c r="I424" s="170"/>
      <c r="J424" s="166"/>
      <c r="K424" s="166"/>
      <c r="L424" s="166"/>
      <c r="M424" s="166"/>
      <c r="N424" s="196"/>
      <c r="O424" s="166"/>
      <c r="P424" s="166"/>
      <c r="Q424" s="166"/>
      <c r="R424" s="166"/>
      <c r="S424" s="166"/>
      <c r="T424" s="166"/>
      <c r="U424" s="166"/>
      <c r="V424" s="166">
        <f t="shared" si="1193"/>
        <v>881.71145407132963</v>
      </c>
      <c r="W424" s="170"/>
      <c r="X424" s="174">
        <v>69.776635096252377</v>
      </c>
      <c r="Y424" s="175">
        <v>2.8876869222945897E-2</v>
      </c>
      <c r="Z424" s="175"/>
      <c r="AA424" s="175"/>
      <c r="AB424" s="175"/>
      <c r="AC424" s="170">
        <f t="shared" si="1086"/>
        <v>881.71145407132963</v>
      </c>
      <c r="AD424" s="175"/>
      <c r="AE424" s="170"/>
      <c r="AF424" s="170"/>
      <c r="AG424" s="174"/>
      <c r="AH424" s="175"/>
      <c r="AI424" s="175"/>
      <c r="AJ424" s="174"/>
      <c r="AK424" s="174"/>
      <c r="AL424" s="120"/>
      <c r="AM424" s="120"/>
      <c r="AN424" s="120"/>
      <c r="AO424" s="120"/>
      <c r="AP424" s="120"/>
      <c r="AQ424" s="175"/>
      <c r="AR424" s="120"/>
      <c r="AS424" s="120"/>
      <c r="AT424" s="120"/>
      <c r="AU424" s="120"/>
      <c r="AV424" s="120"/>
      <c r="AW424" s="120"/>
      <c r="AX424" s="120"/>
      <c r="AY424" s="120"/>
      <c r="AZ424" s="118">
        <f>IFERROR(INDEX('Total Customers'!$F$7:$AB$91,MATCH($C424,'Total Customers'!$D$7:$D$91,0),MATCH($G424,'Total Customers'!$F$5:$AB$5,0)),"NA")</f>
        <v>14509</v>
      </c>
      <c r="BA424" s="119">
        <f t="shared" si="1194"/>
        <v>-0.22324003849182797</v>
      </c>
      <c r="BB424" s="119"/>
      <c r="BC424" s="121"/>
      <c r="BD424" s="119"/>
      <c r="BE424" s="119"/>
      <c r="BF424" s="119"/>
      <c r="BG424" s="173"/>
      <c r="BH424" s="173"/>
      <c r="BI424" s="173"/>
      <c r="BJ424" s="173"/>
      <c r="BK424" s="173"/>
      <c r="BL424" s="173"/>
      <c r="BM424" s="173"/>
      <c r="BN424" s="173"/>
      <c r="BO424" s="173"/>
      <c r="BP424" s="173"/>
      <c r="BQ424" s="118"/>
      <c r="BR424" s="118"/>
      <c r="BS424" s="118">
        <f>INDEX('Dist. Plant Gas Additions'!$F$7:$AE$91,MATCH($C424,'Dist. Plant Gas Additions'!$D$7:$D$91,0),MATCH(Calculation!$G424,'Dist. Plant Gas Additions'!$F$5:$AE$5,0))</f>
        <v>649</v>
      </c>
      <c r="BT424" s="118">
        <f>INDEX('Gen. Plant Additions'!$F$7:$AE$91,MATCH($C424,'Gen. Plant Additions'!$D$7:$D$91,0),MATCH(Calculation!$G424,'Gen. Plant Additions'!$F$5:$AE$5,0))</f>
        <v>207</v>
      </c>
      <c r="BU424" s="118"/>
      <c r="BV424" s="118"/>
      <c r="BW424" s="118">
        <f>INDEX('Dist Plant Depreciation'!$E$7:$AD$94,MATCH($C424,'Dist Plant Depreciation'!$D$7:$D$94,0),MATCH(Calculation!$G424,'Dist Plant Depreciation'!$E$5:$AD$5,0))</f>
        <v>3695</v>
      </c>
      <c r="BX424" s="118">
        <f>INDEX('Gen. Plant Depreciation'!$E$7:$AD$94,MATCH($C424,'Gen. Plant Depreciation'!$D$7:$D$94,0),MATCH(Calculation!$G424,'Gen. Plant Depreciation'!$E$5:$AD$5,0))</f>
        <v>2573</v>
      </c>
      <c r="BY424" s="118"/>
      <c r="BZ424" s="118"/>
      <c r="CA424" s="118"/>
      <c r="CB424" s="118"/>
      <c r="CC424" s="118"/>
      <c r="CD424" s="118"/>
      <c r="CE424" s="118">
        <f>INDEX('Gross Dx Plant'!$E$7:$AD$91,MATCH($C424,'Gross Dx Plant'!$D$7:$D$91,0),MATCH(Calculation!$G424,'Gross Dx Plant'!$E$5:$AD$5,0))</f>
        <v>12944</v>
      </c>
      <c r="CF424" s="118">
        <f>INDEX('Gross Gen Plant'!$E$7:$AD$91,MATCH($C424,'Gross Gen Plant'!$D$7:$D$91,0),MATCH(Calculation!$G424,'Gross Gen Plant'!$E$5:$AD$5,0))</f>
        <v>7080</v>
      </c>
      <c r="CG424" s="118">
        <f t="shared" si="1177"/>
        <v>13756</v>
      </c>
      <c r="CH424" s="118"/>
      <c r="CI424" s="121">
        <v>2002</v>
      </c>
      <c r="CJ424" s="118"/>
      <c r="CK424" s="118"/>
      <c r="CL424" s="118"/>
      <c r="CM424" s="183"/>
      <c r="CN424" s="118">
        <f t="shared" si="1195"/>
        <v>856</v>
      </c>
      <c r="CO424" s="118">
        <f t="shared" si="1196"/>
        <v>2.3689064486072611</v>
      </c>
      <c r="CP424" s="186">
        <v>0.97916666666666663</v>
      </c>
      <c r="CQ424" s="118">
        <f>+CQ420*CP424+CO421*CP423+CO422*CP422+CO423*CP421+CO424</f>
        <v>69.776635096252377</v>
      </c>
      <c r="CR424" s="119">
        <f t="shared" si="1197"/>
        <v>2.8876869222945897E-2</v>
      </c>
      <c r="CS424" s="119"/>
      <c r="CT424" s="177">
        <f t="shared" si="1198"/>
        <v>5.6466613968154961E-3</v>
      </c>
      <c r="CU424" s="177">
        <f t="shared" ref="CU424:CU443" si="1206">+(CT424+CT423+CT422)/3</f>
        <v>5.3155473510903316E-3</v>
      </c>
      <c r="CV424" s="119">
        <f>VLOOKUP($H424,RoR!$E:$F,2,FALSE)</f>
        <v>6.4916666666666664E-2</v>
      </c>
      <c r="CW424" s="177">
        <v>1.5246423291824351E-2</v>
      </c>
      <c r="CX424" s="177">
        <f t="shared" si="1204"/>
        <v>4.9670243374842313E-2</v>
      </c>
      <c r="CY424" s="177">
        <f t="shared" ref="CY424:CY443" si="1207">+$CX$35-CU424</f>
        <v>2.5586394257443294E-2</v>
      </c>
      <c r="CZ424" s="177">
        <f t="shared" ref="CZ424:CZ443" si="1208">+((DM422/DM421-1)+(DM423/DM422-1)+(DM424/DM423-1))/3</f>
        <v>2.5243621214759093E-2</v>
      </c>
      <c r="DA424" s="187">
        <f t="shared" si="1199"/>
        <v>0.85131374874999999</v>
      </c>
      <c r="DB424" s="188">
        <f t="shared" si="1200"/>
        <v>0.78996741384417901</v>
      </c>
      <c r="DC424" s="188">
        <f t="shared" si="1201"/>
        <v>0.58989088575096271</v>
      </c>
      <c r="DD424" s="188">
        <f t="shared" si="1202"/>
        <v>0.91920675783645744</v>
      </c>
      <c r="DE424" s="188">
        <f t="shared" si="1203"/>
        <v>0.42834536472275586</v>
      </c>
      <c r="DF424" s="189">
        <f>INDEX('State Tax Lookup'!$D$7:$Z$91,MATCH(Calculation!$C424,'State Tax Lookup'!$B$7:$B$91,0),MATCH($H424,'State Tax Lookup'!$D$6:$Z$6,0))</f>
        <v>0.39649667</v>
      </c>
      <c r="DG424" s="189">
        <v>0.375</v>
      </c>
      <c r="DH424" s="190">
        <f t="shared" si="1205"/>
        <v>13.006412552830076</v>
      </c>
      <c r="DI424" s="190"/>
      <c r="DJ424" s="177"/>
      <c r="DK424" s="189">
        <f>VLOOKUP($H424,RoR!$E:$F,2,FALSE)</f>
        <v>6.4916666666666664E-2</v>
      </c>
      <c r="DL424" s="191">
        <f>HLOOKUP($H424,'GDP-PI'!$D$8:$CQ$11,3,FALSE)</f>
        <v>1.5246423291824351E-2</v>
      </c>
      <c r="DM424" s="189">
        <f>VLOOKUP(H424,'HW Dx Data'!$E:$F,2,FALSE)</f>
        <v>361.34816573413599</v>
      </c>
      <c r="DN424" s="183">
        <f>VLOOKUP(H424,'ECI - Input Price'!$G$17:$H$37,2,FALSE)</f>
        <v>89.275000000000006</v>
      </c>
      <c r="DO424" s="177">
        <f>LN(DN424/DN423)</f>
        <v>3.5051315810864674E-2</v>
      </c>
      <c r="DP424" s="183">
        <f>HLOOKUP(H424,'GDP-PI'!$8:$9,2,FALSE)</f>
        <v>81.039000000000001</v>
      </c>
      <c r="DQ424" s="177">
        <f>LN(DP424/DP423)</f>
        <v>1.513136459537477E-2</v>
      </c>
      <c r="DR424" s="167">
        <v>1.9153869584023625E-2</v>
      </c>
    </row>
    <row r="425" spans="1:122" s="167" customFormat="1" ht="21" x14ac:dyDescent="0.35">
      <c r="A425" s="167" t="s">
        <v>53</v>
      </c>
      <c r="B425" s="168" t="s">
        <v>53</v>
      </c>
      <c r="C425" s="168">
        <v>4059459</v>
      </c>
      <c r="D425" s="168" t="s">
        <v>136</v>
      </c>
      <c r="E425" s="168" t="s">
        <v>126</v>
      </c>
      <c r="F425" s="168"/>
      <c r="G425" s="168" t="s">
        <v>9</v>
      </c>
      <c r="H425" s="169">
        <v>2003</v>
      </c>
      <c r="I425" s="170"/>
      <c r="J425" s="166"/>
      <c r="K425" s="166"/>
      <c r="L425" s="166"/>
      <c r="M425" s="172"/>
      <c r="N425" s="196"/>
      <c r="O425" s="172"/>
      <c r="P425" s="166"/>
      <c r="Q425" s="166"/>
      <c r="R425" s="166"/>
      <c r="S425" s="166"/>
      <c r="T425" s="166"/>
      <c r="U425" s="166"/>
      <c r="V425" s="166">
        <f t="shared" si="1193"/>
        <v>921.39338299746066</v>
      </c>
      <c r="W425" s="170"/>
      <c r="X425" s="174">
        <v>71.775043848661142</v>
      </c>
      <c r="Y425" s="175">
        <v>2.8237623936474211E-2</v>
      </c>
      <c r="Z425" s="175"/>
      <c r="AA425" s="175"/>
      <c r="AB425" s="175"/>
      <c r="AC425" s="170">
        <f t="shared" si="1086"/>
        <v>921.39338299746066</v>
      </c>
      <c r="AD425" s="175"/>
      <c r="AE425" s="170"/>
      <c r="AF425" s="170"/>
      <c r="AG425" s="174"/>
      <c r="AH425" s="175"/>
      <c r="AI425" s="175"/>
      <c r="AJ425" s="174"/>
      <c r="AK425" s="174"/>
      <c r="AL425" s="120"/>
      <c r="AM425" s="120"/>
      <c r="AN425" s="120"/>
      <c r="AO425" s="120"/>
      <c r="AP425" s="120"/>
      <c r="AQ425" s="175"/>
      <c r="AR425" s="120"/>
      <c r="AS425" s="120"/>
      <c r="AT425" s="120"/>
      <c r="AU425" s="120"/>
      <c r="AV425" s="120"/>
      <c r="AW425" s="120"/>
      <c r="AX425" s="120"/>
      <c r="AY425" s="120"/>
      <c r="AZ425" s="118">
        <f>IFERROR(INDEX('Total Customers'!$F$7:$AB$91,MATCH($C425,'Total Customers'!$D$7:$D$91,0),MATCH($G425,'Total Customers'!$F$5:$AB$5,0)),"NA")</f>
        <v>18100</v>
      </c>
      <c r="BA425" s="119">
        <f t="shared" si="1194"/>
        <v>0.22114279173823201</v>
      </c>
      <c r="BB425" s="119"/>
      <c r="BC425" s="121"/>
      <c r="BD425" s="119"/>
      <c r="BE425" s="119"/>
      <c r="BF425" s="119"/>
      <c r="BG425" s="173"/>
      <c r="BH425" s="173"/>
      <c r="BI425" s="173"/>
      <c r="BJ425" s="173"/>
      <c r="BK425" s="173"/>
      <c r="BL425" s="173"/>
      <c r="BM425" s="173"/>
      <c r="BN425" s="173"/>
      <c r="BO425" s="173"/>
      <c r="BP425" s="173"/>
      <c r="BQ425" s="118"/>
      <c r="BR425" s="118"/>
      <c r="BS425" s="118">
        <f>INDEX('Dist. Plant Gas Additions'!$F$7:$AE$91,MATCH($C425,'Dist. Plant Gas Additions'!$D$7:$D$91,0),MATCH(Calculation!$G425,'Dist. Plant Gas Additions'!$F$5:$AE$5,0))</f>
        <v>707</v>
      </c>
      <c r="BT425" s="118">
        <f>INDEX('Gen. Plant Additions'!$F$7:$AE$91,MATCH($C425,'Gen. Plant Additions'!$D$7:$D$91,0),MATCH(Calculation!$G425,'Gen. Plant Additions'!$F$5:$AE$5,0))</f>
        <v>177</v>
      </c>
      <c r="BU425" s="118"/>
      <c r="BV425" s="118"/>
      <c r="BW425" s="118">
        <f>INDEX('Dist Plant Depreciation'!$E$7:$AD$94,MATCH($C425,'Dist Plant Depreciation'!$D$7:$D$94,0),MATCH(Calculation!$G425,'Dist Plant Depreciation'!$E$5:$AD$5,0))</f>
        <v>3919</v>
      </c>
      <c r="BX425" s="118">
        <f>INDEX('Gen. Plant Depreciation'!$E$7:$AD$94,MATCH($C425,'Gen. Plant Depreciation'!$D$7:$D$94,0),MATCH(Calculation!$G425,'Gen. Plant Depreciation'!$E$5:$AD$5,0))</f>
        <v>2689</v>
      </c>
      <c r="BY425" s="118"/>
      <c r="BZ425" s="118"/>
      <c r="CA425" s="118"/>
      <c r="CB425" s="118"/>
      <c r="CC425" s="118"/>
      <c r="CD425" s="118"/>
      <c r="CE425" s="118">
        <f>INDEX('Gross Dx Plant'!$E$7:$AD$91,MATCH($C425,'Gross Dx Plant'!$D$7:$D$91,0),MATCH(Calculation!$G425,'Gross Dx Plant'!$E$5:$AD$5,0))</f>
        <v>13625</v>
      </c>
      <c r="CF425" s="118">
        <f>INDEX('Gross Gen Plant'!$E$7:$AD$91,MATCH($C425,'Gross Gen Plant'!$D$7:$D$91,0),MATCH(Calculation!$G425,'Gross Gen Plant'!$E$5:$AD$5,0))</f>
        <v>7010</v>
      </c>
      <c r="CG425" s="118">
        <f t="shared" si="1177"/>
        <v>14027</v>
      </c>
      <c r="CH425" s="118"/>
      <c r="CI425" s="121">
        <v>2003</v>
      </c>
      <c r="CJ425" s="118"/>
      <c r="CK425" s="118"/>
      <c r="CL425" s="118"/>
      <c r="CM425" s="183"/>
      <c r="CN425" s="118">
        <f t="shared" si="1195"/>
        <v>884</v>
      </c>
      <c r="CO425" s="118">
        <f t="shared" si="1196"/>
        <v>2.3941521309596441</v>
      </c>
      <c r="CP425" s="186">
        <v>0.97354497354497349</v>
      </c>
      <c r="CQ425" s="118">
        <f>+CQ420*CP425+CO421*CP424+CO422*CP423+CO423*CP422+CO424*CP421+CO425</f>
        <v>71.775043848661142</v>
      </c>
      <c r="CR425" s="119">
        <f t="shared" si="1197"/>
        <v>2.8237623936474211E-2</v>
      </c>
      <c r="CS425" s="119"/>
      <c r="CT425" s="177">
        <f t="shared" si="1198"/>
        <v>5.671574417496307E-3</v>
      </c>
      <c r="CU425" s="177">
        <f t="shared" si="1206"/>
        <v>5.491330808093932E-3</v>
      </c>
      <c r="CV425" s="119">
        <f>VLOOKUP($H425,RoR!$E:$F,2,FALSE)</f>
        <v>5.6666666666666671E-2</v>
      </c>
      <c r="CW425" s="177">
        <v>1.8855119140166909E-2</v>
      </c>
      <c r="CX425" s="177">
        <f t="shared" si="1204"/>
        <v>3.7811547526499761E-2</v>
      </c>
      <c r="CY425" s="177">
        <f t="shared" si="1207"/>
        <v>2.5410610800439694E-2</v>
      </c>
      <c r="CZ425" s="177">
        <f t="shared" si="1208"/>
        <v>2.1375012817671957E-2</v>
      </c>
      <c r="DA425" s="187">
        <f t="shared" si="1199"/>
        <v>0.85131374874999999</v>
      </c>
      <c r="DB425" s="188">
        <f t="shared" si="1200"/>
        <v>0.90497737556561086</v>
      </c>
      <c r="DC425" s="188">
        <f t="shared" si="1201"/>
        <v>0.5338235294117647</v>
      </c>
      <c r="DD425" s="188">
        <f t="shared" si="1202"/>
        <v>0.88972433127405692</v>
      </c>
      <c r="DE425" s="188">
        <f t="shared" si="1203"/>
        <v>0.42982423775949252</v>
      </c>
      <c r="DF425" s="189">
        <f>INDEX('State Tax Lookup'!$D$7:$Z$91,MATCH(Calculation!$C425,'State Tax Lookup'!$B$7:$B$91,0),MATCH($H425,'State Tax Lookup'!$D$6:$Z$6,0))</f>
        <v>0.39649667</v>
      </c>
      <c r="DG425" s="189">
        <v>0.375</v>
      </c>
      <c r="DH425" s="190">
        <f t="shared" si="1205"/>
        <v>13.204898483947495</v>
      </c>
      <c r="DI425" s="190"/>
      <c r="DJ425" s="177"/>
      <c r="DK425" s="189">
        <f>VLOOKUP($H425,RoR!$E:$F,2,FALSE)</f>
        <v>5.6666666666666671E-2</v>
      </c>
      <c r="DL425" s="191">
        <f>HLOOKUP($H425,'GDP-PI'!$D$8:$CQ$11,3,FALSE)</f>
        <v>1.8855119140166909E-2</v>
      </c>
      <c r="DM425" s="189">
        <f>VLOOKUP(H425,'HW Dx Data'!$E:$F,2,FALSE)</f>
        <v>369.23301095560191</v>
      </c>
      <c r="DN425" s="183">
        <f>VLOOKUP(H425,'ECI - Input Price'!$G$17:$H$37,2,FALSE)</f>
        <v>92.625</v>
      </c>
      <c r="DO425" s="177">
        <f t="shared" ref="DO425" si="1209">LN(DN425/DN424)</f>
        <v>3.6837590135738785E-2</v>
      </c>
      <c r="DP425" s="183">
        <f>HLOOKUP(H425,'GDP-PI'!$8:$9,2,FALSE)</f>
        <v>82.566999999999993</v>
      </c>
      <c r="DQ425" s="177">
        <f t="shared" ref="DQ425" si="1210">LN(DP425/DP424)</f>
        <v>1.8679564681853753E-2</v>
      </c>
      <c r="DR425" s="167">
        <v>8.6027422684860073E-4</v>
      </c>
    </row>
    <row r="426" spans="1:122" s="167" customFormat="1" ht="21" x14ac:dyDescent="0.35">
      <c r="A426" s="167" t="s">
        <v>53</v>
      </c>
      <c r="B426" s="168" t="s">
        <v>53</v>
      </c>
      <c r="C426" s="168">
        <v>4059459</v>
      </c>
      <c r="D426" s="168" t="s">
        <v>136</v>
      </c>
      <c r="E426" s="168" t="s">
        <v>126</v>
      </c>
      <c r="F426" s="168"/>
      <c r="G426" s="168" t="s">
        <v>10</v>
      </c>
      <c r="H426" s="169">
        <v>2004</v>
      </c>
      <c r="I426" s="170"/>
      <c r="J426" s="166">
        <f>IFERROR(INDEX('Labor Expenditures'!$F$7:$X$91,MATCH($C426,'Labor Expenditures'!$D$7:$D$91,0),MATCH($G426,'Labor Expenditures'!$F$5:$X$5,0)),"NA")</f>
        <v>1077.7043382577167</v>
      </c>
      <c r="K426" s="166">
        <f t="shared" ref="K426:K443" si="1211">+J426/DN426</f>
        <v>11.205659872708258</v>
      </c>
      <c r="L426" s="172"/>
      <c r="M426" s="172"/>
      <c r="N426" s="196"/>
      <c r="O426" s="172"/>
      <c r="P426" s="166">
        <f>IFERROR(INDEX('Non-Labor Expenditures'!$F$7:$AB$91,MATCH($C426,'Non-Labor Expenditures'!$D$7:$D$91,0),MATCH($G426,'Non-Labor Expenditures'!$F$5:$AB$5,0)),"NA")</f>
        <v>1560.7171692020775</v>
      </c>
      <c r="Q426" s="166">
        <f t="shared" ref="Q426:Q443" si="1212">+P426/DP426</f>
        <v>18.409459638138166</v>
      </c>
      <c r="R426" s="166"/>
      <c r="S426" s="166"/>
      <c r="T426" s="166"/>
      <c r="U426" s="166"/>
      <c r="V426" s="166">
        <f t="shared" si="1193"/>
        <v>1051.9264558473924</v>
      </c>
      <c r="W426" s="170"/>
      <c r="X426" s="174">
        <v>73.05394377131978</v>
      </c>
      <c r="Y426" s="175">
        <v>1.7661287101264848E-2</v>
      </c>
      <c r="Z426" s="175"/>
      <c r="AA426" s="175"/>
      <c r="AB426" s="175"/>
      <c r="AC426" s="170">
        <f t="shared" si="1086"/>
        <v>3690.3479633071865</v>
      </c>
      <c r="AD426" s="175"/>
      <c r="AE426" s="170"/>
      <c r="AF426" s="170"/>
      <c r="AG426" s="174"/>
      <c r="AH426" s="175"/>
      <c r="AI426" s="175"/>
      <c r="AJ426" s="174"/>
      <c r="AK426" s="174"/>
      <c r="AL426" s="120">
        <f t="shared" ref="AL426:AL443" si="1213">+J426/AC426</f>
        <v>0.29203325783184636</v>
      </c>
      <c r="AM426" s="120">
        <f t="shared" ref="AM426:AM443" si="1214">+P426/AC426</f>
        <v>0.42291870162926493</v>
      </c>
      <c r="AN426" s="120">
        <f t="shared" ref="AN426:AN443" si="1215">+V426/AC426</f>
        <v>0.28504804053888871</v>
      </c>
      <c r="AO426" s="120"/>
      <c r="AP426" s="120"/>
      <c r="AQ426" s="175"/>
      <c r="AR426" s="120"/>
      <c r="AS426" s="120"/>
      <c r="AT426" s="120"/>
      <c r="AU426" s="120"/>
      <c r="AV426" s="120"/>
      <c r="AW426" s="120"/>
      <c r="AX426" s="120"/>
      <c r="AY426" s="120"/>
      <c r="AZ426" s="118">
        <f>IFERROR(INDEX('Total Customers'!$F$7:$AB$91,MATCH($C426,'Total Customers'!$D$7:$D$91,0),MATCH($G426,'Total Customers'!$F$5:$AB$5,0)),"NA")</f>
        <v>17982</v>
      </c>
      <c r="BA426" s="119">
        <f t="shared" si="1194"/>
        <v>-6.5406807091989072E-3</v>
      </c>
      <c r="BB426" s="119"/>
      <c r="BC426" s="121"/>
      <c r="BD426" s="119"/>
      <c r="BE426" s="119"/>
      <c r="BF426" s="119"/>
      <c r="BG426" s="173"/>
      <c r="BH426" s="173"/>
      <c r="BI426" s="173"/>
      <c r="BJ426" s="173"/>
      <c r="BK426" s="173"/>
      <c r="BL426" s="173"/>
      <c r="BM426" s="173"/>
      <c r="BN426" s="173"/>
      <c r="BO426" s="173"/>
      <c r="BP426" s="173"/>
      <c r="BQ426" s="118"/>
      <c r="BR426" s="118"/>
      <c r="BS426" s="118">
        <f>INDEX('Dist. Plant Gas Additions'!$F$7:$AE$91,MATCH($C426,'Dist. Plant Gas Additions'!$D$7:$D$91,0),MATCH(Calculation!$G426,'Dist. Plant Gas Additions'!$F$5:$AE$5,0))</f>
        <v>623</v>
      </c>
      <c r="BT426" s="118">
        <f>INDEX('Gen. Plant Additions'!$F$7:$AE$91,MATCH($C426,'Gen. Plant Additions'!$D$7:$D$91,0),MATCH(Calculation!$G426,'Gen. Plant Additions'!$F$5:$AE$5,0))</f>
        <v>82</v>
      </c>
      <c r="BU426" s="118"/>
      <c r="BV426" s="118"/>
      <c r="BW426" s="118">
        <f>INDEX('Dist Plant Depreciation'!$E$7:$AD$94,MATCH($C426,'Dist Plant Depreciation'!$D$7:$D$94,0),MATCH(Calculation!$G426,'Dist Plant Depreciation'!$E$5:$AD$5,0))</f>
        <v>4099</v>
      </c>
      <c r="BX426" s="118">
        <f>INDEX('Gen. Plant Depreciation'!$E$7:$AD$94,MATCH($C426,'Gen. Plant Depreciation'!$D$7:$D$94,0),MATCH(Calculation!$G426,'Gen. Plant Depreciation'!$E$5:$AD$5,0))</f>
        <v>2900</v>
      </c>
      <c r="BY426" s="118"/>
      <c r="BZ426" s="118"/>
      <c r="CA426" s="118"/>
      <c r="CB426" s="118"/>
      <c r="CC426" s="118"/>
      <c r="CD426" s="118"/>
      <c r="CE426" s="118">
        <f>INDEX('Gross Dx Plant'!$E$7:$AD$91,MATCH($C426,'Gross Dx Plant'!$D$7:$D$91,0),MATCH(Calculation!$G426,'Gross Dx Plant'!$E$5:$AD$5,0))</f>
        <v>14191</v>
      </c>
      <c r="CF426" s="118">
        <f>INDEX('Gross Gen Plant'!$E$7:$AD$91,MATCH($C426,'Gross Gen Plant'!$D$7:$D$91,0),MATCH(Calculation!$G426,'Gross Gen Plant'!$E$5:$AD$5,0))</f>
        <v>7090</v>
      </c>
      <c r="CG426" s="118">
        <f t="shared" si="1177"/>
        <v>14282</v>
      </c>
      <c r="CH426" s="118"/>
      <c r="CI426" s="121">
        <v>2004</v>
      </c>
      <c r="CJ426" s="118"/>
      <c r="CK426" s="118"/>
      <c r="CL426" s="118"/>
      <c r="CM426" s="183"/>
      <c r="CN426" s="118">
        <f t="shared" si="1195"/>
        <v>705</v>
      </c>
      <c r="CO426" s="118">
        <f t="shared" si="1196"/>
        <v>1.6992570864916856</v>
      </c>
      <c r="CP426" s="186">
        <v>0.967741935483871</v>
      </c>
      <c r="CQ426" s="118">
        <f>+CQ420*CP426+CO421*CP425+CO422*CP424+CO423*CP423+CO424*CP422+CO425*CP421+CO426</f>
        <v>73.05394377131978</v>
      </c>
      <c r="CR426" s="119">
        <f t="shared" si="1197"/>
        <v>1.7661287101264848E-2</v>
      </c>
      <c r="CS426" s="119"/>
      <c r="CT426" s="177">
        <f t="shared" si="1198"/>
        <v>5.8565922261138176E-3</v>
      </c>
      <c r="CU426" s="177">
        <f t="shared" si="1206"/>
        <v>5.7249426801418736E-3</v>
      </c>
      <c r="CV426" s="119">
        <f>VLOOKUP($H426,RoR!$E:$F,2,FALSE)</f>
        <v>5.6283333333333331E-2</v>
      </c>
      <c r="CW426" s="177">
        <v>2.6778252812867276E-2</v>
      </c>
      <c r="CX426" s="177">
        <f t="shared" si="1204"/>
        <v>2.9505080520466055E-2</v>
      </c>
      <c r="CY426" s="177">
        <f t="shared" si="1207"/>
        <v>2.5176998928391751E-2</v>
      </c>
      <c r="CZ426" s="177">
        <f t="shared" si="1208"/>
        <v>5.5940039414565046E-2</v>
      </c>
      <c r="DA426" s="187">
        <f t="shared" si="1199"/>
        <v>0.85131374874999999</v>
      </c>
      <c r="DB426" s="188">
        <f t="shared" si="1200"/>
        <v>0.91114097628755619</v>
      </c>
      <c r="DC426" s="188">
        <f t="shared" si="1201"/>
        <v>0.53081877405981637</v>
      </c>
      <c r="DD426" s="188">
        <f t="shared" si="1202"/>
        <v>0.88811215519385678</v>
      </c>
      <c r="DE426" s="188">
        <f t="shared" si="1203"/>
        <v>0.42953609753547711</v>
      </c>
      <c r="DF426" s="189">
        <f>INDEX('State Tax Lookup'!$D$7:$Z$91,MATCH(Calculation!$C426,'State Tax Lookup'!$B$7:$B$91,0),MATCH($H426,'State Tax Lookup'!$D$6:$Z$6,0))</f>
        <v>0.39649667</v>
      </c>
      <c r="DG426" s="189">
        <v>0.375</v>
      </c>
      <c r="DH426" s="190">
        <f t="shared" si="1205"/>
        <v>14.655880365122405</v>
      </c>
      <c r="DI426" s="190"/>
      <c r="DJ426" s="177"/>
      <c r="DK426" s="189">
        <f>VLOOKUP($H426,RoR!$E:$F,2,FALSE)</f>
        <v>5.6283333333333331E-2</v>
      </c>
      <c r="DL426" s="191">
        <f>HLOOKUP($H426,'GDP-PI'!$D$8:$CQ$11,3,FALSE)</f>
        <v>2.6778252812867276E-2</v>
      </c>
      <c r="DM426" s="189">
        <f>VLOOKUP(H426,'HW Dx Data'!$E:$F,2,FALSE)</f>
        <v>414.88719135228365</v>
      </c>
      <c r="DN426" s="183">
        <f>VLOOKUP(H426,'ECI - Input Price'!$G$17:$H$37,2,FALSE)</f>
        <v>96.174999999999997</v>
      </c>
      <c r="DO426" s="177">
        <f t="shared" ref="DO426" si="1216">LN(DN426/DN425)</f>
        <v>3.7610365022107912E-2</v>
      </c>
      <c r="DP426" s="183">
        <f>HLOOKUP(H426,'GDP-PI'!$8:$9,2,FALSE)</f>
        <v>84.778000000000006</v>
      </c>
      <c r="DQ426" s="177">
        <f t="shared" ref="DQ426" si="1217">LN(DP426/DP425)</f>
        <v>2.6425990216022755E-2</v>
      </c>
      <c r="DR426" s="167">
        <v>1.758657341238868E-2</v>
      </c>
    </row>
    <row r="427" spans="1:122" s="167" customFormat="1" ht="21" x14ac:dyDescent="0.35">
      <c r="A427" s="167" t="s">
        <v>53</v>
      </c>
      <c r="B427" s="168" t="s">
        <v>53</v>
      </c>
      <c r="C427" s="168">
        <v>4059459</v>
      </c>
      <c r="D427" s="168" t="s">
        <v>136</v>
      </c>
      <c r="E427" s="168" t="s">
        <v>126</v>
      </c>
      <c r="F427" s="168"/>
      <c r="G427" s="168" t="s">
        <v>11</v>
      </c>
      <c r="H427" s="169">
        <v>2005</v>
      </c>
      <c r="I427" s="170"/>
      <c r="J427" s="166">
        <f>IFERROR(INDEX('Labor Expenditures'!$F$7:$X$91,MATCH($C427,'Labor Expenditures'!$D$7:$D$91,0),MATCH($G427,'Labor Expenditures'!$F$5:$X$5,0)),"NA")</f>
        <v>1111.6450131313147</v>
      </c>
      <c r="K427" s="166">
        <f t="shared" si="1211"/>
        <v>11.211750006367268</v>
      </c>
      <c r="L427" s="172">
        <f t="shared" ref="L427:L443" si="1218">LN(K427/K426)</f>
        <v>5.4333964911083507E-4</v>
      </c>
      <c r="M427" s="172"/>
      <c r="N427" s="196"/>
      <c r="O427" s="172"/>
      <c r="P427" s="166">
        <f>IFERROR(INDEX('Non-Labor Expenditures'!$F$7:$AB$91,MATCH($C427,'Non-Labor Expenditures'!$D$7:$D$91,0),MATCH($G427,'Non-Labor Expenditures'!$F$5:$AB$5,0)),"NA")</f>
        <v>1609.8696056626816</v>
      </c>
      <c r="Q427" s="166">
        <f t="shared" si="1212"/>
        <v>18.418085572810892</v>
      </c>
      <c r="R427" s="172">
        <f>LN(Q427/Q426)</f>
        <v>4.6845016582330987E-4</v>
      </c>
      <c r="S427" s="172"/>
      <c r="T427" s="172"/>
      <c r="U427" s="172"/>
      <c r="V427" s="166">
        <f t="shared" si="1193"/>
        <v>1201.2541643862808</v>
      </c>
      <c r="W427" s="170"/>
      <c r="X427" s="174">
        <v>74.898293585808588</v>
      </c>
      <c r="Y427" s="175">
        <v>2.4932983671165743E-2</v>
      </c>
      <c r="Z427" s="175"/>
      <c r="AA427" s="175"/>
      <c r="AB427" s="175"/>
      <c r="AC427" s="170">
        <f t="shared" si="1086"/>
        <v>3922.7687831802768</v>
      </c>
      <c r="AD427" s="175">
        <f>LN(AC427/AC426)</f>
        <v>6.1076974108279357E-2</v>
      </c>
      <c r="AE427" s="170"/>
      <c r="AF427" s="170"/>
      <c r="AG427" s="121"/>
      <c r="AH427" s="119"/>
      <c r="AI427" s="119"/>
      <c r="AJ427" s="121"/>
      <c r="AK427" s="121"/>
      <c r="AL427" s="120">
        <f t="shared" si="1213"/>
        <v>0.28338275197297741</v>
      </c>
      <c r="AM427" s="120">
        <f t="shared" si="1214"/>
        <v>0.41039115345399585</v>
      </c>
      <c r="AN427" s="120">
        <f t="shared" si="1215"/>
        <v>0.3062260945730268</v>
      </c>
      <c r="AO427" s="120">
        <f t="shared" ref="AO427:AO443" si="1219">+(((AL427+AL426)/2)*L427+((AM426+AM427)/2)*R427+((AN426+AN427)/2)*Y427)</f>
        <v>7.7226194142920495E-3</v>
      </c>
      <c r="AP427" s="173">
        <v>100</v>
      </c>
      <c r="AQ427" s="175"/>
      <c r="AR427" s="120"/>
      <c r="AS427" s="120"/>
      <c r="AT427" s="120"/>
      <c r="AU427" s="120"/>
      <c r="AV427" s="120"/>
      <c r="AW427" s="120"/>
      <c r="AX427" s="120"/>
      <c r="AY427" s="120"/>
      <c r="AZ427" s="118">
        <f>IFERROR(INDEX('Total Customers'!$F$7:$AB$91,MATCH($C427,'Total Customers'!$D$7:$D$91,0),MATCH($G427,'Total Customers'!$F$5:$AB$5,0)),"NA")</f>
        <v>18025</v>
      </c>
      <c r="BA427" s="119">
        <f t="shared" si="1194"/>
        <v>2.3884256084316527E-3</v>
      </c>
      <c r="BB427" s="119"/>
      <c r="BC427" s="121"/>
      <c r="BD427" s="119"/>
      <c r="BE427" s="119"/>
      <c r="BF427" s="119"/>
      <c r="BG427" s="173"/>
      <c r="BH427" s="173"/>
      <c r="BI427" s="173"/>
      <c r="BJ427" s="173"/>
      <c r="BK427" s="173"/>
      <c r="BL427" s="173"/>
      <c r="BM427" s="173"/>
      <c r="BN427" s="173"/>
      <c r="BO427" s="173"/>
      <c r="BP427" s="173"/>
      <c r="BQ427" s="118"/>
      <c r="BR427" s="118"/>
      <c r="BS427" s="118">
        <f>INDEX('Dist. Plant Gas Additions'!$F$7:$AE$91,MATCH($C427,'Dist. Plant Gas Additions'!$D$7:$D$91,0),MATCH(Calculation!$G427,'Dist. Plant Gas Additions'!$F$5:$AE$5,0))</f>
        <v>981</v>
      </c>
      <c r="BT427" s="118">
        <f>INDEX('Gen. Plant Additions'!$F$7:$AE$91,MATCH($C427,'Gen. Plant Additions'!$D$7:$D$91,0),MATCH(Calculation!$G427,'Gen. Plant Additions'!$F$5:$AE$5,0))</f>
        <v>92</v>
      </c>
      <c r="BU427" s="118"/>
      <c r="BV427" s="118"/>
      <c r="BW427" s="118">
        <f>INDEX('Dist Plant Depreciation'!$E$7:$AD$94,MATCH($C427,'Dist Plant Depreciation'!$D$7:$D$94,0),MATCH(Calculation!$G427,'Dist Plant Depreciation'!$E$5:$AD$5,0))</f>
        <v>4323</v>
      </c>
      <c r="BX427" s="118">
        <f>INDEX('Gen. Plant Depreciation'!$E$7:$AD$94,MATCH($C427,'Gen. Plant Depreciation'!$D$7:$D$94,0),MATCH(Calculation!$G427,'Gen. Plant Depreciation'!$E$5:$AD$5,0))</f>
        <v>3128</v>
      </c>
      <c r="BY427" s="118"/>
      <c r="BZ427" s="118"/>
      <c r="CA427" s="118"/>
      <c r="CB427" s="118"/>
      <c r="CC427" s="118"/>
      <c r="CD427" s="118"/>
      <c r="CE427" s="118">
        <f>INDEX('Gross Dx Plant'!$E$7:$AD$91,MATCH($C427,'Gross Dx Plant'!$D$7:$D$91,0),MATCH(Calculation!$G427,'Gross Dx Plant'!$E$5:$AD$5,0))</f>
        <v>15106</v>
      </c>
      <c r="CF427" s="118">
        <f>INDEX('Gross Gen Plant'!$E$7:$AD$91,MATCH($C427,'Gross Gen Plant'!$D$7:$D$91,0),MATCH(Calculation!$G427,'Gross Gen Plant'!$E$5:$AD$5,0))</f>
        <v>7182</v>
      </c>
      <c r="CG427" s="118">
        <f t="shared" si="1177"/>
        <v>14837</v>
      </c>
      <c r="CH427" s="118"/>
      <c r="CI427" s="121">
        <v>2005</v>
      </c>
      <c r="CJ427" s="118"/>
      <c r="CK427" s="118"/>
      <c r="CL427" s="118"/>
      <c r="CM427" s="183"/>
      <c r="CN427" s="118">
        <f t="shared" si="1195"/>
        <v>1073</v>
      </c>
      <c r="CO427" s="118">
        <f t="shared" si="1196"/>
        <v>2.2868462165633172</v>
      </c>
      <c r="CP427" s="186">
        <v>0.96174863387978138</v>
      </c>
      <c r="CQ427" s="118">
        <f>+CQ420*CP427+CO421*CP426+CO422*CP425+CO423*CP424+CO424*CP423+CO425*CP422+CO426*CP421+CO427</f>
        <v>74.898293585808588</v>
      </c>
      <c r="CR427" s="119">
        <f t="shared" si="1197"/>
        <v>2.4932983671165743E-2</v>
      </c>
      <c r="CS427" s="119"/>
      <c r="CT427" s="177">
        <f t="shared" si="1198"/>
        <v>6.0571186062131329E-3</v>
      </c>
      <c r="CU427" s="177">
        <f t="shared" si="1206"/>
        <v>5.8617617499410858E-3</v>
      </c>
      <c r="CV427" s="119">
        <f>VLOOKUP($H427,RoR!$E:$F,2,FALSE)</f>
        <v>5.2350000000000001E-2</v>
      </c>
      <c r="CW427" s="177">
        <v>3.1010403642454332E-2</v>
      </c>
      <c r="CX427" s="177">
        <f t="shared" si="1204"/>
        <v>2.1339596357545669E-2</v>
      </c>
      <c r="CY427" s="177">
        <f t="shared" si="1207"/>
        <v>2.504017985859254E-2</v>
      </c>
      <c r="CZ427" s="177">
        <f t="shared" si="1208"/>
        <v>9.2129610649277341E-2</v>
      </c>
      <c r="DA427" s="187">
        <f t="shared" si="1199"/>
        <v>0.85131374874999999</v>
      </c>
      <c r="DB427" s="188">
        <f t="shared" si="1200"/>
        <v>0.97959983346802826</v>
      </c>
      <c r="DC427" s="188">
        <f t="shared" si="1201"/>
        <v>0.49744508118433622</v>
      </c>
      <c r="DD427" s="188">
        <f t="shared" si="1202"/>
        <v>0.87010519444335932</v>
      </c>
      <c r="DE427" s="188">
        <f t="shared" si="1203"/>
        <v>0.42399975420741998</v>
      </c>
      <c r="DF427" s="189">
        <f>INDEX('State Tax Lookup'!$D$7:$Z$91,MATCH(Calculation!$C427,'State Tax Lookup'!$B$7:$B$91,0),MATCH($H427,'State Tax Lookup'!$D$6:$Z$6,0))</f>
        <v>0.39649667</v>
      </c>
      <c r="DG427" s="189">
        <v>0.375</v>
      </c>
      <c r="DH427" s="190">
        <f t="shared" si="1205"/>
        <v>16.443385563776786</v>
      </c>
      <c r="DI427" s="190"/>
      <c r="DJ427" s="177"/>
      <c r="DK427" s="189">
        <f>VLOOKUP($H427,RoR!$E:$F,2,FALSE)</f>
        <v>5.2350000000000001E-2</v>
      </c>
      <c r="DL427" s="191">
        <f>HLOOKUP($H427,'GDP-PI'!$D$8:$CQ$11,3,FALSE)</f>
        <v>3.1010403642454332E-2</v>
      </c>
      <c r="DM427" s="189">
        <f>VLOOKUP(H427,'HW Dx Data'!$E:$F,2,FALSE)</f>
        <v>469.20514034936258</v>
      </c>
      <c r="DN427" s="183">
        <f>VLOOKUP(H427,'ECI - Input Price'!$G$17:$H$37,2,FALSE)</f>
        <v>99.15</v>
      </c>
      <c r="DO427" s="177">
        <f t="shared" ref="DO427" si="1220">LN(DN427/DN426)</f>
        <v>3.046440632744625E-2</v>
      </c>
      <c r="DP427" s="183">
        <f>HLOOKUP(H427,'GDP-PI'!$8:$9,2,FALSE)</f>
        <v>87.406999999999996</v>
      </c>
      <c r="DQ427" s="177">
        <f t="shared" ref="DQ427" si="1221">LN(DP427/DP426)</f>
        <v>3.0539295810733648E-2</v>
      </c>
      <c r="DR427" s="167">
        <v>7.6836044830447241E-3</v>
      </c>
    </row>
    <row r="428" spans="1:122" s="167" customFormat="1" ht="21" x14ac:dyDescent="0.35">
      <c r="A428" s="167" t="s">
        <v>53</v>
      </c>
      <c r="B428" s="168" t="s">
        <v>53</v>
      </c>
      <c r="C428" s="168">
        <v>4059459</v>
      </c>
      <c r="D428" s="168" t="s">
        <v>136</v>
      </c>
      <c r="E428" s="168" t="s">
        <v>126</v>
      </c>
      <c r="F428" s="168"/>
      <c r="G428" s="168" t="s">
        <v>12</v>
      </c>
      <c r="H428" s="169">
        <v>2006</v>
      </c>
      <c r="I428" s="170"/>
      <c r="J428" s="166">
        <f>IFERROR(INDEX('Labor Expenditures'!$F$7:$X$91,MATCH($C428,'Labor Expenditures'!$D$7:$D$91,0),MATCH($G428,'Labor Expenditures'!$F$5:$X$5,0)),"NA")</f>
        <v>1621.0375810447977</v>
      </c>
      <c r="K428" s="166">
        <f t="shared" si="1211"/>
        <v>15.884738667758919</v>
      </c>
      <c r="L428" s="172">
        <f t="shared" si="1218"/>
        <v>0.34839647999234746</v>
      </c>
      <c r="M428" s="172">
        <f t="shared" ref="M428:M443" si="1222">+L428*AR428</f>
        <v>2.2646456597005135E-4</v>
      </c>
      <c r="N428" s="196"/>
      <c r="O428" s="172"/>
      <c r="P428" s="166">
        <f>IFERROR(INDEX('Non-Labor Expenditures'!$F$7:$AB$91,MATCH($C428,'Non-Labor Expenditures'!$D$7:$D$91,0),MATCH($G428,'Non-Labor Expenditures'!$F$5:$AB$5,0)),"NA")</f>
        <v>2347.565185409333</v>
      </c>
      <c r="Q428" s="166">
        <f t="shared" si="1212"/>
        <v>26.06262834346574</v>
      </c>
      <c r="R428" s="172">
        <f t="shared" ref="R428:R443" si="1223">LN(Q428/Q427)</f>
        <v>0.34716933055694171</v>
      </c>
      <c r="S428" s="172">
        <f>+R428*AR428</f>
        <v>2.2566689469542866E-4</v>
      </c>
      <c r="T428" s="172"/>
      <c r="U428" s="172"/>
      <c r="V428" s="166">
        <f t="shared" si="1193"/>
        <v>1202.0036362723463</v>
      </c>
      <c r="W428" s="170"/>
      <c r="X428" s="174">
        <v>78.752205958722399</v>
      </c>
      <c r="Y428" s="175">
        <v>5.0175181789987665E-2</v>
      </c>
      <c r="Z428" s="175">
        <f>+Y428*AR428</f>
        <v>3.2614855255677575E-5</v>
      </c>
      <c r="AA428" s="175"/>
      <c r="AB428" s="175"/>
      <c r="AC428" s="170">
        <f t="shared" si="1086"/>
        <v>5170.6064027264765</v>
      </c>
      <c r="AD428" s="175">
        <f t="shared" ref="AD428:AD443" si="1224">LN(AC428/AC427)</f>
        <v>0.27619224752501476</v>
      </c>
      <c r="AE428" s="170"/>
      <c r="AF428" s="170"/>
      <c r="AG428" s="121">
        <f t="shared" ref="AG428:AG443" si="1225">+(AC428*1000)/AZ428</f>
        <v>359.34438826370672</v>
      </c>
      <c r="AH428" s="119">
        <f>+AZ428/$BB$44</f>
        <v>4.093085217670124E-4</v>
      </c>
      <c r="AI428" s="119">
        <f>+AZ428/$BC$44</f>
        <v>1.7446759133237148E-3</v>
      </c>
      <c r="AJ428" s="176">
        <f>+AH428*AG428</f>
        <v>0.14708272036548917</v>
      </c>
      <c r="AK428" s="176">
        <f>+AI428*AG428</f>
        <v>0.62693949879173416</v>
      </c>
      <c r="AL428" s="120">
        <f t="shared" si="1213"/>
        <v>0.31351014847891334</v>
      </c>
      <c r="AM428" s="120">
        <f t="shared" si="1214"/>
        <v>0.45402125061606985</v>
      </c>
      <c r="AN428" s="120">
        <f t="shared" si="1215"/>
        <v>0.23246860090501689</v>
      </c>
      <c r="AO428" s="120">
        <f t="shared" si="1219"/>
        <v>0.26754098268544779</v>
      </c>
      <c r="AP428" s="173">
        <f>+AP427*EXP(AO428)</f>
        <v>130.674718274746</v>
      </c>
      <c r="AQ428" s="175">
        <f>LN(AP428/AP427)</f>
        <v>0.26754098268544785</v>
      </c>
      <c r="AR428" s="177">
        <f>+AC428/$AE$44</f>
        <v>6.5001967291697567E-4</v>
      </c>
      <c r="AS428" s="177">
        <f>+AR428*AQ428</f>
        <v>1.7390690205708106E-4</v>
      </c>
      <c r="AT428" s="177"/>
      <c r="AU428" s="177"/>
      <c r="AV428" s="177"/>
      <c r="AW428" s="190"/>
      <c r="AX428" s="120"/>
      <c r="AY428" s="120"/>
      <c r="AZ428" s="118">
        <f>IFERROR(INDEX('Total Customers'!$F$7:$AB$91,MATCH($C428,'Total Customers'!$D$7:$D$91,0),MATCH($G428,'Total Customers'!$F$5:$AB$5,0)),"NA")</f>
        <v>14389</v>
      </c>
      <c r="BA428" s="119">
        <f t="shared" si="1194"/>
        <v>-0.22529565738973223</v>
      </c>
      <c r="BB428" s="119"/>
      <c r="BC428" s="121">
        <v>8247377</v>
      </c>
      <c r="BD428" s="119"/>
      <c r="BE428" s="119"/>
      <c r="BF428" s="119"/>
      <c r="BG428" s="173"/>
      <c r="BH428" s="173"/>
      <c r="BI428" s="173"/>
      <c r="BJ428" s="173"/>
      <c r="BK428" s="173"/>
      <c r="BL428" s="173"/>
      <c r="BM428" s="173"/>
      <c r="BN428" s="173"/>
      <c r="BO428" s="173"/>
      <c r="BP428" s="173"/>
      <c r="BQ428" s="118"/>
      <c r="BR428" s="118"/>
      <c r="BS428" s="118">
        <f>INDEX('Dist. Plant Gas Additions'!$F$7:$AE$91,MATCH($C428,'Dist. Plant Gas Additions'!$D$7:$D$91,0),MATCH(Calculation!$G428,'Dist. Plant Gas Additions'!$F$5:$AE$5,0))</f>
        <v>1885</v>
      </c>
      <c r="BT428" s="118">
        <f>INDEX('Gen. Plant Additions'!$F$7:$AE$91,MATCH($C428,'Gen. Plant Additions'!$D$7:$D$91,0),MATCH(Calculation!$G428,'Gen. Plant Additions'!$F$5:$AE$5,0))</f>
        <v>108</v>
      </c>
      <c r="BU428" s="118"/>
      <c r="BV428" s="118"/>
      <c r="BW428" s="118">
        <f>INDEX('Dist Plant Depreciation'!$E$7:$AD$94,MATCH($C428,'Dist Plant Depreciation'!$D$7:$D$94,0),MATCH(Calculation!$G428,'Dist Plant Depreciation'!$E$5:$AD$5,0))</f>
        <v>4561</v>
      </c>
      <c r="BX428" s="118">
        <f>INDEX('Gen. Plant Depreciation'!$E$7:$AD$94,MATCH($C428,'Gen. Plant Depreciation'!$D$7:$D$94,0),MATCH(Calculation!$G428,'Gen. Plant Depreciation'!$E$5:$AD$5,0))</f>
        <v>3321</v>
      </c>
      <c r="BY428" s="118"/>
      <c r="BZ428" s="118"/>
      <c r="CA428" s="118"/>
      <c r="CB428" s="118"/>
      <c r="CC428" s="118"/>
      <c r="CD428" s="118"/>
      <c r="CE428" s="118">
        <f>INDEX('Gross Dx Plant'!$E$7:$AD$91,MATCH($C428,'Gross Dx Plant'!$D$7:$D$91,0),MATCH(Calculation!$G428,'Gross Dx Plant'!$E$5:$AD$5,0))</f>
        <v>16909</v>
      </c>
      <c r="CF428" s="118">
        <f>INDEX('Gross Gen Plant'!$E$7:$AD$91,MATCH($C428,'Gross Gen Plant'!$D$7:$D$91,0),MATCH(Calculation!$G428,'Gross Gen Plant'!$E$5:$AD$5,0))</f>
        <v>7233</v>
      </c>
      <c r="CG428" s="118">
        <f t="shared" si="1177"/>
        <v>16260</v>
      </c>
      <c r="CH428" s="119" t="e">
        <f>SUM(#REF!)/15</f>
        <v>#REF!</v>
      </c>
      <c r="CI428" s="121">
        <v>2006</v>
      </c>
      <c r="CJ428" s="118"/>
      <c r="CK428" s="118"/>
      <c r="CL428" s="118"/>
      <c r="CM428" s="183"/>
      <c r="CN428" s="118">
        <f t="shared" si="1195"/>
        <v>1993</v>
      </c>
      <c r="CO428" s="118">
        <f t="shared" si="1196"/>
        <v>4.32240713141453</v>
      </c>
      <c r="CP428" s="186">
        <v>0.9555555555555556</v>
      </c>
      <c r="CQ428" s="118">
        <f>+CQ420*CP428+CO421*CP427+CO422*CP426+CO423*CP425+CO424*CP424+CO425*CP423+CO426*CP422+CO427*CP421+CO428</f>
        <v>78.752205958722399</v>
      </c>
      <c r="CR428" s="119">
        <f t="shared" si="1197"/>
        <v>5.0175181789987665E-2</v>
      </c>
      <c r="CS428" s="119"/>
      <c r="CT428" s="177">
        <f t="shared" si="1198"/>
        <v>6.2550792023583204E-3</v>
      </c>
      <c r="CU428" s="177">
        <f t="shared" si="1206"/>
        <v>6.0562633448950909E-3</v>
      </c>
      <c r="CV428" s="119">
        <f>VLOOKUP($H428,RoR!$E:$F,2,FALSE)</f>
        <v>5.5874999999999994E-2</v>
      </c>
      <c r="CW428" s="177">
        <v>3.0512430354548314E-2</v>
      </c>
      <c r="CX428" s="177">
        <f t="shared" si="1204"/>
        <v>2.536256964545168E-2</v>
      </c>
      <c r="CY428" s="177">
        <f t="shared" si="1207"/>
        <v>2.4845678263638534E-2</v>
      </c>
      <c r="CZ428" s="177">
        <f t="shared" si="1208"/>
        <v>7.9087823893859641E-2</v>
      </c>
      <c r="DA428" s="187">
        <f t="shared" si="1199"/>
        <v>0.85131374874999999</v>
      </c>
      <c r="DB428" s="188">
        <f t="shared" si="1200"/>
        <v>0.91779957551769631</v>
      </c>
      <c r="DC428" s="188">
        <f t="shared" si="1201"/>
        <v>0.52757270693512304</v>
      </c>
      <c r="DD428" s="188">
        <f t="shared" si="1202"/>
        <v>0.88636824549024895</v>
      </c>
      <c r="DE428" s="188">
        <f t="shared" si="1203"/>
        <v>0.42918482841932087</v>
      </c>
      <c r="DF428" s="189">
        <f>INDEX('State Tax Lookup'!$D$7:$Z$91,MATCH(Calculation!$C428,'State Tax Lookup'!$B$7:$B$91,0),MATCH($H428,'State Tax Lookup'!$D$6:$Z$6,0))</f>
        <v>0.39649667</v>
      </c>
      <c r="DG428" s="189">
        <v>0.375</v>
      </c>
      <c r="DH428" s="190">
        <f t="shared" si="1205"/>
        <v>16.048478259324412</v>
      </c>
      <c r="DI428" s="190">
        <v>15.578929711119983</v>
      </c>
      <c r="DJ428" s="177"/>
      <c r="DK428" s="189">
        <f>VLOOKUP($H428,RoR!$E:$F,2,FALSE)</f>
        <v>5.5874999999999994E-2</v>
      </c>
      <c r="DL428" s="191">
        <f>HLOOKUP($H428,'GDP-PI'!$D$8:$CQ$11,3,FALSE)</f>
        <v>3.0512430354548314E-2</v>
      </c>
      <c r="DM428" s="189">
        <f>VLOOKUP(H428,'HW Dx Data'!$E:$F,2,FALSE)</f>
        <v>461.08567272971823</v>
      </c>
      <c r="DN428" s="183">
        <f>VLOOKUP(H428,'ECI - Input Price'!$G$17:$H$37,2,FALSE)</f>
        <v>102.05</v>
      </c>
      <c r="DO428" s="177">
        <f t="shared" ref="DO428" si="1226">LN(DN428/DN427)</f>
        <v>2.8829034290048662E-2</v>
      </c>
      <c r="DP428" s="183">
        <f>HLOOKUP(H428,'GDP-PI'!$8:$9,2,FALSE)</f>
        <v>90.073999999999998</v>
      </c>
      <c r="DQ428" s="177">
        <f t="shared" ref="DQ428" si="1227">LN(DP428/DP427)</f>
        <v>3.005618372545445E-2</v>
      </c>
      <c r="DR428" s="167">
        <v>0.11665754067445543</v>
      </c>
    </row>
    <row r="429" spans="1:122" s="167" customFormat="1" ht="21" x14ac:dyDescent="0.35">
      <c r="A429" s="167" t="s">
        <v>53</v>
      </c>
      <c r="B429" s="168" t="s">
        <v>53</v>
      </c>
      <c r="C429" s="168">
        <v>4059459</v>
      </c>
      <c r="D429" s="168" t="s">
        <v>136</v>
      </c>
      <c r="E429" s="168" t="s">
        <v>126</v>
      </c>
      <c r="F429" s="168"/>
      <c r="G429" s="168" t="s">
        <v>13</v>
      </c>
      <c r="H429" s="169">
        <v>2007</v>
      </c>
      <c r="I429" s="170"/>
      <c r="J429" s="166">
        <f>IFERROR(INDEX('Labor Expenditures'!$F$7:$X$91,MATCH($C429,'Labor Expenditures'!$D$7:$D$91,0),MATCH($G429,'Labor Expenditures'!$F$5:$X$5,0)),"NA")</f>
        <v>1713.6087540880446</v>
      </c>
      <c r="K429" s="166">
        <f t="shared" si="1211"/>
        <v>16.285186543958609</v>
      </c>
      <c r="L429" s="172">
        <f t="shared" si="1218"/>
        <v>2.4897077542744308E-2</v>
      </c>
      <c r="M429" s="172">
        <f t="shared" si="1222"/>
        <v>1.6452631238299425E-5</v>
      </c>
      <c r="N429" s="196"/>
      <c r="O429" s="172"/>
      <c r="P429" s="166">
        <f>IFERROR(INDEX('Non-Labor Expenditures'!$F$7:$AB$91,MATCH($C429,'Non-Labor Expenditures'!$D$7:$D$91,0),MATCH($G429,'Non-Labor Expenditures'!$F$5:$AB$5,0)),"NA")</f>
        <v>2481.6255338861183</v>
      </c>
      <c r="Q429" s="166">
        <f t="shared" si="1212"/>
        <v>26.828964235833404</v>
      </c>
      <c r="R429" s="172">
        <f t="shared" si="1223"/>
        <v>2.8979634993487241E-2</v>
      </c>
      <c r="S429" s="172">
        <f t="shared" ref="S429:S443" si="1228">+R429*AR429</f>
        <v>1.9150490540497733E-5</v>
      </c>
      <c r="T429" s="172"/>
      <c r="U429" s="172"/>
      <c r="V429" s="166">
        <f t="shared" si="1193"/>
        <v>1356.9971384383916</v>
      </c>
      <c r="W429" s="170"/>
      <c r="X429" s="174">
        <v>81.720243627475568</v>
      </c>
      <c r="Y429" s="175">
        <v>3.6995461703957615E-2</v>
      </c>
      <c r="Z429" s="175">
        <f t="shared" ref="Z429:Z443" si="1229">+Y429*AR429</f>
        <v>2.4447555656315459E-5</v>
      </c>
      <c r="AA429" s="175"/>
      <c r="AB429" s="175"/>
      <c r="AC429" s="170">
        <f t="shared" si="1086"/>
        <v>5552.2314264125544</v>
      </c>
      <c r="AD429" s="175">
        <f t="shared" si="1224"/>
        <v>7.1209931528333048E-2</v>
      </c>
      <c r="AE429" s="170"/>
      <c r="AF429" s="170"/>
      <c r="AG429" s="121">
        <f t="shared" si="1225"/>
        <v>381.83284687521865</v>
      </c>
      <c r="AH429" s="119">
        <f>+AZ429/$BB$45</f>
        <v>4.1053097685154566E-4</v>
      </c>
      <c r="AI429" s="119">
        <f>+AZ429/$BC$45</f>
        <v>1.7759442543299709E-3</v>
      </c>
      <c r="AJ429" s="176">
        <f t="shared" ref="AJ429:AJ443" si="1230">+AH429*AG429</f>
        <v>0.15675421162169018</v>
      </c>
      <c r="AK429" s="176">
        <f t="shared" ref="AK429:AK443" si="1231">+AI429*AG429</f>
        <v>0.67811385052250017</v>
      </c>
      <c r="AL429" s="120">
        <f t="shared" si="1213"/>
        <v>0.30863424495171904</v>
      </c>
      <c r="AM429" s="120">
        <f t="shared" si="1214"/>
        <v>0.44696003161553427</v>
      </c>
      <c r="AN429" s="120">
        <f t="shared" si="1215"/>
        <v>0.24440572343274672</v>
      </c>
      <c r="AO429" s="120">
        <f t="shared" si="1219"/>
        <v>2.9620935852350233E-2</v>
      </c>
      <c r="AP429" s="173">
        <f>+AP428*EXP(AO429)</f>
        <v>134.60332295365151</v>
      </c>
      <c r="AQ429" s="175">
        <f>LN(AP429/AP428)</f>
        <v>2.9620935852350296E-2</v>
      </c>
      <c r="AR429" s="177">
        <f>+AC429/$AE$45</f>
        <v>6.6082580214697425E-4</v>
      </c>
      <c r="AS429" s="177">
        <f t="shared" ref="AS429:AS443" si="1232">+AR429*AQ429</f>
        <v>1.9574278694973453E-5</v>
      </c>
      <c r="AT429" s="177"/>
      <c r="AU429" s="177"/>
      <c r="AV429" s="177"/>
      <c r="AW429" s="190"/>
      <c r="AX429" s="120"/>
      <c r="AY429" s="120"/>
      <c r="AZ429" s="118">
        <f>IFERROR(INDEX('Total Customers'!$F$7:$AB$91,MATCH($C429,'Total Customers'!$D$7:$D$91,0),MATCH($G429,'Total Customers'!$F$5:$AB$5,0)),"NA")</f>
        <v>14541</v>
      </c>
      <c r="BA429" s="119">
        <f t="shared" si="1194"/>
        <v>1.0508219750068106E-2</v>
      </c>
      <c r="BB429" s="119"/>
      <c r="BC429" s="121">
        <v>8187757</v>
      </c>
      <c r="BD429" s="119"/>
      <c r="BE429" s="119"/>
      <c r="BF429" s="119"/>
      <c r="BG429" s="173"/>
      <c r="BH429" s="173"/>
      <c r="BI429" s="173"/>
      <c r="BJ429" s="173"/>
      <c r="BK429" s="173"/>
      <c r="BL429" s="173"/>
      <c r="BM429" s="173"/>
      <c r="BN429" s="173"/>
      <c r="BO429" s="173"/>
      <c r="BP429" s="173"/>
      <c r="BQ429" s="118"/>
      <c r="BR429" s="118"/>
      <c r="BS429" s="118">
        <f>INDEX('Dist. Plant Gas Additions'!$F$7:$AE$91,MATCH($C429,'Dist. Plant Gas Additions'!$D$7:$D$91,0),MATCH(Calculation!$G429,'Dist. Plant Gas Additions'!$F$5:$AE$5,0))</f>
        <v>1429</v>
      </c>
      <c r="BT429" s="118">
        <f>INDEX('Gen. Plant Additions'!$F$7:$AE$91,MATCH($C429,'Gen. Plant Additions'!$D$7:$D$91,0),MATCH(Calculation!$G429,'Gen. Plant Additions'!$F$5:$AE$5,0))</f>
        <v>301</v>
      </c>
      <c r="BU429" s="118"/>
      <c r="BV429" s="118"/>
      <c r="BW429" s="118">
        <f>INDEX('Dist Plant Depreciation'!$E$7:$AD$94,MATCH($C429,'Dist Plant Depreciation'!$D$7:$D$94,0),MATCH(Calculation!$G429,'Dist Plant Depreciation'!$E$5:$AD$5,0))</f>
        <v>4861</v>
      </c>
      <c r="BX429" s="118">
        <f>INDEX('Gen. Plant Depreciation'!$E$7:$AD$94,MATCH($C429,'Gen. Plant Depreciation'!$D$7:$D$94,0),MATCH(Calculation!$G429,'Gen. Plant Depreciation'!$E$5:$AD$5,0))</f>
        <v>3501</v>
      </c>
      <c r="BY429" s="118"/>
      <c r="BZ429" s="118"/>
      <c r="CA429" s="118"/>
      <c r="CB429" s="118"/>
      <c r="CC429" s="118"/>
      <c r="CD429" s="118"/>
      <c r="CE429" s="118">
        <f>INDEX('Gross Dx Plant'!$E$7:$AD$91,MATCH($C429,'Gross Dx Plant'!$D$7:$D$91,0),MATCH(Calculation!$G429,'Gross Dx Plant'!$E$5:$AD$5,0))</f>
        <v>18287</v>
      </c>
      <c r="CF429" s="118">
        <f>INDEX('Gross Gen Plant'!$E$7:$AD$91,MATCH($C429,'Gross Gen Plant'!$D$7:$D$91,0),MATCH(Calculation!$G429,'Gross Gen Plant'!$E$5:$AD$5,0))</f>
        <v>7497</v>
      </c>
      <c r="CG429" s="118">
        <f t="shared" si="1177"/>
        <v>17422</v>
      </c>
      <c r="CH429" s="118"/>
      <c r="CI429" s="121">
        <v>2007</v>
      </c>
      <c r="CJ429" s="118"/>
      <c r="CK429" s="118"/>
      <c r="CL429" s="118"/>
      <c r="CM429" s="183"/>
      <c r="CN429" s="118">
        <f t="shared" si="1195"/>
        <v>1730</v>
      </c>
      <c r="CO429" s="118">
        <f t="shared" si="1196"/>
        <v>3.4737399233648998</v>
      </c>
      <c r="CP429" s="186">
        <v>0.94915254237288138</v>
      </c>
      <c r="CQ429" s="118">
        <f>+CQ420*CP429+CO421*CP428+CO422*CP427+CO423*CP426+CO424*CP425+CO425*CP424+CO426*CP423+CO427*CP422+CO428*CP421+CO429</f>
        <v>81.720243627475568</v>
      </c>
      <c r="CR429" s="119">
        <f t="shared" si="1197"/>
        <v>3.6995461703957615E-2</v>
      </c>
      <c r="CS429" s="119"/>
      <c r="CT429" s="177">
        <f t="shared" si="1198"/>
        <v>6.421436053191858E-3</v>
      </c>
      <c r="CU429" s="177">
        <f t="shared" si="1206"/>
        <v>6.2445446205877699E-3</v>
      </c>
      <c r="CV429" s="119">
        <f>VLOOKUP($H429,RoR!$E:$F,2,FALSE)</f>
        <v>5.5558333333333321E-2</v>
      </c>
      <c r="CW429" s="177">
        <v>2.691120634145272E-2</v>
      </c>
      <c r="CX429" s="177">
        <f t="shared" si="1204"/>
        <v>2.86471269918806E-2</v>
      </c>
      <c r="CY429" s="177">
        <f t="shared" si="1207"/>
        <v>2.4657396987945855E-2</v>
      </c>
      <c r="CZ429" s="177">
        <f t="shared" si="1208"/>
        <v>6.4575155250632399E-2</v>
      </c>
      <c r="DA429" s="187">
        <f t="shared" si="1199"/>
        <v>0.85131374874999999</v>
      </c>
      <c r="DB429" s="188">
        <f t="shared" si="1200"/>
        <v>0.92303077153834634</v>
      </c>
      <c r="DC429" s="188">
        <f t="shared" si="1201"/>
        <v>0.52502249887505614</v>
      </c>
      <c r="DD429" s="188">
        <f t="shared" si="1202"/>
        <v>0.88499666072084604</v>
      </c>
      <c r="DE429" s="188">
        <f t="shared" si="1203"/>
        <v>0.42887993290280618</v>
      </c>
      <c r="DF429" s="189">
        <f>INDEX('State Tax Lookup'!$D$7:$Z$91,MATCH(Calculation!$C429,'State Tax Lookup'!$B$7:$B$91,0),MATCH($H429,'State Tax Lookup'!$D$6:$Z$6,0))</f>
        <v>0.39649667</v>
      </c>
      <c r="DG429" s="189">
        <v>0.375</v>
      </c>
      <c r="DH429" s="190">
        <f t="shared" si="1205"/>
        <v>17.231227010322165</v>
      </c>
      <c r="DI429" s="190">
        <v>16.997055188051846</v>
      </c>
      <c r="DJ429" s="177"/>
      <c r="DK429" s="189">
        <f>VLOOKUP($H429,RoR!$E:$F,2,FALSE)</f>
        <v>5.5558333333333321E-2</v>
      </c>
      <c r="DL429" s="191">
        <f>HLOOKUP($H429,'GDP-PI'!$D$8:$CQ$11,3,FALSE)</f>
        <v>2.691120634145272E-2</v>
      </c>
      <c r="DM429" s="189">
        <f>VLOOKUP(H429,'HW Dx Data'!$E:$F,2,FALSE)</f>
        <v>498.0223154772637</v>
      </c>
      <c r="DN429" s="183">
        <f>VLOOKUP(H429,'ECI - Input Price'!$G$17:$H$37,2,FALSE)</f>
        <v>105.22500000000001</v>
      </c>
      <c r="DO429" s="177">
        <f t="shared" ref="DO429" si="1233">LN(DN429/DN428)</f>
        <v>3.0638025400780679E-2</v>
      </c>
      <c r="DP429" s="183">
        <f>HLOOKUP(H429,'GDP-PI'!$8:$9,2,FALSE)</f>
        <v>92.498000000000005</v>
      </c>
      <c r="DQ429" s="177">
        <f t="shared" ref="DQ429" si="1234">LN(DP429/DP428)</f>
        <v>2.6555467950038037E-2</v>
      </c>
      <c r="DR429" s="167">
        <v>3.7564126000317624E-2</v>
      </c>
    </row>
    <row r="430" spans="1:122" s="167" customFormat="1" ht="21" x14ac:dyDescent="0.35">
      <c r="A430" s="167" t="s">
        <v>53</v>
      </c>
      <c r="B430" s="168" t="s">
        <v>53</v>
      </c>
      <c r="C430" s="168">
        <v>4059459</v>
      </c>
      <c r="D430" s="168" t="s">
        <v>136</v>
      </c>
      <c r="E430" s="168" t="s">
        <v>126</v>
      </c>
      <c r="F430" s="168"/>
      <c r="G430" s="168" t="s">
        <v>14</v>
      </c>
      <c r="H430" s="169">
        <v>2008</v>
      </c>
      <c r="I430" s="170"/>
      <c r="J430" s="166">
        <f>IFERROR(INDEX('Labor Expenditures'!$F$7:$X$91,MATCH($C430,'Labor Expenditures'!$D$7:$D$91,0),MATCH($G430,'Labor Expenditures'!$F$5:$X$5,0)),"NA")</f>
        <v>1841.0861245779301</v>
      </c>
      <c r="K430" s="166">
        <f t="shared" si="1211"/>
        <v>17.011652802752877</v>
      </c>
      <c r="L430" s="172">
        <f t="shared" si="1218"/>
        <v>4.3642674603370693E-2</v>
      </c>
      <c r="M430" s="172">
        <f t="shared" si="1222"/>
        <v>2.9673672360943033E-5</v>
      </c>
      <c r="N430" s="196"/>
      <c r="O430" s="172"/>
      <c r="P430" s="166">
        <f>IFERROR(INDEX('Non-Labor Expenditures'!$F$7:$AB$91,MATCH($C430,'Non-Labor Expenditures'!$D$7:$D$91,0),MATCH($G430,'Non-Labor Expenditures'!$F$5:$AB$5,0)),"NA")</f>
        <v>2666.2365758440105</v>
      </c>
      <c r="Q430" s="166">
        <f t="shared" si="1212"/>
        <v>28.284780784223145</v>
      </c>
      <c r="R430" s="172">
        <f t="shared" si="1223"/>
        <v>5.2841819526748067E-2</v>
      </c>
      <c r="S430" s="172">
        <f t="shared" si="1228"/>
        <v>3.592838555022245E-5</v>
      </c>
      <c r="T430" s="172"/>
      <c r="U430" s="172"/>
      <c r="V430" s="166">
        <f t="shared" si="1193"/>
        <v>1599.7795269831406</v>
      </c>
      <c r="W430" s="170"/>
      <c r="X430" s="174">
        <v>90.5732866552421</v>
      </c>
      <c r="Y430" s="175">
        <v>0.10285756910083078</v>
      </c>
      <c r="Z430" s="175">
        <f t="shared" si="1229"/>
        <v>6.9935260225902391E-5</v>
      </c>
      <c r="AA430" s="175"/>
      <c r="AB430" s="175"/>
      <c r="AC430" s="170">
        <f t="shared" si="1086"/>
        <v>6107.1022274050811</v>
      </c>
      <c r="AD430" s="175">
        <f t="shared" si="1224"/>
        <v>9.5252487715336551E-2</v>
      </c>
      <c r="AE430" s="170"/>
      <c r="AF430" s="170"/>
      <c r="AG430" s="121">
        <f t="shared" si="1225"/>
        <v>418.61006425423824</v>
      </c>
      <c r="AH430" s="119">
        <f>+AZ430/$BB$46</f>
        <v>4.096900164284493E-4</v>
      </c>
      <c r="AI430" s="119">
        <f>+AZ430/$BC$46</f>
        <v>1.7696276867828135E-3</v>
      </c>
      <c r="AJ430" s="176">
        <f t="shared" si="1230"/>
        <v>0.17150036410143307</v>
      </c>
      <c r="AK430" s="176">
        <f t="shared" si="1231"/>
        <v>0.74078395967023258</v>
      </c>
      <c r="AL430" s="120">
        <f t="shared" si="1213"/>
        <v>0.3014664002702</v>
      </c>
      <c r="AM430" s="120">
        <f t="shared" si="1214"/>
        <v>0.43657965374797719</v>
      </c>
      <c r="AN430" s="120">
        <f t="shared" si="1215"/>
        <v>0.26195394598182287</v>
      </c>
      <c r="AO430" s="120">
        <f t="shared" si="1219"/>
        <v>6.2698596610054044E-2</v>
      </c>
      <c r="AP430" s="173">
        <f t="shared" ref="AP430:AP443" si="1235">+AP429*EXP(AO430)</f>
        <v>143.31295007616686</v>
      </c>
      <c r="AQ430" s="175">
        <f t="shared" ref="AQ430:AQ443" si="1236">LN(AP430/AP429)</f>
        <v>6.2698596610053947E-2</v>
      </c>
      <c r="AR430" s="177">
        <f>+AC430/$AE$46</f>
        <v>6.7992332345853115E-4</v>
      </c>
      <c r="AS430" s="177">
        <f t="shared" si="1232"/>
        <v>4.2630238183293675E-5</v>
      </c>
      <c r="AT430" s="177"/>
      <c r="AU430" s="177"/>
      <c r="AV430" s="177"/>
      <c r="AW430" s="190"/>
      <c r="AX430" s="120"/>
      <c r="AY430" s="120"/>
      <c r="AZ430" s="118">
        <f>IFERROR(INDEX('Total Customers'!$F$7:$AB$91,MATCH($C430,'Total Customers'!$D$7:$D$91,0),MATCH($G430,'Total Customers'!$F$5:$AB$5,0)),"NA")</f>
        <v>14589</v>
      </c>
      <c r="BA430" s="119">
        <f t="shared" si="1194"/>
        <v>3.2955745584098647E-3</v>
      </c>
      <c r="BB430" s="119"/>
      <c r="BC430" s="121">
        <v>8244107</v>
      </c>
      <c r="BD430" s="119"/>
      <c r="BE430" s="119"/>
      <c r="BF430" s="119"/>
      <c r="BG430" s="173"/>
      <c r="BH430" s="173"/>
      <c r="BI430" s="173"/>
      <c r="BJ430" s="173"/>
      <c r="BK430" s="173"/>
      <c r="BL430" s="173"/>
      <c r="BM430" s="173"/>
      <c r="BN430" s="173"/>
      <c r="BO430" s="173"/>
      <c r="BP430" s="173"/>
      <c r="BQ430" s="118"/>
      <c r="BR430" s="118"/>
      <c r="BS430" s="118">
        <f>INDEX('Dist. Plant Gas Additions'!$F$7:$AE$91,MATCH($C430,'Dist. Plant Gas Additions'!$D$7:$D$91,0),MATCH(Calculation!$G430,'Dist. Plant Gas Additions'!$F$5:$AE$5,0))</f>
        <v>5152</v>
      </c>
      <c r="BT430" s="118">
        <f>INDEX('Gen. Plant Additions'!$F$7:$AE$91,MATCH($C430,'Gen. Plant Additions'!$D$7:$D$91,0),MATCH(Calculation!$G430,'Gen. Plant Additions'!$F$5:$AE$5,0))</f>
        <v>201</v>
      </c>
      <c r="BU430" s="118"/>
      <c r="BV430" s="118"/>
      <c r="BW430" s="118">
        <f>INDEX('Dist Plant Depreciation'!$E$7:$AD$94,MATCH($C430,'Dist Plant Depreciation'!$D$7:$D$94,0),MATCH(Calculation!$G430,'Dist Plant Depreciation'!$E$5:$AD$5,0))</f>
        <v>5174</v>
      </c>
      <c r="BX430" s="118">
        <f>INDEX('Gen. Plant Depreciation'!$E$7:$AD$94,MATCH($C430,'Gen. Plant Depreciation'!$D$7:$D$94,0),MATCH(Calculation!$G430,'Gen. Plant Depreciation'!$E$5:$AD$5,0))</f>
        <v>3687</v>
      </c>
      <c r="BY430" s="118"/>
      <c r="BZ430" s="118"/>
      <c r="CA430" s="118"/>
      <c r="CB430" s="118"/>
      <c r="CC430" s="118"/>
      <c r="CD430" s="118"/>
      <c r="CE430" s="118">
        <f>INDEX('Gross Dx Plant'!$E$7:$AD$91,MATCH($C430,'Gross Dx Plant'!$D$7:$D$91,0),MATCH(Calculation!$G430,'Gross Dx Plant'!$E$5:$AD$5,0))</f>
        <v>23356</v>
      </c>
      <c r="CF430" s="118">
        <f>INDEX('Gross Gen Plant'!$E$7:$AD$91,MATCH($C430,'Gross Gen Plant'!$D$7:$D$91,0),MATCH(Calculation!$G430,'Gross Gen Plant'!$E$5:$AD$5,0))</f>
        <v>7635</v>
      </c>
      <c r="CG430" s="118">
        <f t="shared" si="1177"/>
        <v>22130</v>
      </c>
      <c r="CH430" s="118"/>
      <c r="CI430" s="121">
        <v>2008</v>
      </c>
      <c r="CJ430" s="118"/>
      <c r="CK430" s="118"/>
      <c r="CL430" s="118"/>
      <c r="CM430" s="183"/>
      <c r="CN430" s="118">
        <f t="shared" si="1195"/>
        <v>5353</v>
      </c>
      <c r="CO430" s="118">
        <f t="shared" si="1196"/>
        <v>9.3931857528767573</v>
      </c>
      <c r="CP430" s="186">
        <v>0.94252873563218387</v>
      </c>
      <c r="CQ430" s="118">
        <f>+CQ420*CP430+CO421*CP429+CO422*CP428+CO423*CP427+CO424*CP426+CO425*CP425+CO426*CP424+CO427*CP423+CO428*CP422+CO429*CP421+CO430</f>
        <v>90.5732866552421</v>
      </c>
      <c r="CR430" s="119">
        <f t="shared" si="1197"/>
        <v>0.10285756910083078</v>
      </c>
      <c r="CS430" s="119"/>
      <c r="CT430" s="177">
        <f t="shared" si="1198"/>
        <v>6.6096563242332464E-3</v>
      </c>
      <c r="CU430" s="177">
        <f t="shared" si="1206"/>
        <v>6.4287238599278077E-3</v>
      </c>
      <c r="CV430" s="119">
        <f>VLOOKUP($H430,RoR!$E:$F,2,FALSE)</f>
        <v>5.6316666666666668E-2</v>
      </c>
      <c r="CW430" s="177">
        <v>1.9092304698479889E-2</v>
      </c>
      <c r="CX430" s="177">
        <f t="shared" si="1204"/>
        <v>3.7224361968186778E-2</v>
      </c>
      <c r="CY430" s="177">
        <f t="shared" si="1207"/>
        <v>2.4473217748605818E-2</v>
      </c>
      <c r="CZ430" s="177">
        <f t="shared" si="1208"/>
        <v>6.9030581091053131E-2</v>
      </c>
      <c r="DA430" s="187">
        <f t="shared" si="1199"/>
        <v>0.85131374874999999</v>
      </c>
      <c r="DB430" s="188">
        <f t="shared" si="1200"/>
        <v>0.91060168006009956</v>
      </c>
      <c r="DC430" s="188">
        <f t="shared" si="1201"/>
        <v>0.53108168097070152</v>
      </c>
      <c r="DD430" s="188">
        <f t="shared" si="1202"/>
        <v>0.88825329850328805</v>
      </c>
      <c r="DE430" s="188">
        <f t="shared" si="1203"/>
        <v>0.4295627335323573</v>
      </c>
      <c r="DF430" s="189">
        <f>INDEX('State Tax Lookup'!$D$7:$Z$91,MATCH(Calculation!$C430,'State Tax Lookup'!$B$7:$B$91,0),MATCH($H430,'State Tax Lookup'!$D$6:$Z$6,0))</f>
        <v>0.39649667</v>
      </c>
      <c r="DG430" s="189">
        <v>0.375</v>
      </c>
      <c r="DH430" s="190">
        <f t="shared" si="1205"/>
        <v>19.576294146598343</v>
      </c>
      <c r="DI430" s="190">
        <v>19.32032672977973</v>
      </c>
      <c r="DJ430" s="177"/>
      <c r="DK430" s="189">
        <f>VLOOKUP($H430,RoR!$E:$F,2,FALSE)</f>
        <v>5.6316666666666668E-2</v>
      </c>
      <c r="DL430" s="191">
        <f>HLOOKUP($H430,'GDP-PI'!$D$8:$CQ$11,3,FALSE)</f>
        <v>1.9092304698479889E-2</v>
      </c>
      <c r="DM430" s="189">
        <f>VLOOKUP(H430,'HW Dx Data'!$E:$F,2,FALSE)</f>
        <v>569.88120333515076</v>
      </c>
      <c r="DN430" s="183">
        <f>VLOOKUP(H430,'ECI - Input Price'!$G$17:$H$37,2,FALSE)</f>
        <v>108.22499999999999</v>
      </c>
      <c r="DO430" s="177">
        <f t="shared" ref="DO430" si="1237">LN(DN430/DN429)</f>
        <v>2.8111478671409691E-2</v>
      </c>
      <c r="DP430" s="183">
        <f>HLOOKUP(H430,'GDP-PI'!$8:$9,2,FALSE)</f>
        <v>94.263999999999996</v>
      </c>
      <c r="DQ430" s="177">
        <f t="shared" ref="DQ430" si="1238">LN(DP430/DP429)</f>
        <v>1.8912333748032254E-2</v>
      </c>
      <c r="DR430" s="167">
        <v>1.1105433028856712E-2</v>
      </c>
    </row>
    <row r="431" spans="1:122" s="167" customFormat="1" ht="21" x14ac:dyDescent="0.35">
      <c r="A431" s="167" t="s">
        <v>53</v>
      </c>
      <c r="B431" s="168" t="s">
        <v>53</v>
      </c>
      <c r="C431" s="168">
        <v>4059459</v>
      </c>
      <c r="D431" s="168" t="s">
        <v>136</v>
      </c>
      <c r="E431" s="168" t="s">
        <v>126</v>
      </c>
      <c r="F431" s="168"/>
      <c r="G431" s="168" t="s">
        <v>15</v>
      </c>
      <c r="H431" s="169">
        <v>2009</v>
      </c>
      <c r="I431" s="170"/>
      <c r="J431" s="166">
        <f>IFERROR(INDEX('Labor Expenditures'!$F$7:$X$91,MATCH($C431,'Labor Expenditures'!$D$7:$D$91,0),MATCH($G431,'Labor Expenditures'!$F$5:$X$5,0)),"NA")</f>
        <v>2019.4924785226083</v>
      </c>
      <c r="K431" s="166">
        <f t="shared" si="1211"/>
        <v>18.396652047575571</v>
      </c>
      <c r="L431" s="172">
        <f t="shared" si="1218"/>
        <v>7.8270125901234944E-2</v>
      </c>
      <c r="M431" s="172">
        <f t="shared" si="1222"/>
        <v>5.5543821388505308E-5</v>
      </c>
      <c r="N431" s="196"/>
      <c r="O431" s="172"/>
      <c r="P431" s="166">
        <f>IFERROR(INDEX('Non-Labor Expenditures'!$F$7:$AB$91,MATCH($C431,'Non-Labor Expenditures'!$D$7:$D$91,0),MATCH($G431,'Non-Labor Expenditures'!$F$5:$AB$5,0)),"NA")</f>
        <v>2924.6022980664411</v>
      </c>
      <c r="Q431" s="166">
        <f t="shared" si="1212"/>
        <v>30.785611407135246</v>
      </c>
      <c r="R431" s="172">
        <f t="shared" si="1223"/>
        <v>8.4723540202661984E-2</v>
      </c>
      <c r="S431" s="172">
        <f t="shared" si="1228"/>
        <v>6.0123439565647316E-5</v>
      </c>
      <c r="T431" s="172"/>
      <c r="U431" s="172"/>
      <c r="V431" s="166">
        <f t="shared" si="1193"/>
        <v>1704.4661599614253</v>
      </c>
      <c r="W431" s="170"/>
      <c r="X431" s="174">
        <v>98.662061962427686</v>
      </c>
      <c r="Y431" s="175">
        <v>8.5541174974735623E-2</v>
      </c>
      <c r="Z431" s="175">
        <f t="shared" si="1229"/>
        <v>6.0703668091130918E-5</v>
      </c>
      <c r="AA431" s="175"/>
      <c r="AB431" s="175"/>
      <c r="AC431" s="170">
        <f t="shared" si="1086"/>
        <v>6648.5609365504752</v>
      </c>
      <c r="AD431" s="175">
        <f t="shared" si="1224"/>
        <v>8.4948037248300412E-2</v>
      </c>
      <c r="AE431" s="170"/>
      <c r="AF431" s="170"/>
      <c r="AG431" s="121">
        <f t="shared" si="1225"/>
        <v>455.66177345969948</v>
      </c>
      <c r="AH431" s="119">
        <f>+AZ431/$BB$47</f>
        <v>4.0915497208494407E-4</v>
      </c>
      <c r="AI431" s="119">
        <f>+AZ431/$BC$47</f>
        <v>1.7501894009364731E-3</v>
      </c>
      <c r="AJ431" s="176">
        <f t="shared" si="1230"/>
        <v>0.18643628020007944</v>
      </c>
      <c r="AK431" s="176">
        <f t="shared" si="1231"/>
        <v>0.79749440632108237</v>
      </c>
      <c r="AL431" s="120">
        <f t="shared" si="1213"/>
        <v>0.30374881087732009</v>
      </c>
      <c r="AM431" s="120">
        <f t="shared" si="1214"/>
        <v>0.43988501060258545</v>
      </c>
      <c r="AN431" s="120">
        <f t="shared" si="1215"/>
        <v>0.25636617852009441</v>
      </c>
      <c r="AO431" s="120">
        <f t="shared" si="1219"/>
        <v>8.2982586231560851E-2</v>
      </c>
      <c r="AP431" s="173">
        <f t="shared" si="1235"/>
        <v>155.71280039388336</v>
      </c>
      <c r="AQ431" s="175">
        <f t="shared" si="1236"/>
        <v>8.2982586231560809E-2</v>
      </c>
      <c r="AR431" s="177">
        <f>+AC431/$AE$47</f>
        <v>7.0964267335653971E-4</v>
      </c>
      <c r="AS431" s="177">
        <f t="shared" si="1232"/>
        <v>5.8887984335404399E-5</v>
      </c>
      <c r="AT431" s="177"/>
      <c r="AU431" s="177"/>
      <c r="AV431" s="177"/>
      <c r="AW431" s="190"/>
      <c r="AX431" s="120"/>
      <c r="AY431" s="120"/>
      <c r="AZ431" s="118">
        <f>IFERROR(INDEX('Total Customers'!$F$7:$AB$91,MATCH($C431,'Total Customers'!$D$7:$D$91,0),MATCH($G431,'Total Customers'!$F$5:$AB$5,0)),"NA")</f>
        <v>14591</v>
      </c>
      <c r="BA431" s="119">
        <f t="shared" si="1194"/>
        <v>1.3708019212683905E-4</v>
      </c>
      <c r="BB431" s="119"/>
      <c r="BC431" s="121">
        <v>8336812</v>
      </c>
      <c r="BD431" s="119"/>
      <c r="BE431" s="119"/>
      <c r="BF431" s="119"/>
      <c r="BG431" s="173"/>
      <c r="BH431" s="173"/>
      <c r="BI431" s="173"/>
      <c r="BJ431" s="173"/>
      <c r="BK431" s="173"/>
      <c r="BL431" s="173"/>
      <c r="BM431" s="173"/>
      <c r="BN431" s="173"/>
      <c r="BO431" s="173"/>
      <c r="BP431" s="173"/>
      <c r="BQ431" s="118"/>
      <c r="BR431" s="118"/>
      <c r="BS431" s="118">
        <f>INDEX('Dist. Plant Gas Additions'!$F$7:$AE$91,MATCH($C431,'Dist. Plant Gas Additions'!$D$7:$D$91,0),MATCH(Calculation!$G431,'Dist. Plant Gas Additions'!$F$5:$AE$5,0))</f>
        <v>4713</v>
      </c>
      <c r="BT431" s="118">
        <f>INDEX('Gen. Plant Additions'!$F$7:$AE$91,MATCH($C431,'Gen. Plant Additions'!$D$7:$D$91,0),MATCH(Calculation!$G431,'Gen. Plant Additions'!$F$5:$AE$5,0))</f>
        <v>77</v>
      </c>
      <c r="BU431" s="118"/>
      <c r="BV431" s="118"/>
      <c r="BW431" s="118">
        <f>INDEX('Dist Plant Depreciation'!$E$7:$AD$94,MATCH($C431,'Dist Plant Depreciation'!$D$7:$D$94,0),MATCH(Calculation!$G431,'Dist Plant Depreciation'!$E$5:$AD$5,0))</f>
        <v>5815</v>
      </c>
      <c r="BX431" s="118">
        <f>INDEX('Gen. Plant Depreciation'!$E$7:$AD$94,MATCH($C431,'Gen. Plant Depreciation'!$D$7:$D$94,0),MATCH(Calculation!$G431,'Gen. Plant Depreciation'!$E$5:$AD$5,0))</f>
        <v>4916</v>
      </c>
      <c r="BY431" s="118"/>
      <c r="BZ431" s="118"/>
      <c r="CA431" s="118"/>
      <c r="CB431" s="118"/>
      <c r="CC431" s="118"/>
      <c r="CD431" s="118"/>
      <c r="CE431" s="118">
        <f>INDEX('Gross Dx Plant'!$E$7:$AD$91,MATCH($C431,'Gross Dx Plant'!$D$7:$D$91,0),MATCH(Calculation!$G431,'Gross Dx Plant'!$E$5:$AD$5,0))</f>
        <v>27493</v>
      </c>
      <c r="CF431" s="118">
        <f>INDEX('Gross Gen Plant'!$E$7:$AD$91,MATCH($C431,'Gross Gen Plant'!$D$7:$D$91,0),MATCH(Calculation!$G431,'Gross Gen Plant'!$E$5:$AD$5,0))</f>
        <v>7673</v>
      </c>
      <c r="CG431" s="118">
        <f t="shared" si="1177"/>
        <v>24435</v>
      </c>
      <c r="CH431" s="118"/>
      <c r="CI431" s="121">
        <v>2009</v>
      </c>
      <c r="CJ431" s="118"/>
      <c r="CK431" s="118"/>
      <c r="CL431" s="118"/>
      <c r="CM431" s="183"/>
      <c r="CN431" s="118">
        <f t="shared" si="1195"/>
        <v>4790</v>
      </c>
      <c r="CO431" s="118">
        <f t="shared" si="1196"/>
        <v>8.6942216276661259</v>
      </c>
      <c r="CP431" s="186">
        <v>0.93567251461988299</v>
      </c>
      <c r="CQ431" s="118">
        <f>+CQ420*CP431+CO421*CP430+CO422*CP429+CO423*CP428+CO424*CP427+CO425*CP426+CO426*CP425+CO427*CP424+CO428*CP423+CO429*CP422+CO430*CP421+CO431</f>
        <v>98.662061962427686</v>
      </c>
      <c r="CR431" s="119">
        <f t="shared" si="1197"/>
        <v>8.5541174974735623E-2</v>
      </c>
      <c r="CS431" s="119"/>
      <c r="CT431" s="177">
        <f t="shared" si="1198"/>
        <v>6.6846014187948114E-3</v>
      </c>
      <c r="CU431" s="177">
        <f t="shared" si="1206"/>
        <v>6.571897932073305E-3</v>
      </c>
      <c r="CV431" s="119">
        <f>VLOOKUP($H431,RoR!$E:$F,2,FALSE)</f>
        <v>5.3133333333333324E-2</v>
      </c>
      <c r="CW431" s="177">
        <v>7.7972502758210105E-3</v>
      </c>
      <c r="CX431" s="177">
        <f t="shared" si="1204"/>
        <v>4.5336083057512314E-2</v>
      </c>
      <c r="CY431" s="177">
        <f t="shared" si="1207"/>
        <v>2.4330043676460321E-2</v>
      </c>
      <c r="CZ431" s="177">
        <f t="shared" si="1208"/>
        <v>6.3720160300892073E-2</v>
      </c>
      <c r="DA431" s="187">
        <f t="shared" si="1199"/>
        <v>0.85131374874999999</v>
      </c>
      <c r="DB431" s="188">
        <f t="shared" si="1200"/>
        <v>0.96515780330083989</v>
      </c>
      <c r="DC431" s="188">
        <f t="shared" si="1201"/>
        <v>0.50448557089084056</v>
      </c>
      <c r="DD431" s="188">
        <f t="shared" si="1202"/>
        <v>0.87391435735465484</v>
      </c>
      <c r="DE431" s="188">
        <f t="shared" si="1203"/>
        <v>0.42551605393279146</v>
      </c>
      <c r="DF431" s="189">
        <f>INDEX('State Tax Lookup'!$D$7:$Z$91,MATCH(Calculation!$C431,'State Tax Lookup'!$B$7:$B$91,0),MATCH($H431,'State Tax Lookup'!$D$6:$Z$6,0))</f>
        <v>0.39649667</v>
      </c>
      <c r="DG431" s="189">
        <v>0.375</v>
      </c>
      <c r="DH431" s="190">
        <f t="shared" si="1205"/>
        <v>18.818640936033386</v>
      </c>
      <c r="DI431" s="190">
        <v>18.560804525098749</v>
      </c>
      <c r="DJ431" s="177"/>
      <c r="DK431" s="189">
        <f>VLOOKUP($H431,RoR!$E:$F,2,FALSE)</f>
        <v>5.3133333333333324E-2</v>
      </c>
      <c r="DL431" s="191">
        <f>HLOOKUP($H431,'GDP-PI'!$D$8:$CQ$11,3,FALSE)</f>
        <v>7.7972502758210105E-3</v>
      </c>
      <c r="DM431" s="189">
        <f>VLOOKUP(H431,'HW Dx Data'!$E:$F,2,FALSE)</f>
        <v>550.94063679692806</v>
      </c>
      <c r="DN431" s="183">
        <f>VLOOKUP(H431,'ECI - Input Price'!$G$17:$H$37,2,FALSE)</f>
        <v>109.77499999999999</v>
      </c>
      <c r="DO431" s="177">
        <f t="shared" ref="DO431" si="1239">LN(DN431/DN430)</f>
        <v>1.4220423119736749E-2</v>
      </c>
      <c r="DP431" s="183">
        <f>HLOOKUP(H431,'GDP-PI'!$8:$9,2,FALSE)</f>
        <v>94.998999999999995</v>
      </c>
      <c r="DQ431" s="177">
        <f t="shared" ref="DQ431" si="1240">LN(DP431/DP430)</f>
        <v>7.7670088183096342E-3</v>
      </c>
      <c r="DR431" s="167">
        <v>1.1207959651333104E-2</v>
      </c>
    </row>
    <row r="432" spans="1:122" s="167" customFormat="1" ht="21" x14ac:dyDescent="0.35">
      <c r="A432" s="167" t="s">
        <v>53</v>
      </c>
      <c r="B432" s="168" t="s">
        <v>53</v>
      </c>
      <c r="C432" s="168">
        <v>4059459</v>
      </c>
      <c r="D432" s="168" t="s">
        <v>136</v>
      </c>
      <c r="E432" s="168" t="s">
        <v>126</v>
      </c>
      <c r="F432" s="168"/>
      <c r="G432" s="168" t="s">
        <v>16</v>
      </c>
      <c r="H432" s="169">
        <v>2010</v>
      </c>
      <c r="I432" s="170"/>
      <c r="J432" s="166">
        <f>IFERROR(INDEX('Labor Expenditures'!$F$7:$X$91,MATCH($C432,'Labor Expenditures'!$D$7:$D$91,0),MATCH($G432,'Labor Expenditures'!$F$5:$X$5,0)),"NA")</f>
        <v>2127.5832288076867</v>
      </c>
      <c r="K432" s="166">
        <f t="shared" si="1211"/>
        <v>19.017503721186028</v>
      </c>
      <c r="L432" s="172">
        <f t="shared" si="1218"/>
        <v>3.3191109437768304E-2</v>
      </c>
      <c r="M432" s="172">
        <f t="shared" si="1222"/>
        <v>2.4331743381341308E-5</v>
      </c>
      <c r="N432" s="196"/>
      <c r="O432" s="172"/>
      <c r="P432" s="166">
        <f>IFERROR(INDEX('Non-Labor Expenditures'!$F$7:$AB$91,MATCH($C432,'Non-Labor Expenditures'!$D$7:$D$91,0),MATCH($G432,'Non-Labor Expenditures'!$F$5:$AB$5,0)),"NA")</f>
        <v>3081.1378930465876</v>
      </c>
      <c r="Q432" s="166">
        <f t="shared" si="1212"/>
        <v>32.058786305617453</v>
      </c>
      <c r="R432" s="172">
        <f t="shared" si="1223"/>
        <v>4.0523870777856463E-2</v>
      </c>
      <c r="S432" s="172">
        <f t="shared" si="1228"/>
        <v>2.9707245141478974E-5</v>
      </c>
      <c r="T432" s="172"/>
      <c r="U432" s="172"/>
      <c r="V432" s="166">
        <f t="shared" si="1193"/>
        <v>1910.3364903650149</v>
      </c>
      <c r="W432" s="170"/>
      <c r="X432" s="174">
        <v>107.58835621606292</v>
      </c>
      <c r="Y432" s="175">
        <v>8.6611932999620625E-2</v>
      </c>
      <c r="Z432" s="175">
        <f t="shared" si="1229"/>
        <v>6.3493488563857837E-5</v>
      </c>
      <c r="AA432" s="175"/>
      <c r="AB432" s="175"/>
      <c r="AC432" s="170">
        <f t="shared" si="1086"/>
        <v>7119.0576122192888</v>
      </c>
      <c r="AD432" s="175">
        <f t="shared" si="1224"/>
        <v>6.8374928098377252E-2</v>
      </c>
      <c r="AE432" s="170"/>
      <c r="AF432" s="170"/>
      <c r="AG432" s="121">
        <f t="shared" si="1225"/>
        <v>484.19081903144183</v>
      </c>
      <c r="AH432" s="119">
        <f>+AZ432/$BB$48</f>
        <v>4.1002589477019701E-4</v>
      </c>
      <c r="AI432" s="119">
        <f>+AZ432/$BC$48</f>
        <v>1.7496404151585048E-3</v>
      </c>
      <c r="AJ432" s="176">
        <f t="shared" si="1230"/>
        <v>0.19853077381288148</v>
      </c>
      <c r="AK432" s="176">
        <f t="shared" si="1231"/>
        <v>0.84715982562610836</v>
      </c>
      <c r="AL432" s="120">
        <f t="shared" si="1213"/>
        <v>0.29885742533616549</v>
      </c>
      <c r="AM432" s="120">
        <f t="shared" si="1214"/>
        <v>0.432801370754194</v>
      </c>
      <c r="AN432" s="120">
        <f t="shared" si="1215"/>
        <v>0.26834120390964056</v>
      </c>
      <c r="AO432" s="120">
        <f t="shared" si="1219"/>
        <v>5.0405860166575639E-2</v>
      </c>
      <c r="AP432" s="173">
        <f t="shared" si="1235"/>
        <v>163.76281770844901</v>
      </c>
      <c r="AQ432" s="175">
        <f t="shared" si="1236"/>
        <v>5.0405860166575625E-2</v>
      </c>
      <c r="AR432" s="177">
        <f>+AC432/$AE$48</f>
        <v>7.3308014686770647E-4</v>
      </c>
      <c r="AS432" s="177">
        <f t="shared" si="1232"/>
        <v>3.6951535373906333E-5</v>
      </c>
      <c r="AT432" s="177"/>
      <c r="AU432" s="177"/>
      <c r="AV432" s="177"/>
      <c r="AW432" s="190"/>
      <c r="AX432" s="120"/>
      <c r="AY432" s="120"/>
      <c r="AZ432" s="118">
        <f>IFERROR(INDEX('Total Customers'!$F$7:$AB$91,MATCH($C432,'Total Customers'!$D$7:$D$91,0),MATCH($G432,'Total Customers'!$F$5:$AB$5,0)),"NA")</f>
        <v>14703</v>
      </c>
      <c r="BA432" s="119">
        <f t="shared" si="1194"/>
        <v>7.6466543136347025E-3</v>
      </c>
      <c r="BB432" s="119"/>
      <c r="BC432" s="121">
        <v>8403441</v>
      </c>
      <c r="BD432" s="119"/>
      <c r="BE432" s="119"/>
      <c r="BF432" s="119"/>
      <c r="BG432" s="173"/>
      <c r="BH432" s="173"/>
      <c r="BI432" s="173"/>
      <c r="BJ432" s="173"/>
      <c r="BK432" s="173"/>
      <c r="BL432" s="173"/>
      <c r="BM432" s="173"/>
      <c r="BN432" s="173"/>
      <c r="BO432" s="173"/>
      <c r="BP432" s="173"/>
      <c r="BQ432" s="118"/>
      <c r="BR432" s="118"/>
      <c r="BS432" s="118">
        <f>INDEX('Dist. Plant Gas Additions'!$F$7:$AE$91,MATCH($C432,'Dist. Plant Gas Additions'!$D$7:$D$91,0),MATCH(Calculation!$G432,'Dist. Plant Gas Additions'!$F$5:$AE$5,0))</f>
        <v>5193</v>
      </c>
      <c r="BT432" s="118">
        <f>INDEX('Gen. Plant Additions'!$F$7:$AE$91,MATCH($C432,'Gen. Plant Additions'!$D$7:$D$91,0),MATCH(Calculation!$G432,'Gen. Plant Additions'!$F$5:$AE$5,0))</f>
        <v>267</v>
      </c>
      <c r="BU432" s="118"/>
      <c r="BV432" s="118"/>
      <c r="BW432" s="118">
        <f>INDEX('Dist Plant Depreciation'!$E$7:$AD$94,MATCH($C432,'Dist Plant Depreciation'!$D$7:$D$94,0),MATCH(Calculation!$G432,'Dist Plant Depreciation'!$E$5:$AD$5,0))</f>
        <v>6372</v>
      </c>
      <c r="BX432" s="118">
        <f>INDEX('Gen. Plant Depreciation'!$E$7:$AD$94,MATCH($C432,'Gen. Plant Depreciation'!$D$7:$D$94,0),MATCH(Calculation!$G432,'Gen. Plant Depreciation'!$E$5:$AD$5,0))</f>
        <v>4910</v>
      </c>
      <c r="BY432" s="118"/>
      <c r="BZ432" s="118"/>
      <c r="CA432" s="118"/>
      <c r="CB432" s="118"/>
      <c r="CC432" s="118"/>
      <c r="CD432" s="118"/>
      <c r="CE432" s="118">
        <f>INDEX('Gross Dx Plant'!$E$7:$AD$91,MATCH($C432,'Gross Dx Plant'!$D$7:$D$91,0),MATCH(Calculation!$G432,'Gross Dx Plant'!$E$5:$AD$5,0))</f>
        <v>32260</v>
      </c>
      <c r="CF432" s="118">
        <f>INDEX('Gross Gen Plant'!$E$7:$AD$91,MATCH($C432,'Gross Gen Plant'!$D$7:$D$91,0),MATCH(Calculation!$G432,'Gross Gen Plant'!$E$5:$AD$5,0))</f>
        <v>7843</v>
      </c>
      <c r="CG432" s="118">
        <f t="shared" si="1177"/>
        <v>28821</v>
      </c>
      <c r="CH432" s="118"/>
      <c r="CI432" s="121">
        <v>2010</v>
      </c>
      <c r="CJ432" s="118"/>
      <c r="CK432" s="118"/>
      <c r="CL432" s="118"/>
      <c r="CM432" s="183"/>
      <c r="CN432" s="118">
        <f t="shared" si="1195"/>
        <v>5460</v>
      </c>
      <c r="CO432" s="118">
        <f t="shared" si="1196"/>
        <v>9.595959107796082</v>
      </c>
      <c r="CP432" s="186">
        <v>0.9285714285714286</v>
      </c>
      <c r="CQ432" s="118">
        <f>+CQ420*CP432+CO421*CP431+CO422*CP430+CO423*CP429+CO424*CP428+CO425*CP427+CO426*CP426+CO427*CP425+CO428*CP424+CO429*CP423+CO430*CP422+CO431*CP421+CO432</f>
        <v>107.58835621606292</v>
      </c>
      <c r="CR432" s="119">
        <f t="shared" si="1197"/>
        <v>8.6611932999620625E-2</v>
      </c>
      <c r="CS432" s="119"/>
      <c r="CT432" s="177">
        <f t="shared" si="1198"/>
        <v>6.7874605582018801E-3</v>
      </c>
      <c r="CU432" s="177">
        <f t="shared" si="1206"/>
        <v>6.6939061004099793E-3</v>
      </c>
      <c r="CV432" s="119">
        <f>VLOOKUP($H432,RoR!$E:$F,2,FALSE)</f>
        <v>4.9433333333333322E-2</v>
      </c>
      <c r="CW432" s="177">
        <v>1.1684333519300205E-2</v>
      </c>
      <c r="CX432" s="177">
        <f t="shared" si="1204"/>
        <v>3.7748999814033117E-2</v>
      </c>
      <c r="CY432" s="177">
        <f t="shared" si="1207"/>
        <v>2.4208035508123647E-2</v>
      </c>
      <c r="CZ432" s="177">
        <f t="shared" si="1208"/>
        <v>4.7937530248493419E-2</v>
      </c>
      <c r="DA432" s="187">
        <f t="shared" si="1199"/>
        <v>0.85131374874999999</v>
      </c>
      <c r="DB432" s="188">
        <f t="shared" si="1200"/>
        <v>1.037398205301105</v>
      </c>
      <c r="DC432" s="188">
        <f t="shared" si="1201"/>
        <v>0.46926837491571133</v>
      </c>
      <c r="DD432" s="188">
        <f t="shared" si="1202"/>
        <v>0.8548537519972772</v>
      </c>
      <c r="DE432" s="188">
        <f t="shared" si="1203"/>
        <v>0.41615833911547367</v>
      </c>
      <c r="DF432" s="189">
        <f>INDEX('State Tax Lookup'!$D$7:$Z$91,MATCH(Calculation!$C432,'State Tax Lookup'!$B$7:$B$91,0),MATCH($H432,'State Tax Lookup'!$D$6:$Z$6,0))</f>
        <v>0.39649667</v>
      </c>
      <c r="DG432" s="189">
        <v>0.375</v>
      </c>
      <c r="DH432" s="190">
        <f t="shared" si="1205"/>
        <v>19.362422114110142</v>
      </c>
      <c r="DI432" s="190">
        <v>19.143205226464765</v>
      </c>
      <c r="DJ432" s="177"/>
      <c r="DK432" s="189">
        <f>VLOOKUP($H432,RoR!$E:$F,2,FALSE)</f>
        <v>4.9433333333333322E-2</v>
      </c>
      <c r="DL432" s="191">
        <f>HLOOKUP($H432,'GDP-PI'!$D$8:$CQ$11,3,FALSE)</f>
        <v>1.1684333519300205E-2</v>
      </c>
      <c r="DM432" s="189">
        <f>VLOOKUP(H432,'HW Dx Data'!$E:$F,2,FALSE)</f>
        <v>568.98950262971744</v>
      </c>
      <c r="DN432" s="183">
        <f>VLOOKUP(H432,'ECI - Input Price'!$G$17:$H$37,2,FALSE)</f>
        <v>111.875</v>
      </c>
      <c r="DO432" s="177">
        <f t="shared" ref="DO432" si="1241">LN(DN432/DN431)</f>
        <v>1.8949360147238387E-2</v>
      </c>
      <c r="DP432" s="183">
        <f>HLOOKUP(H432,'GDP-PI'!$8:$9,2,FALSE)</f>
        <v>96.108999999999995</v>
      </c>
      <c r="DQ432" s="177">
        <f t="shared" ref="DQ432" si="1242">LN(DP432/DP431)</f>
        <v>1.1616598807150427E-2</v>
      </c>
      <c r="DR432" s="167">
        <v>5.8022112046579803E-2</v>
      </c>
    </row>
    <row r="433" spans="1:122" s="167" customFormat="1" ht="21" x14ac:dyDescent="0.35">
      <c r="A433" s="167" t="s">
        <v>53</v>
      </c>
      <c r="B433" s="168" t="s">
        <v>53</v>
      </c>
      <c r="C433" s="168">
        <v>4059459</v>
      </c>
      <c r="D433" s="168" t="s">
        <v>136</v>
      </c>
      <c r="E433" s="168" t="s">
        <v>126</v>
      </c>
      <c r="F433" s="168"/>
      <c r="G433" s="168" t="s">
        <v>17</v>
      </c>
      <c r="H433" s="169">
        <v>2011</v>
      </c>
      <c r="I433" s="170"/>
      <c r="J433" s="166">
        <f>IFERROR(INDEX('Labor Expenditures'!$F$7:$X$91,MATCH($C433,'Labor Expenditures'!$D$7:$D$91,0),MATCH($G433,'Labor Expenditures'!$F$5:$X$5,0)),"NA")</f>
        <v>2118.6355273628774</v>
      </c>
      <c r="K433" s="166">
        <f t="shared" si="1211"/>
        <v>18.535743896438124</v>
      </c>
      <c r="L433" s="172">
        <f t="shared" si="1218"/>
        <v>-2.5658833075865237E-2</v>
      </c>
      <c r="M433" s="172">
        <f t="shared" si="1222"/>
        <v>-1.8671556844472498E-5</v>
      </c>
      <c r="N433" s="196"/>
      <c r="O433" s="172"/>
      <c r="P433" s="166">
        <f>IFERROR(INDEX('Non-Labor Expenditures'!$F$7:$AB$91,MATCH($C433,'Non-Labor Expenditures'!$D$7:$D$91,0),MATCH($G433,'Non-Labor Expenditures'!$F$5:$AB$5,0)),"NA")</f>
        <v>3068.1799501543978</v>
      </c>
      <c r="Q433" s="166">
        <f t="shared" si="1212"/>
        <v>31.272218996192088</v>
      </c>
      <c r="R433" s="172">
        <f t="shared" si="1223"/>
        <v>-2.4841158082968995E-2</v>
      </c>
      <c r="S433" s="172">
        <f t="shared" si="1228"/>
        <v>-1.8076546733723295E-5</v>
      </c>
      <c r="T433" s="172"/>
      <c r="U433" s="172"/>
      <c r="V433" s="166">
        <f t="shared" si="1193"/>
        <v>2234.7387101100726</v>
      </c>
      <c r="W433" s="170"/>
      <c r="X433" s="174">
        <v>114.74473968912166</v>
      </c>
      <c r="Y433" s="175">
        <v>6.4397578133959341E-2</v>
      </c>
      <c r="Z433" s="175">
        <f t="shared" si="1229"/>
        <v>4.6861173975427757E-5</v>
      </c>
      <c r="AA433" s="175"/>
      <c r="AB433" s="175"/>
      <c r="AC433" s="170">
        <f t="shared" si="1086"/>
        <v>7421.5541876273473</v>
      </c>
      <c r="AD433" s="175">
        <f t="shared" si="1224"/>
        <v>4.1613135665288348E-2</v>
      </c>
      <c r="AE433" s="170"/>
      <c r="AF433" s="170"/>
      <c r="AG433" s="121">
        <f t="shared" si="1225"/>
        <v>502.06698603892215</v>
      </c>
      <c r="AH433" s="119">
        <f>+AZ433/$BB$49</f>
        <v>4.1022498333934658E-4</v>
      </c>
      <c r="AI433" s="119">
        <f>+AZ433/$BC$49</f>
        <v>1.7518699392415665E-3</v>
      </c>
      <c r="AJ433" s="176">
        <f t="shared" si="1230"/>
        <v>0.20596042098305278</v>
      </c>
      <c r="AK433" s="176">
        <f t="shared" si="1231"/>
        <v>0.87955606032720302</v>
      </c>
      <c r="AL433" s="120">
        <f t="shared" si="1213"/>
        <v>0.28547060006580643</v>
      </c>
      <c r="AM433" s="120">
        <f t="shared" si="1214"/>
        <v>0.41341474744864559</v>
      </c>
      <c r="AN433" s="120">
        <f t="shared" si="1215"/>
        <v>0.30111465248554803</v>
      </c>
      <c r="AO433" s="120">
        <f t="shared" si="1219"/>
        <v>3.2870718803881468E-4</v>
      </c>
      <c r="AP433" s="173">
        <f t="shared" si="1235"/>
        <v>163.81665657188918</v>
      </c>
      <c r="AQ433" s="175">
        <f t="shared" si="1236"/>
        <v>3.2870718803878216E-4</v>
      </c>
      <c r="AR433" s="177">
        <f>+AC433/$AE$49</f>
        <v>7.276853467679717E-4</v>
      </c>
      <c r="AS433" s="177">
        <f t="shared" si="1232"/>
        <v>2.391954041131261E-7</v>
      </c>
      <c r="AT433" s="177"/>
      <c r="AU433" s="177"/>
      <c r="AV433" s="177"/>
      <c r="AW433" s="190"/>
      <c r="AX433" s="120"/>
      <c r="AY433" s="120"/>
      <c r="AZ433" s="118">
        <f>IFERROR(INDEX('Total Customers'!$F$7:$AB$91,MATCH($C433,'Total Customers'!$D$7:$D$91,0),MATCH($G433,'Total Customers'!$F$5:$AB$5,0)),"NA")</f>
        <v>14782</v>
      </c>
      <c r="BA433" s="119">
        <f t="shared" si="1194"/>
        <v>5.3586697671749598E-3</v>
      </c>
      <c r="BB433" s="119"/>
      <c r="BC433" s="121">
        <v>8437841</v>
      </c>
      <c r="BD433" s="119"/>
      <c r="BE433" s="119"/>
      <c r="BF433" s="119"/>
      <c r="BG433" s="173"/>
      <c r="BH433" s="173"/>
      <c r="BI433" s="173"/>
      <c r="BJ433" s="173"/>
      <c r="BK433" s="173"/>
      <c r="BL433" s="173"/>
      <c r="BM433" s="173"/>
      <c r="BN433" s="173"/>
      <c r="BO433" s="173"/>
      <c r="BP433" s="173"/>
      <c r="BQ433" s="118"/>
      <c r="BR433" s="118"/>
      <c r="BS433" s="118">
        <f>INDEX('Dist. Plant Gas Additions'!$F$7:$AE$91,MATCH($C433,'Dist. Plant Gas Additions'!$D$7:$D$91,0),MATCH(Calculation!$G433,'Dist. Plant Gas Additions'!$F$5:$AE$5,0))</f>
        <v>4544</v>
      </c>
      <c r="BT433" s="118">
        <f>INDEX('Gen. Plant Additions'!$F$7:$AE$91,MATCH($C433,'Gen. Plant Additions'!$D$7:$D$91,0),MATCH(Calculation!$G433,'Gen. Plant Additions'!$F$5:$AE$5,0))</f>
        <v>286</v>
      </c>
      <c r="BU433" s="118"/>
      <c r="BV433" s="118"/>
      <c r="BW433" s="118">
        <f>INDEX('Dist Plant Depreciation'!$E$7:$AD$94,MATCH($C433,'Dist Plant Depreciation'!$D$7:$D$94,0),MATCH(Calculation!$G433,'Dist Plant Depreciation'!$E$5:$AD$5,0))</f>
        <v>7704</v>
      </c>
      <c r="BX433" s="118">
        <f>INDEX('Gen. Plant Depreciation'!$E$7:$AD$94,MATCH($C433,'Gen. Plant Depreciation'!$D$7:$D$94,0),MATCH(Calculation!$G433,'Gen. Plant Depreciation'!$E$5:$AD$5,0))</f>
        <v>4956</v>
      </c>
      <c r="BY433" s="118"/>
      <c r="BZ433" s="118"/>
      <c r="CA433" s="118"/>
      <c r="CB433" s="118"/>
      <c r="CC433" s="118"/>
      <c r="CD433" s="118"/>
      <c r="CE433" s="118">
        <f>INDEX('Gross Dx Plant'!$E$7:$AD$91,MATCH($C433,'Gross Dx Plant'!$D$7:$D$91,0),MATCH(Calculation!$G433,'Gross Dx Plant'!$E$5:$AD$5,0))</f>
        <v>36568</v>
      </c>
      <c r="CF433" s="118">
        <f>INDEX('Gross Gen Plant'!$E$7:$AD$91,MATCH($C433,'Gross Gen Plant'!$D$7:$D$91,0),MATCH(Calculation!$G433,'Gross Gen Plant'!$E$5:$AD$5,0))</f>
        <v>8100</v>
      </c>
      <c r="CG433" s="118">
        <f t="shared" si="1177"/>
        <v>32008</v>
      </c>
      <c r="CH433" s="118"/>
      <c r="CI433" s="121">
        <v>2011</v>
      </c>
      <c r="CJ433" s="118"/>
      <c r="CK433" s="118"/>
      <c r="CL433" s="118"/>
      <c r="CM433" s="183"/>
      <c r="CN433" s="118">
        <f t="shared" si="1195"/>
        <v>4830</v>
      </c>
      <c r="CO433" s="118">
        <f t="shared" si="1196"/>
        <v>7.8971752321347255</v>
      </c>
      <c r="CP433" s="186">
        <v>0.92121212121212126</v>
      </c>
      <c r="CQ433" s="118">
        <f>+CQ420*CP433+CO421*CP432+CO422*CP431+CO423*CP430+CO424*CP429+CO425*CP428+CO426*CP427+CO427*CP426+CO428*CP425+CO429*CP424+CO430*CP423+CO431*CP422+CO432*CP421+CO433</f>
        <v>114.74473968912166</v>
      </c>
      <c r="CR433" s="119">
        <f t="shared" si="1197"/>
        <v>6.4397578133959341E-2</v>
      </c>
      <c r="CS433" s="119"/>
      <c r="CT433" s="177">
        <f t="shared" si="1198"/>
        <v>6.8854268726654885E-3</v>
      </c>
      <c r="CU433" s="177">
        <f t="shared" si="1206"/>
        <v>6.7858296165540606E-3</v>
      </c>
      <c r="CV433" s="119">
        <f>VLOOKUP($H433,RoR!$E:$F,2,FALSE)</f>
        <v>4.6391666666666664E-2</v>
      </c>
      <c r="CW433" s="177">
        <v>2.0840920205183799E-2</v>
      </c>
      <c r="CX433" s="177">
        <f t="shared" si="1204"/>
        <v>2.5550746461482865E-2</v>
      </c>
      <c r="CY433" s="177">
        <f t="shared" si="1207"/>
        <v>2.4116111991979564E-2</v>
      </c>
      <c r="CZ433" s="177">
        <f t="shared" si="1208"/>
        <v>2.4810540821321614E-2</v>
      </c>
      <c r="DA433" s="187">
        <f t="shared" si="1199"/>
        <v>0.85131374874999999</v>
      </c>
      <c r="DB433" s="188">
        <f t="shared" si="1200"/>
        <v>1.1054151524782025</v>
      </c>
      <c r="DC433" s="188">
        <f t="shared" si="1201"/>
        <v>0.43611011316687626</v>
      </c>
      <c r="DD433" s="188">
        <f t="shared" si="1202"/>
        <v>0.83698442246886229</v>
      </c>
      <c r="DE433" s="188">
        <f t="shared" si="1203"/>
        <v>0.40349573304423936</v>
      </c>
      <c r="DF433" s="189">
        <f>INDEX('State Tax Lookup'!$D$7:$Z$91,MATCH(Calculation!$C433,'State Tax Lookup'!$B$7:$B$91,0),MATCH($H433,'State Tax Lookup'!$D$6:$Z$6,0))</f>
        <v>0.39649667</v>
      </c>
      <c r="DG433" s="189">
        <v>0.375</v>
      </c>
      <c r="DH433" s="190">
        <f t="shared" si="1205"/>
        <v>20.771194845864059</v>
      </c>
      <c r="DI433" s="190">
        <v>20.53618545118815</v>
      </c>
      <c r="DJ433" s="177"/>
      <c r="DK433" s="189">
        <f>VLOOKUP($H433,RoR!$E:$F,2,FALSE)</f>
        <v>4.6391666666666664E-2</v>
      </c>
      <c r="DL433" s="191">
        <f>HLOOKUP($H433,'GDP-PI'!$D$8:$CQ$11,3,FALSE)</f>
        <v>2.0840920205183799E-2</v>
      </c>
      <c r="DM433" s="189">
        <f>VLOOKUP(H433,'HW Dx Data'!$E:$F,2,FALSE)</f>
        <v>611.61109612283201</v>
      </c>
      <c r="DN433" s="183">
        <f>VLOOKUP(H433,'ECI - Input Price'!$G$17:$H$37,2,FALSE)</f>
        <v>114.3</v>
      </c>
      <c r="DO433" s="177">
        <f t="shared" ref="DO433" si="1243">LN(DN433/DN432)</f>
        <v>2.1444394205745516E-2</v>
      </c>
      <c r="DP433" s="183">
        <f>HLOOKUP(H433,'GDP-PI'!$8:$9,2,FALSE)</f>
        <v>98.111999999999995</v>
      </c>
      <c r="DQ433" s="177">
        <f t="shared" ref="DQ433" si="1244">LN(DP433/DP432)</f>
        <v>2.0626719212849295E-2</v>
      </c>
      <c r="DR433" s="167">
        <v>2.3553106210898688E-2</v>
      </c>
    </row>
    <row r="434" spans="1:122" s="167" customFormat="1" ht="21" x14ac:dyDescent="0.35">
      <c r="A434" s="167" t="s">
        <v>53</v>
      </c>
      <c r="B434" s="168" t="s">
        <v>53</v>
      </c>
      <c r="C434" s="168">
        <v>4059459</v>
      </c>
      <c r="D434" s="168" t="s">
        <v>136</v>
      </c>
      <c r="E434" s="168" t="s">
        <v>126</v>
      </c>
      <c r="F434" s="168"/>
      <c r="G434" s="168" t="s">
        <v>18</v>
      </c>
      <c r="H434" s="169">
        <v>2012</v>
      </c>
      <c r="I434" s="170"/>
      <c r="J434" s="166">
        <f>IFERROR(INDEX('Labor Expenditures'!$F$7:$X$91,MATCH($C434,'Labor Expenditures'!$D$7:$D$91,0),MATCH($G434,'Labor Expenditures'!$F$5:$X$5,0)),"NA")</f>
        <v>2278.6274292024723</v>
      </c>
      <c r="K434" s="166">
        <f t="shared" si="1211"/>
        <v>19.559033727059848</v>
      </c>
      <c r="L434" s="172">
        <f t="shared" si="1218"/>
        <v>5.3736292444258378E-2</v>
      </c>
      <c r="M434" s="172">
        <f t="shared" si="1222"/>
        <v>4.1064589433228177E-5</v>
      </c>
      <c r="N434" s="196"/>
      <c r="O434" s="172"/>
      <c r="P434" s="166">
        <f>IFERROR(INDEX('Non-Labor Expenditures'!$F$7:$AB$91,MATCH($C434,'Non-Labor Expenditures'!$D$7:$D$91,0),MATCH($G434,'Non-Labor Expenditures'!$F$5:$AB$5,0)),"NA")</f>
        <v>3299.8781063834372</v>
      </c>
      <c r="Q434" s="166">
        <f t="shared" si="1212"/>
        <v>32.998781063834372</v>
      </c>
      <c r="R434" s="172">
        <f t="shared" si="1223"/>
        <v>5.374049191050647E-2</v>
      </c>
      <c r="S434" s="172">
        <f t="shared" si="1228"/>
        <v>4.1067798611782788E-5</v>
      </c>
      <c r="T434" s="172"/>
      <c r="U434" s="172"/>
      <c r="V434" s="166">
        <f t="shared" si="1193"/>
        <v>2587.9255532488201</v>
      </c>
      <c r="W434" s="170"/>
      <c r="X434" s="174">
        <v>123.6527498908259</v>
      </c>
      <c r="Y434" s="175">
        <v>7.4767226630537781E-2</v>
      </c>
      <c r="Z434" s="175">
        <f t="shared" si="1229"/>
        <v>5.7136161148985489E-5</v>
      </c>
      <c r="AA434" s="175"/>
      <c r="AB434" s="175"/>
      <c r="AC434" s="170">
        <f t="shared" si="1086"/>
        <v>8166.43108883473</v>
      </c>
      <c r="AD434" s="175">
        <f t="shared" si="1224"/>
        <v>9.5643487706643035E-2</v>
      </c>
      <c r="AE434" s="170"/>
      <c r="AF434" s="170"/>
      <c r="AG434" s="121">
        <f t="shared" si="1225"/>
        <v>548.4507111373224</v>
      </c>
      <c r="AH434" s="119">
        <f>+AZ434/$BB$50</f>
        <v>4.1123368045525036E-4</v>
      </c>
      <c r="AI434" s="119">
        <f>+AZ434/$BC$50</f>
        <v>1.7548466294687894E-3</v>
      </c>
      <c r="AJ434" s="176">
        <f t="shared" si="1230"/>
        <v>0.22554140448930046</v>
      </c>
      <c r="AK434" s="176">
        <f t="shared" si="1231"/>
        <v>0.96244688186909089</v>
      </c>
      <c r="AL434" s="120">
        <f t="shared" si="1213"/>
        <v>0.27902365236606808</v>
      </c>
      <c r="AM434" s="120">
        <f t="shared" si="1214"/>
        <v>0.40407836305569039</v>
      </c>
      <c r="AN434" s="120">
        <f t="shared" si="1215"/>
        <v>0.31689798457824148</v>
      </c>
      <c r="AO434" s="120">
        <f t="shared" si="1219"/>
        <v>6.0236700509809948E-2</v>
      </c>
      <c r="AP434" s="173">
        <f t="shared" si="1235"/>
        <v>173.98769098242713</v>
      </c>
      <c r="AQ434" s="175">
        <f t="shared" si="1236"/>
        <v>6.0236700509809921E-2</v>
      </c>
      <c r="AR434" s="177">
        <f>+AC434/$AE$50</f>
        <v>7.6418724786093517E-4</v>
      </c>
      <c r="AS434" s="177">
        <f t="shared" si="1232"/>
        <v>4.6032118382815035E-5</v>
      </c>
      <c r="AT434" s="177"/>
      <c r="AU434" s="177"/>
      <c r="AV434" s="177"/>
      <c r="AW434" s="190"/>
      <c r="AX434" s="120"/>
      <c r="AY434" s="120"/>
      <c r="AZ434" s="118">
        <f>IFERROR(INDEX('Total Customers'!$F$7:$AB$91,MATCH($C434,'Total Customers'!$D$7:$D$91,0),MATCH($G434,'Total Customers'!$F$5:$AB$5,0)),"NA")</f>
        <v>14890</v>
      </c>
      <c r="BA434" s="119">
        <f t="shared" si="1194"/>
        <v>7.2796223332225393E-3</v>
      </c>
      <c r="BB434" s="119"/>
      <c r="BC434" s="121">
        <v>8485072</v>
      </c>
      <c r="BD434" s="119"/>
      <c r="BE434" s="119"/>
      <c r="BF434" s="119"/>
      <c r="BG434" s="173"/>
      <c r="BH434" s="173"/>
      <c r="BI434" s="173"/>
      <c r="BJ434" s="173"/>
      <c r="BK434" s="173"/>
      <c r="BL434" s="173"/>
      <c r="BM434" s="173"/>
      <c r="BN434" s="173"/>
      <c r="BO434" s="173"/>
      <c r="BP434" s="173"/>
      <c r="BQ434" s="118"/>
      <c r="BR434" s="118"/>
      <c r="BS434" s="118">
        <f>INDEX('Dist. Plant Gas Additions'!$F$7:$AE$91,MATCH($C434,'Dist. Plant Gas Additions'!$D$7:$D$91,0),MATCH(Calculation!$G434,'Dist. Plant Gas Additions'!$F$5:$AE$5,0))</f>
        <v>5772</v>
      </c>
      <c r="BT434" s="118">
        <f>INDEX('Gen. Plant Additions'!$F$7:$AE$91,MATCH($C434,'Gen. Plant Additions'!$D$7:$D$91,0),MATCH(Calculation!$G434,'Gen. Plant Additions'!$F$5:$AE$5,0))</f>
        <v>726</v>
      </c>
      <c r="BU434" s="118"/>
      <c r="BV434" s="118"/>
      <c r="BW434" s="118">
        <f>INDEX('Dist Plant Depreciation'!$E$7:$AD$94,MATCH($C434,'Dist Plant Depreciation'!$D$7:$D$94,0),MATCH(Calculation!$G434,'Dist Plant Depreciation'!$E$5:$AD$5,0))</f>
        <v>9146</v>
      </c>
      <c r="BX434" s="118">
        <f>INDEX('Gen. Plant Depreciation'!$E$7:$AD$94,MATCH($C434,'Gen. Plant Depreciation'!$D$7:$D$94,0),MATCH(Calculation!$G434,'Gen. Plant Depreciation'!$E$5:$AD$5,0))</f>
        <v>5004</v>
      </c>
      <c r="BY434" s="118"/>
      <c r="BZ434" s="118"/>
      <c r="CA434" s="118"/>
      <c r="CB434" s="118"/>
      <c r="CC434" s="118"/>
      <c r="CD434" s="118"/>
      <c r="CE434" s="118">
        <f>INDEX('Gross Dx Plant'!$E$7:$AD$91,MATCH($C434,'Gross Dx Plant'!$D$7:$D$91,0),MATCH(Calculation!$G434,'Gross Dx Plant'!$E$5:$AD$5,0))</f>
        <v>42168</v>
      </c>
      <c r="CF434" s="118">
        <f>INDEX('Gross Gen Plant'!$E$7:$AD$91,MATCH($C434,'Gross Gen Plant'!$D$7:$D$91,0),MATCH(Calculation!$G434,'Gross Gen Plant'!$E$5:$AD$5,0))</f>
        <v>8792</v>
      </c>
      <c r="CG434" s="118">
        <f t="shared" si="1177"/>
        <v>36810</v>
      </c>
      <c r="CH434" s="118"/>
      <c r="CI434" s="121">
        <v>2012</v>
      </c>
      <c r="CJ434" s="118"/>
      <c r="CK434" s="118"/>
      <c r="CL434" s="118"/>
      <c r="CM434" s="183"/>
      <c r="CN434" s="118">
        <f t="shared" si="1195"/>
        <v>6498</v>
      </c>
      <c r="CO434" s="118">
        <f t="shared" si="1196"/>
        <v>9.7141759629212405</v>
      </c>
      <c r="CP434" s="186">
        <v>0.9135802469135802</v>
      </c>
      <c r="CQ434" s="118">
        <f>+CQ420*CP434+CO421*CP433+CO422*CP432+CO423*CP431+CO424*CP430+CO425*CP429+CO426*CP428+CO427*CP427+CO428*CP426+CO429*CP425+CO430*CP424+CO431*CP423+CO432*CP422+CO433*CP421+CO434</f>
        <v>123.6527498908259</v>
      </c>
      <c r="CR434" s="119">
        <f t="shared" si="1197"/>
        <v>7.4767226630537781E-2</v>
      </c>
      <c r="CS434" s="119"/>
      <c r="CT434" s="177">
        <f t="shared" si="1198"/>
        <v>7.0257317538141165E-3</v>
      </c>
      <c r="CU434" s="177">
        <f t="shared" si="1206"/>
        <v>6.8995397282271614E-3</v>
      </c>
      <c r="CV434" s="119">
        <f>VLOOKUP($H434,RoR!$E:$F,2,FALSE)</f>
        <v>3.6733333333333333E-2</v>
      </c>
      <c r="CW434" s="177">
        <v>1.924331376386168E-2</v>
      </c>
      <c r="CX434" s="177">
        <f t="shared" si="1204"/>
        <v>1.7490019569471653E-2</v>
      </c>
      <c r="CY434" s="177">
        <f t="shared" si="1207"/>
        <v>2.4002401880306463E-2</v>
      </c>
      <c r="CZ434" s="177">
        <f t="shared" si="1208"/>
        <v>6.7122682943869583E-2</v>
      </c>
      <c r="DA434" s="187">
        <f t="shared" si="1199"/>
        <v>0.85131374874999999</v>
      </c>
      <c r="DB434" s="188">
        <f t="shared" si="1200"/>
        <v>1.3960631020522127</v>
      </c>
      <c r="DC434" s="188">
        <f t="shared" si="1201"/>
        <v>0.29441923774954631</v>
      </c>
      <c r="DD434" s="188">
        <f t="shared" si="1202"/>
        <v>0.76377954189366437</v>
      </c>
      <c r="DE434" s="188">
        <f t="shared" si="1203"/>
        <v>0.31393465103033691</v>
      </c>
      <c r="DF434" s="189">
        <f>INDEX('State Tax Lookup'!$D$7:$Z$91,MATCH(Calculation!$C434,'State Tax Lookup'!$B$7:$B$91,0),MATCH($H434,'State Tax Lookup'!$D$6:$Z$6,0))</f>
        <v>0.39649667</v>
      </c>
      <c r="DG434" s="189">
        <v>0.375</v>
      </c>
      <c r="DH434" s="190">
        <f t="shared" si="1205"/>
        <v>22.553762030924435</v>
      </c>
      <c r="DI434" s="190">
        <v>22.322950158531125</v>
      </c>
      <c r="DJ434" s="177"/>
      <c r="DK434" s="189">
        <f>VLOOKUP($H434,RoR!$E:$F,2,FALSE)</f>
        <v>3.6733333333333333E-2</v>
      </c>
      <c r="DL434" s="191">
        <f>HLOOKUP($H434,'GDP-PI'!$D$8:$CQ$11,3,FALSE)</f>
        <v>1.924331376386168E-2</v>
      </c>
      <c r="DM434" s="189">
        <f>VLOOKUP(H434,'HW Dx Data'!$E:$F,2,FALSE)</f>
        <v>668.91932211262167</v>
      </c>
      <c r="DN434" s="183">
        <f>VLOOKUP(H434,'ECI - Input Price'!$G$17:$H$37,2,FALSE)</f>
        <v>116.5</v>
      </c>
      <c r="DO434" s="177">
        <f t="shared" ref="DO434" si="1245">LN(DN434/DN433)</f>
        <v>1.9064702204990347E-2</v>
      </c>
      <c r="DP434" s="183">
        <f>HLOOKUP(H434,'GDP-PI'!$8:$9,2,FALSE)</f>
        <v>100</v>
      </c>
      <c r="DQ434" s="177">
        <f t="shared" ref="DQ434" si="1246">LN(DP434/DP433)</f>
        <v>1.9060502738742411E-2</v>
      </c>
      <c r="DR434" s="167">
        <v>1.5287085228645044E-2</v>
      </c>
    </row>
    <row r="435" spans="1:122" s="167" customFormat="1" ht="21" x14ac:dyDescent="0.35">
      <c r="A435" s="167" t="s">
        <v>53</v>
      </c>
      <c r="B435" s="168" t="s">
        <v>53</v>
      </c>
      <c r="C435" s="168">
        <v>4059459</v>
      </c>
      <c r="D435" s="168" t="s">
        <v>136</v>
      </c>
      <c r="E435" s="168" t="s">
        <v>126</v>
      </c>
      <c r="F435" s="168"/>
      <c r="G435" s="168" t="s">
        <v>19</v>
      </c>
      <c r="H435" s="169">
        <v>2013</v>
      </c>
      <c r="I435" s="170"/>
      <c r="J435" s="166">
        <f>IFERROR(INDEX('Labor Expenditures'!$F$7:$X$91,MATCH($C435,'Labor Expenditures'!$D$7:$D$91,0),MATCH($G435,'Labor Expenditures'!$F$5:$X$5,0)),"NA")</f>
        <v>2219.9375483313474</v>
      </c>
      <c r="K435" s="166">
        <f t="shared" si="1211"/>
        <v>18.698147385397746</v>
      </c>
      <c r="L435" s="172">
        <f t="shared" si="1218"/>
        <v>-4.5012814276196661E-2</v>
      </c>
      <c r="M435" s="172">
        <f t="shared" si="1222"/>
        <v>-3.3251901690723454E-5</v>
      </c>
      <c r="N435" s="196"/>
      <c r="O435" s="172"/>
      <c r="P435" s="166">
        <f>IFERROR(INDEX('Non-Labor Expenditures'!$F$7:$AB$91,MATCH($C435,'Non-Labor Expenditures'!$D$7:$D$91,0),MATCH($G435,'Non-Labor Expenditures'!$F$5:$AB$5,0)),"NA")</f>
        <v>3214.8841971243605</v>
      </c>
      <c r="Q435" s="166">
        <f t="shared" si="1212"/>
        <v>31.588773025501464</v>
      </c>
      <c r="R435" s="172">
        <f t="shared" si="1223"/>
        <v>-4.3668849863277015E-2</v>
      </c>
      <c r="S435" s="172">
        <f t="shared" si="1228"/>
        <v>-3.2259087238820433E-5</v>
      </c>
      <c r="T435" s="172"/>
      <c r="U435" s="172"/>
      <c r="V435" s="166">
        <f t="shared" si="1193"/>
        <v>2753.8017326060776</v>
      </c>
      <c r="W435" s="170"/>
      <c r="X435" s="174">
        <v>133.34630058042816</v>
      </c>
      <c r="Y435" s="175">
        <v>7.5472275032882272E-2</v>
      </c>
      <c r="Z435" s="175">
        <f t="shared" si="1229"/>
        <v>5.57529385825527E-5</v>
      </c>
      <c r="AA435" s="175"/>
      <c r="AB435" s="175"/>
      <c r="AC435" s="170">
        <f t="shared" si="1086"/>
        <v>8188.6234780617851</v>
      </c>
      <c r="AD435" s="175">
        <f t="shared" si="1224"/>
        <v>2.7138280409404508E-3</v>
      </c>
      <c r="AE435" s="170"/>
      <c r="AF435" s="170"/>
      <c r="AG435" s="121">
        <f t="shared" si="1225"/>
        <v>549.6827198806327</v>
      </c>
      <c r="AH435" s="119">
        <f>+AZ435/$BB$51</f>
        <v>4.0879662467028832E-4</v>
      </c>
      <c r="AI435" s="119">
        <f>+AZ435/$BC$51</f>
        <v>1.7454174444028246E-3</v>
      </c>
      <c r="AJ435" s="176">
        <f t="shared" si="1230"/>
        <v>0.22470844052678624</v>
      </c>
      <c r="AK435" s="176">
        <f t="shared" si="1231"/>
        <v>0.95942580816644762</v>
      </c>
      <c r="AL435" s="120">
        <f t="shared" si="1213"/>
        <v>0.27110021046624039</v>
      </c>
      <c r="AM435" s="120">
        <f t="shared" si="1214"/>
        <v>0.39260373928992898</v>
      </c>
      <c r="AN435" s="120">
        <f t="shared" si="1215"/>
        <v>0.33629605024383069</v>
      </c>
      <c r="AO435" s="120">
        <f t="shared" si="1219"/>
        <v>-5.1273872683679118E-3</v>
      </c>
      <c r="AP435" s="173">
        <f t="shared" si="1235"/>
        <v>173.09787188384163</v>
      </c>
      <c r="AQ435" s="175">
        <f t="shared" si="1236"/>
        <v>-5.1273872683679509E-3</v>
      </c>
      <c r="AR435" s="177">
        <f>+AC435/$AE$51</f>
        <v>7.3872078929993672E-4</v>
      </c>
      <c r="AS435" s="177">
        <f t="shared" si="1232"/>
        <v>-3.7877075699352192E-6</v>
      </c>
      <c r="AT435" s="177"/>
      <c r="AU435" s="177"/>
      <c r="AV435" s="177"/>
      <c r="AW435" s="190"/>
      <c r="AX435" s="120"/>
      <c r="AY435" s="120"/>
      <c r="AZ435" s="118">
        <f>IFERROR(INDEX('Total Customers'!$F$7:$AB$91,MATCH($C435,'Total Customers'!$D$7:$D$91,0),MATCH($G435,'Total Customers'!$F$5:$AB$5,0)),"NA")</f>
        <v>14897</v>
      </c>
      <c r="BA435" s="119">
        <f t="shared" si="1194"/>
        <v>4.7000370153828491E-4</v>
      </c>
      <c r="BB435" s="119"/>
      <c r="BC435" s="121">
        <v>8534921</v>
      </c>
      <c r="BD435" s="119"/>
      <c r="BE435" s="119"/>
      <c r="BF435" s="119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73"/>
      <c r="BQ435" s="118"/>
      <c r="BR435" s="118"/>
      <c r="BS435" s="118">
        <f>INDEX('Dist. Plant Gas Additions'!$F$7:$AE$91,MATCH($C435,'Dist. Plant Gas Additions'!$D$7:$D$91,0),MATCH(Calculation!$G435,'Dist. Plant Gas Additions'!$F$5:$AE$5,0))</f>
        <v>6217</v>
      </c>
      <c r="BT435" s="118">
        <f>INDEX('Gen. Plant Additions'!$F$7:$AE$91,MATCH($C435,'Gen. Plant Additions'!$D$7:$D$91,0),MATCH(Calculation!$G435,'Gen. Plant Additions'!$F$5:$AE$5,0))</f>
        <v>798</v>
      </c>
      <c r="BU435" s="118"/>
      <c r="BV435" s="118"/>
      <c r="BW435" s="118">
        <f>INDEX('Dist Plant Depreciation'!$E$7:$AD$94,MATCH($C435,'Dist Plant Depreciation'!$D$7:$D$94,0),MATCH(Calculation!$G435,'Dist Plant Depreciation'!$E$5:$AD$5,0))</f>
        <v>11049</v>
      </c>
      <c r="BX435" s="118">
        <f>INDEX('Gen. Plant Depreciation'!$E$7:$AD$94,MATCH($C435,'Gen. Plant Depreciation'!$D$7:$D$94,0),MATCH(Calculation!$G435,'Gen. Plant Depreciation'!$E$5:$AD$5,0))</f>
        <v>5134</v>
      </c>
      <c r="BY435" s="118"/>
      <c r="BZ435" s="118"/>
      <c r="CA435" s="118"/>
      <c r="CB435" s="118"/>
      <c r="CC435" s="118"/>
      <c r="CD435" s="118"/>
      <c r="CE435" s="118">
        <f>INDEX('Gross Dx Plant'!$E$7:$AD$91,MATCH($C435,'Gross Dx Plant'!$D$7:$D$91,0),MATCH(Calculation!$G435,'Gross Dx Plant'!$E$5:$AD$5,0))</f>
        <v>48281</v>
      </c>
      <c r="CF435" s="118">
        <f>INDEX('Gross Gen Plant'!$E$7:$AD$91,MATCH($C435,'Gross Gen Plant'!$D$7:$D$91,0),MATCH(Calculation!$G435,'Gross Gen Plant'!$E$5:$AD$5,0))</f>
        <v>9589</v>
      </c>
      <c r="CG435" s="118">
        <f t="shared" si="1177"/>
        <v>41687</v>
      </c>
      <c r="CH435" s="118"/>
      <c r="CI435" s="121">
        <v>2013</v>
      </c>
      <c r="CJ435" s="118"/>
      <c r="CK435" s="118"/>
      <c r="CL435" s="118"/>
      <c r="CM435" s="183"/>
      <c r="CN435" s="118">
        <f t="shared" si="1195"/>
        <v>7015</v>
      </c>
      <c r="CO435" s="118">
        <f t="shared" si="1196"/>
        <v>10.576731043682333</v>
      </c>
      <c r="CP435" s="186">
        <v>0.90566037735849059</v>
      </c>
      <c r="CQ435" s="118">
        <f>+CQ420*CP435+CO421*CP434+CO422*CP433+CO423*CP432+CO424*CP431+CO425*CP430+CO426*CP429+CO427*CP428+CO428*CP427+CO429*CP426+CO430*CP425+CO431*CP424+CO432*CP423+CO433*CP422+CO434*CP421+CO435</f>
        <v>133.34630058042816</v>
      </c>
      <c r="CR435" s="119">
        <f t="shared" si="1197"/>
        <v>7.5472275032882272E-2</v>
      </c>
      <c r="CS435" s="119"/>
      <c r="CT435" s="177">
        <f t="shared" si="1198"/>
        <v>7.1424238834950212E-3</v>
      </c>
      <c r="CU435" s="177">
        <f t="shared" si="1206"/>
        <v>7.0178608366582088E-3</v>
      </c>
      <c r="CV435" s="119">
        <f>VLOOKUP($H435,RoR!$E:$F,2,FALSE)</f>
        <v>4.2350000000000006E-2</v>
      </c>
      <c r="CW435" s="177">
        <v>1.7730000000000024E-2</v>
      </c>
      <c r="CX435" s="177">
        <f t="shared" si="1204"/>
        <v>2.4619999999999982E-2</v>
      </c>
      <c r="CY435" s="177">
        <f t="shared" si="1207"/>
        <v>2.3884080771875416E-2</v>
      </c>
      <c r="CZ435" s="177">
        <f t="shared" si="1208"/>
        <v>5.3376742735721204E-2</v>
      </c>
      <c r="DA435" s="187">
        <f t="shared" si="1199"/>
        <v>0.85131374874999999</v>
      </c>
      <c r="DB435" s="188">
        <f t="shared" si="1200"/>
        <v>1.2109103018193925</v>
      </c>
      <c r="DC435" s="188">
        <f t="shared" si="1201"/>
        <v>0.38468122786304604</v>
      </c>
      <c r="DD435" s="188">
        <f t="shared" si="1202"/>
        <v>0.80969194503422559</v>
      </c>
      <c r="DE435" s="188">
        <f t="shared" si="1203"/>
        <v>0.37716621754800816</v>
      </c>
      <c r="DF435" s="189">
        <f>INDEX('State Tax Lookup'!$D$7:$Z$91,MATCH(Calculation!$C435,'State Tax Lookup'!$B$7:$B$91,0),MATCH($H435,'State Tax Lookup'!$D$6:$Z$6,0))</f>
        <v>0.39649667</v>
      </c>
      <c r="DG435" s="189">
        <v>0.375</v>
      </c>
      <c r="DH435" s="190">
        <f t="shared" si="1205"/>
        <v>22.270444733638623</v>
      </c>
      <c r="DI435" s="190">
        <v>22.039597815230611</v>
      </c>
      <c r="DJ435" s="177"/>
      <c r="DK435" s="189">
        <f>VLOOKUP($H435,RoR!$E:$F,2,FALSE)</f>
        <v>4.2350000000000006E-2</v>
      </c>
      <c r="DL435" s="191">
        <f>HLOOKUP($H435,'GDP-PI'!$D$8:$CQ$11,3,FALSE)</f>
        <v>1.7730000000000024E-2</v>
      </c>
      <c r="DM435" s="189">
        <f>VLOOKUP(H435,'HW Dx Data'!$E:$F,2,FALSE)</f>
        <v>663.24840548821396</v>
      </c>
      <c r="DN435" s="183">
        <f>VLOOKUP(H435,'ECI - Input Price'!$G$17:$H$37,2,FALSE)</f>
        <v>118.72499999999999</v>
      </c>
      <c r="DO435" s="177">
        <f t="shared" ref="DO435" si="1247">LN(DN435/DN434)</f>
        <v>1.8918621429430321E-2</v>
      </c>
      <c r="DP435" s="183">
        <f>HLOOKUP(H435,'GDP-PI'!$8:$9,2,FALSE)</f>
        <v>101.773</v>
      </c>
      <c r="DQ435" s="177">
        <f t="shared" ref="DQ435" si="1248">LN(DP435/DP434)</f>
        <v>1.7574657016510519E-2</v>
      </c>
      <c r="DR435" s="167">
        <v>9.1881865913332732E-3</v>
      </c>
    </row>
    <row r="436" spans="1:122" s="167" customFormat="1" ht="21" x14ac:dyDescent="0.35">
      <c r="A436" s="167" t="s">
        <v>53</v>
      </c>
      <c r="B436" s="168" t="s">
        <v>53</v>
      </c>
      <c r="C436" s="168">
        <v>4059459</v>
      </c>
      <c r="D436" s="168" t="s">
        <v>136</v>
      </c>
      <c r="E436" s="168" t="s">
        <v>126</v>
      </c>
      <c r="F436" s="168"/>
      <c r="G436" s="168" t="s">
        <v>20</v>
      </c>
      <c r="H436" s="169">
        <v>2014</v>
      </c>
      <c r="I436" s="170"/>
      <c r="J436" s="166">
        <f>IFERROR(INDEX('Labor Expenditures'!$F$7:$X$91,MATCH($C436,'Labor Expenditures'!$D$7:$D$91,0),MATCH($G436,'Labor Expenditures'!$F$5:$X$5,0)),"NA")</f>
        <v>2560.0428994144359</v>
      </c>
      <c r="K436" s="166">
        <f t="shared" si="1211"/>
        <v>21.122466166785774</v>
      </c>
      <c r="L436" s="172">
        <f t="shared" si="1218"/>
        <v>0.12191277262858236</v>
      </c>
      <c r="M436" s="172">
        <f t="shared" si="1222"/>
        <v>9.9838211896571743E-5</v>
      </c>
      <c r="N436" s="196"/>
      <c r="O436" s="172"/>
      <c r="P436" s="166">
        <f>IFERROR(INDEX('Non-Labor Expenditures'!$F$7:$AB$91,MATCH($C436,'Non-Labor Expenditures'!$D$7:$D$91,0),MATCH($G436,'Non-Labor Expenditures'!$F$5:$AB$5,0)),"NA")</f>
        <v>3707.4202684099355</v>
      </c>
      <c r="Q436" s="166">
        <f t="shared" si="1212"/>
        <v>35.769682368133523</v>
      </c>
      <c r="R436" s="172">
        <f t="shared" si="1223"/>
        <v>0.12429889993035496</v>
      </c>
      <c r="S436" s="172">
        <f t="shared" si="1228"/>
        <v>1.0179228674886261E-4</v>
      </c>
      <c r="T436" s="172"/>
      <c r="U436" s="172"/>
      <c r="V436" s="166">
        <f t="shared" si="1193"/>
        <v>3051.8181428009489</v>
      </c>
      <c r="W436" s="170"/>
      <c r="X436" s="174">
        <v>143.49834686168364</v>
      </c>
      <c r="Y436" s="175">
        <v>7.3374006941492931E-2</v>
      </c>
      <c r="Z436" s="175">
        <f t="shared" si="1229"/>
        <v>6.0088286852790617E-5</v>
      </c>
      <c r="AA436" s="175"/>
      <c r="AB436" s="175"/>
      <c r="AC436" s="170">
        <f t="shared" si="1086"/>
        <v>9319.2813106253197</v>
      </c>
      <c r="AD436" s="175">
        <f t="shared" si="1224"/>
        <v>0.12933970288800548</v>
      </c>
      <c r="AE436" s="170"/>
      <c r="AF436" s="170"/>
      <c r="AG436" s="121">
        <f t="shared" si="1225"/>
        <v>627.43427661922306</v>
      </c>
      <c r="AH436" s="119">
        <f>+AZ436/$BB$52</f>
        <v>4.0540122615347572E-4</v>
      </c>
      <c r="AI436" s="119">
        <f>+AZ436/$BC$52</f>
        <v>1.7271424275624627E-3</v>
      </c>
      <c r="AJ436" s="176">
        <f t="shared" si="1230"/>
        <v>0.25436262507215207</v>
      </c>
      <c r="AK436" s="176">
        <f t="shared" si="1231"/>
        <v>1.0836683596560226</v>
      </c>
      <c r="AL436" s="120">
        <f t="shared" si="1213"/>
        <v>0.27470389765953507</v>
      </c>
      <c r="AM436" s="120">
        <f t="shared" si="1214"/>
        <v>0.39782255142174361</v>
      </c>
      <c r="AN436" s="120">
        <f t="shared" si="1215"/>
        <v>0.32747355091872132</v>
      </c>
      <c r="AO436" s="120">
        <f t="shared" si="1219"/>
        <v>0.10674652293421438</v>
      </c>
      <c r="AP436" s="173">
        <f t="shared" si="1235"/>
        <v>192.59772570282823</v>
      </c>
      <c r="AQ436" s="175">
        <f t="shared" si="1236"/>
        <v>0.10674652293421433</v>
      </c>
      <c r="AR436" s="177">
        <f>+AC436/$AE$52</f>
        <v>8.1893151754277096E-4</v>
      </c>
      <c r="AS436" s="177">
        <f t="shared" si="1232"/>
        <v>8.741809201893034E-5</v>
      </c>
      <c r="AT436" s="177"/>
      <c r="AU436" s="177"/>
      <c r="AV436" s="177"/>
      <c r="AW436" s="190"/>
      <c r="AX436" s="120"/>
      <c r="AY436" s="120"/>
      <c r="AZ436" s="118">
        <f>IFERROR(INDEX('Total Customers'!$F$7:$AB$91,MATCH($C436,'Total Customers'!$D$7:$D$91,0),MATCH($G436,'Total Customers'!$F$5:$AB$5,0)),"NA")</f>
        <v>14853</v>
      </c>
      <c r="BA436" s="119">
        <f t="shared" si="1194"/>
        <v>-2.9579853500602592E-3</v>
      </c>
      <c r="BB436" s="119"/>
      <c r="BC436" s="121">
        <v>8599754</v>
      </c>
      <c r="BD436" s="119"/>
      <c r="BE436" s="119"/>
      <c r="BF436" s="119"/>
      <c r="BG436" s="173"/>
      <c r="BH436" s="173"/>
      <c r="BI436" s="173"/>
      <c r="BJ436" s="173"/>
      <c r="BK436" s="173"/>
      <c r="BL436" s="173"/>
      <c r="BM436" s="173"/>
      <c r="BN436" s="173"/>
      <c r="BO436" s="173"/>
      <c r="BP436" s="173"/>
      <c r="BQ436" s="118"/>
      <c r="BR436" s="118"/>
      <c r="BS436" s="118">
        <f>INDEX('Dist. Plant Gas Additions'!$F$7:$AE$91,MATCH($C436,'Dist. Plant Gas Additions'!$D$7:$D$91,0),MATCH(Calculation!$G436,'Dist. Plant Gas Additions'!$F$5:$AE$5,0))</f>
        <v>6646</v>
      </c>
      <c r="BT436" s="118">
        <f>INDEX('Gen. Plant Additions'!$F$7:$AE$91,MATCH($C436,'Gen. Plant Additions'!$D$7:$D$91,0),MATCH(Calculation!$G436,'Gen. Plant Additions'!$F$5:$AE$5,0))</f>
        <v>965</v>
      </c>
      <c r="BU436" s="118"/>
      <c r="BV436" s="118"/>
      <c r="BW436" s="118">
        <f>INDEX('Dist Plant Depreciation'!$E$7:$AD$94,MATCH($C436,'Dist Plant Depreciation'!$D$7:$D$94,0),MATCH(Calculation!$G436,'Dist Plant Depreciation'!$E$5:$AD$5,0))</f>
        <v>11660</v>
      </c>
      <c r="BX436" s="118">
        <f>INDEX('Gen. Plant Depreciation'!$E$7:$AD$94,MATCH($C436,'Gen. Plant Depreciation'!$D$7:$D$94,0),MATCH(Calculation!$G436,'Gen. Plant Depreciation'!$E$5:$AD$5,0))</f>
        <v>5892</v>
      </c>
      <c r="BY436" s="118"/>
      <c r="BZ436" s="118"/>
      <c r="CA436" s="118"/>
      <c r="CB436" s="118"/>
      <c r="CC436" s="118"/>
      <c r="CD436" s="118"/>
      <c r="CE436" s="118">
        <f>INDEX('Gross Dx Plant'!$E$7:$AD$91,MATCH($C436,'Gross Dx Plant'!$D$7:$D$91,0),MATCH(Calculation!$G436,'Gross Dx Plant'!$E$5:$AD$5,0))</f>
        <v>54825</v>
      </c>
      <c r="CF436" s="118">
        <f>INDEX('Gross Gen Plant'!$E$7:$AD$91,MATCH($C436,'Gross Gen Plant'!$D$7:$D$91,0),MATCH(Calculation!$G436,'Gross Gen Plant'!$E$5:$AD$5,0))</f>
        <v>10460</v>
      </c>
      <c r="CG436" s="118">
        <f t="shared" si="1177"/>
        <v>47733</v>
      </c>
      <c r="CH436" s="118"/>
      <c r="CI436" s="121">
        <v>2014</v>
      </c>
      <c r="CJ436" s="118"/>
      <c r="CK436" s="118"/>
      <c r="CL436" s="118"/>
      <c r="CM436" s="183"/>
      <c r="CN436" s="118">
        <f t="shared" si="1195"/>
        <v>7611</v>
      </c>
      <c r="CO436" s="118">
        <f t="shared" si="1196"/>
        <v>11.119566279210876</v>
      </c>
      <c r="CP436" s="186">
        <v>0.89743589743589747</v>
      </c>
      <c r="CQ436" s="118">
        <f>+CQ420*CP436+CO421*CP435+CO422*CP434+CO423*CP433+CO424*CP432+CO425*CP431+CO426*CP430+CO427*CP429+CO428*CP428+CO429*CP427+CO430*CP426+CO431*CP425+CO432*CP424+CO433*CP423+CO434*CP422+CO435*CP421+CO436</f>
        <v>143.49834686168364</v>
      </c>
      <c r="CR436" s="119">
        <f t="shared" si="1197"/>
        <v>7.3374006941492931E-2</v>
      </c>
      <c r="CS436" s="119"/>
      <c r="CT436" s="177">
        <f t="shared" si="1198"/>
        <v>7.255694336805645E-3</v>
      </c>
      <c r="CU436" s="177">
        <f t="shared" si="1206"/>
        <v>7.1412833247049279E-3</v>
      </c>
      <c r="CV436" s="119">
        <f>VLOOKUP($H436,RoR!$E:$F,2,FALSE)</f>
        <v>4.1625000000000002E-2</v>
      </c>
      <c r="CW436" s="177">
        <v>1.841352814597208E-2</v>
      </c>
      <c r="CX436" s="177">
        <f t="shared" si="1204"/>
        <v>2.3211471854027922E-2</v>
      </c>
      <c r="CY436" s="177">
        <f t="shared" si="1207"/>
        <v>2.3760658283828697E-2</v>
      </c>
      <c r="CZ436" s="177">
        <f t="shared" si="1208"/>
        <v>3.9072621432650924E-2</v>
      </c>
      <c r="DA436" s="187">
        <f t="shared" si="1199"/>
        <v>0.85131374874999999</v>
      </c>
      <c r="DB436" s="188">
        <f t="shared" si="1200"/>
        <v>1.2320012320012319</v>
      </c>
      <c r="DC436" s="188">
        <f t="shared" si="1201"/>
        <v>0.37439939939939942</v>
      </c>
      <c r="DD436" s="188">
        <f t="shared" si="1202"/>
        <v>0.80432100613819935</v>
      </c>
      <c r="DE436" s="188">
        <f t="shared" si="1203"/>
        <v>0.37100152660040037</v>
      </c>
      <c r="DF436" s="189">
        <f>INDEX('State Tax Lookup'!$D$7:$Z$91,MATCH(Calculation!$C436,'State Tax Lookup'!$B$7:$B$91,0),MATCH($H436,'State Tax Lookup'!$D$6:$Z$6,0))</f>
        <v>0.39649667</v>
      </c>
      <c r="DG436" s="189">
        <v>0.375</v>
      </c>
      <c r="DH436" s="190">
        <f t="shared" si="1205"/>
        <v>22.886410267979176</v>
      </c>
      <c r="DI436" s="190">
        <v>22.644826471184331</v>
      </c>
      <c r="DJ436" s="177"/>
      <c r="DK436" s="189">
        <f>VLOOKUP($H436,RoR!$E:$F,2,FALSE)</f>
        <v>4.1625000000000002E-2</v>
      </c>
      <c r="DL436" s="191">
        <f>HLOOKUP($H436,'GDP-PI'!$D$8:$CQ$11,3,FALSE)</f>
        <v>1.841352814597208E-2</v>
      </c>
      <c r="DM436" s="189">
        <f>VLOOKUP(H436,'HW Dx Data'!$E:$F,2,FALSE)</f>
        <v>684.46914285042885</v>
      </c>
      <c r="DN436" s="183">
        <f>VLOOKUP(H436,'ECI - Input Price'!$G$17:$H$37,2,FALSE)</f>
        <v>121.2</v>
      </c>
      <c r="DO436" s="177">
        <f t="shared" ref="DO436" si="1249">LN(DN436/DN435)</f>
        <v>2.0632179200028689E-2</v>
      </c>
      <c r="DP436" s="183">
        <f>HLOOKUP(H436,'GDP-PI'!$8:$9,2,FALSE)</f>
        <v>103.64700000000001</v>
      </c>
      <c r="DQ436" s="177">
        <f t="shared" ref="DQ436" si="1250">LN(DP436/DP435)</f>
        <v>1.8246051898256087E-2</v>
      </c>
      <c r="DR436" s="167">
        <v>1.9939254211924117E-2</v>
      </c>
    </row>
    <row r="437" spans="1:122" s="167" customFormat="1" ht="21" x14ac:dyDescent="0.35">
      <c r="A437" s="167" t="s">
        <v>53</v>
      </c>
      <c r="B437" s="168" t="s">
        <v>53</v>
      </c>
      <c r="C437" s="168">
        <v>4059459</v>
      </c>
      <c r="D437" s="168" t="s">
        <v>136</v>
      </c>
      <c r="E437" s="168" t="s">
        <v>126</v>
      </c>
      <c r="F437" s="168"/>
      <c r="G437" s="168" t="s">
        <v>21</v>
      </c>
      <c r="H437" s="169">
        <v>2015</v>
      </c>
      <c r="I437" s="170"/>
      <c r="J437" s="166">
        <f>IFERROR(INDEX('Labor Expenditures'!$F$7:$X$91,MATCH($C437,'Labor Expenditures'!$D$7:$D$91,0),MATCH($G437,'Labor Expenditures'!$F$5:$X$5,0)),"NA")</f>
        <v>2625.6756584550667</v>
      </c>
      <c r="K437" s="166">
        <f t="shared" si="1211"/>
        <v>21.217581078424782</v>
      </c>
      <c r="L437" s="172">
        <f t="shared" si="1218"/>
        <v>4.4929128722668733E-3</v>
      </c>
      <c r="M437" s="172">
        <f t="shared" si="1222"/>
        <v>3.7762109652579184E-6</v>
      </c>
      <c r="N437" s="196"/>
      <c r="O437" s="172"/>
      <c r="P437" s="166">
        <f>IFERROR(INDEX('Non-Labor Expenditures'!$F$7:$AB$91,MATCH($C437,'Non-Labor Expenditures'!$D$7:$D$91,0),MATCH($G437,'Non-Labor Expenditures'!$F$5:$AB$5,0)),"NA")</f>
        <v>3802.4687620092254</v>
      </c>
      <c r="Q437" s="166">
        <f t="shared" si="1212"/>
        <v>36.338924894248088</v>
      </c>
      <c r="R437" s="172">
        <f t="shared" si="1223"/>
        <v>1.5788804500409721E-2</v>
      </c>
      <c r="S437" s="172">
        <f t="shared" si="1228"/>
        <v>1.3270200953769863E-5</v>
      </c>
      <c r="T437" s="172"/>
      <c r="U437" s="172"/>
      <c r="V437" s="166">
        <f t="shared" si="1193"/>
        <v>3232.9724070493485</v>
      </c>
      <c r="W437" s="170"/>
      <c r="X437" s="174">
        <v>146.20589804020997</v>
      </c>
      <c r="Y437" s="175">
        <v>1.8692373768569977E-2</v>
      </c>
      <c r="Z437" s="175">
        <f t="shared" si="1229"/>
        <v>1.5710597734328973E-5</v>
      </c>
      <c r="AA437" s="175"/>
      <c r="AB437" s="175"/>
      <c r="AC437" s="170">
        <f t="shared" si="1086"/>
        <v>9661.1168275136406</v>
      </c>
      <c r="AD437" s="175">
        <f t="shared" si="1224"/>
        <v>3.602374202561532E-2</v>
      </c>
      <c r="AE437" s="170"/>
      <c r="AF437" s="170"/>
      <c r="AG437" s="121">
        <f t="shared" si="1225"/>
        <v>651.85323713066873</v>
      </c>
      <c r="AH437" s="119">
        <f>+AZ437/$BB$53</f>
        <v>4.0124783279927651E-4</v>
      </c>
      <c r="AI437" s="119">
        <f>+AZ437/$BC$53</f>
        <v>1.7116079725985663E-3</v>
      </c>
      <c r="AJ437" s="176">
        <f t="shared" si="1230"/>
        <v>0.2615546987018737</v>
      </c>
      <c r="AK437" s="176">
        <f t="shared" si="1231"/>
        <v>1.1157171976370364</v>
      </c>
      <c r="AL437" s="120">
        <f t="shared" si="1213"/>
        <v>0.27177765317747465</v>
      </c>
      <c r="AM437" s="120">
        <f t="shared" si="1214"/>
        <v>0.39358480286464137</v>
      </c>
      <c r="AN437" s="120">
        <f t="shared" si="1215"/>
        <v>0.33463754395788398</v>
      </c>
      <c r="AO437" s="120">
        <f t="shared" si="1219"/>
        <v>1.3663549026488399E-2</v>
      </c>
      <c r="AP437" s="173">
        <f t="shared" si="1235"/>
        <v>195.24735461559331</v>
      </c>
      <c r="AQ437" s="175">
        <f t="shared" si="1236"/>
        <v>1.3663549026488319E-2</v>
      </c>
      <c r="AR437" s="177">
        <f>+AC437/$AE$53</f>
        <v>8.4048168139807546E-4</v>
      </c>
      <c r="AS437" s="177">
        <f t="shared" si="1232"/>
        <v>1.1483962659647939E-5</v>
      </c>
      <c r="AT437" s="177"/>
      <c r="AU437" s="177"/>
      <c r="AV437" s="177"/>
      <c r="AW437" s="190"/>
      <c r="AX437" s="120"/>
      <c r="AY437" s="120"/>
      <c r="AZ437" s="118">
        <f>IFERROR(INDEX('Total Customers'!$F$7:$AB$91,MATCH($C437,'Total Customers'!$D$7:$D$91,0),MATCH($G437,'Total Customers'!$F$5:$AB$5,0)),"NA")</f>
        <v>14821</v>
      </c>
      <c r="BA437" s="119">
        <f t="shared" si="1194"/>
        <v>-2.1567710726177517E-3</v>
      </c>
      <c r="BB437" s="119"/>
      <c r="BC437" s="121">
        <v>8659109</v>
      </c>
      <c r="BD437" s="119"/>
      <c r="BE437" s="119"/>
      <c r="BF437" s="119"/>
      <c r="BG437" s="173"/>
      <c r="BH437" s="173"/>
      <c r="BI437" s="173"/>
      <c r="BJ437" s="173"/>
      <c r="BK437" s="173"/>
      <c r="BL437" s="173"/>
      <c r="BM437" s="173"/>
      <c r="BN437" s="173"/>
      <c r="BO437" s="173"/>
      <c r="BP437" s="173"/>
      <c r="BQ437" s="118"/>
      <c r="BR437" s="118"/>
      <c r="BS437" s="118">
        <f>INDEX('Dist. Plant Gas Additions'!$F$7:$AE$91,MATCH($C437,'Dist. Plant Gas Additions'!$D$7:$D$91,0),MATCH(Calculation!$G437,'Dist. Plant Gas Additions'!$F$5:$AE$5,0))</f>
        <v>2247</v>
      </c>
      <c r="BT437" s="118">
        <f>INDEX('Gen. Plant Additions'!$F$7:$AE$91,MATCH($C437,'Gen. Plant Additions'!$D$7:$D$91,0),MATCH(Calculation!$G437,'Gen. Plant Additions'!$F$5:$AE$5,0))</f>
        <v>297</v>
      </c>
      <c r="BU437" s="118"/>
      <c r="BV437" s="118"/>
      <c r="BW437" s="118">
        <f>INDEX('Dist Plant Depreciation'!$E$7:$AD$94,MATCH($C437,'Dist Plant Depreciation'!$D$7:$D$94,0),MATCH(Calculation!$G437,'Dist Plant Depreciation'!$E$5:$AD$5,0))</f>
        <v>12520</v>
      </c>
      <c r="BX437" s="118">
        <f>INDEX('Gen. Plant Depreciation'!$E$7:$AD$94,MATCH($C437,'Gen. Plant Depreciation'!$D$7:$D$94,0),MATCH(Calculation!$G437,'Gen. Plant Depreciation'!$E$5:$AD$5,0))</f>
        <v>6428</v>
      </c>
      <c r="BY437" s="118"/>
      <c r="BZ437" s="118"/>
      <c r="CA437" s="118"/>
      <c r="CB437" s="118"/>
      <c r="CC437" s="118"/>
      <c r="CD437" s="118"/>
      <c r="CE437" s="118">
        <f>INDEX('Gross Dx Plant'!$E$7:$AD$91,MATCH($C437,'Gross Dx Plant'!$D$7:$D$91,0),MATCH(Calculation!$G437,'Gross Dx Plant'!$E$5:$AD$5,0))</f>
        <v>56845</v>
      </c>
      <c r="CF437" s="118">
        <f>INDEX('Gross Gen Plant'!$E$7:$AD$91,MATCH($C437,'Gross Gen Plant'!$D$7:$D$91,0),MATCH(Calculation!$G437,'Gross Gen Plant'!$E$5:$AD$5,0))</f>
        <v>10756</v>
      </c>
      <c r="CG437" s="118">
        <f t="shared" si="1177"/>
        <v>48653</v>
      </c>
      <c r="CH437" s="118"/>
      <c r="CI437" s="121">
        <v>2015</v>
      </c>
      <c r="CJ437" s="118"/>
      <c r="CK437" s="118"/>
      <c r="CL437" s="118"/>
      <c r="CM437" s="183"/>
      <c r="CN437" s="118">
        <f t="shared" si="1195"/>
        <v>2544</v>
      </c>
      <c r="CO437" s="118">
        <f t="shared" si="1196"/>
        <v>3.7654601830888605</v>
      </c>
      <c r="CP437" s="186">
        <v>0.88888888888888884</v>
      </c>
      <c r="CQ437" s="118">
        <f>+CQ420*CP437+CO421*CP436+CO422*CP435+CO423*CP434+CO424*CP433+CO425*CP432+CO426*CP431+CO427*CP430+CO428*CP429+CO429*CP428+CO430*CP427+CO431*CP426+CO432*CP425+CO433*CP424+CO434*CP423+CO435*CP422+CO436*CP421+CO437</f>
        <v>146.20589804020997</v>
      </c>
      <c r="CR437" s="119">
        <f t="shared" si="1197"/>
        <v>1.8692373768569977E-2</v>
      </c>
      <c r="CS437" s="119"/>
      <c r="CT437" s="177">
        <f t="shared" si="1198"/>
        <v>7.3722731146320195E-3</v>
      </c>
      <c r="CU437" s="177">
        <f t="shared" si="1206"/>
        <v>7.2567971116442283E-3</v>
      </c>
      <c r="CV437" s="119">
        <f>VLOOKUP($H437,RoR!$E:$F,2,FALSE)</f>
        <v>3.8866666666666674E-2</v>
      </c>
      <c r="CW437" s="177">
        <v>9.5709475431029478E-3</v>
      </c>
      <c r="CX437" s="177">
        <f t="shared" si="1204"/>
        <v>2.9295719123563727E-2</v>
      </c>
      <c r="CY437" s="177">
        <f t="shared" si="1207"/>
        <v>2.3645144496889398E-2</v>
      </c>
      <c r="CZ437" s="177">
        <f t="shared" si="1208"/>
        <v>3.5270373279175926E-3</v>
      </c>
      <c r="DA437" s="187">
        <f t="shared" si="1199"/>
        <v>0.85131374874999999</v>
      </c>
      <c r="DB437" s="188">
        <f t="shared" si="1200"/>
        <v>1.3194352816994324</v>
      </c>
      <c r="DC437" s="188">
        <f t="shared" si="1201"/>
        <v>0.33177530017152673</v>
      </c>
      <c r="DD437" s="188">
        <f t="shared" si="1202"/>
        <v>0.78242572977668579</v>
      </c>
      <c r="DE437" s="188">
        <f t="shared" si="1203"/>
        <v>0.34251158643433932</v>
      </c>
      <c r="DF437" s="189">
        <f>INDEX('State Tax Lookup'!$D$7:$Z$91,MATCH(Calculation!$C437,'State Tax Lookup'!$B$7:$B$91,0),MATCH($H437,'State Tax Lookup'!$D$6:$Z$6,0))</f>
        <v>0.39649667</v>
      </c>
      <c r="DG437" s="189">
        <v>0.375</v>
      </c>
      <c r="DH437" s="190">
        <f t="shared" si="1205"/>
        <v>22.529683984203473</v>
      </c>
      <c r="DI437" s="190">
        <v>22.261125105792299</v>
      </c>
      <c r="DJ437" s="177"/>
      <c r="DK437" s="189">
        <f>VLOOKUP($H437,RoR!$E:$F,2,FALSE)</f>
        <v>3.8866666666666674E-2</v>
      </c>
      <c r="DL437" s="191">
        <f>HLOOKUP($H437,'GDP-PI'!$D$8:$CQ$11,3,FALSE)</f>
        <v>9.5709475431029478E-3</v>
      </c>
      <c r="DM437" s="189">
        <f>VLOOKUP(H437,'HW Dx Data'!$E:$F,2,FALSE)</f>
        <v>675.61463308665782</v>
      </c>
      <c r="DN437" s="183">
        <f>VLOOKUP(H437,'ECI - Input Price'!$G$17:$H$37,2,FALSE)</f>
        <v>123.75</v>
      </c>
      <c r="DO437" s="177">
        <f t="shared" ref="DO437" si="1251">LN(DN437/DN436)</f>
        <v>2.0821327813585516E-2</v>
      </c>
      <c r="DP437" s="183">
        <f>HLOOKUP(H437,'GDP-PI'!$8:$9,2,FALSE)</f>
        <v>104.639</v>
      </c>
      <c r="DQ437" s="177">
        <f t="shared" ref="DQ437" si="1252">LN(DP437/DP436)</f>
        <v>9.5254361854427965E-3</v>
      </c>
      <c r="DR437" s="167">
        <v>2.8874531128939519E-3</v>
      </c>
    </row>
    <row r="438" spans="1:122" s="167" customFormat="1" ht="21" x14ac:dyDescent="0.35">
      <c r="A438" s="167" t="s">
        <v>53</v>
      </c>
      <c r="B438" s="168" t="s">
        <v>53</v>
      </c>
      <c r="C438" s="168">
        <v>4059459</v>
      </c>
      <c r="D438" s="168" t="s">
        <v>136</v>
      </c>
      <c r="E438" s="168" t="s">
        <v>126</v>
      </c>
      <c r="F438" s="168"/>
      <c r="G438" s="168" t="s">
        <v>22</v>
      </c>
      <c r="H438" s="169">
        <v>2016</v>
      </c>
      <c r="I438" s="170"/>
      <c r="J438" s="166">
        <f>IFERROR(INDEX('Labor Expenditures'!$F$7:$X$91,MATCH($C438,'Labor Expenditures'!$D$7:$D$91,0),MATCH($G438,'Labor Expenditures'!$F$5:$X$5,0)),"NA")</f>
        <v>2515.3910202612187</v>
      </c>
      <c r="K438" s="166">
        <f t="shared" si="1211"/>
        <v>19.900245413459007</v>
      </c>
      <c r="L438" s="172">
        <f t="shared" si="1218"/>
        <v>-6.4098070164990611E-2</v>
      </c>
      <c r="M438" s="172">
        <f t="shared" si="1222"/>
        <v>-5.0690861523605356E-5</v>
      </c>
      <c r="N438" s="196"/>
      <c r="O438" s="172"/>
      <c r="P438" s="166">
        <f>IFERROR(INDEX('Non-Labor Expenditures'!$F$7:$AB$91,MATCH($C438,'Non-Labor Expenditures'!$D$7:$D$91,0),MATCH($G438,'Non-Labor Expenditures'!$F$5:$AB$5,0)),"NA")</f>
        <v>3642.7560075754427</v>
      </c>
      <c r="Q438" s="166">
        <f t="shared" si="1212"/>
        <v>34.4514262651835</v>
      </c>
      <c r="R438" s="172">
        <f t="shared" si="1223"/>
        <v>-5.3339080268238012E-2</v>
      </c>
      <c r="S438" s="172">
        <f t="shared" si="1228"/>
        <v>-4.2182298542125222E-5</v>
      </c>
      <c r="T438" s="172"/>
      <c r="U438" s="172"/>
      <c r="V438" s="166">
        <f t="shared" si="1193"/>
        <v>3251.0924241337716</v>
      </c>
      <c r="W438" s="170"/>
      <c r="X438" s="174">
        <v>160.66416069339874</v>
      </c>
      <c r="Y438" s="175">
        <v>9.430033914261092E-2</v>
      </c>
      <c r="Z438" s="175">
        <f t="shared" si="1229"/>
        <v>7.4575808925335865E-5</v>
      </c>
      <c r="AA438" s="175"/>
      <c r="AB438" s="175"/>
      <c r="AC438" s="170">
        <f t="shared" si="1086"/>
        <v>9409.2394519704321</v>
      </c>
      <c r="AD438" s="175">
        <f t="shared" si="1224"/>
        <v>-2.6417128207559423E-2</v>
      </c>
      <c r="AE438" s="170"/>
      <c r="AF438" s="170"/>
      <c r="AG438" s="121">
        <f t="shared" si="1225"/>
        <v>639.86667473447346</v>
      </c>
      <c r="AH438" s="119">
        <f>+AZ438/$BB$54</f>
        <v>3.9466764038043989E-4</v>
      </c>
      <c r="AI438" s="119">
        <f>+AZ438/$BC$54</f>
        <v>1.6788294751080564E-3</v>
      </c>
      <c r="AJ438" s="176">
        <f t="shared" si="1230"/>
        <v>0.25253467067553309</v>
      </c>
      <c r="AK438" s="176">
        <f t="shared" si="1231"/>
        <v>1.0742270336836135</v>
      </c>
      <c r="AL438" s="120">
        <f t="shared" si="1213"/>
        <v>0.26733202328424738</v>
      </c>
      <c r="AM438" s="120">
        <f t="shared" si="1214"/>
        <v>0.3871467004501194</v>
      </c>
      <c r="AN438" s="120">
        <f t="shared" si="1215"/>
        <v>0.34552127626563328</v>
      </c>
      <c r="AO438" s="120">
        <f t="shared" si="1219"/>
        <v>-6.0300913869006031E-3</v>
      </c>
      <c r="AP438" s="173">
        <f t="shared" si="1235"/>
        <v>194.07353789212604</v>
      </c>
      <c r="AQ438" s="175">
        <f t="shared" si="1236"/>
        <v>-6.0300913869006665E-3</v>
      </c>
      <c r="AR438" s="177">
        <f>+AC438/$AE$54</f>
        <v>7.908328814444078E-4</v>
      </c>
      <c r="AS438" s="177">
        <f t="shared" si="1232"/>
        <v>-4.7687945468757595E-6</v>
      </c>
      <c r="AT438" s="177"/>
      <c r="AU438" s="177"/>
      <c r="AV438" s="177"/>
      <c r="AW438" s="190"/>
      <c r="AX438" s="120"/>
      <c r="AY438" s="120"/>
      <c r="AZ438" s="118">
        <f>IFERROR(INDEX('Total Customers'!$F$7:$AB$91,MATCH($C438,'Total Customers'!$D$7:$D$91,0),MATCH($G438,'Total Customers'!$F$5:$AB$5,0)),"NA")</f>
        <v>14705</v>
      </c>
      <c r="BA438" s="119">
        <f t="shared" si="1194"/>
        <v>-7.8575219688195811E-3</v>
      </c>
      <c r="BB438" s="119"/>
      <c r="BC438" s="121">
        <v>8759079</v>
      </c>
      <c r="BD438" s="119"/>
      <c r="BE438" s="119"/>
      <c r="BF438" s="119"/>
      <c r="BG438" s="173"/>
      <c r="BH438" s="173"/>
      <c r="BI438" s="173"/>
      <c r="BJ438" s="173"/>
      <c r="BK438" s="173"/>
      <c r="BL438" s="173"/>
      <c r="BM438" s="173"/>
      <c r="BN438" s="173"/>
      <c r="BO438" s="173"/>
      <c r="BP438" s="173"/>
      <c r="BQ438" s="118"/>
      <c r="BR438" s="118"/>
      <c r="BS438" s="118">
        <f>INDEX('Dist. Plant Gas Additions'!$F$7:$AE$91,MATCH($C438,'Dist. Plant Gas Additions'!$D$7:$D$91,0),MATCH(Calculation!$G438,'Dist. Plant Gas Additions'!$F$5:$AE$5,0))</f>
        <v>10186</v>
      </c>
      <c r="BT438" s="118">
        <f>INDEX('Gen. Plant Additions'!$F$7:$AE$91,MATCH($C438,'Gen. Plant Additions'!$D$7:$D$91,0),MATCH(Calculation!$G438,'Gen. Plant Additions'!$F$5:$AE$5,0))</f>
        <v>271</v>
      </c>
      <c r="BU438" s="118"/>
      <c r="BV438" s="118"/>
      <c r="BW438" s="118">
        <f>INDEX('Dist Plant Depreciation'!$E$7:$AD$94,MATCH($C438,'Dist Plant Depreciation'!$D$7:$D$94,0),MATCH(Calculation!$G438,'Dist Plant Depreciation'!$E$5:$AD$5,0))</f>
        <v>9450</v>
      </c>
      <c r="BX438" s="118">
        <f>INDEX('Gen. Plant Depreciation'!$E$7:$AD$94,MATCH($C438,'Gen. Plant Depreciation'!$D$7:$D$94,0),MATCH(Calculation!$G438,'Gen. Plant Depreciation'!$E$5:$AD$5,0))</f>
        <v>10250</v>
      </c>
      <c r="BY438" s="118"/>
      <c r="BZ438" s="118"/>
      <c r="CA438" s="118"/>
      <c r="CB438" s="118"/>
      <c r="CC438" s="118"/>
      <c r="CD438" s="118"/>
      <c r="CE438" s="118">
        <f>INDEX('Gross Dx Plant'!$E$7:$AD$91,MATCH($C438,'Gross Dx Plant'!$D$7:$D$91,0),MATCH(Calculation!$G438,'Gross Dx Plant'!$E$5:$AD$5,0))</f>
        <v>63264</v>
      </c>
      <c r="CF438" s="118">
        <f>INDEX('Gross Gen Plant'!$E$7:$AD$91,MATCH($C438,'Gross Gen Plant'!$D$7:$D$91,0),MATCH(Calculation!$G438,'Gross Gen Plant'!$E$5:$AD$5,0))</f>
        <v>10837</v>
      </c>
      <c r="CG438" s="118">
        <f t="shared" si="1177"/>
        <v>54401</v>
      </c>
      <c r="CH438" s="118"/>
      <c r="CI438" s="121">
        <v>2016</v>
      </c>
      <c r="CJ438" s="118"/>
      <c r="CK438" s="118"/>
      <c r="CL438" s="118"/>
      <c r="CM438" s="183"/>
      <c r="CN438" s="118">
        <f t="shared" si="1195"/>
        <v>10457</v>
      </c>
      <c r="CO438" s="118">
        <f t="shared" si="1196"/>
        <v>15.573609985140431</v>
      </c>
      <c r="CP438" s="186">
        <v>0.88</v>
      </c>
      <c r="CQ438" s="118">
        <f>+CQ420*CP438+CO421*CP437+CO422*CP436+CO423*CP435+CO424*CP434+CO425*CP433+CO426*CP432+CO427*CP431+CO428*CP430+CO429*CP429+CO430*CP428+CO431*CP427+CO432*CP426+CO433*CP425+CO434*CP424+CO435*CP423+CO436*CP422+CO437*CP421+CO438</f>
        <v>160.66416069339874</v>
      </c>
      <c r="CR438" s="119">
        <f t="shared" si="1197"/>
        <v>9.430033914261092E-2</v>
      </c>
      <c r="CS438" s="119"/>
      <c r="CT438" s="177">
        <f t="shared" si="1198"/>
        <v>7.6286069638922252E-3</v>
      </c>
      <c r="CU438" s="177">
        <f t="shared" si="1206"/>
        <v>7.4188581384432963E-3</v>
      </c>
      <c r="CV438" s="119">
        <f>VLOOKUP($H438,RoR!$E:$F,2,FALSE)</f>
        <v>3.6658333333333334E-2</v>
      </c>
      <c r="CW438" s="177">
        <v>1.0483662879041455E-2</v>
      </c>
      <c r="CX438" s="177">
        <f t="shared" si="1204"/>
        <v>2.6174670454291879E-2</v>
      </c>
      <c r="CY438" s="177">
        <f t="shared" si="1207"/>
        <v>2.348308347009033E-2</v>
      </c>
      <c r="CZ438" s="177">
        <f t="shared" si="1208"/>
        <v>4.301363574220729E-3</v>
      </c>
      <c r="DA438" s="187">
        <f t="shared" si="1199"/>
        <v>0.85131374874999999</v>
      </c>
      <c r="DB438" s="188">
        <f t="shared" si="1200"/>
        <v>1.3989193348138562</v>
      </c>
      <c r="DC438" s="188">
        <f t="shared" si="1201"/>
        <v>0.29302682427824522</v>
      </c>
      <c r="DD438" s="188">
        <f t="shared" si="1202"/>
        <v>0.76309497491941802</v>
      </c>
      <c r="DE438" s="188">
        <f t="shared" si="1203"/>
        <v>0.31280857135128509</v>
      </c>
      <c r="DF438" s="189">
        <f>INDEX('State Tax Lookup'!$D$7:$Z$91,MATCH(Calculation!$C438,'State Tax Lookup'!$B$7:$B$91,0),MATCH($H438,'State Tax Lookup'!$D$6:$Z$6,0))</f>
        <v>0.39649667</v>
      </c>
      <c r="DG438" s="189">
        <v>0.375</v>
      </c>
      <c r="DH438" s="190">
        <f t="shared" si="1205"/>
        <v>22.236397215929323</v>
      </c>
      <c r="DI438" s="190">
        <v>21.85529553414851</v>
      </c>
      <c r="DJ438" s="177"/>
      <c r="DK438" s="189">
        <f>VLOOKUP($H438,RoR!$E:$F,2,FALSE)</f>
        <v>3.6658333333333334E-2</v>
      </c>
      <c r="DL438" s="191">
        <f>HLOOKUP($H438,'GDP-PI'!$D$8:$CQ$11,3,FALSE)</f>
        <v>1.0483662879041455E-2</v>
      </c>
      <c r="DM438" s="189">
        <f>VLOOKUP(H438,'HW Dx Data'!$E:$F,2,FALSE)</f>
        <v>671.45639385971219</v>
      </c>
      <c r="DN438" s="183">
        <f>VLOOKUP(H438,'ECI - Input Price'!$G$17:$H$37,2,FALSE)</f>
        <v>126.4</v>
      </c>
      <c r="DO438" s="177">
        <f t="shared" ref="DO438" si="1253">LN(DN438/DN437)</f>
        <v>2.11880802639575E-2</v>
      </c>
      <c r="DP438" s="183">
        <f>HLOOKUP(H438,'GDP-PI'!$8:$9,2,FALSE)</f>
        <v>105.736</v>
      </c>
      <c r="DQ438" s="177">
        <f t="shared" ref="DQ438" si="1254">LN(DP438/DP437)</f>
        <v>1.0429090367205095E-2</v>
      </c>
      <c r="DR438" s="167">
        <v>1.2659506868757461E-2</v>
      </c>
    </row>
    <row r="439" spans="1:122" s="167" customFormat="1" ht="21" x14ac:dyDescent="0.35">
      <c r="A439" s="167" t="s">
        <v>53</v>
      </c>
      <c r="B439" s="168" t="s">
        <v>53</v>
      </c>
      <c r="C439" s="168">
        <v>4059459</v>
      </c>
      <c r="D439" s="168" t="s">
        <v>136</v>
      </c>
      <c r="E439" s="168" t="s">
        <v>126</v>
      </c>
      <c r="F439" s="168"/>
      <c r="G439" s="168" t="s">
        <v>23</v>
      </c>
      <c r="H439" s="169">
        <v>2017</v>
      </c>
      <c r="I439" s="170"/>
      <c r="J439" s="166">
        <f>IFERROR(INDEX('Labor Expenditures'!$F$7:$X$91,MATCH($C439,'Labor Expenditures'!$D$7:$D$91,0),MATCH($G439,'Labor Expenditures'!$F$5:$X$5,0)),"NA")</f>
        <v>2819.7500745346247</v>
      </c>
      <c r="K439" s="166">
        <f t="shared" si="1211"/>
        <v>21.774131849688221</v>
      </c>
      <c r="L439" s="172">
        <f t="shared" si="1218"/>
        <v>8.9990588824467185E-2</v>
      </c>
      <c r="M439" s="172">
        <f t="shared" si="1222"/>
        <v>7.7084149182098501E-5</v>
      </c>
      <c r="N439" s="196"/>
      <c r="O439" s="172"/>
      <c r="P439" s="166">
        <f>IFERROR(INDEX('Non-Labor Expenditures'!$F$7:$AB$91,MATCH($C439,'Non-Labor Expenditures'!$D$7:$D$91,0),MATCH($G439,'Non-Labor Expenditures'!$F$5:$AB$5,0)),"NA")</f>
        <v>4083.5247645933046</v>
      </c>
      <c r="Q439" s="166">
        <f t="shared" si="1212"/>
        <v>37.897789947130924</v>
      </c>
      <c r="R439" s="172">
        <f t="shared" si="1223"/>
        <v>9.5342400023557261E-2</v>
      </c>
      <c r="S439" s="172">
        <f t="shared" si="1228"/>
        <v>8.1668404249811988E-5</v>
      </c>
      <c r="T439" s="172"/>
      <c r="U439" s="172"/>
      <c r="V439" s="166">
        <f t="shared" si="1193"/>
        <v>3244.9480405575969</v>
      </c>
      <c r="W439" s="170"/>
      <c r="X439" s="174">
        <v>165.07956125380861</v>
      </c>
      <c r="Y439" s="175">
        <v>2.7111319184783132E-2</v>
      </c>
      <c r="Z439" s="175">
        <f t="shared" si="1229"/>
        <v>2.3223016982805984E-5</v>
      </c>
      <c r="AA439" s="175"/>
      <c r="AB439" s="175"/>
      <c r="AC439" s="170">
        <f t="shared" si="1086"/>
        <v>10148.222879685527</v>
      </c>
      <c r="AD439" s="175">
        <f t="shared" si="1224"/>
        <v>7.5606477464852828E-2</v>
      </c>
      <c r="AE439" s="170"/>
      <c r="AF439" s="170"/>
      <c r="AG439" s="121">
        <f t="shared" si="1225"/>
        <v>680.58633758202177</v>
      </c>
      <c r="AH439" s="119">
        <f>+AZ439/$BB$55</f>
        <v>3.9718970421865084E-4</v>
      </c>
      <c r="AI439" s="119">
        <f>+AZ439/$BC$56</f>
        <v>1.6732582560948076E-3</v>
      </c>
      <c r="AJ439" s="176">
        <f t="shared" si="1230"/>
        <v>0.27032188611945807</v>
      </c>
      <c r="AK439" s="176">
        <f t="shared" si="1231"/>
        <v>1.1387967083444457</v>
      </c>
      <c r="AL439" s="120">
        <f t="shared" si="1213"/>
        <v>0.2778565378357164</v>
      </c>
      <c r="AM439" s="120">
        <f t="shared" si="1214"/>
        <v>0.40238816322881593</v>
      </c>
      <c r="AN439" s="120">
        <f t="shared" si="1215"/>
        <v>0.31975529893546756</v>
      </c>
      <c r="AO439" s="120">
        <f t="shared" si="1219"/>
        <v>7.1187257008703889E-2</v>
      </c>
      <c r="AP439" s="173">
        <f t="shared" si="1235"/>
        <v>208.39272606391924</v>
      </c>
      <c r="AQ439" s="175">
        <f t="shared" si="1236"/>
        <v>7.118725700870393E-2</v>
      </c>
      <c r="AR439" s="177">
        <f>+AC439/$AE$55</f>
        <v>8.5658011786606284E-4</v>
      </c>
      <c r="AS439" s="177">
        <f t="shared" si="1232"/>
        <v>6.0977588999077324E-5</v>
      </c>
      <c r="AT439" s="177"/>
      <c r="AU439" s="177"/>
      <c r="AV439" s="177"/>
      <c r="AW439" s="190"/>
      <c r="AX439" s="120"/>
      <c r="AY439" s="120"/>
      <c r="AZ439" s="118">
        <f>IFERROR(INDEX('Total Customers'!$F$7:$AB$91,MATCH($C439,'Total Customers'!$D$7:$D$91,0),MATCH($G439,'Total Customers'!$F$5:$AB$5,0)),"NA")</f>
        <v>14911</v>
      </c>
      <c r="BA439" s="119">
        <f t="shared" si="1194"/>
        <v>1.3911623602811922E-2</v>
      </c>
      <c r="BB439" s="119"/>
      <c r="BC439" s="121">
        <v>8824403</v>
      </c>
      <c r="BD439" s="119"/>
      <c r="BE439" s="119"/>
      <c r="BF439" s="119"/>
      <c r="BG439" s="173"/>
      <c r="BH439" s="173"/>
      <c r="BI439" s="173"/>
      <c r="BJ439" s="173"/>
      <c r="BK439" s="173"/>
      <c r="BL439" s="173"/>
      <c r="BM439" s="173"/>
      <c r="BN439" s="173"/>
      <c r="BO439" s="173"/>
      <c r="BP439" s="173"/>
      <c r="BQ439" s="118"/>
      <c r="BR439" s="118"/>
      <c r="BS439" s="118">
        <f>INDEX('Dist. Plant Gas Additions'!$F$7:$AE$91,MATCH($C439,'Dist. Plant Gas Additions'!$D$7:$D$91,0),MATCH(Calculation!$G439,'Dist. Plant Gas Additions'!$F$5:$AE$5,0))</f>
        <v>3554</v>
      </c>
      <c r="BT439" s="118">
        <f>INDEX('Gen. Plant Additions'!$F$7:$AE$91,MATCH($C439,'Gen. Plant Additions'!$D$7:$D$91,0),MATCH(Calculation!$G439,'Gen. Plant Additions'!$F$5:$AE$5,0))</f>
        <v>471</v>
      </c>
      <c r="BU439" s="118"/>
      <c r="BV439" s="118"/>
      <c r="BW439" s="118">
        <f>INDEX('Dist Plant Depreciation'!$E$7:$AD$94,MATCH($C439,'Dist Plant Depreciation'!$D$7:$D$94,0),MATCH(Calculation!$G439,'Dist Plant Depreciation'!$E$5:$AD$5,0))</f>
        <v>6228</v>
      </c>
      <c r="BX439" s="118">
        <f>INDEX('Gen. Plant Depreciation'!$E$7:$AD$94,MATCH($C439,'Gen. Plant Depreciation'!$D$7:$D$94,0),MATCH(Calculation!$G439,'Gen. Plant Depreciation'!$E$5:$AD$5,0))</f>
        <v>8027</v>
      </c>
      <c r="BY439" s="118"/>
      <c r="BZ439" s="118"/>
      <c r="CA439" s="118"/>
      <c r="CB439" s="118"/>
      <c r="CC439" s="118"/>
      <c r="CD439" s="118"/>
      <c r="CE439" s="118">
        <f>INDEX('Gross Dx Plant'!$E$7:$AD$91,MATCH($C439,'Gross Dx Plant'!$D$7:$D$91,0),MATCH(Calculation!$G439,'Gross Dx Plant'!$E$5:$AD$5,0))</f>
        <v>67307</v>
      </c>
      <c r="CF439" s="118">
        <f>INDEX('Gross Gen Plant'!$E$7:$AD$91,MATCH($C439,'Gross Gen Plant'!$D$7:$D$91,0),MATCH(Calculation!$G439,'Gross Gen Plant'!$E$5:$AD$5,0))</f>
        <v>11308</v>
      </c>
      <c r="CG439" s="118">
        <f t="shared" si="1177"/>
        <v>64360</v>
      </c>
      <c r="CH439" s="118"/>
      <c r="CI439" s="121">
        <v>2017</v>
      </c>
      <c r="CJ439" s="118"/>
      <c r="CK439" s="118"/>
      <c r="CL439" s="118"/>
      <c r="CM439" s="183"/>
      <c r="CN439" s="118">
        <f t="shared" si="1195"/>
        <v>4025</v>
      </c>
      <c r="CO439" s="118">
        <f t="shared" si="1196"/>
        <v>5.6496890945660425</v>
      </c>
      <c r="CP439" s="186">
        <v>0.87074829931972786</v>
      </c>
      <c r="CQ439" s="118">
        <f>+CQ420*CP439+CO421*CP438+CO422*CP437+CO423*CP436+CO424*CP435+CO425*CP434+CO426*CP433+CO427*CP432+CO428*CP431+CO429*CP430+CO430*CP429+CO431*CP428+CO432*CP427+CO433*CP426+CO434*CP425+CO435*CP424+CO436*CP423+CO437*CP422+CO438*CP421+CO439</f>
        <v>165.07956125380861</v>
      </c>
      <c r="CR439" s="119">
        <f t="shared" si="1197"/>
        <v>2.7111319184783132E-2</v>
      </c>
      <c r="CS439" s="119"/>
      <c r="CT439" s="177">
        <f t="shared" si="1198"/>
        <v>7.6824136063027518E-3</v>
      </c>
      <c r="CU439" s="177">
        <f t="shared" si="1206"/>
        <v>7.5610978949423313E-3</v>
      </c>
      <c r="CV439" s="119">
        <f>VLOOKUP($H439,RoR!$E:$F,2,FALSE)</f>
        <v>3.7433333333333339E-2</v>
      </c>
      <c r="CW439" s="177">
        <v>1.9056896421275615E-2</v>
      </c>
      <c r="CX439" s="177">
        <f t="shared" si="1204"/>
        <v>1.8376436912057724E-2</v>
      </c>
      <c r="CY439" s="177">
        <f t="shared" si="1207"/>
        <v>2.3340843713591294E-2</v>
      </c>
      <c r="CZ439" s="177">
        <f t="shared" si="1208"/>
        <v>1.3976271617800498E-2</v>
      </c>
      <c r="DA439" s="187">
        <f t="shared" si="1199"/>
        <v>0.90381374874999998</v>
      </c>
      <c r="DB439" s="188">
        <f t="shared" si="1200"/>
        <v>1.3699568463593395</v>
      </c>
      <c r="DC439" s="188">
        <f t="shared" si="1201"/>
        <v>0.30714603739982199</v>
      </c>
      <c r="DD439" s="188">
        <f t="shared" si="1202"/>
        <v>0.77007188472689425</v>
      </c>
      <c r="DE439" s="188">
        <f t="shared" si="1203"/>
        <v>0.32402839633793828</v>
      </c>
      <c r="DF439" s="189">
        <f>INDEX('State Tax Lookup'!$D$7:$Z$91,MATCH(Calculation!$C439,'State Tax Lookup'!$B$7:$B$91,0),MATCH($H439,'State Tax Lookup'!$D$6:$Z$6,0))</f>
        <v>0.25649666999999998</v>
      </c>
      <c r="DG439" s="189">
        <v>0.375</v>
      </c>
      <c r="DH439" s="190">
        <f t="shared" si="1205"/>
        <v>20.197087057579999</v>
      </c>
      <c r="DI439" s="190">
        <v>19.960954230475934</v>
      </c>
      <c r="DJ439" s="177"/>
      <c r="DK439" s="189">
        <f>VLOOKUP($H439,RoR!$E:$F,2,FALSE)</f>
        <v>3.7433333333333339E-2</v>
      </c>
      <c r="DL439" s="191">
        <f>HLOOKUP($H439,'GDP-PI'!$D$8:$CQ$11,3,FALSE)</f>
        <v>1.9056896421275615E-2</v>
      </c>
      <c r="DM439" s="189">
        <f>VLOOKUP(H439,'HW Dx Data'!$E:$F,2,FALSE)</f>
        <v>712.42858370229726</v>
      </c>
      <c r="DN439" s="183">
        <f>VLOOKUP(H439,'ECI - Input Price'!$G$17:$H$37,2,FALSE)</f>
        <v>129.5</v>
      </c>
      <c r="DO439" s="177">
        <f t="shared" ref="DO439" si="1255">LN(DN439/DN438)</f>
        <v>2.4229399426835413E-2</v>
      </c>
      <c r="DP439" s="183">
        <f>HLOOKUP(H439,'GDP-PI'!$8:$9,2,FALSE)</f>
        <v>107.751</v>
      </c>
      <c r="DQ439" s="177">
        <f t="shared" ref="DQ439" si="1256">LN(DP439/DP438)</f>
        <v>1.8877588227745139E-2</v>
      </c>
      <c r="DR439" s="167">
        <v>0.10771265695923289</v>
      </c>
    </row>
    <row r="440" spans="1:122" s="167" customFormat="1" ht="21" x14ac:dyDescent="0.35">
      <c r="A440" s="167" t="s">
        <v>53</v>
      </c>
      <c r="B440" s="168" t="s">
        <v>53</v>
      </c>
      <c r="C440" s="168">
        <v>4059459</v>
      </c>
      <c r="D440" s="168" t="s">
        <v>136</v>
      </c>
      <c r="E440" s="168" t="s">
        <v>126</v>
      </c>
      <c r="F440" s="168"/>
      <c r="G440" s="168" t="s">
        <v>24</v>
      </c>
      <c r="H440" s="169">
        <v>2018</v>
      </c>
      <c r="I440" s="170"/>
      <c r="J440" s="166">
        <f>IFERROR(INDEX('Labor Expenditures'!$F$7:$X$91,MATCH($C440,'Labor Expenditures'!$D$7:$D$91,0),MATCH($G440,'Labor Expenditures'!$F$5:$X$5,0)),"NA")</f>
        <v>2843.0428550716942</v>
      </c>
      <c r="K440" s="166">
        <f t="shared" si="1211"/>
        <v>21.336156510856991</v>
      </c>
      <c r="L440" s="172">
        <f t="shared" si="1218"/>
        <v>-2.0319530431206125E-2</v>
      </c>
      <c r="M440" s="172">
        <f t="shared" si="1222"/>
        <v>-1.6501538221495668E-5</v>
      </c>
      <c r="N440" s="196"/>
      <c r="O440" s="172"/>
      <c r="P440" s="166">
        <f>IFERROR(INDEX('Non-Labor Expenditures'!$F$7:$AB$91,MATCH($C440,'Non-Labor Expenditures'!$D$7:$D$91,0),MATCH($G440,'Non-Labor Expenditures'!$F$5:$AB$5,0)),"NA")</f>
        <v>4117.2570613022808</v>
      </c>
      <c r="Q440" s="166">
        <f t="shared" si="1212"/>
        <v>37.320362768099571</v>
      </c>
      <c r="R440" s="172">
        <f t="shared" si="1223"/>
        <v>-1.5353701241353249E-2</v>
      </c>
      <c r="S440" s="172">
        <f t="shared" si="1228"/>
        <v>-1.2468776713782416E-5</v>
      </c>
      <c r="T440" s="172"/>
      <c r="U440" s="172"/>
      <c r="V440" s="166">
        <f t="shared" si="1193"/>
        <v>3501.2694420985981</v>
      </c>
      <c r="W440" s="170"/>
      <c r="X440" s="174">
        <v>172.80509775052292</v>
      </c>
      <c r="Y440" s="175">
        <v>4.5736809704252014E-2</v>
      </c>
      <c r="Z440" s="175">
        <f t="shared" si="1229"/>
        <v>3.7142970208844014E-5</v>
      </c>
      <c r="AA440" s="175"/>
      <c r="AB440" s="175"/>
      <c r="AC440" s="170">
        <f t="shared" si="1086"/>
        <v>10461.569358472574</v>
      </c>
      <c r="AD440" s="175">
        <f t="shared" si="1224"/>
        <v>3.0409877240332152E-2</v>
      </c>
      <c r="AE440" s="170"/>
      <c r="AF440" s="170"/>
      <c r="AG440" s="121">
        <f t="shared" si="1225"/>
        <v>700.14518528125916</v>
      </c>
      <c r="AH440" s="119">
        <f>+AZ440/$BB$56</f>
        <v>3.9455819173521265E-4</v>
      </c>
      <c r="AI440" s="119">
        <f>+AZ440/$BC$57</f>
        <v>1.6669567274009219E-3</v>
      </c>
      <c r="AJ440" s="176">
        <f t="shared" si="1230"/>
        <v>0.27624801825668904</v>
      </c>
      <c r="AK440" s="176">
        <f t="shared" si="1231"/>
        <v>1.16711172676196</v>
      </c>
      <c r="AL440" s="120">
        <f t="shared" si="1213"/>
        <v>0.27176064676846806</v>
      </c>
      <c r="AM440" s="120">
        <f t="shared" si="1214"/>
        <v>0.3935601744080407</v>
      </c>
      <c r="AN440" s="120">
        <f t="shared" si="1215"/>
        <v>0.33467917882349113</v>
      </c>
      <c r="AO440" s="120">
        <f t="shared" si="1219"/>
        <v>3.2715145427282127E-3</v>
      </c>
      <c r="AP440" s="173">
        <f t="shared" si="1235"/>
        <v>209.07560230856112</v>
      </c>
      <c r="AQ440" s="175">
        <f t="shared" si="1236"/>
        <v>3.271514542728221E-3</v>
      </c>
      <c r="AR440" s="177">
        <f>+AC440/$AE$56</f>
        <v>8.1210234052225437E-4</v>
      </c>
      <c r="AS440" s="177">
        <f t="shared" si="1232"/>
        <v>2.6568046172021811E-6</v>
      </c>
      <c r="AT440" s="177"/>
      <c r="AU440" s="177"/>
      <c r="AV440" s="177"/>
      <c r="AW440" s="190"/>
      <c r="AX440" s="120"/>
      <c r="AY440" s="120"/>
      <c r="AZ440" s="118">
        <f>IFERROR(INDEX('Total Customers'!$F$7:$AB$91,MATCH($C440,'Total Customers'!$D$7:$D$91,0),MATCH($G440,'Total Customers'!$F$5:$AB$5,0)),"NA")</f>
        <v>14942</v>
      </c>
      <c r="BA440" s="119">
        <f t="shared" si="1194"/>
        <v>2.0768439448390691E-3</v>
      </c>
      <c r="BB440" s="119"/>
      <c r="BC440" s="121">
        <v>8911356</v>
      </c>
      <c r="BD440" s="119"/>
      <c r="BE440" s="119"/>
      <c r="BF440" s="119"/>
      <c r="BG440" s="173"/>
      <c r="BH440" s="173"/>
      <c r="BI440" s="173"/>
      <c r="BJ440" s="173"/>
      <c r="BK440" s="173"/>
      <c r="BL440" s="173"/>
      <c r="BM440" s="173"/>
      <c r="BN440" s="173"/>
      <c r="BO440" s="173"/>
      <c r="BP440" s="173"/>
      <c r="BQ440" s="118"/>
      <c r="BR440" s="118"/>
      <c r="BS440" s="118">
        <f>INDEX('Dist. Plant Gas Additions'!$F$7:$AE$91,MATCH($C440,'Dist. Plant Gas Additions'!$D$7:$D$91,0),MATCH(Calculation!$G440,'Dist. Plant Gas Additions'!$F$5:$AE$5,0))</f>
        <v>6215</v>
      </c>
      <c r="BT440" s="118">
        <f>INDEX('Gen. Plant Additions'!$F$7:$AE$91,MATCH($C440,'Gen. Plant Additions'!$D$7:$D$91,0),MATCH(Calculation!$G440,'Gen. Plant Additions'!$F$5:$AE$5,0))</f>
        <v>607</v>
      </c>
      <c r="BU440" s="118"/>
      <c r="BV440" s="118"/>
      <c r="BW440" s="118">
        <f>INDEX('Dist Plant Depreciation'!$E$7:$AD$94,MATCH($C440,'Dist Plant Depreciation'!$D$7:$D$94,0),MATCH(Calculation!$G440,'Dist Plant Depreciation'!$E$5:$AD$5,0))</f>
        <v>6688</v>
      </c>
      <c r="BX440" s="118">
        <f>INDEX('Gen. Plant Depreciation'!$E$7:$AD$94,MATCH($C440,'Gen. Plant Depreciation'!$D$7:$D$94,0),MATCH(Calculation!$G440,'Gen. Plant Depreciation'!$E$5:$AD$5,0))</f>
        <v>8501</v>
      </c>
      <c r="BY440" s="118"/>
      <c r="BZ440" s="118"/>
      <c r="CA440" s="118"/>
      <c r="CB440" s="118"/>
      <c r="CC440" s="118"/>
      <c r="CD440" s="118"/>
      <c r="CE440" s="118">
        <f>INDEX('Gross Dx Plant'!$E$7:$AD$91,MATCH($C440,'Gross Dx Plant'!$D$7:$D$91,0),MATCH(Calculation!$G440,'Gross Dx Plant'!$E$5:$AD$5,0))</f>
        <v>73127</v>
      </c>
      <c r="CF440" s="118">
        <f>INDEX('Gross Gen Plant'!$E$7:$AD$91,MATCH($C440,'Gross Gen Plant'!$D$7:$D$91,0),MATCH(Calculation!$G440,'Gross Gen Plant'!$E$5:$AD$5,0))</f>
        <v>11877</v>
      </c>
      <c r="CG440" s="118">
        <f t="shared" si="1177"/>
        <v>69815</v>
      </c>
      <c r="CH440" s="118"/>
      <c r="CI440" s="121">
        <v>2018</v>
      </c>
      <c r="CJ440" s="118"/>
      <c r="CK440" s="118"/>
      <c r="CL440" s="118"/>
      <c r="CM440" s="183"/>
      <c r="CN440" s="118">
        <f t="shared" si="1195"/>
        <v>6822</v>
      </c>
      <c r="CO440" s="118">
        <f t="shared" si="1196"/>
        <v>9.0341257025845021</v>
      </c>
      <c r="CP440" s="186">
        <v>0.86111111111111116</v>
      </c>
      <c r="CQ440" s="118">
        <f>+CQ420*CP440++CO421*CP439+CO422*CP438+CO423*CP437+CO424*CP436+CO425*CP435+CO426*CP434+CO427*CP433+CO428*CP432+CO429*CP431+CO430*CP430+CO431*CP429+CO432*CP428+CO433*CP427+CO434*CP426+CO435*CP425+CO436*CP424+CO437*CP423+CO438*CP422+CO439*CP421+CO440</f>
        <v>172.80509775052292</v>
      </c>
      <c r="CR440" s="119">
        <f t="shared" si="1197"/>
        <v>4.5736809704252014E-2</v>
      </c>
      <c r="CS440" s="119"/>
      <c r="CT440" s="177">
        <f t="shared" si="1198"/>
        <v>7.9270213461389294E-3</v>
      </c>
      <c r="CU440" s="177">
        <f t="shared" si="1206"/>
        <v>7.7460139721113016E-3</v>
      </c>
      <c r="CV440" s="119">
        <f>VLOOKUP($H440,RoR!$E:$F,2,FALSE)</f>
        <v>3.9299999999999995E-2</v>
      </c>
      <c r="CW440" s="177">
        <v>2.386056741932796E-2</v>
      </c>
      <c r="CX440" s="177">
        <f t="shared" si="1204"/>
        <v>1.5439432580672034E-2</v>
      </c>
      <c r="CY440" s="177">
        <f t="shared" si="1207"/>
        <v>2.3155927636422324E-2</v>
      </c>
      <c r="CZ440" s="177">
        <f t="shared" si="1208"/>
        <v>3.8270792163076606E-2</v>
      </c>
      <c r="DA440" s="187">
        <f t="shared" si="1199"/>
        <v>0.90381374874999998</v>
      </c>
      <c r="DB440" s="188">
        <f t="shared" si="1200"/>
        <v>1.3048868010700074</v>
      </c>
      <c r="DC440" s="188">
        <f t="shared" si="1201"/>
        <v>0.33886768447837151</v>
      </c>
      <c r="DD440" s="188">
        <f t="shared" si="1202"/>
        <v>0.78602506232557801</v>
      </c>
      <c r="DE440" s="188">
        <f t="shared" si="1203"/>
        <v>0.34756768162358759</v>
      </c>
      <c r="DF440" s="189">
        <f>INDEX('State Tax Lookup'!$D$7:$Z$91,MATCH(Calculation!$C440,'State Tax Lookup'!$B$7:$B$91,0),MATCH($H440,'State Tax Lookup'!$D$6:$Z$6,0))</f>
        <v>0.25649666999999998</v>
      </c>
      <c r="DG440" s="189">
        <v>0.375</v>
      </c>
      <c r="DH440" s="190">
        <f t="shared" si="1205"/>
        <v>21.209587761839408</v>
      </c>
      <c r="DI440" s="190">
        <v>20.921606112036425</v>
      </c>
      <c r="DJ440" s="177"/>
      <c r="DK440" s="189">
        <f>VLOOKUP($H440,RoR!$E:$F,2,FALSE)</f>
        <v>3.9299999999999995E-2</v>
      </c>
      <c r="DL440" s="191">
        <f>HLOOKUP($H440,'GDP-PI'!$D$8:$CQ$11,3,FALSE)</f>
        <v>2.386056741932796E-2</v>
      </c>
      <c r="DM440" s="189">
        <f>VLOOKUP(H440,'HW Dx Data'!$E:$F,2,FALSE)</f>
        <v>755.13671434174842</v>
      </c>
      <c r="DN440" s="183">
        <f>VLOOKUP(H440,'ECI - Input Price'!$G$17:$H$37,2,FALSE)</f>
        <v>133.25</v>
      </c>
      <c r="DO440" s="177">
        <f t="shared" ref="DO440" si="1257">LN(DN440/DN439)</f>
        <v>2.8546181906361531E-2</v>
      </c>
      <c r="DP440" s="183">
        <f>HLOOKUP(H440,'GDP-PI'!$8:$9,2,FALSE)</f>
        <v>110.322</v>
      </c>
      <c r="DQ440" s="177">
        <f t="shared" ref="DQ440" si="1258">LN(DP440/DP439)</f>
        <v>2.3580352716508712E-2</v>
      </c>
    </row>
    <row r="441" spans="1:122" s="167" customFormat="1" ht="21" x14ac:dyDescent="0.35">
      <c r="A441" s="167" t="s">
        <v>53</v>
      </c>
      <c r="B441" s="168" t="s">
        <v>53</v>
      </c>
      <c r="C441" s="168">
        <v>4059459</v>
      </c>
      <c r="D441" s="168" t="s">
        <v>136</v>
      </c>
      <c r="E441" s="168" t="s">
        <v>126</v>
      </c>
      <c r="F441" s="168"/>
      <c r="G441" s="168" t="s">
        <v>25</v>
      </c>
      <c r="H441" s="169">
        <v>2019</v>
      </c>
      <c r="I441" s="170"/>
      <c r="J441" s="166">
        <f>IFERROR(INDEX('Labor Expenditures'!$F$7:$X$91,MATCH($C441,'Labor Expenditures'!$D$7:$D$91,0),MATCH($G441,'Labor Expenditures'!$F$5:$X$5,0)),"NA")</f>
        <v>2862.2052792562249</v>
      </c>
      <c r="K441" s="166">
        <f t="shared" si="1211"/>
        <v>20.914908872898977</v>
      </c>
      <c r="L441" s="172">
        <f t="shared" si="1218"/>
        <v>-1.9940874518944128E-2</v>
      </c>
      <c r="M441" s="172">
        <f t="shared" si="1222"/>
        <v>-1.6110127344955971E-5</v>
      </c>
      <c r="N441" s="196"/>
      <c r="O441" s="172"/>
      <c r="P441" s="166">
        <f>IFERROR(INDEX('Non-Labor Expenditures'!$F$7:$AB$91,MATCH($C441,'Non-Labor Expenditures'!$D$7:$D$91,0),MATCH($G441,'Non-Labor Expenditures'!$F$5:$AB$5,0)),"NA")</f>
        <v>4145.0078305686275</v>
      </c>
      <c r="Q441" s="166">
        <f t="shared" si="1212"/>
        <v>36.904216871459852</v>
      </c>
      <c r="R441" s="172">
        <f t="shared" si="1223"/>
        <v>-1.1213273529611791E-2</v>
      </c>
      <c r="S441" s="172">
        <f t="shared" si="1228"/>
        <v>-9.0591445397368239E-6</v>
      </c>
      <c r="T441" s="172"/>
      <c r="U441" s="172"/>
      <c r="V441" s="166">
        <f t="shared" si="1193"/>
        <v>3725.8598822911918</v>
      </c>
      <c r="W441" s="170"/>
      <c r="X441" s="174">
        <v>176.48367307227977</v>
      </c>
      <c r="Y441" s="175">
        <v>2.1064011448938019E-2</v>
      </c>
      <c r="Z441" s="175">
        <f t="shared" si="1229"/>
        <v>1.7017503746669696E-5</v>
      </c>
      <c r="AA441" s="175"/>
      <c r="AB441" s="175"/>
      <c r="AC441" s="170">
        <f t="shared" si="1086"/>
        <v>10733.072992116044</v>
      </c>
      <c r="AD441" s="175">
        <f t="shared" si="1224"/>
        <v>2.5621426541609014E-2</v>
      </c>
      <c r="AE441" s="170"/>
      <c r="AF441" s="170"/>
      <c r="AG441" s="121">
        <f t="shared" si="1225"/>
        <v>719.47130929856837</v>
      </c>
      <c r="AH441" s="119">
        <f>+AZ441/$BB$57</f>
        <v>3.9070164652013634E-4</v>
      </c>
      <c r="AI441" s="119">
        <f>+AZ441/$BC$58</f>
        <v>1.6465325688512858E-3</v>
      </c>
      <c r="AJ441" s="176">
        <f t="shared" si="1230"/>
        <v>0.28109862516694895</v>
      </c>
      <c r="AK441" s="176">
        <f t="shared" si="1231"/>
        <v>1.1846329431141698</v>
      </c>
      <c r="AL441" s="120">
        <f t="shared" si="1213"/>
        <v>0.26667155635284057</v>
      </c>
      <c r="AM441" s="120">
        <f t="shared" si="1214"/>
        <v>0.38619022097523553</v>
      </c>
      <c r="AN441" s="120">
        <f t="shared" si="1215"/>
        <v>0.3471382226719239</v>
      </c>
      <c r="AO441" s="120">
        <f t="shared" si="1219"/>
        <v>-2.5592769582358415E-3</v>
      </c>
      <c r="AP441" s="173">
        <f t="shared" si="1235"/>
        <v>208.54120406528662</v>
      </c>
      <c r="AQ441" s="175">
        <f t="shared" si="1236"/>
        <v>-2.5592769582358558E-3</v>
      </c>
      <c r="AR441" s="177">
        <f>+AC441/$AE$57</f>
        <v>8.0789472546207081E-4</v>
      </c>
      <c r="AS441" s="177">
        <f t="shared" si="1232"/>
        <v>-2.0676263555553604E-6</v>
      </c>
      <c r="AT441" s="177"/>
      <c r="AU441" s="177"/>
      <c r="AV441" s="177"/>
      <c r="AW441" s="190"/>
      <c r="AX441" s="120"/>
      <c r="AY441" s="120"/>
      <c r="AZ441" s="118">
        <f>IFERROR(INDEX('Total Customers'!$F$7:$AB$91,MATCH($C441,'Total Customers'!$D$7:$D$91,0),MATCH($G441,'Total Customers'!$F$5:$AB$5,0)),"NA")</f>
        <v>14918</v>
      </c>
      <c r="BA441" s="119">
        <f t="shared" si="1194"/>
        <v>-1.6075020206380328E-3</v>
      </c>
      <c r="BB441" s="119"/>
      <c r="BC441" s="121">
        <v>8963640</v>
      </c>
      <c r="BD441" s="119"/>
      <c r="BE441" s="119"/>
      <c r="BF441" s="119"/>
      <c r="BG441" s="173"/>
      <c r="BH441" s="173"/>
      <c r="BI441" s="173"/>
      <c r="BJ441" s="173"/>
      <c r="BK441" s="173"/>
      <c r="BL441" s="173"/>
      <c r="BM441" s="173"/>
      <c r="BN441" s="173"/>
      <c r="BO441" s="173"/>
      <c r="BP441" s="173"/>
      <c r="BQ441" s="118"/>
      <c r="BR441" s="118"/>
      <c r="BS441" s="118">
        <f>INDEX('Dist. Plant Gas Additions'!$F$7:$AE$91,MATCH($C441,'Dist. Plant Gas Additions'!$D$7:$D$91,0),MATCH(Calculation!$G441,'Dist. Plant Gas Additions'!$F$5:$AE$5,0))</f>
        <v>3761</v>
      </c>
      <c r="BT441" s="118">
        <f>INDEX('Gen. Plant Additions'!$F$7:$AE$91,MATCH($C441,'Gen. Plant Additions'!$D$7:$D$91,0),MATCH(Calculation!$G441,'Gen. Plant Additions'!$F$5:$AE$5,0))</f>
        <v>170</v>
      </c>
      <c r="BU441" s="118"/>
      <c r="BV441" s="118"/>
      <c r="BW441" s="118">
        <f>INDEX('Dist Plant Depreciation'!$E$7:$AD$94,MATCH($C441,'Dist Plant Depreciation'!$D$7:$D$94,0),MATCH(Calculation!$G441,'Dist Plant Depreciation'!$E$5:$AD$5,0))</f>
        <v>7145</v>
      </c>
      <c r="BX441" s="118">
        <f>INDEX('Gen. Plant Depreciation'!$E$7:$AD$94,MATCH($C441,'Gen. Plant Depreciation'!$D$7:$D$94,0),MATCH(Calculation!$G441,'Gen. Plant Depreciation'!$E$5:$AD$5,0))</f>
        <v>8862</v>
      </c>
      <c r="BY441" s="118"/>
      <c r="BZ441" s="118"/>
      <c r="CA441" s="118"/>
      <c r="CB441" s="118"/>
      <c r="CC441" s="118"/>
      <c r="CD441" s="118"/>
      <c r="CE441" s="118">
        <f>INDEX('Gross Dx Plant'!$E$7:$AD$91,MATCH($C441,'Gross Dx Plant'!$D$7:$D$91,0),MATCH(Calculation!$G441,'Gross Dx Plant'!$E$5:$AD$5,0))</f>
        <v>76611</v>
      </c>
      <c r="CF441" s="118">
        <f>INDEX('Gross Gen Plant'!$E$7:$AD$91,MATCH($C441,'Gross Gen Plant'!$D$7:$D$91,0),MATCH(Calculation!$G441,'Gross Gen Plant'!$E$5:$AD$5,0))</f>
        <v>11830</v>
      </c>
      <c r="CG441" s="118">
        <f t="shared" si="1177"/>
        <v>72434</v>
      </c>
      <c r="CH441" s="118"/>
      <c r="CI441" s="121">
        <v>2019</v>
      </c>
      <c r="CJ441" s="118"/>
      <c r="CK441" s="118"/>
      <c r="CL441" s="118"/>
      <c r="CM441" s="183"/>
      <c r="CN441" s="118">
        <f t="shared" si="1195"/>
        <v>3931</v>
      </c>
      <c r="CO441" s="118">
        <f t="shared" si="1196"/>
        <v>5.0818361917380237</v>
      </c>
      <c r="CP441" s="186">
        <v>0.85106382978723405</v>
      </c>
      <c r="CQ441" s="118">
        <f>CQ420*CP441+CO421*CP440+CO422*CP439+CO423*CP438+CO424*CP437+CO425*CP436+CO426*CP435+CO427*CP434+CO428*CP433+CO429*CP432+CO430*CP431+CO431*CP430+CO432*CP429+CO433*CP428+CO434*CP427+CO435*CP426+CO436*CP425+CO437*CP424+CO438*CP423+CO439*CP422+CO440*CP421+CO441</f>
        <v>176.48367307227977</v>
      </c>
      <c r="CR441" s="119">
        <f t="shared" si="1197"/>
        <v>2.1064011448938019E-2</v>
      </c>
      <c r="CS441" s="119"/>
      <c r="CT441" s="177">
        <f t="shared" si="1198"/>
        <v>8.120483065881803E-3</v>
      </c>
      <c r="CU441" s="177">
        <f t="shared" si="1206"/>
        <v>7.9099726727744953E-3</v>
      </c>
      <c r="CV441" s="119">
        <f>VLOOKUP($H441,RoR!$E:$F,2,FALSE)</f>
        <v>3.3875000000000009E-2</v>
      </c>
      <c r="CW441" s="177">
        <v>1.8092492884465461E-2</v>
      </c>
      <c r="CX441" s="177">
        <f t="shared" si="1204"/>
        <v>1.5782507115534548E-2</v>
      </c>
      <c r="CY441" s="177">
        <f t="shared" si="1207"/>
        <v>2.2991968935759131E-2</v>
      </c>
      <c r="CZ441" s="177">
        <f t="shared" si="1208"/>
        <v>4.8445665544254078E-2</v>
      </c>
      <c r="DA441" s="187">
        <f t="shared" si="1199"/>
        <v>0.90381374874999998</v>
      </c>
      <c r="DB441" s="188">
        <f t="shared" si="1200"/>
        <v>1.513861292459078</v>
      </c>
      <c r="DC441" s="188">
        <f t="shared" si="1201"/>
        <v>0.23699261992619944</v>
      </c>
      <c r="DD441" s="188">
        <f t="shared" si="1202"/>
        <v>0.73619765810468829</v>
      </c>
      <c r="DE441" s="188">
        <f t="shared" si="1203"/>
        <v>0.26412854465362851</v>
      </c>
      <c r="DF441" s="189">
        <f>INDEX('State Tax Lookup'!$D$7:$Z$91,MATCH(Calculation!$C441,'State Tax Lookup'!$B$7:$B$91,0),MATCH($H441,'State Tax Lookup'!$D$6:$Z$6,0))</f>
        <v>0.25649666999999998</v>
      </c>
      <c r="DG441" s="189">
        <v>0.375</v>
      </c>
      <c r="DH441" s="190">
        <f t="shared" si="1205"/>
        <v>21.561053063782762</v>
      </c>
      <c r="DI441" s="190">
        <v>21.248826355110225</v>
      </c>
      <c r="DJ441" s="177"/>
      <c r="DK441" s="189">
        <f>VLOOKUP($H441,RoR!$E:$F,2,FALSE)</f>
        <v>3.3875000000000009E-2</v>
      </c>
      <c r="DL441" s="191">
        <f>HLOOKUP($H441,'GDP-PI'!$D$8:$CQ$11,3,FALSE)</f>
        <v>1.8092492884465461E-2</v>
      </c>
      <c r="DM441" s="189">
        <f>VLOOKUP(H441,'HW Dx Data'!$E:$F,2,FALSE)</f>
        <v>773.53929793938721</v>
      </c>
      <c r="DN441" s="183">
        <f>VLOOKUP(H441,'ECI - Input Price'!$G$17:$H$37,2,FALSE)</f>
        <v>136.85</v>
      </c>
      <c r="DO441" s="177">
        <f t="shared" ref="DO441" si="1259">LN(DN441/DN440)</f>
        <v>2.6658372440734168E-2</v>
      </c>
      <c r="DP441" s="183">
        <f>HLOOKUP(H441,'GDP-PI'!$8:$9,2,FALSE)</f>
        <v>112.318</v>
      </c>
      <c r="DQ441" s="177">
        <f t="shared" ref="DQ441" si="1260">LN(DP441/DP440)</f>
        <v>1.7930771451401852E-2</v>
      </c>
      <c r="DR441" s="167">
        <v>7.0758479803815387E-3</v>
      </c>
    </row>
    <row r="442" spans="1:122" s="167" customFormat="1" ht="21" x14ac:dyDescent="0.35">
      <c r="A442" s="167" t="s">
        <v>53</v>
      </c>
      <c r="B442" s="167" t="s">
        <v>53</v>
      </c>
      <c r="C442" s="167">
        <v>4059459</v>
      </c>
      <c r="D442" s="167" t="s">
        <v>136</v>
      </c>
      <c r="E442" s="167" t="s">
        <v>126</v>
      </c>
      <c r="G442" s="168" t="s">
        <v>26</v>
      </c>
      <c r="H442" s="169">
        <v>2020</v>
      </c>
      <c r="I442" s="170"/>
      <c r="J442" s="166">
        <f>IFERROR(INDEX('Labor Expenditures'!$F$7:$X$91,MATCH($C442,'Labor Expenditures'!$D$7:$D$91,0),MATCH($G442,'Labor Expenditures'!$F$5:$X$5,0)),"NA")</f>
        <v>2816.0264601751242</v>
      </c>
      <c r="K442" s="166">
        <f t="shared" si="1211"/>
        <v>20.0500281963341</v>
      </c>
      <c r="L442" s="172">
        <f t="shared" si="1218"/>
        <v>-4.2231687810802374E-2</v>
      </c>
      <c r="M442" s="172">
        <f t="shared" si="1222"/>
        <v>-3.3464640624900543E-5</v>
      </c>
      <c r="N442" s="196"/>
      <c r="O442" s="172"/>
      <c r="P442" s="166">
        <f>IFERROR(INDEX('Non-Labor Expenditures'!$F$7:$AB$91,MATCH($C442,'Non-Labor Expenditures'!$D$7:$D$91,0),MATCH($G442,'Non-Labor Expenditures'!$F$5:$AB$5,0)),"NA")</f>
        <v>4078.1322755255187</v>
      </c>
      <c r="Q442" s="166">
        <f t="shared" si="1212"/>
        <v>35.891784898528627</v>
      </c>
      <c r="R442" s="172">
        <f t="shared" si="1223"/>
        <v>-2.781738647863103E-2</v>
      </c>
      <c r="S442" s="172">
        <f t="shared" si="1228"/>
        <v>-2.2042662509766943E-5</v>
      </c>
      <c r="T442" s="172"/>
      <c r="U442" s="172"/>
      <c r="V442" s="166">
        <f t="shared" si="1193"/>
        <v>3959.1634235075053</v>
      </c>
      <c r="W442" s="170"/>
      <c r="X442" s="174">
        <v>182.43456794715516</v>
      </c>
      <c r="Y442" s="175">
        <v>3.3163208683412132E-2</v>
      </c>
      <c r="Z442" s="175">
        <f t="shared" si="1229"/>
        <v>2.6278723822993772E-5</v>
      </c>
      <c r="AA442" s="175"/>
      <c r="AB442" s="175"/>
      <c r="AC442" s="170">
        <f t="shared" si="1086"/>
        <v>10853.322159208148</v>
      </c>
      <c r="AD442" s="175">
        <f t="shared" si="1224"/>
        <v>1.1141314713540195E-2</v>
      </c>
      <c r="AE442" s="170"/>
      <c r="AF442" s="170"/>
      <c r="AG442" s="121">
        <f t="shared" si="1225"/>
        <v>723.74781002988459</v>
      </c>
      <c r="AH442" s="119">
        <f>+AZ442/$BB$58</f>
        <v>3.8998322520808292E-4</v>
      </c>
      <c r="AI442" s="119">
        <f>+AZ442/$BC$59</f>
        <v>1.645366109868894E-3</v>
      </c>
      <c r="AJ442" s="176">
        <f t="shared" si="1230"/>
        <v>0.28224950519274128</v>
      </c>
      <c r="AK442" s="176">
        <f t="shared" si="1231"/>
        <v>1.1908301187150026</v>
      </c>
      <c r="AL442" s="120">
        <f t="shared" si="1213"/>
        <v>0.25946216456736781</v>
      </c>
      <c r="AM442" s="120">
        <f t="shared" si="1214"/>
        <v>0.37574967514122487</v>
      </c>
      <c r="AN442" s="120">
        <f t="shared" si="1215"/>
        <v>0.36478816029140737</v>
      </c>
      <c r="AO442" s="120">
        <f t="shared" si="1219"/>
        <v>-9.9024642034789383E-3</v>
      </c>
      <c r="AP442" s="173">
        <f t="shared" si="1235"/>
        <v>206.48632324055214</v>
      </c>
      <c r="AQ442" s="175">
        <f t="shared" si="1236"/>
        <v>-9.9024642034789539E-3</v>
      </c>
      <c r="AR442" s="177">
        <f>+AC442/$AE$58</f>
        <v>7.9240594822593564E-4</v>
      </c>
      <c r="AS442" s="177">
        <f t="shared" si="1232"/>
        <v>-7.8467715369311256E-6</v>
      </c>
      <c r="AT442" s="177"/>
      <c r="AU442" s="177"/>
      <c r="AV442" s="177"/>
      <c r="AW442" s="190"/>
      <c r="AX442" s="120"/>
      <c r="AY442" s="120"/>
      <c r="AZ442" s="118">
        <f>IFERROR(INDEX('Total Customers'!$F$7:$AB$91,MATCH($C442,'Total Customers'!$D$7:$D$91,0),MATCH($G442,'Total Customers'!$F$5:$AB$5,0)),"NA")</f>
        <v>14996</v>
      </c>
      <c r="BA442" s="119">
        <f t="shared" si="1194"/>
        <v>5.2149613406941584E-3</v>
      </c>
      <c r="BB442" s="119"/>
      <c r="BC442" s="121">
        <v>9060252</v>
      </c>
      <c r="BD442" s="119"/>
      <c r="BE442" s="119"/>
      <c r="BF442" s="119"/>
      <c r="BG442" s="173"/>
      <c r="BH442" s="173"/>
      <c r="BI442" s="173"/>
      <c r="BJ442" s="173"/>
      <c r="BK442" s="173"/>
      <c r="BL442" s="173"/>
      <c r="BM442" s="173"/>
      <c r="BN442" s="173"/>
      <c r="BO442" s="173"/>
      <c r="BP442" s="173"/>
      <c r="BQ442" s="118"/>
      <c r="BR442" s="118"/>
      <c r="BS442" s="118">
        <f>INDEX('Dist. Plant Gas Additions'!$F$7:$AE$91,MATCH($C442,'Dist. Plant Gas Additions'!$D$7:$D$91,0),MATCH(Calculation!$G442,'Dist. Plant Gas Additions'!$F$5:$AE$5,0))</f>
        <v>4861</v>
      </c>
      <c r="BT442" s="118">
        <f>INDEX('Gen. Plant Additions'!$F$7:$AE$91,MATCH($C442,'Gen. Plant Additions'!$D$7:$D$91,0),MATCH(Calculation!$G442,'Gen. Plant Additions'!$F$5:$AE$5,0))</f>
        <v>1183</v>
      </c>
      <c r="BU442" s="118"/>
      <c r="BV442" s="118"/>
      <c r="BW442" s="118">
        <f>INDEX('Dist Plant Depreciation'!$E$7:$AD$94,MATCH($C442,'Dist Plant Depreciation'!$D$7:$D$94,0),MATCH(Calculation!$G442,'Dist Plant Depreciation'!$E$5:$AD$5,0))</f>
        <v>7587</v>
      </c>
      <c r="BX442" s="118">
        <f>INDEX('Gen. Plant Depreciation'!$E$7:$AD$94,MATCH($C442,'Gen. Plant Depreciation'!$D$7:$D$94,0),MATCH(Calculation!$G442,'Gen. Plant Depreciation'!$E$5:$AD$5,0))</f>
        <v>8379</v>
      </c>
      <c r="BY442" s="118"/>
      <c r="BZ442" s="118"/>
      <c r="CA442" s="118"/>
      <c r="CB442" s="118"/>
      <c r="CC442" s="118"/>
      <c r="CD442" s="118"/>
      <c r="CE442" s="118">
        <f>INDEX('Gross Dx Plant'!$E$7:$AD$91,MATCH($C442,'Gross Dx Plant'!$D$7:$D$91,0),MATCH(Calculation!$G442,'Gross Dx Plant'!$E$5:$AD$5,0))</f>
        <v>80630</v>
      </c>
      <c r="CF442" s="118">
        <f>INDEX('Gross Gen Plant'!$E$7:$AD$91,MATCH($C442,'Gross Gen Plant'!$D$7:$D$91,0),MATCH(Calculation!$G442,'Gross Gen Plant'!$E$5:$AD$5,0))</f>
        <v>12071</v>
      </c>
      <c r="CG442" s="118">
        <f t="shared" si="1177"/>
        <v>76735</v>
      </c>
      <c r="CH442" s="118"/>
      <c r="CI442" s="121">
        <v>2020</v>
      </c>
      <c r="CJ442" s="118"/>
      <c r="CK442" s="118"/>
      <c r="CL442" s="118"/>
      <c r="CM442" s="183"/>
      <c r="CN442" s="118">
        <f t="shared" si="1195"/>
        <v>6044</v>
      </c>
      <c r="CO442" s="118">
        <f t="shared" si="1196"/>
        <v>7.4334613966258383</v>
      </c>
      <c r="CP442" s="186">
        <v>0.84057971014492749</v>
      </c>
      <c r="CQ442" s="118">
        <f>CQ420*CP442+CO421*CP441+CO422*CP440+CO423*CP439+CO424*CP438+CO425*CP437+CO426*CP436+CO427*CP435+CO428*CP434+CO429*CP433+CO430*CP432+CO431*CP431+CO432*CP430+CO433*CP429+CO434*CP428+CO435*CP427+CO436*CP426+CO437*CP425+CO438*CP424+CO439*CP423+CO440*CP422+CO441*CP421+CO442</f>
        <v>182.43456794715516</v>
      </c>
      <c r="CR442" s="119">
        <f t="shared" si="1197"/>
        <v>3.3163208683412132E-2</v>
      </c>
      <c r="CS442" s="119"/>
      <c r="CT442" s="177">
        <f t="shared" si="1198"/>
        <v>8.4005874081239107E-3</v>
      </c>
      <c r="CU442" s="177">
        <f t="shared" si="1206"/>
        <v>8.1493639400482144E-3</v>
      </c>
      <c r="CV442" s="119">
        <f>VLOOKUP($H442,RoR!$E:$F,2,FALSE)</f>
        <v>2.4766666666666666E-2</v>
      </c>
      <c r="CW442" s="177">
        <v>1.1618796630994188E-2</v>
      </c>
      <c r="CX442" s="177">
        <f t="shared" si="1204"/>
        <v>1.3147870035672478E-2</v>
      </c>
      <c r="CY442" s="177">
        <f t="shared" si="1207"/>
        <v>2.2752577668485409E-2</v>
      </c>
      <c r="CZ442" s="177">
        <f t="shared" si="1208"/>
        <v>4.5144642961987357E-2</v>
      </c>
      <c r="DA442" s="187">
        <f t="shared" si="1199"/>
        <v>0.90381374874999998</v>
      </c>
      <c r="DB442" s="188">
        <f t="shared" si="1200"/>
        <v>2.0706077233668081</v>
      </c>
      <c r="DC442" s="188">
        <f t="shared" si="1201"/>
        <v>-3.4421265141318998E-2</v>
      </c>
      <c r="DD442" s="188">
        <f t="shared" si="1202"/>
        <v>0.62416226176410472</v>
      </c>
      <c r="DE442" s="188">
        <f t="shared" si="1203"/>
        <v>-4.4485877841158712E-2</v>
      </c>
      <c r="DF442" s="189">
        <f>INDEX('State Tax Lookup'!$D$7:$Z$91,MATCH(Calculation!$C442,'State Tax Lookup'!$B$7:$B$91,0),MATCH($H442,'State Tax Lookup'!$D$6:$Z$6,0))</f>
        <v>0.25649666999999998</v>
      </c>
      <c r="DG442" s="189">
        <v>0.375</v>
      </c>
      <c r="DH442" s="190">
        <f t="shared" si="1205"/>
        <v>22.433596006844272</v>
      </c>
      <c r="DI442" s="190">
        <v>22.105925079445772</v>
      </c>
      <c r="DJ442" s="177"/>
      <c r="DK442" s="189">
        <f>VLOOKUP($H442,RoR!$E:$F,2,FALSE)</f>
        <v>2.4766666666666666E-2</v>
      </c>
      <c r="DL442" s="191">
        <f>HLOOKUP($H442,'GDP-PI'!$D$8:$CQ$11,3,FALSE)</f>
        <v>1.1618796630994188E-2</v>
      </c>
      <c r="DM442" s="189">
        <f>VLOOKUP(H442,'HW Dx Data'!$E:$F,2,FALSE)</f>
        <v>813.080162458833</v>
      </c>
      <c r="DN442" s="183">
        <f>VLOOKUP(H442,'ECI - Input Price'!$G$17:$H$37,2,FALSE)</f>
        <v>140.44999999999999</v>
      </c>
      <c r="DO442" s="177">
        <f t="shared" ref="DO442" si="1261">LN(DN442/DN441)</f>
        <v>2.5966118063564539E-2</v>
      </c>
      <c r="DP442" s="183">
        <f>HLOOKUP(H442,'GDP-PI'!$8:$9,2,FALSE)</f>
        <v>113.623</v>
      </c>
      <c r="DQ442" s="177">
        <f t="shared" ref="DQ442" si="1262">LN(DP442/DP441)</f>
        <v>1.1551816731392881E-2</v>
      </c>
      <c r="DR442" s="167">
        <v>3.0316600823757176E-3</v>
      </c>
    </row>
    <row r="443" spans="1:122" s="167" customFormat="1" ht="21" x14ac:dyDescent="0.35">
      <c r="A443" s="167" t="s">
        <v>53</v>
      </c>
      <c r="B443" s="167" t="s">
        <v>53</v>
      </c>
      <c r="C443" s="167">
        <v>4059459</v>
      </c>
      <c r="D443" s="167" t="s">
        <v>136</v>
      </c>
      <c r="E443" s="167" t="s">
        <v>126</v>
      </c>
      <c r="G443" s="168" t="s">
        <v>462</v>
      </c>
      <c r="H443" s="169">
        <v>2021</v>
      </c>
      <c r="I443" s="170"/>
      <c r="J443" s="166">
        <f>IFERROR(INDEX('Labor Expenditures'!$E$7:$X$91,MATCH($C443,'Labor Expenditures'!$D$7:$D$91,0),MATCH($G443,'Labor Expenditures'!$E$5:$X$5,0)),"NA")</f>
        <v>3382.7416396897574</v>
      </c>
      <c r="K443" s="166">
        <f t="shared" si="1211"/>
        <v>23.253078808659613</v>
      </c>
      <c r="L443" s="171">
        <f t="shared" si="1218"/>
        <v>0.14820698509165325</v>
      </c>
      <c r="M443" s="172">
        <f t="shared" si="1222"/>
        <v>9.8850471033318812E-5</v>
      </c>
      <c r="N443" s="196"/>
      <c r="O443" s="172"/>
      <c r="P443" s="166">
        <f>IFERROR(INDEX('Non-Labor Expenditures'!$E$7:$AB$91,MATCH($C443,'Non-Labor Expenditures'!$D$7:$D$91,0),MATCH($G443,'Non-Labor Expenditures'!$E$5:$AB$5,0)),"NA")</f>
        <v>4768.4430342614651</v>
      </c>
      <c r="Q443" s="166">
        <f t="shared" si="1212"/>
        <v>40.243421674921642</v>
      </c>
      <c r="R443" s="172">
        <f t="shared" si="1223"/>
        <v>0.11443811746151664</v>
      </c>
      <c r="S443" s="172">
        <f t="shared" si="1228"/>
        <v>7.6327453852741999E-5</v>
      </c>
      <c r="T443" s="172"/>
      <c r="U443" s="172"/>
      <c r="V443" s="166">
        <f t="shared" si="1193"/>
        <v>1685.6592225833374</v>
      </c>
      <c r="W443" s="170"/>
      <c r="X443" s="174">
        <v>182.56411372616364</v>
      </c>
      <c r="Y443" s="175"/>
      <c r="Z443" s="175">
        <f t="shared" si="1229"/>
        <v>0</v>
      </c>
      <c r="AA443" s="175"/>
      <c r="AB443" s="175"/>
      <c r="AC443" s="170">
        <f t="shared" si="1086"/>
        <v>9836.8438965345595</v>
      </c>
      <c r="AD443" s="175">
        <f t="shared" si="1224"/>
        <v>-9.8336305515434638E-2</v>
      </c>
      <c r="AE443" s="118"/>
      <c r="AF443" s="119"/>
      <c r="AG443" s="121">
        <f t="shared" si="1225"/>
        <v>650.19789123766009</v>
      </c>
      <c r="AH443" s="119">
        <f>+AZ443/$BB$59</f>
        <v>3.8816020707458033E-4</v>
      </c>
      <c r="AI443" s="119">
        <f t="shared" ref="AI443" si="1263">+AZ443/$BC$44</f>
        <v>1.8344014102908114E-3</v>
      </c>
      <c r="AJ443" s="176">
        <f t="shared" si="1230"/>
        <v>0.25238094810226558</v>
      </c>
      <c r="AK443" s="176">
        <f t="shared" si="1231"/>
        <v>1.1927239286544753</v>
      </c>
      <c r="AL443" s="120">
        <f t="shared" si="1213"/>
        <v>0.34388485527166596</v>
      </c>
      <c r="AM443" s="120">
        <f t="shared" si="1214"/>
        <v>0.48475335020222787</v>
      </c>
      <c r="AN443" s="120">
        <f t="shared" si="1215"/>
        <v>0.17136179452610623</v>
      </c>
      <c r="AO443" s="120">
        <f t="shared" si="1219"/>
        <v>9.3947294532310793E-2</v>
      </c>
      <c r="AP443" s="173">
        <f t="shared" si="1235"/>
        <v>226.82560752973248</v>
      </c>
      <c r="AQ443" s="175">
        <f t="shared" si="1236"/>
        <v>9.3947294532310793E-2</v>
      </c>
      <c r="AR443" s="177">
        <f>+AC443/$AE$59</f>
        <v>6.6697579046080932E-4</v>
      </c>
      <c r="AS443" s="177">
        <f t="shared" si="1232"/>
        <v>6.2660571032342464E-5</v>
      </c>
      <c r="AT443" s="177"/>
      <c r="AU443" s="177"/>
      <c r="AV443" s="177"/>
      <c r="AW443" s="190"/>
      <c r="AX443" s="120"/>
      <c r="AY443" s="120"/>
      <c r="AZ443" s="118">
        <f>INDEX('Total Customers'!$E$7:$E$91,MATCH(Calculation!$C443,'Total Customers'!$D$7:$D$91,0))</f>
        <v>15129</v>
      </c>
      <c r="BA443" s="119">
        <f t="shared" si="1194"/>
        <v>8.8299328890324054E-3</v>
      </c>
      <c r="BB443" s="118"/>
      <c r="BC443" s="121"/>
      <c r="BD443" s="118"/>
      <c r="BE443" s="119"/>
      <c r="BF443" s="119"/>
      <c r="BG443" s="173"/>
      <c r="BH443" s="173"/>
      <c r="BI443" s="173"/>
      <c r="BJ443" s="173"/>
      <c r="BK443" s="173"/>
      <c r="BL443" s="173"/>
      <c r="BM443" s="173"/>
      <c r="BN443" s="173"/>
      <c r="BO443" s="173"/>
      <c r="BP443" s="173"/>
      <c r="BQ443" s="118"/>
      <c r="BR443" s="118"/>
      <c r="BS443" s="118">
        <f>INDEX('Dist. Plant Gas Additions'!$E$7:$AE$91,MATCH($C443,'Dist. Plant Gas Additions'!$D$7:$D$91,0),MATCH(Calculation!$G443,'Dist. Plant Gas Additions'!$E$5:$AE$5,0))</f>
        <v>8379</v>
      </c>
      <c r="BT443" s="118">
        <f>INDEX('Gen. Plant Additions'!$E$7:$AE$91,MATCH($C443,'Gen. Plant Additions'!$D$7:$D$91,0),MATCH(Calculation!$G443,'Gen. Plant Additions'!$E$5:$AE$5,0))</f>
        <v>509</v>
      </c>
      <c r="BU443" s="118"/>
      <c r="BV443" s="118"/>
      <c r="BW443" s="118"/>
      <c r="BX443" s="118"/>
      <c r="BY443" s="183"/>
      <c r="BZ443" s="183"/>
      <c r="CA443" s="178"/>
      <c r="CB443" s="184"/>
      <c r="CC443" s="185"/>
      <c r="CD443" s="185"/>
      <c r="CE443" s="118"/>
      <c r="CF443" s="118"/>
      <c r="CG443" s="118"/>
      <c r="CH443" s="118"/>
      <c r="CI443" s="121">
        <v>2021</v>
      </c>
      <c r="CJ443" s="118"/>
      <c r="CK443" s="118"/>
      <c r="CL443" s="118"/>
      <c r="CM443" s="183"/>
      <c r="CN443" s="118">
        <f t="shared" si="1195"/>
        <v>8888</v>
      </c>
      <c r="CO443" s="118">
        <f t="shared" si="1196"/>
        <v>9.5260296589443936</v>
      </c>
      <c r="CP443" s="186">
        <f>+(51-23)/(51-23*0.75)</f>
        <v>0.82962962962962961</v>
      </c>
      <c r="CQ443" s="118">
        <f>CQ420*CP443+CO421*CP442+CO422*CP441+CO423*CP440+CO424*CP439+CO425*CP438+CO426*CP437+CO427*CP436+CO428*CP435+CO429*CP434+CO430*CP433+CO431*CP432+CO432*CP431+CO433*CP430+CO434*CP429+CO425*CP428+CO436*CP427+CO437*CP426+CO438*CP425+CO439*CP424+CO440*CP423+CO441*CP422+CO443+CO442*CP421</f>
        <v>182.56411372616364</v>
      </c>
      <c r="CR443" s="119"/>
      <c r="CS443" s="118"/>
      <c r="CT443" s="177">
        <f t="shared" si="1198"/>
        <v>5.1506049460197378E-2</v>
      </c>
      <c r="CU443" s="177">
        <f t="shared" si="1206"/>
        <v>2.2675706644734363E-2</v>
      </c>
      <c r="CV443" s="119">
        <f>VLOOKUP($H443,RoR!$E:$F,2,FALSE)</f>
        <v>2.7033333333333336E-2</v>
      </c>
      <c r="CW443" s="177"/>
      <c r="CX443" s="177"/>
      <c r="CY443" s="177">
        <f t="shared" si="1207"/>
        <v>8.2262349637992616E-3</v>
      </c>
      <c r="CZ443" s="177">
        <f t="shared" si="1208"/>
        <v>7.433422950153494E-2</v>
      </c>
      <c r="DA443" s="187">
        <f t="shared" si="1199"/>
        <v>0.90381374874999998</v>
      </c>
      <c r="DB443" s="188">
        <f t="shared" si="1200"/>
        <v>1.8969932656739068</v>
      </c>
      <c r="DC443" s="188">
        <f t="shared" si="1201"/>
        <v>5.0215782983970621E-2</v>
      </c>
      <c r="DD443" s="188">
        <f t="shared" si="1202"/>
        <v>0.655952481704143</v>
      </c>
      <c r="DE443" s="188">
        <f t="shared" si="1203"/>
        <v>6.2485378865697057E-2</v>
      </c>
      <c r="DF443" s="189">
        <f>DF442</f>
        <v>0.25649666999999998</v>
      </c>
      <c r="DG443" s="189">
        <v>0.375</v>
      </c>
      <c r="DH443" s="190">
        <f t="shared" si="1205"/>
        <v>9.2398016535529237</v>
      </c>
      <c r="DI443" s="190"/>
      <c r="DJ443" s="177">
        <f t="shared" ref="DJ443" si="1264">LN(DH443/DH442)</f>
        <v>-0.88703923762833925</v>
      </c>
      <c r="DK443" s="189">
        <f>VLOOKUP($H443,RoR!$E:$F,2,FALSE)</f>
        <v>2.7033333333333336E-2</v>
      </c>
      <c r="DL443" s="191">
        <f>HLOOKUP($H443,'GDP-PI'!$D$8:$CR$11,3,FALSE)</f>
        <v>4.2834637353352578E-2</v>
      </c>
      <c r="DM443" s="189">
        <f>VLOOKUP(H443,'HW Dx Data'!$E:$F,2,FALSE)</f>
        <v>933.02249921662576</v>
      </c>
      <c r="DN443" s="183">
        <f>VLOOKUP(H443,'ECI - Input Price'!$G$17:$H$37,2,FALSE)</f>
        <v>145.47500000000002</v>
      </c>
      <c r="DO443" s="177">
        <f t="shared" ref="DO443" si="1265">LN(DN443/DN442)</f>
        <v>3.5152696992481205E-2</v>
      </c>
      <c r="DP443" s="183">
        <f>HLOOKUP(H443,'GDP-PI'!$8:$9,2,FALSE)</f>
        <v>118.49</v>
      </c>
      <c r="DQ443" s="177">
        <f t="shared" ref="DQ443" si="1266">LN(DP443/DP442)</f>
        <v>4.194261824609434E-2</v>
      </c>
    </row>
    <row r="444" spans="1:122" s="167" customFormat="1" ht="21" x14ac:dyDescent="0.35">
      <c r="A444" s="167" t="s">
        <v>54</v>
      </c>
      <c r="B444" s="168" t="s">
        <v>54</v>
      </c>
      <c r="C444" s="168">
        <v>4057118</v>
      </c>
      <c r="D444" s="168" t="s">
        <v>141</v>
      </c>
      <c r="E444" s="168"/>
      <c r="F444" s="168"/>
      <c r="G444" s="168" t="s">
        <v>4</v>
      </c>
      <c r="H444" s="169">
        <v>1998</v>
      </c>
      <c r="I444" s="170"/>
      <c r="J444" s="166"/>
      <c r="K444" s="166"/>
      <c r="L444" s="166"/>
      <c r="M444" s="166"/>
      <c r="N444" s="196"/>
      <c r="O444" s="166"/>
      <c r="P444" s="172"/>
      <c r="Q444" s="172"/>
      <c r="R444" s="172"/>
      <c r="S444" s="166"/>
      <c r="T444" s="172"/>
      <c r="U444" s="172"/>
      <c r="V444" s="166"/>
      <c r="W444" s="170"/>
      <c r="X444" s="174">
        <v>286.7795011539211</v>
      </c>
      <c r="Y444" s="175"/>
      <c r="Z444" s="166"/>
      <c r="AA444" s="175"/>
      <c r="AB444" s="175"/>
      <c r="AC444" s="170">
        <f t="shared" si="1086"/>
        <v>0</v>
      </c>
      <c r="AD444" s="170"/>
      <c r="AE444" s="170"/>
      <c r="AF444" s="119"/>
      <c r="AG444" s="174"/>
      <c r="AH444" s="175"/>
      <c r="AI444" s="175"/>
      <c r="AJ444" s="174"/>
      <c r="AK444" s="174"/>
      <c r="AL444" s="120"/>
      <c r="AM444" s="120"/>
      <c r="AN444" s="120"/>
      <c r="AO444" s="120"/>
      <c r="AP444" s="120"/>
      <c r="AQ444" s="175">
        <f>AVERAGE(AQ453:AQ467)</f>
        <v>-2.9230983666098339E-3</v>
      </c>
      <c r="AR444" s="120"/>
      <c r="AS444" s="120"/>
      <c r="AT444" s="120"/>
      <c r="AU444" s="120"/>
      <c r="AV444" s="120"/>
      <c r="AW444" s="120"/>
      <c r="AX444" s="120"/>
      <c r="AY444" s="120"/>
      <c r="AZ444" s="118">
        <f>IFERROR(INDEX('Total Customers'!$F$7:$AB$91,MATCH($C444,'Total Customers'!$D$7:$D$91,0),MATCH($G444,'Total Customers'!$F$5:$AB$5,0)),"NA")</f>
        <v>37165</v>
      </c>
      <c r="BA444" s="119"/>
      <c r="BB444" s="119"/>
      <c r="BC444" s="121"/>
      <c r="BD444" s="119"/>
      <c r="BE444" s="119"/>
      <c r="BF444" s="119"/>
      <c r="BG444" s="173"/>
      <c r="BH444" s="173"/>
      <c r="BI444" s="173"/>
      <c r="BJ444" s="173"/>
      <c r="BK444" s="173"/>
      <c r="BL444" s="173"/>
      <c r="BM444" s="173"/>
      <c r="BN444" s="173"/>
      <c r="BO444" s="173"/>
      <c r="BP444" s="173"/>
      <c r="BQ444" s="118">
        <f>INDEX('Gross Dx Plant'!$E$7:$AD$91,MATCH($C444,'Gross Dx Plant'!$D$7:$D$91,0),MATCH(Calculation!$G444,'Gross Dx Plant'!$E$5:$AD$5,0))</f>
        <v>67055</v>
      </c>
      <c r="BR444" s="118">
        <f>INDEX('Gross Gen Plant'!$E$7:$AD$91,MATCH($C444,'Gross Gen Plant'!$D$7:$D$91,0),MATCH(Calculation!$G444,'Gross Gen Plant'!$E$5:$AD$5,0))</f>
        <v>14554</v>
      </c>
      <c r="BS444" s="118">
        <f>INDEX('Dist. Plant Gas Additions'!$F$7:$AE$91,MATCH($C444,'Dist. Plant Gas Additions'!$D$7:$D$91,0),MATCH(Calculation!$G444,'Dist. Plant Gas Additions'!$F$5:$AE$5,0))</f>
        <v>6817</v>
      </c>
      <c r="BT444" s="118">
        <f>INDEX('Gen. Plant Additions'!$F$7:$AE$91,MATCH($C444,'Gen. Plant Additions'!$D$7:$D$91,0),MATCH(Calculation!$G444,'Gen. Plant Additions'!$F$5:$AE$5,0))</f>
        <v>1171</v>
      </c>
      <c r="BU444" s="118" t="e">
        <f>INDEX('Dist Plant Depreciation'!$E$7:$AA$94,MATCH($C444,'Dist Plant Depreciation'!$D$7:$D$94,0),MATCH(#REF!,'Dist Plant Depreciation'!$E$5:$AA$5,0))</f>
        <v>#REF!</v>
      </c>
      <c r="BV444" s="118" t="e">
        <f>INDEX('Gen. Plant Depreciation'!$E$7:$AA$94,MATCH($C444,'Gen. Plant Depreciation'!$D$7:$D$94,0),MATCH(#REF!,'Gen. Plant Depreciation'!$E$5:$AA$5,0))</f>
        <v>#REF!</v>
      </c>
      <c r="BW444" s="118">
        <f>INDEX('Dist Plant Depreciation'!$E$7:$AD$94,MATCH($C444,'Dist Plant Depreciation'!$D$7:$D$94,0),MATCH(Calculation!$G444,'Dist Plant Depreciation'!$E$5:$AD$5,0))</f>
        <v>16184</v>
      </c>
      <c r="BX444" s="118">
        <f>INDEX('Gen. Plant Depreciation'!$E$7:$AD$94,MATCH($C444,'Gen. Plant Depreciation'!$D$7:$D$94,0),MATCH(Calculation!$G444,'Gen. Plant Depreciation'!$E$5:$AD$5,0))</f>
        <v>7576</v>
      </c>
      <c r="BY444" s="118"/>
      <c r="BZ444" s="118"/>
      <c r="CA444" s="118"/>
      <c r="CB444" s="118"/>
      <c r="CC444" s="118"/>
      <c r="CD444" s="118"/>
      <c r="CE444" s="118">
        <f>INDEX('Gross Dx Plant'!$E$7:$AD$91,MATCH($C444,'Gross Dx Plant'!$D$7:$D$91,0),MATCH(Calculation!$G444,'Gross Dx Plant'!$E$5:$AD$5,0))</f>
        <v>67055</v>
      </c>
      <c r="CF444" s="118">
        <f>INDEX('Gross Gen Plant'!$E$7:$AD$91,MATCH($C444,'Gross Gen Plant'!$D$7:$D$91,0),MATCH(Calculation!$G444,'Gross Gen Plant'!$E$5:$AD$5,0))</f>
        <v>14554</v>
      </c>
      <c r="CG444" s="118">
        <f t="shared" si="1177"/>
        <v>57849</v>
      </c>
      <c r="CH444" s="118"/>
      <c r="CI444" s="121">
        <v>1998</v>
      </c>
      <c r="CJ444" s="118">
        <f>BQ444+BR444</f>
        <v>81609</v>
      </c>
      <c r="CK444" s="118">
        <f>16184+7576</f>
        <v>23760</v>
      </c>
      <c r="CL444" s="118">
        <f>+CJ444-CK444</f>
        <v>57849</v>
      </c>
      <c r="CM444" s="118">
        <f>CL444/$CD$36</f>
        <v>286.7795011539211</v>
      </c>
      <c r="CN444" s="183"/>
      <c r="CO444" s="183"/>
      <c r="CP444" s="186">
        <v>1</v>
      </c>
      <c r="CQ444" s="118">
        <f>+CM444</f>
        <v>286.7795011539211</v>
      </c>
      <c r="CR444" s="119"/>
      <c r="CS444" s="119"/>
      <c r="CT444" s="177"/>
      <c r="CU444" s="177"/>
      <c r="CV444" s="119" t="e">
        <f>VLOOKUP($H444,RoR!$E:$F,2,FALSE)</f>
        <v>#N/A</v>
      </c>
      <c r="CW444" s="177">
        <v>1.1028127770464469E-2</v>
      </c>
      <c r="CX444" s="177"/>
      <c r="CY444" s="177"/>
      <c r="CZ444" s="177"/>
      <c r="DA444" s="187"/>
      <c r="DB444" s="190" t="e">
        <f>2/(DK444*39)</f>
        <v>#N/A</v>
      </c>
      <c r="DC444" s="188" t="e">
        <f>+(DK444*40-(1+DK444))/(DK444*40)</f>
        <v>#N/A</v>
      </c>
      <c r="DD444" s="188" t="e">
        <f>+(1-(1/(1+DK444)^40))</f>
        <v>#N/A</v>
      </c>
      <c r="DE444" s="188" t="e">
        <f>+DD444*DC444*DB444</f>
        <v>#N/A</v>
      </c>
      <c r="DF444" s="189">
        <f>INDEX('State Tax Lookup'!$D$7:$Z$91,MATCH(Calculation!$C444,'State Tax Lookup'!$B$7:$B$91,0),MATCH($H444,'State Tax Lookup'!$D$6:$Z$6,0))</f>
        <v>0.39279166999999998</v>
      </c>
      <c r="DG444" s="189">
        <v>0.375</v>
      </c>
      <c r="DH444" s="183"/>
      <c r="DI444" s="183"/>
      <c r="DJ444" s="177"/>
      <c r="DK444" s="189" t="e">
        <f>VLOOKUP($H444,RoR!$E:$F,2,FALSE)</f>
        <v>#N/A</v>
      </c>
      <c r="DL444" s="191">
        <f>HLOOKUP($H444,'GDP-PI'!$D$8:$CQ$11,3,FALSE)</f>
        <v>1.1028127770464469E-2</v>
      </c>
      <c r="DM444" s="189">
        <f>VLOOKUP(H444,'HW Dx Data'!$E:$F,2,FALSE)</f>
        <v>329.24564746449528</v>
      </c>
      <c r="DN444" s="183" t="e">
        <f>VLOOKUP(H444,'ECI - Input Price'!$G$17:$H$37,2,FALSE)</f>
        <v>#N/A</v>
      </c>
      <c r="DO444" s="177"/>
      <c r="DP444" s="183">
        <f>HLOOKUP(H444,'GDP-PI'!$8:$9,2,FALSE)</f>
        <v>75.266999999999996</v>
      </c>
      <c r="DR444" s="167">
        <v>1.8092988214810892E-2</v>
      </c>
    </row>
    <row r="445" spans="1:122" s="167" customFormat="1" ht="21" x14ac:dyDescent="0.35">
      <c r="A445" s="167" t="s">
        <v>54</v>
      </c>
      <c r="B445" s="168" t="s">
        <v>54</v>
      </c>
      <c r="C445" s="168">
        <v>4057118</v>
      </c>
      <c r="D445" s="168" t="s">
        <v>141</v>
      </c>
      <c r="E445" s="168"/>
      <c r="F445" s="168"/>
      <c r="G445" s="168" t="s">
        <v>5</v>
      </c>
      <c r="H445" s="169">
        <v>1999</v>
      </c>
      <c r="I445" s="170"/>
      <c r="J445" s="166"/>
      <c r="K445" s="170"/>
      <c r="L445" s="170"/>
      <c r="M445" s="166"/>
      <c r="N445" s="173"/>
      <c r="O445" s="170"/>
      <c r="P445" s="177"/>
      <c r="Q445" s="177"/>
      <c r="R445" s="177"/>
      <c r="S445" s="195"/>
      <c r="T445" s="177"/>
      <c r="U445" s="177"/>
      <c r="V445" s="166">
        <f t="shared" ref="V445:V467" si="1267">+CQ444*DH445</f>
        <v>0</v>
      </c>
      <c r="W445" s="170"/>
      <c r="X445" s="174">
        <v>304.30450116365392</v>
      </c>
      <c r="Y445" s="175">
        <v>5.9315216843343815E-2</v>
      </c>
      <c r="Z445" s="175"/>
      <c r="AA445" s="175"/>
      <c r="AB445" s="175"/>
      <c r="AC445" s="170">
        <f t="shared" si="1086"/>
        <v>0</v>
      </c>
      <c r="AD445" s="175"/>
      <c r="AE445" s="170"/>
      <c r="AF445" s="119"/>
      <c r="AG445" s="174"/>
      <c r="AH445" s="175"/>
      <c r="AI445" s="175"/>
      <c r="AJ445" s="174"/>
      <c r="AK445" s="174"/>
      <c r="AL445" s="120"/>
      <c r="AM445" s="120"/>
      <c r="AN445" s="120"/>
      <c r="AO445" s="120"/>
      <c r="AP445" s="120"/>
      <c r="AQ445" s="175"/>
      <c r="AR445" s="120"/>
      <c r="AS445" s="120"/>
      <c r="AT445" s="120"/>
      <c r="AU445" s="120"/>
      <c r="AV445" s="120"/>
      <c r="AW445" s="120"/>
      <c r="AX445" s="120"/>
      <c r="AY445" s="120"/>
      <c r="AZ445" s="118">
        <f>IFERROR(INDEX('Total Customers'!$F$7:$AB$91,MATCH($C445,'Total Customers'!$D$7:$D$91,0),MATCH($G445,'Total Customers'!$F$5:$AB$5,0)),"NA")</f>
        <v>37963</v>
      </c>
      <c r="BA445" s="119">
        <f t="shared" ref="BA445:BA467" si="1268">LN(AZ445/AZ444)</f>
        <v>2.1244543000202783E-2</v>
      </c>
      <c r="BB445" s="119"/>
      <c r="BC445" s="121"/>
      <c r="BD445" s="119"/>
      <c r="BE445" s="119"/>
      <c r="BF445" s="119"/>
      <c r="BG445" s="173"/>
      <c r="BH445" s="173"/>
      <c r="BI445" s="173"/>
      <c r="BJ445" s="173"/>
      <c r="BK445" s="173"/>
      <c r="BL445" s="173"/>
      <c r="BM445" s="173"/>
      <c r="BN445" s="173"/>
      <c r="BO445" s="173"/>
      <c r="BP445" s="173"/>
      <c r="BQ445" s="118"/>
      <c r="BR445" s="118"/>
      <c r="BS445" s="118">
        <f>INDEX('Dist. Plant Gas Additions'!$F$7:$AE$91,MATCH($C445,'Dist. Plant Gas Additions'!$D$7:$D$91,0),MATCH(Calculation!$G445,'Dist. Plant Gas Additions'!$F$5:$AE$5,0))</f>
        <v>4714</v>
      </c>
      <c r="BT445" s="118">
        <f>INDEX('Gen. Plant Additions'!$F$7:$AE$91,MATCH($C445,'Gen. Plant Additions'!$D$7:$D$91,0),MATCH(Calculation!$G445,'Gen. Plant Additions'!$F$5:$AE$5,0))</f>
        <v>1641</v>
      </c>
      <c r="BU445" s="118"/>
      <c r="BV445" s="118"/>
      <c r="BW445" s="118">
        <f>INDEX('Dist Plant Depreciation'!$E$7:$AD$94,MATCH($C445,'Dist Plant Depreciation'!$D$7:$D$94,0),MATCH(Calculation!$G445,'Dist Plant Depreciation'!$E$5:$AD$5,0))</f>
        <v>17844</v>
      </c>
      <c r="BX445" s="118">
        <f>INDEX('Gen. Plant Depreciation'!$E$7:$AD$94,MATCH($C445,'Gen. Plant Depreciation'!$D$7:$D$94,0),MATCH(Calculation!$G445,'Gen. Plant Depreciation'!$E$5:$AD$5,0))</f>
        <v>8098</v>
      </c>
      <c r="BY445" s="118"/>
      <c r="BZ445" s="118"/>
      <c r="CA445" s="118"/>
      <c r="CB445" s="118"/>
      <c r="CC445" s="118"/>
      <c r="CD445" s="118"/>
      <c r="CE445" s="118">
        <f>INDEX('Gross Dx Plant'!$E$7:$AD$91,MATCH($C445,'Gross Dx Plant'!$D$7:$D$91,0),MATCH(Calculation!$G445,'Gross Dx Plant'!$E$5:$AD$5,0))</f>
        <v>71662</v>
      </c>
      <c r="CF445" s="118">
        <f>INDEX('Gross Gen Plant'!$E$7:$AD$91,MATCH($C445,'Gross Gen Plant'!$D$7:$D$91,0),MATCH(Calculation!$G445,'Gross Gen Plant'!$E$5:$AD$5,0))</f>
        <v>15239</v>
      </c>
      <c r="CG445" s="118">
        <f t="shared" si="1177"/>
        <v>60959</v>
      </c>
      <c r="CH445" s="118"/>
      <c r="CI445" s="121">
        <v>1999</v>
      </c>
      <c r="CJ445" s="118"/>
      <c r="CK445" s="118"/>
      <c r="CL445" s="118"/>
      <c r="CM445" s="183"/>
      <c r="CN445" s="118">
        <f t="shared" ref="CN445:CN467" si="1269">+BT445+BS445</f>
        <v>6355</v>
      </c>
      <c r="CO445" s="118">
        <f t="shared" ref="CO445:CO467" si="1270">+CN445/$DM445</f>
        <v>18.951763697065761</v>
      </c>
      <c r="CP445" s="186">
        <v>0.99502487562189057</v>
      </c>
      <c r="CQ445" s="118">
        <f>+CQ444*CP445+CO445</f>
        <v>304.30450116365392</v>
      </c>
      <c r="CR445" s="119">
        <f t="shared" ref="CR445:CR466" si="1271">LN(CQ445/CQ444)</f>
        <v>5.9315216843343815E-2</v>
      </c>
      <c r="CS445" s="119"/>
      <c r="CT445" s="177">
        <f t="shared" ref="CT445:CT467" si="1272">+(CQ444-CQ445+CO445)/CQ444</f>
        <v>4.97512437810945E-3</v>
      </c>
      <c r="CU445" s="177"/>
      <c r="CV445" s="119">
        <f>VLOOKUP($H445,RoR!$E:$F,2,FALSE)</f>
        <v>7.0416666666666669E-2</v>
      </c>
      <c r="CW445" s="177">
        <v>1.4335631817396832E-2</v>
      </c>
      <c r="CX445" s="177">
        <f>+CV445-CW445</f>
        <v>5.6081034849269837E-2</v>
      </c>
      <c r="CY445" s="177"/>
      <c r="CZ445" s="177"/>
      <c r="DA445" s="187">
        <f t="shared" ref="DA445:DA467" si="1273">1-DF445*DG445</f>
        <v>0.85270312375000001</v>
      </c>
      <c r="DB445" s="188">
        <f t="shared" ref="DB445:DB467" si="1274">2/(DK445*39)</f>
        <v>0.72826581702321336</v>
      </c>
      <c r="DC445" s="188">
        <f t="shared" ref="DC445:DC467" si="1275">+(DK445*40-(1+DK445))/(DK445*40)</f>
        <v>0.61997041420118348</v>
      </c>
      <c r="DD445" s="188">
        <f t="shared" ref="DD445:DD467" si="1276">+(1-(1/(1+DK445)^40))</f>
        <v>0.93425155319585029</v>
      </c>
      <c r="DE445" s="188">
        <f t="shared" ref="DE445:DE467" si="1277">+DD445*DC445*DB445</f>
        <v>0.42181762214141483</v>
      </c>
      <c r="DF445" s="189">
        <f>INDEX('State Tax Lookup'!$D$7:$Z$91,MATCH(Calculation!$C445,'State Tax Lookup'!$B$7:$B$91,0),MATCH($H445,'State Tax Lookup'!$D$6:$Z$6,0))</f>
        <v>0.39279166999999998</v>
      </c>
      <c r="DG445" s="189">
        <v>0.375</v>
      </c>
      <c r="DH445" s="190"/>
      <c r="DI445" s="190"/>
      <c r="DJ445" s="177"/>
      <c r="DK445" s="189">
        <f>VLOOKUP($H445,RoR!$E:$F,2,FALSE)</f>
        <v>7.0416666666666669E-2</v>
      </c>
      <c r="DL445" s="191">
        <f>HLOOKUP($H445,'GDP-PI'!$D$8:$CQ$11,3,FALSE)</f>
        <v>1.4335631817396832E-2</v>
      </c>
      <c r="DM445" s="189">
        <f>VLOOKUP(H445,'HW Dx Data'!$E:$F,2,FALSE)</f>
        <v>335.32499146683239</v>
      </c>
      <c r="DN445" s="183" t="e">
        <f>VLOOKUP(H445,'ECI - Input Price'!$G$17:$H$37,2,FALSE)</f>
        <v>#N/A</v>
      </c>
      <c r="DO445" s="177"/>
      <c r="DP445" s="183">
        <f>HLOOKUP(H445,'GDP-PI'!$8:$9,2,FALSE)</f>
        <v>76.346000000000004</v>
      </c>
      <c r="DR445" s="167">
        <v>1.1123327319345001E-4</v>
      </c>
    </row>
    <row r="446" spans="1:122" s="167" customFormat="1" ht="21" x14ac:dyDescent="0.35">
      <c r="A446" s="167" t="s">
        <v>54</v>
      </c>
      <c r="B446" s="168" t="s">
        <v>54</v>
      </c>
      <c r="C446" s="168">
        <v>4057118</v>
      </c>
      <c r="D446" s="168" t="s">
        <v>141</v>
      </c>
      <c r="E446" s="168"/>
      <c r="F446" s="168"/>
      <c r="G446" s="168" t="s">
        <v>6</v>
      </c>
      <c r="H446" s="169">
        <v>2000</v>
      </c>
      <c r="I446" s="170"/>
      <c r="J446" s="166"/>
      <c r="K446" s="166"/>
      <c r="L446" s="166"/>
      <c r="M446" s="166"/>
      <c r="N446" s="196"/>
      <c r="O446" s="166"/>
      <c r="P446" s="166"/>
      <c r="Q446" s="166"/>
      <c r="R446" s="166"/>
      <c r="S446" s="166"/>
      <c r="T446" s="166"/>
      <c r="U446" s="166"/>
      <c r="V446" s="166">
        <f t="shared" si="1267"/>
        <v>0</v>
      </c>
      <c r="W446" s="170"/>
      <c r="X446" s="174">
        <v>317.3679400406466</v>
      </c>
      <c r="Y446" s="175">
        <v>4.2032946271473116E-2</v>
      </c>
      <c r="Z446" s="175"/>
      <c r="AA446" s="175"/>
      <c r="AB446" s="175"/>
      <c r="AC446" s="170">
        <f t="shared" ref="AC446:AC509" si="1278">+J446+P446+V446</f>
        <v>0</v>
      </c>
      <c r="AD446" s="175"/>
      <c r="AE446" s="170"/>
      <c r="AF446" s="170"/>
      <c r="AG446" s="174"/>
      <c r="AH446" s="175"/>
      <c r="AI446" s="175"/>
      <c r="AJ446" s="174"/>
      <c r="AK446" s="174"/>
      <c r="AL446" s="120"/>
      <c r="AM446" s="120"/>
      <c r="AN446" s="120"/>
      <c r="AO446" s="120"/>
      <c r="AP446" s="120"/>
      <c r="AQ446" s="175"/>
      <c r="AR446" s="120"/>
      <c r="AS446" s="120"/>
      <c r="AT446" s="120"/>
      <c r="AU446" s="120"/>
      <c r="AV446" s="120"/>
      <c r="AW446" s="120"/>
      <c r="AX446" s="120"/>
      <c r="AY446" s="120"/>
      <c r="AZ446" s="118">
        <f>IFERROR(INDEX('Total Customers'!$F$7:$AB$91,MATCH($C446,'Total Customers'!$D$7:$D$91,0),MATCH($G446,'Total Customers'!$F$5:$AB$5,0)),"NA")</f>
        <v>38960</v>
      </c>
      <c r="BA446" s="119">
        <f t="shared" si="1268"/>
        <v>2.5923477596874724E-2</v>
      </c>
      <c r="BB446" s="119"/>
      <c r="BC446" s="121"/>
      <c r="BD446" s="119"/>
      <c r="BE446" s="119"/>
      <c r="BF446" s="119"/>
      <c r="BG446" s="173"/>
      <c r="BH446" s="173"/>
      <c r="BI446" s="173"/>
      <c r="BJ446" s="173"/>
      <c r="BK446" s="173"/>
      <c r="BL446" s="173"/>
      <c r="BM446" s="173"/>
      <c r="BN446" s="173"/>
      <c r="BO446" s="173"/>
      <c r="BP446" s="173"/>
      <c r="BQ446" s="118"/>
      <c r="BR446" s="118"/>
      <c r="BS446" s="118">
        <f>INDEX('Dist. Plant Gas Additions'!$F$7:$AE$91,MATCH($C446,'Dist. Plant Gas Additions'!$D$7:$D$91,0),MATCH(Calculation!$G446,'Dist. Plant Gas Additions'!$F$5:$AE$5,0))</f>
        <v>4328</v>
      </c>
      <c r="BT446" s="118">
        <f>INDEX('Gen. Plant Additions'!$F$7:$AE$91,MATCH($C446,'Gen. Plant Additions'!$D$7:$D$91,0),MATCH(Calculation!$G446,'Gen. Plant Additions'!$F$5:$AE$5,0))</f>
        <v>741</v>
      </c>
      <c r="BU446" s="118"/>
      <c r="BV446" s="118"/>
      <c r="BW446" s="118">
        <f>INDEX('Dist Plant Depreciation'!$E$7:$AD$94,MATCH($C446,'Dist Plant Depreciation'!$D$7:$D$94,0),MATCH(Calculation!$G446,'Dist Plant Depreciation'!$E$5:$AD$5,0))</f>
        <v>19340</v>
      </c>
      <c r="BX446" s="118">
        <f>INDEX('Gen. Plant Depreciation'!$E$7:$AD$94,MATCH($C446,'Gen. Plant Depreciation'!$D$7:$D$94,0),MATCH(Calculation!$G446,'Gen. Plant Depreciation'!$E$5:$AD$5,0))</f>
        <v>8847</v>
      </c>
      <c r="BY446" s="118"/>
      <c r="BZ446" s="118"/>
      <c r="CA446" s="118"/>
      <c r="CB446" s="118"/>
      <c r="CC446" s="118"/>
      <c r="CD446" s="118"/>
      <c r="CE446" s="118">
        <f>INDEX('Gross Dx Plant'!$E$7:$AD$91,MATCH($C446,'Gross Dx Plant'!$D$7:$D$91,0),MATCH(Calculation!$G446,'Gross Dx Plant'!$E$5:$AD$5,0))</f>
        <v>75590</v>
      </c>
      <c r="CF446" s="118">
        <f>INDEX('Gross Gen Plant'!$E$7:$AD$91,MATCH($C446,'Gross Gen Plant'!$D$7:$D$91,0),MATCH(Calculation!$G446,'Gross Gen Plant'!$E$5:$AD$5,0))</f>
        <v>15368</v>
      </c>
      <c r="CG446" s="118">
        <f t="shared" si="1177"/>
        <v>62771</v>
      </c>
      <c r="CH446" s="118"/>
      <c r="CI446" s="121">
        <v>2000</v>
      </c>
      <c r="CJ446" s="118"/>
      <c r="CK446" s="118"/>
      <c r="CL446" s="118"/>
      <c r="CM446" s="183"/>
      <c r="CN446" s="118">
        <f t="shared" si="1269"/>
        <v>5069</v>
      </c>
      <c r="CO446" s="118">
        <f t="shared" si="1270"/>
        <v>14.627725209155548</v>
      </c>
      <c r="CP446" s="186">
        <v>0.98989898989898994</v>
      </c>
      <c r="CQ446" s="118">
        <f>+CQ444*CP446+CO445*CP445+CO446</f>
        <v>317.3679400406466</v>
      </c>
      <c r="CR446" s="119">
        <f t="shared" si="1271"/>
        <v>4.2032946271473116E-2</v>
      </c>
      <c r="CS446" s="119"/>
      <c r="CT446" s="177">
        <f t="shared" si="1272"/>
        <v>5.1405297200043804E-3</v>
      </c>
      <c r="CU446" s="177">
        <f>+(CT446+CT445+CT444)/3</f>
        <v>3.3718846993712769E-3</v>
      </c>
      <c r="CV446" s="119">
        <f>VLOOKUP($H446,RoR!$E:$F,2,FALSE)</f>
        <v>7.6225000000000001E-2</v>
      </c>
      <c r="CW446" s="177">
        <v>2.2568307442433211E-2</v>
      </c>
      <c r="CX446" s="177">
        <f t="shared" ref="CX446:CX466" si="1279">+CV446-CW446</f>
        <v>5.365669255756679E-2</v>
      </c>
      <c r="CY446" s="177"/>
      <c r="CZ446" s="177"/>
      <c r="DA446" s="187">
        <f t="shared" si="1273"/>
        <v>0.85270312375000001</v>
      </c>
      <c r="DB446" s="188">
        <f t="shared" si="1274"/>
        <v>0.67277207323124022</v>
      </c>
      <c r="DC446" s="188">
        <f t="shared" si="1275"/>
        <v>0.6470236142997704</v>
      </c>
      <c r="DD446" s="188">
        <f t="shared" si="1276"/>
        <v>0.94704866037543145</v>
      </c>
      <c r="DE446" s="188">
        <f t="shared" si="1277"/>
        <v>0.41224973107878493</v>
      </c>
      <c r="DF446" s="189">
        <f>INDEX('State Tax Lookup'!$D$7:$Z$91,MATCH(Calculation!$C446,'State Tax Lookup'!$B$7:$B$91,0),MATCH($H446,'State Tax Lookup'!$D$6:$Z$6,0))</f>
        <v>0.39279166999999998</v>
      </c>
      <c r="DG446" s="189">
        <v>0.375</v>
      </c>
      <c r="DH446" s="190"/>
      <c r="DI446" s="190"/>
      <c r="DJ446" s="177"/>
      <c r="DK446" s="189">
        <f>VLOOKUP($H446,RoR!$E:$F,2,FALSE)</f>
        <v>7.6225000000000001E-2</v>
      </c>
      <c r="DL446" s="191">
        <f>HLOOKUP($H446,'GDP-PI'!$D$8:$CQ$11,3,FALSE)</f>
        <v>2.2568307442433211E-2</v>
      </c>
      <c r="DM446" s="189">
        <f>VLOOKUP(H446,'HW Dx Data'!$E:$F,2,FALSE)</f>
        <v>346.53371782150339</v>
      </c>
      <c r="DN446" s="183" t="e">
        <f>VLOOKUP(H446,'ECI - Input Price'!$G$17:$H$37,2,FALSE)</f>
        <v>#N/A</v>
      </c>
      <c r="DO446" s="177"/>
      <c r="DP446" s="183">
        <f>HLOOKUP(H446,'GDP-PI'!$8:$9,2,FALSE)</f>
        <v>78.069000000000003</v>
      </c>
      <c r="DR446" s="167">
        <v>9.3262927145344623E-4</v>
      </c>
    </row>
    <row r="447" spans="1:122" s="167" customFormat="1" ht="21" x14ac:dyDescent="0.35">
      <c r="A447" s="167" t="s">
        <v>54</v>
      </c>
      <c r="B447" s="168" t="s">
        <v>54</v>
      </c>
      <c r="C447" s="168">
        <v>4057118</v>
      </c>
      <c r="D447" s="168" t="s">
        <v>141</v>
      </c>
      <c r="E447" s="168"/>
      <c r="F447" s="168"/>
      <c r="G447" s="168" t="s">
        <v>7</v>
      </c>
      <c r="H447" s="169">
        <v>2001</v>
      </c>
      <c r="I447" s="170"/>
      <c r="J447" s="166"/>
      <c r="K447" s="166"/>
      <c r="L447" s="166"/>
      <c r="M447" s="166"/>
      <c r="N447" s="196"/>
      <c r="O447" s="166"/>
      <c r="P447" s="166"/>
      <c r="Q447" s="166"/>
      <c r="R447" s="166"/>
      <c r="S447" s="166"/>
      <c r="T447" s="166"/>
      <c r="U447" s="166"/>
      <c r="V447" s="166">
        <f t="shared" si="1267"/>
        <v>4059.2186599291613</v>
      </c>
      <c r="W447" s="170"/>
      <c r="X447" s="174">
        <v>328.04876766255722</v>
      </c>
      <c r="Y447" s="175">
        <v>3.3100484302970655E-2</v>
      </c>
      <c r="Z447" s="175"/>
      <c r="AA447" s="175"/>
      <c r="AB447" s="175"/>
      <c r="AC447" s="170">
        <f t="shared" si="1278"/>
        <v>4059.2186599291613</v>
      </c>
      <c r="AD447" s="175"/>
      <c r="AE447" s="170"/>
      <c r="AF447" s="170"/>
      <c r="AG447" s="174"/>
      <c r="AH447" s="175"/>
      <c r="AI447" s="175"/>
      <c r="AJ447" s="174"/>
      <c r="AK447" s="174"/>
      <c r="AL447" s="120"/>
      <c r="AM447" s="120"/>
      <c r="AN447" s="120"/>
      <c r="AO447" s="120"/>
      <c r="AP447" s="120"/>
      <c r="AQ447" s="175"/>
      <c r="AR447" s="120"/>
      <c r="AS447" s="120"/>
      <c r="AT447" s="120"/>
      <c r="AU447" s="120"/>
      <c r="AV447" s="120"/>
      <c r="AW447" s="120"/>
      <c r="AX447" s="120"/>
      <c r="AY447" s="120"/>
      <c r="AZ447" s="118">
        <f>IFERROR(INDEX('Total Customers'!$F$7:$AB$91,MATCH($C447,'Total Customers'!$D$7:$D$91,0),MATCH($G447,'Total Customers'!$F$5:$AB$5,0)),"NA")</f>
        <v>39001</v>
      </c>
      <c r="BA447" s="119">
        <f t="shared" si="1268"/>
        <v>1.0518080522275467E-3</v>
      </c>
      <c r="BB447" s="119"/>
      <c r="BC447" s="121"/>
      <c r="BD447" s="119"/>
      <c r="BE447" s="119"/>
      <c r="BF447" s="119"/>
      <c r="BG447" s="173"/>
      <c r="BH447" s="173"/>
      <c r="BI447" s="173"/>
      <c r="BJ447" s="173"/>
      <c r="BK447" s="173"/>
      <c r="BL447" s="173"/>
      <c r="BM447" s="173"/>
      <c r="BN447" s="173"/>
      <c r="BO447" s="173"/>
      <c r="BP447" s="173"/>
      <c r="BQ447" s="118"/>
      <c r="BR447" s="118"/>
      <c r="BS447" s="118">
        <f>INDEX('Dist. Plant Gas Additions'!$F$7:$AE$91,MATCH($C447,'Dist. Plant Gas Additions'!$D$7:$D$91,0),MATCH(Calculation!$G447,'Dist. Plant Gas Additions'!$F$5:$AE$5,0))</f>
        <v>3102</v>
      </c>
      <c r="BT447" s="118">
        <f>INDEX('Gen. Plant Additions'!$F$7:$AE$91,MATCH($C447,'Gen. Plant Additions'!$D$7:$D$91,0),MATCH(Calculation!$G447,'Gen. Plant Additions'!$F$5:$AE$5,0))</f>
        <v>1243</v>
      </c>
      <c r="BU447" s="118"/>
      <c r="BV447" s="118"/>
      <c r="BW447" s="118">
        <f>INDEX('Dist Plant Depreciation'!$E$7:$AD$94,MATCH($C447,'Dist Plant Depreciation'!$D$7:$D$94,0),MATCH(Calculation!$G447,'Dist Plant Depreciation'!$E$5:$AD$5,0))</f>
        <v>21050</v>
      </c>
      <c r="BX447" s="118">
        <f>INDEX('Gen. Plant Depreciation'!$E$7:$AD$94,MATCH($C447,'Gen. Plant Depreciation'!$D$7:$D$94,0),MATCH(Calculation!$G447,'Gen. Plant Depreciation'!$E$5:$AD$5,0))</f>
        <v>9281</v>
      </c>
      <c r="BY447" s="118"/>
      <c r="BZ447" s="118"/>
      <c r="CA447" s="118"/>
      <c r="CB447" s="118"/>
      <c r="CC447" s="118"/>
      <c r="CD447" s="118"/>
      <c r="CE447" s="118">
        <f>INDEX('Gross Dx Plant'!$E$7:$AD$91,MATCH($C447,'Gross Dx Plant'!$D$7:$D$91,0),MATCH(Calculation!$G447,'Gross Dx Plant'!$E$5:$AD$5,0))</f>
        <v>78481</v>
      </c>
      <c r="CF447" s="118">
        <f>INDEX('Gross Gen Plant'!$E$7:$AD$91,MATCH($C447,'Gross Gen Plant'!$D$7:$D$91,0),MATCH(Calculation!$G447,'Gross Gen Plant'!$E$5:$AD$5,0))</f>
        <v>15894</v>
      </c>
      <c r="CG447" s="118">
        <f t="shared" si="1177"/>
        <v>64044</v>
      </c>
      <c r="CH447" s="118"/>
      <c r="CI447" s="121">
        <v>2001</v>
      </c>
      <c r="CJ447" s="118"/>
      <c r="CK447" s="118"/>
      <c r="CL447" s="118"/>
      <c r="CM447" s="183"/>
      <c r="CN447" s="118">
        <f t="shared" si="1269"/>
        <v>4345</v>
      </c>
      <c r="CO447" s="118">
        <f t="shared" si="1270"/>
        <v>12.293201884395812</v>
      </c>
      <c r="CP447" s="186">
        <v>0.98461538461538467</v>
      </c>
      <c r="CQ447" s="118">
        <f>+CQ444*CP447+CO445*CP446+CO446*CP444+CO447</f>
        <v>328.04876766255722</v>
      </c>
      <c r="CR447" s="119">
        <f t="shared" si="1271"/>
        <v>3.3100484302970655E-2</v>
      </c>
      <c r="CS447" s="119"/>
      <c r="CT447" s="177">
        <f t="shared" si="1272"/>
        <v>5.0804572833622859E-3</v>
      </c>
      <c r="CU447" s="177">
        <f t="shared" ref="CU447:CU466" si="1280">+(CT447+CT446+CT445)/3</f>
        <v>5.0653704604920391E-3</v>
      </c>
      <c r="CV447" s="119">
        <f>VLOOKUP($H447,RoR!$E:$F,2,FALSE)</f>
        <v>7.0824999999999999E-2</v>
      </c>
      <c r="CW447" s="177">
        <v>2.2454495382290052E-2</v>
      </c>
      <c r="CX447" s="177">
        <f t="shared" si="1279"/>
        <v>4.8370504617709947E-2</v>
      </c>
      <c r="CY447" s="177">
        <f>+$CX$35-CU447</f>
        <v>2.5836571148041585E-2</v>
      </c>
      <c r="CZ447" s="177">
        <f>+((DM445/DM444-1)+(DM446/DM445-1)+(DM447/DM446-1))/3</f>
        <v>2.3947275901631187E-2</v>
      </c>
      <c r="DA447" s="187">
        <f t="shared" si="1273"/>
        <v>0.85270312375000001</v>
      </c>
      <c r="DB447" s="188">
        <f t="shared" si="1274"/>
        <v>0.72406708481540816</v>
      </c>
      <c r="DC447" s="188">
        <f t="shared" si="1275"/>
        <v>0.62201729615248857</v>
      </c>
      <c r="DD447" s="188">
        <f t="shared" si="1276"/>
        <v>0.9352469954311422</v>
      </c>
      <c r="DE447" s="188">
        <f t="shared" si="1277"/>
        <v>0.42121864641655071</v>
      </c>
      <c r="DF447" s="189">
        <f>INDEX('State Tax Lookup'!$D$7:$Z$91,MATCH(Calculation!$C447,'State Tax Lookup'!$B$7:$B$91,0),MATCH($H447,'State Tax Lookup'!$D$6:$Z$6,0))</f>
        <v>0.39279166999999998</v>
      </c>
      <c r="DG447" s="189">
        <v>0.375</v>
      </c>
      <c r="DH447" s="190">
        <f t="shared" ref="DH447:DH467" si="1281">+(DM447*CY447-CZ447)*DA447/(1-DF447)</f>
        <v>12.790260602281631</v>
      </c>
      <c r="DI447" s="190"/>
      <c r="DJ447" s="177"/>
      <c r="DK447" s="189">
        <f>VLOOKUP($H447,RoR!$E:$F,2,FALSE)</f>
        <v>7.0824999999999999E-2</v>
      </c>
      <c r="DL447" s="191">
        <f>HLOOKUP($H447,'GDP-PI'!$D$8:$CQ$11,3,FALSE)</f>
        <v>2.2454495382290052E-2</v>
      </c>
      <c r="DM447" s="189">
        <f>VLOOKUP(H447,'HW Dx Data'!$E:$F,2,FALSE)</f>
        <v>353.44738017483138</v>
      </c>
      <c r="DN447" s="183">
        <f>VLOOKUP(H447,'ECI - Input Price'!$G$17:$H$37,2,FALSE)</f>
        <v>86.2</v>
      </c>
      <c r="DO447" s="177"/>
      <c r="DP447" s="183">
        <f>HLOOKUP(H447,'GDP-PI'!$8:$9,2,FALSE)</f>
        <v>79.822000000000003</v>
      </c>
      <c r="DR447" s="167">
        <v>2.2420051132432027E-2</v>
      </c>
    </row>
    <row r="448" spans="1:122" s="167" customFormat="1" ht="21" x14ac:dyDescent="0.35">
      <c r="A448" s="167" t="s">
        <v>54</v>
      </c>
      <c r="B448" s="168" t="s">
        <v>54</v>
      </c>
      <c r="C448" s="168">
        <v>4057118</v>
      </c>
      <c r="D448" s="168" t="s">
        <v>141</v>
      </c>
      <c r="E448" s="168"/>
      <c r="F448" s="168"/>
      <c r="G448" s="168" t="s">
        <v>8</v>
      </c>
      <c r="H448" s="169">
        <v>2002</v>
      </c>
      <c r="I448" s="170"/>
      <c r="J448" s="166"/>
      <c r="K448" s="166"/>
      <c r="L448" s="166"/>
      <c r="M448" s="166"/>
      <c r="N448" s="196"/>
      <c r="O448" s="166"/>
      <c r="P448" s="166"/>
      <c r="Q448" s="166"/>
      <c r="R448" s="166"/>
      <c r="S448" s="166"/>
      <c r="T448" s="166"/>
      <c r="U448" s="166"/>
      <c r="V448" s="166">
        <f t="shared" si="1267"/>
        <v>4248.751595872186</v>
      </c>
      <c r="W448" s="170"/>
      <c r="X448" s="174">
        <v>341.8573065516652</v>
      </c>
      <c r="Y448" s="175">
        <v>4.1231138461789739E-2</v>
      </c>
      <c r="Z448" s="175"/>
      <c r="AA448" s="175"/>
      <c r="AB448" s="175"/>
      <c r="AC448" s="170">
        <f t="shared" si="1278"/>
        <v>4248.751595872186</v>
      </c>
      <c r="AD448" s="175"/>
      <c r="AE448" s="170"/>
      <c r="AF448" s="170"/>
      <c r="AG448" s="174"/>
      <c r="AH448" s="175"/>
      <c r="AI448" s="175"/>
      <c r="AJ448" s="174"/>
      <c r="AK448" s="174"/>
      <c r="AL448" s="120"/>
      <c r="AM448" s="120"/>
      <c r="AN448" s="120"/>
      <c r="AO448" s="120"/>
      <c r="AP448" s="120"/>
      <c r="AQ448" s="175"/>
      <c r="AR448" s="120"/>
      <c r="AS448" s="120"/>
      <c r="AT448" s="120"/>
      <c r="AU448" s="120"/>
      <c r="AV448" s="120"/>
      <c r="AW448" s="120"/>
      <c r="AX448" s="120"/>
      <c r="AY448" s="120"/>
      <c r="AZ448" s="118">
        <f>IFERROR(INDEX('Total Customers'!$F$7:$AB$91,MATCH($C448,'Total Customers'!$D$7:$D$91,0),MATCH($G448,'Total Customers'!$F$5:$AB$5,0)),"NA")</f>
        <v>39123</v>
      </c>
      <c r="BA448" s="119">
        <f t="shared" si="1268"/>
        <v>3.1232425163123753E-3</v>
      </c>
      <c r="BB448" s="119"/>
      <c r="BC448" s="121"/>
      <c r="BD448" s="119"/>
      <c r="BE448" s="119"/>
      <c r="BF448" s="119"/>
      <c r="BG448" s="173"/>
      <c r="BH448" s="173"/>
      <c r="BI448" s="173"/>
      <c r="BJ448" s="173"/>
      <c r="BK448" s="173"/>
      <c r="BL448" s="173"/>
      <c r="BM448" s="173"/>
      <c r="BN448" s="173"/>
      <c r="BO448" s="173"/>
      <c r="BP448" s="173"/>
      <c r="BQ448" s="118"/>
      <c r="BR448" s="118"/>
      <c r="BS448" s="118">
        <f>INDEX('Dist. Plant Gas Additions'!$F$7:$AE$91,MATCH($C448,'Dist. Plant Gas Additions'!$D$7:$D$91,0),MATCH(Calculation!$G448,'Dist. Plant Gas Additions'!$F$5:$AE$5,0))</f>
        <v>2590</v>
      </c>
      <c r="BT448" s="118">
        <f>INDEX('Gen. Plant Additions'!$F$7:$AE$91,MATCH($C448,'Gen. Plant Additions'!$D$7:$D$91,0),MATCH(Calculation!$G448,'Gen. Plant Additions'!$F$5:$AE$5,0))</f>
        <v>3076</v>
      </c>
      <c r="BU448" s="118"/>
      <c r="BV448" s="118"/>
      <c r="BW448" s="118">
        <f>INDEX('Dist Plant Depreciation'!$E$7:$AD$94,MATCH($C448,'Dist Plant Depreciation'!$D$7:$D$94,0),MATCH(Calculation!$G448,'Dist Plant Depreciation'!$E$5:$AD$5,0))</f>
        <v>22667</v>
      </c>
      <c r="BX448" s="118">
        <f>INDEX('Gen. Plant Depreciation'!$E$7:$AD$94,MATCH($C448,'Gen. Plant Depreciation'!$D$7:$D$94,0),MATCH(Calculation!$G448,'Gen. Plant Depreciation'!$E$5:$AD$5,0))</f>
        <v>9247</v>
      </c>
      <c r="BY448" s="118"/>
      <c r="BZ448" s="118"/>
      <c r="CA448" s="118"/>
      <c r="CB448" s="118"/>
      <c r="CC448" s="118"/>
      <c r="CD448" s="118"/>
      <c r="CE448" s="118">
        <f>INDEX('Gross Dx Plant'!$E$7:$AD$91,MATCH($C448,'Gross Dx Plant'!$D$7:$D$91,0),MATCH(Calculation!$G448,'Gross Dx Plant'!$E$5:$AD$5,0))</f>
        <v>80653</v>
      </c>
      <c r="CF448" s="118">
        <f>INDEX('Gross Gen Plant'!$E$7:$AD$91,MATCH($C448,'Gross Gen Plant'!$D$7:$D$91,0),MATCH(Calculation!$G448,'Gross Gen Plant'!$E$5:$AD$5,0))</f>
        <v>17803</v>
      </c>
      <c r="CG448" s="118">
        <f t="shared" si="1177"/>
        <v>66542</v>
      </c>
      <c r="CH448" s="118"/>
      <c r="CI448" s="121">
        <v>2002</v>
      </c>
      <c r="CJ448" s="118"/>
      <c r="CK448" s="118"/>
      <c r="CL448" s="118"/>
      <c r="CM448" s="183"/>
      <c r="CN448" s="118">
        <f t="shared" si="1269"/>
        <v>5666</v>
      </c>
      <c r="CO448" s="118">
        <f t="shared" si="1270"/>
        <v>15.680168151645724</v>
      </c>
      <c r="CP448" s="186">
        <v>0.97916666666666663</v>
      </c>
      <c r="CQ448" s="118">
        <f>+CQ444*CP448+CO445*CP447+CO446*CP446+CO447*CP445+CO448</f>
        <v>341.8573065516652</v>
      </c>
      <c r="CR448" s="119">
        <f t="shared" si="1271"/>
        <v>4.1231138461789739E-2</v>
      </c>
      <c r="CS448" s="119"/>
      <c r="CT448" s="177">
        <f t="shared" si="1272"/>
        <v>5.7053384954732405E-3</v>
      </c>
      <c r="CU448" s="177">
        <f t="shared" si="1280"/>
        <v>5.308775166279968E-3</v>
      </c>
      <c r="CV448" s="119">
        <f>VLOOKUP($H448,RoR!$E:$F,2,FALSE)</f>
        <v>6.4916666666666664E-2</v>
      </c>
      <c r="CW448" s="177">
        <v>1.5246423291824351E-2</v>
      </c>
      <c r="CX448" s="177">
        <f t="shared" si="1279"/>
        <v>4.9670243374842313E-2</v>
      </c>
      <c r="CY448" s="177">
        <f t="shared" ref="CY448:CY467" si="1282">+$CX$35-CU448</f>
        <v>2.5593166442253658E-2</v>
      </c>
      <c r="CZ448" s="177">
        <f t="shared" ref="CZ448:CZ467" si="1283">+((DM446/DM445-1)+(DM447/DM446-1)+(DM448/DM447-1))/3</f>
        <v>2.5243621214759093E-2</v>
      </c>
      <c r="DA448" s="187">
        <f t="shared" si="1273"/>
        <v>0.85270312375000001</v>
      </c>
      <c r="DB448" s="188">
        <f t="shared" si="1274"/>
        <v>0.78996741384417901</v>
      </c>
      <c r="DC448" s="188">
        <f t="shared" si="1275"/>
        <v>0.58989088575096271</v>
      </c>
      <c r="DD448" s="188">
        <f t="shared" si="1276"/>
        <v>0.91920675783645744</v>
      </c>
      <c r="DE448" s="188">
        <f t="shared" si="1277"/>
        <v>0.42834536472275586</v>
      </c>
      <c r="DF448" s="189">
        <f>INDEX('State Tax Lookup'!$D$7:$Z$91,MATCH(Calculation!$C448,'State Tax Lookup'!$B$7:$B$91,0),MATCH($H448,'State Tax Lookup'!$D$6:$Z$6,0))</f>
        <v>0.39279166999999998</v>
      </c>
      <c r="DG448" s="189">
        <v>0.375</v>
      </c>
      <c r="DH448" s="190">
        <f t="shared" si="1281"/>
        <v>12.951585296740406</v>
      </c>
      <c r="DI448" s="190"/>
      <c r="DJ448" s="177"/>
      <c r="DK448" s="189">
        <f>VLOOKUP($H448,RoR!$E:$F,2,FALSE)</f>
        <v>6.4916666666666664E-2</v>
      </c>
      <c r="DL448" s="191">
        <f>HLOOKUP($H448,'GDP-PI'!$D$8:$CQ$11,3,FALSE)</f>
        <v>1.5246423291824351E-2</v>
      </c>
      <c r="DM448" s="189">
        <f>VLOOKUP(H448,'HW Dx Data'!$E:$F,2,FALSE)</f>
        <v>361.34816573413599</v>
      </c>
      <c r="DN448" s="183">
        <f>VLOOKUP(H448,'ECI - Input Price'!$G$17:$H$37,2,FALSE)</f>
        <v>89.275000000000006</v>
      </c>
      <c r="DO448" s="177">
        <f>LN(DN448/DN447)</f>
        <v>3.5051315810864674E-2</v>
      </c>
      <c r="DP448" s="183">
        <f>HLOOKUP(H448,'GDP-PI'!$8:$9,2,FALSE)</f>
        <v>81.039000000000001</v>
      </c>
      <c r="DQ448" s="177">
        <f>LN(DP448/DP447)</f>
        <v>1.513136459537477E-2</v>
      </c>
      <c r="DR448" s="167">
        <v>7.3593382416691673E-3</v>
      </c>
    </row>
    <row r="449" spans="1:122" s="167" customFormat="1" ht="21" x14ac:dyDescent="0.35">
      <c r="A449" s="167" t="s">
        <v>54</v>
      </c>
      <c r="B449" s="168" t="s">
        <v>54</v>
      </c>
      <c r="C449" s="168">
        <v>4057118</v>
      </c>
      <c r="D449" s="168" t="s">
        <v>141</v>
      </c>
      <c r="E449" s="168"/>
      <c r="F449" s="168"/>
      <c r="G449" s="168" t="s">
        <v>9</v>
      </c>
      <c r="H449" s="169">
        <v>2003</v>
      </c>
      <c r="I449" s="170"/>
      <c r="J449" s="166"/>
      <c r="K449" s="166"/>
      <c r="L449" s="166"/>
      <c r="M449" s="172"/>
      <c r="N449" s="196"/>
      <c r="O449" s="172"/>
      <c r="P449" s="166"/>
      <c r="Q449" s="166"/>
      <c r="R449" s="166"/>
      <c r="S449" s="166"/>
      <c r="T449" s="166"/>
      <c r="U449" s="166"/>
      <c r="V449" s="166">
        <f t="shared" si="1267"/>
        <v>4495.8342717145142</v>
      </c>
      <c r="W449" s="170"/>
      <c r="X449" s="174">
        <v>357.39218986847186</v>
      </c>
      <c r="Y449" s="175">
        <v>4.4440332160257522E-2</v>
      </c>
      <c r="Z449" s="175"/>
      <c r="AA449" s="175"/>
      <c r="AB449" s="175"/>
      <c r="AC449" s="170">
        <f t="shared" si="1278"/>
        <v>4495.8342717145142</v>
      </c>
      <c r="AD449" s="175"/>
      <c r="AE449" s="170"/>
      <c r="AF449" s="170"/>
      <c r="AG449" s="174"/>
      <c r="AH449" s="175"/>
      <c r="AI449" s="175"/>
      <c r="AJ449" s="174"/>
      <c r="AK449" s="174"/>
      <c r="AL449" s="120"/>
      <c r="AM449" s="120"/>
      <c r="AN449" s="120"/>
      <c r="AO449" s="120"/>
      <c r="AP449" s="120"/>
      <c r="AQ449" s="175"/>
      <c r="AR449" s="120"/>
      <c r="AS449" s="120"/>
      <c r="AT449" s="120"/>
      <c r="AU449" s="120"/>
      <c r="AV449" s="120"/>
      <c r="AW449" s="120"/>
      <c r="AX449" s="120"/>
      <c r="AY449" s="120"/>
      <c r="AZ449" s="118">
        <f>IFERROR(INDEX('Total Customers'!$F$7:$AB$91,MATCH($C449,'Total Customers'!$D$7:$D$91,0),MATCH($G449,'Total Customers'!$F$5:$AB$5,0)),"NA")</f>
        <v>39190</v>
      </c>
      <c r="BA449" s="119">
        <f t="shared" si="1268"/>
        <v>1.7110828686656564E-3</v>
      </c>
      <c r="BB449" s="119"/>
      <c r="BC449" s="121"/>
      <c r="BD449" s="119"/>
      <c r="BE449" s="119"/>
      <c r="BF449" s="119"/>
      <c r="BG449" s="173"/>
      <c r="BH449" s="173"/>
      <c r="BI449" s="173"/>
      <c r="BJ449" s="173"/>
      <c r="BK449" s="173"/>
      <c r="BL449" s="173"/>
      <c r="BM449" s="173"/>
      <c r="BN449" s="173"/>
      <c r="BO449" s="173"/>
      <c r="BP449" s="173"/>
      <c r="BQ449" s="118"/>
      <c r="BR449" s="118"/>
      <c r="BS449" s="118">
        <f>INDEX('Dist. Plant Gas Additions'!$F$7:$AE$91,MATCH($C449,'Dist. Plant Gas Additions'!$D$7:$D$91,0),MATCH(Calculation!$G449,'Dist. Plant Gas Additions'!$F$5:$AE$5,0))</f>
        <v>4452</v>
      </c>
      <c r="BT449" s="118">
        <f>INDEX('Gen. Plant Additions'!$F$7:$AE$91,MATCH($C449,'Gen. Plant Additions'!$D$7:$D$91,0),MATCH(Calculation!$G449,'Gen. Plant Additions'!$F$5:$AE$5,0))</f>
        <v>1998</v>
      </c>
      <c r="BU449" s="118"/>
      <c r="BV449" s="118"/>
      <c r="BW449" s="118">
        <f>INDEX('Dist Plant Depreciation'!$E$7:$AD$94,MATCH($C449,'Dist Plant Depreciation'!$D$7:$D$94,0),MATCH(Calculation!$G449,'Dist Plant Depreciation'!$E$5:$AD$5,0))</f>
        <v>24640</v>
      </c>
      <c r="BX449" s="118">
        <f>INDEX('Gen. Plant Depreciation'!$E$7:$AD$94,MATCH($C449,'Gen. Plant Depreciation'!$D$7:$D$94,0),MATCH(Calculation!$G449,'Gen. Plant Depreciation'!$E$5:$AD$5,0))</f>
        <v>9655</v>
      </c>
      <c r="BY449" s="118"/>
      <c r="BZ449" s="118"/>
      <c r="CA449" s="118"/>
      <c r="CB449" s="118"/>
      <c r="CC449" s="118"/>
      <c r="CD449" s="118"/>
      <c r="CE449" s="118">
        <f>INDEX('Gross Dx Plant'!$E$7:$AD$91,MATCH($C449,'Gross Dx Plant'!$D$7:$D$91,0),MATCH(Calculation!$G449,'Gross Dx Plant'!$E$5:$AD$5,0))</f>
        <v>84971</v>
      </c>
      <c r="CF449" s="118">
        <f>INDEX('Gross Gen Plant'!$E$7:$AD$91,MATCH($C449,'Gross Gen Plant'!$D$7:$D$91,0),MATCH(Calculation!$G449,'Gross Gen Plant'!$E$5:$AD$5,0))</f>
        <v>18941</v>
      </c>
      <c r="CG449" s="118">
        <f t="shared" si="1177"/>
        <v>69617</v>
      </c>
      <c r="CH449" s="118"/>
      <c r="CI449" s="121">
        <v>2003</v>
      </c>
      <c r="CJ449" s="118"/>
      <c r="CK449" s="118"/>
      <c r="CL449" s="118"/>
      <c r="CM449" s="183"/>
      <c r="CN449" s="118">
        <f t="shared" si="1269"/>
        <v>6450</v>
      </c>
      <c r="CO449" s="118">
        <f t="shared" si="1270"/>
        <v>17.468643941956682</v>
      </c>
      <c r="CP449" s="186">
        <v>0.97354497354497349</v>
      </c>
      <c r="CQ449" s="118">
        <f>+CQ444*CP449+CO445*CP448+CO446*CP447+CO447*CP446+CO448*CP445+CO449</f>
        <v>357.39218986847186</v>
      </c>
      <c r="CR449" s="119">
        <f t="shared" si="1271"/>
        <v>4.4440332160257522E-2</v>
      </c>
      <c r="CS449" s="119"/>
      <c r="CT449" s="177">
        <f t="shared" si="1272"/>
        <v>5.6566309629476194E-3</v>
      </c>
      <c r="CU449" s="177">
        <f t="shared" si="1280"/>
        <v>5.480808913927715E-3</v>
      </c>
      <c r="CV449" s="119">
        <f>VLOOKUP($H449,RoR!$E:$F,2,FALSE)</f>
        <v>5.6666666666666671E-2</v>
      </c>
      <c r="CW449" s="177">
        <v>1.8855119140166909E-2</v>
      </c>
      <c r="CX449" s="177">
        <f t="shared" si="1279"/>
        <v>3.7811547526499761E-2</v>
      </c>
      <c r="CY449" s="177">
        <f t="shared" si="1282"/>
        <v>2.542113269460591E-2</v>
      </c>
      <c r="CZ449" s="177">
        <f t="shared" si="1283"/>
        <v>2.1375012817671957E-2</v>
      </c>
      <c r="DA449" s="187">
        <f t="shared" si="1273"/>
        <v>0.85270312375000001</v>
      </c>
      <c r="DB449" s="188">
        <f t="shared" si="1274"/>
        <v>0.90497737556561086</v>
      </c>
      <c r="DC449" s="188">
        <f t="shared" si="1275"/>
        <v>0.5338235294117647</v>
      </c>
      <c r="DD449" s="188">
        <f t="shared" si="1276"/>
        <v>0.88972433127405692</v>
      </c>
      <c r="DE449" s="188">
        <f t="shared" si="1277"/>
        <v>0.42982423775949252</v>
      </c>
      <c r="DF449" s="189">
        <f>INDEX('State Tax Lookup'!$D$7:$Z$91,MATCH(Calculation!$C449,'State Tax Lookup'!$B$7:$B$91,0),MATCH($H449,'State Tax Lookup'!$D$6:$Z$6,0))</f>
        <v>0.39279166999999998</v>
      </c>
      <c r="DG449" s="189">
        <v>0.375</v>
      </c>
      <c r="DH449" s="190">
        <f t="shared" si="1281"/>
        <v>13.151201350833361</v>
      </c>
      <c r="DI449" s="190"/>
      <c r="DJ449" s="177"/>
      <c r="DK449" s="189">
        <f>VLOOKUP($H449,RoR!$E:$F,2,FALSE)</f>
        <v>5.6666666666666671E-2</v>
      </c>
      <c r="DL449" s="191">
        <f>HLOOKUP($H449,'GDP-PI'!$D$8:$CQ$11,3,FALSE)</f>
        <v>1.8855119140166909E-2</v>
      </c>
      <c r="DM449" s="189">
        <f>VLOOKUP(H449,'HW Dx Data'!$E:$F,2,FALSE)</f>
        <v>369.23301095560191</v>
      </c>
      <c r="DN449" s="183">
        <f>VLOOKUP(H449,'ECI - Input Price'!$G$17:$H$37,2,FALSE)</f>
        <v>92.625</v>
      </c>
      <c r="DO449" s="177">
        <f t="shared" ref="DO449" si="1284">LN(DN449/DN448)</f>
        <v>3.6837590135738785E-2</v>
      </c>
      <c r="DP449" s="183">
        <f>HLOOKUP(H449,'GDP-PI'!$8:$9,2,FALSE)</f>
        <v>82.566999999999993</v>
      </c>
      <c r="DQ449" s="177">
        <f t="shared" ref="DQ449" si="1285">LN(DP449/DP448)</f>
        <v>1.8679564681853753E-2</v>
      </c>
      <c r="DR449" s="167">
        <v>3.740588547769981E-2</v>
      </c>
    </row>
    <row r="450" spans="1:122" s="167" customFormat="1" ht="21" x14ac:dyDescent="0.35">
      <c r="A450" s="167" t="s">
        <v>54</v>
      </c>
      <c r="B450" s="168" t="s">
        <v>54</v>
      </c>
      <c r="C450" s="168">
        <v>4057118</v>
      </c>
      <c r="D450" s="168" t="s">
        <v>141</v>
      </c>
      <c r="E450" s="168"/>
      <c r="F450" s="168"/>
      <c r="G450" s="168" t="s">
        <v>10</v>
      </c>
      <c r="H450" s="169">
        <v>2004</v>
      </c>
      <c r="I450" s="170"/>
      <c r="J450" s="166">
        <f>IFERROR(INDEX('Labor Expenditures'!$F$7:$X$91,MATCH($C450,'Labor Expenditures'!$D$7:$D$91,0),MATCH($G450,'Labor Expenditures'!$F$5:$X$5,0)),"NA")</f>
        <v>3050.8507059750482</v>
      </c>
      <c r="K450" s="166">
        <f t="shared" ref="K450:K467" si="1286">+J450/DN450</f>
        <v>31.721868531063667</v>
      </c>
      <c r="L450" s="172"/>
      <c r="M450" s="172"/>
      <c r="N450" s="196"/>
      <c r="O450" s="172"/>
      <c r="P450" s="166">
        <f>IFERROR(INDEX('Non-Labor Expenditures'!$F$7:$AB$91,MATCH($C450,'Non-Labor Expenditures'!$D$7:$D$91,0),MATCH($G450,'Non-Labor Expenditures'!$F$5:$AB$5,0)),"NA")</f>
        <v>4418.20164256302</v>
      </c>
      <c r="Q450" s="166">
        <f t="shared" ref="Q450:Q467" si="1287">+P450/DP450</f>
        <v>52.114954853417395</v>
      </c>
      <c r="R450" s="166"/>
      <c r="S450" s="166"/>
      <c r="T450" s="166"/>
      <c r="U450" s="166"/>
      <c r="V450" s="166">
        <f t="shared" si="1267"/>
        <v>5213.4232671744239</v>
      </c>
      <c r="W450" s="170"/>
      <c r="X450" s="174">
        <v>365.74609019971837</v>
      </c>
      <c r="Y450" s="175">
        <v>2.3105600174706149E-2</v>
      </c>
      <c r="Z450" s="175"/>
      <c r="AA450" s="175"/>
      <c r="AB450" s="175"/>
      <c r="AC450" s="170">
        <f t="shared" si="1278"/>
        <v>12682.475615712492</v>
      </c>
      <c r="AD450" s="175"/>
      <c r="AE450" s="170"/>
      <c r="AF450" s="170"/>
      <c r="AG450" s="174"/>
      <c r="AH450" s="175"/>
      <c r="AI450" s="175"/>
      <c r="AJ450" s="174"/>
      <c r="AK450" s="174"/>
      <c r="AL450" s="120">
        <f t="shared" ref="AL450:AL467" si="1288">+J450/AC450</f>
        <v>0.24055640226860028</v>
      </c>
      <c r="AM450" s="120">
        <f t="shared" ref="AM450:AM467" si="1289">+P450/AC450</f>
        <v>0.34837060022329153</v>
      </c>
      <c r="AN450" s="120">
        <f t="shared" ref="AN450:AN467" si="1290">+V450/AC450</f>
        <v>0.41107299750810816</v>
      </c>
      <c r="AO450" s="120"/>
      <c r="AP450" s="120"/>
      <c r="AQ450" s="175"/>
      <c r="AR450" s="120"/>
      <c r="AS450" s="120"/>
      <c r="AT450" s="120"/>
      <c r="AU450" s="120"/>
      <c r="AV450" s="120"/>
      <c r="AW450" s="120"/>
      <c r="AX450" s="120"/>
      <c r="AY450" s="120"/>
      <c r="AZ450" s="118">
        <f>IFERROR(INDEX('Total Customers'!$F$7:$AB$91,MATCH($C450,'Total Customers'!$D$7:$D$91,0),MATCH($G450,'Total Customers'!$F$5:$AB$5,0)),"NA")</f>
        <v>38862</v>
      </c>
      <c r="BA450" s="119">
        <f t="shared" si="1268"/>
        <v>-8.4047027827050449E-3</v>
      </c>
      <c r="BB450" s="119"/>
      <c r="BC450" s="121"/>
      <c r="BD450" s="119"/>
      <c r="BE450" s="119"/>
      <c r="BF450" s="119"/>
      <c r="BG450" s="173"/>
      <c r="BH450" s="173"/>
      <c r="BI450" s="173"/>
      <c r="BJ450" s="173"/>
      <c r="BK450" s="173"/>
      <c r="BL450" s="173"/>
      <c r="BM450" s="173"/>
      <c r="BN450" s="173"/>
      <c r="BO450" s="173"/>
      <c r="BP450" s="173"/>
      <c r="BQ450" s="118"/>
      <c r="BR450" s="118"/>
      <c r="BS450" s="118">
        <f>INDEX('Dist. Plant Gas Additions'!$F$7:$AE$91,MATCH($C450,'Dist. Plant Gas Additions'!$D$7:$D$91,0),MATCH(Calculation!$G450,'Dist. Plant Gas Additions'!$F$5:$AE$5,0))</f>
        <v>3082</v>
      </c>
      <c r="BT450" s="118">
        <f>INDEX('Gen. Plant Additions'!$F$7:$AE$91,MATCH($C450,'Gen. Plant Additions'!$D$7:$D$91,0),MATCH(Calculation!$G450,'Gen. Plant Additions'!$F$5:$AE$5,0))</f>
        <v>1248</v>
      </c>
      <c r="BU450" s="118"/>
      <c r="BV450" s="118"/>
      <c r="BW450" s="118">
        <f>INDEX('Dist Plant Depreciation'!$E$7:$AD$94,MATCH($C450,'Dist Plant Depreciation'!$D$7:$D$94,0),MATCH(Calculation!$G450,'Dist Plant Depreciation'!$E$5:$AD$5,0))</f>
        <v>25847</v>
      </c>
      <c r="BX450" s="118">
        <f>INDEX('Gen. Plant Depreciation'!$E$7:$AD$94,MATCH($C450,'Gen. Plant Depreciation'!$D$7:$D$94,0),MATCH(Calculation!$G450,'Gen. Plant Depreciation'!$E$5:$AD$5,0))</f>
        <v>9640</v>
      </c>
      <c r="BY450" s="118"/>
      <c r="BZ450" s="118"/>
      <c r="CA450" s="118"/>
      <c r="CB450" s="118"/>
      <c r="CC450" s="118"/>
      <c r="CD450" s="118"/>
      <c r="CE450" s="118">
        <f>INDEX('Gross Dx Plant'!$E$7:$AD$91,MATCH($C450,'Gross Dx Plant'!$D$7:$D$91,0),MATCH(Calculation!$G450,'Gross Dx Plant'!$E$5:$AD$5,0))</f>
        <v>87884</v>
      </c>
      <c r="CF450" s="118">
        <f>INDEX('Gross Gen Plant'!$E$7:$AD$91,MATCH($C450,'Gross Gen Plant'!$D$7:$D$91,0),MATCH(Calculation!$G450,'Gross Gen Plant'!$E$5:$AD$5,0))</f>
        <v>19046</v>
      </c>
      <c r="CG450" s="118">
        <f t="shared" si="1177"/>
        <v>71443</v>
      </c>
      <c r="CH450" s="118"/>
      <c r="CI450" s="121">
        <v>2004</v>
      </c>
      <c r="CJ450" s="118"/>
      <c r="CK450" s="118"/>
      <c r="CL450" s="118"/>
      <c r="CM450" s="183"/>
      <c r="CN450" s="118">
        <f t="shared" si="1269"/>
        <v>4330</v>
      </c>
      <c r="CO450" s="118">
        <f t="shared" si="1270"/>
        <v>10.436571892920567</v>
      </c>
      <c r="CP450" s="186">
        <v>0.967741935483871</v>
      </c>
      <c r="CQ450" s="118">
        <f>+CQ444*CP450+CO445*CP449+CO446*CP448+CO447*CP447+CO448*CP446+CO449*CP445+CO450</f>
        <v>365.74609019971837</v>
      </c>
      <c r="CR450" s="119">
        <f t="shared" si="1271"/>
        <v>2.3105600174706149E-2</v>
      </c>
      <c r="CS450" s="119"/>
      <c r="CT450" s="177">
        <f t="shared" si="1272"/>
        <v>5.8274120719888373E-3</v>
      </c>
      <c r="CU450" s="177">
        <f t="shared" si="1280"/>
        <v>5.7297938434698985E-3</v>
      </c>
      <c r="CV450" s="119">
        <f>VLOOKUP($H450,RoR!$E:$F,2,FALSE)</f>
        <v>5.6283333333333331E-2</v>
      </c>
      <c r="CW450" s="177">
        <v>2.6778252812867276E-2</v>
      </c>
      <c r="CX450" s="177">
        <f t="shared" si="1279"/>
        <v>2.9505080520466055E-2</v>
      </c>
      <c r="CY450" s="177">
        <f t="shared" si="1282"/>
        <v>2.5172147765063727E-2</v>
      </c>
      <c r="CZ450" s="177">
        <f t="shared" si="1283"/>
        <v>5.5940039414565046E-2</v>
      </c>
      <c r="DA450" s="187">
        <f t="shared" si="1273"/>
        <v>0.85270312375000001</v>
      </c>
      <c r="DB450" s="188">
        <f t="shared" si="1274"/>
        <v>0.91114097628755619</v>
      </c>
      <c r="DC450" s="188">
        <f t="shared" si="1275"/>
        <v>0.53081877405981637</v>
      </c>
      <c r="DD450" s="188">
        <f t="shared" si="1276"/>
        <v>0.88811215519385678</v>
      </c>
      <c r="DE450" s="188">
        <f t="shared" si="1277"/>
        <v>0.42953609753547711</v>
      </c>
      <c r="DF450" s="189">
        <f>INDEX('State Tax Lookup'!$D$7:$Z$91,MATCH(Calculation!$C450,'State Tax Lookup'!$B$7:$B$91,0),MATCH($H450,'State Tax Lookup'!$D$6:$Z$6,0))</f>
        <v>0.39279166999999998</v>
      </c>
      <c r="DG450" s="189">
        <v>0.375</v>
      </c>
      <c r="DH450" s="190">
        <f t="shared" si="1281"/>
        <v>14.58740122187079</v>
      </c>
      <c r="DI450" s="190"/>
      <c r="DJ450" s="177"/>
      <c r="DK450" s="189">
        <f>VLOOKUP($H450,RoR!$E:$F,2,FALSE)</f>
        <v>5.6283333333333331E-2</v>
      </c>
      <c r="DL450" s="191">
        <f>HLOOKUP($H450,'GDP-PI'!$D$8:$CQ$11,3,FALSE)</f>
        <v>2.6778252812867276E-2</v>
      </c>
      <c r="DM450" s="189">
        <f>VLOOKUP(H450,'HW Dx Data'!$E:$F,2,FALSE)</f>
        <v>414.88719135228365</v>
      </c>
      <c r="DN450" s="183">
        <f>VLOOKUP(H450,'ECI - Input Price'!$G$17:$H$37,2,FALSE)</f>
        <v>96.174999999999997</v>
      </c>
      <c r="DO450" s="177">
        <f t="shared" ref="DO450" si="1291">LN(DN450/DN449)</f>
        <v>3.7610365022107912E-2</v>
      </c>
      <c r="DP450" s="183">
        <f>HLOOKUP(H450,'GDP-PI'!$8:$9,2,FALSE)</f>
        <v>84.778000000000006</v>
      </c>
      <c r="DQ450" s="177">
        <f t="shared" ref="DQ450" si="1292">LN(DP450/DP449)</f>
        <v>2.6425990216022755E-2</v>
      </c>
      <c r="DR450" s="167">
        <v>1.1866993807196297E-2</v>
      </c>
    </row>
    <row r="451" spans="1:122" s="167" customFormat="1" ht="21" x14ac:dyDescent="0.35">
      <c r="A451" s="167" t="s">
        <v>54</v>
      </c>
      <c r="B451" s="168" t="s">
        <v>54</v>
      </c>
      <c r="C451" s="168">
        <v>4057118</v>
      </c>
      <c r="D451" s="168" t="s">
        <v>141</v>
      </c>
      <c r="E451" s="168"/>
      <c r="F451" s="168"/>
      <c r="G451" s="168" t="s">
        <v>11</v>
      </c>
      <c r="H451" s="169">
        <v>2005</v>
      </c>
      <c r="I451" s="170"/>
      <c r="J451" s="166">
        <f>IFERROR(INDEX('Labor Expenditures'!$F$7:$X$91,MATCH($C451,'Labor Expenditures'!$D$7:$D$91,0),MATCH($G451,'Labor Expenditures'!$F$5:$X$5,0)),"NA")</f>
        <v>3189.0305908644023</v>
      </c>
      <c r="K451" s="166">
        <f t="shared" si="1286"/>
        <v>32.16369733600002</v>
      </c>
      <c r="L451" s="172">
        <f t="shared" ref="L451:L467" si="1293">LN(K451/K450)</f>
        <v>1.3832102554031651E-2</v>
      </c>
      <c r="M451" s="172"/>
      <c r="N451" s="196"/>
      <c r="O451" s="172"/>
      <c r="P451" s="166">
        <f>IFERROR(INDEX('Non-Labor Expenditures'!$F$7:$AB$91,MATCH($C451,'Non-Labor Expenditures'!$D$7:$D$91,0),MATCH($G451,'Non-Labor Expenditures'!$F$5:$AB$5,0)),"NA")</f>
        <v>4618.3119243252986</v>
      </c>
      <c r="Q451" s="166">
        <f t="shared" si="1287"/>
        <v>52.836865746739953</v>
      </c>
      <c r="R451" s="172">
        <f>LN(Q451/Q450)</f>
        <v>1.3757213070744241E-2</v>
      </c>
      <c r="S451" s="172"/>
      <c r="T451" s="172"/>
      <c r="U451" s="172"/>
      <c r="V451" s="166">
        <f t="shared" si="1267"/>
        <v>5993.5860022040515</v>
      </c>
      <c r="W451" s="170"/>
      <c r="X451" s="174">
        <v>371.36982946058737</v>
      </c>
      <c r="Y451" s="175">
        <v>1.5259060967856158E-2</v>
      </c>
      <c r="Z451" s="175"/>
      <c r="AA451" s="175"/>
      <c r="AB451" s="175"/>
      <c r="AC451" s="170">
        <f t="shared" si="1278"/>
        <v>13800.928517393753</v>
      </c>
      <c r="AD451" s="175">
        <f>LN(AC451/AC450)</f>
        <v>8.4514705983943547E-2</v>
      </c>
      <c r="AE451" s="170"/>
      <c r="AF451" s="170"/>
      <c r="AG451" s="121"/>
      <c r="AH451" s="119"/>
      <c r="AI451" s="119"/>
      <c r="AJ451" s="121"/>
      <c r="AK451" s="121"/>
      <c r="AL451" s="120">
        <f t="shared" si="1288"/>
        <v>0.23107362572345511</v>
      </c>
      <c r="AM451" s="120">
        <f t="shared" si="1289"/>
        <v>0.33463776864757266</v>
      </c>
      <c r="AN451" s="120">
        <f t="shared" si="1290"/>
        <v>0.4342886056289722</v>
      </c>
      <c r="AO451" s="120">
        <f t="shared" ref="AO451:AO467" si="1294">+(((AL451+AL450)/2)*L451+((AM450+AM451)/2)*R451+((AN450+AN451)/2)*Y451)</f>
        <v>1.4409675408279109E-2</v>
      </c>
      <c r="AP451" s="173">
        <v>100</v>
      </c>
      <c r="AQ451" s="175"/>
      <c r="AR451" s="120"/>
      <c r="AS451" s="120"/>
      <c r="AT451" s="120"/>
      <c r="AU451" s="120"/>
      <c r="AV451" s="120"/>
      <c r="AW451" s="120"/>
      <c r="AX451" s="120"/>
      <c r="AY451" s="120"/>
      <c r="AZ451" s="118">
        <f>IFERROR(INDEX('Total Customers'!$F$7:$AB$91,MATCH($C451,'Total Customers'!$D$7:$D$91,0),MATCH($G451,'Total Customers'!$F$5:$AB$5,0)),"NA")</f>
        <v>38408</v>
      </c>
      <c r="BA451" s="119">
        <f t="shared" si="1268"/>
        <v>-1.1751138200195761E-2</v>
      </c>
      <c r="BB451" s="119"/>
      <c r="BC451" s="121"/>
      <c r="BD451" s="119"/>
      <c r="BE451" s="119"/>
      <c r="BF451" s="119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18"/>
      <c r="BR451" s="118"/>
      <c r="BS451" s="118">
        <f>INDEX('Dist. Plant Gas Additions'!$F$7:$AE$91,MATCH($C451,'Dist. Plant Gas Additions'!$D$7:$D$91,0),MATCH(Calculation!$G451,'Dist. Plant Gas Additions'!$F$5:$AE$5,0))</f>
        <v>2909</v>
      </c>
      <c r="BT451" s="118">
        <f>INDEX('Gen. Plant Additions'!$F$7:$AE$91,MATCH($C451,'Gen. Plant Additions'!$D$7:$D$91,0),MATCH(Calculation!$G451,'Gen. Plant Additions'!$F$5:$AE$5,0))</f>
        <v>763</v>
      </c>
      <c r="BU451" s="118"/>
      <c r="BV451" s="118"/>
      <c r="BW451" s="118">
        <f>INDEX('Dist Plant Depreciation'!$E$7:$AD$94,MATCH($C451,'Dist Plant Depreciation'!$D$7:$D$94,0),MATCH(Calculation!$G451,'Dist Plant Depreciation'!$E$5:$AD$5,0))</f>
        <v>27911</v>
      </c>
      <c r="BX451" s="118">
        <f>INDEX('Gen. Plant Depreciation'!$E$7:$AD$94,MATCH($C451,'Gen. Plant Depreciation'!$D$7:$D$94,0),MATCH(Calculation!$G451,'Gen. Plant Depreciation'!$E$5:$AD$5,0))</f>
        <v>9689</v>
      </c>
      <c r="BY451" s="118"/>
      <c r="BZ451" s="118"/>
      <c r="CA451" s="118"/>
      <c r="CB451" s="118"/>
      <c r="CC451" s="118"/>
      <c r="CD451" s="118"/>
      <c r="CE451" s="118">
        <f>INDEX('Gross Dx Plant'!$E$7:$AD$91,MATCH($C451,'Gross Dx Plant'!$D$7:$D$91,0),MATCH(Calculation!$G451,'Gross Dx Plant'!$E$5:$AD$5,0))</f>
        <v>90701</v>
      </c>
      <c r="CF451" s="118">
        <f>INDEX('Gross Gen Plant'!$E$7:$AD$91,MATCH($C451,'Gross Gen Plant'!$D$7:$D$91,0),MATCH(Calculation!$G451,'Gross Gen Plant'!$E$5:$AD$5,0))</f>
        <v>19077</v>
      </c>
      <c r="CG451" s="118">
        <f t="shared" si="1177"/>
        <v>72178</v>
      </c>
      <c r="CH451" s="118"/>
      <c r="CI451" s="121">
        <v>2005</v>
      </c>
      <c r="CJ451" s="118"/>
      <c r="CK451" s="118"/>
      <c r="CL451" s="118"/>
      <c r="CM451" s="183"/>
      <c r="CN451" s="118">
        <f t="shared" si="1269"/>
        <v>3672</v>
      </c>
      <c r="CO451" s="118">
        <f t="shared" si="1270"/>
        <v>7.826001218285648</v>
      </c>
      <c r="CP451" s="186">
        <v>0.96174863387978138</v>
      </c>
      <c r="CQ451" s="118">
        <f>+CQ444*CP451+CO445*CP450+CO446*CP449+CO447*CP448+CO448*CP447+CO449*CP446+CO450*CP445+CO451</f>
        <v>371.36982946058737</v>
      </c>
      <c r="CR451" s="119">
        <f t="shared" si="1271"/>
        <v>1.5259060967856158E-2</v>
      </c>
      <c r="CS451" s="119"/>
      <c r="CT451" s="177">
        <f t="shared" si="1272"/>
        <v>6.021286396292261E-3</v>
      </c>
      <c r="CU451" s="177">
        <f t="shared" si="1280"/>
        <v>5.8351098104095734E-3</v>
      </c>
      <c r="CV451" s="119">
        <f>VLOOKUP($H451,RoR!$E:$F,2,FALSE)</f>
        <v>5.2350000000000001E-2</v>
      </c>
      <c r="CW451" s="177">
        <v>3.1010403642454332E-2</v>
      </c>
      <c r="CX451" s="177">
        <f t="shared" si="1279"/>
        <v>2.1339596357545669E-2</v>
      </c>
      <c r="CY451" s="177">
        <f t="shared" si="1282"/>
        <v>2.5066831798124051E-2</v>
      </c>
      <c r="CZ451" s="177">
        <f t="shared" si="1283"/>
        <v>9.2129610649277341E-2</v>
      </c>
      <c r="DA451" s="187">
        <f t="shared" si="1273"/>
        <v>0.85270312375000001</v>
      </c>
      <c r="DB451" s="188">
        <f t="shared" si="1274"/>
        <v>0.97959983346802826</v>
      </c>
      <c r="DC451" s="188">
        <f t="shared" si="1275"/>
        <v>0.49744508118433622</v>
      </c>
      <c r="DD451" s="188">
        <f t="shared" si="1276"/>
        <v>0.87010519444335932</v>
      </c>
      <c r="DE451" s="188">
        <f t="shared" si="1277"/>
        <v>0.42399975420741998</v>
      </c>
      <c r="DF451" s="189">
        <f>INDEX('State Tax Lookup'!$D$7:$Z$91,MATCH(Calculation!$C451,'State Tax Lookup'!$B$7:$B$91,0),MATCH($H451,'State Tax Lookup'!$D$6:$Z$6,0))</f>
        <v>0.39279166999999998</v>
      </c>
      <c r="DG451" s="189">
        <v>0.375</v>
      </c>
      <c r="DH451" s="190">
        <f t="shared" si="1281"/>
        <v>16.387286598009045</v>
      </c>
      <c r="DI451" s="190">
        <v>16.180372992277373</v>
      </c>
      <c r="DJ451" s="177"/>
      <c r="DK451" s="189">
        <f>VLOOKUP($H451,RoR!$E:$F,2,FALSE)</f>
        <v>5.2350000000000001E-2</v>
      </c>
      <c r="DL451" s="191">
        <f>HLOOKUP($H451,'GDP-PI'!$D$8:$CQ$11,3,FALSE)</f>
        <v>3.1010403642454332E-2</v>
      </c>
      <c r="DM451" s="189">
        <f>VLOOKUP(H451,'HW Dx Data'!$E:$F,2,FALSE)</f>
        <v>469.20514034936258</v>
      </c>
      <c r="DN451" s="183">
        <f>VLOOKUP(H451,'ECI - Input Price'!$G$17:$H$37,2,FALSE)</f>
        <v>99.15</v>
      </c>
      <c r="DO451" s="177">
        <f t="shared" ref="DO451" si="1295">LN(DN451/DN450)</f>
        <v>3.046440632744625E-2</v>
      </c>
      <c r="DP451" s="183">
        <f>HLOOKUP(H451,'GDP-PI'!$8:$9,2,FALSE)</f>
        <v>87.406999999999996</v>
      </c>
      <c r="DQ451" s="177">
        <f t="shared" ref="DQ451" si="1296">LN(DP451/DP450)</f>
        <v>3.0539295810733648E-2</v>
      </c>
    </row>
    <row r="452" spans="1:122" s="167" customFormat="1" ht="21" x14ac:dyDescent="0.35">
      <c r="A452" s="167" t="s">
        <v>54</v>
      </c>
      <c r="B452" s="168" t="s">
        <v>54</v>
      </c>
      <c r="C452" s="168">
        <v>4057118</v>
      </c>
      <c r="D452" s="168" t="s">
        <v>141</v>
      </c>
      <c r="E452" s="168"/>
      <c r="F452" s="168"/>
      <c r="G452" s="168" t="s">
        <v>12</v>
      </c>
      <c r="H452" s="169">
        <v>2006</v>
      </c>
      <c r="I452" s="170"/>
      <c r="J452" s="166">
        <f>IFERROR(INDEX('Labor Expenditures'!$F$7:$X$91,MATCH($C452,'Labor Expenditures'!$D$7:$D$91,0),MATCH($G452,'Labor Expenditures'!$F$5:$X$5,0)),"NA")</f>
        <v>3241.831597828033</v>
      </c>
      <c r="K452" s="166">
        <f t="shared" si="1286"/>
        <v>31.767090620558875</v>
      </c>
      <c r="L452" s="172">
        <f t="shared" si="1293"/>
        <v>-1.2407536842221111E-2</v>
      </c>
      <c r="M452" s="172">
        <f t="shared" ref="M452:M467" si="1297">+L452*AR452</f>
        <v>-2.1645457791802496E-5</v>
      </c>
      <c r="N452" s="196"/>
      <c r="O452" s="172"/>
      <c r="P452" s="166">
        <f>IFERROR(INDEX('Non-Labor Expenditures'!$F$7:$AB$91,MATCH($C452,'Non-Labor Expenditures'!$D$7:$D$91,0),MATCH($G452,'Non-Labor Expenditures'!$F$5:$AB$5,0)),"NA")</f>
        <v>4694.7776442763952</v>
      </c>
      <c r="Q452" s="166">
        <f t="shared" si="1287"/>
        <v>52.121340722921104</v>
      </c>
      <c r="R452" s="172">
        <f t="shared" ref="R452:R467" si="1298">LN(Q452/Q451)</f>
        <v>-1.3634686277627046E-2</v>
      </c>
      <c r="S452" s="172">
        <f>+R452*AR452</f>
        <v>-2.3786270399984805E-5</v>
      </c>
      <c r="T452" s="172"/>
      <c r="U452" s="172"/>
      <c r="V452" s="166">
        <f t="shared" si="1267"/>
        <v>5940.4096892080615</v>
      </c>
      <c r="W452" s="170"/>
      <c r="X452" s="174">
        <v>379.02164783989065</v>
      </c>
      <c r="Y452" s="175">
        <v>2.0394910767559112E-2</v>
      </c>
      <c r="Z452" s="175">
        <f>+Y452*AR452</f>
        <v>3.5579759770252062E-5</v>
      </c>
      <c r="AA452" s="175"/>
      <c r="AB452" s="175"/>
      <c r="AC452" s="170">
        <f t="shared" si="1278"/>
        <v>13877.01893131249</v>
      </c>
      <c r="AD452" s="175">
        <f t="shared" ref="AD452:AD467" si="1299">LN(AC452/AC451)</f>
        <v>5.4982838414028411E-3</v>
      </c>
      <c r="AE452" s="170"/>
      <c r="AF452" s="170"/>
      <c r="AG452" s="121">
        <f t="shared" ref="AG452:AG467" si="1300">+(AC452*1000)/AZ452</f>
        <v>371.17230404452056</v>
      </c>
      <c r="AH452" s="119">
        <f>+AZ452/$BB$44</f>
        <v>1.0635080758428863E-3</v>
      </c>
      <c r="AI452" s="119"/>
      <c r="AJ452" s="176">
        <f>+AH452*AG452</f>
        <v>0.39474474288055883</v>
      </c>
      <c r="AK452" s="176">
        <f>+AI452*AG452</f>
        <v>0</v>
      </c>
      <c r="AL452" s="120">
        <f t="shared" si="1288"/>
        <v>0.23361152808641589</v>
      </c>
      <c r="AM452" s="120">
        <f t="shared" si="1289"/>
        <v>0.33831312528391588</v>
      </c>
      <c r="AN452" s="120">
        <f t="shared" si="1290"/>
        <v>0.42807534662966817</v>
      </c>
      <c r="AO452" s="120">
        <f t="shared" si="1294"/>
        <v>1.3233816852704491E-3</v>
      </c>
      <c r="AP452" s="173">
        <f>+AP451*EXP(AO452)</f>
        <v>100.13242577412225</v>
      </c>
      <c r="AQ452" s="175">
        <f>LN(AP452/AP451)</f>
        <v>1.3233816852705014E-3</v>
      </c>
      <c r="AR452" s="177">
        <f>+AC452/$AE$44</f>
        <v>1.74454108555584E-3</v>
      </c>
      <c r="AS452" s="177">
        <f>+AR452*AQ452</f>
        <v>2.3086937218265174E-6</v>
      </c>
      <c r="AT452" s="177"/>
      <c r="AU452" s="177"/>
      <c r="AV452" s="177"/>
      <c r="AW452" s="190"/>
      <c r="AX452" s="120"/>
      <c r="AY452" s="120"/>
      <c r="AZ452" s="118">
        <f>IFERROR(INDEX('Total Customers'!$F$7:$AB$91,MATCH($C452,'Total Customers'!$D$7:$D$91,0),MATCH($G452,'Total Customers'!$F$5:$AB$5,0)),"NA")</f>
        <v>37387</v>
      </c>
      <c r="BA452" s="119">
        <f t="shared" si="1268"/>
        <v>-2.6942720815692711E-2</v>
      </c>
      <c r="BB452" s="119"/>
      <c r="BC452" s="121"/>
      <c r="BD452" s="119"/>
      <c r="BE452" s="119"/>
      <c r="BF452" s="119"/>
      <c r="BG452" s="173"/>
      <c r="BH452" s="173"/>
      <c r="BI452" s="173"/>
      <c r="BJ452" s="173"/>
      <c r="BK452" s="173"/>
      <c r="BL452" s="173"/>
      <c r="BM452" s="173"/>
      <c r="BN452" s="173"/>
      <c r="BO452" s="173"/>
      <c r="BP452" s="173"/>
      <c r="BQ452" s="118"/>
      <c r="BR452" s="118"/>
      <c r="BS452" s="118">
        <f>INDEX('Dist. Plant Gas Additions'!$F$7:$AE$91,MATCH($C452,'Dist. Plant Gas Additions'!$D$7:$D$91,0),MATCH(Calculation!$G452,'Dist. Plant Gas Additions'!$F$5:$AE$5,0))</f>
        <v>2836</v>
      </c>
      <c r="BT452" s="118">
        <f>INDEX('Gen. Plant Additions'!$F$7:$AE$91,MATCH($C452,'Gen. Plant Additions'!$D$7:$D$91,0),MATCH(Calculation!$G452,'Gen. Plant Additions'!$F$5:$AE$5,0))</f>
        <v>1759</v>
      </c>
      <c r="BU452" s="118"/>
      <c r="BV452" s="118"/>
      <c r="BW452" s="118">
        <f>INDEX('Dist Plant Depreciation'!$E$7:$AD$94,MATCH($C452,'Dist Plant Depreciation'!$D$7:$D$94,0),MATCH(Calculation!$G452,'Dist Plant Depreciation'!$E$5:$AD$5,0))</f>
        <v>30164</v>
      </c>
      <c r="BX452" s="118">
        <f>INDEX('Gen. Plant Depreciation'!$E$7:$AD$94,MATCH($C452,'Gen. Plant Depreciation'!$D$7:$D$94,0),MATCH(Calculation!$G452,'Gen. Plant Depreciation'!$E$5:$AD$5,0))</f>
        <v>9156</v>
      </c>
      <c r="BY452" s="118"/>
      <c r="BZ452" s="118"/>
      <c r="CA452" s="118"/>
      <c r="CB452" s="118"/>
      <c r="CC452" s="118"/>
      <c r="CD452" s="118"/>
      <c r="CE452" s="118">
        <f>INDEX('Gross Dx Plant'!$E$7:$AD$91,MATCH($C452,'Gross Dx Plant'!$D$7:$D$91,0),MATCH(Calculation!$G452,'Gross Dx Plant'!$E$5:$AD$5,0))</f>
        <v>93391</v>
      </c>
      <c r="CF452" s="118">
        <f>INDEX('Gross Gen Plant'!$E$7:$AD$91,MATCH($C452,'Gross Gen Plant'!$D$7:$D$91,0),MATCH(Calculation!$G452,'Gross Gen Plant'!$E$5:$AD$5,0))</f>
        <v>19294</v>
      </c>
      <c r="CG452" s="118">
        <f t="shared" si="1177"/>
        <v>73365</v>
      </c>
      <c r="CH452" s="119" t="e">
        <f>SUM(#REF!)/15</f>
        <v>#REF!</v>
      </c>
      <c r="CI452" s="121">
        <v>2006</v>
      </c>
      <c r="CJ452" s="118"/>
      <c r="CK452" s="118"/>
      <c r="CL452" s="118"/>
      <c r="CM452" s="183"/>
      <c r="CN452" s="118">
        <f t="shared" si="1269"/>
        <v>4595</v>
      </c>
      <c r="CO452" s="118">
        <f t="shared" si="1270"/>
        <v>9.9656100194931074</v>
      </c>
      <c r="CP452" s="186">
        <v>0.9555555555555556</v>
      </c>
      <c r="CQ452" s="118">
        <f>+CQ444*CP452+CO445*CP451+CO446*CP450+CO447*CP449+CO448*CP448+CO449*CP447+CO450*CP446+CO451*CP445+CO452</f>
        <v>379.02164783989065</v>
      </c>
      <c r="CR452" s="119">
        <f t="shared" si="1271"/>
        <v>2.0394910767559112E-2</v>
      </c>
      <c r="CS452" s="119"/>
      <c r="CT452" s="177">
        <f t="shared" si="1272"/>
        <v>6.2304243819445377E-3</v>
      </c>
      <c r="CU452" s="177">
        <f t="shared" si="1280"/>
        <v>6.026374283408545E-3</v>
      </c>
      <c r="CV452" s="119">
        <f>VLOOKUP($H452,RoR!$E:$F,2,FALSE)</f>
        <v>5.5874999999999994E-2</v>
      </c>
      <c r="CW452" s="177">
        <v>3.0512430354548314E-2</v>
      </c>
      <c r="CX452" s="177">
        <f t="shared" si="1279"/>
        <v>2.536256964545168E-2</v>
      </c>
      <c r="CY452" s="177">
        <f t="shared" si="1282"/>
        <v>2.4875567325125081E-2</v>
      </c>
      <c r="CZ452" s="177">
        <f t="shared" si="1283"/>
        <v>7.9087823893859641E-2</v>
      </c>
      <c r="DA452" s="187">
        <f t="shared" si="1273"/>
        <v>0.85270312375000001</v>
      </c>
      <c r="DB452" s="188">
        <f t="shared" si="1274"/>
        <v>0.91779957551769631</v>
      </c>
      <c r="DC452" s="188">
        <f t="shared" si="1275"/>
        <v>0.52757270693512304</v>
      </c>
      <c r="DD452" s="188">
        <f t="shared" si="1276"/>
        <v>0.88636824549024895</v>
      </c>
      <c r="DE452" s="188">
        <f t="shared" si="1277"/>
        <v>0.42918482841932087</v>
      </c>
      <c r="DF452" s="189">
        <f>INDEX('State Tax Lookup'!$D$7:$Z$91,MATCH(Calculation!$C452,'State Tax Lookup'!$B$7:$B$91,0),MATCH($H452,'State Tax Lookup'!$D$6:$Z$6,0))</f>
        <v>0.39279166999999998</v>
      </c>
      <c r="DG452" s="189">
        <v>0.375</v>
      </c>
      <c r="DH452" s="190">
        <f t="shared" si="1281"/>
        <v>15.995940482931729</v>
      </c>
      <c r="DI452" s="190">
        <v>15.524814076892858</v>
      </c>
      <c r="DJ452" s="177"/>
      <c r="DK452" s="189">
        <f>VLOOKUP($H452,RoR!$E:$F,2,FALSE)</f>
        <v>5.5874999999999994E-2</v>
      </c>
      <c r="DL452" s="191">
        <f>HLOOKUP($H452,'GDP-PI'!$D$8:$CQ$11,3,FALSE)</f>
        <v>3.0512430354548314E-2</v>
      </c>
      <c r="DM452" s="189">
        <f>VLOOKUP(H452,'HW Dx Data'!$E:$F,2,FALSE)</f>
        <v>461.08567272971823</v>
      </c>
      <c r="DN452" s="183">
        <f>VLOOKUP(H452,'ECI - Input Price'!$G$17:$H$37,2,FALSE)</f>
        <v>102.05</v>
      </c>
      <c r="DO452" s="177">
        <f t="shared" ref="DO452" si="1301">LN(DN452/DN451)</f>
        <v>2.8829034290048662E-2</v>
      </c>
      <c r="DP452" s="183">
        <f>HLOOKUP(H452,'GDP-PI'!$8:$9,2,FALSE)</f>
        <v>90.073999999999998</v>
      </c>
      <c r="DQ452" s="177">
        <f t="shared" ref="DQ452" si="1302">LN(DP452/DP451)</f>
        <v>3.005618372545445E-2</v>
      </c>
    </row>
    <row r="453" spans="1:122" s="167" customFormat="1" ht="21" x14ac:dyDescent="0.35">
      <c r="A453" s="167" t="s">
        <v>54</v>
      </c>
      <c r="B453" s="168" t="s">
        <v>54</v>
      </c>
      <c r="C453" s="168">
        <v>4057118</v>
      </c>
      <c r="D453" s="168" t="s">
        <v>141</v>
      </c>
      <c r="E453" s="168"/>
      <c r="F453" s="168"/>
      <c r="G453" s="168" t="s">
        <v>13</v>
      </c>
      <c r="H453" s="169">
        <v>2007</v>
      </c>
      <c r="I453" s="170"/>
      <c r="J453" s="166">
        <f>IFERROR(INDEX('Labor Expenditures'!$F$7:$X$91,MATCH($C453,'Labor Expenditures'!$D$7:$D$91,0),MATCH($G453,'Labor Expenditures'!$F$5:$X$5,0)),"NA")</f>
        <v>3421.642050850312</v>
      </c>
      <c r="K453" s="166">
        <f t="shared" si="1286"/>
        <v>32.517387035878464</v>
      </c>
      <c r="L453" s="172">
        <f t="shared" si="1293"/>
        <v>2.3344064225409456E-2</v>
      </c>
      <c r="M453" s="172">
        <f t="shared" si="1297"/>
        <v>4.1349085623447433E-5</v>
      </c>
      <c r="N453" s="196"/>
      <c r="O453" s="172"/>
      <c r="P453" s="166">
        <f>IFERROR(INDEX('Non-Labor Expenditures'!$F$7:$AB$91,MATCH($C453,'Non-Labor Expenditures'!$D$7:$D$91,0),MATCH($G453,'Non-Labor Expenditures'!$F$5:$AB$5,0)),"NA")</f>
        <v>4955.1767642127252</v>
      </c>
      <c r="Q453" s="166">
        <f t="shared" si="1287"/>
        <v>53.570636816068728</v>
      </c>
      <c r="R453" s="172">
        <f t="shared" si="1298"/>
        <v>2.7426621676152264E-2</v>
      </c>
      <c r="S453" s="172">
        <f t="shared" ref="S453:S467" si="1303">+R453*AR453</f>
        <v>4.8580474980646935E-5</v>
      </c>
      <c r="T453" s="172"/>
      <c r="U453" s="172"/>
      <c r="V453" s="166">
        <f t="shared" si="1267"/>
        <v>6505.4796105641881</v>
      </c>
      <c r="W453" s="170"/>
      <c r="X453" s="174">
        <v>384.51021355741671</v>
      </c>
      <c r="Y453" s="175">
        <v>1.4377030048856675E-2</v>
      </c>
      <c r="Z453" s="175">
        <f t="shared" ref="Z453:Z467" si="1304">+Y453*AR453</f>
        <v>2.5465876068571519E-5</v>
      </c>
      <c r="AA453" s="175"/>
      <c r="AB453" s="175"/>
      <c r="AC453" s="170">
        <f t="shared" si="1278"/>
        <v>14882.298425627225</v>
      </c>
      <c r="AD453" s="175">
        <f t="shared" si="1299"/>
        <v>6.9938323954231635E-2</v>
      </c>
      <c r="AE453" s="170"/>
      <c r="AF453" s="170"/>
      <c r="AG453" s="121">
        <f t="shared" si="1300"/>
        <v>401.64894679586604</v>
      </c>
      <c r="AH453" s="119">
        <f>+AZ453/$BB$45</f>
        <v>1.046104414089837E-3</v>
      </c>
      <c r="AI453" s="119"/>
      <c r="AJ453" s="176">
        <f t="shared" ref="AJ453:AJ467" si="1305">+AH453*AG453</f>
        <v>0.42016673615768957</v>
      </c>
      <c r="AK453" s="176">
        <f t="shared" ref="AK453:AK467" si="1306">+AI453*AG453</f>
        <v>0</v>
      </c>
      <c r="AL453" s="120">
        <f t="shared" si="1288"/>
        <v>0.2299135491704874</v>
      </c>
      <c r="AM453" s="120">
        <f t="shared" si="1289"/>
        <v>0.33295776112646297</v>
      </c>
      <c r="AN453" s="120">
        <f t="shared" si="1290"/>
        <v>0.43712868970304969</v>
      </c>
      <c r="AO453" s="120">
        <f t="shared" si="1294"/>
        <v>2.0835158123056717E-2</v>
      </c>
      <c r="AP453" s="173">
        <f>+AP452*EXP(AO453)</f>
        <v>102.24058636517536</v>
      </c>
      <c r="AQ453" s="175">
        <f>LN(AP453/AP452)</f>
        <v>2.0835158123056693E-2</v>
      </c>
      <c r="AR453" s="177">
        <f>+AC453/$AE$45</f>
        <v>1.7712890619294964E-3</v>
      </c>
      <c r="AS453" s="177">
        <f t="shared" ref="AS453:AS467" si="1307">+AR453*AQ453</f>
        <v>3.6905087686941814E-5</v>
      </c>
      <c r="AT453" s="177"/>
      <c r="AU453" s="177"/>
      <c r="AV453" s="177"/>
      <c r="AW453" s="190"/>
      <c r="AX453" s="120"/>
      <c r="AY453" s="120"/>
      <c r="AZ453" s="118">
        <f>IFERROR(INDEX('Total Customers'!$F$7:$AB$91,MATCH($C453,'Total Customers'!$D$7:$D$91,0),MATCH($G453,'Total Customers'!$F$5:$AB$5,0)),"NA")</f>
        <v>37053</v>
      </c>
      <c r="BA453" s="119">
        <f t="shared" si="1268"/>
        <v>-8.9737302889595916E-3</v>
      </c>
      <c r="BB453" s="119"/>
      <c r="BC453" s="121"/>
      <c r="BD453" s="119"/>
      <c r="BE453" s="119"/>
      <c r="BF453" s="119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18"/>
      <c r="BR453" s="118"/>
      <c r="BS453" s="118">
        <f>INDEX('Dist. Plant Gas Additions'!$F$7:$AE$91,MATCH($C453,'Dist. Plant Gas Additions'!$D$7:$D$91,0),MATCH(Calculation!$G453,'Dist. Plant Gas Additions'!$F$5:$AE$5,0))</f>
        <v>2565</v>
      </c>
      <c r="BT453" s="118">
        <f>INDEX('Gen. Plant Additions'!$F$7:$AE$91,MATCH($C453,'Gen. Plant Additions'!$D$7:$D$91,0),MATCH(Calculation!$G453,'Gen. Plant Additions'!$F$5:$AE$5,0))</f>
        <v>1384</v>
      </c>
      <c r="BU453" s="118"/>
      <c r="BV453" s="118"/>
      <c r="BW453" s="118">
        <f>INDEX('Dist Plant Depreciation'!$E$7:$AD$94,MATCH($C453,'Dist Plant Depreciation'!$D$7:$D$94,0),MATCH(Calculation!$G453,'Dist Plant Depreciation'!$E$5:$AD$5,0))</f>
        <v>32424</v>
      </c>
      <c r="BX453" s="118">
        <f>INDEX('Gen. Plant Depreciation'!$E$7:$AD$94,MATCH($C453,'Gen. Plant Depreciation'!$D$7:$D$94,0),MATCH(Calculation!$G453,'Gen. Plant Depreciation'!$E$5:$AD$5,0))</f>
        <v>10252</v>
      </c>
      <c r="BY453" s="118"/>
      <c r="BZ453" s="118"/>
      <c r="CA453" s="118"/>
      <c r="CB453" s="118"/>
      <c r="CC453" s="118"/>
      <c r="CD453" s="118"/>
      <c r="CE453" s="118">
        <f>INDEX('Gross Dx Plant'!$E$7:$AD$91,MATCH($C453,'Gross Dx Plant'!$D$7:$D$91,0),MATCH(Calculation!$G453,'Gross Dx Plant'!$E$5:$AD$5,0))</f>
        <v>95388</v>
      </c>
      <c r="CF453" s="118">
        <f>INDEX('Gross Gen Plant'!$E$7:$AD$91,MATCH($C453,'Gross Gen Plant'!$D$7:$D$91,0),MATCH(Calculation!$G453,'Gross Gen Plant'!$E$5:$AD$5,0))</f>
        <v>20231</v>
      </c>
      <c r="CG453" s="118">
        <f t="shared" si="1177"/>
        <v>72943</v>
      </c>
      <c r="CH453" s="118"/>
      <c r="CI453" s="121">
        <v>2007</v>
      </c>
      <c r="CJ453" s="118"/>
      <c r="CK453" s="118"/>
      <c r="CL453" s="118"/>
      <c r="CM453" s="183"/>
      <c r="CN453" s="118">
        <f t="shared" si="1269"/>
        <v>3949</v>
      </c>
      <c r="CO453" s="118">
        <f t="shared" si="1270"/>
        <v>7.9293635591722484</v>
      </c>
      <c r="CP453" s="186">
        <v>0.94915254237288138</v>
      </c>
      <c r="CQ453" s="118">
        <f>+CQ444*CP453+CO445*CP452+CO446*CP451+CO447*CP450+CO448*CP449+CO449*CP448+CO450*CP447+CO451*CP446+CO452*CP445+CO453</f>
        <v>384.51021355741671</v>
      </c>
      <c r="CR453" s="119">
        <f t="shared" si="1271"/>
        <v>1.4377030048856675E-2</v>
      </c>
      <c r="CS453" s="119"/>
      <c r="CT453" s="177">
        <f t="shared" si="1272"/>
        <v>6.4397320194155561E-3</v>
      </c>
      <c r="CU453" s="177">
        <f t="shared" si="1280"/>
        <v>6.230480932550784E-3</v>
      </c>
      <c r="CV453" s="119">
        <f>VLOOKUP($H453,RoR!$E:$F,2,FALSE)</f>
        <v>5.5558333333333321E-2</v>
      </c>
      <c r="CW453" s="177">
        <v>2.691120634145272E-2</v>
      </c>
      <c r="CX453" s="177">
        <f t="shared" si="1279"/>
        <v>2.86471269918806E-2</v>
      </c>
      <c r="CY453" s="177">
        <f t="shared" si="1282"/>
        <v>2.4671460675982842E-2</v>
      </c>
      <c r="CZ453" s="177">
        <f t="shared" si="1283"/>
        <v>6.4575155250632399E-2</v>
      </c>
      <c r="DA453" s="187">
        <f t="shared" si="1273"/>
        <v>0.85270312375000001</v>
      </c>
      <c r="DB453" s="188">
        <f t="shared" si="1274"/>
        <v>0.92303077153834634</v>
      </c>
      <c r="DC453" s="188">
        <f t="shared" si="1275"/>
        <v>0.52502249887505614</v>
      </c>
      <c r="DD453" s="188">
        <f t="shared" si="1276"/>
        <v>0.88499666072084604</v>
      </c>
      <c r="DE453" s="188">
        <f t="shared" si="1277"/>
        <v>0.42887993290280618</v>
      </c>
      <c r="DF453" s="189">
        <f>INDEX('State Tax Lookup'!$D$7:$Z$91,MATCH(Calculation!$C453,'State Tax Lookup'!$B$7:$B$91,0),MATCH($H453,'State Tax Lookup'!$D$6:$Z$6,0))</f>
        <v>0.39279166999999998</v>
      </c>
      <c r="DG453" s="189">
        <v>0.375</v>
      </c>
      <c r="DH453" s="190">
        <f t="shared" si="1281"/>
        <v>17.163873482266862</v>
      </c>
      <c r="DI453" s="190">
        <v>16.907738961838398</v>
      </c>
      <c r="DJ453" s="177"/>
      <c r="DK453" s="189">
        <f>VLOOKUP($H453,RoR!$E:$F,2,FALSE)</f>
        <v>5.5558333333333321E-2</v>
      </c>
      <c r="DL453" s="191">
        <f>HLOOKUP($H453,'GDP-PI'!$D$8:$CQ$11,3,FALSE)</f>
        <v>2.691120634145272E-2</v>
      </c>
      <c r="DM453" s="189">
        <f>VLOOKUP(H453,'HW Dx Data'!$E:$F,2,FALSE)</f>
        <v>498.0223154772637</v>
      </c>
      <c r="DN453" s="183">
        <f>VLOOKUP(H453,'ECI - Input Price'!$G$17:$H$37,2,FALSE)</f>
        <v>105.22500000000001</v>
      </c>
      <c r="DO453" s="177">
        <f t="shared" ref="DO453" si="1308">LN(DN453/DN452)</f>
        <v>3.0638025400780679E-2</v>
      </c>
      <c r="DP453" s="183">
        <f>HLOOKUP(H453,'GDP-PI'!$8:$9,2,FALSE)</f>
        <v>92.498000000000005</v>
      </c>
      <c r="DQ453" s="177">
        <f t="shared" ref="DQ453" si="1309">LN(DP453/DP452)</f>
        <v>2.6555467950038037E-2</v>
      </c>
    </row>
    <row r="454" spans="1:122" s="167" customFormat="1" ht="21" x14ac:dyDescent="0.35">
      <c r="A454" s="167" t="s">
        <v>54</v>
      </c>
      <c r="B454" s="168" t="s">
        <v>54</v>
      </c>
      <c r="C454" s="168">
        <v>4057118</v>
      </c>
      <c r="D454" s="168" t="s">
        <v>141</v>
      </c>
      <c r="E454" s="168"/>
      <c r="F454" s="168"/>
      <c r="G454" s="168" t="s">
        <v>14</v>
      </c>
      <c r="H454" s="169">
        <v>2008</v>
      </c>
      <c r="I454" s="170"/>
      <c r="J454" s="166">
        <f>IFERROR(INDEX('Labor Expenditures'!$F$7:$X$91,MATCH($C454,'Labor Expenditures'!$D$7:$D$91,0),MATCH($G454,'Labor Expenditures'!$F$5:$X$5,0)),"NA")</f>
        <v>3716.8762775798655</v>
      </c>
      <c r="K454" s="166">
        <f t="shared" si="1286"/>
        <v>34.343971148809111</v>
      </c>
      <c r="L454" s="172">
        <f t="shared" si="1293"/>
        <v>5.4651558855761326E-2</v>
      </c>
      <c r="M454" s="172">
        <f t="shared" si="1297"/>
        <v>1.0093054740395269E-4</v>
      </c>
      <c r="N454" s="196"/>
      <c r="O454" s="172"/>
      <c r="P454" s="166">
        <f>IFERROR(INDEX('Non-Labor Expenditures'!$F$7:$AB$91,MATCH($C454,'Non-Labor Expenditures'!$D$7:$D$91,0),MATCH($G454,'Non-Labor Expenditures'!$F$5:$AB$5,0)),"NA")</f>
        <v>5382.7310666643916</v>
      </c>
      <c r="Q454" s="166">
        <f t="shared" si="1287"/>
        <v>57.102722849278535</v>
      </c>
      <c r="R454" s="172">
        <f t="shared" si="1298"/>
        <v>6.3850703779138582E-2</v>
      </c>
      <c r="S454" s="172">
        <f t="shared" si="1303"/>
        <v>1.1791953641367569E-4</v>
      </c>
      <c r="T454" s="172"/>
      <c r="U454" s="172"/>
      <c r="V454" s="166">
        <f t="shared" si="1267"/>
        <v>7488.4422565711156</v>
      </c>
      <c r="W454" s="170"/>
      <c r="X454" s="174">
        <v>391.39641990985939</v>
      </c>
      <c r="Y454" s="175">
        <v>1.7750556225647817E-2</v>
      </c>
      <c r="Z454" s="175">
        <f t="shared" si="1304"/>
        <v>3.278174299305295E-5</v>
      </c>
      <c r="AA454" s="175"/>
      <c r="AB454" s="175"/>
      <c r="AC454" s="170">
        <f t="shared" si="1278"/>
        <v>16588.049600815371</v>
      </c>
      <c r="AD454" s="175">
        <f t="shared" si="1299"/>
        <v>0.10851005097770544</v>
      </c>
      <c r="AE454" s="170"/>
      <c r="AF454" s="170"/>
      <c r="AG454" s="121">
        <f t="shared" si="1300"/>
        <v>456.30483318612966</v>
      </c>
      <c r="AH454" s="119">
        <f>+AZ454/$BB$46</f>
        <v>1.0208692279952991E-3</v>
      </c>
      <c r="AI454" s="119"/>
      <c r="AJ454" s="176">
        <f t="shared" si="1305"/>
        <v>0.4658275627852479</v>
      </c>
      <c r="AK454" s="176">
        <f t="shared" si="1306"/>
        <v>0</v>
      </c>
      <c r="AL454" s="120">
        <f t="shared" si="1288"/>
        <v>0.22406951793761007</v>
      </c>
      <c r="AM454" s="120">
        <f t="shared" si="1289"/>
        <v>0.32449451238678523</v>
      </c>
      <c r="AN454" s="120">
        <f t="shared" si="1290"/>
        <v>0.45143596967560479</v>
      </c>
      <c r="AO454" s="120">
        <f t="shared" si="1294"/>
        <v>4.1281094811508628E-2</v>
      </c>
      <c r="AP454" s="173">
        <f t="shared" ref="AP454:AP467" si="1310">+AP453*EXP(AO454)</f>
        <v>106.54951648394183</v>
      </c>
      <c r="AQ454" s="175">
        <f t="shared" ref="AQ454:AQ467" si="1311">LN(AP454/AP453)</f>
        <v>4.1281094811508705E-2</v>
      </c>
      <c r="AR454" s="177">
        <f>+AC454/$AE$46</f>
        <v>1.8468008876074845E-3</v>
      </c>
      <c r="AS454" s="177">
        <f t="shared" si="1307"/>
        <v>7.6237962539303005E-5</v>
      </c>
      <c r="AT454" s="177"/>
      <c r="AU454" s="177"/>
      <c r="AV454" s="177"/>
      <c r="AW454" s="190"/>
      <c r="AX454" s="120"/>
      <c r="AY454" s="120"/>
      <c r="AZ454" s="118">
        <f>IFERROR(INDEX('Total Customers'!$F$7:$AB$91,MATCH($C454,'Total Customers'!$D$7:$D$91,0),MATCH($G454,'Total Customers'!$F$5:$AB$5,0)),"NA")</f>
        <v>36353</v>
      </c>
      <c r="BA454" s="119">
        <f t="shared" si="1268"/>
        <v>-1.9072588600844178E-2</v>
      </c>
      <c r="BB454" s="119"/>
      <c r="BC454" s="121"/>
      <c r="BD454" s="119"/>
      <c r="BE454" s="119"/>
      <c r="BF454" s="119"/>
      <c r="BG454" s="173"/>
      <c r="BH454" s="173"/>
      <c r="BI454" s="173"/>
      <c r="BJ454" s="173"/>
      <c r="BK454" s="173"/>
      <c r="BL454" s="173"/>
      <c r="BM454" s="173"/>
      <c r="BN454" s="173"/>
      <c r="BO454" s="173"/>
      <c r="BP454" s="173"/>
      <c r="BQ454" s="118"/>
      <c r="BR454" s="118"/>
      <c r="BS454" s="118">
        <f>INDEX('Dist. Plant Gas Additions'!$F$7:$AE$91,MATCH($C454,'Dist. Plant Gas Additions'!$D$7:$D$91,0),MATCH(Calculation!$G454,'Dist. Plant Gas Additions'!$F$5:$AE$5,0))</f>
        <v>3723</v>
      </c>
      <c r="BT454" s="118">
        <f>INDEX('Gen. Plant Additions'!$F$7:$AE$91,MATCH($C454,'Gen. Plant Additions'!$D$7:$D$91,0),MATCH(Calculation!$G454,'Gen. Plant Additions'!$F$5:$AE$5,0))</f>
        <v>1662</v>
      </c>
      <c r="BU454" s="118"/>
      <c r="BV454" s="118"/>
      <c r="BW454" s="118">
        <f>INDEX('Dist Plant Depreciation'!$E$7:$AD$94,MATCH($C454,'Dist Plant Depreciation'!$D$7:$D$94,0),MATCH(Calculation!$G454,'Dist Plant Depreciation'!$E$5:$AD$5,0))</f>
        <v>32965</v>
      </c>
      <c r="BX454" s="118">
        <f>INDEX('Gen. Plant Depreciation'!$E$7:$AD$94,MATCH($C454,'Gen. Plant Depreciation'!$D$7:$D$94,0),MATCH(Calculation!$G454,'Gen. Plant Depreciation'!$E$5:$AD$5,0))</f>
        <v>10536</v>
      </c>
      <c r="BY454" s="118"/>
      <c r="BZ454" s="118"/>
      <c r="CA454" s="118"/>
      <c r="CB454" s="118"/>
      <c r="CC454" s="118"/>
      <c r="CD454" s="118"/>
      <c r="CE454" s="118">
        <f>INDEX('Gross Dx Plant'!$E$7:$AD$91,MATCH($C454,'Gross Dx Plant'!$D$7:$D$91,0),MATCH(Calculation!$G454,'Gross Dx Plant'!$E$5:$AD$5,0))</f>
        <v>98475</v>
      </c>
      <c r="CF454" s="118">
        <f>INDEX('Gross Gen Plant'!$E$7:$AD$91,MATCH($C454,'Gross Gen Plant'!$D$7:$D$91,0),MATCH(Calculation!$G454,'Gross Gen Plant'!$E$5:$AD$5,0))</f>
        <v>20825</v>
      </c>
      <c r="CG454" s="118">
        <f t="shared" si="1177"/>
        <v>75799</v>
      </c>
      <c r="CH454" s="118"/>
      <c r="CI454" s="121">
        <v>2008</v>
      </c>
      <c r="CJ454" s="118"/>
      <c r="CK454" s="118"/>
      <c r="CL454" s="118"/>
      <c r="CM454" s="183"/>
      <c r="CN454" s="118">
        <f t="shared" si="1269"/>
        <v>5385</v>
      </c>
      <c r="CO454" s="118">
        <f t="shared" si="1270"/>
        <v>9.44933780669556</v>
      </c>
      <c r="CP454" s="186">
        <v>0.94252873563218387</v>
      </c>
      <c r="CQ454" s="118">
        <f>+CQ444*CP454+CO445*CP453+CO446*CP452+CO447*CP451+CO448*CP450+CO449*CP449+CO450*CP448+CO451*CP447+CO452*CP446+CO453*CP445+CO454</f>
        <v>391.39641990985939</v>
      </c>
      <c r="CR454" s="119">
        <f t="shared" si="1271"/>
        <v>1.7750556225647817E-2</v>
      </c>
      <c r="CS454" s="119"/>
      <c r="CT454" s="177">
        <f t="shared" si="1272"/>
        <v>6.6659645540732507E-3</v>
      </c>
      <c r="CU454" s="177">
        <f t="shared" si="1280"/>
        <v>6.4453736518111154E-3</v>
      </c>
      <c r="CV454" s="119">
        <f>VLOOKUP($H454,RoR!$E:$F,2,FALSE)</f>
        <v>5.6316666666666668E-2</v>
      </c>
      <c r="CW454" s="177">
        <v>1.9092304698479889E-2</v>
      </c>
      <c r="CX454" s="177">
        <f t="shared" si="1279"/>
        <v>3.7224361968186778E-2</v>
      </c>
      <c r="CY454" s="177">
        <f t="shared" si="1282"/>
        <v>2.4456567956722509E-2</v>
      </c>
      <c r="CZ454" s="177">
        <f t="shared" si="1283"/>
        <v>6.9030581091053131E-2</v>
      </c>
      <c r="DA454" s="187">
        <f t="shared" si="1273"/>
        <v>0.85270312375000001</v>
      </c>
      <c r="DB454" s="188">
        <f t="shared" si="1274"/>
        <v>0.91060168006009956</v>
      </c>
      <c r="DC454" s="188">
        <f t="shared" si="1275"/>
        <v>0.53108168097070152</v>
      </c>
      <c r="DD454" s="188">
        <f t="shared" si="1276"/>
        <v>0.88825329850328805</v>
      </c>
      <c r="DE454" s="188">
        <f t="shared" si="1277"/>
        <v>0.4295627335323573</v>
      </c>
      <c r="DF454" s="189">
        <f>INDEX('State Tax Lookup'!$D$7:$Z$91,MATCH(Calculation!$C454,'State Tax Lookup'!$B$7:$B$91,0),MATCH($H454,'State Tax Lookup'!$D$6:$Z$6,0))</f>
        <v>0.39279166999999998</v>
      </c>
      <c r="DG454" s="189">
        <v>0.375</v>
      </c>
      <c r="DH454" s="190">
        <f t="shared" si="1281"/>
        <v>19.475275278878669</v>
      </c>
      <c r="DI454" s="190">
        <v>19.188436311741462</v>
      </c>
      <c r="DJ454" s="177"/>
      <c r="DK454" s="189">
        <f>VLOOKUP($H454,RoR!$E:$F,2,FALSE)</f>
        <v>5.6316666666666668E-2</v>
      </c>
      <c r="DL454" s="191">
        <f>HLOOKUP($H454,'GDP-PI'!$D$8:$CQ$11,3,FALSE)</f>
        <v>1.9092304698479889E-2</v>
      </c>
      <c r="DM454" s="189">
        <f>VLOOKUP(H454,'HW Dx Data'!$E:$F,2,FALSE)</f>
        <v>569.88120333515076</v>
      </c>
      <c r="DN454" s="183">
        <f>VLOOKUP(H454,'ECI - Input Price'!$G$17:$H$37,2,FALSE)</f>
        <v>108.22499999999999</v>
      </c>
      <c r="DO454" s="177">
        <f t="shared" ref="DO454" si="1312">LN(DN454/DN453)</f>
        <v>2.8111478671409691E-2</v>
      </c>
      <c r="DP454" s="183">
        <f>HLOOKUP(H454,'GDP-PI'!$8:$9,2,FALSE)</f>
        <v>94.263999999999996</v>
      </c>
      <c r="DQ454" s="177">
        <f t="shared" ref="DQ454" si="1313">LN(DP454/DP453)</f>
        <v>1.8912333748032254E-2</v>
      </c>
    </row>
    <row r="455" spans="1:122" s="167" customFormat="1" ht="21" x14ac:dyDescent="0.35">
      <c r="A455" s="167" t="s">
        <v>54</v>
      </c>
      <c r="B455" s="168" t="s">
        <v>54</v>
      </c>
      <c r="C455" s="168">
        <v>4057118</v>
      </c>
      <c r="D455" s="168" t="s">
        <v>141</v>
      </c>
      <c r="E455" s="168"/>
      <c r="F455" s="168"/>
      <c r="G455" s="168" t="s">
        <v>15</v>
      </c>
      <c r="H455" s="169">
        <v>2009</v>
      </c>
      <c r="I455" s="170"/>
      <c r="J455" s="166">
        <f>IFERROR(INDEX('Labor Expenditures'!$F$7:$X$91,MATCH($C455,'Labor Expenditures'!$D$7:$D$91,0),MATCH($G455,'Labor Expenditures'!$F$5:$X$5,0)),"NA")</f>
        <v>3948.8017119965525</v>
      </c>
      <c r="K455" s="166">
        <f t="shared" si="1286"/>
        <v>35.971776014543863</v>
      </c>
      <c r="L455" s="172">
        <f t="shared" si="1293"/>
        <v>4.6308140514749026E-2</v>
      </c>
      <c r="M455" s="172">
        <f t="shared" si="1297"/>
        <v>8.3884697022597069E-5</v>
      </c>
      <c r="N455" s="196"/>
      <c r="O455" s="172"/>
      <c r="P455" s="166">
        <f>IFERROR(INDEX('Non-Labor Expenditures'!$F$7:$AB$91,MATCH($C455,'Non-Labor Expenditures'!$D$7:$D$91,0),MATCH($G455,'Non-Labor Expenditures'!$F$5:$AB$5,0)),"NA")</f>
        <v>5718.6024133956826</v>
      </c>
      <c r="Q455" s="166">
        <f t="shared" si="1287"/>
        <v>60.196448524675866</v>
      </c>
      <c r="R455" s="172">
        <f t="shared" si="1298"/>
        <v>5.2761554816176379E-2</v>
      </c>
      <c r="S455" s="172">
        <f t="shared" si="1303"/>
        <v>9.557470870130206E-5</v>
      </c>
      <c r="T455" s="172"/>
      <c r="U455" s="172"/>
      <c r="V455" s="166">
        <f t="shared" si="1267"/>
        <v>7303.8262236314777</v>
      </c>
      <c r="W455" s="170"/>
      <c r="X455" s="174">
        <v>395.79848162498354</v>
      </c>
      <c r="Y455" s="175">
        <v>1.1184288906479285E-2</v>
      </c>
      <c r="Z455" s="175">
        <f t="shared" si="1304"/>
        <v>2.0259735672919038E-5</v>
      </c>
      <c r="AA455" s="175"/>
      <c r="AB455" s="175"/>
      <c r="AC455" s="170">
        <f t="shared" si="1278"/>
        <v>16971.230349023714</v>
      </c>
      <c r="AD455" s="175">
        <f t="shared" si="1299"/>
        <v>2.2837045491538512E-2</v>
      </c>
      <c r="AE455" s="170"/>
      <c r="AF455" s="170"/>
      <c r="AG455" s="121">
        <f t="shared" si="1300"/>
        <v>472.30207188444371</v>
      </c>
      <c r="AH455" s="119">
        <f>+AZ455/$BB$47</f>
        <v>1.0076187795167086E-3</v>
      </c>
      <c r="AI455" s="119"/>
      <c r="AJ455" s="176">
        <f t="shared" si="1305"/>
        <v>0.47590043723541592</v>
      </c>
      <c r="AK455" s="176">
        <f t="shared" si="1306"/>
        <v>0</v>
      </c>
      <c r="AL455" s="120">
        <f t="shared" si="1288"/>
        <v>0.23267621915365205</v>
      </c>
      <c r="AM455" s="120">
        <f t="shared" si="1289"/>
        <v>0.33695862325766207</v>
      </c>
      <c r="AN455" s="120">
        <f t="shared" si="1290"/>
        <v>0.43036515758868582</v>
      </c>
      <c r="AO455" s="120">
        <f t="shared" si="1294"/>
        <v>3.2956330106376983E-2</v>
      </c>
      <c r="AP455" s="173">
        <f t="shared" si="1310"/>
        <v>110.1195012059712</v>
      </c>
      <c r="AQ455" s="175">
        <f t="shared" si="1311"/>
        <v>3.2956330106376976E-2</v>
      </c>
      <c r="AR455" s="177">
        <f>+AC455/$AE$47</f>
        <v>1.8114460241797012E-3</v>
      </c>
      <c r="AS455" s="177">
        <f t="shared" si="1307"/>
        <v>5.9698613142750361E-5</v>
      </c>
      <c r="AT455" s="177"/>
      <c r="AU455" s="177"/>
      <c r="AV455" s="177"/>
      <c r="AW455" s="190"/>
      <c r="AX455" s="120"/>
      <c r="AY455" s="120"/>
      <c r="AZ455" s="118">
        <f>IFERROR(INDEX('Total Customers'!$F$7:$AB$91,MATCH($C455,'Total Customers'!$D$7:$D$91,0),MATCH($G455,'Total Customers'!$F$5:$AB$5,0)),"NA")</f>
        <v>35933</v>
      </c>
      <c r="BA455" s="119">
        <f t="shared" si="1268"/>
        <v>-1.1620638197230047E-2</v>
      </c>
      <c r="BB455" s="119"/>
      <c r="BC455" s="121"/>
      <c r="BD455" s="119"/>
      <c r="BE455" s="119"/>
      <c r="BF455" s="119"/>
      <c r="BG455" s="173"/>
      <c r="BH455" s="173"/>
      <c r="BI455" s="173"/>
      <c r="BJ455" s="173"/>
      <c r="BK455" s="173"/>
      <c r="BL455" s="173"/>
      <c r="BM455" s="173"/>
      <c r="BN455" s="173"/>
      <c r="BO455" s="173"/>
      <c r="BP455" s="173"/>
      <c r="BQ455" s="118"/>
      <c r="BR455" s="118"/>
      <c r="BS455" s="118">
        <f>INDEX('Dist. Plant Gas Additions'!$F$7:$AE$91,MATCH($C455,'Dist. Plant Gas Additions'!$D$7:$D$91,0),MATCH(Calculation!$G455,'Dist. Plant Gas Additions'!$F$5:$AE$5,0))</f>
        <v>2541</v>
      </c>
      <c r="BT455" s="118">
        <f>INDEX('Gen. Plant Additions'!$F$7:$AE$91,MATCH($C455,'Gen. Plant Additions'!$D$7:$D$91,0),MATCH(Calculation!$G455,'Gen. Plant Additions'!$F$5:$AE$5,0))</f>
        <v>1371</v>
      </c>
      <c r="BU455" s="118"/>
      <c r="BV455" s="118"/>
      <c r="BW455" s="118">
        <f>INDEX('Dist Plant Depreciation'!$E$7:$AD$94,MATCH($C455,'Dist Plant Depreciation'!$D$7:$D$94,0),MATCH(Calculation!$G455,'Dist Plant Depreciation'!$E$5:$AD$5,0))</f>
        <v>33818</v>
      </c>
      <c r="BX455" s="118">
        <f>INDEX('Gen. Plant Depreciation'!$E$7:$AD$94,MATCH($C455,'Gen. Plant Depreciation'!$D$7:$D$94,0),MATCH(Calculation!$G455,'Gen. Plant Depreciation'!$E$5:$AD$5,0))</f>
        <v>10824</v>
      </c>
      <c r="BY455" s="118"/>
      <c r="BZ455" s="118"/>
      <c r="CA455" s="118"/>
      <c r="CB455" s="118"/>
      <c r="CC455" s="118"/>
      <c r="CD455" s="118"/>
      <c r="CE455" s="118">
        <f>INDEX('Gross Dx Plant'!$E$7:$AD$91,MATCH($C455,'Gross Dx Plant'!$D$7:$D$91,0),MATCH(Calculation!$G455,'Gross Dx Plant'!$E$5:$AD$5,0))</f>
        <v>100605</v>
      </c>
      <c r="CF455" s="118">
        <f>INDEX('Gross Gen Plant'!$E$7:$AD$91,MATCH($C455,'Gross Gen Plant'!$D$7:$D$91,0),MATCH(Calculation!$G455,'Gross Gen Plant'!$E$5:$AD$5,0))</f>
        <v>21242</v>
      </c>
      <c r="CG455" s="118">
        <f t="shared" si="1177"/>
        <v>77205</v>
      </c>
      <c r="CH455" s="118"/>
      <c r="CI455" s="121">
        <v>2009</v>
      </c>
      <c r="CJ455" s="118"/>
      <c r="CK455" s="118"/>
      <c r="CL455" s="118"/>
      <c r="CM455" s="183"/>
      <c r="CN455" s="118">
        <f t="shared" si="1269"/>
        <v>3912</v>
      </c>
      <c r="CO455" s="118">
        <f t="shared" si="1270"/>
        <v>7.1005835088580138</v>
      </c>
      <c r="CP455" s="186">
        <v>0.93567251461988299</v>
      </c>
      <c r="CQ455" s="118">
        <f>+CQ444*CP455+CO445*CP454+CO446*CP453+CO447*CP452+CO448*CP451+CO449*CP450+CO450*CP449+CO451*CP448+CO452*CP447+CO453*CP446+CO454*CP445+CO455</f>
        <v>395.79848162498354</v>
      </c>
      <c r="CR455" s="119">
        <f t="shared" si="1271"/>
        <v>1.1184288906479285E-2</v>
      </c>
      <c r="CS455" s="119"/>
      <c r="CT455" s="177">
        <f t="shared" si="1272"/>
        <v>6.8946000945929687E-3</v>
      </c>
      <c r="CU455" s="177">
        <f t="shared" si="1280"/>
        <v>6.6667655560272579E-3</v>
      </c>
      <c r="CV455" s="119">
        <f>VLOOKUP($H455,RoR!$E:$F,2,FALSE)</f>
        <v>5.3133333333333324E-2</v>
      </c>
      <c r="CW455" s="177">
        <v>7.7972502758210105E-3</v>
      </c>
      <c r="CX455" s="177">
        <f t="shared" si="1279"/>
        <v>4.5336083057512314E-2</v>
      </c>
      <c r="CY455" s="177">
        <f t="shared" si="1282"/>
        <v>2.4235176052506368E-2</v>
      </c>
      <c r="CZ455" s="177">
        <f t="shared" si="1283"/>
        <v>6.3720160300892073E-2</v>
      </c>
      <c r="DA455" s="187">
        <f t="shared" si="1273"/>
        <v>0.85270312375000001</v>
      </c>
      <c r="DB455" s="188">
        <f t="shared" si="1274"/>
        <v>0.96515780330083989</v>
      </c>
      <c r="DC455" s="188">
        <f t="shared" si="1275"/>
        <v>0.50448557089084056</v>
      </c>
      <c r="DD455" s="188">
        <f t="shared" si="1276"/>
        <v>0.87391435735465484</v>
      </c>
      <c r="DE455" s="188">
        <f t="shared" si="1277"/>
        <v>0.42551605393279146</v>
      </c>
      <c r="DF455" s="189">
        <f>INDEX('State Tax Lookup'!$D$7:$Z$91,MATCH(Calculation!$C455,'State Tax Lookup'!$B$7:$B$91,0),MATCH($H455,'State Tax Lookup'!$D$6:$Z$6,0))</f>
        <v>0.39279166999999998</v>
      </c>
      <c r="DG455" s="189">
        <v>0.375</v>
      </c>
      <c r="DH455" s="190">
        <f t="shared" si="1281"/>
        <v>18.660942849997419</v>
      </c>
      <c r="DI455" s="190">
        <v>18.316258496881098</v>
      </c>
      <c r="DJ455" s="177"/>
      <c r="DK455" s="189">
        <f>VLOOKUP($H455,RoR!$E:$F,2,FALSE)</f>
        <v>5.3133333333333324E-2</v>
      </c>
      <c r="DL455" s="191">
        <f>HLOOKUP($H455,'GDP-PI'!$D$8:$CQ$11,3,FALSE)</f>
        <v>7.7972502758210105E-3</v>
      </c>
      <c r="DM455" s="189">
        <f>VLOOKUP(H455,'HW Dx Data'!$E:$F,2,FALSE)</f>
        <v>550.94063679692806</v>
      </c>
      <c r="DN455" s="183">
        <f>VLOOKUP(H455,'ECI - Input Price'!$G$17:$H$37,2,FALSE)</f>
        <v>109.77499999999999</v>
      </c>
      <c r="DO455" s="177">
        <f t="shared" ref="DO455" si="1314">LN(DN455/DN454)</f>
        <v>1.4220423119736749E-2</v>
      </c>
      <c r="DP455" s="183">
        <f>HLOOKUP(H455,'GDP-PI'!$8:$9,2,FALSE)</f>
        <v>94.998999999999995</v>
      </c>
      <c r="DQ455" s="177">
        <f t="shared" ref="DQ455" si="1315">LN(DP455/DP454)</f>
        <v>7.7670088183096342E-3</v>
      </c>
    </row>
    <row r="456" spans="1:122" s="167" customFormat="1" ht="21" x14ac:dyDescent="0.35">
      <c r="A456" s="167" t="s">
        <v>54</v>
      </c>
      <c r="B456" s="168" t="s">
        <v>54</v>
      </c>
      <c r="C456" s="168">
        <v>4057118</v>
      </c>
      <c r="D456" s="168" t="s">
        <v>141</v>
      </c>
      <c r="E456" s="168"/>
      <c r="F456" s="168"/>
      <c r="G456" s="168" t="s">
        <v>16</v>
      </c>
      <c r="H456" s="169">
        <v>2010</v>
      </c>
      <c r="I456" s="170"/>
      <c r="J456" s="166">
        <f>IFERROR(INDEX('Labor Expenditures'!$F$7:$X$91,MATCH($C456,'Labor Expenditures'!$D$7:$D$91,0),MATCH($G456,'Labor Expenditures'!$F$5:$X$5,0)),"NA")</f>
        <v>3706.0702635766138</v>
      </c>
      <c r="K456" s="166">
        <f t="shared" si="1286"/>
        <v>33.126885037556328</v>
      </c>
      <c r="L456" s="172">
        <f t="shared" si="1293"/>
        <v>-8.2389441890289211E-2</v>
      </c>
      <c r="M456" s="172">
        <f t="shared" si="1297"/>
        <v>-1.4114475510122761E-4</v>
      </c>
      <c r="N456" s="196"/>
      <c r="O456" s="172"/>
      <c r="P456" s="166">
        <f>IFERROR(INDEX('Non-Labor Expenditures'!$F$7:$AB$91,MATCH($C456,'Non-Labor Expenditures'!$D$7:$D$91,0),MATCH($G456,'Non-Labor Expenditures'!$F$5:$AB$5,0)),"NA")</f>
        <v>5367.0819401026693</v>
      </c>
      <c r="Q456" s="166">
        <f t="shared" si="1287"/>
        <v>55.843697677664629</v>
      </c>
      <c r="R456" s="172">
        <f t="shared" si="1298"/>
        <v>-7.5056680550201205E-2</v>
      </c>
      <c r="S456" s="172">
        <f t="shared" si="1303"/>
        <v>-1.2858269884964305E-4</v>
      </c>
      <c r="T456" s="172"/>
      <c r="U456" s="172"/>
      <c r="V456" s="166">
        <f t="shared" si="1267"/>
        <v>7563.434699918269</v>
      </c>
      <c r="W456" s="170"/>
      <c r="X456" s="174">
        <v>400.28137991093752</v>
      </c>
      <c r="Y456" s="175">
        <v>1.1262552637223438E-2</v>
      </c>
      <c r="Z456" s="175">
        <f t="shared" si="1304"/>
        <v>1.9294343999955541E-5</v>
      </c>
      <c r="AA456" s="175"/>
      <c r="AB456" s="175"/>
      <c r="AC456" s="170">
        <f t="shared" si="1278"/>
        <v>16636.586903597552</v>
      </c>
      <c r="AD456" s="175">
        <f t="shared" si="1299"/>
        <v>-1.9915277645869447E-2</v>
      </c>
      <c r="AE456" s="170"/>
      <c r="AF456" s="170"/>
      <c r="AG456" s="121">
        <f t="shared" si="1300"/>
        <v>464.17753141925596</v>
      </c>
      <c r="AH456" s="119">
        <f>+AZ456/$BB$48</f>
        <v>9.9950609361753586E-4</v>
      </c>
      <c r="AI456" s="119"/>
      <c r="AJ456" s="176">
        <f t="shared" si="1305"/>
        <v>0.46394827117389154</v>
      </c>
      <c r="AK456" s="176">
        <f t="shared" si="1306"/>
        <v>0</v>
      </c>
      <c r="AL456" s="120">
        <f t="shared" si="1288"/>
        <v>0.22276626119599091</v>
      </c>
      <c r="AM456" s="120">
        <f t="shared" si="1289"/>
        <v>0.32260715321013789</v>
      </c>
      <c r="AN456" s="120">
        <f t="shared" si="1290"/>
        <v>0.4546265855938712</v>
      </c>
      <c r="AO456" s="120">
        <f t="shared" si="1294"/>
        <v>-3.8530601732111751E-2</v>
      </c>
      <c r="AP456" s="173">
        <f t="shared" si="1310"/>
        <v>105.95723284605202</v>
      </c>
      <c r="AQ456" s="175">
        <f t="shared" si="1311"/>
        <v>-3.8530601732111779E-2</v>
      </c>
      <c r="AR456" s="177">
        <f>+AC456/$AE$48</f>
        <v>1.7131412941136038E-3</v>
      </c>
      <c r="AS456" s="177">
        <f t="shared" si="1307"/>
        <v>-6.600836491432583E-5</v>
      </c>
      <c r="AT456" s="177"/>
      <c r="AU456" s="177"/>
      <c r="AV456" s="177"/>
      <c r="AW456" s="190"/>
      <c r="AX456" s="120"/>
      <c r="AY456" s="120"/>
      <c r="AZ456" s="118">
        <f>IFERROR(INDEX('Total Customers'!$F$7:$AB$91,MATCH($C456,'Total Customers'!$D$7:$D$91,0),MATCH($G456,'Total Customers'!$F$5:$AB$5,0)),"NA")</f>
        <v>35841</v>
      </c>
      <c r="BA456" s="119">
        <f t="shared" si="1268"/>
        <v>-2.5636038227163632E-3</v>
      </c>
      <c r="BB456" s="119"/>
      <c r="BC456" s="121"/>
      <c r="BD456" s="119"/>
      <c r="BE456" s="119"/>
      <c r="BF456" s="119"/>
      <c r="BG456" s="173"/>
      <c r="BH456" s="173"/>
      <c r="BI456" s="173"/>
      <c r="BJ456" s="173"/>
      <c r="BK456" s="173"/>
      <c r="BL456" s="173"/>
      <c r="BM456" s="173"/>
      <c r="BN456" s="173"/>
      <c r="BO456" s="173"/>
      <c r="BP456" s="173"/>
      <c r="BQ456" s="118"/>
      <c r="BR456" s="118"/>
      <c r="BS456" s="118">
        <f>INDEX('Dist. Plant Gas Additions'!$F$7:$AE$91,MATCH($C456,'Dist. Plant Gas Additions'!$D$7:$D$91,0),MATCH(Calculation!$G456,'Dist. Plant Gas Additions'!$F$5:$AE$5,0))</f>
        <v>2936</v>
      </c>
      <c r="BT456" s="118">
        <f>INDEX('Gen. Plant Additions'!$F$7:$AE$91,MATCH($C456,'Gen. Plant Additions'!$D$7:$D$91,0),MATCH(Calculation!$G456,'Gen. Plant Additions'!$F$5:$AE$5,0))</f>
        <v>1224</v>
      </c>
      <c r="BU456" s="118"/>
      <c r="BV456" s="118"/>
      <c r="BW456" s="118">
        <f>INDEX('Dist Plant Depreciation'!$E$7:$AD$94,MATCH($C456,'Dist Plant Depreciation'!$D$7:$D$94,0),MATCH(Calculation!$G456,'Dist Plant Depreciation'!$E$5:$AD$5,0))</f>
        <v>34617</v>
      </c>
      <c r="BX456" s="118">
        <f>INDEX('Gen. Plant Depreciation'!$E$7:$AD$94,MATCH($C456,'Gen. Plant Depreciation'!$D$7:$D$94,0),MATCH(Calculation!$G456,'Gen. Plant Depreciation'!$E$5:$AD$5,0))</f>
        <v>11570</v>
      </c>
      <c r="BY456" s="118"/>
      <c r="BZ456" s="118"/>
      <c r="CA456" s="118"/>
      <c r="CB456" s="118"/>
      <c r="CC456" s="118"/>
      <c r="CD456" s="118"/>
      <c r="CE456" s="118">
        <f>INDEX('Gross Dx Plant'!$E$7:$AD$91,MATCH($C456,'Gross Dx Plant'!$D$7:$D$91,0),MATCH(Calculation!$G456,'Gross Dx Plant'!$E$5:$AD$5,0))</f>
        <v>103205</v>
      </c>
      <c r="CF456" s="118">
        <f>INDEX('Gross Gen Plant'!$E$7:$AD$91,MATCH($C456,'Gross Gen Plant'!$D$7:$D$91,0),MATCH(Calculation!$G456,'Gross Gen Plant'!$E$5:$AD$5,0))</f>
        <v>21966</v>
      </c>
      <c r="CG456" s="118">
        <f t="shared" si="1177"/>
        <v>78984</v>
      </c>
      <c r="CH456" s="118"/>
      <c r="CI456" s="121">
        <v>2010</v>
      </c>
      <c r="CJ456" s="118"/>
      <c r="CK456" s="118"/>
      <c r="CL456" s="118"/>
      <c r="CM456" s="183"/>
      <c r="CN456" s="118">
        <f t="shared" si="1269"/>
        <v>4160</v>
      </c>
      <c r="CO456" s="118">
        <f t="shared" si="1270"/>
        <v>7.3112069392732053</v>
      </c>
      <c r="CP456" s="186">
        <v>0.9285714285714286</v>
      </c>
      <c r="CQ456" s="118">
        <f>+CQ444*CP456+CO445*CP455+CO446*CP454+CO447*CP453+CO448*CP452+CO449*CP451+CO450*CP450+CO451*CP449+CO452*CP448+CO453*CP447+CO454*CP446+CO455*CP445+CO456</f>
        <v>400.28137991093752</v>
      </c>
      <c r="CR456" s="119">
        <f t="shared" si="1271"/>
        <v>1.1262552637223438E-2</v>
      </c>
      <c r="CS456" s="119"/>
      <c r="CT456" s="177">
        <f t="shared" si="1272"/>
        <v>7.145829973140296E-3</v>
      </c>
      <c r="CU456" s="177">
        <f t="shared" si="1280"/>
        <v>6.9021315406021721E-3</v>
      </c>
      <c r="CV456" s="119">
        <f>VLOOKUP($H456,RoR!$E:$F,2,FALSE)</f>
        <v>4.9433333333333322E-2</v>
      </c>
      <c r="CW456" s="177">
        <v>1.1684333519300205E-2</v>
      </c>
      <c r="CX456" s="177">
        <f t="shared" si="1279"/>
        <v>3.7748999814033117E-2</v>
      </c>
      <c r="CY456" s="177">
        <f t="shared" si="1282"/>
        <v>2.3999810067931452E-2</v>
      </c>
      <c r="CZ456" s="177">
        <f t="shared" si="1283"/>
        <v>4.7937530248493419E-2</v>
      </c>
      <c r="DA456" s="187">
        <f t="shared" si="1273"/>
        <v>0.85270312375000001</v>
      </c>
      <c r="DB456" s="188">
        <f t="shared" si="1274"/>
        <v>1.037398205301105</v>
      </c>
      <c r="DC456" s="188">
        <f t="shared" si="1275"/>
        <v>0.46926837491571133</v>
      </c>
      <c r="DD456" s="188">
        <f t="shared" si="1276"/>
        <v>0.8548537519972772</v>
      </c>
      <c r="DE456" s="188">
        <f t="shared" si="1277"/>
        <v>0.41615833911547367</v>
      </c>
      <c r="DF456" s="189">
        <f>INDEX('State Tax Lookup'!$D$7:$Z$91,MATCH(Calculation!$C456,'State Tax Lookup'!$B$7:$B$91,0),MATCH($H456,'State Tax Lookup'!$D$6:$Z$6,0))</f>
        <v>0.39279166999999998</v>
      </c>
      <c r="DG456" s="189">
        <v>0.375</v>
      </c>
      <c r="DH456" s="190">
        <f t="shared" si="1281"/>
        <v>19.109307011148601</v>
      </c>
      <c r="DI456" s="190">
        <v>18.772884863317596</v>
      </c>
      <c r="DJ456" s="177"/>
      <c r="DK456" s="189">
        <f>VLOOKUP($H456,RoR!$E:$F,2,FALSE)</f>
        <v>4.9433333333333322E-2</v>
      </c>
      <c r="DL456" s="191">
        <f>HLOOKUP($H456,'GDP-PI'!$D$8:$CQ$11,3,FALSE)</f>
        <v>1.1684333519300205E-2</v>
      </c>
      <c r="DM456" s="189">
        <f>VLOOKUP(H456,'HW Dx Data'!$E:$F,2,FALSE)</f>
        <v>568.98950262971744</v>
      </c>
      <c r="DN456" s="183">
        <f>VLOOKUP(H456,'ECI - Input Price'!$G$17:$H$37,2,FALSE)</f>
        <v>111.875</v>
      </c>
      <c r="DO456" s="177">
        <f t="shared" ref="DO456" si="1316">LN(DN456/DN455)</f>
        <v>1.8949360147238387E-2</v>
      </c>
      <c r="DP456" s="183">
        <f>HLOOKUP(H456,'GDP-PI'!$8:$9,2,FALSE)</f>
        <v>96.108999999999995</v>
      </c>
      <c r="DQ456" s="177">
        <f t="shared" ref="DQ456" si="1317">LN(DP456/DP455)</f>
        <v>1.1616598807150427E-2</v>
      </c>
    </row>
    <row r="457" spans="1:122" s="167" customFormat="1" ht="21" x14ac:dyDescent="0.35">
      <c r="A457" s="167" t="s">
        <v>54</v>
      </c>
      <c r="B457" s="168" t="s">
        <v>54</v>
      </c>
      <c r="C457" s="168">
        <v>4057118</v>
      </c>
      <c r="D457" s="168" t="s">
        <v>141</v>
      </c>
      <c r="E457" s="168"/>
      <c r="F457" s="168"/>
      <c r="G457" s="168" t="s">
        <v>17</v>
      </c>
      <c r="H457" s="169">
        <v>2011</v>
      </c>
      <c r="I457" s="170"/>
      <c r="J457" s="166">
        <f>IFERROR(INDEX('Labor Expenditures'!$F$7:$X$91,MATCH($C457,'Labor Expenditures'!$D$7:$D$91,0),MATCH($G457,'Labor Expenditures'!$F$5:$X$5,0)),"NA")</f>
        <v>3452.4116378390017</v>
      </c>
      <c r="K457" s="166">
        <f t="shared" si="1286"/>
        <v>30.204826227812788</v>
      </c>
      <c r="L457" s="172">
        <f t="shared" si="1293"/>
        <v>-9.2343469000689196E-2</v>
      </c>
      <c r="M457" s="172">
        <f t="shared" si="1297"/>
        <v>-1.5033952061153054E-4</v>
      </c>
      <c r="N457" s="196"/>
      <c r="O457" s="172"/>
      <c r="P457" s="166">
        <f>IFERROR(INDEX('Non-Labor Expenditures'!$F$7:$AB$91,MATCH($C457,'Non-Labor Expenditures'!$D$7:$D$91,0),MATCH($G457,'Non-Labor Expenditures'!$F$5:$AB$5,0)),"NA")</f>
        <v>4999.736873138464</v>
      </c>
      <c r="Q457" s="166">
        <f t="shared" si="1287"/>
        <v>50.959483785250164</v>
      </c>
      <c r="R457" s="172">
        <f t="shared" si="1298"/>
        <v>-9.152579400779294E-2</v>
      </c>
      <c r="S457" s="172">
        <f t="shared" si="1303"/>
        <v>-1.4900830717783182E-4</v>
      </c>
      <c r="T457" s="172"/>
      <c r="U457" s="172"/>
      <c r="V457" s="166">
        <f t="shared" si="1267"/>
        <v>8152.0611570776573</v>
      </c>
      <c r="W457" s="170"/>
      <c r="X457" s="174">
        <v>404.82578359851698</v>
      </c>
      <c r="Y457" s="175">
        <v>1.1289061024703118E-2</v>
      </c>
      <c r="Z457" s="175">
        <f t="shared" si="1304"/>
        <v>1.8379123515443348E-5</v>
      </c>
      <c r="AA457" s="175"/>
      <c r="AB457" s="175"/>
      <c r="AC457" s="170">
        <f t="shared" si="1278"/>
        <v>16604.209668055122</v>
      </c>
      <c r="AD457" s="175">
        <f t="shared" si="1299"/>
        <v>-1.9480427138133412E-3</v>
      </c>
      <c r="AE457" s="170"/>
      <c r="AF457" s="170"/>
      <c r="AG457" s="121">
        <f t="shared" si="1300"/>
        <v>467.89555803689018</v>
      </c>
      <c r="AH457" s="119">
        <f>+AZ457/$BB$49</f>
        <v>9.8482302690863148E-4</v>
      </c>
      <c r="AI457" s="119"/>
      <c r="AJ457" s="176">
        <f t="shared" si="1305"/>
        <v>0.46079431974299345</v>
      </c>
      <c r="AK457" s="176">
        <f t="shared" si="1306"/>
        <v>0</v>
      </c>
      <c r="AL457" s="120">
        <f t="shared" si="1288"/>
        <v>0.20792387634571396</v>
      </c>
      <c r="AM457" s="120">
        <f t="shared" si="1289"/>
        <v>0.30111260777183929</v>
      </c>
      <c r="AN457" s="120">
        <f t="shared" si="1290"/>
        <v>0.4909635158824468</v>
      </c>
      <c r="AO457" s="120">
        <f t="shared" si="1294"/>
        <v>-4.3091521683644954E-2</v>
      </c>
      <c r="AP457" s="173">
        <f t="shared" si="1310"/>
        <v>101.48835139337059</v>
      </c>
      <c r="AQ457" s="175">
        <f t="shared" si="1311"/>
        <v>-4.3091521683644905E-2</v>
      </c>
      <c r="AR457" s="177">
        <f>+AC457/$AE$49</f>
        <v>1.6280471400788345E-3</v>
      </c>
      <c r="AS457" s="177">
        <f t="shared" si="1307"/>
        <v>-7.0155028638703166E-5</v>
      </c>
      <c r="AT457" s="177"/>
      <c r="AU457" s="177"/>
      <c r="AV457" s="177"/>
      <c r="AW457" s="190"/>
      <c r="AX457" s="120"/>
      <c r="AY457" s="120"/>
      <c r="AZ457" s="118">
        <f>IFERROR(INDEX('Total Customers'!$F$7:$AB$91,MATCH($C457,'Total Customers'!$D$7:$D$91,0),MATCH($G457,'Total Customers'!$F$5:$AB$5,0)),"NA")</f>
        <v>35487</v>
      </c>
      <c r="BA457" s="119">
        <f t="shared" si="1268"/>
        <v>-9.926057271486868E-3</v>
      </c>
      <c r="BB457" s="119"/>
      <c r="BC457" s="121"/>
      <c r="BD457" s="119"/>
      <c r="BE457" s="119"/>
      <c r="BF457" s="119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18"/>
      <c r="BR457" s="118"/>
      <c r="BS457" s="118">
        <f>INDEX('Dist. Plant Gas Additions'!$F$7:$AE$91,MATCH($C457,'Dist. Plant Gas Additions'!$D$7:$D$91,0),MATCH(Calculation!$G457,'Dist. Plant Gas Additions'!$F$5:$AE$5,0))</f>
        <v>3005</v>
      </c>
      <c r="BT457" s="118">
        <f>INDEX('Gen. Plant Additions'!$F$7:$AE$91,MATCH($C457,'Gen. Plant Additions'!$D$7:$D$91,0),MATCH(Calculation!$G457,'Gen. Plant Additions'!$F$5:$AE$5,0))</f>
        <v>1588</v>
      </c>
      <c r="BU457" s="118"/>
      <c r="BV457" s="118"/>
      <c r="BW457" s="118">
        <f>INDEX('Dist Plant Depreciation'!$E$7:$AD$94,MATCH($C457,'Dist Plant Depreciation'!$D$7:$D$94,0),MATCH(Calculation!$G457,'Dist Plant Depreciation'!$E$5:$AD$5,0))</f>
        <v>36923</v>
      </c>
      <c r="BX457" s="118">
        <f>INDEX('Gen. Plant Depreciation'!$E$7:$AD$94,MATCH($C457,'Gen. Plant Depreciation'!$D$7:$D$94,0),MATCH(Calculation!$G457,'Gen. Plant Depreciation'!$E$5:$AD$5,0))</f>
        <v>11912</v>
      </c>
      <c r="BY457" s="118"/>
      <c r="BZ457" s="118"/>
      <c r="CA457" s="118"/>
      <c r="CB457" s="118"/>
      <c r="CC457" s="118"/>
      <c r="CD457" s="118"/>
      <c r="CE457" s="118">
        <f>INDEX('Gross Dx Plant'!$E$7:$AD$91,MATCH($C457,'Gross Dx Plant'!$D$7:$D$91,0),MATCH(Calculation!$G457,'Gross Dx Plant'!$E$5:$AD$5,0))</f>
        <v>105608</v>
      </c>
      <c r="CF457" s="118">
        <f>INDEX('Gross Gen Plant'!$E$7:$AD$91,MATCH($C457,'Gross Gen Plant'!$D$7:$D$91,0),MATCH(Calculation!$G457,'Gross Gen Plant'!$E$5:$AD$5,0))</f>
        <v>22579</v>
      </c>
      <c r="CG457" s="118">
        <f t="shared" si="1177"/>
        <v>79352</v>
      </c>
      <c r="CH457" s="118"/>
      <c r="CI457" s="121">
        <v>2011</v>
      </c>
      <c r="CJ457" s="118"/>
      <c r="CK457" s="118"/>
      <c r="CL457" s="118"/>
      <c r="CM457" s="183"/>
      <c r="CN457" s="118">
        <f t="shared" si="1269"/>
        <v>4593</v>
      </c>
      <c r="CO457" s="118">
        <f t="shared" si="1270"/>
        <v>7.5096740872038916</v>
      </c>
      <c r="CP457" s="186">
        <v>0.92121212121212126</v>
      </c>
      <c r="CQ457" s="118">
        <f>+CQ444*CP457+CO445*CP456+CO446*CP455+CO447*CP454+CO448*CP453+CO449*CP452+CO450*CP451+CO451*CP450+CO452*CP449+CO453*CP448+CO454*CP447+CO455*CP446+CO456*CP445+CO457</f>
        <v>404.82578359851698</v>
      </c>
      <c r="CR457" s="119">
        <f t="shared" si="1271"/>
        <v>1.1289061024703118E-2</v>
      </c>
      <c r="CS457" s="119"/>
      <c r="CT457" s="177">
        <f t="shared" si="1272"/>
        <v>7.4079648678242356E-3</v>
      </c>
      <c r="CU457" s="177">
        <f t="shared" si="1280"/>
        <v>7.1494649785191671E-3</v>
      </c>
      <c r="CV457" s="119">
        <f>VLOOKUP($H457,RoR!$E:$F,2,FALSE)</f>
        <v>4.6391666666666664E-2</v>
      </c>
      <c r="CW457" s="177">
        <v>2.0840920205183799E-2</v>
      </c>
      <c r="CX457" s="177">
        <f t="shared" si="1279"/>
        <v>2.5550746461482865E-2</v>
      </c>
      <c r="CY457" s="177">
        <f t="shared" si="1282"/>
        <v>2.3752476630014459E-2</v>
      </c>
      <c r="CZ457" s="177">
        <f t="shared" si="1283"/>
        <v>2.4810540821321614E-2</v>
      </c>
      <c r="DA457" s="187">
        <f t="shared" si="1273"/>
        <v>0.85270312375000001</v>
      </c>
      <c r="DB457" s="188">
        <f t="shared" si="1274"/>
        <v>1.1054151524782025</v>
      </c>
      <c r="DC457" s="188">
        <f t="shared" si="1275"/>
        <v>0.43611011316687626</v>
      </c>
      <c r="DD457" s="188">
        <f t="shared" si="1276"/>
        <v>0.83698442246886229</v>
      </c>
      <c r="DE457" s="188">
        <f t="shared" si="1277"/>
        <v>0.40349573304423936</v>
      </c>
      <c r="DF457" s="189">
        <f>INDEX('State Tax Lookup'!$D$7:$Z$91,MATCH(Calculation!$C457,'State Tax Lookup'!$B$7:$B$91,0),MATCH($H457,'State Tax Lookup'!$D$6:$Z$6,0))</f>
        <v>0.39279166999999998</v>
      </c>
      <c r="DG457" s="189">
        <v>0.375</v>
      </c>
      <c r="DH457" s="190">
        <f t="shared" si="1281"/>
        <v>20.365826556537524</v>
      </c>
      <c r="DI457" s="190">
        <v>19.998556962148598</v>
      </c>
      <c r="DJ457" s="177"/>
      <c r="DK457" s="189">
        <f>VLOOKUP($H457,RoR!$E:$F,2,FALSE)</f>
        <v>4.6391666666666664E-2</v>
      </c>
      <c r="DL457" s="191">
        <f>HLOOKUP($H457,'GDP-PI'!$D$8:$CQ$11,3,FALSE)</f>
        <v>2.0840920205183799E-2</v>
      </c>
      <c r="DM457" s="189">
        <f>VLOOKUP(H457,'HW Dx Data'!$E:$F,2,FALSE)</f>
        <v>611.61109612283201</v>
      </c>
      <c r="DN457" s="183">
        <f>VLOOKUP(H457,'ECI - Input Price'!$G$17:$H$37,2,FALSE)</f>
        <v>114.3</v>
      </c>
      <c r="DO457" s="177">
        <f t="shared" ref="DO457" si="1318">LN(DN457/DN456)</f>
        <v>2.1444394205745516E-2</v>
      </c>
      <c r="DP457" s="183">
        <f>HLOOKUP(H457,'GDP-PI'!$8:$9,2,FALSE)</f>
        <v>98.111999999999995</v>
      </c>
      <c r="DQ457" s="177">
        <f t="shared" ref="DQ457" si="1319">LN(DP457/DP456)</f>
        <v>2.0626719212849295E-2</v>
      </c>
    </row>
    <row r="458" spans="1:122" s="167" customFormat="1" ht="21" x14ac:dyDescent="0.35">
      <c r="A458" s="167" t="s">
        <v>54</v>
      </c>
      <c r="B458" s="168" t="s">
        <v>54</v>
      </c>
      <c r="C458" s="168">
        <v>4057118</v>
      </c>
      <c r="D458" s="168" t="s">
        <v>141</v>
      </c>
      <c r="E458" s="168"/>
      <c r="F458" s="168"/>
      <c r="G458" s="168" t="s">
        <v>18</v>
      </c>
      <c r="H458" s="169">
        <v>2012</v>
      </c>
      <c r="I458" s="170"/>
      <c r="J458" s="166">
        <f>IFERROR(INDEX('Labor Expenditures'!$F$7:$X$91,MATCH($C458,'Labor Expenditures'!$D$7:$D$91,0),MATCH($G458,'Labor Expenditures'!$F$5:$X$5,0)),"NA")</f>
        <v>3593.3008416124089</v>
      </c>
      <c r="K458" s="166">
        <f t="shared" si="1286"/>
        <v>30.843784048175184</v>
      </c>
      <c r="L458" s="172">
        <f t="shared" si="1293"/>
        <v>2.0933520044630161E-2</v>
      </c>
      <c r="M458" s="172">
        <f t="shared" si="1297"/>
        <v>3.4656045771952284E-5</v>
      </c>
      <c r="N458" s="196"/>
      <c r="O458" s="172"/>
      <c r="P458" s="166">
        <f>IFERROR(INDEX('Non-Labor Expenditures'!$F$7:$AB$91,MATCH($C458,'Non-Labor Expenditures'!$D$7:$D$91,0),MATCH($G458,'Non-Labor Expenditures'!$F$5:$AB$5,0)),"NA")</f>
        <v>5203.7707546758174</v>
      </c>
      <c r="Q458" s="166">
        <f t="shared" si="1287"/>
        <v>52.037707546758178</v>
      </c>
      <c r="R458" s="172">
        <f t="shared" si="1298"/>
        <v>2.0937719510877872E-2</v>
      </c>
      <c r="S458" s="172">
        <f t="shared" si="1303"/>
        <v>3.4662998109360808E-5</v>
      </c>
      <c r="T458" s="172"/>
      <c r="U458" s="172"/>
      <c r="V458" s="166">
        <f t="shared" si="1267"/>
        <v>8894.6159779613154</v>
      </c>
      <c r="W458" s="170"/>
      <c r="X458" s="174">
        <v>410.92487118645147</v>
      </c>
      <c r="Y458" s="175">
        <v>1.4953592015172101E-2</v>
      </c>
      <c r="Z458" s="175">
        <f t="shared" si="1304"/>
        <v>2.4756102567940589E-5</v>
      </c>
      <c r="AA458" s="175"/>
      <c r="AB458" s="175"/>
      <c r="AC458" s="170">
        <f t="shared" si="1278"/>
        <v>17691.687574249539</v>
      </c>
      <c r="AD458" s="175">
        <f t="shared" si="1299"/>
        <v>6.3438643022265331E-2</v>
      </c>
      <c r="AE458" s="170"/>
      <c r="AF458" s="170"/>
      <c r="AG458" s="121">
        <f t="shared" si="1300"/>
        <v>505.1881089163204</v>
      </c>
      <c r="AH458" s="119">
        <f>+AZ458/$BB$50</f>
        <v>9.6718626524800984E-4</v>
      </c>
      <c r="AI458" s="119"/>
      <c r="AJ458" s="176">
        <f t="shared" si="1305"/>
        <v>0.48861100031048077</v>
      </c>
      <c r="AK458" s="176">
        <f t="shared" si="1306"/>
        <v>0</v>
      </c>
      <c r="AL458" s="120">
        <f t="shared" si="1288"/>
        <v>0.20310673170842677</v>
      </c>
      <c r="AM458" s="120">
        <f t="shared" si="1289"/>
        <v>0.29413648261853592</v>
      </c>
      <c r="AN458" s="120">
        <f t="shared" si="1290"/>
        <v>0.50275678567303739</v>
      </c>
      <c r="AO458" s="120">
        <f t="shared" si="1294"/>
        <v>1.7963581966505621E-2</v>
      </c>
      <c r="AP458" s="173">
        <f t="shared" si="1310"/>
        <v>103.32791885543635</v>
      </c>
      <c r="AQ458" s="175">
        <f t="shared" si="1311"/>
        <v>1.7963581966505725E-2</v>
      </c>
      <c r="AR458" s="177">
        <f>+AC458/$AE$50</f>
        <v>1.6555288216251144E-3</v>
      </c>
      <c r="AS458" s="177">
        <f t="shared" si="1307"/>
        <v>2.9739227685175378E-5</v>
      </c>
      <c r="AT458" s="177"/>
      <c r="AU458" s="177"/>
      <c r="AV458" s="177"/>
      <c r="AW458" s="190"/>
      <c r="AX458" s="120"/>
      <c r="AY458" s="120"/>
      <c r="AZ458" s="118">
        <f>IFERROR(INDEX('Total Customers'!$F$7:$AB$91,MATCH($C458,'Total Customers'!$D$7:$D$91,0),MATCH($G458,'Total Customers'!$F$5:$AB$5,0)),"NA")</f>
        <v>35020</v>
      </c>
      <c r="BA458" s="119">
        <f t="shared" si="1268"/>
        <v>-1.3247105374003738E-2</v>
      </c>
      <c r="BB458" s="119"/>
      <c r="BC458" s="121"/>
      <c r="BD458" s="119"/>
      <c r="BE458" s="119"/>
      <c r="BF458" s="119"/>
      <c r="BG458" s="173"/>
      <c r="BH458" s="173"/>
      <c r="BI458" s="173"/>
      <c r="BJ458" s="173"/>
      <c r="BK458" s="173"/>
      <c r="BL458" s="173"/>
      <c r="BM458" s="173"/>
      <c r="BN458" s="173"/>
      <c r="BO458" s="173"/>
      <c r="BP458" s="173"/>
      <c r="BQ458" s="118"/>
      <c r="BR458" s="118"/>
      <c r="BS458" s="118">
        <f>INDEX('Dist. Plant Gas Additions'!$F$7:$AE$91,MATCH($C458,'Dist. Plant Gas Additions'!$D$7:$D$91,0),MATCH(Calculation!$G458,'Dist. Plant Gas Additions'!$F$5:$AE$5,0))</f>
        <v>5470</v>
      </c>
      <c r="BT458" s="118">
        <f>INDEX('Gen. Plant Additions'!$F$7:$AE$91,MATCH($C458,'Gen. Plant Additions'!$D$7:$D$91,0),MATCH(Calculation!$G458,'Gen. Plant Additions'!$F$5:$AE$5,0))</f>
        <v>690</v>
      </c>
      <c r="BU458" s="118"/>
      <c r="BV458" s="118"/>
      <c r="BW458" s="118">
        <f>INDEX('Dist Plant Depreciation'!$E$7:$AD$94,MATCH($C458,'Dist Plant Depreciation'!$D$7:$D$94,0),MATCH(Calculation!$G458,'Dist Plant Depreciation'!$E$5:$AD$5,0))</f>
        <v>39126</v>
      </c>
      <c r="BX458" s="118">
        <f>INDEX('Gen. Plant Depreciation'!$E$7:$AD$94,MATCH($C458,'Gen. Plant Depreciation'!$D$7:$D$94,0),MATCH(Calculation!$G458,'Gen. Plant Depreciation'!$E$5:$AD$5,0))</f>
        <v>12517</v>
      </c>
      <c r="BY458" s="118"/>
      <c r="BZ458" s="118"/>
      <c r="CA458" s="118"/>
      <c r="CB458" s="118"/>
      <c r="CC458" s="118"/>
      <c r="CD458" s="118"/>
      <c r="CE458" s="118">
        <f>INDEX('Gross Dx Plant'!$E$7:$AD$91,MATCH($C458,'Gross Dx Plant'!$D$7:$D$91,0),MATCH(Calculation!$G458,'Gross Dx Plant'!$E$5:$AD$5,0))</f>
        <v>110523</v>
      </c>
      <c r="CF458" s="118">
        <f>INDEX('Gross Gen Plant'!$E$7:$AD$91,MATCH($C458,'Gross Gen Plant'!$D$7:$D$91,0),MATCH(Calculation!$G458,'Gross Gen Plant'!$E$5:$AD$5,0))</f>
        <v>22596</v>
      </c>
      <c r="CG458" s="118">
        <f t="shared" si="1177"/>
        <v>81476</v>
      </c>
      <c r="CH458" s="118"/>
      <c r="CI458" s="121">
        <v>2012</v>
      </c>
      <c r="CJ458" s="118"/>
      <c r="CK458" s="118"/>
      <c r="CL458" s="118"/>
      <c r="CM458" s="183"/>
      <c r="CN458" s="118">
        <f t="shared" si="1269"/>
        <v>6160</v>
      </c>
      <c r="CO458" s="118">
        <f t="shared" si="1270"/>
        <v>9.2088833381955748</v>
      </c>
      <c r="CP458" s="186">
        <v>0.9135802469135802</v>
      </c>
      <c r="CQ458" s="118">
        <f>+CQ444*CP458+CO445*CP457+CO446*CP456+CO447*CP455+CO448*CP454+CO449*CP453+CO450*CP452+CO451*CP451+CO452*CP450+CO453*CP449+CO454*CP448+CO455*CP447+CO456*CP446+CO457*CP445+CO458</f>
        <v>410.92487118645147</v>
      </c>
      <c r="CR458" s="119">
        <f t="shared" si="1271"/>
        <v>1.4953592015172101E-2</v>
      </c>
      <c r="CS458" s="119"/>
      <c r="CT458" s="177">
        <f t="shared" si="1272"/>
        <v>7.6818124641616229E-3</v>
      </c>
      <c r="CU458" s="177">
        <f t="shared" si="1280"/>
        <v>7.4118691017087185E-3</v>
      </c>
      <c r="CV458" s="119">
        <f>VLOOKUP($H458,RoR!$E:$F,2,FALSE)</f>
        <v>3.6733333333333333E-2</v>
      </c>
      <c r="CW458" s="177">
        <v>1.924331376386168E-2</v>
      </c>
      <c r="CX458" s="177">
        <f t="shared" si="1279"/>
        <v>1.7490019569471653E-2</v>
      </c>
      <c r="CY458" s="177">
        <f t="shared" si="1282"/>
        <v>2.3490072506824906E-2</v>
      </c>
      <c r="CZ458" s="177">
        <f t="shared" si="1283"/>
        <v>6.7122682943869583E-2</v>
      </c>
      <c r="DA458" s="187">
        <f t="shared" si="1273"/>
        <v>0.85270312375000001</v>
      </c>
      <c r="DB458" s="188">
        <f t="shared" si="1274"/>
        <v>1.3960631020522127</v>
      </c>
      <c r="DC458" s="188">
        <f t="shared" si="1275"/>
        <v>0.29441923774954631</v>
      </c>
      <c r="DD458" s="188">
        <f t="shared" si="1276"/>
        <v>0.76377954189366437</v>
      </c>
      <c r="DE458" s="188">
        <f t="shared" si="1277"/>
        <v>0.31393465103033691</v>
      </c>
      <c r="DF458" s="189">
        <f>INDEX('State Tax Lookup'!$D$7:$Z$91,MATCH(Calculation!$C458,'State Tax Lookup'!$B$7:$B$91,0),MATCH($H458,'State Tax Lookup'!$D$6:$Z$6,0))</f>
        <v>0.39279166999999998</v>
      </c>
      <c r="DG458" s="189">
        <v>0.375</v>
      </c>
      <c r="DH458" s="190">
        <f t="shared" si="1281"/>
        <v>21.971466093134239</v>
      </c>
      <c r="DI458" s="190">
        <v>21.610003351684163</v>
      </c>
      <c r="DJ458" s="177"/>
      <c r="DK458" s="189">
        <f>VLOOKUP($H458,RoR!$E:$F,2,FALSE)</f>
        <v>3.6733333333333333E-2</v>
      </c>
      <c r="DL458" s="191">
        <f>HLOOKUP($H458,'GDP-PI'!$D$8:$CQ$11,3,FALSE)</f>
        <v>1.924331376386168E-2</v>
      </c>
      <c r="DM458" s="189">
        <f>VLOOKUP(H458,'HW Dx Data'!$E:$F,2,FALSE)</f>
        <v>668.91932211262167</v>
      </c>
      <c r="DN458" s="183">
        <f>VLOOKUP(H458,'ECI - Input Price'!$G$17:$H$37,2,FALSE)</f>
        <v>116.5</v>
      </c>
      <c r="DO458" s="177">
        <f t="shared" ref="DO458" si="1320">LN(DN458/DN457)</f>
        <v>1.9064702204990347E-2</v>
      </c>
      <c r="DP458" s="183">
        <f>HLOOKUP(H458,'GDP-PI'!$8:$9,2,FALSE)</f>
        <v>100</v>
      </c>
      <c r="DQ458" s="177">
        <f t="shared" ref="DQ458" si="1321">LN(DP458/DP457)</f>
        <v>1.9060502738742411E-2</v>
      </c>
    </row>
    <row r="459" spans="1:122" s="167" customFormat="1" ht="21" x14ac:dyDescent="0.35">
      <c r="A459" s="167" t="s">
        <v>54</v>
      </c>
      <c r="B459" s="168" t="s">
        <v>54</v>
      </c>
      <c r="C459" s="168">
        <v>4057118</v>
      </c>
      <c r="D459" s="168" t="s">
        <v>141</v>
      </c>
      <c r="E459" s="168"/>
      <c r="F459" s="168"/>
      <c r="G459" s="168" t="s">
        <v>19</v>
      </c>
      <c r="H459" s="169">
        <v>2013</v>
      </c>
      <c r="I459" s="170"/>
      <c r="J459" s="166">
        <f>IFERROR(INDEX('Labor Expenditures'!$F$7:$X$91,MATCH($C459,'Labor Expenditures'!$D$7:$D$91,0),MATCH($G459,'Labor Expenditures'!$F$5:$X$5,0)),"NA")</f>
        <v>3639.1716092944903</v>
      </c>
      <c r="K459" s="166">
        <f t="shared" si="1286"/>
        <v>30.652108732739443</v>
      </c>
      <c r="L459" s="172">
        <f t="shared" si="1293"/>
        <v>-6.2337800941274371E-3</v>
      </c>
      <c r="M459" s="172">
        <f t="shared" si="1297"/>
        <v>-9.9907746302830248E-6</v>
      </c>
      <c r="N459" s="196"/>
      <c r="O459" s="172"/>
      <c r="P459" s="166">
        <f>IFERROR(INDEX('Non-Labor Expenditures'!$F$7:$AB$91,MATCH($C459,'Non-Labor Expenditures'!$D$7:$D$91,0),MATCH($G459,'Non-Labor Expenditures'!$F$5:$AB$5,0)),"NA")</f>
        <v>5270.2001937570803</v>
      </c>
      <c r="Q459" s="166">
        <f t="shared" si="1287"/>
        <v>51.783873854136957</v>
      </c>
      <c r="R459" s="172">
        <f t="shared" si="1298"/>
        <v>-4.8898156812077704E-3</v>
      </c>
      <c r="S459" s="172">
        <f t="shared" si="1303"/>
        <v>-7.8368254440981894E-6</v>
      </c>
      <c r="T459" s="172"/>
      <c r="U459" s="172"/>
      <c r="V459" s="166">
        <f t="shared" si="1267"/>
        <v>8856.162172341983</v>
      </c>
      <c r="W459" s="170"/>
      <c r="X459" s="174">
        <v>415.13036297008205</v>
      </c>
      <c r="Y459" s="175">
        <v>1.0182195921316251E-2</v>
      </c>
      <c r="Z459" s="175">
        <f t="shared" si="1304"/>
        <v>1.631883434372205E-5</v>
      </c>
      <c r="AA459" s="175"/>
      <c r="AB459" s="175"/>
      <c r="AC459" s="170">
        <f t="shared" si="1278"/>
        <v>17765.533975393555</v>
      </c>
      <c r="AD459" s="175">
        <f t="shared" si="1299"/>
        <v>4.1653860448650258E-3</v>
      </c>
      <c r="AE459" s="170"/>
      <c r="AF459" s="170"/>
      <c r="AG459" s="121">
        <f t="shared" si="1300"/>
        <v>508.95358893581493</v>
      </c>
      <c r="AH459" s="119">
        <f>+AZ459/$BB$51</f>
        <v>9.5787440294965991E-4</v>
      </c>
      <c r="AI459" s="119"/>
      <c r="AJ459" s="176">
        <f t="shared" si="1305"/>
        <v>0.48751361513098035</v>
      </c>
      <c r="AK459" s="176">
        <f t="shared" si="1306"/>
        <v>0</v>
      </c>
      <c r="AL459" s="120">
        <f t="shared" si="1288"/>
        <v>0.20484448226183263</v>
      </c>
      <c r="AM459" s="120">
        <f t="shared" si="1289"/>
        <v>0.29665306998690033</v>
      </c>
      <c r="AN459" s="120">
        <f t="shared" si="1290"/>
        <v>0.4985024477512669</v>
      </c>
      <c r="AO459" s="120">
        <f t="shared" si="1294"/>
        <v>2.3815437535532375E-3</v>
      </c>
      <c r="AP459" s="173">
        <f t="shared" si="1310"/>
        <v>103.57429207300557</v>
      </c>
      <c r="AQ459" s="175">
        <f t="shared" si="1311"/>
        <v>2.3815437535532821E-3</v>
      </c>
      <c r="AR459" s="177">
        <f>+AC459/$AE$51</f>
        <v>1.6026832001492775E-3</v>
      </c>
      <c r="AS459" s="177">
        <f t="shared" si="1307"/>
        <v>3.8168601642402962E-6</v>
      </c>
      <c r="AT459" s="177"/>
      <c r="AU459" s="177"/>
      <c r="AV459" s="177"/>
      <c r="AW459" s="190"/>
      <c r="AX459" s="120"/>
      <c r="AY459" s="120"/>
      <c r="AZ459" s="118">
        <f>IFERROR(INDEX('Total Customers'!$F$7:$AB$91,MATCH($C459,'Total Customers'!$D$7:$D$91,0),MATCH($G459,'Total Customers'!$F$5:$AB$5,0)),"NA")</f>
        <v>34906</v>
      </c>
      <c r="BA459" s="119">
        <f t="shared" si="1268"/>
        <v>-3.2605926550608845E-3</v>
      </c>
      <c r="BB459" s="119"/>
      <c r="BC459" s="121"/>
      <c r="BD459" s="119"/>
      <c r="BE459" s="119"/>
      <c r="BF459" s="119"/>
      <c r="BG459" s="173"/>
      <c r="BH459" s="173"/>
      <c r="BI459" s="173"/>
      <c r="BJ459" s="173"/>
      <c r="BK459" s="173"/>
      <c r="BL459" s="173"/>
      <c r="BM459" s="173"/>
      <c r="BN459" s="173"/>
      <c r="BO459" s="173"/>
      <c r="BP459" s="173"/>
      <c r="BQ459" s="118"/>
      <c r="BR459" s="118"/>
      <c r="BS459" s="118">
        <f>INDEX('Dist. Plant Gas Additions'!$F$7:$AE$91,MATCH($C459,'Dist. Plant Gas Additions'!$D$7:$D$91,0),MATCH(Calculation!$G459,'Dist. Plant Gas Additions'!$F$5:$AE$5,0))</f>
        <v>3694</v>
      </c>
      <c r="BT459" s="118">
        <f>INDEX('Gen. Plant Additions'!$F$7:$AE$91,MATCH($C459,'Gen. Plant Additions'!$D$7:$D$91,0),MATCH(Calculation!$G459,'Gen. Plant Additions'!$F$5:$AE$5,0))</f>
        <v>1264</v>
      </c>
      <c r="BU459" s="118"/>
      <c r="BV459" s="118"/>
      <c r="BW459" s="118">
        <f>INDEX('Dist Plant Depreciation'!$E$7:$AD$94,MATCH($C459,'Dist Plant Depreciation'!$D$7:$D$94,0),MATCH(Calculation!$G459,'Dist Plant Depreciation'!$E$5:$AD$5,0))</f>
        <v>41612</v>
      </c>
      <c r="BX459" s="118">
        <f>INDEX('Gen. Plant Depreciation'!$E$7:$AD$94,MATCH($C459,'Gen. Plant Depreciation'!$D$7:$D$94,0),MATCH(Calculation!$G459,'Gen. Plant Depreciation'!$E$5:$AD$5,0))</f>
        <v>12810</v>
      </c>
      <c r="BY459" s="118"/>
      <c r="BZ459" s="118"/>
      <c r="CA459" s="118"/>
      <c r="CB459" s="118"/>
      <c r="CC459" s="118"/>
      <c r="CD459" s="118"/>
      <c r="CE459" s="118">
        <f>INDEX('Gross Dx Plant'!$E$7:$AD$91,MATCH($C459,'Gross Dx Plant'!$D$7:$D$91,0),MATCH(Calculation!$G459,'Gross Dx Plant'!$E$5:$AD$5,0))</f>
        <v>113536</v>
      </c>
      <c r="CF459" s="118">
        <f>INDEX('Gross Gen Plant'!$E$7:$AD$91,MATCH($C459,'Gross Gen Plant'!$D$7:$D$91,0),MATCH(Calculation!$G459,'Gross Gen Plant'!$E$5:$AD$5,0))</f>
        <v>22782</v>
      </c>
      <c r="CG459" s="118">
        <f t="shared" si="1177"/>
        <v>81896</v>
      </c>
      <c r="CH459" s="118"/>
      <c r="CI459" s="121">
        <v>2013</v>
      </c>
      <c r="CJ459" s="118"/>
      <c r="CK459" s="118"/>
      <c r="CL459" s="118"/>
      <c r="CM459" s="183"/>
      <c r="CN459" s="118">
        <f t="shared" si="1269"/>
        <v>4958</v>
      </c>
      <c r="CO459" s="118">
        <f t="shared" si="1270"/>
        <v>7.4753289400679979</v>
      </c>
      <c r="CP459" s="186">
        <v>0.90566037735849059</v>
      </c>
      <c r="CQ459" s="118">
        <f>+CQ444*CP459+CO445*CP458+CO446*CP457+CO447*CP456+CO448*CP455+CO449*CP454+CO450*CP453+CO451*CP452+CO452*CP451+CO453*CP450+CO454*CP449+CO455*CP448+CO456*CP447+CO457*CP446+CO458*CP445+CO459</f>
        <v>415.13036297008205</v>
      </c>
      <c r="CR459" s="119">
        <f t="shared" si="1271"/>
        <v>1.0182195921316251E-2</v>
      </c>
      <c r="CS459" s="119"/>
      <c r="CT459" s="177">
        <f t="shared" si="1272"/>
        <v>7.957262715679668E-3</v>
      </c>
      <c r="CU459" s="177">
        <f t="shared" si="1280"/>
        <v>7.6823466825551752E-3</v>
      </c>
      <c r="CV459" s="119">
        <f>VLOOKUP($H459,RoR!$E:$F,2,FALSE)</f>
        <v>4.2350000000000006E-2</v>
      </c>
      <c r="CW459" s="177">
        <v>1.7730000000000024E-2</v>
      </c>
      <c r="CX459" s="177">
        <f t="shared" si="1279"/>
        <v>2.4619999999999982E-2</v>
      </c>
      <c r="CY459" s="177">
        <f t="shared" si="1282"/>
        <v>2.321959492597845E-2</v>
      </c>
      <c r="CZ459" s="177">
        <f t="shared" si="1283"/>
        <v>5.3376742735721204E-2</v>
      </c>
      <c r="DA459" s="187">
        <f t="shared" si="1273"/>
        <v>0.85270312375000001</v>
      </c>
      <c r="DB459" s="188">
        <f t="shared" si="1274"/>
        <v>1.2109103018193925</v>
      </c>
      <c r="DC459" s="188">
        <f t="shared" si="1275"/>
        <v>0.38468122786304604</v>
      </c>
      <c r="DD459" s="188">
        <f t="shared" si="1276"/>
        <v>0.80969194503422559</v>
      </c>
      <c r="DE459" s="188">
        <f t="shared" si="1277"/>
        <v>0.37716621754800816</v>
      </c>
      <c r="DF459" s="189">
        <f>INDEX('State Tax Lookup'!$D$7:$Z$91,MATCH(Calculation!$C459,'State Tax Lookup'!$B$7:$B$91,0),MATCH($H459,'State Tax Lookup'!$D$6:$Z$6,0))</f>
        <v>0.39279166999999998</v>
      </c>
      <c r="DG459" s="189">
        <v>0.375</v>
      </c>
      <c r="DH459" s="190">
        <f t="shared" si="1281"/>
        <v>21.551779396491241</v>
      </c>
      <c r="DI459" s="190">
        <v>21.18697593813183</v>
      </c>
      <c r="DJ459" s="177"/>
      <c r="DK459" s="189">
        <f>VLOOKUP($H459,RoR!$E:$F,2,FALSE)</f>
        <v>4.2350000000000006E-2</v>
      </c>
      <c r="DL459" s="191">
        <f>HLOOKUP($H459,'GDP-PI'!$D$8:$CQ$11,3,FALSE)</f>
        <v>1.7730000000000024E-2</v>
      </c>
      <c r="DM459" s="189">
        <f>VLOOKUP(H459,'HW Dx Data'!$E:$F,2,FALSE)</f>
        <v>663.24840548821396</v>
      </c>
      <c r="DN459" s="183">
        <f>VLOOKUP(H459,'ECI - Input Price'!$G$17:$H$37,2,FALSE)</f>
        <v>118.72499999999999</v>
      </c>
      <c r="DO459" s="177">
        <f t="shared" ref="DO459" si="1322">LN(DN459/DN458)</f>
        <v>1.8918621429430321E-2</v>
      </c>
      <c r="DP459" s="183">
        <f>HLOOKUP(H459,'GDP-PI'!$8:$9,2,FALSE)</f>
        <v>101.773</v>
      </c>
      <c r="DQ459" s="177">
        <f t="shared" ref="DQ459" si="1323">LN(DP459/DP458)</f>
        <v>1.7574657016510519E-2</v>
      </c>
    </row>
    <row r="460" spans="1:122" s="167" customFormat="1" ht="21" x14ac:dyDescent="0.35">
      <c r="A460" s="167" t="s">
        <v>54</v>
      </c>
      <c r="B460" s="168" t="s">
        <v>54</v>
      </c>
      <c r="C460" s="168">
        <v>4057118</v>
      </c>
      <c r="D460" s="168" t="s">
        <v>141</v>
      </c>
      <c r="E460" s="168"/>
      <c r="F460" s="168"/>
      <c r="G460" s="168" t="s">
        <v>20</v>
      </c>
      <c r="H460" s="169">
        <v>2014</v>
      </c>
      <c r="I460" s="170"/>
      <c r="J460" s="166">
        <f>IFERROR(INDEX('Labor Expenditures'!$F$7:$X$91,MATCH($C460,'Labor Expenditures'!$D$7:$D$91,0),MATCH($G460,'Labor Expenditures'!$F$5:$X$5,0)),"NA")</f>
        <v>3699.6541205845365</v>
      </c>
      <c r="K460" s="166">
        <f t="shared" si="1286"/>
        <v>30.525199014723899</v>
      </c>
      <c r="L460" s="172">
        <f t="shared" si="1293"/>
        <v>-4.1489207268331635E-3</v>
      </c>
      <c r="M460" s="172">
        <f t="shared" si="1297"/>
        <v>-6.6305383325113843E-6</v>
      </c>
      <c r="N460" s="196"/>
      <c r="O460" s="172"/>
      <c r="P460" s="166">
        <f>IFERROR(INDEX('Non-Labor Expenditures'!$F$7:$AB$91,MATCH($C460,'Non-Labor Expenditures'!$D$7:$D$91,0),MATCH($G460,'Non-Labor Expenditures'!$F$5:$AB$5,0)),"NA")</f>
        <v>5357.7901666799316</v>
      </c>
      <c r="Q460" s="166">
        <f t="shared" si="1287"/>
        <v>51.692669992184349</v>
      </c>
      <c r="R460" s="172">
        <f t="shared" si="1298"/>
        <v>-1.7627934250608061E-3</v>
      </c>
      <c r="S460" s="172">
        <f t="shared" si="1303"/>
        <v>-2.8171831053726271E-6</v>
      </c>
      <c r="T460" s="172"/>
      <c r="U460" s="172"/>
      <c r="V460" s="166">
        <f t="shared" si="1267"/>
        <v>9129.028998234453</v>
      </c>
      <c r="W460" s="170"/>
      <c r="X460" s="174">
        <v>419.8448289163556</v>
      </c>
      <c r="Y460" s="175">
        <v>1.1292589509363829E-2</v>
      </c>
      <c r="Z460" s="175">
        <f t="shared" si="1304"/>
        <v>1.8047090447135389E-5</v>
      </c>
      <c r="AA460" s="175"/>
      <c r="AB460" s="175"/>
      <c r="AC460" s="170">
        <f t="shared" si="1278"/>
        <v>18186.47328549892</v>
      </c>
      <c r="AD460" s="175">
        <f t="shared" si="1299"/>
        <v>2.3417804940699866E-2</v>
      </c>
      <c r="AE460" s="170"/>
      <c r="AF460" s="170"/>
      <c r="AG460" s="121">
        <f t="shared" si="1300"/>
        <v>524.55936791170814</v>
      </c>
      <c r="AH460" s="119">
        <f>+AZ460/$BB$52</f>
        <v>9.4629101937258485E-4</v>
      </c>
      <c r="AI460" s="119"/>
      <c r="AJ460" s="176">
        <f t="shared" si="1305"/>
        <v>0.49638581898260908</v>
      </c>
      <c r="AK460" s="176">
        <f t="shared" si="1306"/>
        <v>0</v>
      </c>
      <c r="AL460" s="120">
        <f t="shared" si="1288"/>
        <v>0.203428892589883</v>
      </c>
      <c r="AM460" s="120">
        <f t="shared" si="1289"/>
        <v>0.29460303174623714</v>
      </c>
      <c r="AN460" s="120">
        <f t="shared" si="1290"/>
        <v>0.50196807566387991</v>
      </c>
      <c r="AO460" s="120">
        <f t="shared" si="1294"/>
        <v>4.2808733506734791E-3</v>
      </c>
      <c r="AP460" s="173">
        <f t="shared" si="1310"/>
        <v>104.01863090030331</v>
      </c>
      <c r="AQ460" s="175">
        <f t="shared" si="1311"/>
        <v>4.2808733506734063E-3</v>
      </c>
      <c r="AR460" s="177">
        <f>+AC460/$AE$52</f>
        <v>1.5981357006000013E-3</v>
      </c>
      <c r="AS460" s="177">
        <f t="shared" si="1307"/>
        <v>6.8414165314583187E-6</v>
      </c>
      <c r="AT460" s="177"/>
      <c r="AU460" s="177"/>
      <c r="AV460" s="177"/>
      <c r="AW460" s="190"/>
      <c r="AX460" s="120"/>
      <c r="AY460" s="120"/>
      <c r="AZ460" s="118">
        <f>IFERROR(INDEX('Total Customers'!$F$7:$AB$91,MATCH($C460,'Total Customers'!$D$7:$D$91,0),MATCH($G460,'Total Customers'!$F$5:$AB$5,0)),"NA")</f>
        <v>34670</v>
      </c>
      <c r="BA460" s="119">
        <f t="shared" si="1268"/>
        <v>-6.7839745057127676E-3</v>
      </c>
      <c r="BB460" s="119"/>
      <c r="BC460" s="121"/>
      <c r="BD460" s="119"/>
      <c r="BE460" s="119"/>
      <c r="BF460" s="119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18"/>
      <c r="BR460" s="118"/>
      <c r="BS460" s="118">
        <f>INDEX('Dist. Plant Gas Additions'!$F$7:$AE$91,MATCH($C460,'Dist. Plant Gas Additions'!$D$7:$D$91,0),MATCH(Calculation!$G460,'Dist. Plant Gas Additions'!$F$5:$AE$5,0))</f>
        <v>4318</v>
      </c>
      <c r="BT460" s="118">
        <f>INDEX('Gen. Plant Additions'!$F$7:$AE$91,MATCH($C460,'Gen. Plant Additions'!$D$7:$D$91,0),MATCH(Calculation!$G460,'Gen. Plant Additions'!$F$5:$AE$5,0))</f>
        <v>1256</v>
      </c>
      <c r="BU460" s="118"/>
      <c r="BV460" s="118"/>
      <c r="BW460" s="118">
        <f>INDEX('Dist Plant Depreciation'!$E$7:$AD$94,MATCH($C460,'Dist Plant Depreciation'!$D$7:$D$94,0),MATCH(Calculation!$G460,'Dist Plant Depreciation'!$E$5:$AD$5,0))</f>
        <v>44842</v>
      </c>
      <c r="BX460" s="118">
        <f>INDEX('Gen. Plant Depreciation'!$E$7:$AD$94,MATCH($C460,'Gen. Plant Depreciation'!$D$7:$D$94,0),MATCH(Calculation!$G460,'Gen. Plant Depreciation'!$E$5:$AD$5,0))</f>
        <v>12909</v>
      </c>
      <c r="BY460" s="118"/>
      <c r="BZ460" s="118"/>
      <c r="CA460" s="118"/>
      <c r="CB460" s="118"/>
      <c r="CC460" s="118"/>
      <c r="CD460" s="118"/>
      <c r="CE460" s="118">
        <f>INDEX('Gross Dx Plant'!$E$7:$AD$91,MATCH($C460,'Gross Dx Plant'!$D$7:$D$91,0),MATCH(Calculation!$G460,'Gross Dx Plant'!$E$5:$AD$5,0))</f>
        <v>117226</v>
      </c>
      <c r="CF460" s="118">
        <f>INDEX('Gross Gen Plant'!$E$7:$AD$91,MATCH($C460,'Gross Gen Plant'!$D$7:$D$91,0),MATCH(Calculation!$G460,'Gross Gen Plant'!$E$5:$AD$5,0))</f>
        <v>23033</v>
      </c>
      <c r="CG460" s="118">
        <f t="shared" si="1177"/>
        <v>82508</v>
      </c>
      <c r="CH460" s="118"/>
      <c r="CI460" s="121">
        <v>2014</v>
      </c>
      <c r="CJ460" s="118"/>
      <c r="CK460" s="118"/>
      <c r="CL460" s="118"/>
      <c r="CM460" s="183"/>
      <c r="CN460" s="118">
        <f t="shared" si="1269"/>
        <v>5574</v>
      </c>
      <c r="CO460" s="118">
        <f t="shared" si="1270"/>
        <v>8.1435373065722523</v>
      </c>
      <c r="CP460" s="186">
        <v>0.89743589743589747</v>
      </c>
      <c r="CQ460" s="118">
        <f>+CQ444*CP460+CO445*CP459+CO446*CP458+CO447*CP457+CO448*CP456+CO449*CP455+CO450*CP454+CO451*CP453+CO452*CP452+CO453*CP451+CO454*CP450+CO455*CP449+CO456*CP448+CO457*CP447+CO458*CP446+CO459*CP445+CO460</f>
        <v>419.8448289163556</v>
      </c>
      <c r="CR460" s="119">
        <f t="shared" si="1271"/>
        <v>1.1292589509363829E-2</v>
      </c>
      <c r="CS460" s="119"/>
      <c r="CT460" s="177">
        <f t="shared" si="1272"/>
        <v>8.2602277890856963E-3</v>
      </c>
      <c r="CU460" s="177">
        <f t="shared" si="1280"/>
        <v>7.9664343229756615E-3</v>
      </c>
      <c r="CV460" s="119">
        <f>VLOOKUP($H460,RoR!$E:$F,2,FALSE)</f>
        <v>4.1625000000000002E-2</v>
      </c>
      <c r="CW460" s="177">
        <v>1.841352814597208E-2</v>
      </c>
      <c r="CX460" s="177">
        <f t="shared" si="1279"/>
        <v>2.3211471854027922E-2</v>
      </c>
      <c r="CY460" s="177">
        <f t="shared" si="1282"/>
        <v>2.2935507285557964E-2</v>
      </c>
      <c r="CZ460" s="177">
        <f t="shared" si="1283"/>
        <v>3.9072621432650924E-2</v>
      </c>
      <c r="DA460" s="187">
        <f t="shared" si="1273"/>
        <v>0.85270312375000001</v>
      </c>
      <c r="DB460" s="188">
        <f t="shared" si="1274"/>
        <v>1.2320012320012319</v>
      </c>
      <c r="DC460" s="188">
        <f t="shared" si="1275"/>
        <v>0.37439939939939942</v>
      </c>
      <c r="DD460" s="188">
        <f t="shared" si="1276"/>
        <v>0.80432100613819935</v>
      </c>
      <c r="DE460" s="188">
        <f t="shared" si="1277"/>
        <v>0.37100152660040037</v>
      </c>
      <c r="DF460" s="189">
        <f>INDEX('State Tax Lookup'!$D$7:$Z$91,MATCH(Calculation!$C460,'State Tax Lookup'!$B$7:$B$91,0),MATCH($H460,'State Tax Lookup'!$D$6:$Z$6,0))</f>
        <v>0.39279166999999998</v>
      </c>
      <c r="DG460" s="189">
        <v>0.375</v>
      </c>
      <c r="DH460" s="190">
        <f t="shared" si="1281"/>
        <v>21.990752333604593</v>
      </c>
      <c r="DI460" s="190">
        <v>21.585575435055759</v>
      </c>
      <c r="DJ460" s="177"/>
      <c r="DK460" s="189">
        <f>VLOOKUP($H460,RoR!$E:$F,2,FALSE)</f>
        <v>4.1625000000000002E-2</v>
      </c>
      <c r="DL460" s="191">
        <f>HLOOKUP($H460,'GDP-PI'!$D$8:$CQ$11,3,FALSE)</f>
        <v>1.841352814597208E-2</v>
      </c>
      <c r="DM460" s="189">
        <f>VLOOKUP(H460,'HW Dx Data'!$E:$F,2,FALSE)</f>
        <v>684.46914285042885</v>
      </c>
      <c r="DN460" s="183">
        <f>VLOOKUP(H460,'ECI - Input Price'!$G$17:$H$37,2,FALSE)</f>
        <v>121.2</v>
      </c>
      <c r="DO460" s="177">
        <f t="shared" ref="DO460" si="1324">LN(DN460/DN459)</f>
        <v>2.0632179200028689E-2</v>
      </c>
      <c r="DP460" s="183">
        <f>HLOOKUP(H460,'GDP-PI'!$8:$9,2,FALSE)</f>
        <v>103.64700000000001</v>
      </c>
      <c r="DQ460" s="177">
        <f t="shared" ref="DQ460" si="1325">LN(DP460/DP459)</f>
        <v>1.8246051898256087E-2</v>
      </c>
    </row>
    <row r="461" spans="1:122" s="167" customFormat="1" ht="21" x14ac:dyDescent="0.35">
      <c r="A461" s="167" t="s">
        <v>54</v>
      </c>
      <c r="B461" s="168" t="s">
        <v>54</v>
      </c>
      <c r="C461" s="168">
        <v>4057118</v>
      </c>
      <c r="D461" s="168" t="s">
        <v>141</v>
      </c>
      <c r="E461" s="168"/>
      <c r="F461" s="168"/>
      <c r="G461" s="168" t="s">
        <v>21</v>
      </c>
      <c r="H461" s="169">
        <v>2015</v>
      </c>
      <c r="I461" s="170"/>
      <c r="J461" s="166">
        <f>IFERROR(INDEX('Labor Expenditures'!$F$7:$X$91,MATCH($C461,'Labor Expenditures'!$D$7:$D$91,0),MATCH($G461,'Labor Expenditures'!$F$5:$X$5,0)),"NA")</f>
        <v>3850.7580208572981</v>
      </c>
      <c r="K461" s="166">
        <f t="shared" si="1286"/>
        <v>31.117236532180186</v>
      </c>
      <c r="L461" s="172">
        <f t="shared" si="1293"/>
        <v>1.9209355282999861E-2</v>
      </c>
      <c r="M461" s="172">
        <f t="shared" si="1297"/>
        <v>3.0820628876843578E-5</v>
      </c>
      <c r="N461" s="196"/>
      <c r="O461" s="172"/>
      <c r="P461" s="166">
        <f>IFERROR(INDEX('Non-Labor Expenditures'!$F$7:$AB$91,MATCH($C461,'Non-Labor Expenditures'!$D$7:$D$91,0),MATCH($G461,'Non-Labor Expenditures'!$F$5:$AB$5,0)),"NA")</f>
        <v>5576.6168365904905</v>
      </c>
      <c r="Q461" s="166">
        <f t="shared" si="1287"/>
        <v>53.293865925615599</v>
      </c>
      <c r="R461" s="172">
        <f t="shared" si="1298"/>
        <v>3.0505246911143067E-2</v>
      </c>
      <c r="S461" s="172">
        <f t="shared" si="1303"/>
        <v>4.8944427337281925E-5</v>
      </c>
      <c r="T461" s="172"/>
      <c r="U461" s="172"/>
      <c r="V461" s="166">
        <f t="shared" si="1267"/>
        <v>9015.4647175331775</v>
      </c>
      <c r="W461" s="170"/>
      <c r="X461" s="174">
        <v>424.26593042046261</v>
      </c>
      <c r="Y461" s="175">
        <v>1.0475264964585668E-2</v>
      </c>
      <c r="Z461" s="175">
        <f t="shared" si="1304"/>
        <v>1.6807136372027047E-5</v>
      </c>
      <c r="AA461" s="175"/>
      <c r="AB461" s="175"/>
      <c r="AC461" s="170">
        <f t="shared" si="1278"/>
        <v>18442.839574980964</v>
      </c>
      <c r="AD461" s="175">
        <f t="shared" si="1299"/>
        <v>1.3998104557799882E-2</v>
      </c>
      <c r="AE461" s="170"/>
      <c r="AF461" s="170"/>
      <c r="AG461" s="121">
        <f t="shared" si="1300"/>
        <v>530.21042936352819</v>
      </c>
      <c r="AH461" s="119">
        <f>+AZ461/$BB$53</f>
        <v>9.4170464989474622E-4</v>
      </c>
      <c r="AI461" s="119"/>
      <c r="AJ461" s="176">
        <f t="shared" si="1305"/>
        <v>0.49930162675432438</v>
      </c>
      <c r="AK461" s="176">
        <f t="shared" si="1306"/>
        <v>0</v>
      </c>
      <c r="AL461" s="120">
        <f t="shared" si="1288"/>
        <v>0.20879420466689563</v>
      </c>
      <c r="AM461" s="120">
        <f t="shared" si="1289"/>
        <v>0.30237300573581799</v>
      </c>
      <c r="AN461" s="120">
        <f t="shared" si="1290"/>
        <v>0.48883278959728643</v>
      </c>
      <c r="AO461" s="120">
        <f t="shared" si="1294"/>
        <v>1.8254171472620713E-2</v>
      </c>
      <c r="AP461" s="173">
        <f t="shared" si="1310"/>
        <v>105.93484103041908</v>
      </c>
      <c r="AQ461" s="175">
        <f t="shared" si="1311"/>
        <v>1.8254171472620775E-2</v>
      </c>
      <c r="AR461" s="177">
        <f>+AC461/$AE$53</f>
        <v>1.6044593076020416E-3</v>
      </c>
      <c r="AS461" s="177">
        <f t="shared" si="1307"/>
        <v>2.928807532181007E-5</v>
      </c>
      <c r="AT461" s="177"/>
      <c r="AU461" s="177"/>
      <c r="AV461" s="177"/>
      <c r="AW461" s="190"/>
      <c r="AX461" s="120"/>
      <c r="AY461" s="120"/>
      <c r="AZ461" s="118">
        <f>IFERROR(INDEX('Total Customers'!$F$7:$AB$91,MATCH($C461,'Total Customers'!$D$7:$D$91,0),MATCH($G461,'Total Customers'!$F$5:$AB$5,0)),"NA")</f>
        <v>34784</v>
      </c>
      <c r="BA461" s="119">
        <f t="shared" si="1268"/>
        <v>3.2827512418669197E-3</v>
      </c>
      <c r="BB461" s="119"/>
      <c r="BC461" s="121"/>
      <c r="BD461" s="119"/>
      <c r="BE461" s="119"/>
      <c r="BF461" s="119"/>
      <c r="BG461" s="173"/>
      <c r="BH461" s="173"/>
      <c r="BI461" s="173"/>
      <c r="BJ461" s="173"/>
      <c r="BK461" s="173"/>
      <c r="BL461" s="173"/>
      <c r="BM461" s="173"/>
      <c r="BN461" s="173"/>
      <c r="BO461" s="173"/>
      <c r="BP461" s="173"/>
      <c r="BQ461" s="118"/>
      <c r="BR461" s="118"/>
      <c r="BS461" s="118">
        <f>INDEX('Dist. Plant Gas Additions'!$F$7:$AE$91,MATCH($C461,'Dist. Plant Gas Additions'!$D$7:$D$91,0),MATCH(Calculation!$G461,'Dist. Plant Gas Additions'!$F$5:$AE$5,0))</f>
        <v>3777</v>
      </c>
      <c r="BT461" s="118">
        <f>INDEX('Gen. Plant Additions'!$F$7:$AE$91,MATCH($C461,'Gen. Plant Additions'!$D$7:$D$91,0),MATCH(Calculation!$G461,'Gen. Plant Additions'!$F$5:$AE$5,0))</f>
        <v>1642</v>
      </c>
      <c r="BU461" s="118"/>
      <c r="BV461" s="118"/>
      <c r="BW461" s="118">
        <f>INDEX('Dist Plant Depreciation'!$E$7:$AD$94,MATCH($C461,'Dist Plant Depreciation'!$D$7:$D$94,0),MATCH(Calculation!$G461,'Dist Plant Depreciation'!$E$5:$AD$5,0))</f>
        <v>47346</v>
      </c>
      <c r="BX461" s="118">
        <f>INDEX('Gen. Plant Depreciation'!$E$7:$AD$94,MATCH($C461,'Gen. Plant Depreciation'!$D$7:$D$94,0),MATCH(Calculation!$G461,'Gen. Plant Depreciation'!$E$5:$AD$5,0))</f>
        <v>13240</v>
      </c>
      <c r="BY461" s="118"/>
      <c r="BZ461" s="118"/>
      <c r="CA461" s="118"/>
      <c r="CB461" s="118"/>
      <c r="CC461" s="118"/>
      <c r="CD461" s="118"/>
      <c r="CE461" s="118">
        <f>INDEX('Gross Dx Plant'!$E$7:$AD$91,MATCH($C461,'Gross Dx Plant'!$D$7:$D$91,0),MATCH(Calculation!$G461,'Gross Dx Plant'!$E$5:$AD$5,0))</f>
        <v>119537</v>
      </c>
      <c r="CF461" s="118">
        <f>INDEX('Gross Gen Plant'!$E$7:$AD$91,MATCH($C461,'Gross Gen Plant'!$D$7:$D$91,0),MATCH(Calculation!$G461,'Gross Gen Plant'!$E$5:$AD$5,0))</f>
        <v>23644</v>
      </c>
      <c r="CG461" s="118">
        <f t="shared" si="1177"/>
        <v>82595</v>
      </c>
      <c r="CH461" s="118"/>
      <c r="CI461" s="121">
        <v>2015</v>
      </c>
      <c r="CJ461" s="118"/>
      <c r="CK461" s="118"/>
      <c r="CL461" s="118"/>
      <c r="CM461" s="183"/>
      <c r="CN461" s="118">
        <f t="shared" si="1269"/>
        <v>5419</v>
      </c>
      <c r="CO461" s="118">
        <f t="shared" si="1270"/>
        <v>8.0208446274208089</v>
      </c>
      <c r="CP461" s="186">
        <v>0.88888888888888884</v>
      </c>
      <c r="CQ461" s="118">
        <f>+CQ444*CP461+CO445*CP460+CO446*CP459+CO447*CP458+CO448*CP457+CO449*CP456+CO450*CP455+CO451*CP454+CO452*CP453+CO453*CP452+CO454*CP451+CO455*CP450+CO456*CP449+CO457*CP448+CO458*CP447+CO459*CP446+CO460*CP445+CO461</f>
        <v>424.26593042046261</v>
      </c>
      <c r="CR461" s="119">
        <f t="shared" si="1271"/>
        <v>1.0475264964585668E-2</v>
      </c>
      <c r="CS461" s="119"/>
      <c r="CT461" s="177">
        <f t="shared" si="1272"/>
        <v>8.5739846614401455E-3</v>
      </c>
      <c r="CU461" s="177">
        <f t="shared" si="1280"/>
        <v>8.2638250554018366E-3</v>
      </c>
      <c r="CV461" s="119">
        <f>VLOOKUP($H461,RoR!$E:$F,2,FALSE)</f>
        <v>3.8866666666666674E-2</v>
      </c>
      <c r="CW461" s="177">
        <v>9.5709475431029478E-3</v>
      </c>
      <c r="CX461" s="177">
        <f t="shared" si="1279"/>
        <v>2.9295719123563727E-2</v>
      </c>
      <c r="CY461" s="177">
        <f t="shared" si="1282"/>
        <v>2.263811655313179E-2</v>
      </c>
      <c r="CZ461" s="177">
        <f t="shared" si="1283"/>
        <v>3.5270373279175926E-3</v>
      </c>
      <c r="DA461" s="187">
        <f t="shared" si="1273"/>
        <v>0.85270312375000001</v>
      </c>
      <c r="DB461" s="188">
        <f t="shared" si="1274"/>
        <v>1.3194352816994324</v>
      </c>
      <c r="DC461" s="188">
        <f t="shared" si="1275"/>
        <v>0.33177530017152673</v>
      </c>
      <c r="DD461" s="188">
        <f t="shared" si="1276"/>
        <v>0.78242572977668579</v>
      </c>
      <c r="DE461" s="188">
        <f t="shared" si="1277"/>
        <v>0.34251158643433932</v>
      </c>
      <c r="DF461" s="189">
        <f>INDEX('State Tax Lookup'!$D$7:$Z$91,MATCH(Calculation!$C461,'State Tax Lookup'!$B$7:$B$91,0),MATCH($H461,'State Tax Lookup'!$D$6:$Z$6,0))</f>
        <v>0.39279166999999998</v>
      </c>
      <c r="DG461" s="189">
        <v>0.375</v>
      </c>
      <c r="DH461" s="190">
        <f t="shared" si="1281"/>
        <v>21.473325611280305</v>
      </c>
      <c r="DI461" s="190">
        <v>21.032632088356003</v>
      </c>
      <c r="DJ461" s="177"/>
      <c r="DK461" s="189">
        <f>VLOOKUP($H461,RoR!$E:$F,2,FALSE)</f>
        <v>3.8866666666666674E-2</v>
      </c>
      <c r="DL461" s="191">
        <f>HLOOKUP($H461,'GDP-PI'!$D$8:$CQ$11,3,FALSE)</f>
        <v>9.5709475431029478E-3</v>
      </c>
      <c r="DM461" s="189">
        <f>VLOOKUP(H461,'HW Dx Data'!$E:$F,2,FALSE)</f>
        <v>675.61463308665782</v>
      </c>
      <c r="DN461" s="183">
        <f>VLOOKUP(H461,'ECI - Input Price'!$G$17:$H$37,2,FALSE)</f>
        <v>123.75</v>
      </c>
      <c r="DO461" s="177">
        <f t="shared" ref="DO461" si="1326">LN(DN461/DN460)</f>
        <v>2.0821327813585516E-2</v>
      </c>
      <c r="DP461" s="183">
        <f>HLOOKUP(H461,'GDP-PI'!$8:$9,2,FALSE)</f>
        <v>104.639</v>
      </c>
      <c r="DQ461" s="177">
        <f t="shared" ref="DQ461" si="1327">LN(DP461/DP460)</f>
        <v>9.5254361854427965E-3</v>
      </c>
    </row>
    <row r="462" spans="1:122" s="167" customFormat="1" ht="21" x14ac:dyDescent="0.35">
      <c r="A462" s="167" t="s">
        <v>54</v>
      </c>
      <c r="B462" s="168" t="s">
        <v>54</v>
      </c>
      <c r="C462" s="168">
        <v>4057118</v>
      </c>
      <c r="D462" s="168" t="s">
        <v>141</v>
      </c>
      <c r="E462" s="168"/>
      <c r="F462" s="168"/>
      <c r="G462" s="168" t="s">
        <v>22</v>
      </c>
      <c r="H462" s="169">
        <v>2016</v>
      </c>
      <c r="I462" s="170"/>
      <c r="J462" s="166">
        <f>IFERROR(INDEX('Labor Expenditures'!$F$7:$X$91,MATCH($C462,'Labor Expenditures'!$D$7:$D$91,0),MATCH($G462,'Labor Expenditures'!$F$5:$X$5,0)),"NA")</f>
        <v>3835.420392129357</v>
      </c>
      <c r="K462" s="166">
        <f t="shared" si="1286"/>
        <v>30.343515760517064</v>
      </c>
      <c r="L462" s="172">
        <f t="shared" si="1293"/>
        <v>-2.5179049055405682E-2</v>
      </c>
      <c r="M462" s="172">
        <f t="shared" si="1297"/>
        <v>-3.8763858917100097E-5</v>
      </c>
      <c r="N462" s="196"/>
      <c r="O462" s="172"/>
      <c r="P462" s="166">
        <f>IFERROR(INDEX('Non-Labor Expenditures'!$F$7:$AB$91,MATCH($C462,'Non-Labor Expenditures'!$D$7:$D$91,0),MATCH($G462,'Non-Labor Expenditures'!$F$5:$AB$5,0)),"NA")</f>
        <v>5554.405085518536</v>
      </c>
      <c r="Q462" s="166">
        <f t="shared" si="1287"/>
        <v>52.53087960125724</v>
      </c>
      <c r="R462" s="172">
        <f t="shared" si="1298"/>
        <v>-1.4420059158653466E-2</v>
      </c>
      <c r="S462" s="172">
        <f t="shared" si="1303"/>
        <v>-2.2200089350962736E-5</v>
      </c>
      <c r="T462" s="172"/>
      <c r="U462" s="172"/>
      <c r="V462" s="166">
        <f t="shared" si="1267"/>
        <v>8927.3068529563734</v>
      </c>
      <c r="W462" s="170"/>
      <c r="X462" s="174">
        <v>428.59655323018495</v>
      </c>
      <c r="Y462" s="175">
        <v>1.0155588064724034E-2</v>
      </c>
      <c r="Z462" s="175">
        <f t="shared" si="1304"/>
        <v>1.5634815361568678E-5</v>
      </c>
      <c r="AA462" s="175"/>
      <c r="AB462" s="175"/>
      <c r="AC462" s="170">
        <f t="shared" si="1278"/>
        <v>18317.132330604269</v>
      </c>
      <c r="AD462" s="175">
        <f t="shared" si="1299"/>
        <v>-6.8393814183505793E-3</v>
      </c>
      <c r="AE462" s="170"/>
      <c r="AF462" s="170"/>
      <c r="AG462" s="121">
        <f t="shared" si="1300"/>
        <v>538.92939656950307</v>
      </c>
      <c r="AH462" s="119">
        <f>+AZ462/$BB$54</f>
        <v>9.1220426802110792E-4</v>
      </c>
      <c r="AI462" s="119"/>
      <c r="AJ462" s="176">
        <f t="shared" si="1305"/>
        <v>0.49161369571274094</v>
      </c>
      <c r="AK462" s="176">
        <f t="shared" si="1306"/>
        <v>0</v>
      </c>
      <c r="AL462" s="120">
        <f t="shared" si="1288"/>
        <v>0.20938978454182677</v>
      </c>
      <c r="AM462" s="120">
        <f t="shared" si="1289"/>
        <v>0.30323551663369464</v>
      </c>
      <c r="AN462" s="120">
        <f t="shared" si="1290"/>
        <v>0.48737469882447848</v>
      </c>
      <c r="AO462" s="120">
        <f t="shared" si="1294"/>
        <v>-4.6742123899572224E-3</v>
      </c>
      <c r="AP462" s="173">
        <f t="shared" si="1310"/>
        <v>105.4408345290329</v>
      </c>
      <c r="AQ462" s="175">
        <f t="shared" si="1311"/>
        <v>-4.6742123899572016E-3</v>
      </c>
      <c r="AR462" s="177">
        <f>+AC462/$AE$54</f>
        <v>1.5395283130749489E-3</v>
      </c>
      <c r="AS462" s="177">
        <f t="shared" si="1307"/>
        <v>-7.1960823156648352E-6</v>
      </c>
      <c r="AT462" s="177"/>
      <c r="AU462" s="177"/>
      <c r="AV462" s="177"/>
      <c r="AW462" s="190"/>
      <c r="AX462" s="120"/>
      <c r="AY462" s="120"/>
      <c r="AZ462" s="118">
        <f>IFERROR(INDEX('Total Customers'!$F$7:$AB$91,MATCH($C462,'Total Customers'!$D$7:$D$91,0),MATCH($G462,'Total Customers'!$F$5:$AB$5,0)),"NA")</f>
        <v>33988</v>
      </c>
      <c r="BA462" s="119">
        <f t="shared" si="1268"/>
        <v>-2.3149989797504014E-2</v>
      </c>
      <c r="BB462" s="119"/>
      <c r="BC462" s="121"/>
      <c r="BD462" s="119"/>
      <c r="BE462" s="119"/>
      <c r="BF462" s="119"/>
      <c r="BG462" s="173"/>
      <c r="BH462" s="173"/>
      <c r="BI462" s="173"/>
      <c r="BJ462" s="173"/>
      <c r="BK462" s="173"/>
      <c r="BL462" s="173"/>
      <c r="BM462" s="173"/>
      <c r="BN462" s="173"/>
      <c r="BO462" s="173"/>
      <c r="BP462" s="173"/>
      <c r="BQ462" s="118"/>
      <c r="BR462" s="118"/>
      <c r="BS462" s="118">
        <f>INDEX('Dist. Plant Gas Additions'!$F$7:$AE$91,MATCH($C462,'Dist. Plant Gas Additions'!$D$7:$D$91,0),MATCH(Calculation!$G462,'Dist. Plant Gas Additions'!$F$5:$AE$5,0))</f>
        <v>4339</v>
      </c>
      <c r="BT462" s="118">
        <f>INDEX('Gen. Plant Additions'!$F$7:$AE$91,MATCH($C462,'Gen. Plant Additions'!$D$7:$D$91,0),MATCH(Calculation!$G462,'Gen. Plant Additions'!$F$5:$AE$5,0))</f>
        <v>1106</v>
      </c>
      <c r="BU462" s="118"/>
      <c r="BV462" s="118"/>
      <c r="BW462" s="118">
        <f>INDEX('Dist Plant Depreciation'!$E$7:$AD$94,MATCH($C462,'Dist Plant Depreciation'!$D$7:$D$94,0),MATCH(Calculation!$G462,'Dist Plant Depreciation'!$E$5:$AD$5,0))</f>
        <v>50268</v>
      </c>
      <c r="BX462" s="118">
        <f>INDEX('Gen. Plant Depreciation'!$E$7:$AD$94,MATCH($C462,'Gen. Plant Depreciation'!$D$7:$D$94,0),MATCH(Calculation!$G462,'Gen. Plant Depreciation'!$E$5:$AD$5,0))</f>
        <v>13451</v>
      </c>
      <c r="BY462" s="118"/>
      <c r="BZ462" s="118"/>
      <c r="CA462" s="118"/>
      <c r="CB462" s="118"/>
      <c r="CC462" s="118"/>
      <c r="CD462" s="118"/>
      <c r="CE462" s="118">
        <f>INDEX('Gross Dx Plant'!$E$7:$AD$91,MATCH($C462,'Gross Dx Plant'!$D$7:$D$91,0),MATCH(Calculation!$G462,'Gross Dx Plant'!$E$5:$AD$5,0))</f>
        <v>123349</v>
      </c>
      <c r="CF462" s="118">
        <f>INDEX('Gross Gen Plant'!$E$7:$AD$91,MATCH($C462,'Gross Gen Plant'!$D$7:$D$91,0),MATCH(Calculation!$G462,'Gross Gen Plant'!$E$5:$AD$5,0))</f>
        <v>23888</v>
      </c>
      <c r="CG462" s="118">
        <f t="shared" si="1177"/>
        <v>83518</v>
      </c>
      <c r="CH462" s="118"/>
      <c r="CI462" s="121">
        <v>2016</v>
      </c>
      <c r="CJ462" s="118"/>
      <c r="CK462" s="118"/>
      <c r="CL462" s="118"/>
      <c r="CM462" s="183"/>
      <c r="CN462" s="118">
        <f t="shared" si="1269"/>
        <v>5445</v>
      </c>
      <c r="CO462" s="118">
        <f t="shared" si="1270"/>
        <v>8.1092384401921827</v>
      </c>
      <c r="CP462" s="186">
        <v>0.88</v>
      </c>
      <c r="CQ462" s="118">
        <f>+CQ444*CP462+CO445*CP461+CO446*CP460+CO447*CP459+CO448*CP458+CO449*CP457+CO450*CP456+CO451*CP455+CO452*CP454+CO453*CP453+CO454*CP452+CO455*CP451+CO456*CP450+CO457*CP449+CO458*CP448+CO459*CP447+CO460*CP446+CO461*CP445+CO462</f>
        <v>428.59655323018495</v>
      </c>
      <c r="CR462" s="119">
        <f t="shared" si="1271"/>
        <v>1.0155588064724034E-2</v>
      </c>
      <c r="CS462" s="119"/>
      <c r="CT462" s="177">
        <f t="shared" si="1272"/>
        <v>8.9062433712862547E-3</v>
      </c>
      <c r="CU462" s="177">
        <f t="shared" si="1280"/>
        <v>8.5801519406040316E-3</v>
      </c>
      <c r="CV462" s="119">
        <f>VLOOKUP($H462,RoR!$E:$F,2,FALSE)</f>
        <v>3.6658333333333334E-2</v>
      </c>
      <c r="CW462" s="177">
        <v>1.0483662879041455E-2</v>
      </c>
      <c r="CX462" s="177">
        <f t="shared" si="1279"/>
        <v>2.6174670454291879E-2</v>
      </c>
      <c r="CY462" s="177">
        <f t="shared" si="1282"/>
        <v>2.2321789667929595E-2</v>
      </c>
      <c r="CZ462" s="177">
        <f t="shared" si="1283"/>
        <v>4.301363574220729E-3</v>
      </c>
      <c r="DA462" s="187">
        <f t="shared" si="1273"/>
        <v>0.85270312375000001</v>
      </c>
      <c r="DB462" s="188">
        <f t="shared" si="1274"/>
        <v>1.3989193348138562</v>
      </c>
      <c r="DC462" s="188">
        <f t="shared" si="1275"/>
        <v>0.29302682427824522</v>
      </c>
      <c r="DD462" s="188">
        <f t="shared" si="1276"/>
        <v>0.76309497491941802</v>
      </c>
      <c r="DE462" s="188">
        <f t="shared" si="1277"/>
        <v>0.31280857135128509</v>
      </c>
      <c r="DF462" s="189">
        <f>INDEX('State Tax Lookup'!$D$7:$Z$91,MATCH(Calculation!$C462,'State Tax Lookup'!$B$7:$B$91,0),MATCH($H462,'State Tax Lookup'!$D$6:$Z$6,0))</f>
        <v>0.39279166999999998</v>
      </c>
      <c r="DG462" s="189">
        <v>0.375</v>
      </c>
      <c r="DH462" s="190">
        <f t="shared" si="1281"/>
        <v>21.041771711692935</v>
      </c>
      <c r="DI462" s="190">
        <v>20.566553213842933</v>
      </c>
      <c r="DJ462" s="177"/>
      <c r="DK462" s="189">
        <f>VLOOKUP($H462,RoR!$E:$F,2,FALSE)</f>
        <v>3.6658333333333334E-2</v>
      </c>
      <c r="DL462" s="191">
        <f>HLOOKUP($H462,'GDP-PI'!$D$8:$CQ$11,3,FALSE)</f>
        <v>1.0483662879041455E-2</v>
      </c>
      <c r="DM462" s="189">
        <f>VLOOKUP(H462,'HW Dx Data'!$E:$F,2,FALSE)</f>
        <v>671.45639385971219</v>
      </c>
      <c r="DN462" s="183">
        <f>VLOOKUP(H462,'ECI - Input Price'!$G$17:$H$37,2,FALSE)</f>
        <v>126.4</v>
      </c>
      <c r="DO462" s="177">
        <f t="shared" ref="DO462" si="1328">LN(DN462/DN461)</f>
        <v>2.11880802639575E-2</v>
      </c>
      <c r="DP462" s="183">
        <f>HLOOKUP(H462,'GDP-PI'!$8:$9,2,FALSE)</f>
        <v>105.736</v>
      </c>
      <c r="DQ462" s="177">
        <f t="shared" ref="DQ462" si="1329">LN(DP462/DP461)</f>
        <v>1.0429090367205095E-2</v>
      </c>
    </row>
    <row r="463" spans="1:122" s="167" customFormat="1" ht="21" x14ac:dyDescent="0.35">
      <c r="A463" s="167" t="s">
        <v>54</v>
      </c>
      <c r="B463" s="168" t="s">
        <v>54</v>
      </c>
      <c r="C463" s="168">
        <v>4057118</v>
      </c>
      <c r="D463" s="168" t="s">
        <v>141</v>
      </c>
      <c r="E463" s="168"/>
      <c r="F463" s="168"/>
      <c r="G463" s="168" t="s">
        <v>23</v>
      </c>
      <c r="H463" s="169">
        <v>2017</v>
      </c>
      <c r="I463" s="170"/>
      <c r="J463" s="166">
        <f>IFERROR(INDEX('Labor Expenditures'!$F$7:$X$91,MATCH($C463,'Labor Expenditures'!$D$7:$D$91,0),MATCH($G463,'Labor Expenditures'!$F$5:$X$5,0)),"NA")</f>
        <v>3761.7955584156584</v>
      </c>
      <c r="K463" s="166">
        <f t="shared" si="1286"/>
        <v>29.048614350700063</v>
      </c>
      <c r="L463" s="172">
        <f t="shared" si="1293"/>
        <v>-4.3612062542768476E-2</v>
      </c>
      <c r="M463" s="172">
        <f t="shared" si="1297"/>
        <v>-6.3818333518779168E-5</v>
      </c>
      <c r="N463" s="196"/>
      <c r="O463" s="172"/>
      <c r="P463" s="166">
        <f>IFERROR(INDEX('Non-Labor Expenditures'!$F$7:$AB$91,MATCH($C463,'Non-Labor Expenditures'!$D$7:$D$91,0),MATCH($G463,'Non-Labor Expenditures'!$F$5:$AB$5,0)),"NA")</f>
        <v>5447.7825750789998</v>
      </c>
      <c r="Q463" s="166">
        <f t="shared" si="1287"/>
        <v>50.558997829059585</v>
      </c>
      <c r="R463" s="172">
        <f t="shared" si="1298"/>
        <v>-3.8260251343678095E-2</v>
      </c>
      <c r="S463" s="172">
        <f t="shared" si="1303"/>
        <v>-5.5986929725433003E-5</v>
      </c>
      <c r="T463" s="172"/>
      <c r="U463" s="172"/>
      <c r="V463" s="166">
        <f t="shared" si="1267"/>
        <v>8126.8985637601199</v>
      </c>
      <c r="W463" s="170"/>
      <c r="X463" s="174">
        <v>432.52750861678521</v>
      </c>
      <c r="Y463" s="175">
        <v>9.129887007166838E-3</v>
      </c>
      <c r="Z463" s="175">
        <f t="shared" si="1304"/>
        <v>1.3359931634527901E-5</v>
      </c>
      <c r="AA463" s="175"/>
      <c r="AB463" s="175"/>
      <c r="AC463" s="170">
        <f t="shared" si="1278"/>
        <v>17336.47669725478</v>
      </c>
      <c r="AD463" s="175">
        <f t="shared" si="1299"/>
        <v>-5.5024053430972421E-2</v>
      </c>
      <c r="AE463" s="170"/>
      <c r="AF463" s="170"/>
      <c r="AG463" s="121">
        <f t="shared" si="1300"/>
        <v>496.86107695903877</v>
      </c>
      <c r="AH463" s="119">
        <f>+AZ463/$BB$55</f>
        <v>9.2943083358575324E-4</v>
      </c>
      <c r="AI463" s="119"/>
      <c r="AJ463" s="176">
        <f t="shared" si="1305"/>
        <v>0.46179800493435447</v>
      </c>
      <c r="AK463" s="176">
        <f t="shared" si="1306"/>
        <v>0</v>
      </c>
      <c r="AL463" s="120">
        <f t="shared" si="1288"/>
        <v>0.21698731663345044</v>
      </c>
      <c r="AM463" s="120">
        <f t="shared" si="1289"/>
        <v>0.31423816212562111</v>
      </c>
      <c r="AN463" s="120">
        <f t="shared" si="1290"/>
        <v>0.46877452124092833</v>
      </c>
      <c r="AO463" s="120">
        <f t="shared" si="1294"/>
        <v>-1.6745174304754806E-2</v>
      </c>
      <c r="AP463" s="173">
        <f t="shared" si="1310"/>
        <v>103.68991005694834</v>
      </c>
      <c r="AQ463" s="175">
        <f t="shared" si="1311"/>
        <v>-1.6745174304754858E-2</v>
      </c>
      <c r="AR463" s="177">
        <f>+AC463/$AE$55</f>
        <v>1.4633183985782667E-3</v>
      </c>
      <c r="AS463" s="177">
        <f t="shared" si="1307"/>
        <v>-2.4503521647547819E-5</v>
      </c>
      <c r="AT463" s="177"/>
      <c r="AU463" s="177"/>
      <c r="AV463" s="177"/>
      <c r="AW463" s="190"/>
      <c r="AX463" s="120"/>
      <c r="AY463" s="120"/>
      <c r="AZ463" s="118">
        <f>IFERROR(INDEX('Total Customers'!$F$7:$AB$91,MATCH($C463,'Total Customers'!$D$7:$D$91,0),MATCH($G463,'Total Customers'!$F$5:$AB$5,0)),"NA")</f>
        <v>34892</v>
      </c>
      <c r="BA463" s="119">
        <f t="shared" si="1268"/>
        <v>2.6250055429677149E-2</v>
      </c>
      <c r="BB463" s="119"/>
      <c r="BC463" s="121"/>
      <c r="BD463" s="119"/>
      <c r="BE463" s="119"/>
      <c r="BF463" s="119"/>
      <c r="BG463" s="173"/>
      <c r="BH463" s="173"/>
      <c r="BI463" s="173"/>
      <c r="BJ463" s="173"/>
      <c r="BK463" s="173"/>
      <c r="BL463" s="173"/>
      <c r="BM463" s="173"/>
      <c r="BN463" s="173"/>
      <c r="BO463" s="173"/>
      <c r="BP463" s="173"/>
      <c r="BQ463" s="118"/>
      <c r="BR463" s="118"/>
      <c r="BS463" s="118">
        <f>INDEX('Dist. Plant Gas Additions'!$F$7:$AE$91,MATCH($C463,'Dist. Plant Gas Additions'!$D$7:$D$91,0),MATCH(Calculation!$G463,'Dist. Plant Gas Additions'!$F$5:$AE$5,0))</f>
        <v>4393</v>
      </c>
      <c r="BT463" s="118">
        <f>INDEX('Gen. Plant Additions'!$F$7:$AE$91,MATCH($C463,'Gen. Plant Additions'!$D$7:$D$91,0),MATCH(Calculation!$G463,'Gen. Plant Additions'!$F$5:$AE$5,0))</f>
        <v>1234</v>
      </c>
      <c r="BU463" s="118"/>
      <c r="BV463" s="118"/>
      <c r="BW463" s="118">
        <f>INDEX('Dist Plant Depreciation'!$E$7:$AD$94,MATCH($C463,'Dist Plant Depreciation'!$D$7:$D$94,0),MATCH(Calculation!$G463,'Dist Plant Depreciation'!$E$5:$AD$5,0))</f>
        <v>52414</v>
      </c>
      <c r="BX463" s="118">
        <f>INDEX('Gen. Plant Depreciation'!$E$7:$AD$94,MATCH($C463,'Gen. Plant Depreciation'!$D$7:$D$94,0),MATCH(Calculation!$G463,'Gen. Plant Depreciation'!$E$5:$AD$5,0))</f>
        <v>13647</v>
      </c>
      <c r="BY463" s="118"/>
      <c r="BZ463" s="118"/>
      <c r="CA463" s="118"/>
      <c r="CB463" s="118"/>
      <c r="CC463" s="118"/>
      <c r="CD463" s="118"/>
      <c r="CE463" s="118">
        <f>INDEX('Gross Dx Plant'!$E$7:$AD$91,MATCH($C463,'Gross Dx Plant'!$D$7:$D$91,0),MATCH(Calculation!$G463,'Gross Dx Plant'!$E$5:$AD$5,0))</f>
        <v>126218</v>
      </c>
      <c r="CF463" s="118">
        <f>INDEX('Gross Gen Plant'!$E$7:$AD$91,MATCH($C463,'Gross Gen Plant'!$D$7:$D$91,0),MATCH(Calculation!$G463,'Gross Gen Plant'!$E$5:$AD$5,0))</f>
        <v>24267</v>
      </c>
      <c r="CG463" s="118">
        <f t="shared" si="1177"/>
        <v>84424</v>
      </c>
      <c r="CH463" s="118"/>
      <c r="CI463" s="121">
        <v>2017</v>
      </c>
      <c r="CJ463" s="118"/>
      <c r="CK463" s="118"/>
      <c r="CL463" s="118"/>
      <c r="CM463" s="183"/>
      <c r="CN463" s="118">
        <f t="shared" si="1269"/>
        <v>5627</v>
      </c>
      <c r="CO463" s="118">
        <f t="shared" si="1270"/>
        <v>7.8983355366765524</v>
      </c>
      <c r="CP463" s="186">
        <v>0.87074829931972786</v>
      </c>
      <c r="CQ463" s="118">
        <f>+CQ444*CP463+CO445*CP462+CO446*CP461+CO447*CP460+CO448*CP459+CO449*CP458+CO450*CP457+CO451*CP456+CO452*CP455+CO453*CP454+CO454*CP453+CO455*CP452+CO456*CP451+CO457*CP450+CO458*CP449+CO459*CP448+CO460*CP447+CO461*CP446+CO462*CP445+CO463</f>
        <v>432.52750861678521</v>
      </c>
      <c r="CR463" s="119">
        <f t="shared" si="1271"/>
        <v>9.129887007166838E-3</v>
      </c>
      <c r="CS463" s="119"/>
      <c r="CT463" s="177">
        <f t="shared" si="1272"/>
        <v>9.2566776848192339E-3</v>
      </c>
      <c r="CU463" s="177">
        <f t="shared" si="1280"/>
        <v>8.9123019058485447E-3</v>
      </c>
      <c r="CV463" s="119">
        <f>VLOOKUP($H463,RoR!$E:$F,2,FALSE)</f>
        <v>3.7433333333333339E-2</v>
      </c>
      <c r="CW463" s="177">
        <v>1.9056896421275615E-2</v>
      </c>
      <c r="CX463" s="177">
        <f t="shared" si="1279"/>
        <v>1.8376436912057724E-2</v>
      </c>
      <c r="CY463" s="177">
        <f t="shared" si="1282"/>
        <v>2.1989639702685082E-2</v>
      </c>
      <c r="CZ463" s="177">
        <f t="shared" si="1283"/>
        <v>1.3976271617800498E-2</v>
      </c>
      <c r="DA463" s="187">
        <f t="shared" si="1273"/>
        <v>0.90520312375</v>
      </c>
      <c r="DB463" s="188">
        <f t="shared" si="1274"/>
        <v>1.3699568463593395</v>
      </c>
      <c r="DC463" s="188">
        <f t="shared" si="1275"/>
        <v>0.30714603739982199</v>
      </c>
      <c r="DD463" s="188">
        <f t="shared" si="1276"/>
        <v>0.77007188472689425</v>
      </c>
      <c r="DE463" s="188">
        <f t="shared" si="1277"/>
        <v>0.32402839633793828</v>
      </c>
      <c r="DF463" s="189">
        <f>INDEX('State Tax Lookup'!$D$7:$Z$91,MATCH(Calculation!$C463,'State Tax Lookup'!$B$7:$B$91,0),MATCH($H463,'State Tax Lookup'!$D$6:$Z$6,0))</f>
        <v>0.25279166999999997</v>
      </c>
      <c r="DG463" s="189">
        <v>0.375</v>
      </c>
      <c r="DH463" s="190">
        <f t="shared" si="1281"/>
        <v>18.961651703707084</v>
      </c>
      <c r="DI463" s="190">
        <v>18.547322010960489</v>
      </c>
      <c r="DJ463" s="177"/>
      <c r="DK463" s="189">
        <f>VLOOKUP($H463,RoR!$E:$F,2,FALSE)</f>
        <v>3.7433333333333339E-2</v>
      </c>
      <c r="DL463" s="191">
        <f>HLOOKUP($H463,'GDP-PI'!$D$8:$CQ$11,3,FALSE)</f>
        <v>1.9056896421275615E-2</v>
      </c>
      <c r="DM463" s="189">
        <f>VLOOKUP(H463,'HW Dx Data'!$E:$F,2,FALSE)</f>
        <v>712.42858370229726</v>
      </c>
      <c r="DN463" s="183">
        <f>VLOOKUP(H463,'ECI - Input Price'!$G$17:$H$37,2,FALSE)</f>
        <v>129.5</v>
      </c>
      <c r="DO463" s="177">
        <f t="shared" ref="DO463" si="1330">LN(DN463/DN462)</f>
        <v>2.4229399426835413E-2</v>
      </c>
      <c r="DP463" s="183">
        <f>HLOOKUP(H463,'GDP-PI'!$8:$9,2,FALSE)</f>
        <v>107.751</v>
      </c>
      <c r="DQ463" s="177">
        <f t="shared" ref="DQ463" si="1331">LN(DP463/DP462)</f>
        <v>1.8877588227745139E-2</v>
      </c>
    </row>
    <row r="464" spans="1:122" s="167" customFormat="1" ht="21" x14ac:dyDescent="0.35">
      <c r="A464" s="167" t="s">
        <v>54</v>
      </c>
      <c r="B464" s="168" t="s">
        <v>54</v>
      </c>
      <c r="C464" s="168">
        <v>4057118</v>
      </c>
      <c r="D464" s="168" t="s">
        <v>141</v>
      </c>
      <c r="E464" s="168"/>
      <c r="F464" s="168"/>
      <c r="G464" s="168" t="s">
        <v>24</v>
      </c>
      <c r="H464" s="169">
        <v>2018</v>
      </c>
      <c r="I464" s="170"/>
      <c r="J464" s="166">
        <f>IFERROR(INDEX('Labor Expenditures'!$F$7:$X$91,MATCH($C464,'Labor Expenditures'!$D$7:$D$91,0),MATCH($G464,'Labor Expenditures'!$F$5:$X$5,0)),"NA")</f>
        <v>3803.3084572968282</v>
      </c>
      <c r="K464" s="166">
        <f t="shared" si="1286"/>
        <v>28.542652587593459</v>
      </c>
      <c r="L464" s="172">
        <f t="shared" si="1293"/>
        <v>-1.7571232856585663E-2</v>
      </c>
      <c r="M464" s="172">
        <f t="shared" si="1297"/>
        <v>-2.4351200927817273E-5</v>
      </c>
      <c r="N464" s="196"/>
      <c r="O464" s="172"/>
      <c r="P464" s="166">
        <f>IFERROR(INDEX('Non-Labor Expenditures'!$F$7:$AB$91,MATCH($C464,'Non-Labor Expenditures'!$D$7:$D$91,0),MATCH($G464,'Non-Labor Expenditures'!$F$5:$AB$5,0)),"NA")</f>
        <v>5507.9010061989256</v>
      </c>
      <c r="Q464" s="166">
        <f t="shared" si="1287"/>
        <v>49.92568124398511</v>
      </c>
      <c r="R464" s="172">
        <f t="shared" si="1298"/>
        <v>-1.2605403666732868E-2</v>
      </c>
      <c r="S464" s="172">
        <f t="shared" si="1303"/>
        <v>-1.7469276058783202E-5</v>
      </c>
      <c r="T464" s="172"/>
      <c r="U464" s="172"/>
      <c r="V464" s="166">
        <f t="shared" si="1267"/>
        <v>8541.5036710389722</v>
      </c>
      <c r="W464" s="170"/>
      <c r="X464" s="174">
        <v>439.65686756840228</v>
      </c>
      <c r="Y464" s="175">
        <v>1.6348648150909188E-2</v>
      </c>
      <c r="Z464" s="175">
        <f t="shared" si="1304"/>
        <v>2.2656874407749225E-5</v>
      </c>
      <c r="AA464" s="175"/>
      <c r="AB464" s="175"/>
      <c r="AC464" s="170">
        <f t="shared" si="1278"/>
        <v>17852.713134534726</v>
      </c>
      <c r="AD464" s="175">
        <f t="shared" si="1299"/>
        <v>2.9342731617536928E-2</v>
      </c>
      <c r="AE464" s="170"/>
      <c r="AF464" s="170"/>
      <c r="AG464" s="121">
        <f t="shared" si="1300"/>
        <v>509.01585648603566</v>
      </c>
      <c r="AH464" s="119">
        <f>+AZ464/$BB$56</f>
        <v>9.2613702708667595E-4</v>
      </c>
      <c r="AI464" s="119"/>
      <c r="AJ464" s="176">
        <f t="shared" si="1305"/>
        <v>0.47141843206595518</v>
      </c>
      <c r="AK464" s="176">
        <f t="shared" si="1306"/>
        <v>0</v>
      </c>
      <c r="AL464" s="120">
        <f t="shared" si="1288"/>
        <v>0.21303812079630716</v>
      </c>
      <c r="AM464" s="120">
        <f t="shared" si="1289"/>
        <v>0.30851898894540053</v>
      </c>
      <c r="AN464" s="120">
        <f t="shared" si="1290"/>
        <v>0.47844289025829234</v>
      </c>
      <c r="AO464" s="120">
        <f t="shared" si="1294"/>
        <v>3.9770906043784873E-5</v>
      </c>
      <c r="AP464" s="173">
        <f t="shared" si="1310"/>
        <v>103.69403398062444</v>
      </c>
      <c r="AQ464" s="175">
        <f t="shared" si="1311"/>
        <v>3.9770906043744473E-5</v>
      </c>
      <c r="AR464" s="177">
        <f>+AC464/$AE$56</f>
        <v>1.3858561392116827E-3</v>
      </c>
      <c r="AS464" s="177">
        <f t="shared" si="1307"/>
        <v>5.5116754302734298E-8</v>
      </c>
      <c r="AT464" s="177"/>
      <c r="AU464" s="177"/>
      <c r="AV464" s="177"/>
      <c r="AW464" s="190"/>
      <c r="AX464" s="120"/>
      <c r="AY464" s="120"/>
      <c r="AZ464" s="118">
        <f>IFERROR(INDEX('Total Customers'!$F$7:$AB$91,MATCH($C464,'Total Customers'!$D$7:$D$91,0),MATCH($G464,'Total Customers'!$F$5:$AB$5,0)),"NA")</f>
        <v>35073</v>
      </c>
      <c r="BA464" s="119">
        <f t="shared" si="1268"/>
        <v>5.1740271218194142E-3</v>
      </c>
      <c r="BB464" s="119"/>
      <c r="BC464" s="121"/>
      <c r="BD464" s="119"/>
      <c r="BE464" s="119"/>
      <c r="BF464" s="119"/>
      <c r="BG464" s="173"/>
      <c r="BH464" s="173"/>
      <c r="BI464" s="173"/>
      <c r="BJ464" s="173"/>
      <c r="BK464" s="173"/>
      <c r="BL464" s="173"/>
      <c r="BM464" s="173"/>
      <c r="BN464" s="173"/>
      <c r="BO464" s="173"/>
      <c r="BP464" s="173"/>
      <c r="BQ464" s="118"/>
      <c r="BR464" s="118"/>
      <c r="BS464" s="118">
        <f>INDEX('Dist. Plant Gas Additions'!$F$7:$AE$91,MATCH($C464,'Dist. Plant Gas Additions'!$D$7:$D$91,0),MATCH(Calculation!$G464,'Dist. Plant Gas Additions'!$F$5:$AE$5,0))</f>
        <v>4739</v>
      </c>
      <c r="BT464" s="118">
        <f>INDEX('Gen. Plant Additions'!$F$7:$AE$91,MATCH($C464,'Gen. Plant Additions'!$D$7:$D$91,0),MATCH(Calculation!$G464,'Gen. Plant Additions'!$F$5:$AE$5,0))</f>
        <v>3790</v>
      </c>
      <c r="BU464" s="118"/>
      <c r="BV464" s="118"/>
      <c r="BW464" s="118">
        <f>INDEX('Dist Plant Depreciation'!$E$7:$AD$94,MATCH($C464,'Dist Plant Depreciation'!$D$7:$D$94,0),MATCH(Calculation!$G464,'Dist Plant Depreciation'!$E$5:$AD$5,0))</f>
        <v>58542</v>
      </c>
      <c r="BX464" s="118">
        <f>INDEX('Gen. Plant Depreciation'!$E$7:$AD$94,MATCH($C464,'Gen. Plant Depreciation'!$D$7:$D$94,0),MATCH(Calculation!$G464,'Gen. Plant Depreciation'!$E$5:$AD$5,0))</f>
        <v>9902</v>
      </c>
      <c r="BY464" s="118"/>
      <c r="BZ464" s="118"/>
      <c r="CA464" s="118"/>
      <c r="CB464" s="118"/>
      <c r="CC464" s="118"/>
      <c r="CD464" s="118"/>
      <c r="CE464" s="118">
        <f>INDEX('Gross Dx Plant'!$E$7:$AD$91,MATCH($C464,'Gross Dx Plant'!$D$7:$D$91,0),MATCH(Calculation!$G464,'Gross Dx Plant'!$E$5:$AD$5,0))</f>
        <v>130183</v>
      </c>
      <c r="CF464" s="118">
        <f>INDEX('Gross Gen Plant'!$E$7:$AD$91,MATCH($C464,'Gross Gen Plant'!$D$7:$D$91,0),MATCH(Calculation!$G464,'Gross Gen Plant'!$E$5:$AD$5,0))</f>
        <v>23181</v>
      </c>
      <c r="CG464" s="118">
        <f t="shared" si="1177"/>
        <v>84920</v>
      </c>
      <c r="CH464" s="118"/>
      <c r="CI464" s="121">
        <v>2018</v>
      </c>
      <c r="CJ464" s="118"/>
      <c r="CK464" s="118"/>
      <c r="CL464" s="118"/>
      <c r="CM464" s="183"/>
      <c r="CN464" s="118">
        <f t="shared" si="1269"/>
        <v>8529</v>
      </c>
      <c r="CO464" s="118">
        <f t="shared" si="1270"/>
        <v>11.294643523503842</v>
      </c>
      <c r="CP464" s="186">
        <v>0.86111111111111116</v>
      </c>
      <c r="CQ464" s="118">
        <f>+CQ444*CP464++CO445*CP463+CO446*CP462+CO447*CP461+CO448*CP460+CO449*CP459+CO450*CP458+CO451*CP457+CO452*CP456+CO453*CP455+CO454*CP454+CO455*CP453+CO456*CP452+CO457*CP451+CO458*CP450+CO459*CP449+CO460*CP448+CO461*CP447+CO462*CP446+CO463*CP445+CO464</f>
        <v>439.65686756840228</v>
      </c>
      <c r="CR464" s="119">
        <f t="shared" si="1271"/>
        <v>1.6348648150909188E-2</v>
      </c>
      <c r="CS464" s="119"/>
      <c r="CT464" s="177">
        <f t="shared" si="1272"/>
        <v>9.6301032625815616E-3</v>
      </c>
      <c r="CU464" s="177">
        <f t="shared" si="1280"/>
        <v>9.2643414395623489E-3</v>
      </c>
      <c r="CV464" s="119">
        <f>VLOOKUP($H464,RoR!$E:$F,2,FALSE)</f>
        <v>3.9299999999999995E-2</v>
      </c>
      <c r="CW464" s="177">
        <v>2.386056741932796E-2</v>
      </c>
      <c r="CX464" s="177">
        <f t="shared" si="1279"/>
        <v>1.5439432580672034E-2</v>
      </c>
      <c r="CY464" s="177">
        <f t="shared" si="1282"/>
        <v>2.1637600168971274E-2</v>
      </c>
      <c r="CZ464" s="177">
        <f t="shared" si="1283"/>
        <v>3.8270792163076606E-2</v>
      </c>
      <c r="DA464" s="187">
        <f t="shared" si="1273"/>
        <v>0.90520312375</v>
      </c>
      <c r="DB464" s="188">
        <f t="shared" si="1274"/>
        <v>1.3048868010700074</v>
      </c>
      <c r="DC464" s="188">
        <f t="shared" si="1275"/>
        <v>0.33886768447837151</v>
      </c>
      <c r="DD464" s="188">
        <f t="shared" si="1276"/>
        <v>0.78602506232557801</v>
      </c>
      <c r="DE464" s="188">
        <f t="shared" si="1277"/>
        <v>0.34756768162358759</v>
      </c>
      <c r="DF464" s="189">
        <f>INDEX('State Tax Lookup'!$D$7:$Z$91,MATCH(Calculation!$C464,'State Tax Lookup'!$B$7:$B$91,0),MATCH($H464,'State Tax Lookup'!$D$6:$Z$6,0))</f>
        <v>0.25279166999999997</v>
      </c>
      <c r="DG464" s="189">
        <v>0.375</v>
      </c>
      <c r="DH464" s="190">
        <f t="shared" si="1281"/>
        <v>19.747885396594864</v>
      </c>
      <c r="DI464" s="190">
        <v>19.306676580771498</v>
      </c>
      <c r="DJ464" s="177"/>
      <c r="DK464" s="189">
        <f>VLOOKUP($H464,RoR!$E:$F,2,FALSE)</f>
        <v>3.9299999999999995E-2</v>
      </c>
      <c r="DL464" s="191">
        <f>HLOOKUP($H464,'GDP-PI'!$D$8:$CQ$11,3,FALSE)</f>
        <v>2.386056741932796E-2</v>
      </c>
      <c r="DM464" s="189">
        <f>VLOOKUP(H464,'HW Dx Data'!$E:$F,2,FALSE)</f>
        <v>755.13671434174842</v>
      </c>
      <c r="DN464" s="183">
        <f>VLOOKUP(H464,'ECI - Input Price'!$G$17:$H$37,2,FALSE)</f>
        <v>133.25</v>
      </c>
      <c r="DO464" s="177">
        <f t="shared" ref="DO464" si="1332">LN(DN464/DN463)</f>
        <v>2.8546181906361531E-2</v>
      </c>
      <c r="DP464" s="183">
        <f>HLOOKUP(H464,'GDP-PI'!$8:$9,2,FALSE)</f>
        <v>110.322</v>
      </c>
      <c r="DQ464" s="177">
        <f t="shared" ref="DQ464" si="1333">LN(DP464/DP463)</f>
        <v>2.3580352716508712E-2</v>
      </c>
    </row>
    <row r="465" spans="1:121" s="167" customFormat="1" ht="21" x14ac:dyDescent="0.35">
      <c r="A465" s="167" t="s">
        <v>54</v>
      </c>
      <c r="B465" s="168" t="s">
        <v>54</v>
      </c>
      <c r="C465" s="168">
        <v>4057118</v>
      </c>
      <c r="D465" s="168" t="s">
        <v>141</v>
      </c>
      <c r="E465" s="168"/>
      <c r="F465" s="168"/>
      <c r="G465" s="168" t="s">
        <v>25</v>
      </c>
      <c r="H465" s="169">
        <v>2019</v>
      </c>
      <c r="I465" s="170"/>
      <c r="J465" s="166">
        <f>IFERROR(INDEX('Labor Expenditures'!$F$7:$X$91,MATCH($C465,'Labor Expenditures'!$D$7:$D$91,0),MATCH($G465,'Labor Expenditures'!$F$5:$X$5,0)),"NA")</f>
        <v>2530.9203422545406</v>
      </c>
      <c r="K465" s="166">
        <f t="shared" si="1286"/>
        <v>18.494120148005411</v>
      </c>
      <c r="L465" s="172">
        <f t="shared" si="1293"/>
        <v>-0.43394669880450337</v>
      </c>
      <c r="M465" s="172">
        <f t="shared" si="1297"/>
        <v>-4.8788781719810953E-4</v>
      </c>
      <c r="N465" s="196"/>
      <c r="O465" s="172"/>
      <c r="P465" s="166">
        <f>IFERROR(INDEX('Non-Labor Expenditures'!$F$7:$AB$91,MATCH($C465,'Non-Labor Expenditures'!$D$7:$D$91,0),MATCH($G465,'Non-Labor Expenditures'!$F$5:$AB$5,0)),"NA")</f>
        <v>3665.2453662990301</v>
      </c>
      <c r="Q465" s="166">
        <f t="shared" si="1287"/>
        <v>32.63275135151116</v>
      </c>
      <c r="R465" s="172">
        <f t="shared" si="1298"/>
        <v>-0.42521909781517087</v>
      </c>
      <c r="S465" s="172">
        <f t="shared" si="1303"/>
        <v>-4.7807534435802967E-4</v>
      </c>
      <c r="T465" s="172"/>
      <c r="U465" s="172"/>
      <c r="V465" s="166">
        <f t="shared" si="1267"/>
        <v>8740.4736416054802</v>
      </c>
      <c r="W465" s="170"/>
      <c r="X465" s="174">
        <v>448.82945609586699</v>
      </c>
      <c r="Y465" s="175">
        <v>2.0648408828473033E-2</v>
      </c>
      <c r="Z465" s="175">
        <f t="shared" si="1304"/>
        <v>2.3215079500988096E-5</v>
      </c>
      <c r="AA465" s="175"/>
      <c r="AB465" s="175"/>
      <c r="AC465" s="170">
        <f t="shared" si="1278"/>
        <v>14936.63935015905</v>
      </c>
      <c r="AD465" s="175">
        <f t="shared" si="1299"/>
        <v>-0.17833828170178537</v>
      </c>
      <c r="AE465" s="170"/>
      <c r="AF465" s="170"/>
      <c r="AG465" s="121">
        <f t="shared" si="1300"/>
        <v>422.42821771427504</v>
      </c>
      <c r="AH465" s="119">
        <f>+AZ465/$BB$57</f>
        <v>9.2605037667954832E-4</v>
      </c>
      <c r="AI465" s="119"/>
      <c r="AJ465" s="176">
        <f t="shared" si="1305"/>
        <v>0.39118981013437465</v>
      </c>
      <c r="AK465" s="176">
        <f t="shared" si="1306"/>
        <v>0</v>
      </c>
      <c r="AL465" s="120">
        <f t="shared" si="1288"/>
        <v>0.1694437606025207</v>
      </c>
      <c r="AM465" s="120">
        <f t="shared" si="1289"/>
        <v>0.24538621308145875</v>
      </c>
      <c r="AN465" s="120">
        <f t="shared" si="1290"/>
        <v>0.58517002631602055</v>
      </c>
      <c r="AO465" s="120">
        <f t="shared" si="1294"/>
        <v>-0.1897729528649385</v>
      </c>
      <c r="AP465" s="173">
        <f t="shared" si="1310"/>
        <v>85.770200203363771</v>
      </c>
      <c r="AQ465" s="175">
        <f t="shared" si="1311"/>
        <v>-0.18977295286493848</v>
      </c>
      <c r="AR465" s="177">
        <f>+AC465/$AE$57</f>
        <v>1.1243035574235514E-3</v>
      </c>
      <c r="AS465" s="177">
        <f t="shared" si="1307"/>
        <v>-2.1336240600882227E-4</v>
      </c>
      <c r="AT465" s="177"/>
      <c r="AU465" s="177"/>
      <c r="AV465" s="177"/>
      <c r="AW465" s="190"/>
      <c r="AX465" s="120"/>
      <c r="AY465" s="120"/>
      <c r="AZ465" s="118">
        <f>IFERROR(INDEX('Total Customers'!$F$7:$AB$91,MATCH($C465,'Total Customers'!$D$7:$D$91,0),MATCH($G465,'Total Customers'!$F$5:$AB$5,0)),"NA")</f>
        <v>35359</v>
      </c>
      <c r="BA465" s="119">
        <f t="shared" si="1268"/>
        <v>8.1213531337625995E-3</v>
      </c>
      <c r="BB465" s="119"/>
      <c r="BC465" s="121"/>
      <c r="BD465" s="119"/>
      <c r="BE465" s="119"/>
      <c r="BF465" s="119"/>
      <c r="BG465" s="173"/>
      <c r="BH465" s="173"/>
      <c r="BI465" s="173"/>
      <c r="BJ465" s="173"/>
      <c r="BK465" s="173"/>
      <c r="BL465" s="173"/>
      <c r="BM465" s="173"/>
      <c r="BN465" s="173"/>
      <c r="BO465" s="173"/>
      <c r="BP465" s="173"/>
      <c r="BQ465" s="118"/>
      <c r="BR465" s="118"/>
      <c r="BS465" s="118">
        <f>INDEX('Dist. Plant Gas Additions'!$F$7:$AE$91,MATCH($C465,'Dist. Plant Gas Additions'!$D$7:$D$91,0),MATCH(Calculation!$G465,'Dist. Plant Gas Additions'!$F$5:$AE$5,0))</f>
        <v>9438</v>
      </c>
      <c r="BT465" s="118">
        <f>INDEX('Gen. Plant Additions'!$F$7:$AE$91,MATCH($C465,'Gen. Plant Additions'!$D$7:$D$91,0),MATCH(Calculation!$G465,'Gen. Plant Additions'!$F$5:$AE$5,0))</f>
        <v>1054</v>
      </c>
      <c r="BU465" s="118"/>
      <c r="BV465" s="118"/>
      <c r="BW465" s="118">
        <f>INDEX('Dist Plant Depreciation'!$E$7:$AD$94,MATCH($C465,'Dist Plant Depreciation'!$D$7:$D$94,0),MATCH(Calculation!$G465,'Dist Plant Depreciation'!$E$5:$AD$5,0))</f>
        <v>58547</v>
      </c>
      <c r="BX465" s="118">
        <f>INDEX('Gen. Plant Depreciation'!$E$7:$AD$94,MATCH($C465,'Gen. Plant Depreciation'!$D$7:$D$94,0),MATCH(Calculation!$G465,'Gen. Plant Depreciation'!$E$5:$AD$5,0))</f>
        <v>10595</v>
      </c>
      <c r="BY465" s="118"/>
      <c r="BZ465" s="118"/>
      <c r="CA465" s="118"/>
      <c r="CB465" s="118"/>
      <c r="CC465" s="118"/>
      <c r="CD465" s="118"/>
      <c r="CE465" s="118">
        <f>INDEX('Gross Dx Plant'!$E$7:$AD$91,MATCH($C465,'Gross Dx Plant'!$D$7:$D$91,0),MATCH(Calculation!$G465,'Gross Dx Plant'!$E$5:$AD$5,0))</f>
        <v>138983</v>
      </c>
      <c r="CF465" s="118">
        <f>INDEX('Gross Gen Plant'!$E$7:$AD$91,MATCH($C465,'Gross Gen Plant'!$D$7:$D$91,0),MATCH(Calculation!$G465,'Gross Gen Plant'!$E$5:$AD$5,0))</f>
        <v>19996</v>
      </c>
      <c r="CG465" s="118">
        <f t="shared" si="1177"/>
        <v>89837</v>
      </c>
      <c r="CH465" s="118"/>
      <c r="CI465" s="121">
        <v>2019</v>
      </c>
      <c r="CJ465" s="118"/>
      <c r="CK465" s="118"/>
      <c r="CL465" s="118"/>
      <c r="CM465" s="183"/>
      <c r="CN465" s="118">
        <f t="shared" si="1269"/>
        <v>10492</v>
      </c>
      <c r="CO465" s="118">
        <f t="shared" si="1270"/>
        <v>13.563628929970832</v>
      </c>
      <c r="CP465" s="186">
        <v>0.85106382978723405</v>
      </c>
      <c r="CQ465" s="118">
        <f>CQ444*CP465+CO445*CP464+CO446*CP463+CO447*CP462+CO448*CP461+CO449*CP460+CO450*CP459+CO451*CP458+CO452*CP457+CO453*CP456+CO454*CP455+CO455*CP454+CO456*CP453+CO457*CP452+CO458*CP451+CO459*CP450+CO460*CP449+CO461*CP448+CO462*CP447+CO463*CP446+CO464*CP445+CO465</f>
        <v>448.82945609586699</v>
      </c>
      <c r="CR465" s="119">
        <f t="shared" si="1271"/>
        <v>2.0648408828473033E-2</v>
      </c>
      <c r="CS465" s="119"/>
      <c r="CT465" s="177">
        <f t="shared" si="1272"/>
        <v>9.9874259369392392E-3</v>
      </c>
      <c r="CU465" s="177">
        <f t="shared" si="1280"/>
        <v>9.6247356281133449E-3</v>
      </c>
      <c r="CV465" s="119">
        <f>VLOOKUP($H465,RoR!$E:$F,2,FALSE)</f>
        <v>3.3875000000000009E-2</v>
      </c>
      <c r="CW465" s="177">
        <v>1.8092492884465461E-2</v>
      </c>
      <c r="CX465" s="177">
        <f t="shared" si="1279"/>
        <v>1.5782507115534548E-2</v>
      </c>
      <c r="CY465" s="177">
        <f t="shared" si="1282"/>
        <v>2.127720598042028E-2</v>
      </c>
      <c r="CZ465" s="177">
        <f t="shared" si="1283"/>
        <v>4.8445665544254078E-2</v>
      </c>
      <c r="DA465" s="187">
        <f t="shared" si="1273"/>
        <v>0.90520312375</v>
      </c>
      <c r="DB465" s="188">
        <f t="shared" si="1274"/>
        <v>1.513861292459078</v>
      </c>
      <c r="DC465" s="188">
        <f t="shared" si="1275"/>
        <v>0.23699261992619944</v>
      </c>
      <c r="DD465" s="188">
        <f t="shared" si="1276"/>
        <v>0.73619765810468829</v>
      </c>
      <c r="DE465" s="188">
        <f t="shared" si="1277"/>
        <v>0.26412854465362851</v>
      </c>
      <c r="DF465" s="189">
        <f>INDEX('State Tax Lookup'!$D$7:$Z$91,MATCH(Calculation!$C465,'State Tax Lookup'!$B$7:$B$91,0),MATCH($H465,'State Tax Lookup'!$D$6:$Z$6,0))</f>
        <v>0.25279166999999997</v>
      </c>
      <c r="DG465" s="189">
        <v>0.375</v>
      </c>
      <c r="DH465" s="190">
        <f t="shared" si="1281"/>
        <v>19.880216337677538</v>
      </c>
      <c r="DI465" s="190">
        <v>19.443004467708853</v>
      </c>
      <c r="DJ465" s="177"/>
      <c r="DK465" s="189">
        <f>VLOOKUP($H465,RoR!$E:$F,2,FALSE)</f>
        <v>3.3875000000000009E-2</v>
      </c>
      <c r="DL465" s="191">
        <f>HLOOKUP($H465,'GDP-PI'!$D$8:$CQ$11,3,FALSE)</f>
        <v>1.8092492884465461E-2</v>
      </c>
      <c r="DM465" s="189">
        <f>VLOOKUP(H465,'HW Dx Data'!$E:$F,2,FALSE)</f>
        <v>773.53929793938721</v>
      </c>
      <c r="DN465" s="183">
        <f>VLOOKUP(H465,'ECI - Input Price'!$G$17:$H$37,2,FALSE)</f>
        <v>136.85</v>
      </c>
      <c r="DO465" s="177">
        <f t="shared" ref="DO465" si="1334">LN(DN465/DN464)</f>
        <v>2.6658372440734168E-2</v>
      </c>
      <c r="DP465" s="183">
        <f>HLOOKUP(H465,'GDP-PI'!$8:$9,2,FALSE)</f>
        <v>112.318</v>
      </c>
      <c r="DQ465" s="177">
        <f t="shared" ref="DQ465" si="1335">LN(DP465/DP464)</f>
        <v>1.7930771451401852E-2</v>
      </c>
    </row>
    <row r="466" spans="1:121" s="167" customFormat="1" ht="21" x14ac:dyDescent="0.35">
      <c r="A466" s="167" t="s">
        <v>54</v>
      </c>
      <c r="B466" s="167" t="s">
        <v>54</v>
      </c>
      <c r="C466" s="167">
        <v>4057118</v>
      </c>
      <c r="D466" s="167" t="s">
        <v>141</v>
      </c>
      <c r="G466" s="168" t="s">
        <v>26</v>
      </c>
      <c r="H466" s="169">
        <v>2020</v>
      </c>
      <c r="I466" s="170"/>
      <c r="J466" s="166">
        <f>IFERROR(INDEX('Labor Expenditures'!$F$7:$X$91,MATCH($C466,'Labor Expenditures'!$D$7:$D$91,0),MATCH($G466,'Labor Expenditures'!$F$5:$X$5,0)),"NA")</f>
        <v>2504.2658081777927</v>
      </c>
      <c r="K466" s="166">
        <f t="shared" si="1286"/>
        <v>17.830301233020954</v>
      </c>
      <c r="L466" s="172">
        <f t="shared" si="1293"/>
        <v>-3.6553525266630027E-2</v>
      </c>
      <c r="M466" s="172">
        <f t="shared" si="1297"/>
        <v>-4.0975240498293765E-5</v>
      </c>
      <c r="N466" s="196"/>
      <c r="O466" s="172"/>
      <c r="P466" s="166">
        <f>IFERROR(INDEX('Non-Labor Expenditures'!$F$7:$AB$91,MATCH($C466,'Non-Labor Expenditures'!$D$7:$D$91,0),MATCH($G466,'Non-Labor Expenditures'!$F$5:$AB$5,0)),"NA")</f>
        <v>3626.644622575649</v>
      </c>
      <c r="Q466" s="166">
        <f t="shared" si="1287"/>
        <v>31.918226262074128</v>
      </c>
      <c r="R466" s="172">
        <f t="shared" si="1298"/>
        <v>-2.2139223934458534E-2</v>
      </c>
      <c r="S466" s="172">
        <f t="shared" si="1303"/>
        <v>-2.481730608861884E-5</v>
      </c>
      <c r="T466" s="172"/>
      <c r="U466" s="172"/>
      <c r="V466" s="166">
        <f t="shared" si="1267"/>
        <v>9222.5831417128938</v>
      </c>
      <c r="W466" s="170"/>
      <c r="X466" s="174">
        <v>455.7930494522505</v>
      </c>
      <c r="Y466" s="175">
        <v>1.5395882510914302E-2</v>
      </c>
      <c r="Z466" s="175">
        <f t="shared" si="1304"/>
        <v>1.7258253040346173E-5</v>
      </c>
      <c r="AA466" s="175"/>
      <c r="AB466" s="175"/>
      <c r="AC466" s="170">
        <f t="shared" si="1278"/>
        <v>15353.493572466336</v>
      </c>
      <c r="AD466" s="175">
        <f t="shared" si="1299"/>
        <v>2.7525831128966189E-2</v>
      </c>
      <c r="AE466" s="170"/>
      <c r="AF466" s="170"/>
      <c r="AG466" s="121">
        <f t="shared" si="1300"/>
        <v>434.21741487220612</v>
      </c>
      <c r="AH466" s="119">
        <f>+AZ466/$BB$58</f>
        <v>9.1953966792028574E-4</v>
      </c>
      <c r="AI466" s="119"/>
      <c r="AJ466" s="176">
        <f t="shared" si="1305"/>
        <v>0.39928013747679336</v>
      </c>
      <c r="AK466" s="176">
        <f t="shared" si="1306"/>
        <v>0</v>
      </c>
      <c r="AL466" s="120">
        <f t="shared" si="1288"/>
        <v>0.16310723004884911</v>
      </c>
      <c r="AM466" s="120">
        <f t="shared" si="1289"/>
        <v>0.23620973333908632</v>
      </c>
      <c r="AN466" s="120">
        <f t="shared" si="1290"/>
        <v>0.60068303661206457</v>
      </c>
      <c r="AO466" s="120">
        <f t="shared" si="1294"/>
        <v>-2.2804085554504836E-3</v>
      </c>
      <c r="AP466" s="173">
        <f t="shared" si="1310"/>
        <v>85.574831949400078</v>
      </c>
      <c r="AQ466" s="175">
        <f t="shared" si="1311"/>
        <v>-2.2804085554504411E-3</v>
      </c>
      <c r="AR466" s="177">
        <f>+AC466/$AE$58</f>
        <v>1.1209654937358491E-3</v>
      </c>
      <c r="AS466" s="177">
        <f t="shared" si="1307"/>
        <v>-2.5562593022799583E-6</v>
      </c>
      <c r="AT466" s="177"/>
      <c r="AU466" s="177"/>
      <c r="AV466" s="177"/>
      <c r="AW466" s="190"/>
      <c r="AX466" s="120"/>
      <c r="AY466" s="120"/>
      <c r="AZ466" s="118">
        <v>35359</v>
      </c>
      <c r="BA466" s="119">
        <f t="shared" si="1268"/>
        <v>0</v>
      </c>
      <c r="BB466" s="119"/>
      <c r="BC466" s="121"/>
      <c r="BD466" s="119"/>
      <c r="BE466" s="119"/>
      <c r="BF466" s="119"/>
      <c r="BG466" s="173"/>
      <c r="BH466" s="173"/>
      <c r="BI466" s="173"/>
      <c r="BJ466" s="173"/>
      <c r="BK466" s="173"/>
      <c r="BL466" s="173"/>
      <c r="BM466" s="173"/>
      <c r="BN466" s="173"/>
      <c r="BO466" s="173"/>
      <c r="BP466" s="173"/>
      <c r="BQ466" s="118"/>
      <c r="BR466" s="118"/>
      <c r="BS466" s="118">
        <f>INDEX('Dist. Plant Gas Additions'!$F$7:$AE$91,MATCH($C466,'Dist. Plant Gas Additions'!$D$7:$D$91,0),MATCH(Calculation!$G466,'Dist. Plant Gas Additions'!$F$5:$AE$5,0))</f>
        <v>8636</v>
      </c>
      <c r="BT466" s="118">
        <f>INDEX('Gen. Plant Additions'!$F$7:$AE$91,MATCH($C466,'Gen. Plant Additions'!$D$7:$D$91,0),MATCH(Calculation!$G466,'Gen. Plant Additions'!$F$5:$AE$5,0))</f>
        <v>799</v>
      </c>
      <c r="BU466" s="118"/>
      <c r="BV466" s="118"/>
      <c r="BW466" s="118">
        <f>INDEX('Dist Plant Depreciation'!$E$7:$AD$94,MATCH($C466,'Dist Plant Depreciation'!$D$7:$D$94,0),MATCH(Calculation!$G466,'Dist Plant Depreciation'!$E$5:$AD$5,0))</f>
        <v>58500</v>
      </c>
      <c r="BX466" s="118">
        <f>INDEX('Gen. Plant Depreciation'!$E$7:$AD$94,MATCH($C466,'Gen. Plant Depreciation'!$D$7:$D$94,0),MATCH(Calculation!$G466,'Gen. Plant Depreciation'!$E$5:$AD$5,0))</f>
        <v>10855</v>
      </c>
      <c r="BY466" s="118"/>
      <c r="BZ466" s="118"/>
      <c r="CA466" s="118"/>
      <c r="CB466" s="118"/>
      <c r="CC466" s="118"/>
      <c r="CD466" s="118"/>
      <c r="CE466" s="118">
        <f>INDEX('Gross Dx Plant'!$E$7:$AD$91,MATCH($C466,'Gross Dx Plant'!$D$7:$D$91,0),MATCH(Calculation!$G466,'Gross Dx Plant'!$E$5:$AD$5,0))</f>
        <v>143466</v>
      </c>
      <c r="CF466" s="118">
        <f>INDEX('Gross Gen Plant'!$E$7:$AD$91,MATCH($C466,'Gross Gen Plant'!$D$7:$D$91,0),MATCH(Calculation!$G466,'Gross Gen Plant'!$E$5:$AD$5,0))</f>
        <v>19759</v>
      </c>
      <c r="CG466" s="118">
        <f t="shared" si="1177"/>
        <v>93870</v>
      </c>
      <c r="CH466" s="118"/>
      <c r="CI466" s="121">
        <v>2020</v>
      </c>
      <c r="CJ466" s="118"/>
      <c r="CK466" s="118"/>
      <c r="CL466" s="118"/>
      <c r="CM466" s="183"/>
      <c r="CN466" s="118">
        <f t="shared" si="1269"/>
        <v>9435</v>
      </c>
      <c r="CO466" s="118">
        <f t="shared" si="1270"/>
        <v>11.604021885699003</v>
      </c>
      <c r="CP466" s="186">
        <v>0.84057971014492749</v>
      </c>
      <c r="CQ466" s="118">
        <f>CQ444*CP466+CO445*CP465+CO446*CP464+CO447*CP463+CO448*CP462+CO449*CP461+CO450*CP460+CO451*CP459+CO452*CP458+CO453*CP457+CO454*CP456+CO455*CP455+CO456*CP454+CO457*CP453+CO458*CP452+CO459*CP451+CO460*CP450+CO461*CP449+CO462*CP448+CO463*CP447+CO464*CP446+CO465*CP445+CO466</f>
        <v>455.7930494522505</v>
      </c>
      <c r="CR466" s="119">
        <f t="shared" si="1271"/>
        <v>1.5395882510914302E-2</v>
      </c>
      <c r="CS466" s="119"/>
      <c r="CT466" s="177">
        <f t="shared" si="1272"/>
        <v>1.0338957183604114E-2</v>
      </c>
      <c r="CU466" s="177">
        <f t="shared" si="1280"/>
        <v>9.9854954610416376E-3</v>
      </c>
      <c r="CV466" s="119">
        <f>VLOOKUP($H466,RoR!$E:$F,2,FALSE)</f>
        <v>2.4766666666666666E-2</v>
      </c>
      <c r="CW466" s="177">
        <v>1.1618796630994188E-2</v>
      </c>
      <c r="CX466" s="177">
        <f t="shared" si="1279"/>
        <v>1.3147870035672478E-2</v>
      </c>
      <c r="CY466" s="177">
        <f t="shared" si="1282"/>
        <v>2.0916446147491989E-2</v>
      </c>
      <c r="CZ466" s="177">
        <f t="shared" si="1283"/>
        <v>4.5144642961987357E-2</v>
      </c>
      <c r="DA466" s="187">
        <f t="shared" si="1273"/>
        <v>0.90520312375</v>
      </c>
      <c r="DB466" s="188">
        <f t="shared" si="1274"/>
        <v>2.0706077233668081</v>
      </c>
      <c r="DC466" s="188">
        <f t="shared" si="1275"/>
        <v>-3.4421265141318998E-2</v>
      </c>
      <c r="DD466" s="188">
        <f t="shared" si="1276"/>
        <v>0.62416226176410472</v>
      </c>
      <c r="DE466" s="188">
        <f t="shared" si="1277"/>
        <v>-4.4485877841158712E-2</v>
      </c>
      <c r="DF466" s="189">
        <f>INDEX('State Tax Lookup'!$D$7:$Z$91,MATCH(Calculation!$C466,'State Tax Lookup'!$B$7:$B$91,0),MATCH($H466,'State Tax Lookup'!$D$6:$Z$6,0))</f>
        <v>0.25279166999999997</v>
      </c>
      <c r="DG466" s="189">
        <v>0.375</v>
      </c>
      <c r="DH466" s="190">
        <f t="shared" si="1281"/>
        <v>20.548079045291118</v>
      </c>
      <c r="DI466" s="190">
        <v>20.136285374667619</v>
      </c>
      <c r="DJ466" s="177"/>
      <c r="DK466" s="189">
        <f>VLOOKUP($H466,RoR!$E:$F,2,FALSE)</f>
        <v>2.4766666666666666E-2</v>
      </c>
      <c r="DL466" s="191">
        <f>HLOOKUP($H466,'GDP-PI'!$D$8:$CQ$11,3,FALSE)</f>
        <v>1.1618796630994188E-2</v>
      </c>
      <c r="DM466" s="189">
        <f>VLOOKUP(H466,'HW Dx Data'!$E:$F,2,FALSE)</f>
        <v>813.080162458833</v>
      </c>
      <c r="DN466" s="183">
        <f>VLOOKUP(H466,'ECI - Input Price'!$G$17:$H$37,2,FALSE)</f>
        <v>140.44999999999999</v>
      </c>
      <c r="DO466" s="177">
        <f t="shared" ref="DO466" si="1336">LN(DN466/DN465)</f>
        <v>2.5966118063564539E-2</v>
      </c>
      <c r="DP466" s="183">
        <f>HLOOKUP(H466,'GDP-PI'!$8:$9,2,FALSE)</f>
        <v>113.623</v>
      </c>
      <c r="DQ466" s="177">
        <f t="shared" ref="DQ466" si="1337">LN(DP466/DP465)</f>
        <v>1.1551816731392881E-2</v>
      </c>
    </row>
    <row r="467" spans="1:121" s="167" customFormat="1" ht="21" x14ac:dyDescent="0.35">
      <c r="A467" s="167" t="s">
        <v>54</v>
      </c>
      <c r="B467" s="167" t="s">
        <v>54</v>
      </c>
      <c r="C467" s="167">
        <v>4057118</v>
      </c>
      <c r="D467" s="167" t="s">
        <v>141</v>
      </c>
      <c r="G467" s="168" t="s">
        <v>462</v>
      </c>
      <c r="H467" s="169">
        <v>2021</v>
      </c>
      <c r="I467" s="170"/>
      <c r="J467" s="166">
        <f>IFERROR(INDEX('Labor Expenditures'!$E$7:$X$91,MATCH($C467,'Labor Expenditures'!$D$7:$D$91,0),MATCH($G467,'Labor Expenditures'!$E$5:$X$5,0)),"NA")</f>
        <v>3577.1665484297696</v>
      </c>
      <c r="K467" s="166">
        <f t="shared" si="1286"/>
        <v>24.589562113282483</v>
      </c>
      <c r="L467" s="171">
        <f t="shared" si="1293"/>
        <v>0.32142272209615341</v>
      </c>
      <c r="M467" s="172">
        <f t="shared" si="1297"/>
        <v>5.3392121880549805E-4</v>
      </c>
      <c r="N467" s="196"/>
      <c r="O467" s="172"/>
      <c r="P467" s="166">
        <f>IFERROR(INDEX('Non-Labor Expenditures'!$E$7:$AB$91,MATCH($C467,'Non-Labor Expenditures'!$D$7:$D$91,0),MATCH($G467,'Non-Labor Expenditures'!$E$5:$AB$5,0)),"NA")</f>
        <v>5042.5118815214828</v>
      </c>
      <c r="Q467" s="166">
        <f t="shared" si="1287"/>
        <v>42.556434142303004</v>
      </c>
      <c r="R467" s="172">
        <f t="shared" si="1298"/>
        <v>0.28765385446601693</v>
      </c>
      <c r="S467" s="172">
        <f t="shared" si="1303"/>
        <v>4.7782712923652741E-4</v>
      </c>
      <c r="T467" s="172"/>
      <c r="U467" s="172"/>
      <c r="V467" s="166">
        <f t="shared" si="1267"/>
        <v>15879.206341314693</v>
      </c>
      <c r="W467" s="170"/>
      <c r="X467" s="174">
        <v>469.40859740555044</v>
      </c>
      <c r="Y467" s="175"/>
      <c r="Z467" s="175">
        <f t="shared" si="1304"/>
        <v>0</v>
      </c>
      <c r="AA467" s="175"/>
      <c r="AB467" s="175"/>
      <c r="AC467" s="170">
        <f t="shared" si="1278"/>
        <v>24498.884771265948</v>
      </c>
      <c r="AD467" s="175">
        <f t="shared" si="1299"/>
        <v>0.46728455453943601</v>
      </c>
      <c r="AE467" s="118"/>
      <c r="AF467" s="119"/>
      <c r="AG467" s="121">
        <f t="shared" si="1300"/>
        <v>619.47215462895588</v>
      </c>
      <c r="AH467" s="119">
        <f>+AZ467/$BB$59</f>
        <v>1.0146711527123738E-3</v>
      </c>
      <c r="AI467" s="119"/>
      <c r="AJ467" s="176">
        <f t="shared" si="1305"/>
        <v>0.62856052521058048</v>
      </c>
      <c r="AK467" s="176">
        <f t="shared" si="1306"/>
        <v>0</v>
      </c>
      <c r="AL467" s="120">
        <f t="shared" si="1288"/>
        <v>0.14601344435993788</v>
      </c>
      <c r="AM467" s="120">
        <f t="shared" si="1289"/>
        <v>0.20582618060376784</v>
      </c>
      <c r="AN467" s="120">
        <f t="shared" si="1290"/>
        <v>0.6481603750362942</v>
      </c>
      <c r="AO467" s="120">
        <f t="shared" si="1294"/>
        <v>0.11325587154137082</v>
      </c>
      <c r="AP467" s="173">
        <f t="shared" si="1310"/>
        <v>95.836833288547908</v>
      </c>
      <c r="AQ467" s="175">
        <f t="shared" si="1311"/>
        <v>0.11325587154137086</v>
      </c>
      <c r="AR467" s="177">
        <f>+AC467/$AE$59</f>
        <v>1.6611184651898253E-3</v>
      </c>
      <c r="AS467" s="177">
        <f t="shared" si="1307"/>
        <v>1.8813141950853798E-4</v>
      </c>
      <c r="AT467" s="177"/>
      <c r="AU467" s="177"/>
      <c r="AV467" s="177"/>
      <c r="AW467" s="190"/>
      <c r="AX467" s="120"/>
      <c r="AY467" s="120"/>
      <c r="AZ467" s="118">
        <f>INDEX('Total Customers'!$E$7:$E$91,MATCH(Calculation!$C467,'Total Customers'!$D$7:$D$91,0))</f>
        <v>39548</v>
      </c>
      <c r="BA467" s="119">
        <f t="shared" si="1268"/>
        <v>0.11196216720833242</v>
      </c>
      <c r="BB467" s="118"/>
      <c r="BC467" s="121"/>
      <c r="BD467" s="118"/>
      <c r="BE467" s="119"/>
      <c r="BF467" s="119"/>
      <c r="BG467" s="173"/>
      <c r="BH467" s="173"/>
      <c r="BI467" s="173"/>
      <c r="BJ467" s="173"/>
      <c r="BK467" s="173"/>
      <c r="BL467" s="173"/>
      <c r="BM467" s="173"/>
      <c r="BN467" s="173"/>
      <c r="BO467" s="173"/>
      <c r="BP467" s="173"/>
      <c r="BQ467" s="118"/>
      <c r="BR467" s="118"/>
      <c r="BS467" s="118">
        <f>INDEX('Dist. Plant Gas Additions'!$E$7:$AE$91,MATCH($C467,'Dist. Plant Gas Additions'!$D$7:$D$91,0),MATCH(Calculation!$G467,'Dist. Plant Gas Additions'!$E$5:$AE$5,0))</f>
        <v>4193</v>
      </c>
      <c r="BT467" s="118">
        <f>INDEX('Gen. Plant Additions'!$E$7:$AE$91,MATCH($C467,'Gen. Plant Additions'!$D$7:$D$91,0),MATCH(Calculation!$G467,'Gen. Plant Additions'!$E$5:$AE$5,0))</f>
        <v>4167</v>
      </c>
      <c r="BU467" s="118"/>
      <c r="BV467" s="118"/>
      <c r="BW467" s="118"/>
      <c r="BX467" s="118"/>
      <c r="BY467" s="183"/>
      <c r="BZ467" s="183"/>
      <c r="CA467" s="178"/>
      <c r="CB467" s="184"/>
      <c r="CC467" s="185"/>
      <c r="CD467" s="185"/>
      <c r="CE467" s="118"/>
      <c r="CF467" s="118"/>
      <c r="CG467" s="118"/>
      <c r="CH467" s="118"/>
      <c r="CI467" s="121">
        <v>2021</v>
      </c>
      <c r="CJ467" s="118"/>
      <c r="CK467" s="118"/>
      <c r="CL467" s="118"/>
      <c r="CM467" s="183"/>
      <c r="CN467" s="118">
        <f t="shared" si="1269"/>
        <v>8360</v>
      </c>
      <c r="CO467" s="118">
        <f t="shared" si="1270"/>
        <v>8.9601269069278953</v>
      </c>
      <c r="CP467" s="186">
        <f>+(51-23)/(51-23*0.75)</f>
        <v>0.82962962962962961</v>
      </c>
      <c r="CQ467" s="118">
        <f>CQ444*CP467+CO445*CP466+CO446*CP465+CO447*CP464+CO448*CP463+CO449*CP462+CO450*CP461+CO451*CP460+CO452*CP459+CO453*CP458+CO454*CP457+CO455*CP456+CO456*CP455+CO457*CP454+CO458*CP453+CO449*CP452+CO460*CP451+CO461*CP450+CO462*CP449+CO463*CP448+CO464*CP447+CO465*CP446+CO467+CO466*CP445</f>
        <v>469.40859740555044</v>
      </c>
      <c r="CR467" s="119"/>
      <c r="CS467" s="118"/>
      <c r="CT467" s="177">
        <f t="shared" si="1272"/>
        <v>-1.02138921424245E-2</v>
      </c>
      <c r="CU467" s="177"/>
      <c r="CV467" s="119">
        <f>VLOOKUP($H467,RoR!$E:$F,2,FALSE)</f>
        <v>2.7033333333333336E-2</v>
      </c>
      <c r="CW467" s="177"/>
      <c r="CX467" s="177"/>
      <c r="CY467" s="177">
        <f t="shared" si="1282"/>
        <v>3.0901941608533625E-2</v>
      </c>
      <c r="CZ467" s="177">
        <f t="shared" si="1283"/>
        <v>7.433422950153494E-2</v>
      </c>
      <c r="DA467" s="187">
        <f t="shared" si="1273"/>
        <v>0.90520312375</v>
      </c>
      <c r="DB467" s="188">
        <f t="shared" si="1274"/>
        <v>1.8969932656739068</v>
      </c>
      <c r="DC467" s="188">
        <f t="shared" si="1275"/>
        <v>5.0215782983970621E-2</v>
      </c>
      <c r="DD467" s="188">
        <f t="shared" si="1276"/>
        <v>0.655952481704143</v>
      </c>
      <c r="DE467" s="188">
        <f t="shared" si="1277"/>
        <v>6.2485378865697057E-2</v>
      </c>
      <c r="DF467" s="189">
        <f>DF466</f>
        <v>0.25279166999999997</v>
      </c>
      <c r="DG467" s="189">
        <v>0.375</v>
      </c>
      <c r="DH467" s="190">
        <f t="shared" si="1281"/>
        <v>34.838632051097612</v>
      </c>
      <c r="DI467" s="190"/>
      <c r="DJ467" s="177">
        <f t="shared" ref="DJ467" si="1338">LN(DH467/DH466)</f>
        <v>0.52795942800949947</v>
      </c>
      <c r="DK467" s="189">
        <f>VLOOKUP($H467,RoR!$E:$F,2,FALSE)</f>
        <v>2.7033333333333336E-2</v>
      </c>
      <c r="DL467" s="191">
        <f>HLOOKUP($H467,'GDP-PI'!$D$8:$CR$11,3,FALSE)</f>
        <v>4.2834637353352578E-2</v>
      </c>
      <c r="DM467" s="189">
        <f>VLOOKUP(H467,'HW Dx Data'!$E:$F,2,FALSE)</f>
        <v>933.02249921662576</v>
      </c>
      <c r="DN467" s="183">
        <f>VLOOKUP(H467,'ECI - Input Price'!$G$17:$H$37,2,FALSE)</f>
        <v>145.47500000000002</v>
      </c>
      <c r="DO467" s="177">
        <f t="shared" ref="DO467" si="1339">LN(DN467/DN466)</f>
        <v>3.5152696992481205E-2</v>
      </c>
      <c r="DP467" s="183">
        <f>HLOOKUP(H467,'GDP-PI'!$8:$9,2,FALSE)</f>
        <v>118.49</v>
      </c>
      <c r="DQ467" s="177">
        <f t="shared" ref="DQ467" si="1340">LN(DP467/DP466)</f>
        <v>4.194261824609434E-2</v>
      </c>
    </row>
    <row r="468" spans="1:121" s="167" customFormat="1" ht="21" x14ac:dyDescent="0.35">
      <c r="A468" s="167" t="s">
        <v>55</v>
      </c>
      <c r="B468" s="168" t="s">
        <v>55</v>
      </c>
      <c r="C468" s="168">
        <v>4057126</v>
      </c>
      <c r="D468" s="168" t="s">
        <v>137</v>
      </c>
      <c r="E468" s="168"/>
      <c r="F468" s="168"/>
      <c r="G468" s="168" t="s">
        <v>4</v>
      </c>
      <c r="H468" s="169">
        <v>1998</v>
      </c>
      <c r="I468" s="170"/>
      <c r="J468" s="166"/>
      <c r="K468" s="166"/>
      <c r="L468" s="166"/>
      <c r="M468" s="166"/>
      <c r="N468" s="196"/>
      <c r="O468" s="166"/>
      <c r="P468" s="172"/>
      <c r="Q468" s="172"/>
      <c r="R468" s="172"/>
      <c r="S468" s="166"/>
      <c r="T468" s="172"/>
      <c r="U468" s="172"/>
      <c r="V468" s="166"/>
      <c r="W468" s="170"/>
      <c r="X468" s="174">
        <v>5128.4695551823752</v>
      </c>
      <c r="Y468" s="175"/>
      <c r="Z468" s="166"/>
      <c r="AA468" s="175"/>
      <c r="AB468" s="175"/>
      <c r="AC468" s="170">
        <f t="shared" si="1278"/>
        <v>0</v>
      </c>
      <c r="AD468" s="170"/>
      <c r="AE468" s="170"/>
      <c r="AF468" s="119"/>
      <c r="AG468" s="174"/>
      <c r="AH468" s="175"/>
      <c r="AI468" s="175"/>
      <c r="AJ468" s="174"/>
      <c r="AK468" s="174"/>
      <c r="AL468" s="120"/>
      <c r="AM468" s="120"/>
      <c r="AN468" s="120"/>
      <c r="AO468" s="120"/>
      <c r="AP468" s="120"/>
      <c r="AQ468" s="175">
        <f>AVERAGE(AQ477:AQ491)</f>
        <v>1.3036477521649461E-2</v>
      </c>
      <c r="AR468" s="120"/>
      <c r="AS468" s="120"/>
      <c r="AT468" s="120"/>
      <c r="AU468" s="120"/>
      <c r="AV468" s="120"/>
      <c r="AW468" s="120"/>
      <c r="AX468" s="120"/>
      <c r="AY468" s="120"/>
      <c r="AZ468" s="118">
        <f>IFERROR(INDEX('Total Customers'!$F$7:$AB$91,MATCH($C468,'Total Customers'!$D$7:$D$91,0),MATCH($G468,'Total Customers'!$F$5:$AB$5,0)),"NA")</f>
        <v>1177240</v>
      </c>
      <c r="BA468" s="119"/>
      <c r="BB468" s="119"/>
      <c r="BC468" s="121"/>
      <c r="BD468" s="119"/>
      <c r="BE468" s="119"/>
      <c r="BF468" s="119"/>
      <c r="BG468" s="173"/>
      <c r="BH468" s="173"/>
      <c r="BI468" s="173"/>
      <c r="BJ468" s="173"/>
      <c r="BK468" s="173"/>
      <c r="BL468" s="173"/>
      <c r="BM468" s="173"/>
      <c r="BN468" s="173"/>
      <c r="BO468" s="173"/>
      <c r="BP468" s="173"/>
      <c r="BQ468" s="118">
        <f>INDEX('Gross Dx Plant'!$E$7:$AD$91,MATCH($C468,'Gross Dx Plant'!$D$7:$D$91,0),MATCH(Calculation!$G468,'Gross Dx Plant'!$E$5:$AD$5,0))</f>
        <v>1661191</v>
      </c>
      <c r="BR468" s="118">
        <f>INDEX('Gross Gen Plant'!$E$7:$AD$91,MATCH($C468,'Gross Gen Plant'!$D$7:$D$91,0),MATCH(Calculation!$G468,'Gross Gen Plant'!$E$5:$AD$5,0))</f>
        <v>292000</v>
      </c>
      <c r="BS468" s="118">
        <f>INDEX('Dist. Plant Gas Additions'!$F$7:$AE$91,MATCH($C468,'Dist. Plant Gas Additions'!$D$7:$D$91,0),MATCH(Calculation!$G468,'Dist. Plant Gas Additions'!$F$5:$AE$5,0))</f>
        <v>59234</v>
      </c>
      <c r="BT468" s="118">
        <f>INDEX('Gen. Plant Additions'!$F$7:$AE$91,MATCH($C468,'Gen. Plant Additions'!$D$7:$D$91,0),MATCH(Calculation!$G468,'Gen. Plant Additions'!$F$5:$AE$5,0))</f>
        <v>54246</v>
      </c>
      <c r="BU468" s="118" t="e">
        <f>INDEX('Dist Plant Depreciation'!$E$7:$AA$94,MATCH($C468,'Dist Plant Depreciation'!$D$7:$D$94,0),MATCH(#REF!,'Dist Plant Depreciation'!$E$5:$AA$5,0))</f>
        <v>#REF!</v>
      </c>
      <c r="BV468" s="118" t="e">
        <f>INDEX('Gen. Plant Depreciation'!$E$7:$AA$94,MATCH($C468,'Gen. Plant Depreciation'!$D$7:$D$94,0),MATCH(#REF!,'Gen. Plant Depreciation'!$E$5:$AA$5,0))</f>
        <v>#REF!</v>
      </c>
      <c r="BW468" s="118">
        <f>INDEX('Dist Plant Depreciation'!$E$7:$AD$94,MATCH($C468,'Dist Plant Depreciation'!$D$7:$D$94,0),MATCH(Calculation!$G468,'Dist Plant Depreciation'!$E$5:$AD$5,0))</f>
        <v>918679</v>
      </c>
      <c r="BX468" s="118">
        <f>INDEX('Gen. Plant Depreciation'!$E$7:$AD$94,MATCH($C468,'Gen. Plant Depreciation'!$D$7:$D$94,0),MATCH(Calculation!$G468,'Gen. Plant Depreciation'!$E$5:$AD$5,0))</f>
        <v>97435</v>
      </c>
      <c r="BY468" s="118"/>
      <c r="BZ468" s="118"/>
      <c r="CA468" s="118"/>
      <c r="CB468" s="118"/>
      <c r="CC468" s="118"/>
      <c r="CD468" s="118"/>
      <c r="CE468" s="118">
        <f>INDEX('Gross Dx Plant'!$E$7:$AD$91,MATCH($C468,'Gross Dx Plant'!$D$7:$D$91,0),MATCH(Calculation!$G468,'Gross Dx Plant'!$E$5:$AD$5,0))</f>
        <v>1661191</v>
      </c>
      <c r="CF468" s="118">
        <f>INDEX('Gross Gen Plant'!$E$7:$AD$91,MATCH($C468,'Gross Gen Plant'!$D$7:$D$91,0),MATCH(Calculation!$G468,'Gross Gen Plant'!$E$5:$AD$5,0))</f>
        <v>292000</v>
      </c>
      <c r="CG468" s="118">
        <f t="shared" si="1177"/>
        <v>937077</v>
      </c>
      <c r="CH468" s="118"/>
      <c r="CI468" s="121">
        <v>1998</v>
      </c>
      <c r="CJ468" s="118">
        <f>BQ468+BR468</f>
        <v>1953191</v>
      </c>
      <c r="CK468" s="118">
        <v>918679</v>
      </c>
      <c r="CL468" s="118">
        <f>+CJ468-CK468</f>
        <v>1034512</v>
      </c>
      <c r="CM468" s="118">
        <f>CL468/$CD$36</f>
        <v>5128.4695551823752</v>
      </c>
      <c r="CN468" s="183"/>
      <c r="CO468" s="183"/>
      <c r="CP468" s="186">
        <v>1</v>
      </c>
      <c r="CQ468" s="118">
        <f>+CM468</f>
        <v>5128.4695551823752</v>
      </c>
      <c r="CR468" s="119"/>
      <c r="CS468" s="119"/>
      <c r="CT468" s="177"/>
      <c r="CU468" s="177"/>
      <c r="CV468" s="119" t="e">
        <f>VLOOKUP($H468,RoR!$E:$F,2,FALSE)</f>
        <v>#N/A</v>
      </c>
      <c r="CW468" s="177">
        <v>1.1028127770464469E-2</v>
      </c>
      <c r="CX468" s="177"/>
      <c r="CY468" s="177"/>
      <c r="CZ468" s="177"/>
      <c r="DA468" s="187"/>
      <c r="DB468" s="190" t="e">
        <f>2/(DK468*39)</f>
        <v>#N/A</v>
      </c>
      <c r="DC468" s="188" t="e">
        <f>+(DK468*40-(1+DK468))/(DK468*40)</f>
        <v>#N/A</v>
      </c>
      <c r="DD468" s="188" t="e">
        <f>+(1-(1/(1+DK468)^40))</f>
        <v>#N/A</v>
      </c>
      <c r="DE468" s="188" t="e">
        <f>+DD468*DC468*DB468</f>
        <v>#N/A</v>
      </c>
      <c r="DF468" s="189">
        <f>INDEX('State Tax Lookup'!$D$7:$Z$91,MATCH(Calculation!$C468,'State Tax Lookup'!$B$7:$B$91,0),MATCH($H468,'State Tax Lookup'!$D$6:$Z$6,0))</f>
        <v>0.35</v>
      </c>
      <c r="DG468" s="189">
        <v>0.375</v>
      </c>
      <c r="DH468" s="183"/>
      <c r="DI468" s="183"/>
      <c r="DJ468" s="177"/>
      <c r="DK468" s="189" t="e">
        <f>VLOOKUP($H468,RoR!$E:$F,2,FALSE)</f>
        <v>#N/A</v>
      </c>
      <c r="DL468" s="191">
        <f>HLOOKUP($H468,'GDP-PI'!$D$8:$CQ$11,3,FALSE)</f>
        <v>1.1028127770464469E-2</v>
      </c>
      <c r="DM468" s="189">
        <f>VLOOKUP(H468,'HW Dx Data'!$E:$F,2,FALSE)</f>
        <v>329.24564746449528</v>
      </c>
      <c r="DN468" s="183" t="e">
        <f>VLOOKUP(H468,'ECI - Input Price'!$G$17:$H$37,2,FALSE)</f>
        <v>#N/A</v>
      </c>
      <c r="DO468" s="177"/>
      <c r="DP468" s="183">
        <f>HLOOKUP(H468,'GDP-PI'!$8:$9,2,FALSE)</f>
        <v>75.266999999999996</v>
      </c>
    </row>
    <row r="469" spans="1:121" s="167" customFormat="1" ht="21" x14ac:dyDescent="0.35">
      <c r="A469" s="167" t="s">
        <v>55</v>
      </c>
      <c r="B469" s="168" t="s">
        <v>55</v>
      </c>
      <c r="C469" s="168">
        <v>4057126</v>
      </c>
      <c r="D469" s="168" t="s">
        <v>137</v>
      </c>
      <c r="E469" s="168"/>
      <c r="F469" s="168"/>
      <c r="G469" s="168" t="s">
        <v>5</v>
      </c>
      <c r="H469" s="169">
        <v>1999</v>
      </c>
      <c r="I469" s="170"/>
      <c r="J469" s="166"/>
      <c r="K469" s="170"/>
      <c r="L469" s="170"/>
      <c r="M469" s="166"/>
      <c r="N469" s="173"/>
      <c r="O469" s="170"/>
      <c r="P469" s="177"/>
      <c r="Q469" s="177"/>
      <c r="R469" s="177"/>
      <c r="S469" s="195"/>
      <c r="T469" s="177"/>
      <c r="U469" s="177"/>
      <c r="V469" s="166">
        <f t="shared" ref="V469:V491" si="1341">+CQ468*DH469</f>
        <v>0</v>
      </c>
      <c r="W469" s="170"/>
      <c r="X469" s="174">
        <v>5386.7719807745707</v>
      </c>
      <c r="Y469" s="175">
        <v>4.9139032770477646E-2</v>
      </c>
      <c r="Z469" s="175"/>
      <c r="AA469" s="175"/>
      <c r="AB469" s="175"/>
      <c r="AC469" s="170">
        <f t="shared" si="1278"/>
        <v>0</v>
      </c>
      <c r="AD469" s="175"/>
      <c r="AE469" s="170"/>
      <c r="AF469" s="119"/>
      <c r="AG469" s="174"/>
      <c r="AH469" s="175"/>
      <c r="AI469" s="175"/>
      <c r="AJ469" s="174"/>
      <c r="AK469" s="174"/>
      <c r="AL469" s="120"/>
      <c r="AM469" s="120"/>
      <c r="AN469" s="120"/>
      <c r="AO469" s="120"/>
      <c r="AP469" s="120"/>
      <c r="AQ469" s="175"/>
      <c r="AR469" s="120"/>
      <c r="AS469" s="120"/>
      <c r="AT469" s="120"/>
      <c r="AU469" s="120"/>
      <c r="AV469" s="120"/>
      <c r="AW469" s="120"/>
      <c r="AX469" s="120"/>
      <c r="AY469" s="120"/>
      <c r="AZ469" s="118">
        <f>IFERROR(INDEX('Total Customers'!$F$7:$AB$91,MATCH($C469,'Total Customers'!$D$7:$D$91,0),MATCH($G469,'Total Customers'!$F$5:$AB$5,0)),"NA")</f>
        <v>1195781</v>
      </c>
      <c r="BA469" s="119">
        <f t="shared" ref="BA469:BA491" si="1342">LN(AZ469/AZ468)</f>
        <v>1.5626812660825499E-2</v>
      </c>
      <c r="BB469" s="119"/>
      <c r="BC469" s="121"/>
      <c r="BD469" s="119"/>
      <c r="BE469" s="119"/>
      <c r="BF469" s="119"/>
      <c r="BG469" s="173"/>
      <c r="BH469" s="173"/>
      <c r="BI469" s="173"/>
      <c r="BJ469" s="173"/>
      <c r="BK469" s="173"/>
      <c r="BL469" s="173"/>
      <c r="BM469" s="173"/>
      <c r="BN469" s="173"/>
      <c r="BO469" s="173"/>
      <c r="BP469" s="173"/>
      <c r="BQ469" s="118"/>
      <c r="BR469" s="118"/>
      <c r="BS469" s="118">
        <f>INDEX('Dist. Plant Gas Additions'!$F$7:$AE$91,MATCH($C469,'Dist. Plant Gas Additions'!$D$7:$D$91,0),MATCH(Calculation!$G469,'Dist. Plant Gas Additions'!$F$5:$AE$5,0))</f>
        <v>67599</v>
      </c>
      <c r="BT469" s="118">
        <f>INDEX('Gen. Plant Additions'!$F$7:$AE$91,MATCH($C469,'Gen. Plant Additions'!$D$7:$D$91,0),MATCH(Calculation!$G469,'Gen. Plant Additions'!$F$5:$AE$5,0))</f>
        <v>27572</v>
      </c>
      <c r="BU469" s="118"/>
      <c r="BV469" s="118"/>
      <c r="BW469" s="118">
        <f>INDEX('Dist Plant Depreciation'!$E$7:$AD$94,MATCH($C469,'Dist Plant Depreciation'!$D$7:$D$94,0),MATCH(Calculation!$G469,'Dist Plant Depreciation'!$E$5:$AD$5,0))</f>
        <v>966931</v>
      </c>
      <c r="BX469" s="118">
        <f>INDEX('Gen. Plant Depreciation'!$E$7:$AD$94,MATCH($C469,'Gen. Plant Depreciation'!$D$7:$D$94,0),MATCH(Calculation!$G469,'Gen. Plant Depreciation'!$E$5:$AD$5,0))</f>
        <v>113171</v>
      </c>
      <c r="BY469" s="118"/>
      <c r="BZ469" s="118"/>
      <c r="CA469" s="118"/>
      <c r="CB469" s="118"/>
      <c r="CC469" s="118"/>
      <c r="CD469" s="118"/>
      <c r="CE469" s="118">
        <f>INDEX('Gross Dx Plant'!$E$7:$AD$91,MATCH($C469,'Gross Dx Plant'!$D$7:$D$91,0),MATCH(Calculation!$G469,'Gross Dx Plant'!$E$5:$AD$5,0))</f>
        <v>1723829</v>
      </c>
      <c r="CF469" s="118">
        <f>INDEX('Gross Gen Plant'!$E$7:$AD$91,MATCH($C469,'Gross Gen Plant'!$D$7:$D$91,0),MATCH(Calculation!$G469,'Gross Gen Plant'!$E$5:$AD$5,0))</f>
        <v>312886</v>
      </c>
      <c r="CG469" s="118">
        <f t="shared" si="1177"/>
        <v>956613</v>
      </c>
      <c r="CH469" s="118"/>
      <c r="CI469" s="121">
        <v>1999</v>
      </c>
      <c r="CJ469" s="118"/>
      <c r="CK469" s="118"/>
      <c r="CL469" s="118"/>
      <c r="CM469" s="183"/>
      <c r="CN469" s="118">
        <f t="shared" ref="CN469:CN491" si="1343">+BT469+BS469</f>
        <v>95171</v>
      </c>
      <c r="CO469" s="118">
        <f t="shared" ref="CO469:CO491" si="1344">+CN469/$DM469</f>
        <v>283.81719949857523</v>
      </c>
      <c r="CP469" s="186">
        <v>0.99502487562189057</v>
      </c>
      <c r="CQ469" s="118">
        <f>+CQ468*CP469+CO469</f>
        <v>5386.7719807745707</v>
      </c>
      <c r="CR469" s="119">
        <f t="shared" ref="CR469:CR490" si="1345">LN(CQ469/CQ468)</f>
        <v>4.9139032770477646E-2</v>
      </c>
      <c r="CS469" s="119"/>
      <c r="CT469" s="177">
        <f t="shared" ref="CT469:CT491" si="1346">+(CQ468-CQ469+CO469)/CQ468</f>
        <v>4.9751243781094049E-3</v>
      </c>
      <c r="CU469" s="177"/>
      <c r="CV469" s="119">
        <f>VLOOKUP($H469,RoR!$E:$F,2,FALSE)</f>
        <v>7.0416666666666669E-2</v>
      </c>
      <c r="CW469" s="177">
        <v>1.4335631817396832E-2</v>
      </c>
      <c r="CX469" s="177">
        <f>+CV469-CW469</f>
        <v>5.6081034849269837E-2</v>
      </c>
      <c r="CY469" s="177"/>
      <c r="CZ469" s="177"/>
      <c r="DA469" s="187">
        <f t="shared" ref="DA469:DA491" si="1347">1-DF469*DG469</f>
        <v>0.86875000000000002</v>
      </c>
      <c r="DB469" s="188">
        <f t="shared" ref="DB469:DB491" si="1348">2/(DK469*39)</f>
        <v>0.72826581702321336</v>
      </c>
      <c r="DC469" s="188">
        <f t="shared" ref="DC469:DC491" si="1349">+(DK469*40-(1+DK469))/(DK469*40)</f>
        <v>0.61997041420118348</v>
      </c>
      <c r="DD469" s="188">
        <f t="shared" ref="DD469:DD491" si="1350">+(1-(1/(1+DK469)^40))</f>
        <v>0.93425155319585029</v>
      </c>
      <c r="DE469" s="188">
        <f t="shared" ref="DE469:DE491" si="1351">+DD469*DC469*DB469</f>
        <v>0.42181762214141483</v>
      </c>
      <c r="DF469" s="189">
        <f>INDEX('State Tax Lookup'!$D$7:$Z$91,MATCH(Calculation!$C469,'State Tax Lookup'!$B$7:$B$91,0),MATCH($H469,'State Tax Lookup'!$D$6:$Z$6,0))</f>
        <v>0.35</v>
      </c>
      <c r="DG469" s="189">
        <v>0.375</v>
      </c>
      <c r="DH469" s="190"/>
      <c r="DI469" s="190"/>
      <c r="DJ469" s="177"/>
      <c r="DK469" s="189">
        <f>VLOOKUP($H469,RoR!$E:$F,2,FALSE)</f>
        <v>7.0416666666666669E-2</v>
      </c>
      <c r="DL469" s="191">
        <f>HLOOKUP($H469,'GDP-PI'!$D$8:$CQ$11,3,FALSE)</f>
        <v>1.4335631817396832E-2</v>
      </c>
      <c r="DM469" s="189">
        <f>VLOOKUP(H469,'HW Dx Data'!$E:$F,2,FALSE)</f>
        <v>335.32499146683239</v>
      </c>
      <c r="DN469" s="183" t="e">
        <f>VLOOKUP(H469,'ECI - Input Price'!$G$17:$H$37,2,FALSE)</f>
        <v>#N/A</v>
      </c>
      <c r="DO469" s="177"/>
      <c r="DP469" s="183">
        <f>HLOOKUP(H469,'GDP-PI'!$8:$9,2,FALSE)</f>
        <v>76.346000000000004</v>
      </c>
    </row>
    <row r="470" spans="1:121" s="167" customFormat="1" ht="21" x14ac:dyDescent="0.35">
      <c r="A470" s="167" t="s">
        <v>55</v>
      </c>
      <c r="B470" s="168" t="s">
        <v>55</v>
      </c>
      <c r="C470" s="168">
        <v>4057126</v>
      </c>
      <c r="D470" s="168" t="s">
        <v>137</v>
      </c>
      <c r="E470" s="168"/>
      <c r="F470" s="168"/>
      <c r="G470" s="168" t="s">
        <v>6</v>
      </c>
      <c r="H470" s="169">
        <v>2000</v>
      </c>
      <c r="I470" s="170"/>
      <c r="J470" s="166"/>
      <c r="K470" s="166"/>
      <c r="L470" s="166"/>
      <c r="M470" s="166"/>
      <c r="N470" s="196"/>
      <c r="O470" s="166"/>
      <c r="P470" s="166"/>
      <c r="Q470" s="166"/>
      <c r="R470" s="166"/>
      <c r="S470" s="166"/>
      <c r="T470" s="166"/>
      <c r="U470" s="166"/>
      <c r="V470" s="166">
        <f t="shared" si="1341"/>
        <v>0</v>
      </c>
      <c r="W470" s="170"/>
      <c r="X470" s="174">
        <v>5654.1313169792693</v>
      </c>
      <c r="Y470" s="175">
        <v>4.844016938200027E-2</v>
      </c>
      <c r="Z470" s="175"/>
      <c r="AA470" s="175"/>
      <c r="AB470" s="175"/>
      <c r="AC470" s="170">
        <f t="shared" si="1278"/>
        <v>0</v>
      </c>
      <c r="AD470" s="175"/>
      <c r="AE470" s="170"/>
      <c r="AF470" s="170"/>
      <c r="AG470" s="174"/>
      <c r="AH470" s="175"/>
      <c r="AI470" s="175"/>
      <c r="AJ470" s="174"/>
      <c r="AK470" s="174"/>
      <c r="AL470" s="120"/>
      <c r="AM470" s="120"/>
      <c r="AN470" s="120"/>
      <c r="AO470" s="120"/>
      <c r="AP470" s="120"/>
      <c r="AQ470" s="175"/>
      <c r="AR470" s="120"/>
      <c r="AS470" s="120"/>
      <c r="AT470" s="120"/>
      <c r="AU470" s="120"/>
      <c r="AV470" s="120"/>
      <c r="AW470" s="120"/>
      <c r="AX470" s="120"/>
      <c r="AY470" s="120"/>
      <c r="AZ470" s="118">
        <f>IFERROR(INDEX('Total Customers'!$F$7:$AB$91,MATCH($C470,'Total Customers'!$D$7:$D$91,0),MATCH($G470,'Total Customers'!$F$5:$AB$5,0)),"NA")</f>
        <v>1206421</v>
      </c>
      <c r="BA470" s="119">
        <f t="shared" si="1342"/>
        <v>8.8585968880585276E-3</v>
      </c>
      <c r="BB470" s="119"/>
      <c r="BC470" s="121"/>
      <c r="BD470" s="119"/>
      <c r="BE470" s="119"/>
      <c r="BF470" s="119"/>
      <c r="BG470" s="173"/>
      <c r="BH470" s="173"/>
      <c r="BI470" s="173"/>
      <c r="BJ470" s="173"/>
      <c r="BK470" s="173"/>
      <c r="BL470" s="173"/>
      <c r="BM470" s="173"/>
      <c r="BN470" s="173"/>
      <c r="BO470" s="173"/>
      <c r="BP470" s="173"/>
      <c r="BQ470" s="118"/>
      <c r="BR470" s="118"/>
      <c r="BS470" s="118">
        <f>INDEX('Dist. Plant Gas Additions'!$F$7:$AE$91,MATCH($C470,'Dist. Plant Gas Additions'!$D$7:$D$91,0),MATCH(Calculation!$G470,'Dist. Plant Gas Additions'!$F$5:$AE$5,0))</f>
        <v>75957</v>
      </c>
      <c r="BT470" s="118">
        <f>INDEX('Gen. Plant Additions'!$F$7:$AE$91,MATCH($C470,'Gen. Plant Additions'!$D$7:$D$91,0),MATCH(Calculation!$G470,'Gen. Plant Additions'!$F$5:$AE$5,0))</f>
        <v>26291</v>
      </c>
      <c r="BU470" s="118"/>
      <c r="BV470" s="118"/>
      <c r="BW470" s="118">
        <f>INDEX('Dist Plant Depreciation'!$E$7:$AD$94,MATCH($C470,'Dist Plant Depreciation'!$D$7:$D$94,0),MATCH(Calculation!$G470,'Dist Plant Depreciation'!$E$5:$AD$5,0))</f>
        <v>1019549</v>
      </c>
      <c r="BX470" s="118">
        <f>INDEX('Gen. Plant Depreciation'!$E$7:$AD$94,MATCH($C470,'Gen. Plant Depreciation'!$D$7:$D$94,0),MATCH(Calculation!$G470,'Gen. Plant Depreciation'!$E$5:$AD$5,0))</f>
        <v>118070</v>
      </c>
      <c r="BY470" s="118"/>
      <c r="BZ470" s="118"/>
      <c r="CA470" s="118"/>
      <c r="CB470" s="118"/>
      <c r="CC470" s="118"/>
      <c r="CD470" s="118"/>
      <c r="CE470" s="118">
        <f>INDEX('Gross Dx Plant'!$E$7:$AD$91,MATCH($C470,'Gross Dx Plant'!$D$7:$D$91,0),MATCH(Calculation!$G470,'Gross Dx Plant'!$E$5:$AD$5,0))</f>
        <v>1794593</v>
      </c>
      <c r="CF470" s="118">
        <f>INDEX('Gross Gen Plant'!$E$7:$AD$91,MATCH($C470,'Gross Gen Plant'!$D$7:$D$91,0),MATCH(Calculation!$G470,'Gross Gen Plant'!$E$5:$AD$5,0))</f>
        <v>323435</v>
      </c>
      <c r="CG470" s="118">
        <f t="shared" si="1177"/>
        <v>980409</v>
      </c>
      <c r="CH470" s="118"/>
      <c r="CI470" s="121">
        <v>2000</v>
      </c>
      <c r="CJ470" s="118"/>
      <c r="CK470" s="118"/>
      <c r="CL470" s="118"/>
      <c r="CM470" s="183"/>
      <c r="CN470" s="118">
        <f t="shared" si="1343"/>
        <v>102248</v>
      </c>
      <c r="CO470" s="118">
        <f t="shared" si="1344"/>
        <v>295.05931094609122</v>
      </c>
      <c r="CP470" s="186">
        <v>0.98989898989898994</v>
      </c>
      <c r="CQ470" s="118">
        <f>+CQ468*CP470+CO469*CP469+CO470</f>
        <v>5654.1313169792693</v>
      </c>
      <c r="CR470" s="119">
        <f t="shared" si="1345"/>
        <v>4.844016938200027E-2</v>
      </c>
      <c r="CS470" s="119"/>
      <c r="CT470" s="177">
        <f t="shared" si="1346"/>
        <v>5.1422215085869683E-3</v>
      </c>
      <c r="CU470" s="177"/>
      <c r="CV470" s="119">
        <f>VLOOKUP($H470,RoR!$E:$F,2,FALSE)</f>
        <v>7.6225000000000001E-2</v>
      </c>
      <c r="CW470" s="177">
        <v>2.2568307442433211E-2</v>
      </c>
      <c r="CX470" s="177">
        <f t="shared" ref="CX470:CX490" si="1352">+CV470-CW470</f>
        <v>5.365669255756679E-2</v>
      </c>
      <c r="CY470" s="177"/>
      <c r="CZ470" s="177"/>
      <c r="DA470" s="187">
        <f t="shared" si="1347"/>
        <v>0.86875000000000002</v>
      </c>
      <c r="DB470" s="188">
        <f t="shared" si="1348"/>
        <v>0.67277207323124022</v>
      </c>
      <c r="DC470" s="188">
        <f t="shared" si="1349"/>
        <v>0.6470236142997704</v>
      </c>
      <c r="DD470" s="188">
        <f t="shared" si="1350"/>
        <v>0.94704866037543145</v>
      </c>
      <c r="DE470" s="188">
        <f t="shared" si="1351"/>
        <v>0.41224973107878493</v>
      </c>
      <c r="DF470" s="189">
        <f>INDEX('State Tax Lookup'!$D$7:$Z$91,MATCH(Calculation!$C470,'State Tax Lookup'!$B$7:$B$91,0),MATCH($H470,'State Tax Lookup'!$D$6:$Z$6,0))</f>
        <v>0.35</v>
      </c>
      <c r="DG470" s="189">
        <v>0.375</v>
      </c>
      <c r="DH470" s="190"/>
      <c r="DI470" s="190"/>
      <c r="DJ470" s="177"/>
      <c r="DK470" s="189">
        <f>VLOOKUP($H470,RoR!$E:$F,2,FALSE)</f>
        <v>7.6225000000000001E-2</v>
      </c>
      <c r="DL470" s="191">
        <f>HLOOKUP($H470,'GDP-PI'!$D$8:$CQ$11,3,FALSE)</f>
        <v>2.2568307442433211E-2</v>
      </c>
      <c r="DM470" s="189">
        <f>VLOOKUP(H470,'HW Dx Data'!$E:$F,2,FALSE)</f>
        <v>346.53371782150339</v>
      </c>
      <c r="DN470" s="183" t="e">
        <f>VLOOKUP(H470,'ECI - Input Price'!$G$17:$H$37,2,FALSE)</f>
        <v>#N/A</v>
      </c>
      <c r="DO470" s="177"/>
      <c r="DP470" s="183">
        <f>HLOOKUP(H470,'GDP-PI'!$8:$9,2,FALSE)</f>
        <v>78.069000000000003</v>
      </c>
    </row>
    <row r="471" spans="1:121" s="167" customFormat="1" ht="21" x14ac:dyDescent="0.35">
      <c r="A471" s="167" t="s">
        <v>55</v>
      </c>
      <c r="B471" s="168" t="s">
        <v>55</v>
      </c>
      <c r="C471" s="168">
        <v>4057126</v>
      </c>
      <c r="D471" s="168" t="s">
        <v>137</v>
      </c>
      <c r="E471" s="168"/>
      <c r="F471" s="168"/>
      <c r="G471" s="168" t="s">
        <v>7</v>
      </c>
      <c r="H471" s="169">
        <v>2001</v>
      </c>
      <c r="I471" s="170"/>
      <c r="J471" s="166"/>
      <c r="K471" s="166"/>
      <c r="L471" s="166"/>
      <c r="M471" s="166"/>
      <c r="N471" s="196"/>
      <c r="O471" s="166"/>
      <c r="P471" s="166"/>
      <c r="Q471" s="166"/>
      <c r="R471" s="166"/>
      <c r="S471" s="166"/>
      <c r="T471" s="166"/>
      <c r="U471" s="166"/>
      <c r="V471" s="166">
        <f t="shared" si="1341"/>
        <v>68854.116408421047</v>
      </c>
      <c r="W471" s="170"/>
      <c r="X471" s="174">
        <v>5865.39474035905</v>
      </c>
      <c r="Y471" s="175">
        <v>3.6683299747551565E-2</v>
      </c>
      <c r="Z471" s="175"/>
      <c r="AA471" s="175"/>
      <c r="AB471" s="175"/>
      <c r="AC471" s="170">
        <f t="shared" si="1278"/>
        <v>68854.116408421047</v>
      </c>
      <c r="AD471" s="175"/>
      <c r="AE471" s="170"/>
      <c r="AF471" s="170"/>
      <c r="AG471" s="174"/>
      <c r="AH471" s="175"/>
      <c r="AI471" s="175"/>
      <c r="AJ471" s="174"/>
      <c r="AK471" s="174"/>
      <c r="AL471" s="120"/>
      <c r="AM471" s="120"/>
      <c r="AN471" s="120"/>
      <c r="AO471" s="120"/>
      <c r="AP471" s="120"/>
      <c r="AQ471" s="175"/>
      <c r="AR471" s="120"/>
      <c r="AS471" s="120"/>
      <c r="AT471" s="120"/>
      <c r="AU471" s="120"/>
      <c r="AV471" s="120"/>
      <c r="AW471" s="120"/>
      <c r="AX471" s="120"/>
      <c r="AY471" s="120"/>
      <c r="AZ471" s="118">
        <f>IFERROR(INDEX('Total Customers'!$F$7:$AB$91,MATCH($C471,'Total Customers'!$D$7:$D$91,0),MATCH($G471,'Total Customers'!$F$5:$AB$5,0)),"NA")</f>
        <v>1209335</v>
      </c>
      <c r="BA471" s="119">
        <f t="shared" si="1342"/>
        <v>2.4124964717658522E-3</v>
      </c>
      <c r="BB471" s="119"/>
      <c r="BC471" s="121"/>
      <c r="BD471" s="119"/>
      <c r="BE471" s="119"/>
      <c r="BF471" s="119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18"/>
      <c r="BR471" s="118"/>
      <c r="BS471" s="118">
        <f>INDEX('Dist. Plant Gas Additions'!$F$7:$AE$91,MATCH($C471,'Dist. Plant Gas Additions'!$D$7:$D$91,0),MATCH(Calculation!$G471,'Dist. Plant Gas Additions'!$F$5:$AE$5,0))</f>
        <v>64405</v>
      </c>
      <c r="BT471" s="118">
        <f>INDEX('Gen. Plant Additions'!$F$7:$AE$91,MATCH($C471,'Gen. Plant Additions'!$D$7:$D$91,0),MATCH(Calculation!$G471,'Gen. Plant Additions'!$F$5:$AE$5,0))</f>
        <v>20357</v>
      </c>
      <c r="BU471" s="118"/>
      <c r="BV471" s="118"/>
      <c r="BW471" s="118">
        <f>INDEX('Dist Plant Depreciation'!$E$7:$AD$94,MATCH($C471,'Dist Plant Depreciation'!$D$7:$D$94,0),MATCH(Calculation!$G471,'Dist Plant Depreciation'!$E$5:$AD$5,0))</f>
        <v>1070361</v>
      </c>
      <c r="BX471" s="118">
        <f>INDEX('Gen. Plant Depreciation'!$E$7:$AD$94,MATCH($C471,'Gen. Plant Depreciation'!$D$7:$D$94,0),MATCH(Calculation!$G471,'Gen. Plant Depreciation'!$E$5:$AD$5,0))</f>
        <v>127549</v>
      </c>
      <c r="BY471" s="118"/>
      <c r="BZ471" s="118"/>
      <c r="CA471" s="118"/>
      <c r="CB471" s="118"/>
      <c r="CC471" s="118"/>
      <c r="CD471" s="118"/>
      <c r="CE471" s="118">
        <f>INDEX('Gross Dx Plant'!$E$7:$AD$91,MATCH($C471,'Gross Dx Plant'!$D$7:$D$91,0),MATCH(Calculation!$G471,'Gross Dx Plant'!$E$5:$AD$5,0))</f>
        <v>1852197</v>
      </c>
      <c r="CF471" s="118">
        <f>INDEX('Gross Gen Plant'!$E$7:$AD$91,MATCH($C471,'Gross Gen Plant'!$D$7:$D$91,0),MATCH(Calculation!$G471,'Gross Gen Plant'!$E$5:$AD$5,0))</f>
        <v>327207</v>
      </c>
      <c r="CG471" s="118">
        <f t="shared" si="1177"/>
        <v>981494</v>
      </c>
      <c r="CH471" s="118"/>
      <c r="CI471" s="121">
        <v>2001</v>
      </c>
      <c r="CJ471" s="118"/>
      <c r="CK471" s="118"/>
      <c r="CL471" s="118"/>
      <c r="CM471" s="183"/>
      <c r="CN471" s="118">
        <f t="shared" si="1343"/>
        <v>84762</v>
      </c>
      <c r="CO471" s="118">
        <f t="shared" si="1344"/>
        <v>239.81504674917326</v>
      </c>
      <c r="CP471" s="186">
        <v>0.98461538461538467</v>
      </c>
      <c r="CQ471" s="118">
        <f>+CQ468*CP471+CO469*CP470+CO470*CP468+CO471</f>
        <v>5865.39474035905</v>
      </c>
      <c r="CR471" s="119">
        <f t="shared" si="1345"/>
        <v>3.6683299747551565E-2</v>
      </c>
      <c r="CS471" s="119"/>
      <c r="CT471" s="177">
        <f t="shared" si="1346"/>
        <v>5.0496922990897674E-3</v>
      </c>
      <c r="CU471" s="177">
        <f>+(CT471+CT470+CT469)/3</f>
        <v>5.0556793952620466E-3</v>
      </c>
      <c r="CV471" s="119">
        <f>VLOOKUP($H471,RoR!$E:$F,2,FALSE)</f>
        <v>7.0824999999999999E-2</v>
      </c>
      <c r="CW471" s="177">
        <v>2.2454495382290052E-2</v>
      </c>
      <c r="CX471" s="177">
        <f t="shared" si="1352"/>
        <v>4.8370504617709947E-2</v>
      </c>
      <c r="CY471" s="177">
        <f>+$CX$35-CU471</f>
        <v>2.5846262213271579E-2</v>
      </c>
      <c r="CZ471" s="177">
        <f>+((DM469/DM468-1)+(DM470/DM469-1)+(DM471/DM470-1))/3</f>
        <v>2.3947275901631187E-2</v>
      </c>
      <c r="DA471" s="187">
        <f t="shared" si="1347"/>
        <v>0.86875000000000002</v>
      </c>
      <c r="DB471" s="188">
        <f t="shared" si="1348"/>
        <v>0.72406708481540816</v>
      </c>
      <c r="DC471" s="188">
        <f t="shared" si="1349"/>
        <v>0.62201729615248857</v>
      </c>
      <c r="DD471" s="188">
        <f t="shared" si="1350"/>
        <v>0.9352469954311422</v>
      </c>
      <c r="DE471" s="188">
        <f t="shared" si="1351"/>
        <v>0.42121864641655071</v>
      </c>
      <c r="DF471" s="189">
        <f>INDEX('State Tax Lookup'!$D$7:$Z$91,MATCH(Calculation!$C471,'State Tax Lookup'!$B$7:$B$91,0),MATCH($H471,'State Tax Lookup'!$D$6:$Z$6,0))</f>
        <v>0.35</v>
      </c>
      <c r="DG471" s="189">
        <v>0.375</v>
      </c>
      <c r="DH471" s="190">
        <f t="shared" ref="DH471:DH491" si="1353">+(DM471*CY471-CZ471)*DA471/(1-DF471)</f>
        <v>12.177664887558093</v>
      </c>
      <c r="DI471" s="190"/>
      <c r="DJ471" s="177"/>
      <c r="DK471" s="189">
        <f>VLOOKUP($H471,RoR!$E:$F,2,FALSE)</f>
        <v>7.0824999999999999E-2</v>
      </c>
      <c r="DL471" s="191">
        <f>HLOOKUP($H471,'GDP-PI'!$D$8:$CQ$11,3,FALSE)</f>
        <v>2.2454495382290052E-2</v>
      </c>
      <c r="DM471" s="189">
        <f>VLOOKUP(H471,'HW Dx Data'!$E:$F,2,FALSE)</f>
        <v>353.44738017483138</v>
      </c>
      <c r="DN471" s="183">
        <f>VLOOKUP(H471,'ECI - Input Price'!$G$17:$H$37,2,FALSE)</f>
        <v>86.2</v>
      </c>
      <c r="DO471" s="177"/>
      <c r="DP471" s="183">
        <f>HLOOKUP(H471,'GDP-PI'!$8:$9,2,FALSE)</f>
        <v>79.822000000000003</v>
      </c>
    </row>
    <row r="472" spans="1:121" s="167" customFormat="1" ht="21" x14ac:dyDescent="0.35">
      <c r="A472" s="167" t="s">
        <v>55</v>
      </c>
      <c r="B472" s="168" t="s">
        <v>55</v>
      </c>
      <c r="C472" s="168">
        <v>4057126</v>
      </c>
      <c r="D472" s="168" t="s">
        <v>137</v>
      </c>
      <c r="E472" s="168"/>
      <c r="F472" s="168"/>
      <c r="G472" s="168" t="s">
        <v>8</v>
      </c>
      <c r="H472" s="169">
        <v>2002</v>
      </c>
      <c r="I472" s="170"/>
      <c r="J472" s="166"/>
      <c r="K472" s="166"/>
      <c r="L472" s="166"/>
      <c r="M472" s="166"/>
      <c r="N472" s="196"/>
      <c r="O472" s="166"/>
      <c r="P472" s="166"/>
      <c r="Q472" s="166"/>
      <c r="R472" s="166"/>
      <c r="S472" s="166"/>
      <c r="T472" s="166"/>
      <c r="U472" s="166"/>
      <c r="V472" s="166">
        <f t="shared" si="1341"/>
        <v>72303.418457299384</v>
      </c>
      <c r="W472" s="170"/>
      <c r="X472" s="174">
        <v>6022.9870121406893</v>
      </c>
      <c r="Y472" s="175">
        <v>2.6513533432509073E-2</v>
      </c>
      <c r="Z472" s="175"/>
      <c r="AA472" s="175"/>
      <c r="AB472" s="175"/>
      <c r="AC472" s="170">
        <f t="shared" si="1278"/>
        <v>72303.418457299384</v>
      </c>
      <c r="AD472" s="175"/>
      <c r="AE472" s="170"/>
      <c r="AF472" s="170"/>
      <c r="AG472" s="174"/>
      <c r="AH472" s="175"/>
      <c r="AI472" s="175"/>
      <c r="AJ472" s="174"/>
      <c r="AK472" s="174"/>
      <c r="AL472" s="120"/>
      <c r="AM472" s="120"/>
      <c r="AN472" s="120"/>
      <c r="AO472" s="120"/>
      <c r="AP472" s="120"/>
      <c r="AQ472" s="175"/>
      <c r="AR472" s="120"/>
      <c r="AS472" s="120"/>
      <c r="AT472" s="120"/>
      <c r="AU472" s="120"/>
      <c r="AV472" s="120"/>
      <c r="AW472" s="120"/>
      <c r="AX472" s="120"/>
      <c r="AY472" s="120"/>
      <c r="AZ472" s="118">
        <f>IFERROR(INDEX('Total Customers'!$F$7:$AB$91,MATCH($C472,'Total Customers'!$D$7:$D$91,0),MATCH($G472,'Total Customers'!$F$5:$AB$5,0)),"NA")</f>
        <v>1252052</v>
      </c>
      <c r="BA472" s="119">
        <f t="shared" si="1342"/>
        <v>3.4713183608117468E-2</v>
      </c>
      <c r="BB472" s="119"/>
      <c r="BC472" s="121"/>
      <c r="BD472" s="119"/>
      <c r="BE472" s="119"/>
      <c r="BF472" s="119"/>
      <c r="BG472" s="173"/>
      <c r="BH472" s="173"/>
      <c r="BI472" s="173"/>
      <c r="BJ472" s="173"/>
      <c r="BK472" s="173"/>
      <c r="BL472" s="173"/>
      <c r="BM472" s="173"/>
      <c r="BN472" s="173"/>
      <c r="BO472" s="173"/>
      <c r="BP472" s="173"/>
      <c r="BQ472" s="118"/>
      <c r="BR472" s="118"/>
      <c r="BS472" s="118">
        <f>INDEX('Dist. Plant Gas Additions'!$F$7:$AE$91,MATCH($C472,'Dist. Plant Gas Additions'!$D$7:$D$91,0),MATCH(Calculation!$G472,'Dist. Plant Gas Additions'!$F$5:$AE$5,0))</f>
        <v>56512</v>
      </c>
      <c r="BT472" s="118">
        <f>INDEX('Gen. Plant Additions'!$F$7:$AE$91,MATCH($C472,'Gen. Plant Additions'!$D$7:$D$91,0),MATCH(Calculation!$G472,'Gen. Plant Additions'!$F$5:$AE$5,0))</f>
        <v>12581</v>
      </c>
      <c r="BU472" s="118"/>
      <c r="BV472" s="118"/>
      <c r="BW472" s="118">
        <f>INDEX('Dist Plant Depreciation'!$E$7:$AD$94,MATCH($C472,'Dist Plant Depreciation'!$D$7:$D$94,0),MATCH(Calculation!$G472,'Dist Plant Depreciation'!$E$5:$AD$5,0))</f>
        <v>1126677</v>
      </c>
      <c r="BX472" s="118">
        <f>INDEX('Gen. Plant Depreciation'!$E$7:$AD$94,MATCH($C472,'Gen. Plant Depreciation'!$D$7:$D$94,0),MATCH(Calculation!$G472,'Gen. Plant Depreciation'!$E$5:$AD$5,0))</f>
        <v>145195</v>
      </c>
      <c r="BY472" s="118"/>
      <c r="BZ472" s="118"/>
      <c r="CA472" s="118"/>
      <c r="CB472" s="118"/>
      <c r="CC472" s="118"/>
      <c r="CD472" s="118"/>
      <c r="CE472" s="118">
        <f>INDEX('Gross Dx Plant'!$E$7:$AD$91,MATCH($C472,'Gross Dx Plant'!$D$7:$D$91,0),MATCH(Calculation!$G472,'Gross Dx Plant'!$E$5:$AD$5,0))</f>
        <v>1903177</v>
      </c>
      <c r="CF472" s="118">
        <f>INDEX('Gross Gen Plant'!$E$7:$AD$91,MATCH($C472,'Gross Gen Plant'!$D$7:$D$91,0),MATCH(Calculation!$G472,'Gross Gen Plant'!$E$5:$AD$5,0))</f>
        <v>331641</v>
      </c>
      <c r="CG472" s="118">
        <f t="shared" si="1177"/>
        <v>962946</v>
      </c>
      <c r="CH472" s="118"/>
      <c r="CI472" s="121">
        <v>2002</v>
      </c>
      <c r="CJ472" s="118"/>
      <c r="CK472" s="118"/>
      <c r="CL472" s="118"/>
      <c r="CM472" s="183"/>
      <c r="CN472" s="118">
        <f t="shared" si="1343"/>
        <v>69093</v>
      </c>
      <c r="CO472" s="118">
        <f t="shared" si="1344"/>
        <v>191.20894071684751</v>
      </c>
      <c r="CP472" s="186">
        <v>0.97916666666666663</v>
      </c>
      <c r="CQ472" s="118">
        <f>+CQ468*CP472+CO469*CP471+CO470*CP470+CO471*CP469+CO472</f>
        <v>6022.9870121406893</v>
      </c>
      <c r="CR472" s="119">
        <f t="shared" si="1345"/>
        <v>2.6513533432509073E-2</v>
      </c>
      <c r="CS472" s="119"/>
      <c r="CT472" s="177">
        <f t="shared" si="1346"/>
        <v>5.7313566133743938E-3</v>
      </c>
      <c r="CU472" s="177">
        <f t="shared" ref="CU472:CU491" si="1354">+(CT472+CT471+CT470)/3</f>
        <v>5.3077568070170429E-3</v>
      </c>
      <c r="CV472" s="119">
        <f>VLOOKUP($H472,RoR!$E:$F,2,FALSE)</f>
        <v>6.4916666666666664E-2</v>
      </c>
      <c r="CW472" s="177">
        <v>1.5246423291824351E-2</v>
      </c>
      <c r="CX472" s="177">
        <f t="shared" si="1352"/>
        <v>4.9670243374842313E-2</v>
      </c>
      <c r="CY472" s="177">
        <f t="shared" ref="CY472:CY491" si="1355">+$CX$35-CU472</f>
        <v>2.5594184801516581E-2</v>
      </c>
      <c r="CZ472" s="177">
        <f t="shared" ref="CZ472:CZ491" si="1356">+((DM470/DM469-1)+(DM471/DM470-1)+(DM472/DM471-1))/3</f>
        <v>2.5243621214759093E-2</v>
      </c>
      <c r="DA472" s="187">
        <f t="shared" si="1347"/>
        <v>0.86875000000000002</v>
      </c>
      <c r="DB472" s="188">
        <f t="shared" si="1348"/>
        <v>0.78996741384417901</v>
      </c>
      <c r="DC472" s="188">
        <f t="shared" si="1349"/>
        <v>0.58989088575096271</v>
      </c>
      <c r="DD472" s="188">
        <f t="shared" si="1350"/>
        <v>0.91920675783645744</v>
      </c>
      <c r="DE472" s="188">
        <f t="shared" si="1351"/>
        <v>0.42834536472275586</v>
      </c>
      <c r="DF472" s="189">
        <f>INDEX('State Tax Lookup'!$D$7:$Z$91,MATCH(Calculation!$C472,'State Tax Lookup'!$B$7:$B$91,0),MATCH($H472,'State Tax Lookup'!$D$6:$Z$6,0))</f>
        <v>0.35</v>
      </c>
      <c r="DG472" s="189">
        <v>0.375</v>
      </c>
      <c r="DH472" s="190">
        <f t="shared" si="1353"/>
        <v>12.327118916615889</v>
      </c>
      <c r="DI472" s="190"/>
      <c r="DJ472" s="177"/>
      <c r="DK472" s="189">
        <f>VLOOKUP($H472,RoR!$E:$F,2,FALSE)</f>
        <v>6.4916666666666664E-2</v>
      </c>
      <c r="DL472" s="191">
        <f>HLOOKUP($H472,'GDP-PI'!$D$8:$CQ$11,3,FALSE)</f>
        <v>1.5246423291824351E-2</v>
      </c>
      <c r="DM472" s="189">
        <f>VLOOKUP(H472,'HW Dx Data'!$E:$F,2,FALSE)</f>
        <v>361.34816573413599</v>
      </c>
      <c r="DN472" s="183">
        <f>VLOOKUP(H472,'ECI - Input Price'!$G$17:$H$37,2,FALSE)</f>
        <v>89.275000000000006</v>
      </c>
      <c r="DO472" s="177">
        <f>LN(DN472/DN471)</f>
        <v>3.5051315810864674E-2</v>
      </c>
      <c r="DP472" s="183">
        <f>HLOOKUP(H472,'GDP-PI'!$8:$9,2,FALSE)</f>
        <v>81.039000000000001</v>
      </c>
      <c r="DQ472" s="177">
        <f>LN(DP472/DP471)</f>
        <v>1.513136459537477E-2</v>
      </c>
    </row>
    <row r="473" spans="1:121" s="167" customFormat="1" ht="21" x14ac:dyDescent="0.35">
      <c r="A473" s="167" t="s">
        <v>55</v>
      </c>
      <c r="B473" s="168" t="s">
        <v>55</v>
      </c>
      <c r="C473" s="168">
        <v>4057126</v>
      </c>
      <c r="D473" s="168" t="s">
        <v>137</v>
      </c>
      <c r="E473" s="168"/>
      <c r="F473" s="168"/>
      <c r="G473" s="168" t="s">
        <v>9</v>
      </c>
      <c r="H473" s="169">
        <v>2003</v>
      </c>
      <c r="I473" s="170"/>
      <c r="J473" s="166"/>
      <c r="K473" s="166"/>
      <c r="L473" s="166"/>
      <c r="M473" s="172"/>
      <c r="N473" s="196"/>
      <c r="O473" s="172"/>
      <c r="P473" s="166"/>
      <c r="Q473" s="166"/>
      <c r="R473" s="166"/>
      <c r="S473" s="166"/>
      <c r="T473" s="166"/>
      <c r="U473" s="166"/>
      <c r="V473" s="166">
        <f t="shared" si="1341"/>
        <v>75384.383932752855</v>
      </c>
      <c r="W473" s="170"/>
      <c r="X473" s="174">
        <v>6175.9798495226451</v>
      </c>
      <c r="Y473" s="175">
        <v>2.5084232328173889E-2</v>
      </c>
      <c r="Z473" s="175"/>
      <c r="AA473" s="175"/>
      <c r="AB473" s="175"/>
      <c r="AC473" s="170">
        <f t="shared" si="1278"/>
        <v>75384.383932752855</v>
      </c>
      <c r="AD473" s="175"/>
      <c r="AE473" s="170"/>
      <c r="AF473" s="170"/>
      <c r="AG473" s="174"/>
      <c r="AH473" s="175"/>
      <c r="AI473" s="175"/>
      <c r="AJ473" s="174"/>
      <c r="AK473" s="174"/>
      <c r="AL473" s="120"/>
      <c r="AM473" s="120"/>
      <c r="AN473" s="120"/>
      <c r="AO473" s="120"/>
      <c r="AP473" s="120"/>
      <c r="AQ473" s="175"/>
      <c r="AR473" s="120"/>
      <c r="AS473" s="120"/>
      <c r="AT473" s="120"/>
      <c r="AU473" s="120"/>
      <c r="AV473" s="120"/>
      <c r="AW473" s="120"/>
      <c r="AX473" s="120"/>
      <c r="AY473" s="120"/>
      <c r="AZ473" s="118">
        <f>IFERROR(INDEX('Total Customers'!$F$7:$AB$91,MATCH($C473,'Total Customers'!$D$7:$D$91,0),MATCH($G473,'Total Customers'!$F$5:$AB$5,0)),"NA")</f>
        <v>1254062</v>
      </c>
      <c r="BA473" s="119">
        <f t="shared" si="1342"/>
        <v>1.604077413069185E-3</v>
      </c>
      <c r="BB473" s="119"/>
      <c r="BC473" s="121"/>
      <c r="BD473" s="119"/>
      <c r="BE473" s="119"/>
      <c r="BF473" s="119"/>
      <c r="BG473" s="173"/>
      <c r="BH473" s="173"/>
      <c r="BI473" s="173"/>
      <c r="BJ473" s="173"/>
      <c r="BK473" s="173"/>
      <c r="BL473" s="173"/>
      <c r="BM473" s="173"/>
      <c r="BN473" s="173"/>
      <c r="BO473" s="173"/>
      <c r="BP473" s="173"/>
      <c r="BQ473" s="118"/>
      <c r="BR473" s="118"/>
      <c r="BS473" s="118">
        <f>INDEX('Dist. Plant Gas Additions'!$F$7:$AE$91,MATCH($C473,'Dist. Plant Gas Additions'!$D$7:$D$91,0),MATCH(Calculation!$G473,'Dist. Plant Gas Additions'!$F$5:$AE$5,0))</f>
        <v>62464</v>
      </c>
      <c r="BT473" s="118">
        <f>INDEX('Gen. Plant Additions'!$F$7:$AE$91,MATCH($C473,'Gen. Plant Additions'!$D$7:$D$91,0),MATCH(Calculation!$G473,'Gen. Plant Additions'!$F$5:$AE$5,0))</f>
        <v>6623</v>
      </c>
      <c r="BU473" s="118"/>
      <c r="BV473" s="118"/>
      <c r="BW473" s="118">
        <f>INDEX('Dist Plant Depreciation'!$E$7:$AD$94,MATCH($C473,'Dist Plant Depreciation'!$D$7:$D$94,0),MATCH(Calculation!$G473,'Dist Plant Depreciation'!$E$5:$AD$5,0))</f>
        <v>1184337</v>
      </c>
      <c r="BX473" s="118">
        <f>INDEX('Gen. Plant Depreciation'!$E$7:$AD$94,MATCH($C473,'Gen. Plant Depreciation'!$D$7:$D$94,0),MATCH(Calculation!$G473,'Gen. Plant Depreciation'!$E$5:$AD$5,0))</f>
        <v>137328</v>
      </c>
      <c r="BY473" s="118"/>
      <c r="BZ473" s="118"/>
      <c r="CA473" s="118"/>
      <c r="CB473" s="118"/>
      <c r="CC473" s="118"/>
      <c r="CD473" s="118"/>
      <c r="CE473" s="118">
        <f>INDEX('Gross Dx Plant'!$E$7:$AD$91,MATCH($C473,'Gross Dx Plant'!$D$7:$D$91,0),MATCH(Calculation!$G473,'Gross Dx Plant'!$E$5:$AD$5,0))</f>
        <v>1960876</v>
      </c>
      <c r="CF473" s="118">
        <f>INDEX('Gross Gen Plant'!$E$7:$AD$91,MATCH($C473,'Gross Gen Plant'!$D$7:$D$91,0),MATCH(Calculation!$G473,'Gross Gen Plant'!$E$5:$AD$5,0))</f>
        <v>246974</v>
      </c>
      <c r="CG473" s="118">
        <f t="shared" si="1177"/>
        <v>886185</v>
      </c>
      <c r="CH473" s="118"/>
      <c r="CI473" s="121">
        <v>2003</v>
      </c>
      <c r="CJ473" s="118"/>
      <c r="CK473" s="118"/>
      <c r="CL473" s="118"/>
      <c r="CM473" s="183"/>
      <c r="CN473" s="118">
        <f t="shared" si="1343"/>
        <v>69087</v>
      </c>
      <c r="CO473" s="118">
        <f t="shared" si="1344"/>
        <v>187.10948899503273</v>
      </c>
      <c r="CP473" s="186">
        <v>0.97354497354497349</v>
      </c>
      <c r="CQ473" s="118">
        <f>+CQ468*CP473+CO469*CP472+CO470*CP471+CO471*CP470+CO472*CP469+CO473</f>
        <v>6175.9798495226451</v>
      </c>
      <c r="CR473" s="119">
        <f t="shared" si="1345"/>
        <v>2.5084232328173889E-2</v>
      </c>
      <c r="CS473" s="119"/>
      <c r="CT473" s="177">
        <f t="shared" si="1346"/>
        <v>5.6644073022749679E-3</v>
      </c>
      <c r="CU473" s="177">
        <f t="shared" si="1354"/>
        <v>5.4818187382463766E-3</v>
      </c>
      <c r="CV473" s="119">
        <f>VLOOKUP($H473,RoR!$E:$F,2,FALSE)</f>
        <v>5.6666666666666671E-2</v>
      </c>
      <c r="CW473" s="177">
        <v>1.8855119140166909E-2</v>
      </c>
      <c r="CX473" s="177">
        <f t="shared" si="1352"/>
        <v>3.7811547526499761E-2</v>
      </c>
      <c r="CY473" s="177">
        <f t="shared" si="1355"/>
        <v>2.5420122870287248E-2</v>
      </c>
      <c r="CZ473" s="177">
        <f t="shared" si="1356"/>
        <v>2.1375012817671957E-2</v>
      </c>
      <c r="DA473" s="187">
        <f t="shared" si="1347"/>
        <v>0.86875000000000002</v>
      </c>
      <c r="DB473" s="188">
        <f t="shared" si="1348"/>
        <v>0.90497737556561086</v>
      </c>
      <c r="DC473" s="188">
        <f t="shared" si="1349"/>
        <v>0.5338235294117647</v>
      </c>
      <c r="DD473" s="188">
        <f t="shared" si="1350"/>
        <v>0.88972433127405692</v>
      </c>
      <c r="DE473" s="188">
        <f t="shared" si="1351"/>
        <v>0.42982423775949252</v>
      </c>
      <c r="DF473" s="189">
        <f>INDEX('State Tax Lookup'!$D$7:$Z$91,MATCH(Calculation!$C473,'State Tax Lookup'!$B$7:$B$91,0),MATCH($H473,'State Tax Lookup'!$D$6:$Z$6,0))</f>
        <v>0.35</v>
      </c>
      <c r="DG473" s="189">
        <v>0.375</v>
      </c>
      <c r="DH473" s="190">
        <f t="shared" si="1353"/>
        <v>12.516112649885949</v>
      </c>
      <c r="DI473" s="190"/>
      <c r="DJ473" s="177"/>
      <c r="DK473" s="189">
        <f>VLOOKUP($H473,RoR!$E:$F,2,FALSE)</f>
        <v>5.6666666666666671E-2</v>
      </c>
      <c r="DL473" s="191">
        <f>HLOOKUP($H473,'GDP-PI'!$D$8:$CQ$11,3,FALSE)</f>
        <v>1.8855119140166909E-2</v>
      </c>
      <c r="DM473" s="189">
        <f>VLOOKUP(H473,'HW Dx Data'!$E:$F,2,FALSE)</f>
        <v>369.23301095560191</v>
      </c>
      <c r="DN473" s="183">
        <f>VLOOKUP(H473,'ECI - Input Price'!$G$17:$H$37,2,FALSE)</f>
        <v>92.625</v>
      </c>
      <c r="DO473" s="177">
        <f t="shared" ref="DO473" si="1357">LN(DN473/DN472)</f>
        <v>3.6837590135738785E-2</v>
      </c>
      <c r="DP473" s="183">
        <f>HLOOKUP(H473,'GDP-PI'!$8:$9,2,FALSE)</f>
        <v>82.566999999999993</v>
      </c>
      <c r="DQ473" s="177">
        <f t="shared" ref="DQ473" si="1358">LN(DP473/DP472)</f>
        <v>1.8679564681853753E-2</v>
      </c>
    </row>
    <row r="474" spans="1:121" s="167" customFormat="1" ht="21" x14ac:dyDescent="0.35">
      <c r="A474" s="167" t="s">
        <v>55</v>
      </c>
      <c r="B474" s="168" t="s">
        <v>55</v>
      </c>
      <c r="C474" s="168">
        <v>4057126</v>
      </c>
      <c r="D474" s="168" t="s">
        <v>137</v>
      </c>
      <c r="E474" s="168"/>
      <c r="F474" s="168"/>
      <c r="G474" s="168" t="s">
        <v>10</v>
      </c>
      <c r="H474" s="169">
        <v>2004</v>
      </c>
      <c r="I474" s="170"/>
      <c r="J474" s="166">
        <f>IFERROR(INDEX('Labor Expenditures'!$F$7:$X$91,MATCH($C474,'Labor Expenditures'!$D$7:$D$91,0),MATCH($G474,'Labor Expenditures'!$F$5:$X$5,0)),"NA")</f>
        <v>98067.10555946338</v>
      </c>
      <c r="K474" s="166">
        <f t="shared" ref="K474:K491" si="1359">+J474/DN474</f>
        <v>1019.6735696330999</v>
      </c>
      <c r="L474" s="172"/>
      <c r="M474" s="172"/>
      <c r="N474" s="196"/>
      <c r="O474" s="172"/>
      <c r="P474" s="166">
        <f>IFERROR(INDEX('Non-Labor Expenditures'!$F$7:$AB$91,MATCH($C474,'Non-Labor Expenditures'!$D$7:$D$91,0),MATCH($G474,'Non-Labor Expenditures'!$F$5:$AB$5,0)),"NA")</f>
        <v>142019.48525886529</v>
      </c>
      <c r="Q474" s="166">
        <f t="shared" ref="Q474:Q491" si="1360">+P474/DP474</f>
        <v>1675.1926827580892</v>
      </c>
      <c r="R474" s="166"/>
      <c r="S474" s="166"/>
      <c r="T474" s="166"/>
      <c r="U474" s="166"/>
      <c r="V474" s="166">
        <f t="shared" si="1341"/>
        <v>85677.59127431424</v>
      </c>
      <c r="W474" s="170"/>
      <c r="X474" s="174">
        <v>6305.5623877903745</v>
      </c>
      <c r="Y474" s="175">
        <v>2.0764612540605694E-2</v>
      </c>
      <c r="Z474" s="175"/>
      <c r="AA474" s="175"/>
      <c r="AB474" s="175"/>
      <c r="AC474" s="170">
        <f t="shared" si="1278"/>
        <v>325764.18209264288</v>
      </c>
      <c r="AD474" s="175"/>
      <c r="AE474" s="170"/>
      <c r="AF474" s="170"/>
      <c r="AG474" s="174"/>
      <c r="AH474" s="175"/>
      <c r="AI474" s="175"/>
      <c r="AJ474" s="174"/>
      <c r="AK474" s="174"/>
      <c r="AL474" s="120">
        <f t="shared" ref="AL474:AL491" si="1361">+J474/AC474</f>
        <v>0.30103710275789142</v>
      </c>
      <c r="AM474" s="120">
        <f t="shared" ref="AM474:AM491" si="1362">+P474/AC474</f>
        <v>0.43595795076843924</v>
      </c>
      <c r="AN474" s="120">
        <f t="shared" ref="AN474:AN491" si="1363">+V474/AC474</f>
        <v>0.2630049464736694</v>
      </c>
      <c r="AO474" s="120"/>
      <c r="AP474" s="120"/>
      <c r="AQ474" s="175"/>
      <c r="AR474" s="120"/>
      <c r="AS474" s="120"/>
      <c r="AT474" s="120"/>
      <c r="AU474" s="120"/>
      <c r="AV474" s="120"/>
      <c r="AW474" s="120"/>
      <c r="AX474" s="120"/>
      <c r="AY474" s="120"/>
      <c r="AZ474" s="118">
        <f>IFERROR(INDEX('Total Customers'!$F$7:$AB$91,MATCH($C474,'Total Customers'!$D$7:$D$91,0),MATCH($G474,'Total Customers'!$F$5:$AB$5,0)),"NA")</f>
        <v>1250238</v>
      </c>
      <c r="BA474" s="119">
        <f t="shared" si="1342"/>
        <v>-3.0539495843777457E-3</v>
      </c>
      <c r="BB474" s="119"/>
      <c r="BC474" s="121"/>
      <c r="BD474" s="119"/>
      <c r="BE474" s="119"/>
      <c r="BF474" s="119"/>
      <c r="BG474" s="173"/>
      <c r="BH474" s="173"/>
      <c r="BI474" s="173"/>
      <c r="BJ474" s="173"/>
      <c r="BK474" s="173"/>
      <c r="BL474" s="173"/>
      <c r="BM474" s="173"/>
      <c r="BN474" s="173"/>
      <c r="BO474" s="173"/>
      <c r="BP474" s="173"/>
      <c r="BQ474" s="118"/>
      <c r="BR474" s="118"/>
      <c r="BS474" s="118">
        <f>INDEX('Dist. Plant Gas Additions'!$F$7:$AE$91,MATCH($C474,'Dist. Plant Gas Additions'!$D$7:$D$91,0),MATCH(Calculation!$G474,'Dist. Plant Gas Additions'!$F$5:$AE$5,0))</f>
        <v>63639</v>
      </c>
      <c r="BT474" s="118">
        <f>INDEX('Gen. Plant Additions'!$F$7:$AE$91,MATCH($C474,'Gen. Plant Additions'!$D$7:$D$91,0),MATCH(Calculation!$G474,'Gen. Plant Additions'!$F$5:$AE$5,0))</f>
        <v>5118</v>
      </c>
      <c r="BU474" s="118"/>
      <c r="BV474" s="118"/>
      <c r="BW474" s="118">
        <f>INDEX('Dist Plant Depreciation'!$E$7:$AD$94,MATCH($C474,'Dist Plant Depreciation'!$D$7:$D$94,0),MATCH(Calculation!$G474,'Dist Plant Depreciation'!$E$5:$AD$5,0))</f>
        <v>1247606</v>
      </c>
      <c r="BX474" s="118">
        <f>INDEX('Gen. Plant Depreciation'!$E$7:$AD$94,MATCH($C474,'Gen. Plant Depreciation'!$D$7:$D$94,0),MATCH(Calculation!$G474,'Gen. Plant Depreciation'!$E$5:$AD$5,0))</f>
        <v>141319</v>
      </c>
      <c r="BY474" s="118"/>
      <c r="BZ474" s="118"/>
      <c r="CA474" s="118"/>
      <c r="CB474" s="118"/>
      <c r="CC474" s="118"/>
      <c r="CD474" s="118"/>
      <c r="CE474" s="118">
        <f>INDEX('Gross Dx Plant'!$E$7:$AD$91,MATCH($C474,'Gross Dx Plant'!$D$7:$D$91,0),MATCH(Calculation!$G474,'Gross Dx Plant'!$E$5:$AD$5,0))</f>
        <v>2019748</v>
      </c>
      <c r="CF474" s="118">
        <f>INDEX('Gross Gen Plant'!$E$7:$AD$91,MATCH($C474,'Gross Gen Plant'!$D$7:$D$91,0),MATCH(Calculation!$G474,'Gross Gen Plant'!$E$5:$AD$5,0))</f>
        <v>236881</v>
      </c>
      <c r="CG474" s="118">
        <f t="shared" si="1177"/>
        <v>867704</v>
      </c>
      <c r="CH474" s="118"/>
      <c r="CI474" s="121">
        <v>2004</v>
      </c>
      <c r="CJ474" s="118"/>
      <c r="CK474" s="118"/>
      <c r="CL474" s="118"/>
      <c r="CM474" s="183"/>
      <c r="CN474" s="118">
        <f t="shared" si="1343"/>
        <v>68757</v>
      </c>
      <c r="CO474" s="118">
        <f t="shared" si="1344"/>
        <v>165.72456666086359</v>
      </c>
      <c r="CP474" s="186">
        <v>0.967741935483871</v>
      </c>
      <c r="CQ474" s="118">
        <f>+CQ468*CP474+CO469*CP473+CO470*CP472+CO471*CP471+CO472*CP470+CO473*CP469+CO474</f>
        <v>6305.5623877903745</v>
      </c>
      <c r="CR474" s="119">
        <f t="shared" si="1345"/>
        <v>2.0764612540605694E-2</v>
      </c>
      <c r="CS474" s="119"/>
      <c r="CT474" s="177">
        <f t="shared" si="1346"/>
        <v>5.8520314628176208E-3</v>
      </c>
      <c r="CU474" s="177">
        <f t="shared" si="1354"/>
        <v>5.7492651261556614E-3</v>
      </c>
      <c r="CV474" s="119">
        <f>VLOOKUP($H474,RoR!$E:$F,2,FALSE)</f>
        <v>5.6283333333333331E-2</v>
      </c>
      <c r="CW474" s="177">
        <v>2.6778252812867276E-2</v>
      </c>
      <c r="CX474" s="177">
        <f t="shared" si="1352"/>
        <v>2.9505080520466055E-2</v>
      </c>
      <c r="CY474" s="177">
        <f t="shared" si="1355"/>
        <v>2.5152676482377963E-2</v>
      </c>
      <c r="CZ474" s="177">
        <f t="shared" si="1356"/>
        <v>5.5940039414565046E-2</v>
      </c>
      <c r="DA474" s="187">
        <f t="shared" si="1347"/>
        <v>0.86875000000000002</v>
      </c>
      <c r="DB474" s="188">
        <f t="shared" si="1348"/>
        <v>0.91114097628755619</v>
      </c>
      <c r="DC474" s="188">
        <f t="shared" si="1349"/>
        <v>0.53081877405981637</v>
      </c>
      <c r="DD474" s="188">
        <f t="shared" si="1350"/>
        <v>0.88811215519385678</v>
      </c>
      <c r="DE474" s="188">
        <f t="shared" si="1351"/>
        <v>0.42953609753547711</v>
      </c>
      <c r="DF474" s="189">
        <f>INDEX('State Tax Lookup'!$D$7:$Z$91,MATCH(Calculation!$C474,'State Tax Lookup'!$B$7:$B$91,0),MATCH($H474,'State Tax Lookup'!$D$6:$Z$6,0))</f>
        <v>0.35</v>
      </c>
      <c r="DG474" s="189">
        <v>0.375</v>
      </c>
      <c r="DH474" s="190">
        <f t="shared" si="1353"/>
        <v>13.87271224353759</v>
      </c>
      <c r="DI474" s="190"/>
      <c r="DJ474" s="177"/>
      <c r="DK474" s="189">
        <f>VLOOKUP($H474,RoR!$E:$F,2,FALSE)</f>
        <v>5.6283333333333331E-2</v>
      </c>
      <c r="DL474" s="191">
        <f>HLOOKUP($H474,'GDP-PI'!$D$8:$CQ$11,3,FALSE)</f>
        <v>2.6778252812867276E-2</v>
      </c>
      <c r="DM474" s="189">
        <f>VLOOKUP(H474,'HW Dx Data'!$E:$F,2,FALSE)</f>
        <v>414.88719135228365</v>
      </c>
      <c r="DN474" s="183">
        <f>VLOOKUP(H474,'ECI - Input Price'!$G$17:$H$37,2,FALSE)</f>
        <v>96.174999999999997</v>
      </c>
      <c r="DO474" s="177">
        <f t="shared" ref="DO474" si="1364">LN(DN474/DN473)</f>
        <v>3.7610365022107912E-2</v>
      </c>
      <c r="DP474" s="183">
        <f>HLOOKUP(H474,'GDP-PI'!$8:$9,2,FALSE)</f>
        <v>84.778000000000006</v>
      </c>
      <c r="DQ474" s="177">
        <f t="shared" ref="DQ474" si="1365">LN(DP474/DP473)</f>
        <v>2.6425990216022755E-2</v>
      </c>
    </row>
    <row r="475" spans="1:121" s="167" customFormat="1" ht="21" x14ac:dyDescent="0.35">
      <c r="A475" s="167" t="s">
        <v>55</v>
      </c>
      <c r="B475" s="168" t="s">
        <v>55</v>
      </c>
      <c r="C475" s="168">
        <v>4057126</v>
      </c>
      <c r="D475" s="168" t="s">
        <v>137</v>
      </c>
      <c r="E475" s="168"/>
      <c r="F475" s="168"/>
      <c r="G475" s="168" t="s">
        <v>11</v>
      </c>
      <c r="H475" s="169">
        <v>2005</v>
      </c>
      <c r="I475" s="170"/>
      <c r="J475" s="166">
        <f>IFERROR(INDEX('Labor Expenditures'!$F$7:$X$91,MATCH($C475,'Labor Expenditures'!$D$7:$D$91,0),MATCH($G475,'Labor Expenditures'!$F$5:$X$5,0)),"NA")</f>
        <v>108802.75649349975</v>
      </c>
      <c r="K475" s="166">
        <f t="shared" si="1359"/>
        <v>1097.3550831417019</v>
      </c>
      <c r="L475" s="172">
        <f t="shared" ref="L475:L491" si="1366">LN(K475/K474)</f>
        <v>7.3420268249043782E-2</v>
      </c>
      <c r="M475" s="172"/>
      <c r="N475" s="196"/>
      <c r="O475" s="172"/>
      <c r="P475" s="166">
        <f>IFERROR(INDEX('Non-Labor Expenditures'!$F$7:$AB$91,MATCH($C475,'Non-Labor Expenditures'!$D$7:$D$91,0),MATCH($G475,'Non-Labor Expenditures'!$F$5:$AB$5,0)),"NA")</f>
        <v>157566.71295435604</v>
      </c>
      <c r="Q475" s="166">
        <f t="shared" si="1360"/>
        <v>1802.678423402657</v>
      </c>
      <c r="R475" s="172">
        <f>LN(Q475/Q474)</f>
        <v>7.3345378765756489E-2</v>
      </c>
      <c r="S475" s="172"/>
      <c r="T475" s="172"/>
      <c r="U475" s="172"/>
      <c r="V475" s="166">
        <f t="shared" si="1341"/>
        <v>98265.665745543956</v>
      </c>
      <c r="W475" s="170"/>
      <c r="X475" s="174">
        <v>6438.9245699463636</v>
      </c>
      <c r="Y475" s="175">
        <v>2.0929371376219013E-2</v>
      </c>
      <c r="Z475" s="175"/>
      <c r="AA475" s="175"/>
      <c r="AB475" s="175"/>
      <c r="AC475" s="170">
        <f t="shared" si="1278"/>
        <v>364635.13519339974</v>
      </c>
      <c r="AD475" s="175">
        <f>LN(AC475/AC474)</f>
        <v>0.11272347221648575</v>
      </c>
      <c r="AE475" s="170"/>
      <c r="AF475" s="170"/>
      <c r="AG475" s="121"/>
      <c r="AH475" s="119"/>
      <c r="AI475" s="119"/>
      <c r="AJ475" s="121"/>
      <c r="AK475" s="121"/>
      <c r="AL475" s="120">
        <f t="shared" si="1361"/>
        <v>0.29838802131832848</v>
      </c>
      <c r="AM475" s="120">
        <f t="shared" si="1362"/>
        <v>0.43212158606378909</v>
      </c>
      <c r="AN475" s="120">
        <f t="shared" si="1363"/>
        <v>0.26949039261788249</v>
      </c>
      <c r="AO475" s="120">
        <f t="shared" ref="AO475:AO491" si="1367">+(((AL475+AL474)/2)*L475+((AM474+AM475)/2)*R475+((AN474+AN475)/2)*Y475)</f>
        <v>5.941218427030371E-2</v>
      </c>
      <c r="AP475" s="173">
        <v>100</v>
      </c>
      <c r="AQ475" s="175"/>
      <c r="AR475" s="120"/>
      <c r="AS475" s="120"/>
      <c r="AT475" s="120"/>
      <c r="AU475" s="120"/>
      <c r="AV475" s="120"/>
      <c r="AW475" s="120"/>
      <c r="AX475" s="120"/>
      <c r="AY475" s="120"/>
      <c r="AZ475" s="118">
        <f>IFERROR(INDEX('Total Customers'!$F$7:$AB$91,MATCH($C475,'Total Customers'!$D$7:$D$91,0),MATCH($G475,'Total Customers'!$F$5:$AB$5,0)),"NA")</f>
        <v>1260591</v>
      </c>
      <c r="BA475" s="119">
        <f t="shared" si="1342"/>
        <v>8.2467254235551301E-3</v>
      </c>
      <c r="BB475" s="119"/>
      <c r="BC475" s="121"/>
      <c r="BD475" s="119"/>
      <c r="BE475" s="119"/>
      <c r="BF475" s="119"/>
      <c r="BG475" s="173"/>
      <c r="BH475" s="173"/>
      <c r="BI475" s="173"/>
      <c r="BJ475" s="173"/>
      <c r="BK475" s="173"/>
      <c r="BL475" s="173"/>
      <c r="BM475" s="173"/>
      <c r="BN475" s="173"/>
      <c r="BO475" s="173"/>
      <c r="BP475" s="173"/>
      <c r="BQ475" s="118"/>
      <c r="BR475" s="118"/>
      <c r="BS475" s="118">
        <f>INDEX('Dist. Plant Gas Additions'!$F$7:$AE$91,MATCH($C475,'Dist. Plant Gas Additions'!$D$7:$D$91,0),MATCH(Calculation!$G475,'Dist. Plant Gas Additions'!$F$5:$AE$5,0))</f>
        <v>76034</v>
      </c>
      <c r="BT475" s="118">
        <f>INDEX('Gen. Plant Additions'!$F$7:$AE$91,MATCH($C475,'Gen. Plant Additions'!$D$7:$D$91,0),MATCH(Calculation!$G475,'Gen. Plant Additions'!$F$5:$AE$5,0))</f>
        <v>4437</v>
      </c>
      <c r="BU475" s="118"/>
      <c r="BV475" s="118"/>
      <c r="BW475" s="118">
        <f>INDEX('Dist Plant Depreciation'!$E$7:$AD$94,MATCH($C475,'Dist Plant Depreciation'!$D$7:$D$94,0),MATCH(Calculation!$G475,'Dist Plant Depreciation'!$E$5:$AD$5,0))</f>
        <v>1294393</v>
      </c>
      <c r="BX475" s="118">
        <f>INDEX('Gen. Plant Depreciation'!$E$7:$AD$94,MATCH($C475,'Gen. Plant Depreciation'!$D$7:$D$94,0),MATCH(Calculation!$G475,'Gen. Plant Depreciation'!$E$5:$AD$5,0))</f>
        <v>166820</v>
      </c>
      <c r="BY475" s="118"/>
      <c r="BZ475" s="118"/>
      <c r="CA475" s="118"/>
      <c r="CB475" s="118"/>
      <c r="CC475" s="118"/>
      <c r="CD475" s="118"/>
      <c r="CE475" s="118">
        <f>INDEX('Gross Dx Plant'!$E$7:$AD$91,MATCH($C475,'Gross Dx Plant'!$D$7:$D$91,0),MATCH(Calculation!$G475,'Gross Dx Plant'!$E$5:$AD$5,0))</f>
        <v>2085843</v>
      </c>
      <c r="CF475" s="118">
        <f>INDEX('Gross Gen Plant'!$E$7:$AD$91,MATCH($C475,'Gross Gen Plant'!$D$7:$D$91,0),MATCH(Calculation!$G475,'Gross Gen Plant'!$E$5:$AD$5,0))</f>
        <v>233946</v>
      </c>
      <c r="CG475" s="118">
        <f t="shared" si="1177"/>
        <v>858576</v>
      </c>
      <c r="CH475" s="118"/>
      <c r="CI475" s="121">
        <v>2005</v>
      </c>
      <c r="CJ475" s="118"/>
      <c r="CK475" s="118"/>
      <c r="CL475" s="118"/>
      <c r="CM475" s="183"/>
      <c r="CN475" s="118">
        <f t="shared" si="1343"/>
        <v>80471</v>
      </c>
      <c r="CO475" s="118">
        <f t="shared" si="1344"/>
        <v>171.50494118645545</v>
      </c>
      <c r="CP475" s="186">
        <v>0.96174863387978138</v>
      </c>
      <c r="CQ475" s="118">
        <f>+CQ468*CP475+CO469*CP474+CO470*CP473+CO471*CP472+CO472*CP471+CO473*CP470+CO474*CP469+CO475</f>
        <v>6438.9245699463636</v>
      </c>
      <c r="CR475" s="119">
        <f t="shared" si="1345"/>
        <v>2.0929371376219013E-2</v>
      </c>
      <c r="CS475" s="119"/>
      <c r="CT475" s="177">
        <f t="shared" si="1346"/>
        <v>6.0490653624049734E-3</v>
      </c>
      <c r="CU475" s="177">
        <f t="shared" si="1354"/>
        <v>5.8551680424991882E-3</v>
      </c>
      <c r="CV475" s="119">
        <f>VLOOKUP($H475,RoR!$E:$F,2,FALSE)</f>
        <v>5.2350000000000001E-2</v>
      </c>
      <c r="CW475" s="177">
        <v>3.1010403642454332E-2</v>
      </c>
      <c r="CX475" s="177">
        <f t="shared" si="1352"/>
        <v>2.1339596357545669E-2</v>
      </c>
      <c r="CY475" s="177">
        <f t="shared" si="1355"/>
        <v>2.5046773566034436E-2</v>
      </c>
      <c r="CZ475" s="177">
        <f t="shared" si="1356"/>
        <v>9.2129610649277341E-2</v>
      </c>
      <c r="DA475" s="187">
        <f t="shared" si="1347"/>
        <v>0.86875000000000002</v>
      </c>
      <c r="DB475" s="188">
        <f t="shared" si="1348"/>
        <v>0.97959983346802826</v>
      </c>
      <c r="DC475" s="188">
        <f t="shared" si="1349"/>
        <v>0.49744508118433622</v>
      </c>
      <c r="DD475" s="188">
        <f t="shared" si="1350"/>
        <v>0.87010519444335932</v>
      </c>
      <c r="DE475" s="188">
        <f t="shared" si="1351"/>
        <v>0.42399975420741998</v>
      </c>
      <c r="DF475" s="189">
        <f>INDEX('State Tax Lookup'!$D$7:$Z$91,MATCH(Calculation!$C475,'State Tax Lookup'!$B$7:$B$91,0),MATCH($H475,'State Tax Lookup'!$D$6:$Z$6,0))</f>
        <v>0.35</v>
      </c>
      <c r="DG475" s="189">
        <v>0.375</v>
      </c>
      <c r="DH475" s="190">
        <f t="shared" si="1353"/>
        <v>15.583965347138321</v>
      </c>
      <c r="DI475" s="190"/>
      <c r="DJ475" s="177"/>
      <c r="DK475" s="189">
        <f>VLOOKUP($H475,RoR!$E:$F,2,FALSE)</f>
        <v>5.2350000000000001E-2</v>
      </c>
      <c r="DL475" s="191">
        <f>HLOOKUP($H475,'GDP-PI'!$D$8:$CQ$11,3,FALSE)</f>
        <v>3.1010403642454332E-2</v>
      </c>
      <c r="DM475" s="189">
        <f>VLOOKUP(H475,'HW Dx Data'!$E:$F,2,FALSE)</f>
        <v>469.20514034936258</v>
      </c>
      <c r="DN475" s="183">
        <f>VLOOKUP(H475,'ECI - Input Price'!$G$17:$H$37,2,FALSE)</f>
        <v>99.15</v>
      </c>
      <c r="DO475" s="177">
        <f t="shared" ref="DO475" si="1368">LN(DN475/DN474)</f>
        <v>3.046440632744625E-2</v>
      </c>
      <c r="DP475" s="183">
        <f>HLOOKUP(H475,'GDP-PI'!$8:$9,2,FALSE)</f>
        <v>87.406999999999996</v>
      </c>
      <c r="DQ475" s="177">
        <f t="shared" ref="DQ475" si="1369">LN(DP475/DP474)</f>
        <v>3.0539295810733648E-2</v>
      </c>
    </row>
    <row r="476" spans="1:121" s="167" customFormat="1" ht="21" x14ac:dyDescent="0.35">
      <c r="A476" s="167" t="s">
        <v>55</v>
      </c>
      <c r="B476" s="168" t="s">
        <v>55</v>
      </c>
      <c r="C476" s="168">
        <v>4057126</v>
      </c>
      <c r="D476" s="168" t="s">
        <v>137</v>
      </c>
      <c r="E476" s="168"/>
      <c r="F476" s="168"/>
      <c r="G476" s="168" t="s">
        <v>12</v>
      </c>
      <c r="H476" s="169">
        <v>2006</v>
      </c>
      <c r="I476" s="170"/>
      <c r="J476" s="166">
        <f>IFERROR(INDEX('Labor Expenditures'!$F$7:$X$91,MATCH($C476,'Labor Expenditures'!$D$7:$D$91,0),MATCH($G476,'Labor Expenditures'!$F$5:$X$5,0)),"NA")</f>
        <v>100515.0921945108</v>
      </c>
      <c r="K476" s="166">
        <f t="shared" si="1359"/>
        <v>984.95925717306022</v>
      </c>
      <c r="L476" s="172">
        <f t="shared" si="1366"/>
        <v>-0.10805781649491025</v>
      </c>
      <c r="M476" s="172">
        <f t="shared" ref="M476:M491" si="1370">+L476*AR476</f>
        <v>-4.673159815896979E-3</v>
      </c>
      <c r="N476" s="196"/>
      <c r="O476" s="172"/>
      <c r="P476" s="166">
        <f>IFERROR(INDEX('Non-Labor Expenditures'!$F$7:$AB$91,MATCH($C476,'Non-Labor Expenditures'!$D$7:$D$91,0),MATCH($G476,'Non-Labor Expenditures'!$F$5:$AB$5,0)),"NA")</f>
        <v>145564.62712724859</v>
      </c>
      <c r="Q476" s="166">
        <f t="shared" si="1360"/>
        <v>1616.0559887120432</v>
      </c>
      <c r="R476" s="172">
        <f t="shared" ref="R476:R491" si="1371">LN(Q476/Q475)</f>
        <v>-0.10928496593031591</v>
      </c>
      <c r="S476" s="172">
        <f>+R476*AR476</f>
        <v>-4.7262301593080777E-3</v>
      </c>
      <c r="T476" s="172"/>
      <c r="U476" s="172"/>
      <c r="V476" s="166">
        <f t="shared" si="1341"/>
        <v>97928.979707971346</v>
      </c>
      <c r="W476" s="170"/>
      <c r="X476" s="174">
        <v>6614.3338571023314</v>
      </c>
      <c r="Y476" s="175">
        <v>2.6877556694818141E-2</v>
      </c>
      <c r="Z476" s="175">
        <f>+Y476*AR476</f>
        <v>1.1623695718637173E-3</v>
      </c>
      <c r="AA476" s="175"/>
      <c r="AB476" s="175"/>
      <c r="AC476" s="170">
        <f t="shared" si="1278"/>
        <v>344008.69902973075</v>
      </c>
      <c r="AD476" s="175">
        <f t="shared" ref="AD476:AD491" si="1372">LN(AC476/AC475)</f>
        <v>-5.8230279081689165E-2</v>
      </c>
      <c r="AE476" s="170"/>
      <c r="AF476" s="170"/>
      <c r="AG476" s="121">
        <f t="shared" ref="AG476:AG491" si="1373">+(AC476*1000)/AZ476</f>
        <v>272.98811185066239</v>
      </c>
      <c r="AH476" s="119">
        <f>+AZ476/$BB$44</f>
        <v>3.5846426213768733E-2</v>
      </c>
      <c r="AI476" s="119"/>
      <c r="AJ476" s="176">
        <f>+AH476*AG476</f>
        <v>9.7856482086908159</v>
      </c>
      <c r="AK476" s="176">
        <f>+AI476*AG476</f>
        <v>0</v>
      </c>
      <c r="AL476" s="120">
        <f t="shared" si="1361"/>
        <v>0.29218764664385372</v>
      </c>
      <c r="AM476" s="120">
        <f t="shared" si="1362"/>
        <v>0.42314228546490407</v>
      </c>
      <c r="AN476" s="120">
        <f t="shared" si="1363"/>
        <v>0.28467006789124216</v>
      </c>
      <c r="AO476" s="120">
        <f t="shared" si="1367"/>
        <v>-7.1194660510549651E-2</v>
      </c>
      <c r="AP476" s="173">
        <f>+AP475*EXP(AO476)</f>
        <v>93.128059092677759</v>
      </c>
      <c r="AQ476" s="175">
        <f>LN(AP476/AP475)</f>
        <v>-7.1194660510549693E-2</v>
      </c>
      <c r="AR476" s="177">
        <f>+AC476/$AE$44</f>
        <v>4.3246846618607129E-2</v>
      </c>
      <c r="AS476" s="177">
        <f>+AR476*AQ476</f>
        <v>-3.0789445631635485E-3</v>
      </c>
      <c r="AT476" s="177"/>
      <c r="AU476" s="177"/>
      <c r="AV476" s="177"/>
      <c r="AW476" s="190"/>
      <c r="AX476" s="120"/>
      <c r="AY476" s="120"/>
      <c r="AZ476" s="118">
        <f>IFERROR(INDEX('Total Customers'!$F$7:$AB$91,MATCH($C476,'Total Customers'!$D$7:$D$91,0),MATCH($G476,'Total Customers'!$F$5:$AB$5,0)),"NA")</f>
        <v>1260160</v>
      </c>
      <c r="BA476" s="119">
        <f t="shared" si="1342"/>
        <v>-3.4196158541639781E-4</v>
      </c>
      <c r="BB476" s="119"/>
      <c r="BC476" s="121"/>
      <c r="BD476" s="119"/>
      <c r="BE476" s="119"/>
      <c r="BF476" s="119"/>
      <c r="BG476" s="173"/>
      <c r="BH476" s="173"/>
      <c r="BI476" s="173"/>
      <c r="BJ476" s="173"/>
      <c r="BK476" s="173"/>
      <c r="BL476" s="173"/>
      <c r="BM476" s="173"/>
      <c r="BN476" s="173"/>
      <c r="BO476" s="173"/>
      <c r="BP476" s="173"/>
      <c r="BQ476" s="118"/>
      <c r="BR476" s="118"/>
      <c r="BS476" s="118">
        <f>INDEX('Dist. Plant Gas Additions'!$F$7:$AE$91,MATCH($C476,'Dist. Plant Gas Additions'!$D$7:$D$91,0),MATCH(Calculation!$G476,'Dist. Plant Gas Additions'!$F$5:$AE$5,0))</f>
        <v>95326</v>
      </c>
      <c r="BT476" s="118">
        <f>INDEX('Gen. Plant Additions'!$F$7:$AE$91,MATCH($C476,'Gen. Plant Additions'!$D$7:$D$91,0),MATCH(Calculation!$G476,'Gen. Plant Additions'!$F$5:$AE$5,0))</f>
        <v>4114</v>
      </c>
      <c r="BU476" s="118"/>
      <c r="BV476" s="118"/>
      <c r="BW476" s="118">
        <f>INDEX('Dist Plant Depreciation'!$E$7:$AD$94,MATCH($C476,'Dist Plant Depreciation'!$D$7:$D$94,0),MATCH(Calculation!$G476,'Dist Plant Depreciation'!$E$5:$AD$5,0))</f>
        <v>1253416</v>
      </c>
      <c r="BX476" s="118">
        <f>INDEX('Gen. Plant Depreciation'!$E$7:$AD$94,MATCH($C476,'Gen. Plant Depreciation'!$D$7:$D$94,0),MATCH(Calculation!$G476,'Gen. Plant Depreciation'!$E$5:$AD$5,0))</f>
        <v>182394</v>
      </c>
      <c r="BY476" s="118"/>
      <c r="BZ476" s="118"/>
      <c r="CA476" s="118"/>
      <c r="CB476" s="118"/>
      <c r="CC476" s="118"/>
      <c r="CD476" s="118"/>
      <c r="CE476" s="118">
        <f>INDEX('Gross Dx Plant'!$E$7:$AD$91,MATCH($C476,'Gross Dx Plant'!$D$7:$D$91,0),MATCH(Calculation!$G476,'Gross Dx Plant'!$E$5:$AD$5,0))</f>
        <v>2175136</v>
      </c>
      <c r="CF476" s="118">
        <f>INDEX('Gross Gen Plant'!$E$7:$AD$91,MATCH($C476,'Gross Gen Plant'!$D$7:$D$91,0),MATCH(Calculation!$G476,'Gross Gen Plant'!$E$5:$AD$5,0))</f>
        <v>231062</v>
      </c>
      <c r="CG476" s="118">
        <f t="shared" si="1177"/>
        <v>970388</v>
      </c>
      <c r="CH476" s="119" t="e">
        <f>SUM(#REF!)/15</f>
        <v>#REF!</v>
      </c>
      <c r="CI476" s="121">
        <v>2006</v>
      </c>
      <c r="CJ476" s="118"/>
      <c r="CK476" s="118"/>
      <c r="CL476" s="118"/>
      <c r="CM476" s="183"/>
      <c r="CN476" s="118">
        <f t="shared" si="1343"/>
        <v>99440</v>
      </c>
      <c r="CO476" s="118">
        <f t="shared" si="1344"/>
        <v>215.66490975808372</v>
      </c>
      <c r="CP476" s="186">
        <v>0.9555555555555556</v>
      </c>
      <c r="CQ476" s="118">
        <f>+CQ468*CP476+CO469*CP475+CO470*CP474+CO471*CP473+CO472*CP472+CO473*CP471+CO474*CP470+CO475*CP469+CO476</f>
        <v>6614.3338571023314</v>
      </c>
      <c r="CR476" s="119">
        <f t="shared" si="1345"/>
        <v>2.6877556694818141E-2</v>
      </c>
      <c r="CS476" s="119"/>
      <c r="CT476" s="177">
        <f t="shared" si="1346"/>
        <v>6.251917096530178E-3</v>
      </c>
      <c r="CU476" s="177">
        <f t="shared" si="1354"/>
        <v>6.051004640584258E-3</v>
      </c>
      <c r="CV476" s="119">
        <f>VLOOKUP($H476,RoR!$E:$F,2,FALSE)</f>
        <v>5.5874999999999994E-2</v>
      </c>
      <c r="CW476" s="177">
        <v>3.0512430354548314E-2</v>
      </c>
      <c r="CX476" s="177">
        <f t="shared" si="1352"/>
        <v>2.536256964545168E-2</v>
      </c>
      <c r="CY476" s="177">
        <f t="shared" si="1355"/>
        <v>2.4850936967949367E-2</v>
      </c>
      <c r="CZ476" s="177">
        <f t="shared" si="1356"/>
        <v>7.9087823893859641E-2</v>
      </c>
      <c r="DA476" s="187">
        <f t="shared" si="1347"/>
        <v>0.86875000000000002</v>
      </c>
      <c r="DB476" s="188">
        <f t="shared" si="1348"/>
        <v>0.91779957551769631</v>
      </c>
      <c r="DC476" s="188">
        <f t="shared" si="1349"/>
        <v>0.52757270693512304</v>
      </c>
      <c r="DD476" s="188">
        <f t="shared" si="1350"/>
        <v>0.88636824549024895</v>
      </c>
      <c r="DE476" s="188">
        <f t="shared" si="1351"/>
        <v>0.42918482841932087</v>
      </c>
      <c r="DF476" s="189">
        <f>INDEX('State Tax Lookup'!$D$7:$Z$91,MATCH(Calculation!$C476,'State Tax Lookup'!$B$7:$B$91,0),MATCH($H476,'State Tax Lookup'!$D$6:$Z$6,0))</f>
        <v>0.35</v>
      </c>
      <c r="DG476" s="189">
        <v>0.375</v>
      </c>
      <c r="DH476" s="190">
        <f t="shared" si="1353"/>
        <v>15.208903077550278</v>
      </c>
      <c r="DI476" s="190">
        <v>14.762670420151</v>
      </c>
      <c r="DJ476" s="177"/>
      <c r="DK476" s="189">
        <f>VLOOKUP($H476,RoR!$E:$F,2,FALSE)</f>
        <v>5.5874999999999994E-2</v>
      </c>
      <c r="DL476" s="191">
        <f>HLOOKUP($H476,'GDP-PI'!$D$8:$CQ$11,3,FALSE)</f>
        <v>3.0512430354548314E-2</v>
      </c>
      <c r="DM476" s="189">
        <f>VLOOKUP(H476,'HW Dx Data'!$E:$F,2,FALSE)</f>
        <v>461.08567272971823</v>
      </c>
      <c r="DN476" s="183">
        <f>VLOOKUP(H476,'ECI - Input Price'!$G$17:$H$37,2,FALSE)</f>
        <v>102.05</v>
      </c>
      <c r="DO476" s="177">
        <f t="shared" ref="DO476" si="1374">LN(DN476/DN475)</f>
        <v>2.8829034290048662E-2</v>
      </c>
      <c r="DP476" s="183">
        <f>HLOOKUP(H476,'GDP-PI'!$8:$9,2,FALSE)</f>
        <v>90.073999999999998</v>
      </c>
      <c r="DQ476" s="177">
        <f t="shared" ref="DQ476" si="1375">LN(DP476/DP475)</f>
        <v>3.005618372545445E-2</v>
      </c>
    </row>
    <row r="477" spans="1:121" s="167" customFormat="1" ht="21" x14ac:dyDescent="0.35">
      <c r="A477" s="167" t="s">
        <v>55</v>
      </c>
      <c r="B477" s="168" t="s">
        <v>55</v>
      </c>
      <c r="C477" s="168">
        <v>4057126</v>
      </c>
      <c r="D477" s="168" t="s">
        <v>137</v>
      </c>
      <c r="E477" s="168"/>
      <c r="F477" s="168"/>
      <c r="G477" s="168" t="s">
        <v>13</v>
      </c>
      <c r="H477" s="169">
        <v>2007</v>
      </c>
      <c r="I477" s="170"/>
      <c r="J477" s="166">
        <f>IFERROR(INDEX('Labor Expenditures'!$F$7:$X$91,MATCH($C477,'Labor Expenditures'!$D$7:$D$91,0),MATCH($G477,'Labor Expenditures'!$F$5:$X$5,0)),"NA")</f>
        <v>105347.80068459222</v>
      </c>
      <c r="K477" s="166">
        <f t="shared" si="1359"/>
        <v>1001.1670295518386</v>
      </c>
      <c r="L477" s="172">
        <f t="shared" si="1366"/>
        <v>1.6321351043816042E-2</v>
      </c>
      <c r="M477" s="172">
        <f t="shared" si="1370"/>
        <v>7.1072596367028988E-4</v>
      </c>
      <c r="N477" s="196"/>
      <c r="O477" s="172"/>
      <c r="P477" s="166">
        <f>IFERROR(INDEX('Non-Labor Expenditures'!$F$7:$AB$91,MATCH($C477,'Non-Labor Expenditures'!$D$7:$D$91,0),MATCH($G477,'Non-Labor Expenditures'!$F$5:$AB$5,0)),"NA")</f>
        <v>152563.29164632474</v>
      </c>
      <c r="Q477" s="166">
        <f t="shared" si="1360"/>
        <v>1649.3685446855579</v>
      </c>
      <c r="R477" s="172">
        <f t="shared" si="1371"/>
        <v>2.0403908494558681E-2</v>
      </c>
      <c r="S477" s="172">
        <f t="shared" ref="S477:S491" si="1376">+R477*AR477</f>
        <v>8.8850411271131275E-4</v>
      </c>
      <c r="T477" s="172"/>
      <c r="U477" s="172"/>
      <c r="V477" s="166">
        <f t="shared" si="1341"/>
        <v>107958.77539376389</v>
      </c>
      <c r="W477" s="170"/>
      <c r="X477" s="174">
        <v>6609.608453627764</v>
      </c>
      <c r="Y477" s="175">
        <v>-7.1467397008554139E-4</v>
      </c>
      <c r="Z477" s="175">
        <f t="shared" ref="Z477:Z491" si="1377">+Y477*AR477</f>
        <v>-3.1121035552480775E-5</v>
      </c>
      <c r="AA477" s="175"/>
      <c r="AB477" s="175"/>
      <c r="AC477" s="170">
        <f t="shared" si="1278"/>
        <v>365869.86772468087</v>
      </c>
      <c r="AD477" s="175">
        <f t="shared" si="1372"/>
        <v>6.1610772581934689E-2</v>
      </c>
      <c r="AE477" s="170"/>
      <c r="AF477" s="170"/>
      <c r="AG477" s="121">
        <f t="shared" si="1373"/>
        <v>292.19495514863786</v>
      </c>
      <c r="AH477" s="119">
        <f>+AZ477/$BB$45</f>
        <v>3.5351316205750972E-2</v>
      </c>
      <c r="AI477" s="119"/>
      <c r="AJ477" s="176">
        <f t="shared" ref="AJ477:AJ491" si="1378">+AH477*AG477</f>
        <v>10.329476253184721</v>
      </c>
      <c r="AK477" s="176">
        <f t="shared" ref="AK477:AK491" si="1379">+AI477*AG477</f>
        <v>0</v>
      </c>
      <c r="AL477" s="120">
        <f t="shared" si="1361"/>
        <v>0.28793789808311582</v>
      </c>
      <c r="AM477" s="120">
        <f t="shared" si="1362"/>
        <v>0.41698785580541298</v>
      </c>
      <c r="AN477" s="120">
        <f t="shared" si="1363"/>
        <v>0.29507424611147121</v>
      </c>
      <c r="AO477" s="120">
        <f t="shared" si="1367"/>
        <v>1.3098021510225624E-2</v>
      </c>
      <c r="AP477" s="173">
        <f>+AP476*EXP(AO477)</f>
        <v>94.355875845549932</v>
      </c>
      <c r="AQ477" s="175">
        <f>LN(AP477/AP476)</f>
        <v>1.3098021510225608E-2</v>
      </c>
      <c r="AR477" s="177">
        <f>+AC477/$AE$45</f>
        <v>4.35457801111125E-2</v>
      </c>
      <c r="AS477" s="177">
        <f t="shared" ref="AS477:AS491" si="1380">+AR477*AQ477</f>
        <v>5.7036356457490598E-4</v>
      </c>
      <c r="AT477" s="177"/>
      <c r="AU477" s="177"/>
      <c r="AV477" s="177"/>
      <c r="AW477" s="190"/>
      <c r="AX477" s="120"/>
      <c r="AY477" s="120"/>
      <c r="AZ477" s="118">
        <f>IFERROR(INDEX('Total Customers'!$F$7:$AB$91,MATCH($C477,'Total Customers'!$D$7:$D$91,0),MATCH($G477,'Total Customers'!$F$5:$AB$5,0)),"NA")</f>
        <v>1252143</v>
      </c>
      <c r="BA477" s="119">
        <f t="shared" si="1342"/>
        <v>-6.3822136205597636E-3</v>
      </c>
      <c r="BB477" s="119"/>
      <c r="BC477" s="121"/>
      <c r="BD477" s="119"/>
      <c r="BE477" s="119"/>
      <c r="BF477" s="119"/>
      <c r="BG477" s="173"/>
      <c r="BH477" s="173"/>
      <c r="BI477" s="173"/>
      <c r="BJ477" s="173"/>
      <c r="BK477" s="173"/>
      <c r="BL477" s="173"/>
      <c r="BM477" s="173"/>
      <c r="BN477" s="173"/>
      <c r="BO477" s="173"/>
      <c r="BP477" s="173"/>
      <c r="BQ477" s="118"/>
      <c r="BR477" s="118"/>
      <c r="BS477" s="118">
        <f>INDEX('Dist. Plant Gas Additions'!$F$7:$AE$91,MATCH($C477,'Dist. Plant Gas Additions'!$D$7:$D$91,0),MATCH(Calculation!$G477,'Dist. Plant Gas Additions'!$F$5:$AE$5,0))</f>
        <v>17300</v>
      </c>
      <c r="BT477" s="118">
        <f>INDEX('Gen. Plant Additions'!$F$7:$AE$91,MATCH($C477,'Gen. Plant Additions'!$D$7:$D$91,0),MATCH(Calculation!$G477,'Gen. Plant Additions'!$F$5:$AE$5,0))</f>
        <v>1601</v>
      </c>
      <c r="BU477" s="118"/>
      <c r="BV477" s="118"/>
      <c r="BW477" s="118">
        <f>INDEX('Dist Plant Depreciation'!$E$7:$AD$94,MATCH($C477,'Dist Plant Depreciation'!$D$7:$D$94,0),MATCH(Calculation!$G477,'Dist Plant Depreciation'!$E$5:$AD$5,0))</f>
        <v>1303573</v>
      </c>
      <c r="BX477" s="118">
        <f>INDEX('Gen. Plant Depreciation'!$E$7:$AD$94,MATCH($C477,'Gen. Plant Depreciation'!$D$7:$D$94,0),MATCH(Calculation!$G477,'Gen. Plant Depreciation'!$E$5:$AD$5,0))</f>
        <v>194922</v>
      </c>
      <c r="BY477" s="118"/>
      <c r="BZ477" s="118"/>
      <c r="CA477" s="118"/>
      <c r="CB477" s="118"/>
      <c r="CC477" s="118"/>
      <c r="CD477" s="118"/>
      <c r="CE477" s="118">
        <f>INDEX('Gross Dx Plant'!$E$7:$AD$91,MATCH($C477,'Gross Dx Plant'!$D$7:$D$91,0),MATCH(Calculation!$G477,'Gross Dx Plant'!$E$5:$AD$5,0))</f>
        <v>2191019</v>
      </c>
      <c r="CF477" s="118">
        <f>INDEX('Gross Gen Plant'!$E$7:$AD$91,MATCH($C477,'Gross Gen Plant'!$D$7:$D$91,0),MATCH(Calculation!$G477,'Gross Gen Plant'!$E$5:$AD$5,0))</f>
        <v>222157</v>
      </c>
      <c r="CG477" s="118">
        <f t="shared" si="1177"/>
        <v>914681</v>
      </c>
      <c r="CH477" s="118"/>
      <c r="CI477" s="121">
        <v>2007</v>
      </c>
      <c r="CJ477" s="118"/>
      <c r="CK477" s="118"/>
      <c r="CL477" s="118"/>
      <c r="CM477" s="183"/>
      <c r="CN477" s="118">
        <f t="shared" si="1343"/>
        <v>18901</v>
      </c>
      <c r="CO477" s="118">
        <f t="shared" si="1344"/>
        <v>37.952114619375706</v>
      </c>
      <c r="CP477" s="186">
        <v>0.94915254237288138</v>
      </c>
      <c r="CQ477" s="118">
        <f>+CQ468*CP477+CO469*CP476+CO470*CP475+CO471*CP474+CO472*CP473+CO473*CP472+CO474*CP471+CO475*CP470+CO476*CP469+CO477</f>
        <v>6609.608453627764</v>
      </c>
      <c r="CR477" s="119">
        <f t="shared" si="1345"/>
        <v>-7.1467397008554139E-4</v>
      </c>
      <c r="CS477" s="119"/>
      <c r="CT477" s="177">
        <f t="shared" si="1346"/>
        <v>6.4522775862178349E-3</v>
      </c>
      <c r="CU477" s="177">
        <f t="shared" si="1354"/>
        <v>6.2510866817176618E-3</v>
      </c>
      <c r="CV477" s="119">
        <f>VLOOKUP($H477,RoR!$E:$F,2,FALSE)</f>
        <v>5.5558333333333321E-2</v>
      </c>
      <c r="CW477" s="177">
        <v>2.691120634145272E-2</v>
      </c>
      <c r="CX477" s="177">
        <f t="shared" si="1352"/>
        <v>2.86471269918806E-2</v>
      </c>
      <c r="CY477" s="177">
        <f t="shared" si="1355"/>
        <v>2.4650854926815964E-2</v>
      </c>
      <c r="CZ477" s="177">
        <f t="shared" si="1356"/>
        <v>6.4575155250632399E-2</v>
      </c>
      <c r="DA477" s="187">
        <f t="shared" si="1347"/>
        <v>0.86875000000000002</v>
      </c>
      <c r="DB477" s="188">
        <f t="shared" si="1348"/>
        <v>0.92303077153834634</v>
      </c>
      <c r="DC477" s="188">
        <f t="shared" si="1349"/>
        <v>0.52502249887505614</v>
      </c>
      <c r="DD477" s="188">
        <f t="shared" si="1350"/>
        <v>0.88499666072084604</v>
      </c>
      <c r="DE477" s="188">
        <f t="shared" si="1351"/>
        <v>0.42887993290280618</v>
      </c>
      <c r="DF477" s="189">
        <f>INDEX('State Tax Lookup'!$D$7:$Z$91,MATCH(Calculation!$C477,'State Tax Lookup'!$B$7:$B$91,0),MATCH($H477,'State Tax Lookup'!$D$6:$Z$6,0))</f>
        <v>0.35</v>
      </c>
      <c r="DG477" s="189">
        <v>0.375</v>
      </c>
      <c r="DH477" s="190">
        <f t="shared" si="1353"/>
        <v>16.321942273573029</v>
      </c>
      <c r="DI477" s="190">
        <v>16.083641734615515</v>
      </c>
      <c r="DJ477" s="177"/>
      <c r="DK477" s="189">
        <f>VLOOKUP($H477,RoR!$E:$F,2,FALSE)</f>
        <v>5.5558333333333321E-2</v>
      </c>
      <c r="DL477" s="191">
        <f>HLOOKUP($H477,'GDP-PI'!$D$8:$CQ$11,3,FALSE)</f>
        <v>2.691120634145272E-2</v>
      </c>
      <c r="DM477" s="189">
        <f>VLOOKUP(H477,'HW Dx Data'!$E:$F,2,FALSE)</f>
        <v>498.0223154772637</v>
      </c>
      <c r="DN477" s="183">
        <f>VLOOKUP(H477,'ECI - Input Price'!$G$17:$H$37,2,FALSE)</f>
        <v>105.22500000000001</v>
      </c>
      <c r="DO477" s="177">
        <f t="shared" ref="DO477" si="1381">LN(DN477/DN476)</f>
        <v>3.0638025400780679E-2</v>
      </c>
      <c r="DP477" s="183">
        <f>HLOOKUP(H477,'GDP-PI'!$8:$9,2,FALSE)</f>
        <v>92.498000000000005</v>
      </c>
      <c r="DQ477" s="177">
        <f t="shared" ref="DQ477" si="1382">LN(DP477/DP476)</f>
        <v>2.6555467950038037E-2</v>
      </c>
    </row>
    <row r="478" spans="1:121" s="167" customFormat="1" ht="21" x14ac:dyDescent="0.35">
      <c r="A478" s="167" t="s">
        <v>55</v>
      </c>
      <c r="B478" s="168" t="s">
        <v>55</v>
      </c>
      <c r="C478" s="168">
        <v>4057126</v>
      </c>
      <c r="D478" s="168" t="s">
        <v>137</v>
      </c>
      <c r="E478" s="168"/>
      <c r="F478" s="168"/>
      <c r="G478" s="168" t="s">
        <v>14</v>
      </c>
      <c r="H478" s="169">
        <v>2008</v>
      </c>
      <c r="I478" s="170"/>
      <c r="J478" s="166">
        <f>IFERROR(INDEX('Labor Expenditures'!$F$7:$X$91,MATCH($C478,'Labor Expenditures'!$D$7:$D$91,0),MATCH($G478,'Labor Expenditures'!$F$5:$X$5,0)),"NA")</f>
        <v>101662.61973125041</v>
      </c>
      <c r="K478" s="166">
        <f t="shared" si="1359"/>
        <v>939.36354568029947</v>
      </c>
      <c r="L478" s="172">
        <f t="shared" si="1366"/>
        <v>-6.3719061205349134E-2</v>
      </c>
      <c r="M478" s="172">
        <f t="shared" si="1370"/>
        <v>-2.6338723693436704E-3</v>
      </c>
      <c r="N478" s="196"/>
      <c r="O478" s="172"/>
      <c r="P478" s="166">
        <f>IFERROR(INDEX('Non-Labor Expenditures'!$F$7:$AB$91,MATCH($C478,'Non-Labor Expenditures'!$D$7:$D$91,0),MATCH($G478,'Non-Labor Expenditures'!$F$5:$AB$5,0)),"NA")</f>
        <v>147226.46132902702</v>
      </c>
      <c r="Q478" s="166">
        <f t="shared" si="1360"/>
        <v>1561.852471028463</v>
      </c>
      <c r="R478" s="172">
        <f t="shared" si="1371"/>
        <v>-5.4519916281971538E-2</v>
      </c>
      <c r="S478" s="172">
        <f t="shared" si="1376"/>
        <v>-2.2536192209617802E-3</v>
      </c>
      <c r="T478" s="172"/>
      <c r="U478" s="172"/>
      <c r="V478" s="166">
        <f t="shared" si="1341"/>
        <v>122390.10939742523</v>
      </c>
      <c r="W478" s="170"/>
      <c r="X478" s="174">
        <v>6893.8794428609435</v>
      </c>
      <c r="Y478" s="175">
        <v>4.2109564034437864E-2</v>
      </c>
      <c r="Z478" s="175">
        <f t="shared" si="1377"/>
        <v>1.7406285512898141E-3</v>
      </c>
      <c r="AA478" s="175"/>
      <c r="AB478" s="175"/>
      <c r="AC478" s="170">
        <f t="shared" si="1278"/>
        <v>371279.19045770261</v>
      </c>
      <c r="AD478" s="175">
        <f t="shared" si="1372"/>
        <v>1.4676597008700604E-2</v>
      </c>
      <c r="AE478" s="170"/>
      <c r="AF478" s="170"/>
      <c r="AG478" s="121">
        <f t="shared" si="1373"/>
        <v>298.97337631584458</v>
      </c>
      <c r="AH478" s="119">
        <f>+AZ478/$BB$46</f>
        <v>3.4873693730318768E-2</v>
      </c>
      <c r="AI478" s="119"/>
      <c r="AJ478" s="176">
        <f t="shared" si="1378"/>
        <v>10.426305959158103</v>
      </c>
      <c r="AK478" s="176">
        <f t="shared" si="1379"/>
        <v>0</v>
      </c>
      <c r="AL478" s="120">
        <f t="shared" si="1361"/>
        <v>0.27381717678796802</v>
      </c>
      <c r="AM478" s="120">
        <f t="shared" si="1362"/>
        <v>0.39653841398310086</v>
      </c>
      <c r="AN478" s="120">
        <f t="shared" si="1363"/>
        <v>0.32964440922893123</v>
      </c>
      <c r="AO478" s="120">
        <f t="shared" si="1367"/>
        <v>-2.6920629949807921E-2</v>
      </c>
      <c r="AP478" s="173">
        <f t="shared" ref="AP478:AP491" si="1383">+AP477*EXP(AO478)</f>
        <v>91.849642279557941</v>
      </c>
      <c r="AQ478" s="175">
        <f t="shared" ref="AQ478:AQ491" si="1384">LN(AP478/AP477)</f>
        <v>-2.6920629949807963E-2</v>
      </c>
      <c r="AR478" s="177">
        <f>+AC478/$AE$46</f>
        <v>4.1335705823653285E-2</v>
      </c>
      <c r="AS478" s="177">
        <f t="shared" si="1380"/>
        <v>-1.1127832401926921E-3</v>
      </c>
      <c r="AT478" s="177"/>
      <c r="AU478" s="177"/>
      <c r="AV478" s="177"/>
      <c r="AW478" s="190"/>
      <c r="AX478" s="120"/>
      <c r="AY478" s="120"/>
      <c r="AZ478" s="118">
        <f>IFERROR(INDEX('Total Customers'!$F$7:$AB$91,MATCH($C478,'Total Customers'!$D$7:$D$91,0),MATCH($G478,'Total Customers'!$F$5:$AB$5,0)),"NA")</f>
        <v>1241847</v>
      </c>
      <c r="BA478" s="119">
        <f t="shared" si="1342"/>
        <v>-8.2566958908341145E-3</v>
      </c>
      <c r="BB478" s="119"/>
      <c r="BC478" s="121"/>
      <c r="BD478" s="119"/>
      <c r="BE478" s="119"/>
      <c r="BF478" s="119"/>
      <c r="BG478" s="173"/>
      <c r="BH478" s="173"/>
      <c r="BI478" s="173"/>
      <c r="BJ478" s="173"/>
      <c r="BK478" s="173"/>
      <c r="BL478" s="173"/>
      <c r="BM478" s="173"/>
      <c r="BN478" s="173"/>
      <c r="BO478" s="173"/>
      <c r="BP478" s="173"/>
      <c r="BQ478" s="118"/>
      <c r="BR478" s="118"/>
      <c r="BS478" s="118">
        <f>INDEX('Dist. Plant Gas Additions'!$F$7:$AE$91,MATCH($C478,'Dist. Plant Gas Additions'!$D$7:$D$91,0),MATCH(Calculation!$G478,'Dist. Plant Gas Additions'!$F$5:$AE$5,0))</f>
        <v>155119</v>
      </c>
      <c r="BT478" s="118">
        <f>INDEX('Gen. Plant Additions'!$F$7:$AE$91,MATCH($C478,'Gen. Plant Additions'!$D$7:$D$91,0),MATCH(Calculation!$G478,'Gen. Plant Additions'!$F$5:$AE$5,0))</f>
        <v>32137</v>
      </c>
      <c r="BU478" s="118"/>
      <c r="BV478" s="118"/>
      <c r="BW478" s="118">
        <f>INDEX('Dist Plant Depreciation'!$E$7:$AD$94,MATCH($C478,'Dist Plant Depreciation'!$D$7:$D$94,0),MATCH(Calculation!$G478,'Dist Plant Depreciation'!$E$5:$AD$5,0))</f>
        <v>1298639</v>
      </c>
      <c r="BX478" s="118">
        <f>INDEX('Gen. Plant Depreciation'!$E$7:$AD$94,MATCH($C478,'Gen. Plant Depreciation'!$D$7:$D$94,0),MATCH(Calculation!$G478,'Gen. Plant Depreciation'!$E$5:$AD$5,0))</f>
        <v>207680</v>
      </c>
      <c r="BY478" s="118"/>
      <c r="BZ478" s="118"/>
      <c r="CA478" s="118"/>
      <c r="CB478" s="118"/>
      <c r="CC478" s="118"/>
      <c r="CD478" s="118"/>
      <c r="CE478" s="118">
        <f>INDEX('Gross Dx Plant'!$E$7:$AD$91,MATCH($C478,'Gross Dx Plant'!$D$7:$D$91,0),MATCH(Calculation!$G478,'Gross Dx Plant'!$E$5:$AD$5,0))</f>
        <v>2285484</v>
      </c>
      <c r="CF478" s="118">
        <f>INDEX('Gross Gen Plant'!$E$7:$AD$91,MATCH($C478,'Gross Gen Plant'!$D$7:$D$91,0),MATCH(Calculation!$G478,'Gross Gen Plant'!$E$5:$AD$5,0))</f>
        <v>250232</v>
      </c>
      <c r="CG478" s="118">
        <f t="shared" si="1177"/>
        <v>1029397</v>
      </c>
      <c r="CH478" s="118"/>
      <c r="CI478" s="121">
        <v>2008</v>
      </c>
      <c r="CJ478" s="118"/>
      <c r="CK478" s="118"/>
      <c r="CL478" s="118"/>
      <c r="CM478" s="183"/>
      <c r="CN478" s="118">
        <f t="shared" si="1343"/>
        <v>187256</v>
      </c>
      <c r="CO478" s="118">
        <f t="shared" si="1344"/>
        <v>328.58778093418454</v>
      </c>
      <c r="CP478" s="186">
        <v>0.94252873563218387</v>
      </c>
      <c r="CQ478" s="118">
        <f>+CQ468*CP478+CO469*CP477+CO470*CP476+CO471*CP475+CO472*CP474+CO473*CP473+CO474*CP472+CO475*CP471+CO476*CP470+CO477*CP469+CO478</f>
        <v>6893.8794428609435</v>
      </c>
      <c r="CR478" s="119">
        <f t="shared" si="1345"/>
        <v>4.2109564034437864E-2</v>
      </c>
      <c r="CS478" s="119"/>
      <c r="CT478" s="177">
        <f t="shared" si="1346"/>
        <v>6.7049042332728787E-3</v>
      </c>
      <c r="CU478" s="177">
        <f t="shared" si="1354"/>
        <v>6.4696996386736302E-3</v>
      </c>
      <c r="CV478" s="119">
        <f>VLOOKUP($H478,RoR!$E:$F,2,FALSE)</f>
        <v>5.6316666666666668E-2</v>
      </c>
      <c r="CW478" s="177">
        <v>1.9092304698479889E-2</v>
      </c>
      <c r="CX478" s="177">
        <f t="shared" si="1352"/>
        <v>3.7224361968186778E-2</v>
      </c>
      <c r="CY478" s="177">
        <f t="shared" si="1355"/>
        <v>2.4432241969859995E-2</v>
      </c>
      <c r="CZ478" s="177">
        <f t="shared" si="1356"/>
        <v>6.9030581091053131E-2</v>
      </c>
      <c r="DA478" s="187">
        <f t="shared" si="1347"/>
        <v>0.86875000000000002</v>
      </c>
      <c r="DB478" s="188">
        <f t="shared" si="1348"/>
        <v>0.91060168006009956</v>
      </c>
      <c r="DC478" s="188">
        <f t="shared" si="1349"/>
        <v>0.53108168097070152</v>
      </c>
      <c r="DD478" s="188">
        <f t="shared" si="1350"/>
        <v>0.88825329850328805</v>
      </c>
      <c r="DE478" s="188">
        <f t="shared" si="1351"/>
        <v>0.4295627335323573</v>
      </c>
      <c r="DF478" s="189">
        <f>INDEX('State Tax Lookup'!$D$7:$Z$91,MATCH(Calculation!$C478,'State Tax Lookup'!$B$7:$B$91,0),MATCH($H478,'State Tax Lookup'!$D$6:$Z$6,0))</f>
        <v>0.35</v>
      </c>
      <c r="DG478" s="189">
        <v>0.375</v>
      </c>
      <c r="DH478" s="190">
        <f t="shared" si="1353"/>
        <v>18.516998435852873</v>
      </c>
      <c r="DI478" s="190">
        <v>18.233095876609585</v>
      </c>
      <c r="DJ478" s="177"/>
      <c r="DK478" s="189">
        <f>VLOOKUP($H478,RoR!$E:$F,2,FALSE)</f>
        <v>5.6316666666666668E-2</v>
      </c>
      <c r="DL478" s="191">
        <f>HLOOKUP($H478,'GDP-PI'!$D$8:$CQ$11,3,FALSE)</f>
        <v>1.9092304698479889E-2</v>
      </c>
      <c r="DM478" s="189">
        <f>VLOOKUP(H478,'HW Dx Data'!$E:$F,2,FALSE)</f>
        <v>569.88120333515076</v>
      </c>
      <c r="DN478" s="183">
        <f>VLOOKUP(H478,'ECI - Input Price'!$G$17:$H$37,2,FALSE)</f>
        <v>108.22499999999999</v>
      </c>
      <c r="DO478" s="177">
        <f t="shared" ref="DO478" si="1385">LN(DN478/DN477)</f>
        <v>2.8111478671409691E-2</v>
      </c>
      <c r="DP478" s="183">
        <f>HLOOKUP(H478,'GDP-PI'!$8:$9,2,FALSE)</f>
        <v>94.263999999999996</v>
      </c>
      <c r="DQ478" s="177">
        <f t="shared" ref="DQ478" si="1386">LN(DP478/DP477)</f>
        <v>1.8912333748032254E-2</v>
      </c>
    </row>
    <row r="479" spans="1:121" s="167" customFormat="1" ht="21" x14ac:dyDescent="0.35">
      <c r="A479" s="167" t="s">
        <v>55</v>
      </c>
      <c r="B479" s="168" t="s">
        <v>55</v>
      </c>
      <c r="C479" s="168">
        <v>4057126</v>
      </c>
      <c r="D479" s="168" t="s">
        <v>137</v>
      </c>
      <c r="E479" s="168"/>
      <c r="F479" s="168"/>
      <c r="G479" s="168" t="s">
        <v>15</v>
      </c>
      <c r="H479" s="169">
        <v>2009</v>
      </c>
      <c r="I479" s="170"/>
      <c r="J479" s="166">
        <f>IFERROR(INDEX('Labor Expenditures'!$F$7:$X$91,MATCH($C479,'Labor Expenditures'!$D$7:$D$91,0),MATCH($G479,'Labor Expenditures'!$F$5:$X$5,0)),"NA")</f>
        <v>97983.402139575235</v>
      </c>
      <c r="K479" s="166">
        <f t="shared" si="1359"/>
        <v>892.58394114848772</v>
      </c>
      <c r="L479" s="172">
        <f t="shared" si="1366"/>
        <v>-5.1082005940792208E-2</v>
      </c>
      <c r="M479" s="172">
        <f t="shared" si="1370"/>
        <v>-1.9750689753799755E-3</v>
      </c>
      <c r="N479" s="196"/>
      <c r="O479" s="172"/>
      <c r="P479" s="166">
        <f>IFERROR(INDEX('Non-Labor Expenditures'!$F$7:$AB$91,MATCH($C479,'Non-Labor Expenditures'!$D$7:$D$91,0),MATCH($G479,'Non-Labor Expenditures'!$F$5:$AB$5,0)),"NA")</f>
        <v>141898.26707322494</v>
      </c>
      <c r="Q479" s="166">
        <f t="shared" si="1360"/>
        <v>1493.6816921570221</v>
      </c>
      <c r="R479" s="172">
        <f t="shared" si="1371"/>
        <v>-4.4628591639365063E-2</v>
      </c>
      <c r="S479" s="172">
        <f t="shared" si="1376"/>
        <v>-1.7255498318522982E-3</v>
      </c>
      <c r="T479" s="172"/>
      <c r="U479" s="172"/>
      <c r="V479" s="166">
        <f t="shared" si="1341"/>
        <v>122363.20937987567</v>
      </c>
      <c r="W479" s="170"/>
      <c r="X479" s="174">
        <v>7028.5285523427792</v>
      </c>
      <c r="Y479" s="175">
        <v>1.9343393461586356E-2</v>
      </c>
      <c r="Z479" s="175">
        <f t="shared" si="1377"/>
        <v>7.4790595241754879E-4</v>
      </c>
      <c r="AA479" s="175"/>
      <c r="AB479" s="175"/>
      <c r="AC479" s="170">
        <f t="shared" si="1278"/>
        <v>362244.87859267584</v>
      </c>
      <c r="AD479" s="175">
        <f t="shared" si="1372"/>
        <v>-2.4633871190963642E-2</v>
      </c>
      <c r="AE479" s="170"/>
      <c r="AF479" s="170"/>
      <c r="AG479" s="121">
        <f t="shared" si="1373"/>
        <v>295.13140649328898</v>
      </c>
      <c r="AH479" s="119">
        <f>+AZ479/$BB$47</f>
        <v>3.4418314786306935E-2</v>
      </c>
      <c r="AI479" s="119"/>
      <c r="AJ479" s="176">
        <f t="shared" si="1378"/>
        <v>10.15792565201153</v>
      </c>
      <c r="AK479" s="176">
        <f t="shared" si="1379"/>
        <v>0</v>
      </c>
      <c r="AL479" s="120">
        <f t="shared" si="1361"/>
        <v>0.27048940628295842</v>
      </c>
      <c r="AM479" s="120">
        <f t="shared" si="1362"/>
        <v>0.39171918075005174</v>
      </c>
      <c r="AN479" s="120">
        <f t="shared" si="1363"/>
        <v>0.33779141296698983</v>
      </c>
      <c r="AO479" s="120">
        <f t="shared" si="1367"/>
        <v>-2.5036312346461129E-2</v>
      </c>
      <c r="AP479" s="173">
        <f t="shared" si="1383"/>
        <v>89.578613662795362</v>
      </c>
      <c r="AQ479" s="175">
        <f t="shared" si="1384"/>
        <v>-2.5036312346461073E-2</v>
      </c>
      <c r="AR479" s="177">
        <f>+AC479/$AE$47</f>
        <v>3.8664671424008396E-2</v>
      </c>
      <c r="AS479" s="177">
        <f t="shared" si="1380"/>
        <v>-9.6802079054476202E-4</v>
      </c>
      <c r="AT479" s="177"/>
      <c r="AU479" s="177"/>
      <c r="AV479" s="177"/>
      <c r="AW479" s="190"/>
      <c r="AX479" s="120"/>
      <c r="AY479" s="120"/>
      <c r="AZ479" s="118">
        <f>IFERROR(INDEX('Total Customers'!$F$7:$AB$91,MATCH($C479,'Total Customers'!$D$7:$D$91,0),MATCH($G479,'Total Customers'!$F$5:$AB$5,0)),"NA")</f>
        <v>1227402</v>
      </c>
      <c r="BA479" s="119">
        <f t="shared" si="1342"/>
        <v>-1.1700047084994574E-2</v>
      </c>
      <c r="BB479" s="119"/>
      <c r="BC479" s="121"/>
      <c r="BD479" s="119"/>
      <c r="BE479" s="119"/>
      <c r="BF479" s="119"/>
      <c r="BG479" s="173"/>
      <c r="BH479" s="173"/>
      <c r="BI479" s="173"/>
      <c r="BJ479" s="173"/>
      <c r="BK479" s="173"/>
      <c r="BL479" s="173"/>
      <c r="BM479" s="173"/>
      <c r="BN479" s="173"/>
      <c r="BO479" s="173"/>
      <c r="BP479" s="173"/>
      <c r="BQ479" s="118"/>
      <c r="BR479" s="118"/>
      <c r="BS479" s="118">
        <f>INDEX('Dist. Plant Gas Additions'!$F$7:$AE$91,MATCH($C479,'Dist. Plant Gas Additions'!$D$7:$D$91,0),MATCH(Calculation!$G479,'Dist. Plant Gas Additions'!$F$5:$AE$5,0))</f>
        <v>84063</v>
      </c>
      <c r="BT479" s="118">
        <f>INDEX('Gen. Plant Additions'!$F$7:$AE$91,MATCH($C479,'Gen. Plant Additions'!$D$7:$D$91,0),MATCH(Calculation!$G479,'Gen. Plant Additions'!$F$5:$AE$5,0))</f>
        <v>16281</v>
      </c>
      <c r="BU479" s="118"/>
      <c r="BV479" s="118"/>
      <c r="BW479" s="118">
        <f>INDEX('Dist Plant Depreciation'!$E$7:$AD$94,MATCH($C479,'Dist Plant Depreciation'!$D$7:$D$94,0),MATCH(Calculation!$G479,'Dist Plant Depreciation'!$E$5:$AD$5,0))</f>
        <v>1324505</v>
      </c>
      <c r="BX479" s="118">
        <f>INDEX('Gen. Plant Depreciation'!$E$7:$AD$94,MATCH($C479,'Gen. Plant Depreciation'!$D$7:$D$94,0),MATCH(Calculation!$G479,'Gen. Plant Depreciation'!$E$5:$AD$5,0))</f>
        <v>160857</v>
      </c>
      <c r="BY479" s="118"/>
      <c r="BZ479" s="118"/>
      <c r="CA479" s="118"/>
      <c r="CB479" s="118"/>
      <c r="CC479" s="118"/>
      <c r="CD479" s="118"/>
      <c r="CE479" s="118">
        <f>INDEX('Gross Dx Plant'!$E$7:$AD$91,MATCH($C479,'Gross Dx Plant'!$D$7:$D$91,0),MATCH(Calculation!$G479,'Gross Dx Plant'!$E$5:$AD$5,0))</f>
        <v>2342532</v>
      </c>
      <c r="CF479" s="118">
        <f>INDEX('Gross Gen Plant'!$E$7:$AD$91,MATCH($C479,'Gross Gen Plant'!$D$7:$D$91,0),MATCH(Calculation!$G479,'Gross Gen Plant'!$E$5:$AD$5,0))</f>
        <v>201518</v>
      </c>
      <c r="CG479" s="118">
        <f t="shared" si="1177"/>
        <v>1058688</v>
      </c>
      <c r="CH479" s="118"/>
      <c r="CI479" s="121">
        <v>2009</v>
      </c>
      <c r="CJ479" s="118"/>
      <c r="CK479" s="118"/>
      <c r="CL479" s="118"/>
      <c r="CM479" s="183"/>
      <c r="CN479" s="118">
        <f t="shared" si="1343"/>
        <v>100344</v>
      </c>
      <c r="CO479" s="118">
        <f t="shared" si="1344"/>
        <v>182.13214509530894</v>
      </c>
      <c r="CP479" s="186">
        <v>0.93567251461988299</v>
      </c>
      <c r="CQ479" s="118">
        <f>+CQ468*CP479+CO469*CP478+CO470*CP477+CO471*CP476+CO472*CP475+CO473*CP474+CO474*CP473+CO475*CP472+CO476*CP471+CO477*CP470+CO478*CP469+CO479</f>
        <v>7028.5285523427792</v>
      </c>
      <c r="CR479" s="119">
        <f t="shared" si="1345"/>
        <v>1.9343393461586356E-2</v>
      </c>
      <c r="CS479" s="119"/>
      <c r="CT479" s="177">
        <f t="shared" si="1346"/>
        <v>6.8877090188522215E-3</v>
      </c>
      <c r="CU479" s="177">
        <f t="shared" si="1354"/>
        <v>6.6816302794476456E-3</v>
      </c>
      <c r="CV479" s="119">
        <f>VLOOKUP($H479,RoR!$E:$F,2,FALSE)</f>
        <v>5.3133333333333324E-2</v>
      </c>
      <c r="CW479" s="177">
        <v>7.7972502758210105E-3</v>
      </c>
      <c r="CX479" s="177">
        <f t="shared" si="1352"/>
        <v>4.5336083057512314E-2</v>
      </c>
      <c r="CY479" s="177">
        <f t="shared" si="1355"/>
        <v>2.4220311329085979E-2</v>
      </c>
      <c r="CZ479" s="177">
        <f t="shared" si="1356"/>
        <v>6.3720160300892073E-2</v>
      </c>
      <c r="DA479" s="187">
        <f t="shared" si="1347"/>
        <v>0.86875000000000002</v>
      </c>
      <c r="DB479" s="188">
        <f t="shared" si="1348"/>
        <v>0.96515780330083989</v>
      </c>
      <c r="DC479" s="188">
        <f t="shared" si="1349"/>
        <v>0.50448557089084056</v>
      </c>
      <c r="DD479" s="188">
        <f t="shared" si="1350"/>
        <v>0.87391435735465484</v>
      </c>
      <c r="DE479" s="188">
        <f t="shared" si="1351"/>
        <v>0.42551605393279146</v>
      </c>
      <c r="DF479" s="189">
        <f>INDEX('State Tax Lookup'!$D$7:$Z$91,MATCH(Calculation!$C479,'State Tax Lookup'!$B$7:$B$91,0),MATCH($H479,'State Tax Lookup'!$D$6:$Z$6,0))</f>
        <v>0.35</v>
      </c>
      <c r="DG479" s="189">
        <v>0.375</v>
      </c>
      <c r="DH479" s="190">
        <f t="shared" si="1353"/>
        <v>17.749542966927084</v>
      </c>
      <c r="DI479" s="190">
        <v>17.437537617598899</v>
      </c>
      <c r="DJ479" s="177"/>
      <c r="DK479" s="189">
        <f>VLOOKUP($H479,RoR!$E:$F,2,FALSE)</f>
        <v>5.3133333333333324E-2</v>
      </c>
      <c r="DL479" s="191">
        <f>HLOOKUP($H479,'GDP-PI'!$D$8:$CQ$11,3,FALSE)</f>
        <v>7.7972502758210105E-3</v>
      </c>
      <c r="DM479" s="189">
        <f>VLOOKUP(H479,'HW Dx Data'!$E:$F,2,FALSE)</f>
        <v>550.94063679692806</v>
      </c>
      <c r="DN479" s="183">
        <f>VLOOKUP(H479,'ECI - Input Price'!$G$17:$H$37,2,FALSE)</f>
        <v>109.77499999999999</v>
      </c>
      <c r="DO479" s="177">
        <f t="shared" ref="DO479" si="1387">LN(DN479/DN478)</f>
        <v>1.4220423119736749E-2</v>
      </c>
      <c r="DP479" s="183">
        <f>HLOOKUP(H479,'GDP-PI'!$8:$9,2,FALSE)</f>
        <v>94.998999999999995</v>
      </c>
      <c r="DQ479" s="177">
        <f t="shared" ref="DQ479" si="1388">LN(DP479/DP478)</f>
        <v>7.7670088183096342E-3</v>
      </c>
    </row>
    <row r="480" spans="1:121" s="167" customFormat="1" ht="21" x14ac:dyDescent="0.35">
      <c r="A480" s="167" t="s">
        <v>55</v>
      </c>
      <c r="B480" s="168" t="s">
        <v>55</v>
      </c>
      <c r="C480" s="168">
        <v>4057126</v>
      </c>
      <c r="D480" s="168" t="s">
        <v>137</v>
      </c>
      <c r="E480" s="168"/>
      <c r="F480" s="168"/>
      <c r="G480" s="168" t="s">
        <v>16</v>
      </c>
      <c r="H480" s="169">
        <v>2010</v>
      </c>
      <c r="I480" s="170"/>
      <c r="J480" s="166">
        <f>IFERROR(INDEX('Labor Expenditures'!$F$7:$X$91,MATCH($C480,'Labor Expenditures'!$D$7:$D$91,0),MATCH($G480,'Labor Expenditures'!$F$5:$X$5,0)),"NA")</f>
        <v>104694.38790479938</v>
      </c>
      <c r="K480" s="166">
        <f t="shared" si="1359"/>
        <v>935.81575780826267</v>
      </c>
      <c r="L480" s="172">
        <f t="shared" si="1366"/>
        <v>4.7298056215430852E-2</v>
      </c>
      <c r="M480" s="172">
        <f t="shared" si="1370"/>
        <v>1.8708883665403866E-3</v>
      </c>
      <c r="N480" s="196"/>
      <c r="O480" s="172"/>
      <c r="P480" s="166">
        <f>IFERROR(INDEX('Non-Labor Expenditures'!$F$7:$AB$91,MATCH($C480,'Non-Labor Expenditures'!$D$7:$D$91,0),MATCH($G480,'Non-Labor Expenditures'!$F$5:$AB$5,0)),"NA")</f>
        <v>151617.02790051163</v>
      </c>
      <c r="Q480" s="166">
        <f t="shared" si="1360"/>
        <v>1577.5528608196073</v>
      </c>
      <c r="R480" s="172">
        <f t="shared" si="1371"/>
        <v>5.4630817555518393E-2</v>
      </c>
      <c r="S480" s="172">
        <f t="shared" si="1376"/>
        <v>2.1609378735074651E-3</v>
      </c>
      <c r="T480" s="172"/>
      <c r="U480" s="172"/>
      <c r="V480" s="166">
        <f t="shared" si="1341"/>
        <v>127816.28847837679</v>
      </c>
      <c r="W480" s="170"/>
      <c r="X480" s="174">
        <v>7141.3961432488741</v>
      </c>
      <c r="Y480" s="175">
        <v>1.593092135861909E-2</v>
      </c>
      <c r="Z480" s="175">
        <f t="shared" si="1377"/>
        <v>6.3015222660220947E-4</v>
      </c>
      <c r="AA480" s="175"/>
      <c r="AB480" s="175"/>
      <c r="AC480" s="170">
        <f t="shared" si="1278"/>
        <v>384127.70428368781</v>
      </c>
      <c r="AD480" s="175">
        <f t="shared" si="1372"/>
        <v>5.8654617209139122E-2</v>
      </c>
      <c r="AE480" s="170"/>
      <c r="AF480" s="170"/>
      <c r="AG480" s="121">
        <f t="shared" si="1373"/>
        <v>315.52551562538531</v>
      </c>
      <c r="AH480" s="119">
        <f>+AZ480/$BB$48</f>
        <v>3.395052335325599E-2</v>
      </c>
      <c r="AI480" s="119"/>
      <c r="AJ480" s="176">
        <f t="shared" si="1378"/>
        <v>10.712256386787782</v>
      </c>
      <c r="AK480" s="176">
        <f t="shared" si="1379"/>
        <v>0</v>
      </c>
      <c r="AL480" s="120">
        <f t="shared" si="1361"/>
        <v>0.27255099472721184</v>
      </c>
      <c r="AM480" s="120">
        <f t="shared" si="1362"/>
        <v>0.39470474586893817</v>
      </c>
      <c r="AN480" s="120">
        <f t="shared" si="1363"/>
        <v>0.33274425940385</v>
      </c>
      <c r="AO480" s="120">
        <f t="shared" si="1367"/>
        <v>3.9664994267667092E-2</v>
      </c>
      <c r="AP480" s="173">
        <f t="shared" si="1383"/>
        <v>93.203157414824148</v>
      </c>
      <c r="AQ480" s="175">
        <f t="shared" si="1384"/>
        <v>3.9664994267667002E-2</v>
      </c>
      <c r="AR480" s="177">
        <f>+AC480/$AE$48</f>
        <v>3.9555290771759344E-2</v>
      </c>
      <c r="AS480" s="177">
        <f t="shared" si="1380"/>
        <v>1.5689603817177359E-3</v>
      </c>
      <c r="AT480" s="177"/>
      <c r="AU480" s="177"/>
      <c r="AV480" s="177"/>
      <c r="AW480" s="190"/>
      <c r="AX480" s="120"/>
      <c r="AY480" s="120"/>
      <c r="AZ480" s="118">
        <f>IFERROR(INDEX('Total Customers'!$F$7:$AB$91,MATCH($C480,'Total Customers'!$D$7:$D$91,0),MATCH($G480,'Total Customers'!$F$5:$AB$5,0)),"NA")</f>
        <v>1217422</v>
      </c>
      <c r="BA480" s="119">
        <f t="shared" si="1342"/>
        <v>-8.1642322182868075E-3</v>
      </c>
      <c r="BB480" s="119"/>
      <c r="BC480" s="121"/>
      <c r="BD480" s="119"/>
      <c r="BE480" s="119"/>
      <c r="BF480" s="119"/>
      <c r="BG480" s="173"/>
      <c r="BH480" s="173"/>
      <c r="BI480" s="173"/>
      <c r="BJ480" s="173"/>
      <c r="BK480" s="173"/>
      <c r="BL480" s="173"/>
      <c r="BM480" s="173"/>
      <c r="BN480" s="173"/>
      <c r="BO480" s="173"/>
      <c r="BP480" s="173"/>
      <c r="BQ480" s="118"/>
      <c r="BR480" s="118"/>
      <c r="BS480" s="118">
        <f>INDEX('Dist. Plant Gas Additions'!$F$7:$AE$91,MATCH($C480,'Dist. Plant Gas Additions'!$D$7:$D$91,0),MATCH(Calculation!$G480,'Dist. Plant Gas Additions'!$F$5:$AE$5,0))</f>
        <v>88996</v>
      </c>
      <c r="BT480" s="118">
        <f>INDEX('Gen. Plant Additions'!$F$7:$AE$91,MATCH($C480,'Gen. Plant Additions'!$D$7:$D$91,0),MATCH(Calculation!$G480,'Gen. Plant Additions'!$F$5:$AE$5,0))</f>
        <v>3703</v>
      </c>
      <c r="BU480" s="118"/>
      <c r="BV480" s="118"/>
      <c r="BW480" s="118">
        <f>INDEX('Dist Plant Depreciation'!$E$7:$AD$94,MATCH($C480,'Dist Plant Depreciation'!$D$7:$D$94,0),MATCH(Calculation!$G480,'Dist Plant Depreciation'!$E$5:$AD$5,0))</f>
        <v>1337175</v>
      </c>
      <c r="BX480" s="118">
        <f>INDEX('Gen. Plant Depreciation'!$E$7:$AD$94,MATCH($C480,'Gen. Plant Depreciation'!$D$7:$D$94,0),MATCH(Calculation!$G480,'Gen. Plant Depreciation'!$E$5:$AD$5,0))</f>
        <v>147062</v>
      </c>
      <c r="BY480" s="118"/>
      <c r="BZ480" s="118"/>
      <c r="CA480" s="118"/>
      <c r="CB480" s="118"/>
      <c r="CC480" s="118"/>
      <c r="CD480" s="118"/>
      <c r="CE480" s="118">
        <f>INDEX('Gross Dx Plant'!$E$7:$AD$91,MATCH($C480,'Gross Dx Plant'!$D$7:$D$91,0),MATCH(Calculation!$G480,'Gross Dx Plant'!$E$5:$AD$5,0))</f>
        <v>2399854</v>
      </c>
      <c r="CF480" s="118">
        <f>INDEX('Gross Gen Plant'!$E$7:$AD$91,MATCH($C480,'Gross Gen Plant'!$D$7:$D$91,0),MATCH(Calculation!$G480,'Gross Gen Plant'!$E$5:$AD$5,0))</f>
        <v>177530</v>
      </c>
      <c r="CG480" s="118">
        <f t="shared" ref="CG480:CG522" si="1389">IF(OR(BW480="NA",BX480="NA"),"NA",(SUM(CE480:CF480)-SUM(BW480:BX480)))</f>
        <v>1093147</v>
      </c>
      <c r="CH480" s="118"/>
      <c r="CI480" s="121">
        <v>2010</v>
      </c>
      <c r="CJ480" s="118"/>
      <c r="CK480" s="118"/>
      <c r="CL480" s="118"/>
      <c r="CM480" s="183"/>
      <c r="CN480" s="118">
        <f t="shared" si="1343"/>
        <v>92699</v>
      </c>
      <c r="CO480" s="118">
        <f t="shared" si="1344"/>
        <v>162.91864713069396</v>
      </c>
      <c r="CP480" s="186">
        <v>0.9285714285714286</v>
      </c>
      <c r="CQ480" s="118">
        <f>+CQ468*CP480+CO469*CP479+CO470*CP478+CO471*CP477+CO472*CP476+CO473*CP475+CO474*CP474+CO475*CP473+CO476*CP472+CO477*CP471+CO478*CP470+CO479*CP469+CO480</f>
        <v>7141.3961432488741</v>
      </c>
      <c r="CR480" s="119">
        <f t="shared" si="1345"/>
        <v>1.593092135861909E-2</v>
      </c>
      <c r="CS480" s="119"/>
      <c r="CT480" s="177">
        <f t="shared" si="1346"/>
        <v>7.1211286760606354E-3</v>
      </c>
      <c r="CU480" s="177">
        <f t="shared" si="1354"/>
        <v>6.9045806427285783E-3</v>
      </c>
      <c r="CV480" s="119">
        <f>VLOOKUP($H480,RoR!$E:$F,2,FALSE)</f>
        <v>4.9433333333333322E-2</v>
      </c>
      <c r="CW480" s="177">
        <v>1.1684333519300205E-2</v>
      </c>
      <c r="CX480" s="177">
        <f t="shared" si="1352"/>
        <v>3.7748999814033117E-2</v>
      </c>
      <c r="CY480" s="177">
        <f t="shared" si="1355"/>
        <v>2.3997360965805046E-2</v>
      </c>
      <c r="CZ480" s="177">
        <f t="shared" si="1356"/>
        <v>4.7937530248493419E-2</v>
      </c>
      <c r="DA480" s="187">
        <f t="shared" si="1347"/>
        <v>0.86875000000000002</v>
      </c>
      <c r="DB480" s="188">
        <f t="shared" si="1348"/>
        <v>1.037398205301105</v>
      </c>
      <c r="DC480" s="188">
        <f t="shared" si="1349"/>
        <v>0.46926837491571133</v>
      </c>
      <c r="DD480" s="188">
        <f t="shared" si="1350"/>
        <v>0.8548537519972772</v>
      </c>
      <c r="DE480" s="188">
        <f t="shared" si="1351"/>
        <v>0.41615833911547367</v>
      </c>
      <c r="DF480" s="189">
        <f>INDEX('State Tax Lookup'!$D$7:$Z$91,MATCH(Calculation!$C480,'State Tax Lookup'!$B$7:$B$91,0),MATCH($H480,'State Tax Lookup'!$D$6:$Z$6,0))</f>
        <v>0.35</v>
      </c>
      <c r="DG480" s="189">
        <v>0.375</v>
      </c>
      <c r="DH480" s="190">
        <f t="shared" si="1353"/>
        <v>18.185355231397974</v>
      </c>
      <c r="DI480" s="190">
        <v>17.885786135489113</v>
      </c>
      <c r="DJ480" s="177"/>
      <c r="DK480" s="189">
        <f>VLOOKUP($H480,RoR!$E:$F,2,FALSE)</f>
        <v>4.9433333333333322E-2</v>
      </c>
      <c r="DL480" s="191">
        <f>HLOOKUP($H480,'GDP-PI'!$D$8:$CQ$11,3,FALSE)</f>
        <v>1.1684333519300205E-2</v>
      </c>
      <c r="DM480" s="189">
        <f>VLOOKUP(H480,'HW Dx Data'!$E:$F,2,FALSE)</f>
        <v>568.98950262971744</v>
      </c>
      <c r="DN480" s="183">
        <f>VLOOKUP(H480,'ECI - Input Price'!$G$17:$H$37,2,FALSE)</f>
        <v>111.875</v>
      </c>
      <c r="DO480" s="177">
        <f t="shared" ref="DO480" si="1390">LN(DN480/DN479)</f>
        <v>1.8949360147238387E-2</v>
      </c>
      <c r="DP480" s="183">
        <f>HLOOKUP(H480,'GDP-PI'!$8:$9,2,FALSE)</f>
        <v>96.108999999999995</v>
      </c>
      <c r="DQ480" s="177">
        <f t="shared" ref="DQ480" si="1391">LN(DP480/DP479)</f>
        <v>1.1616598807150427E-2</v>
      </c>
    </row>
    <row r="481" spans="1:121" s="167" customFormat="1" ht="21" x14ac:dyDescent="0.35">
      <c r="A481" s="167" t="s">
        <v>55</v>
      </c>
      <c r="B481" s="168" t="s">
        <v>55</v>
      </c>
      <c r="C481" s="168">
        <v>4057126</v>
      </c>
      <c r="D481" s="168" t="s">
        <v>137</v>
      </c>
      <c r="E481" s="168"/>
      <c r="F481" s="168"/>
      <c r="G481" s="168" t="s">
        <v>17</v>
      </c>
      <c r="H481" s="169">
        <v>2011</v>
      </c>
      <c r="I481" s="170"/>
      <c r="J481" s="166">
        <f>IFERROR(INDEX('Labor Expenditures'!$F$7:$X$91,MATCH($C481,'Labor Expenditures'!$D$7:$D$91,0),MATCH($G481,'Labor Expenditures'!$F$5:$X$5,0)),"NA")</f>
        <v>106893.42240257739</v>
      </c>
      <c r="K481" s="166">
        <f t="shared" si="1359"/>
        <v>935.20054595430793</v>
      </c>
      <c r="L481" s="172">
        <f t="shared" si="1366"/>
        <v>-6.5762321246397813E-4</v>
      </c>
      <c r="M481" s="172">
        <f t="shared" si="1370"/>
        <v>-2.5808218350701687E-5</v>
      </c>
      <c r="N481" s="196"/>
      <c r="O481" s="172"/>
      <c r="P481" s="166">
        <f>IFERROR(INDEX('Non-Labor Expenditures'!$F$7:$AB$91,MATCH($C481,'Non-Labor Expenditures'!$D$7:$D$91,0),MATCH($G481,'Non-Labor Expenditures'!$F$5:$AB$5,0)),"NA")</f>
        <v>154801.64057628348</v>
      </c>
      <c r="Q481" s="166">
        <f t="shared" si="1360"/>
        <v>1577.8053711705345</v>
      </c>
      <c r="R481" s="172">
        <f t="shared" si="1371"/>
        <v>1.6005178043264218E-4</v>
      </c>
      <c r="S481" s="172">
        <f t="shared" si="1376"/>
        <v>6.2811823222411767E-6</v>
      </c>
      <c r="T481" s="172"/>
      <c r="U481" s="172"/>
      <c r="V481" s="166">
        <f t="shared" si="1341"/>
        <v>138555.65821099022</v>
      </c>
      <c r="W481" s="170"/>
      <c r="X481" s="174">
        <v>7342.8131039362015</v>
      </c>
      <c r="Y481" s="175">
        <v>2.7813730362877195E-2</v>
      </c>
      <c r="Z481" s="175">
        <f t="shared" si="1377"/>
        <v>1.0915411937226823E-3</v>
      </c>
      <c r="AA481" s="175"/>
      <c r="AB481" s="175"/>
      <c r="AC481" s="170">
        <f t="shared" si="1278"/>
        <v>400250.72118985106</v>
      </c>
      <c r="AD481" s="175">
        <f t="shared" si="1372"/>
        <v>4.1116093184072534E-2</v>
      </c>
      <c r="AE481" s="170"/>
      <c r="AF481" s="170"/>
      <c r="AG481" s="121">
        <f t="shared" si="1373"/>
        <v>329.06371055752135</v>
      </c>
      <c r="AH481" s="119">
        <f>+AZ481/$BB$49</f>
        <v>3.3755227603511982E-2</v>
      </c>
      <c r="AI481" s="119"/>
      <c r="AJ481" s="176">
        <f t="shared" si="1378"/>
        <v>11.107620445925322</v>
      </c>
      <c r="AK481" s="176">
        <f t="shared" si="1379"/>
        <v>0</v>
      </c>
      <c r="AL481" s="120">
        <f t="shared" si="1361"/>
        <v>0.2670661581440964</v>
      </c>
      <c r="AM481" s="120">
        <f t="shared" si="1362"/>
        <v>0.38676167807042217</v>
      </c>
      <c r="AN481" s="120">
        <f t="shared" si="1363"/>
        <v>0.34617216378548155</v>
      </c>
      <c r="AO481" s="120">
        <f t="shared" si="1367"/>
        <v>9.3267043302225107E-3</v>
      </c>
      <c r="AP481" s="173">
        <f t="shared" si="1383"/>
        <v>94.076502089631859</v>
      </c>
      <c r="AQ481" s="175">
        <f t="shared" si="1384"/>
        <v>9.326704330222613E-3</v>
      </c>
      <c r="AR481" s="177">
        <f>+AC481/$AE$49</f>
        <v>3.9244688845461569E-2</v>
      </c>
      <c r="AS481" s="177">
        <f t="shared" si="1380"/>
        <v>3.6602360939320548E-4</v>
      </c>
      <c r="AT481" s="177"/>
      <c r="AU481" s="177"/>
      <c r="AV481" s="177"/>
      <c r="AW481" s="190"/>
      <c r="AX481" s="120"/>
      <c r="AY481" s="120"/>
      <c r="AZ481" s="118">
        <f>IFERROR(INDEX('Total Customers'!$F$7:$AB$91,MATCH($C481,'Total Customers'!$D$7:$D$91,0),MATCH($G481,'Total Customers'!$F$5:$AB$5,0)),"NA")</f>
        <v>1216332</v>
      </c>
      <c r="BA481" s="119">
        <f t="shared" si="1342"/>
        <v>-8.9573561903089766E-4</v>
      </c>
      <c r="BB481" s="119"/>
      <c r="BC481" s="121"/>
      <c r="BD481" s="119"/>
      <c r="BE481" s="119"/>
      <c r="BF481" s="119"/>
      <c r="BG481" s="173"/>
      <c r="BH481" s="173"/>
      <c r="BI481" s="173"/>
      <c r="BJ481" s="173"/>
      <c r="BK481" s="173"/>
      <c r="BL481" s="173"/>
      <c r="BM481" s="173"/>
      <c r="BN481" s="173"/>
      <c r="BO481" s="173"/>
      <c r="BP481" s="173"/>
      <c r="BQ481" s="118"/>
      <c r="BR481" s="118"/>
      <c r="BS481" s="118">
        <f>INDEX('Dist. Plant Gas Additions'!$F$7:$AE$91,MATCH($C481,'Dist. Plant Gas Additions'!$D$7:$D$91,0),MATCH(Calculation!$G481,'Dist. Plant Gas Additions'!$F$5:$AE$5,0))</f>
        <v>140740</v>
      </c>
      <c r="BT481" s="118">
        <f>INDEX('Gen. Plant Additions'!$F$7:$AE$91,MATCH($C481,'Gen. Plant Additions'!$D$7:$D$91,0),MATCH(Calculation!$G481,'Gen. Plant Additions'!$F$5:$AE$5,0))</f>
        <v>14644</v>
      </c>
      <c r="BU481" s="118"/>
      <c r="BV481" s="118"/>
      <c r="BW481" s="118">
        <f>INDEX('Dist Plant Depreciation'!$E$7:$AD$94,MATCH($C481,'Dist Plant Depreciation'!$D$7:$D$94,0),MATCH(Calculation!$G481,'Dist Plant Depreciation'!$E$5:$AD$5,0))</f>
        <v>1363076</v>
      </c>
      <c r="BX481" s="118">
        <f>INDEX('Gen. Plant Depreciation'!$E$7:$AD$94,MATCH($C481,'Gen. Plant Depreciation'!$D$7:$D$94,0),MATCH(Calculation!$G481,'Gen. Plant Depreciation'!$E$5:$AD$5,0))</f>
        <v>147981</v>
      </c>
      <c r="BY481" s="118"/>
      <c r="BZ481" s="118"/>
      <c r="CA481" s="118"/>
      <c r="CB481" s="118"/>
      <c r="CC481" s="118"/>
      <c r="CD481" s="118"/>
      <c r="CE481" s="118">
        <f>INDEX('Gross Dx Plant'!$E$7:$AD$91,MATCH($C481,'Gross Dx Plant'!$D$7:$D$91,0),MATCH(Calculation!$G481,'Gross Dx Plant'!$E$5:$AD$5,0))</f>
        <v>2526062</v>
      </c>
      <c r="CF481" s="118">
        <f>INDEX('Gross Gen Plant'!$E$7:$AD$91,MATCH($C481,'Gross Gen Plant'!$D$7:$D$91,0),MATCH(Calculation!$G481,'Gross Gen Plant'!$E$5:$AD$5,0))</f>
        <v>183536</v>
      </c>
      <c r="CG481" s="118">
        <f t="shared" si="1389"/>
        <v>1198541</v>
      </c>
      <c r="CH481" s="118"/>
      <c r="CI481" s="121">
        <v>2011</v>
      </c>
      <c r="CJ481" s="118"/>
      <c r="CK481" s="118"/>
      <c r="CL481" s="118"/>
      <c r="CM481" s="183"/>
      <c r="CN481" s="118">
        <f t="shared" si="1343"/>
        <v>155384</v>
      </c>
      <c r="CO481" s="118">
        <f t="shared" si="1344"/>
        <v>254.05686879296528</v>
      </c>
      <c r="CP481" s="186">
        <v>0.92121212121212126</v>
      </c>
      <c r="CQ481" s="118">
        <f>+CQ468*CP481+CO469*CP480+CO470*CP479+CO471*CP478+CO472*CP477+CO473*CP476+CO474*CP475+CO475*CP474+CO476*CP473+CO477*CP472+CO478*CP471+CO479*CP470+CO480*CP469+CO481</f>
        <v>7342.8131039362015</v>
      </c>
      <c r="CR481" s="119">
        <f t="shared" si="1345"/>
        <v>2.7813730362877195E-2</v>
      </c>
      <c r="CS481" s="119"/>
      <c r="CT481" s="177">
        <f t="shared" si="1346"/>
        <v>7.3710948181191461E-3</v>
      </c>
      <c r="CU481" s="177">
        <f t="shared" si="1354"/>
        <v>7.126644171010668E-3</v>
      </c>
      <c r="CV481" s="119">
        <f>VLOOKUP($H481,RoR!$E:$F,2,FALSE)</f>
        <v>4.6391666666666664E-2</v>
      </c>
      <c r="CW481" s="177">
        <v>2.0840920205183799E-2</v>
      </c>
      <c r="CX481" s="177">
        <f t="shared" si="1352"/>
        <v>2.5550746461482865E-2</v>
      </c>
      <c r="CY481" s="177">
        <f t="shared" si="1355"/>
        <v>2.3775297437522956E-2</v>
      </c>
      <c r="CZ481" s="177">
        <f t="shared" si="1356"/>
        <v>2.4810540821321614E-2</v>
      </c>
      <c r="DA481" s="187">
        <f t="shared" si="1347"/>
        <v>0.86875000000000002</v>
      </c>
      <c r="DB481" s="188">
        <f t="shared" si="1348"/>
        <v>1.1054151524782025</v>
      </c>
      <c r="DC481" s="188">
        <f t="shared" si="1349"/>
        <v>0.43611011316687626</v>
      </c>
      <c r="DD481" s="188">
        <f t="shared" si="1350"/>
        <v>0.83698442246886229</v>
      </c>
      <c r="DE481" s="188">
        <f t="shared" si="1351"/>
        <v>0.40349573304423936</v>
      </c>
      <c r="DF481" s="189">
        <f>INDEX('State Tax Lookup'!$D$7:$Z$91,MATCH(Calculation!$C481,'State Tax Lookup'!$B$7:$B$91,0),MATCH($H481,'State Tax Lookup'!$D$6:$Z$6,0))</f>
        <v>0.35</v>
      </c>
      <c r="DG481" s="189">
        <v>0.375</v>
      </c>
      <c r="DH481" s="190">
        <f t="shared" si="1353"/>
        <v>19.401760584584565</v>
      </c>
      <c r="DI481" s="190">
        <v>19.063613188826679</v>
      </c>
      <c r="DJ481" s="177"/>
      <c r="DK481" s="189">
        <f>VLOOKUP($H481,RoR!$E:$F,2,FALSE)</f>
        <v>4.6391666666666664E-2</v>
      </c>
      <c r="DL481" s="191">
        <f>HLOOKUP($H481,'GDP-PI'!$D$8:$CQ$11,3,FALSE)</f>
        <v>2.0840920205183799E-2</v>
      </c>
      <c r="DM481" s="189">
        <f>VLOOKUP(H481,'HW Dx Data'!$E:$F,2,FALSE)</f>
        <v>611.61109612283201</v>
      </c>
      <c r="DN481" s="183">
        <f>VLOOKUP(H481,'ECI - Input Price'!$G$17:$H$37,2,FALSE)</f>
        <v>114.3</v>
      </c>
      <c r="DO481" s="177">
        <f t="shared" ref="DO481" si="1392">LN(DN481/DN480)</f>
        <v>2.1444394205745516E-2</v>
      </c>
      <c r="DP481" s="183">
        <f>HLOOKUP(H481,'GDP-PI'!$8:$9,2,FALSE)</f>
        <v>98.111999999999995</v>
      </c>
      <c r="DQ481" s="177">
        <f t="shared" ref="DQ481" si="1393">LN(DP481/DP480)</f>
        <v>2.0626719212849295E-2</v>
      </c>
    </row>
    <row r="482" spans="1:121" s="167" customFormat="1" ht="21" x14ac:dyDescent="0.35">
      <c r="A482" s="167" t="s">
        <v>55</v>
      </c>
      <c r="B482" s="168" t="s">
        <v>55</v>
      </c>
      <c r="C482" s="168">
        <v>4057126</v>
      </c>
      <c r="D482" s="168" t="s">
        <v>137</v>
      </c>
      <c r="E482" s="168"/>
      <c r="F482" s="168"/>
      <c r="G482" s="168" t="s">
        <v>18</v>
      </c>
      <c r="H482" s="169">
        <v>2012</v>
      </c>
      <c r="I482" s="170"/>
      <c r="J482" s="166">
        <f>IFERROR(INDEX('Labor Expenditures'!$F$7:$X$91,MATCH($C482,'Labor Expenditures'!$D$7:$D$91,0),MATCH($G482,'Labor Expenditures'!$F$5:$X$5,0)),"NA")</f>
        <v>108349.33947576159</v>
      </c>
      <c r="K482" s="166">
        <f t="shared" si="1359"/>
        <v>930.03724871898362</v>
      </c>
      <c r="L482" s="172">
        <f t="shared" si="1366"/>
        <v>-5.536356209935406E-3</v>
      </c>
      <c r="M482" s="172">
        <f t="shared" si="1370"/>
        <v>-2.1713569686109712E-4</v>
      </c>
      <c r="N482" s="196"/>
      <c r="O482" s="172"/>
      <c r="P482" s="166">
        <f>IFERROR(INDEX('Non-Labor Expenditures'!$F$7:$AB$91,MATCH($C482,'Non-Labor Expenditures'!$D$7:$D$91,0),MATCH($G482,'Non-Labor Expenditures'!$F$5:$AB$5,0)),"NA")</f>
        <v>156910.0804260539</v>
      </c>
      <c r="Q482" s="166">
        <f t="shared" si="1360"/>
        <v>1569.100804260539</v>
      </c>
      <c r="R482" s="172">
        <f t="shared" si="1371"/>
        <v>-5.5321567436873911E-3</v>
      </c>
      <c r="S482" s="172">
        <f t="shared" si="1376"/>
        <v>-2.1697099394177069E-4</v>
      </c>
      <c r="T482" s="172"/>
      <c r="U482" s="172"/>
      <c r="V482" s="166">
        <f t="shared" si="1341"/>
        <v>153861.86548130415</v>
      </c>
      <c r="W482" s="170"/>
      <c r="X482" s="174">
        <v>7465.9131406781898</v>
      </c>
      <c r="Y482" s="175">
        <v>1.6625720571678129E-2</v>
      </c>
      <c r="Z482" s="175">
        <f t="shared" si="1377"/>
        <v>6.5206017916093E-4</v>
      </c>
      <c r="AA482" s="175"/>
      <c r="AB482" s="175"/>
      <c r="AC482" s="170">
        <f t="shared" si="1278"/>
        <v>419121.2853831196</v>
      </c>
      <c r="AD482" s="175">
        <f t="shared" si="1372"/>
        <v>4.6069188233393024E-2</v>
      </c>
      <c r="AE482" s="170"/>
      <c r="AF482" s="170"/>
      <c r="AG482" s="121">
        <f t="shared" si="1373"/>
        <v>343.73024359495167</v>
      </c>
      <c r="AH482" s="119">
        <f>+AZ482/$BB$50</f>
        <v>3.367564714955415E-2</v>
      </c>
      <c r="AI482" s="119"/>
      <c r="AJ482" s="176">
        <f t="shared" si="1378"/>
        <v>11.575338397933887</v>
      </c>
      <c r="AK482" s="176">
        <f t="shared" si="1379"/>
        <v>0</v>
      </c>
      <c r="AL482" s="120">
        <f t="shared" si="1361"/>
        <v>0.25851547810729597</v>
      </c>
      <c r="AM482" s="120">
        <f t="shared" si="1362"/>
        <v>0.37437869633040011</v>
      </c>
      <c r="AN482" s="120">
        <f t="shared" si="1363"/>
        <v>0.36710582556230403</v>
      </c>
      <c r="AO482" s="120">
        <f t="shared" si="1367"/>
        <v>2.3691027650010153E-3</v>
      </c>
      <c r="AP482" s="173">
        <f t="shared" si="1383"/>
        <v>94.299643208607307</v>
      </c>
      <c r="AQ482" s="175">
        <f t="shared" si="1384"/>
        <v>2.3691027650010643E-3</v>
      </c>
      <c r="AR482" s="177">
        <f>+AC482/$AE$50</f>
        <v>3.9219965014431486E-2</v>
      </c>
      <c r="AS482" s="177">
        <f t="shared" si="1380"/>
        <v>9.2916127558934636E-5</v>
      </c>
      <c r="AT482" s="177"/>
      <c r="AU482" s="177"/>
      <c r="AV482" s="177"/>
      <c r="AW482" s="190"/>
      <c r="AX482" s="120"/>
      <c r="AY482" s="120"/>
      <c r="AZ482" s="118">
        <f>IFERROR(INDEX('Total Customers'!$F$7:$AB$91,MATCH($C482,'Total Customers'!$D$7:$D$91,0),MATCH($G482,'Total Customers'!$F$5:$AB$5,0)),"NA")</f>
        <v>1219332</v>
      </c>
      <c r="BA482" s="119">
        <f t="shared" si="1342"/>
        <v>2.4633952113910142E-3</v>
      </c>
      <c r="BB482" s="119"/>
      <c r="BC482" s="121"/>
      <c r="BD482" s="119"/>
      <c r="BE482" s="119"/>
      <c r="BF482" s="119"/>
      <c r="BG482" s="173"/>
      <c r="BH482" s="173"/>
      <c r="BI482" s="173"/>
      <c r="BJ482" s="173"/>
      <c r="BK482" s="173"/>
      <c r="BL482" s="173"/>
      <c r="BM482" s="173"/>
      <c r="BN482" s="173"/>
      <c r="BO482" s="173"/>
      <c r="BP482" s="173"/>
      <c r="BQ482" s="118"/>
      <c r="BR482" s="118"/>
      <c r="BS482" s="118">
        <f>INDEX('Dist. Plant Gas Additions'!$F$7:$AE$91,MATCH($C482,'Dist. Plant Gas Additions'!$D$7:$D$91,0),MATCH(Calculation!$G482,'Dist. Plant Gas Additions'!$F$5:$AE$5,0))</f>
        <v>104107</v>
      </c>
      <c r="BT482" s="118">
        <f>INDEX('Gen. Plant Additions'!$F$7:$AE$91,MATCH($C482,'Gen. Plant Additions'!$D$7:$D$91,0),MATCH(Calculation!$G482,'Gen. Plant Additions'!$F$5:$AE$5,0))</f>
        <v>15565</v>
      </c>
      <c r="BU482" s="118"/>
      <c r="BV482" s="118"/>
      <c r="BW482" s="118">
        <f>INDEX('Dist Plant Depreciation'!$E$7:$AD$94,MATCH($C482,'Dist Plant Depreciation'!$D$7:$D$94,0),MATCH(Calculation!$G482,'Dist Plant Depreciation'!$E$5:$AD$5,0))</f>
        <v>1379765</v>
      </c>
      <c r="BX482" s="118">
        <f>INDEX('Gen. Plant Depreciation'!$E$7:$AD$94,MATCH($C482,'Gen. Plant Depreciation'!$D$7:$D$94,0),MATCH(Calculation!$G482,'Gen. Plant Depreciation'!$E$5:$AD$5,0))</f>
        <v>131682</v>
      </c>
      <c r="BY482" s="118"/>
      <c r="BZ482" s="118"/>
      <c r="CA482" s="118"/>
      <c r="CB482" s="118"/>
      <c r="CC482" s="118"/>
      <c r="CD482" s="118"/>
      <c r="CE482" s="118">
        <f>INDEX('Gross Dx Plant'!$E$7:$AD$91,MATCH($C482,'Gross Dx Plant'!$D$7:$D$91,0),MATCH(Calculation!$G482,'Gross Dx Plant'!$E$5:$AD$5,0))</f>
        <v>2607170</v>
      </c>
      <c r="CF482" s="118">
        <f>INDEX('Gross Gen Plant'!$E$7:$AD$91,MATCH($C482,'Gross Gen Plant'!$D$7:$D$91,0),MATCH(Calculation!$G482,'Gross Gen Plant'!$E$5:$AD$5,0))</f>
        <v>183292</v>
      </c>
      <c r="CG482" s="118">
        <f t="shared" si="1389"/>
        <v>1279015</v>
      </c>
      <c r="CH482" s="118"/>
      <c r="CI482" s="121">
        <v>2012</v>
      </c>
      <c r="CJ482" s="118"/>
      <c r="CK482" s="118"/>
      <c r="CL482" s="118"/>
      <c r="CM482" s="183"/>
      <c r="CN482" s="118">
        <f t="shared" si="1343"/>
        <v>119672</v>
      </c>
      <c r="CO482" s="118">
        <f t="shared" si="1344"/>
        <v>178.9034881247631</v>
      </c>
      <c r="CP482" s="186">
        <v>0.9135802469135802</v>
      </c>
      <c r="CQ482" s="118">
        <f>+CQ468*CP482+CO469*CP481+CO470*CP480+CO471*CP479+CO472*CP478+CO473*CP477+CO474*CP476+CO475*CP475+CO476*CP474+CO477*CP473+CO478*CP472+CO479*CP471+CO480*CP470+CO481*CP469+CO482</f>
        <v>7465.9131406781898</v>
      </c>
      <c r="CR482" s="119">
        <f t="shared" si="1345"/>
        <v>1.6625720571678129E-2</v>
      </c>
      <c r="CS482" s="119"/>
      <c r="CT482" s="177">
        <f t="shared" si="1346"/>
        <v>7.5997374021219023E-3</v>
      </c>
      <c r="CU482" s="177">
        <f t="shared" si="1354"/>
        <v>7.3639869654338946E-3</v>
      </c>
      <c r="CV482" s="119">
        <f>VLOOKUP($H482,RoR!$E:$F,2,FALSE)</f>
        <v>3.6733333333333333E-2</v>
      </c>
      <c r="CW482" s="177">
        <v>1.924331376386168E-2</v>
      </c>
      <c r="CX482" s="177">
        <f t="shared" si="1352"/>
        <v>1.7490019569471653E-2</v>
      </c>
      <c r="CY482" s="177">
        <f t="shared" si="1355"/>
        <v>2.353795464309973E-2</v>
      </c>
      <c r="CZ482" s="177">
        <f t="shared" si="1356"/>
        <v>6.7122682943869583E-2</v>
      </c>
      <c r="DA482" s="187">
        <f t="shared" si="1347"/>
        <v>0.86875000000000002</v>
      </c>
      <c r="DB482" s="188">
        <f t="shared" si="1348"/>
        <v>1.3960631020522127</v>
      </c>
      <c r="DC482" s="188">
        <f t="shared" si="1349"/>
        <v>0.29441923774954631</v>
      </c>
      <c r="DD482" s="188">
        <f t="shared" si="1350"/>
        <v>0.76377954189366437</v>
      </c>
      <c r="DE482" s="188">
        <f t="shared" si="1351"/>
        <v>0.31393465103033691</v>
      </c>
      <c r="DF482" s="189">
        <f>INDEX('State Tax Lookup'!$D$7:$Z$91,MATCH(Calculation!$C482,'State Tax Lookup'!$B$7:$B$91,0),MATCH($H482,'State Tax Lookup'!$D$6:$Z$6,0))</f>
        <v>0.35</v>
      </c>
      <c r="DG482" s="189">
        <v>0.375</v>
      </c>
      <c r="DH482" s="190">
        <f t="shared" si="1353"/>
        <v>20.954076224386629</v>
      </c>
      <c r="DI482" s="190">
        <v>20.640436063950158</v>
      </c>
      <c r="DJ482" s="177"/>
      <c r="DK482" s="189">
        <f>VLOOKUP($H482,RoR!$E:$F,2,FALSE)</f>
        <v>3.6733333333333333E-2</v>
      </c>
      <c r="DL482" s="191">
        <f>HLOOKUP($H482,'GDP-PI'!$D$8:$CQ$11,3,FALSE)</f>
        <v>1.924331376386168E-2</v>
      </c>
      <c r="DM482" s="189">
        <f>VLOOKUP(H482,'HW Dx Data'!$E:$F,2,FALSE)</f>
        <v>668.91932211262167</v>
      </c>
      <c r="DN482" s="183">
        <f>VLOOKUP(H482,'ECI - Input Price'!$G$17:$H$37,2,FALSE)</f>
        <v>116.5</v>
      </c>
      <c r="DO482" s="177">
        <f t="shared" ref="DO482" si="1394">LN(DN482/DN481)</f>
        <v>1.9064702204990347E-2</v>
      </c>
      <c r="DP482" s="183">
        <f>HLOOKUP(H482,'GDP-PI'!$8:$9,2,FALSE)</f>
        <v>100</v>
      </c>
      <c r="DQ482" s="177">
        <f t="shared" ref="DQ482" si="1395">LN(DP482/DP481)</f>
        <v>1.9060502738742411E-2</v>
      </c>
    </row>
    <row r="483" spans="1:121" s="167" customFormat="1" ht="21" x14ac:dyDescent="0.35">
      <c r="A483" s="167" t="s">
        <v>55</v>
      </c>
      <c r="B483" s="168" t="s">
        <v>55</v>
      </c>
      <c r="C483" s="168">
        <v>4057126</v>
      </c>
      <c r="D483" s="168" t="s">
        <v>137</v>
      </c>
      <c r="E483" s="168"/>
      <c r="F483" s="168"/>
      <c r="G483" s="168" t="s">
        <v>19</v>
      </c>
      <c r="H483" s="169">
        <v>2013</v>
      </c>
      <c r="I483" s="170"/>
      <c r="J483" s="166">
        <f>IFERROR(INDEX('Labor Expenditures'!$F$7:$X$91,MATCH($C483,'Labor Expenditures'!$D$7:$D$91,0),MATCH($G483,'Labor Expenditures'!$F$5:$X$5,0)),"NA")</f>
        <v>118720.24703085063</v>
      </c>
      <c r="K483" s="166">
        <f t="shared" si="1359"/>
        <v>999.95996656854606</v>
      </c>
      <c r="L483" s="172">
        <f t="shared" si="1366"/>
        <v>7.2490607018093817E-2</v>
      </c>
      <c r="M483" s="172">
        <f t="shared" si="1370"/>
        <v>2.9052159101096171E-3</v>
      </c>
      <c r="N483" s="196"/>
      <c r="O483" s="172"/>
      <c r="P483" s="166">
        <f>IFERROR(INDEX('Non-Labor Expenditures'!$F$7:$AB$91,MATCH($C483,'Non-Labor Expenditures'!$D$7:$D$91,0),MATCH($G483,'Non-Labor Expenditures'!$F$5:$AB$5,0)),"NA")</f>
        <v>171929.09158416279</v>
      </c>
      <c r="Q483" s="166">
        <f t="shared" si="1360"/>
        <v>1689.3389364975267</v>
      </c>
      <c r="R483" s="172">
        <f t="shared" si="1371"/>
        <v>7.3834571431013574E-2</v>
      </c>
      <c r="S483" s="172">
        <f t="shared" si="1376"/>
        <v>2.9590781545526944E-3</v>
      </c>
      <c r="T483" s="172"/>
      <c r="U483" s="172"/>
      <c r="V483" s="166">
        <f t="shared" si="1341"/>
        <v>153600.47924594564</v>
      </c>
      <c r="W483" s="170"/>
      <c r="X483" s="174">
        <v>7702.4597777907711</v>
      </c>
      <c r="Y483" s="175">
        <v>3.1191983065876405E-2</v>
      </c>
      <c r="Z483" s="175">
        <f t="shared" si="1377"/>
        <v>1.2500853448259176E-3</v>
      </c>
      <c r="AA483" s="175"/>
      <c r="AB483" s="175"/>
      <c r="AC483" s="170">
        <f t="shared" si="1278"/>
        <v>444249.81786095904</v>
      </c>
      <c r="AD483" s="175">
        <f t="shared" si="1372"/>
        <v>5.8226715085396723E-2</v>
      </c>
      <c r="AE483" s="170"/>
      <c r="AF483" s="170"/>
      <c r="AG483" s="121">
        <f t="shared" si="1373"/>
        <v>362.71065015325627</v>
      </c>
      <c r="AH483" s="119">
        <f>+AZ483/$BB$51</f>
        <v>3.3610535670221688E-2</v>
      </c>
      <c r="AI483" s="119"/>
      <c r="AJ483" s="176">
        <f t="shared" si="1378"/>
        <v>12.190899244945319</v>
      </c>
      <c r="AK483" s="176">
        <f t="shared" si="1379"/>
        <v>0</v>
      </c>
      <c r="AL483" s="120">
        <f t="shared" si="1361"/>
        <v>0.26723758177883505</v>
      </c>
      <c r="AM483" s="120">
        <f t="shared" si="1362"/>
        <v>0.38700993151104235</v>
      </c>
      <c r="AN483" s="120">
        <f t="shared" si="1363"/>
        <v>0.3457524867101226</v>
      </c>
      <c r="AO483" s="120">
        <f t="shared" si="1367"/>
        <v>5.8282212943328512E-2</v>
      </c>
      <c r="AP483" s="173">
        <f t="shared" si="1383"/>
        <v>99.958951728071938</v>
      </c>
      <c r="AQ483" s="175">
        <f t="shared" si="1384"/>
        <v>5.8282212943328561E-2</v>
      </c>
      <c r="AR483" s="177">
        <f>+AC483/$AE$51</f>
        <v>4.0077135916167302E-2</v>
      </c>
      <c r="AS483" s="177">
        <f t="shared" si="1380"/>
        <v>2.3357841696247839E-3</v>
      </c>
      <c r="AT483" s="177"/>
      <c r="AU483" s="177"/>
      <c r="AV483" s="177"/>
      <c r="AW483" s="190"/>
      <c r="AX483" s="120"/>
      <c r="AY483" s="120"/>
      <c r="AZ483" s="118">
        <f>IFERROR(INDEX('Total Customers'!$F$7:$AB$91,MATCH($C483,'Total Customers'!$D$7:$D$91,0),MATCH($G483,'Total Customers'!$F$5:$AB$5,0)),"NA")</f>
        <v>1224805</v>
      </c>
      <c r="BA483" s="119">
        <f t="shared" si="1342"/>
        <v>4.4784798459012506E-3</v>
      </c>
      <c r="BB483" s="119"/>
      <c r="BC483" s="121"/>
      <c r="BD483" s="119"/>
      <c r="BE483" s="119"/>
      <c r="BF483" s="119"/>
      <c r="BG483" s="173"/>
      <c r="BH483" s="173"/>
      <c r="BI483" s="173"/>
      <c r="BJ483" s="173"/>
      <c r="BK483" s="173"/>
      <c r="BL483" s="173"/>
      <c r="BM483" s="173"/>
      <c r="BN483" s="173"/>
      <c r="BO483" s="173"/>
      <c r="BP483" s="173"/>
      <c r="BQ483" s="118"/>
      <c r="BR483" s="118"/>
      <c r="BS483" s="118">
        <f>INDEX('Dist. Plant Gas Additions'!$F$7:$AE$91,MATCH($C483,'Dist. Plant Gas Additions'!$D$7:$D$91,0),MATCH(Calculation!$G483,'Dist. Plant Gas Additions'!$F$5:$AE$5,0))</f>
        <v>174586</v>
      </c>
      <c r="BT483" s="118">
        <f>INDEX('Gen. Plant Additions'!$F$7:$AE$91,MATCH($C483,'Gen. Plant Additions'!$D$7:$D$91,0),MATCH(Calculation!$G483,'Gen. Plant Additions'!$F$5:$AE$5,0))</f>
        <v>21260</v>
      </c>
      <c r="BU483" s="118"/>
      <c r="BV483" s="118"/>
      <c r="BW483" s="118">
        <f>INDEX('Dist Plant Depreciation'!$E$7:$AD$94,MATCH($C483,'Dist Plant Depreciation'!$D$7:$D$94,0),MATCH(Calculation!$G483,'Dist Plant Depreciation'!$E$5:$AD$5,0))</f>
        <v>1404631</v>
      </c>
      <c r="BX483" s="118">
        <f>INDEX('Gen. Plant Depreciation'!$E$7:$AD$94,MATCH($C483,'Gen. Plant Depreciation'!$D$7:$D$94,0),MATCH(Calculation!$G483,'Gen. Plant Depreciation'!$E$5:$AD$5,0))</f>
        <v>123573</v>
      </c>
      <c r="BY483" s="118"/>
      <c r="BZ483" s="118"/>
      <c r="CA483" s="118"/>
      <c r="CB483" s="118"/>
      <c r="CC483" s="118"/>
      <c r="CD483" s="118"/>
      <c r="CE483" s="118">
        <f>INDEX('Gross Dx Plant'!$E$7:$AD$91,MATCH($C483,'Gross Dx Plant'!$D$7:$D$91,0),MATCH(Calculation!$G483,'Gross Dx Plant'!$E$5:$AD$5,0))</f>
        <v>2756975</v>
      </c>
      <c r="CF483" s="118">
        <f>INDEX('Gross Gen Plant'!$E$7:$AD$91,MATCH($C483,'Gross Gen Plant'!$D$7:$D$91,0),MATCH(Calculation!$G483,'Gross Gen Plant'!$E$5:$AD$5,0))</f>
        <v>187002</v>
      </c>
      <c r="CG483" s="118">
        <f t="shared" si="1389"/>
        <v>1415773</v>
      </c>
      <c r="CH483" s="118"/>
      <c r="CI483" s="121">
        <v>2013</v>
      </c>
      <c r="CJ483" s="118"/>
      <c r="CK483" s="118"/>
      <c r="CL483" s="118"/>
      <c r="CM483" s="183"/>
      <c r="CN483" s="118">
        <f t="shared" si="1343"/>
        <v>195846</v>
      </c>
      <c r="CO483" s="118">
        <f t="shared" si="1344"/>
        <v>295.28303178631649</v>
      </c>
      <c r="CP483" s="186">
        <v>0.90566037735849059</v>
      </c>
      <c r="CQ483" s="118">
        <f>+CQ468*CP483+CO469*CP482+CO470*CP481+CO471*CP480+CO472*CP479+CO473*CP478+CO474*CP477+CO475*CP476+CO476*CP475+CO477*CP474+CO478*CP473+CO479*CP472+CO480*CP471+CO481*CP470+CO482*CP469+CO483</f>
        <v>7702.4597777907711</v>
      </c>
      <c r="CR483" s="119">
        <f t="shared" si="1345"/>
        <v>3.1191983065876405E-2</v>
      </c>
      <c r="CS483" s="119"/>
      <c r="CT483" s="177">
        <f t="shared" si="1346"/>
        <v>7.867275384401233E-3</v>
      </c>
      <c r="CU483" s="177">
        <f t="shared" si="1354"/>
        <v>7.6127025348807602E-3</v>
      </c>
      <c r="CV483" s="119">
        <f>VLOOKUP($H483,RoR!$E:$F,2,FALSE)</f>
        <v>4.2350000000000006E-2</v>
      </c>
      <c r="CW483" s="177">
        <v>1.7730000000000024E-2</v>
      </c>
      <c r="CX483" s="177">
        <f t="shared" si="1352"/>
        <v>2.4619999999999982E-2</v>
      </c>
      <c r="CY483" s="177">
        <f t="shared" si="1355"/>
        <v>2.3289239073652865E-2</v>
      </c>
      <c r="CZ483" s="177">
        <f t="shared" si="1356"/>
        <v>5.3376742735721204E-2</v>
      </c>
      <c r="DA483" s="187">
        <f t="shared" si="1347"/>
        <v>0.86875000000000002</v>
      </c>
      <c r="DB483" s="188">
        <f t="shared" si="1348"/>
        <v>1.2109103018193925</v>
      </c>
      <c r="DC483" s="188">
        <f t="shared" si="1349"/>
        <v>0.38468122786304604</v>
      </c>
      <c r="DD483" s="188">
        <f t="shared" si="1350"/>
        <v>0.80969194503422559</v>
      </c>
      <c r="DE483" s="188">
        <f t="shared" si="1351"/>
        <v>0.37716621754800816</v>
      </c>
      <c r="DF483" s="189">
        <f>INDEX('State Tax Lookup'!$D$7:$Z$91,MATCH(Calculation!$C483,'State Tax Lookup'!$B$7:$B$91,0),MATCH($H483,'State Tax Lookup'!$D$6:$Z$6,0))</f>
        <v>0.35</v>
      </c>
      <c r="DG483" s="189">
        <v>0.375</v>
      </c>
      <c r="DH483" s="190">
        <f t="shared" si="1353"/>
        <v>20.573569013152603</v>
      </c>
      <c r="DI483" s="190">
        <v>20.24414423794736</v>
      </c>
      <c r="DJ483" s="177"/>
      <c r="DK483" s="189">
        <f>VLOOKUP($H483,RoR!$E:$F,2,FALSE)</f>
        <v>4.2350000000000006E-2</v>
      </c>
      <c r="DL483" s="191">
        <f>HLOOKUP($H483,'GDP-PI'!$D$8:$CQ$11,3,FALSE)</f>
        <v>1.7730000000000024E-2</v>
      </c>
      <c r="DM483" s="189">
        <f>VLOOKUP(H483,'HW Dx Data'!$E:$F,2,FALSE)</f>
        <v>663.24840548821396</v>
      </c>
      <c r="DN483" s="183">
        <f>VLOOKUP(H483,'ECI - Input Price'!$G$17:$H$37,2,FALSE)</f>
        <v>118.72499999999999</v>
      </c>
      <c r="DO483" s="177">
        <f t="shared" ref="DO483" si="1396">LN(DN483/DN482)</f>
        <v>1.8918621429430321E-2</v>
      </c>
      <c r="DP483" s="183">
        <f>HLOOKUP(H483,'GDP-PI'!$8:$9,2,FALSE)</f>
        <v>101.773</v>
      </c>
      <c r="DQ483" s="177">
        <f t="shared" ref="DQ483" si="1397">LN(DP483/DP482)</f>
        <v>1.7574657016510519E-2</v>
      </c>
    </row>
    <row r="484" spans="1:121" s="167" customFormat="1" ht="21" x14ac:dyDescent="0.35">
      <c r="A484" s="167" t="s">
        <v>55</v>
      </c>
      <c r="B484" s="168" t="s">
        <v>55</v>
      </c>
      <c r="C484" s="168">
        <v>4057126</v>
      </c>
      <c r="D484" s="168" t="s">
        <v>137</v>
      </c>
      <c r="E484" s="168"/>
      <c r="F484" s="168"/>
      <c r="G484" s="168" t="s">
        <v>20</v>
      </c>
      <c r="H484" s="169">
        <v>2014</v>
      </c>
      <c r="I484" s="170"/>
      <c r="J484" s="166">
        <f>IFERROR(INDEX('Labor Expenditures'!$F$7:$X$91,MATCH($C484,'Labor Expenditures'!$D$7:$D$91,0),MATCH($G484,'Labor Expenditures'!$F$5:$X$5,0)),"NA")</f>
        <v>125970.19649661025</v>
      </c>
      <c r="K484" s="166">
        <f t="shared" si="1359"/>
        <v>1039.3580569027249</v>
      </c>
      <c r="L484" s="172">
        <f t="shared" si="1366"/>
        <v>3.8643303828898128E-2</v>
      </c>
      <c r="M484" s="172">
        <f t="shared" si="1370"/>
        <v>1.5973357609896867E-3</v>
      </c>
      <c r="N484" s="196"/>
      <c r="O484" s="172"/>
      <c r="P484" s="166">
        <f>IFERROR(INDEX('Non-Labor Expenditures'!$F$7:$AB$91,MATCH($C484,'Non-Labor Expenditures'!$D$7:$D$91,0),MATCH($G484,'Non-Labor Expenditures'!$F$5:$AB$5,0)),"NA")</f>
        <v>182428.37251435855</v>
      </c>
      <c r="Q484" s="166">
        <f t="shared" si="1360"/>
        <v>1760.0931287384926</v>
      </c>
      <c r="R484" s="172">
        <f t="shared" si="1371"/>
        <v>4.1029431130670861E-2</v>
      </c>
      <c r="S484" s="172">
        <f t="shared" si="1376"/>
        <v>1.6959672466999006E-3</v>
      </c>
      <c r="T484" s="172"/>
      <c r="U484" s="172"/>
      <c r="V484" s="166">
        <f t="shared" si="1341"/>
        <v>161990.04498749311</v>
      </c>
      <c r="W484" s="170"/>
      <c r="X484" s="174">
        <v>7921.7318756399154</v>
      </c>
      <c r="Y484" s="175">
        <v>2.807012358097636E-2</v>
      </c>
      <c r="Z484" s="175">
        <f t="shared" si="1377"/>
        <v>1.1602893067792831E-3</v>
      </c>
      <c r="AA484" s="175"/>
      <c r="AB484" s="175"/>
      <c r="AC484" s="170">
        <f t="shared" si="1278"/>
        <v>470388.61399846186</v>
      </c>
      <c r="AD484" s="175">
        <f t="shared" si="1372"/>
        <v>5.7172134313767498E-2</v>
      </c>
      <c r="AE484" s="170"/>
      <c r="AF484" s="170"/>
      <c r="AG484" s="121">
        <f t="shared" si="1373"/>
        <v>382.1464198890431</v>
      </c>
      <c r="AH484" s="119">
        <f>+AZ484/$BB$52</f>
        <v>3.3596797555175861E-2</v>
      </c>
      <c r="AI484" s="119"/>
      <c r="AJ484" s="176">
        <f t="shared" si="1378"/>
        <v>12.838895905447412</v>
      </c>
      <c r="AK484" s="176">
        <f t="shared" si="1379"/>
        <v>0</v>
      </c>
      <c r="AL484" s="120">
        <f t="shared" si="1361"/>
        <v>0.26780026715744903</v>
      </c>
      <c r="AM484" s="120">
        <f t="shared" si="1362"/>
        <v>0.38782480503440731</v>
      </c>
      <c r="AN484" s="120">
        <f t="shared" si="1363"/>
        <v>0.34437492780814377</v>
      </c>
      <c r="AO484" s="120">
        <f t="shared" si="1367"/>
        <v>3.5919310214647698E-2</v>
      </c>
      <c r="AP484" s="173">
        <f t="shared" si="1383"/>
        <v>103.61467073515041</v>
      </c>
      <c r="AQ484" s="175">
        <f t="shared" si="1384"/>
        <v>3.5919310214647671E-2</v>
      </c>
      <c r="AR484" s="177">
        <f>+AC484/$AE$52</f>
        <v>4.1335382918144065E-2</v>
      </c>
      <c r="AS484" s="177">
        <f t="shared" si="1380"/>
        <v>1.4847384418780649E-3</v>
      </c>
      <c r="AT484" s="177"/>
      <c r="AU484" s="177"/>
      <c r="AV484" s="177"/>
      <c r="AW484" s="190"/>
      <c r="AX484" s="120"/>
      <c r="AY484" s="120"/>
      <c r="AZ484" s="118">
        <f>IFERROR(INDEX('Total Customers'!$F$7:$AB$91,MATCH($C484,'Total Customers'!$D$7:$D$91,0),MATCH($G484,'Total Customers'!$F$5:$AB$5,0)),"NA")</f>
        <v>1230912</v>
      </c>
      <c r="BA484" s="119">
        <f t="shared" si="1342"/>
        <v>4.9737103986094945E-3</v>
      </c>
      <c r="BB484" s="119"/>
      <c r="BC484" s="121"/>
      <c r="BD484" s="119"/>
      <c r="BE484" s="119"/>
      <c r="BF484" s="119"/>
      <c r="BG484" s="173"/>
      <c r="BH484" s="173"/>
      <c r="BI484" s="173"/>
      <c r="BJ484" s="173"/>
      <c r="BK484" s="173"/>
      <c r="BL484" s="173"/>
      <c r="BM484" s="173"/>
      <c r="BN484" s="173"/>
      <c r="BO484" s="173"/>
      <c r="BP484" s="173"/>
      <c r="BQ484" s="118"/>
      <c r="BR484" s="118"/>
      <c r="BS484" s="118">
        <f>INDEX('Dist. Plant Gas Additions'!$F$7:$AE$91,MATCH($C484,'Dist. Plant Gas Additions'!$D$7:$D$91,0),MATCH(Calculation!$G484,'Dist. Plant Gas Additions'!$F$5:$AE$5,0))</f>
        <v>172353</v>
      </c>
      <c r="BT484" s="118">
        <f>INDEX('Gen. Plant Additions'!$F$7:$AE$91,MATCH($C484,'Gen. Plant Additions'!$D$7:$D$91,0),MATCH(Calculation!$G484,'Gen. Plant Additions'!$F$5:$AE$5,0))</f>
        <v>20436</v>
      </c>
      <c r="BU484" s="118"/>
      <c r="BV484" s="118"/>
      <c r="BW484" s="118">
        <f>INDEX('Dist Plant Depreciation'!$E$7:$AD$94,MATCH($C484,'Dist Plant Depreciation'!$D$7:$D$94,0),MATCH(Calculation!$G484,'Dist Plant Depreciation'!$E$5:$AD$5,0))</f>
        <v>1411153</v>
      </c>
      <c r="BX484" s="118">
        <f>INDEX('Gen. Plant Depreciation'!$E$7:$AD$94,MATCH($C484,'Gen. Plant Depreciation'!$D$7:$D$94,0),MATCH(Calculation!$G484,'Gen. Plant Depreciation'!$E$5:$AD$5,0))</f>
        <v>117870</v>
      </c>
      <c r="BY484" s="118"/>
      <c r="BZ484" s="118"/>
      <c r="CA484" s="118"/>
      <c r="CB484" s="118"/>
      <c r="CC484" s="118"/>
      <c r="CD484" s="118"/>
      <c r="CE484" s="118">
        <f>INDEX('Gross Dx Plant'!$E$7:$AD$91,MATCH($C484,'Gross Dx Plant'!$D$7:$D$91,0),MATCH(Calculation!$G484,'Gross Dx Plant'!$E$5:$AD$5,0))</f>
        <v>2906166</v>
      </c>
      <c r="CF484" s="118">
        <f>INDEX('Gross Gen Plant'!$E$7:$AD$91,MATCH($C484,'Gross Gen Plant'!$D$7:$D$91,0),MATCH(Calculation!$G484,'Gross Gen Plant'!$E$5:$AD$5,0))</f>
        <v>202494</v>
      </c>
      <c r="CG484" s="118">
        <f t="shared" si="1389"/>
        <v>1579637</v>
      </c>
      <c r="CH484" s="118"/>
      <c r="CI484" s="121">
        <v>2014</v>
      </c>
      <c r="CJ484" s="118"/>
      <c r="CK484" s="118"/>
      <c r="CL484" s="118"/>
      <c r="CM484" s="183"/>
      <c r="CN484" s="118">
        <f t="shared" si="1343"/>
        <v>192789</v>
      </c>
      <c r="CO484" s="118">
        <f t="shared" si="1344"/>
        <v>281.66207638980228</v>
      </c>
      <c r="CP484" s="186">
        <v>0.89743589743589747</v>
      </c>
      <c r="CQ484" s="118">
        <f>+CQ468*CP484+CO469*CP483+CO470*CP482+CO471*CP481+CO472*CP480+CO473*CP479+CO474*CP478+CO475*CP477+CO476*CP476+CO477*CP475+CO478*CP474+CO479*CP473+CO480*CP472+CO481*CP471+CO482*CP470+CO483*CP469+CO484</f>
        <v>7921.7318756399154</v>
      </c>
      <c r="CR484" s="119">
        <f t="shared" si="1345"/>
        <v>2.807012358097636E-2</v>
      </c>
      <c r="CS484" s="119"/>
      <c r="CT484" s="177">
        <f t="shared" si="1346"/>
        <v>8.1000070549609223E-3</v>
      </c>
      <c r="CU484" s="177">
        <f t="shared" si="1354"/>
        <v>7.8556732804946853E-3</v>
      </c>
      <c r="CV484" s="119">
        <f>VLOOKUP($H484,RoR!$E:$F,2,FALSE)</f>
        <v>4.1625000000000002E-2</v>
      </c>
      <c r="CW484" s="177">
        <v>1.841352814597208E-2</v>
      </c>
      <c r="CX484" s="177">
        <f t="shared" si="1352"/>
        <v>2.3211471854027922E-2</v>
      </c>
      <c r="CY484" s="177">
        <f t="shared" si="1355"/>
        <v>2.3046268328038938E-2</v>
      </c>
      <c r="CZ484" s="177">
        <f t="shared" si="1356"/>
        <v>3.9072621432650924E-2</v>
      </c>
      <c r="DA484" s="187">
        <f t="shared" si="1347"/>
        <v>0.86875000000000002</v>
      </c>
      <c r="DB484" s="188">
        <f t="shared" si="1348"/>
        <v>1.2320012320012319</v>
      </c>
      <c r="DC484" s="188">
        <f t="shared" si="1349"/>
        <v>0.37439939939939942</v>
      </c>
      <c r="DD484" s="188">
        <f t="shared" si="1350"/>
        <v>0.80432100613819935</v>
      </c>
      <c r="DE484" s="188">
        <f t="shared" si="1351"/>
        <v>0.37100152660040037</v>
      </c>
      <c r="DF484" s="189">
        <f>INDEX('State Tax Lookup'!$D$7:$Z$91,MATCH(Calculation!$C484,'State Tax Lookup'!$B$7:$B$91,0),MATCH($H484,'State Tax Lookup'!$D$6:$Z$6,0))</f>
        <v>0.35</v>
      </c>
      <c r="DG484" s="189">
        <v>0.375</v>
      </c>
      <c r="DH484" s="190">
        <f t="shared" si="1353"/>
        <v>21.030949808342303</v>
      </c>
      <c r="DI484" s="190">
        <v>20.689759627600235</v>
      </c>
      <c r="DJ484" s="177"/>
      <c r="DK484" s="189">
        <f>VLOOKUP($H484,RoR!$E:$F,2,FALSE)</f>
        <v>4.1625000000000002E-2</v>
      </c>
      <c r="DL484" s="191">
        <f>HLOOKUP($H484,'GDP-PI'!$D$8:$CQ$11,3,FALSE)</f>
        <v>1.841352814597208E-2</v>
      </c>
      <c r="DM484" s="189">
        <f>VLOOKUP(H484,'HW Dx Data'!$E:$F,2,FALSE)</f>
        <v>684.46914285042885</v>
      </c>
      <c r="DN484" s="183">
        <f>VLOOKUP(H484,'ECI - Input Price'!$G$17:$H$37,2,FALSE)</f>
        <v>121.2</v>
      </c>
      <c r="DO484" s="177">
        <f t="shared" ref="DO484" si="1398">LN(DN484/DN483)</f>
        <v>2.0632179200028689E-2</v>
      </c>
      <c r="DP484" s="183">
        <f>HLOOKUP(H484,'GDP-PI'!$8:$9,2,FALSE)</f>
        <v>103.64700000000001</v>
      </c>
      <c r="DQ484" s="177">
        <f t="shared" ref="DQ484" si="1399">LN(DP484/DP483)</f>
        <v>1.8246051898256087E-2</v>
      </c>
    </row>
    <row r="485" spans="1:121" s="167" customFormat="1" ht="21" x14ac:dyDescent="0.35">
      <c r="A485" s="167" t="s">
        <v>55</v>
      </c>
      <c r="B485" s="168" t="s">
        <v>55</v>
      </c>
      <c r="C485" s="168">
        <v>4057126</v>
      </c>
      <c r="D485" s="168" t="s">
        <v>137</v>
      </c>
      <c r="E485" s="168"/>
      <c r="F485" s="168"/>
      <c r="G485" s="168" t="s">
        <v>21</v>
      </c>
      <c r="H485" s="169">
        <v>2015</v>
      </c>
      <c r="I485" s="170"/>
      <c r="J485" s="166">
        <f>IFERROR(INDEX('Labor Expenditures'!$F$7:$X$91,MATCH($C485,'Labor Expenditures'!$D$7:$D$91,0),MATCH($G485,'Labor Expenditures'!$F$5:$X$5,0)),"NA")</f>
        <v>119838.09021499062</v>
      </c>
      <c r="K485" s="166">
        <f t="shared" si="1359"/>
        <v>968.388607797904</v>
      </c>
      <c r="L485" s="172">
        <f t="shared" si="1366"/>
        <v>-7.0725087526199118E-2</v>
      </c>
      <c r="M485" s="172">
        <f t="shared" si="1370"/>
        <v>-2.8082398472830997E-3</v>
      </c>
      <c r="N485" s="196"/>
      <c r="O485" s="172"/>
      <c r="P485" s="166">
        <f>IFERROR(INDEX('Non-Labor Expenditures'!$F$7:$AB$91,MATCH($C485,'Non-Labor Expenditures'!$D$7:$D$91,0),MATCH($G485,'Non-Labor Expenditures'!$F$5:$AB$5,0)),"NA")</f>
        <v>173547.9372991047</v>
      </c>
      <c r="Q485" s="166">
        <f t="shared" si="1360"/>
        <v>1658.5397155850562</v>
      </c>
      <c r="R485" s="172">
        <f t="shared" si="1371"/>
        <v>-5.9429195898056328E-2</v>
      </c>
      <c r="S485" s="172">
        <f t="shared" si="1376"/>
        <v>-2.3597204591806623E-3</v>
      </c>
      <c r="T485" s="172"/>
      <c r="U485" s="172"/>
      <c r="V485" s="166">
        <f t="shared" si="1341"/>
        <v>163028.84264122607</v>
      </c>
      <c r="W485" s="170"/>
      <c r="X485" s="174">
        <v>8111.0076334747755</v>
      </c>
      <c r="Y485" s="175">
        <v>2.3612253126049709E-2</v>
      </c>
      <c r="Z485" s="175">
        <f t="shared" si="1377"/>
        <v>9.3755797881684528E-4</v>
      </c>
      <c r="AA485" s="175"/>
      <c r="AB485" s="175"/>
      <c r="AC485" s="170">
        <f t="shared" si="1278"/>
        <v>456414.87015532138</v>
      </c>
      <c r="AD485" s="175">
        <f t="shared" si="1372"/>
        <v>-3.0156992489516313E-2</v>
      </c>
      <c r="AE485" s="170"/>
      <c r="AF485" s="170"/>
      <c r="AG485" s="121">
        <f t="shared" si="1373"/>
        <v>368.78135642746327</v>
      </c>
      <c r="AH485" s="119">
        <f>+AZ485/$BB$53</f>
        <v>3.3506265117560795E-2</v>
      </c>
      <c r="AI485" s="119"/>
      <c r="AJ485" s="176">
        <f t="shared" si="1378"/>
        <v>12.356485898872267</v>
      </c>
      <c r="AK485" s="176">
        <f t="shared" si="1379"/>
        <v>0</v>
      </c>
      <c r="AL485" s="120">
        <f t="shared" si="1361"/>
        <v>0.26256394795859483</v>
      </c>
      <c r="AM485" s="120">
        <f t="shared" si="1362"/>
        <v>0.38024163682494622</v>
      </c>
      <c r="AN485" s="120">
        <f t="shared" si="1363"/>
        <v>0.357194415216459</v>
      </c>
      <c r="AO485" s="120">
        <f t="shared" si="1367"/>
        <v>-3.3294996828927698E-2</v>
      </c>
      <c r="AP485" s="173">
        <f t="shared" si="1383"/>
        <v>100.22161985410398</v>
      </c>
      <c r="AQ485" s="175">
        <f t="shared" si="1384"/>
        <v>-3.3294996828927732E-2</v>
      </c>
      <c r="AR485" s="177">
        <f>+AC485/$AE$53</f>
        <v>3.9706417418611556E-2</v>
      </c>
      <c r="AS485" s="177">
        <f t="shared" si="1380"/>
        <v>-1.3220250420407527E-3</v>
      </c>
      <c r="AT485" s="177"/>
      <c r="AU485" s="177"/>
      <c r="AV485" s="177"/>
      <c r="AW485" s="190"/>
      <c r="AX485" s="120"/>
      <c r="AY485" s="120"/>
      <c r="AZ485" s="118">
        <f>IFERROR(INDEX('Total Customers'!$F$7:$AB$91,MATCH($C485,'Total Customers'!$D$7:$D$91,0),MATCH($G485,'Total Customers'!$F$5:$AB$5,0)),"NA")</f>
        <v>1237630</v>
      </c>
      <c r="BA485" s="119">
        <f t="shared" si="1342"/>
        <v>5.4429023975762682E-3</v>
      </c>
      <c r="BB485" s="119"/>
      <c r="BC485" s="121"/>
      <c r="BD485" s="119"/>
      <c r="BE485" s="119"/>
      <c r="BF485" s="119"/>
      <c r="BG485" s="173"/>
      <c r="BH485" s="173"/>
      <c r="BI485" s="173"/>
      <c r="BJ485" s="173"/>
      <c r="BK485" s="173"/>
      <c r="BL485" s="173"/>
      <c r="BM485" s="173"/>
      <c r="BN485" s="173"/>
      <c r="BO485" s="173"/>
      <c r="BP485" s="173"/>
      <c r="BQ485" s="118"/>
      <c r="BR485" s="118"/>
      <c r="BS485" s="118">
        <f>INDEX('Dist. Plant Gas Additions'!$F$7:$AE$91,MATCH($C485,'Dist. Plant Gas Additions'!$D$7:$D$91,0),MATCH(Calculation!$G485,'Dist. Plant Gas Additions'!$F$5:$AE$5,0))</f>
        <v>158781</v>
      </c>
      <c r="BT485" s="118">
        <f>INDEX('Gen. Plant Additions'!$F$7:$AE$91,MATCH($C485,'Gen. Plant Additions'!$D$7:$D$91,0),MATCH(Calculation!$G485,'Gen. Plant Additions'!$F$5:$AE$5,0))</f>
        <v>13785</v>
      </c>
      <c r="BU485" s="118"/>
      <c r="BV485" s="118"/>
      <c r="BW485" s="118">
        <f>INDEX('Dist Plant Depreciation'!$E$7:$AD$94,MATCH($C485,'Dist Plant Depreciation'!$D$7:$D$94,0),MATCH(Calculation!$G485,'Dist Plant Depreciation'!$E$5:$AD$5,0))</f>
        <v>1431410</v>
      </c>
      <c r="BX485" s="118">
        <f>INDEX('Gen. Plant Depreciation'!$E$7:$AD$94,MATCH($C485,'Gen. Plant Depreciation'!$D$7:$D$94,0),MATCH(Calculation!$G485,'Gen. Plant Depreciation'!$E$5:$AD$5,0))</f>
        <v>114292</v>
      </c>
      <c r="BY485" s="118"/>
      <c r="BZ485" s="118"/>
      <c r="CA485" s="118"/>
      <c r="CB485" s="118"/>
      <c r="CC485" s="118"/>
      <c r="CD485" s="118"/>
      <c r="CE485" s="118">
        <f>INDEX('Gross Dx Plant'!$E$7:$AD$91,MATCH($C485,'Gross Dx Plant'!$D$7:$D$91,0),MATCH(Calculation!$G485,'Gross Dx Plant'!$E$5:$AD$5,0))</f>
        <v>3047115</v>
      </c>
      <c r="CF485" s="118">
        <f>INDEX('Gross Gen Plant'!$E$7:$AD$91,MATCH($C485,'Gross Gen Plant'!$D$7:$D$91,0),MATCH(Calculation!$G485,'Gross Gen Plant'!$E$5:$AD$5,0))</f>
        <v>206941</v>
      </c>
      <c r="CG485" s="118">
        <f t="shared" si="1389"/>
        <v>1708354</v>
      </c>
      <c r="CH485" s="118"/>
      <c r="CI485" s="121">
        <v>2015</v>
      </c>
      <c r="CJ485" s="118"/>
      <c r="CK485" s="118"/>
      <c r="CL485" s="118"/>
      <c r="CM485" s="183"/>
      <c r="CN485" s="118">
        <f t="shared" si="1343"/>
        <v>172566</v>
      </c>
      <c r="CO485" s="118">
        <f t="shared" si="1344"/>
        <v>255.42075548542152</v>
      </c>
      <c r="CP485" s="186">
        <v>0.88888888888888884</v>
      </c>
      <c r="CQ485" s="118">
        <f>+CQ468*CP485+CO469*CP484+CO470*CP483+CO471*CP482+CO472*CP481+CO473*CP480+CO474*CP479+CO475*CP478+CO476*CP477+CO477*CP476+CO478*CP475+CO479*CP474+CO480*CP473+CO481*CP472+CO482*CP471+CO483*CP470+CO484*CP469+CO485</f>
        <v>8111.0076334747755</v>
      </c>
      <c r="CR485" s="119">
        <f t="shared" si="1345"/>
        <v>2.3612253126049709E-2</v>
      </c>
      <c r="CS485" s="119"/>
      <c r="CT485" s="177">
        <f t="shared" si="1346"/>
        <v>8.349815253652252E-3</v>
      </c>
      <c r="CU485" s="177">
        <f t="shared" si="1354"/>
        <v>8.1056992310048013E-3</v>
      </c>
      <c r="CV485" s="119">
        <f>VLOOKUP($H485,RoR!$E:$F,2,FALSE)</f>
        <v>3.8866666666666674E-2</v>
      </c>
      <c r="CW485" s="177">
        <v>9.5709475431029478E-3</v>
      </c>
      <c r="CX485" s="177">
        <f t="shared" si="1352"/>
        <v>2.9295719123563727E-2</v>
      </c>
      <c r="CY485" s="177">
        <f t="shared" si="1355"/>
        <v>2.2796242377528822E-2</v>
      </c>
      <c r="CZ485" s="177">
        <f t="shared" si="1356"/>
        <v>3.5270373279175926E-3</v>
      </c>
      <c r="DA485" s="187">
        <f t="shared" si="1347"/>
        <v>0.86875000000000002</v>
      </c>
      <c r="DB485" s="188">
        <f t="shared" si="1348"/>
        <v>1.3194352816994324</v>
      </c>
      <c r="DC485" s="188">
        <f t="shared" si="1349"/>
        <v>0.33177530017152673</v>
      </c>
      <c r="DD485" s="188">
        <f t="shared" si="1350"/>
        <v>0.78242572977668579</v>
      </c>
      <c r="DE485" s="188">
        <f t="shared" si="1351"/>
        <v>0.34251158643433932</v>
      </c>
      <c r="DF485" s="189">
        <f>INDEX('State Tax Lookup'!$D$7:$Z$91,MATCH(Calculation!$C485,'State Tax Lookup'!$B$7:$B$91,0),MATCH($H485,'State Tax Lookup'!$D$6:$Z$6,0))</f>
        <v>0.35</v>
      </c>
      <c r="DG485" s="189">
        <v>0.375</v>
      </c>
      <c r="DH485" s="190">
        <f t="shared" si="1353"/>
        <v>20.579949586851757</v>
      </c>
      <c r="DI485" s="190">
        <v>20.218624625864951</v>
      </c>
      <c r="DJ485" s="177"/>
      <c r="DK485" s="189">
        <f>VLOOKUP($H485,RoR!$E:$F,2,FALSE)</f>
        <v>3.8866666666666674E-2</v>
      </c>
      <c r="DL485" s="191">
        <f>HLOOKUP($H485,'GDP-PI'!$D$8:$CQ$11,3,FALSE)</f>
        <v>9.5709475431029478E-3</v>
      </c>
      <c r="DM485" s="189">
        <f>VLOOKUP(H485,'HW Dx Data'!$E:$F,2,FALSE)</f>
        <v>675.61463308665782</v>
      </c>
      <c r="DN485" s="183">
        <f>VLOOKUP(H485,'ECI - Input Price'!$G$17:$H$37,2,FALSE)</f>
        <v>123.75</v>
      </c>
      <c r="DO485" s="177">
        <f t="shared" ref="DO485" si="1400">LN(DN485/DN484)</f>
        <v>2.0821327813585516E-2</v>
      </c>
      <c r="DP485" s="183">
        <f>HLOOKUP(H485,'GDP-PI'!$8:$9,2,FALSE)</f>
        <v>104.639</v>
      </c>
      <c r="DQ485" s="177">
        <f t="shared" ref="DQ485" si="1401">LN(DP485/DP484)</f>
        <v>9.5254361854427965E-3</v>
      </c>
    </row>
    <row r="486" spans="1:121" s="167" customFormat="1" ht="21" x14ac:dyDescent="0.35">
      <c r="A486" s="167" t="s">
        <v>55</v>
      </c>
      <c r="B486" s="168" t="s">
        <v>55</v>
      </c>
      <c r="C486" s="168">
        <v>4057126</v>
      </c>
      <c r="D486" s="168" t="s">
        <v>137</v>
      </c>
      <c r="E486" s="168"/>
      <c r="F486" s="168"/>
      <c r="G486" s="168" t="s">
        <v>22</v>
      </c>
      <c r="H486" s="169">
        <v>2016</v>
      </c>
      <c r="I486" s="170"/>
      <c r="J486" s="166">
        <f>IFERROR(INDEX('Labor Expenditures'!$F$7:$X$91,MATCH($C486,'Labor Expenditures'!$D$7:$D$91,0),MATCH($G486,'Labor Expenditures'!$F$5:$X$5,0)),"NA")</f>
        <v>119612.89137064264</v>
      </c>
      <c r="K486" s="166">
        <f t="shared" si="1359"/>
        <v>946.30452033736265</v>
      </c>
      <c r="L486" s="172">
        <f t="shared" si="1366"/>
        <v>-2.3069040694798548E-2</v>
      </c>
      <c r="M486" s="172">
        <f t="shared" si="1370"/>
        <v>-8.858670797726178E-4</v>
      </c>
      <c r="N486" s="196"/>
      <c r="O486" s="172"/>
      <c r="P486" s="166">
        <f>IFERROR(INDEX('Non-Labor Expenditures'!$F$7:$AB$91,MATCH($C486,'Non-Labor Expenditures'!$D$7:$D$91,0),MATCH($G486,'Non-Labor Expenditures'!$F$5:$AB$5,0)),"NA")</f>
        <v>173221.80731114658</v>
      </c>
      <c r="Q486" s="166">
        <f t="shared" si="1360"/>
        <v>1638.2481587268912</v>
      </c>
      <c r="R486" s="172">
        <f t="shared" si="1371"/>
        <v>-1.231005079804641E-2</v>
      </c>
      <c r="S486" s="172">
        <f t="shared" si="1376"/>
        <v>-4.7271444428882378E-4</v>
      </c>
      <c r="T486" s="172"/>
      <c r="U486" s="172"/>
      <c r="V486" s="166">
        <f t="shared" si="1341"/>
        <v>164052.33217657421</v>
      </c>
      <c r="W486" s="170"/>
      <c r="X486" s="174">
        <v>8401.2777372929813</v>
      </c>
      <c r="Y486" s="175">
        <v>3.5161699649986507E-2</v>
      </c>
      <c r="Z486" s="175">
        <f t="shared" si="1377"/>
        <v>1.350233527300448E-3</v>
      </c>
      <c r="AA486" s="175"/>
      <c r="AB486" s="175"/>
      <c r="AC486" s="170">
        <f t="shared" si="1278"/>
        <v>456887.03085836343</v>
      </c>
      <c r="AD486" s="175">
        <f t="shared" si="1372"/>
        <v>1.0339642227457416E-3</v>
      </c>
      <c r="AE486" s="170"/>
      <c r="AF486" s="170"/>
      <c r="AG486" s="121">
        <f t="shared" si="1373"/>
        <v>365.96488500363529</v>
      </c>
      <c r="AH486" s="119">
        <f>+AZ486/$BB$54</f>
        <v>3.350702769770543E-2</v>
      </c>
      <c r="AI486" s="119"/>
      <c r="AJ486" s="176">
        <f t="shared" si="1378"/>
        <v>12.262395538204391</v>
      </c>
      <c r="AK486" s="176">
        <f t="shared" si="1379"/>
        <v>0</v>
      </c>
      <c r="AL486" s="120">
        <f t="shared" si="1361"/>
        <v>0.2617997082252988</v>
      </c>
      <c r="AM486" s="120">
        <f t="shared" si="1362"/>
        <v>0.37913487495084086</v>
      </c>
      <c r="AN486" s="120">
        <f t="shared" si="1363"/>
        <v>0.35906541682386034</v>
      </c>
      <c r="AO486" s="120">
        <f t="shared" si="1367"/>
        <v>1.8701915636843338E-3</v>
      </c>
      <c r="AP486" s="173">
        <f t="shared" si="1383"/>
        <v>100.40922885976171</v>
      </c>
      <c r="AQ486" s="175">
        <f t="shared" si="1384"/>
        <v>1.8701915636844242E-3</v>
      </c>
      <c r="AR486" s="177">
        <f>+AC486/$AE$54</f>
        <v>3.8400689976343799E-2</v>
      </c>
      <c r="AS486" s="177">
        <f t="shared" si="1380"/>
        <v>7.1816646433419209E-5</v>
      </c>
      <c r="AT486" s="177"/>
      <c r="AU486" s="177"/>
      <c r="AV486" s="177"/>
      <c r="AW486" s="190"/>
      <c r="AX486" s="120"/>
      <c r="AY486" s="120"/>
      <c r="AZ486" s="118">
        <f>IFERROR(INDEX('Total Customers'!$F$7:$AB$91,MATCH($C486,'Total Customers'!$D$7:$D$91,0),MATCH($G486,'Total Customers'!$F$5:$AB$5,0)),"NA")</f>
        <v>1248445</v>
      </c>
      <c r="BA486" s="119">
        <f t="shared" si="1342"/>
        <v>8.7005164555578433E-3</v>
      </c>
      <c r="BB486" s="119"/>
      <c r="BC486" s="121"/>
      <c r="BD486" s="119"/>
      <c r="BE486" s="119"/>
      <c r="BF486" s="119"/>
      <c r="BG486" s="173"/>
      <c r="BH486" s="173"/>
      <c r="BI486" s="173"/>
      <c r="BJ486" s="173"/>
      <c r="BK486" s="173"/>
      <c r="BL486" s="173"/>
      <c r="BM486" s="173"/>
      <c r="BN486" s="173"/>
      <c r="BO486" s="173"/>
      <c r="BP486" s="173"/>
      <c r="BQ486" s="118"/>
      <c r="BR486" s="118"/>
      <c r="BS486" s="118">
        <f>INDEX('Dist. Plant Gas Additions'!$F$7:$AE$91,MATCH($C486,'Dist. Plant Gas Additions'!$D$7:$D$91,0),MATCH(Calculation!$G486,'Dist. Plant Gas Additions'!$F$5:$AE$5,0))</f>
        <v>221966</v>
      </c>
      <c r="BT486" s="118">
        <f>INDEX('Gen. Plant Additions'!$F$7:$AE$91,MATCH($C486,'Gen. Plant Additions'!$D$7:$D$91,0),MATCH(Calculation!$G486,'Gen. Plant Additions'!$F$5:$AE$5,0))</f>
        <v>19905</v>
      </c>
      <c r="BU486" s="118"/>
      <c r="BV486" s="118"/>
      <c r="BW486" s="118">
        <f>INDEX('Dist Plant Depreciation'!$E$7:$AD$94,MATCH($C486,'Dist Plant Depreciation'!$D$7:$D$94,0),MATCH(Calculation!$G486,'Dist Plant Depreciation'!$E$5:$AD$5,0))</f>
        <v>1445931</v>
      </c>
      <c r="BX486" s="118">
        <f>INDEX('Gen. Plant Depreciation'!$E$7:$AD$94,MATCH($C486,'Gen. Plant Depreciation'!$D$7:$D$94,0),MATCH(Calculation!$G486,'Gen. Plant Depreciation'!$E$5:$AD$5,0))</f>
        <v>108012</v>
      </c>
      <c r="BY486" s="118"/>
      <c r="BZ486" s="118"/>
      <c r="CA486" s="118"/>
      <c r="CB486" s="118"/>
      <c r="CC486" s="118"/>
      <c r="CD486" s="118"/>
      <c r="CE486" s="118">
        <f>INDEX('Gross Dx Plant'!$E$7:$AD$91,MATCH($C486,'Gross Dx Plant'!$D$7:$D$91,0),MATCH(Calculation!$G486,'Gross Dx Plant'!$E$5:$AD$5,0))</f>
        <v>3246667</v>
      </c>
      <c r="CF486" s="118">
        <f>INDEX('Gross Gen Plant'!$E$7:$AD$91,MATCH($C486,'Gross Gen Plant'!$D$7:$D$91,0),MATCH(Calculation!$G486,'Gross Gen Plant'!$E$5:$AD$5,0))</f>
        <v>213761</v>
      </c>
      <c r="CG486" s="118">
        <f t="shared" si="1389"/>
        <v>1906485</v>
      </c>
      <c r="CH486" s="118"/>
      <c r="CI486" s="121">
        <v>2016</v>
      </c>
      <c r="CJ486" s="118"/>
      <c r="CK486" s="118"/>
      <c r="CL486" s="118"/>
      <c r="CM486" s="183"/>
      <c r="CN486" s="118">
        <f t="shared" si="1343"/>
        <v>241871</v>
      </c>
      <c r="CO486" s="118">
        <f t="shared" si="1344"/>
        <v>360.21847764329169</v>
      </c>
      <c r="CP486" s="186">
        <v>0.88</v>
      </c>
      <c r="CQ486" s="118">
        <f>+CQ468*CP486+CO469*CP485+CO470*CP484+CO471*CP483+CO472*CP482+CO473*CP481+CO474*CP480+CO475*CP479+CO476*CP478+CO477*CP477+CO478*CP476+CO479*CP475+CO480*CP474+CO481*CP473+CO482*CP472+CO483*CP471+CO484*CP470+CO485*CP469+CO486</f>
        <v>8401.2777372929813</v>
      </c>
      <c r="CR486" s="119">
        <f t="shared" si="1345"/>
        <v>3.5161699649986507E-2</v>
      </c>
      <c r="CS486" s="119"/>
      <c r="CT486" s="177">
        <f t="shared" si="1346"/>
        <v>8.6238821347428343E-3</v>
      </c>
      <c r="CU486" s="177">
        <f t="shared" si="1354"/>
        <v>8.3579014811186684E-3</v>
      </c>
      <c r="CV486" s="119">
        <f>VLOOKUP($H486,RoR!$E:$F,2,FALSE)</f>
        <v>3.6658333333333334E-2</v>
      </c>
      <c r="CW486" s="177">
        <v>1.0483662879041455E-2</v>
      </c>
      <c r="CX486" s="177">
        <f t="shared" si="1352"/>
        <v>2.6174670454291879E-2</v>
      </c>
      <c r="CY486" s="177">
        <f t="shared" si="1355"/>
        <v>2.2544040127414955E-2</v>
      </c>
      <c r="CZ486" s="177">
        <f t="shared" si="1356"/>
        <v>4.301363574220729E-3</v>
      </c>
      <c r="DA486" s="187">
        <f t="shared" si="1347"/>
        <v>0.86875000000000002</v>
      </c>
      <c r="DB486" s="188">
        <f t="shared" si="1348"/>
        <v>1.3989193348138562</v>
      </c>
      <c r="DC486" s="188">
        <f t="shared" si="1349"/>
        <v>0.29302682427824522</v>
      </c>
      <c r="DD486" s="188">
        <f t="shared" si="1350"/>
        <v>0.76309497491941802</v>
      </c>
      <c r="DE486" s="188">
        <f t="shared" si="1351"/>
        <v>0.31280857135128509</v>
      </c>
      <c r="DF486" s="189">
        <f>INDEX('State Tax Lookup'!$D$7:$Z$91,MATCH(Calculation!$C486,'State Tax Lookup'!$B$7:$B$91,0),MATCH($H486,'State Tax Lookup'!$D$6:$Z$6,0))</f>
        <v>0.35</v>
      </c>
      <c r="DG486" s="189">
        <v>0.375</v>
      </c>
      <c r="DH486" s="190">
        <f t="shared" si="1353"/>
        <v>20.225888026478628</v>
      </c>
      <c r="DI486" s="190">
        <v>19.825246458024019</v>
      </c>
      <c r="DJ486" s="177"/>
      <c r="DK486" s="189">
        <f>VLOOKUP($H486,RoR!$E:$F,2,FALSE)</f>
        <v>3.6658333333333334E-2</v>
      </c>
      <c r="DL486" s="191">
        <f>HLOOKUP($H486,'GDP-PI'!$D$8:$CQ$11,3,FALSE)</f>
        <v>1.0483662879041455E-2</v>
      </c>
      <c r="DM486" s="189">
        <f>VLOOKUP(H486,'HW Dx Data'!$E:$F,2,FALSE)</f>
        <v>671.45639385971219</v>
      </c>
      <c r="DN486" s="183">
        <f>VLOOKUP(H486,'ECI - Input Price'!$G$17:$H$37,2,FALSE)</f>
        <v>126.4</v>
      </c>
      <c r="DO486" s="177">
        <f t="shared" ref="DO486" si="1402">LN(DN486/DN485)</f>
        <v>2.11880802639575E-2</v>
      </c>
      <c r="DP486" s="183">
        <f>HLOOKUP(H486,'GDP-PI'!$8:$9,2,FALSE)</f>
        <v>105.736</v>
      </c>
      <c r="DQ486" s="177">
        <f t="shared" ref="DQ486" si="1403">LN(DP486/DP485)</f>
        <v>1.0429090367205095E-2</v>
      </c>
    </row>
    <row r="487" spans="1:121" s="167" customFormat="1" ht="21" x14ac:dyDescent="0.35">
      <c r="A487" s="167" t="s">
        <v>55</v>
      </c>
      <c r="B487" s="168" t="s">
        <v>55</v>
      </c>
      <c r="C487" s="168">
        <v>4057126</v>
      </c>
      <c r="D487" s="168" t="s">
        <v>137</v>
      </c>
      <c r="E487" s="168"/>
      <c r="F487" s="168"/>
      <c r="G487" s="168" t="s">
        <v>23</v>
      </c>
      <c r="H487" s="169">
        <v>2017</v>
      </c>
      <c r="I487" s="170"/>
      <c r="J487" s="166">
        <f>IFERROR(INDEX('Labor Expenditures'!$F$7:$X$91,MATCH($C487,'Labor Expenditures'!$D$7:$D$91,0),MATCH($G487,'Labor Expenditures'!$F$5:$X$5,0)),"NA")</f>
        <v>134306.38591823226</v>
      </c>
      <c r="K487" s="166">
        <f t="shared" si="1359"/>
        <v>1037.1149491755386</v>
      </c>
      <c r="L487" s="172">
        <f t="shared" si="1366"/>
        <v>9.1633629535830027E-2</v>
      </c>
      <c r="M487" s="172">
        <f t="shared" si="1370"/>
        <v>3.745403890835536E-3</v>
      </c>
      <c r="N487" s="196"/>
      <c r="O487" s="172"/>
      <c r="P487" s="166">
        <f>IFERROR(INDEX('Non-Labor Expenditures'!$F$7:$AB$91,MATCH($C487,'Non-Labor Expenditures'!$D$7:$D$91,0),MATCH($G487,'Non-Labor Expenditures'!$F$5:$AB$5,0)),"NA")</f>
        <v>194500.73178228136</v>
      </c>
      <c r="Q487" s="166">
        <f t="shared" si="1360"/>
        <v>1805.0944472188783</v>
      </c>
      <c r="R487" s="172">
        <f t="shared" si="1371"/>
        <v>9.6985440734920256E-2</v>
      </c>
      <c r="S487" s="172">
        <f t="shared" si="1376"/>
        <v>3.9641521232216814E-3</v>
      </c>
      <c r="T487" s="172"/>
      <c r="U487" s="172"/>
      <c r="V487" s="166">
        <f t="shared" si="1341"/>
        <v>155438.58503675123</v>
      </c>
      <c r="W487" s="170"/>
      <c r="X487" s="174">
        <v>8670.2688562694166</v>
      </c>
      <c r="Y487" s="175">
        <v>3.1515994398016264E-2</v>
      </c>
      <c r="Z487" s="175">
        <f t="shared" si="1377"/>
        <v>1.2881747524332837E-3</v>
      </c>
      <c r="AA487" s="175"/>
      <c r="AB487" s="175"/>
      <c r="AC487" s="170">
        <f t="shared" si="1278"/>
        <v>484245.70273726486</v>
      </c>
      <c r="AD487" s="175">
        <f t="shared" si="1372"/>
        <v>5.8156265099963848E-2</v>
      </c>
      <c r="AE487" s="170"/>
      <c r="AF487" s="170"/>
      <c r="AG487" s="121">
        <f t="shared" si="1373"/>
        <v>384.67827165101716</v>
      </c>
      <c r="AH487" s="119">
        <f>+AZ487/$BB$55</f>
        <v>3.3531990270986314E-2</v>
      </c>
      <c r="AI487" s="119"/>
      <c r="AJ487" s="176">
        <f t="shared" si="1378"/>
        <v>12.899028062461738</v>
      </c>
      <c r="AK487" s="176">
        <f t="shared" si="1379"/>
        <v>0</v>
      </c>
      <c r="AL487" s="120">
        <f t="shared" si="1361"/>
        <v>0.27735173520187606</v>
      </c>
      <c r="AM487" s="120">
        <f t="shared" si="1362"/>
        <v>0.40165711473088861</v>
      </c>
      <c r="AN487" s="120">
        <f t="shared" si="1363"/>
        <v>0.32099115006723539</v>
      </c>
      <c r="AO487" s="120">
        <f t="shared" si="1367"/>
        <v>7.3281258912382782E-2</v>
      </c>
      <c r="AP487" s="173">
        <f t="shared" si="1383"/>
        <v>108.04365764105951</v>
      </c>
      <c r="AQ487" s="175">
        <f t="shared" si="1384"/>
        <v>7.3281258912382768E-2</v>
      </c>
      <c r="AR487" s="177">
        <f>+AC487/$AE$55</f>
        <v>4.0873682618574339E-2</v>
      </c>
      <c r="AS487" s="177">
        <f t="shared" si="1380"/>
        <v>2.9952749186743055E-3</v>
      </c>
      <c r="AT487" s="177"/>
      <c r="AU487" s="177"/>
      <c r="AV487" s="177"/>
      <c r="AW487" s="190"/>
      <c r="AX487" s="120"/>
      <c r="AY487" s="120"/>
      <c r="AZ487" s="118">
        <f>IFERROR(INDEX('Total Customers'!$F$7:$AB$91,MATCH($C487,'Total Customers'!$D$7:$D$91,0),MATCH($G487,'Total Customers'!$F$5:$AB$5,0)),"NA")</f>
        <v>1258833</v>
      </c>
      <c r="BA487" s="119">
        <f t="shared" si="1342"/>
        <v>8.2863244038765185E-3</v>
      </c>
      <c r="BB487" s="119"/>
      <c r="BC487" s="121"/>
      <c r="BD487" s="119"/>
      <c r="BE487" s="119"/>
      <c r="BF487" s="119"/>
      <c r="BG487" s="173"/>
      <c r="BH487" s="173"/>
      <c r="BI487" s="173"/>
      <c r="BJ487" s="173"/>
      <c r="BK487" s="173"/>
      <c r="BL487" s="173"/>
      <c r="BM487" s="173"/>
      <c r="BN487" s="173"/>
      <c r="BO487" s="173"/>
      <c r="BP487" s="173"/>
      <c r="BQ487" s="118"/>
      <c r="BR487" s="118"/>
      <c r="BS487" s="118">
        <f>INDEX('Dist. Plant Gas Additions'!$F$7:$AE$91,MATCH($C487,'Dist. Plant Gas Additions'!$D$7:$D$91,0),MATCH(Calculation!$G487,'Dist. Plant Gas Additions'!$F$5:$AE$5,0))</f>
        <v>225243</v>
      </c>
      <c r="BT487" s="118">
        <f>INDEX('Gen. Plant Additions'!$F$7:$AE$91,MATCH($C487,'Gen. Plant Additions'!$D$7:$D$91,0),MATCH(Calculation!$G487,'Gen. Plant Additions'!$F$5:$AE$5,0))</f>
        <v>19442</v>
      </c>
      <c r="BU487" s="118"/>
      <c r="BV487" s="118"/>
      <c r="BW487" s="118">
        <f>INDEX('Dist Plant Depreciation'!$E$7:$AD$94,MATCH($C487,'Dist Plant Depreciation'!$D$7:$D$94,0),MATCH(Calculation!$G487,'Dist Plant Depreciation'!$E$5:$AD$5,0))</f>
        <v>1488262</v>
      </c>
      <c r="BX487" s="118">
        <f>INDEX('Gen. Plant Depreciation'!$E$7:$AD$94,MATCH($C487,'Gen. Plant Depreciation'!$D$7:$D$94,0),MATCH(Calculation!$G487,'Gen. Plant Depreciation'!$E$5:$AD$5,0))</f>
        <v>113687</v>
      </c>
      <c r="BY487" s="118"/>
      <c r="BZ487" s="118"/>
      <c r="CA487" s="118"/>
      <c r="CB487" s="118"/>
      <c r="CC487" s="118"/>
      <c r="CD487" s="118"/>
      <c r="CE487" s="118">
        <f>INDEX('Gross Dx Plant'!$E$7:$AD$91,MATCH($C487,'Gross Dx Plant'!$D$7:$D$91,0),MATCH(Calculation!$G487,'Gross Dx Plant'!$E$5:$AD$5,0))</f>
        <v>3448875</v>
      </c>
      <c r="CF487" s="118">
        <f>INDEX('Gross Gen Plant'!$E$7:$AD$91,MATCH($C487,'Gross Gen Plant'!$D$7:$D$91,0),MATCH(Calculation!$G487,'Gross Gen Plant'!$E$5:$AD$5,0))</f>
        <v>221693</v>
      </c>
      <c r="CG487" s="118">
        <f t="shared" si="1389"/>
        <v>2068619</v>
      </c>
      <c r="CH487" s="118"/>
      <c r="CI487" s="121">
        <v>2017</v>
      </c>
      <c r="CJ487" s="118"/>
      <c r="CK487" s="118"/>
      <c r="CL487" s="118"/>
      <c r="CM487" s="183"/>
      <c r="CN487" s="118">
        <f t="shared" si="1343"/>
        <v>244685</v>
      </c>
      <c r="CO487" s="118">
        <f t="shared" si="1344"/>
        <v>343.45196921835833</v>
      </c>
      <c r="CP487" s="186">
        <v>0.87074829931972786</v>
      </c>
      <c r="CQ487" s="118">
        <f>+CQ468*CP487+CO469*CP486+CO470*CP485+CO471*CP484+CO472*CP483+CO473*CP482+CO474*CP481+CO475*CP480+CO476*CP479+CO477*CP478+CO478*CP477+CO479*CP476+CO480*CP475+CO481*CP474+CO482*CP473+CO483*CP472+CO484*CP471+CO485*CP470+CO486*CP469+CO487</f>
        <v>8670.2688562694166</v>
      </c>
      <c r="CR487" s="119">
        <f t="shared" si="1345"/>
        <v>3.1515994398016264E-2</v>
      </c>
      <c r="CS487" s="119"/>
      <c r="CT487" s="177">
        <f t="shared" si="1346"/>
        <v>8.863038762710336E-3</v>
      </c>
      <c r="CU487" s="177">
        <f t="shared" si="1354"/>
        <v>8.6122453837018074E-3</v>
      </c>
      <c r="CV487" s="119">
        <f>VLOOKUP($H487,RoR!$E:$F,2,FALSE)</f>
        <v>3.7433333333333339E-2</v>
      </c>
      <c r="CW487" s="177">
        <v>1.9056896421275615E-2</v>
      </c>
      <c r="CX487" s="177">
        <f t="shared" si="1352"/>
        <v>1.8376436912057724E-2</v>
      </c>
      <c r="CY487" s="177">
        <f t="shared" si="1355"/>
        <v>2.2289696224831818E-2</v>
      </c>
      <c r="CZ487" s="177">
        <f t="shared" si="1356"/>
        <v>1.3976271617800498E-2</v>
      </c>
      <c r="DA487" s="187">
        <f t="shared" si="1347"/>
        <v>0.92125000000000001</v>
      </c>
      <c r="DB487" s="188">
        <f t="shared" si="1348"/>
        <v>1.3699568463593395</v>
      </c>
      <c r="DC487" s="188">
        <f t="shared" si="1349"/>
        <v>0.30714603739982199</v>
      </c>
      <c r="DD487" s="188">
        <f t="shared" si="1350"/>
        <v>0.77007188472689425</v>
      </c>
      <c r="DE487" s="188">
        <f t="shared" si="1351"/>
        <v>0.32402839633793828</v>
      </c>
      <c r="DF487" s="189">
        <f>INDEX('State Tax Lookup'!$D$7:$Z$91,MATCH(Calculation!$C487,'State Tax Lookup'!$B$7:$B$91,0),MATCH($H487,'State Tax Lookup'!$D$6:$Z$6,0))</f>
        <v>0.20999999999999996</v>
      </c>
      <c r="DG487" s="189">
        <v>0.375</v>
      </c>
      <c r="DH487" s="190">
        <f t="shared" si="1353"/>
        <v>18.501779121854849</v>
      </c>
      <c r="DI487" s="190">
        <v>18.178316762478435</v>
      </c>
      <c r="DJ487" s="177"/>
      <c r="DK487" s="189">
        <f>VLOOKUP($H487,RoR!$E:$F,2,FALSE)</f>
        <v>3.7433333333333339E-2</v>
      </c>
      <c r="DL487" s="191">
        <f>HLOOKUP($H487,'GDP-PI'!$D$8:$CQ$11,3,FALSE)</f>
        <v>1.9056896421275615E-2</v>
      </c>
      <c r="DM487" s="189">
        <f>VLOOKUP(H487,'HW Dx Data'!$E:$F,2,FALSE)</f>
        <v>712.42858370229726</v>
      </c>
      <c r="DN487" s="183">
        <f>VLOOKUP(H487,'ECI - Input Price'!$G$17:$H$37,2,FALSE)</f>
        <v>129.5</v>
      </c>
      <c r="DO487" s="177">
        <f t="shared" ref="DO487" si="1404">LN(DN487/DN486)</f>
        <v>2.4229399426835413E-2</v>
      </c>
      <c r="DP487" s="183">
        <f>HLOOKUP(H487,'GDP-PI'!$8:$9,2,FALSE)</f>
        <v>107.751</v>
      </c>
      <c r="DQ487" s="177">
        <f t="shared" ref="DQ487" si="1405">LN(DP487/DP486)</f>
        <v>1.8877588227745139E-2</v>
      </c>
    </row>
    <row r="488" spans="1:121" s="167" customFormat="1" ht="21" x14ac:dyDescent="0.35">
      <c r="A488" s="167" t="s">
        <v>55</v>
      </c>
      <c r="B488" s="168" t="s">
        <v>55</v>
      </c>
      <c r="C488" s="168">
        <v>4057126</v>
      </c>
      <c r="D488" s="168" t="s">
        <v>137</v>
      </c>
      <c r="E488" s="168"/>
      <c r="F488" s="168"/>
      <c r="G488" s="168" t="s">
        <v>24</v>
      </c>
      <c r="H488" s="169">
        <v>2018</v>
      </c>
      <c r="I488" s="170"/>
      <c r="J488" s="166">
        <f>IFERROR(INDEX('Labor Expenditures'!$F$7:$X$91,MATCH($C488,'Labor Expenditures'!$D$7:$D$91,0),MATCH($G488,'Labor Expenditures'!$F$5:$X$5,0)),"NA")</f>
        <v>135833.4358846673</v>
      </c>
      <c r="K488" s="166">
        <f t="shared" si="1359"/>
        <v>1019.3878865641074</v>
      </c>
      <c r="L488" s="172">
        <f t="shared" si="1366"/>
        <v>-1.7240434965202642E-2</v>
      </c>
      <c r="M488" s="172">
        <f t="shared" si="1370"/>
        <v>-6.6965867597943503E-4</v>
      </c>
      <c r="N488" s="196"/>
      <c r="O488" s="172"/>
      <c r="P488" s="166">
        <f>IFERROR(INDEX('Non-Labor Expenditures'!$F$7:$AB$91,MATCH($C488,'Non-Labor Expenditures'!$D$7:$D$91,0),MATCH($G488,'Non-Labor Expenditures'!$F$5:$AB$5,0)),"NA")</f>
        <v>196712.18534727077</v>
      </c>
      <c r="Q488" s="166">
        <f t="shared" si="1360"/>
        <v>1783.0730529474699</v>
      </c>
      <c r="R488" s="172">
        <f t="shared" si="1371"/>
        <v>-1.2274605775349936E-2</v>
      </c>
      <c r="S488" s="172">
        <f t="shared" si="1376"/>
        <v>-4.7677429648850797E-4</v>
      </c>
      <c r="T488" s="172"/>
      <c r="U488" s="172"/>
      <c r="V488" s="166">
        <f t="shared" si="1341"/>
        <v>167824.48752625813</v>
      </c>
      <c r="W488" s="170"/>
      <c r="X488" s="174">
        <v>9062.1465413392343</v>
      </c>
      <c r="Y488" s="175">
        <v>4.420621682321297E-2</v>
      </c>
      <c r="Z488" s="175">
        <f t="shared" si="1377"/>
        <v>1.7170724919436317E-3</v>
      </c>
      <c r="AA488" s="175"/>
      <c r="AB488" s="175"/>
      <c r="AC488" s="170">
        <f t="shared" si="1278"/>
        <v>500370.10875819623</v>
      </c>
      <c r="AD488" s="175">
        <f t="shared" si="1372"/>
        <v>3.2755613923293514E-2</v>
      </c>
      <c r="AE488" s="170"/>
      <c r="AF488" s="170"/>
      <c r="AG488" s="121">
        <f t="shared" si="1373"/>
        <v>394.07071547181937</v>
      </c>
      <c r="AH488" s="119">
        <f>+AZ488/$BB$56</f>
        <v>3.3528917165119194E-2</v>
      </c>
      <c r="AI488" s="119"/>
      <c r="AJ488" s="176">
        <f t="shared" si="1378"/>
        <v>13.212764376253887</v>
      </c>
      <c r="AK488" s="176">
        <f t="shared" si="1379"/>
        <v>0</v>
      </c>
      <c r="AL488" s="120">
        <f t="shared" si="1361"/>
        <v>0.27146592793437385</v>
      </c>
      <c r="AM488" s="120">
        <f t="shared" si="1362"/>
        <v>0.39313336649038705</v>
      </c>
      <c r="AN488" s="120">
        <f t="shared" si="1363"/>
        <v>0.3354007055752391</v>
      </c>
      <c r="AO488" s="120">
        <f t="shared" si="1367"/>
        <v>4.8995028157377517E-3</v>
      </c>
      <c r="AP488" s="173">
        <f t="shared" si="1383"/>
        <v>108.57431676729149</v>
      </c>
      <c r="AQ488" s="175">
        <f t="shared" si="1384"/>
        <v>4.8995028157377812E-3</v>
      </c>
      <c r="AR488" s="177">
        <f>+AC488/$AE$56</f>
        <v>3.8842330679651961E-2</v>
      </c>
      <c r="AS488" s="177">
        <f t="shared" si="1380"/>
        <v>1.9030810853477278E-4</v>
      </c>
      <c r="AT488" s="177"/>
      <c r="AU488" s="177"/>
      <c r="AV488" s="177"/>
      <c r="AW488" s="190"/>
      <c r="AX488" s="120"/>
      <c r="AY488" s="120"/>
      <c r="AZ488" s="118">
        <f>IFERROR(INDEX('Total Customers'!$F$7:$AB$91,MATCH($C488,'Total Customers'!$D$7:$D$91,0),MATCH($G488,'Total Customers'!$F$5:$AB$5,0)),"NA")</f>
        <v>1269747</v>
      </c>
      <c r="BA488" s="119">
        <f t="shared" si="1342"/>
        <v>8.6325667188340283E-3</v>
      </c>
      <c r="BB488" s="119"/>
      <c r="BC488" s="121"/>
      <c r="BD488" s="119"/>
      <c r="BE488" s="119"/>
      <c r="BF488" s="119"/>
      <c r="BG488" s="173"/>
      <c r="BH488" s="173"/>
      <c r="BI488" s="173"/>
      <c r="BJ488" s="173"/>
      <c r="BK488" s="173"/>
      <c r="BL488" s="173"/>
      <c r="BM488" s="173"/>
      <c r="BN488" s="173"/>
      <c r="BO488" s="173"/>
      <c r="BP488" s="173"/>
      <c r="BQ488" s="118"/>
      <c r="BR488" s="118"/>
      <c r="BS488" s="118">
        <f>INDEX('Dist. Plant Gas Additions'!$F$7:$AE$91,MATCH($C488,'Dist. Plant Gas Additions'!$D$7:$D$91,0),MATCH(Calculation!$G488,'Dist. Plant Gas Additions'!$F$5:$AE$5,0))</f>
        <v>312736</v>
      </c>
      <c r="BT488" s="118">
        <f>INDEX('Gen. Plant Additions'!$F$7:$AE$91,MATCH($C488,'Gen. Plant Additions'!$D$7:$D$91,0),MATCH(Calculation!$G488,'Gen. Plant Additions'!$F$5:$AE$5,0))</f>
        <v>42922</v>
      </c>
      <c r="BU488" s="118"/>
      <c r="BV488" s="118"/>
      <c r="BW488" s="118">
        <f>INDEX('Dist Plant Depreciation'!$E$7:$AD$94,MATCH($C488,'Dist Plant Depreciation'!$D$7:$D$94,0),MATCH(Calculation!$G488,'Dist Plant Depreciation'!$E$5:$AD$5,0))</f>
        <v>1520250</v>
      </c>
      <c r="BX488" s="118">
        <f>INDEX('Gen. Plant Depreciation'!$E$7:$AD$94,MATCH($C488,'Gen. Plant Depreciation'!$D$7:$D$94,0),MATCH(Calculation!$G488,'Gen. Plant Depreciation'!$E$5:$AD$5,0))</f>
        <v>120680</v>
      </c>
      <c r="BY488" s="118"/>
      <c r="BZ488" s="118"/>
      <c r="CA488" s="118"/>
      <c r="CB488" s="118"/>
      <c r="CC488" s="118"/>
      <c r="CD488" s="118"/>
      <c r="CE488" s="118">
        <f>INDEX('Gross Dx Plant'!$E$7:$AD$91,MATCH($C488,'Gross Dx Plant'!$D$7:$D$91,0),MATCH(Calculation!$G488,'Gross Dx Plant'!$E$5:$AD$5,0))</f>
        <v>3737313</v>
      </c>
      <c r="CF488" s="118">
        <f>INDEX('Gross Gen Plant'!$E$7:$AD$91,MATCH($C488,'Gross Gen Plant'!$D$7:$D$91,0),MATCH(Calculation!$G488,'Gross Gen Plant'!$E$5:$AD$5,0))</f>
        <v>260249</v>
      </c>
      <c r="CG488" s="118">
        <f t="shared" si="1389"/>
        <v>2356632</v>
      </c>
      <c r="CH488" s="118"/>
      <c r="CI488" s="121">
        <v>2018</v>
      </c>
      <c r="CJ488" s="118"/>
      <c r="CK488" s="118"/>
      <c r="CL488" s="118"/>
      <c r="CM488" s="183"/>
      <c r="CN488" s="118">
        <f t="shared" si="1343"/>
        <v>355658</v>
      </c>
      <c r="CO488" s="118">
        <f t="shared" si="1344"/>
        <v>470.98491338754013</v>
      </c>
      <c r="CP488" s="186">
        <v>0.86111111111111116</v>
      </c>
      <c r="CQ488" s="118">
        <f>+CQ468*CP488++CO469*CP487+CO470*CP486+CO471*CP485+CO472*CP484+CO473*CP483+CO474*CP482+CO475*CP481+CO476*CP480+CO477*CP479+CO478*CP478+CO479*CP477+CO480*CP476+CO481*CP475+CO482*CP474+CO483*CP473+CO484*CP472+CO485*CP471+CO486*CP470+CO487*CP469+CO488</f>
        <v>9062.1465413392343</v>
      </c>
      <c r="CR488" s="119">
        <f t="shared" si="1345"/>
        <v>4.420621682321297E-2</v>
      </c>
      <c r="CS488" s="119"/>
      <c r="CT488" s="177">
        <f t="shared" si="1346"/>
        <v>9.123964853814245E-3</v>
      </c>
      <c r="CU488" s="177">
        <f t="shared" si="1354"/>
        <v>8.870295250422473E-3</v>
      </c>
      <c r="CV488" s="119">
        <f>VLOOKUP($H488,RoR!$E:$F,2,FALSE)</f>
        <v>3.9299999999999995E-2</v>
      </c>
      <c r="CW488" s="177">
        <v>2.386056741932796E-2</v>
      </c>
      <c r="CX488" s="177">
        <f t="shared" si="1352"/>
        <v>1.5439432580672034E-2</v>
      </c>
      <c r="CY488" s="177">
        <f t="shared" si="1355"/>
        <v>2.2031646358111154E-2</v>
      </c>
      <c r="CZ488" s="177">
        <f t="shared" si="1356"/>
        <v>3.8270792163076606E-2</v>
      </c>
      <c r="DA488" s="187">
        <f t="shared" si="1347"/>
        <v>0.92125000000000001</v>
      </c>
      <c r="DB488" s="188">
        <f t="shared" si="1348"/>
        <v>1.3048868010700074</v>
      </c>
      <c r="DC488" s="188">
        <f t="shared" si="1349"/>
        <v>0.33886768447837151</v>
      </c>
      <c r="DD488" s="188">
        <f t="shared" si="1350"/>
        <v>0.78602506232557801</v>
      </c>
      <c r="DE488" s="188">
        <f t="shared" si="1351"/>
        <v>0.34756768162358759</v>
      </c>
      <c r="DF488" s="189">
        <f>INDEX('State Tax Lookup'!$D$7:$Z$91,MATCH(Calculation!$C488,'State Tax Lookup'!$B$7:$B$91,0),MATCH($H488,'State Tax Lookup'!$D$6:$Z$6,0))</f>
        <v>0.20999999999999996</v>
      </c>
      <c r="DG488" s="189">
        <v>0.375</v>
      </c>
      <c r="DH488" s="190">
        <f t="shared" si="1353"/>
        <v>19.356318738017599</v>
      </c>
      <c r="DI488" s="190">
        <v>19.027213025931356</v>
      </c>
      <c r="DJ488" s="177"/>
      <c r="DK488" s="189">
        <f>VLOOKUP($H488,RoR!$E:$F,2,FALSE)</f>
        <v>3.9299999999999995E-2</v>
      </c>
      <c r="DL488" s="191">
        <f>HLOOKUP($H488,'GDP-PI'!$D$8:$CQ$11,3,FALSE)</f>
        <v>2.386056741932796E-2</v>
      </c>
      <c r="DM488" s="189">
        <f>VLOOKUP(H488,'HW Dx Data'!$E:$F,2,FALSE)</f>
        <v>755.13671434174842</v>
      </c>
      <c r="DN488" s="183">
        <f>VLOOKUP(H488,'ECI - Input Price'!$G$17:$H$37,2,FALSE)</f>
        <v>133.25</v>
      </c>
      <c r="DO488" s="177">
        <f t="shared" ref="DO488" si="1406">LN(DN488/DN487)</f>
        <v>2.8546181906361531E-2</v>
      </c>
      <c r="DP488" s="183">
        <f>HLOOKUP(H488,'GDP-PI'!$8:$9,2,FALSE)</f>
        <v>110.322</v>
      </c>
      <c r="DQ488" s="177">
        <f t="shared" ref="DQ488" si="1407">LN(DP488/DP487)</f>
        <v>2.3580352716508712E-2</v>
      </c>
    </row>
    <row r="489" spans="1:121" s="167" customFormat="1" ht="21" x14ac:dyDescent="0.35">
      <c r="A489" s="167" t="s">
        <v>55</v>
      </c>
      <c r="B489" s="168" t="s">
        <v>55</v>
      </c>
      <c r="C489" s="168">
        <v>4057126</v>
      </c>
      <c r="D489" s="168" t="s">
        <v>137</v>
      </c>
      <c r="E489" s="168"/>
      <c r="F489" s="168"/>
      <c r="G489" s="168" t="s">
        <v>25</v>
      </c>
      <c r="H489" s="169">
        <v>2019</v>
      </c>
      <c r="I489" s="170"/>
      <c r="J489" s="166">
        <f>IFERROR(INDEX('Labor Expenditures'!$F$7:$X$91,MATCH($C489,'Labor Expenditures'!$D$7:$D$91,0),MATCH($G489,'Labor Expenditures'!$F$5:$X$5,0)),"NA")</f>
        <v>142058.0451875625</v>
      </c>
      <c r="K489" s="166">
        <f t="shared" si="1359"/>
        <v>1038.0565961824077</v>
      </c>
      <c r="L489" s="172">
        <f t="shared" si="1366"/>
        <v>1.8147971572097233E-2</v>
      </c>
      <c r="M489" s="172">
        <f t="shared" si="1370"/>
        <v>7.1774619138124571E-4</v>
      </c>
      <c r="N489" s="196"/>
      <c r="O489" s="172"/>
      <c r="P489" s="166">
        <f>IFERROR(INDEX('Non-Labor Expenditures'!$F$7:$AB$91,MATCH($C489,'Non-Labor Expenditures'!$D$7:$D$91,0),MATCH($G489,'Non-Labor Expenditures'!$F$5:$AB$5,0)),"NA")</f>
        <v>205726.58221451283</v>
      </c>
      <c r="Q489" s="166">
        <f t="shared" si="1360"/>
        <v>1831.6439236321235</v>
      </c>
      <c r="R489" s="172">
        <f t="shared" si="1371"/>
        <v>2.6875572561429702E-2</v>
      </c>
      <c r="S489" s="172">
        <f t="shared" si="1376"/>
        <v>1.0629198844908311E-3</v>
      </c>
      <c r="T489" s="172"/>
      <c r="U489" s="172"/>
      <c r="V489" s="166">
        <f t="shared" si="1341"/>
        <v>177642.04650232123</v>
      </c>
      <c r="W489" s="170"/>
      <c r="X489" s="174">
        <v>9421.2014173704956</v>
      </c>
      <c r="Y489" s="175">
        <v>3.8856602369654832E-2</v>
      </c>
      <c r="Z489" s="175">
        <f t="shared" si="1377"/>
        <v>1.5367655966419551E-3</v>
      </c>
      <c r="AA489" s="175"/>
      <c r="AB489" s="175"/>
      <c r="AC489" s="170">
        <f t="shared" si="1278"/>
        <v>525426.67390439659</v>
      </c>
      <c r="AD489" s="175">
        <f t="shared" si="1372"/>
        <v>4.8862602606021627E-2</v>
      </c>
      <c r="AE489" s="170"/>
      <c r="AF489" s="170"/>
      <c r="AG489" s="121">
        <f t="shared" si="1373"/>
        <v>409.65236197302744</v>
      </c>
      <c r="AH489" s="119">
        <f>+AZ489/$BB$57</f>
        <v>3.3591646537945517E-2</v>
      </c>
      <c r="AI489" s="119"/>
      <c r="AJ489" s="176">
        <f t="shared" si="1378"/>
        <v>13.760897346832451</v>
      </c>
      <c r="AK489" s="176">
        <f t="shared" si="1379"/>
        <v>0</v>
      </c>
      <c r="AL489" s="120">
        <f t="shared" si="1361"/>
        <v>0.27036702216113701</v>
      </c>
      <c r="AM489" s="120">
        <f t="shared" si="1362"/>
        <v>0.39154194568345341</v>
      </c>
      <c r="AN489" s="120">
        <f t="shared" si="1363"/>
        <v>0.33809103215540953</v>
      </c>
      <c r="AO489" s="120">
        <f t="shared" si="1367"/>
        <v>2.8545683958448566E-2</v>
      </c>
      <c r="AP489" s="173">
        <f t="shared" si="1383"/>
        <v>111.71830505921356</v>
      </c>
      <c r="AQ489" s="175">
        <f t="shared" si="1384"/>
        <v>2.8545683958448573E-2</v>
      </c>
      <c r="AR489" s="177">
        <f>+AC489/$AE$57</f>
        <v>3.9549664739655578E-2</v>
      </c>
      <c r="AS489" s="177">
        <f t="shared" si="1380"/>
        <v>1.1289722303208054E-3</v>
      </c>
      <c r="AT489" s="177"/>
      <c r="AU489" s="177"/>
      <c r="AV489" s="177"/>
      <c r="AW489" s="190"/>
      <c r="AX489" s="120"/>
      <c r="AY489" s="120"/>
      <c r="AZ489" s="118">
        <f>IFERROR(INDEX('Total Customers'!$F$7:$AB$91,MATCH($C489,'Total Customers'!$D$7:$D$91,0),MATCH($G489,'Total Customers'!$F$5:$AB$5,0)),"NA")</f>
        <v>1282616</v>
      </c>
      <c r="BA489" s="119">
        <f t="shared" si="1342"/>
        <v>1.0084074289053339E-2</v>
      </c>
      <c r="BB489" s="119"/>
      <c r="BC489" s="121"/>
      <c r="BD489" s="119"/>
      <c r="BE489" s="119"/>
      <c r="BF489" s="119"/>
      <c r="BG489" s="173"/>
      <c r="BH489" s="173"/>
      <c r="BI489" s="173"/>
      <c r="BJ489" s="173"/>
      <c r="BK489" s="173"/>
      <c r="BL489" s="173"/>
      <c r="BM489" s="173"/>
      <c r="BN489" s="173"/>
      <c r="BO489" s="173"/>
      <c r="BP489" s="173"/>
      <c r="BQ489" s="118"/>
      <c r="BR489" s="118"/>
      <c r="BS489" s="118">
        <f>INDEX('Dist. Plant Gas Additions'!$F$7:$AE$91,MATCH($C489,'Dist. Plant Gas Additions'!$D$7:$D$91,0),MATCH(Calculation!$G489,'Dist. Plant Gas Additions'!$F$5:$AE$5,0))</f>
        <v>289984</v>
      </c>
      <c r="BT489" s="118">
        <f>INDEX('Gen. Plant Additions'!$F$7:$AE$91,MATCH($C489,'Gen. Plant Additions'!$D$7:$D$91,0),MATCH(Calculation!$G489,'Gen. Plant Additions'!$F$5:$AE$5,0))</f>
        <v>53215</v>
      </c>
      <c r="BU489" s="118"/>
      <c r="BV489" s="118"/>
      <c r="BW489" s="118">
        <f>INDEX('Dist Plant Depreciation'!$E$7:$AD$94,MATCH($C489,'Dist Plant Depreciation'!$D$7:$D$94,0),MATCH(Calculation!$G489,'Dist Plant Depreciation'!$E$5:$AD$5,0))</f>
        <v>1537280</v>
      </c>
      <c r="BX489" s="118">
        <f>INDEX('Gen. Plant Depreciation'!$E$7:$AD$94,MATCH($C489,'Gen. Plant Depreciation'!$D$7:$D$94,0),MATCH(Calculation!$G489,'Gen. Plant Depreciation'!$E$5:$AD$5,0))</f>
        <v>112061</v>
      </c>
      <c r="BY489" s="118"/>
      <c r="BZ489" s="118"/>
      <c r="CA489" s="118"/>
      <c r="CB489" s="118"/>
      <c r="CC489" s="118"/>
      <c r="CD489" s="118"/>
      <c r="CE489" s="118">
        <f>INDEX('Gross Dx Plant'!$E$7:$AD$91,MATCH($C489,'Gross Dx Plant'!$D$7:$D$91,0),MATCH(Calculation!$G489,'Gross Dx Plant'!$E$5:$AD$5,0))</f>
        <v>4004366</v>
      </c>
      <c r="CF489" s="118">
        <f>INDEX('Gross Gen Plant'!$E$7:$AD$91,MATCH($C489,'Gross Gen Plant'!$D$7:$D$91,0),MATCH(Calculation!$G489,'Gross Gen Plant'!$E$5:$AD$5,0))</f>
        <v>307929</v>
      </c>
      <c r="CG489" s="118">
        <f t="shared" si="1389"/>
        <v>2662954</v>
      </c>
      <c r="CH489" s="118"/>
      <c r="CI489" s="121">
        <v>2019</v>
      </c>
      <c r="CJ489" s="118"/>
      <c r="CK489" s="118"/>
      <c r="CL489" s="118"/>
      <c r="CM489" s="183"/>
      <c r="CN489" s="118">
        <f t="shared" si="1343"/>
        <v>343199</v>
      </c>
      <c r="CO489" s="118">
        <f t="shared" si="1344"/>
        <v>443.67364517127908</v>
      </c>
      <c r="CP489" s="186">
        <v>0.85106382978723405</v>
      </c>
      <c r="CQ489" s="118">
        <f>CQ468*CP489+CO469*CP488+CO470*CP487+CO471*CP486+CO472*CP485+CO473*CP484+CO474*CP483+CO475*CP482+CO476*CP481+CO477*CP480+CO478*CP479+CO479*CP478+CO480*CP477+CO481*CP476+CO482*CP475+CO483*CP474+CO484*CP473+CO485*CP472+CO486*CP471+CO487*CP470+CO488*CP469+CO489</f>
        <v>9421.2014173704956</v>
      </c>
      <c r="CR489" s="119">
        <f t="shared" si="1345"/>
        <v>3.8856602369654832E-2</v>
      </c>
      <c r="CS489" s="119"/>
      <c r="CT489" s="177">
        <f t="shared" si="1346"/>
        <v>9.3376076798149556E-3</v>
      </c>
      <c r="CU489" s="177">
        <f t="shared" si="1354"/>
        <v>9.1082037654465122E-3</v>
      </c>
      <c r="CV489" s="119">
        <f>VLOOKUP($H489,RoR!$E:$F,2,FALSE)</f>
        <v>3.3875000000000009E-2</v>
      </c>
      <c r="CW489" s="177">
        <v>1.8092492884465461E-2</v>
      </c>
      <c r="CX489" s="177">
        <f t="shared" si="1352"/>
        <v>1.5782507115534548E-2</v>
      </c>
      <c r="CY489" s="177">
        <f t="shared" si="1355"/>
        <v>2.1793737843087115E-2</v>
      </c>
      <c r="CZ489" s="177">
        <f t="shared" si="1356"/>
        <v>4.8445665544254078E-2</v>
      </c>
      <c r="DA489" s="187">
        <f t="shared" si="1347"/>
        <v>0.92125000000000001</v>
      </c>
      <c r="DB489" s="188">
        <f t="shared" si="1348"/>
        <v>1.513861292459078</v>
      </c>
      <c r="DC489" s="188">
        <f t="shared" si="1349"/>
        <v>0.23699261992619944</v>
      </c>
      <c r="DD489" s="188">
        <f t="shared" si="1350"/>
        <v>0.73619765810468829</v>
      </c>
      <c r="DE489" s="188">
        <f t="shared" si="1351"/>
        <v>0.26412854465362851</v>
      </c>
      <c r="DF489" s="189">
        <f>INDEX('State Tax Lookup'!$D$7:$Z$91,MATCH(Calculation!$C489,'State Tax Lookup'!$B$7:$B$91,0),MATCH($H489,'State Tax Lookup'!$D$6:$Z$6,0))</f>
        <v>0.20999999999999996</v>
      </c>
      <c r="DG489" s="189">
        <v>0.375</v>
      </c>
      <c r="DH489" s="190">
        <f t="shared" si="1353"/>
        <v>19.602645542307538</v>
      </c>
      <c r="DI489" s="190">
        <v>19.297824107541732</v>
      </c>
      <c r="DJ489" s="177"/>
      <c r="DK489" s="189">
        <f>VLOOKUP($H489,RoR!$E:$F,2,FALSE)</f>
        <v>3.3875000000000009E-2</v>
      </c>
      <c r="DL489" s="191">
        <f>HLOOKUP($H489,'GDP-PI'!$D$8:$CQ$11,3,FALSE)</f>
        <v>1.8092492884465461E-2</v>
      </c>
      <c r="DM489" s="189">
        <f>VLOOKUP(H489,'HW Dx Data'!$E:$F,2,FALSE)</f>
        <v>773.53929793938721</v>
      </c>
      <c r="DN489" s="183">
        <f>VLOOKUP(H489,'ECI - Input Price'!$G$17:$H$37,2,FALSE)</f>
        <v>136.85</v>
      </c>
      <c r="DO489" s="177">
        <f t="shared" ref="DO489" si="1408">LN(DN489/DN488)</f>
        <v>2.6658372440734168E-2</v>
      </c>
      <c r="DP489" s="183">
        <f>HLOOKUP(H489,'GDP-PI'!$8:$9,2,FALSE)</f>
        <v>112.318</v>
      </c>
      <c r="DQ489" s="177">
        <f t="shared" ref="DQ489" si="1409">LN(DP489/DP488)</f>
        <v>1.7930771451401852E-2</v>
      </c>
    </row>
    <row r="490" spans="1:121" s="167" customFormat="1" ht="21" x14ac:dyDescent="0.35">
      <c r="A490" s="167" t="s">
        <v>55</v>
      </c>
      <c r="B490" s="167" t="s">
        <v>55</v>
      </c>
      <c r="C490" s="167">
        <v>4057126</v>
      </c>
      <c r="D490" s="167" t="s">
        <v>137</v>
      </c>
      <c r="G490" s="168" t="s">
        <v>26</v>
      </c>
      <c r="H490" s="169">
        <v>2020</v>
      </c>
      <c r="I490" s="170"/>
      <c r="J490" s="166">
        <f>IFERROR(INDEX('Labor Expenditures'!$F$7:$X$91,MATCH($C490,'Labor Expenditures'!$D$7:$D$91,0),MATCH($G490,'Labor Expenditures'!$F$5:$X$5,0)),"NA")</f>
        <v>138859.76142642426</v>
      </c>
      <c r="K490" s="166">
        <f t="shared" si="1359"/>
        <v>988.67754664595418</v>
      </c>
      <c r="L490" s="172">
        <f t="shared" si="1366"/>
        <v>-4.8737347831520492E-2</v>
      </c>
      <c r="M490" s="172">
        <f t="shared" si="1370"/>
        <v>-1.8930415535085242E-3</v>
      </c>
      <c r="N490" s="196"/>
      <c r="O490" s="172"/>
      <c r="P490" s="166">
        <f>IFERROR(INDEX('Non-Labor Expenditures'!$F$7:$AB$91,MATCH($C490,'Non-Labor Expenditures'!$D$7:$D$91,0),MATCH($G490,'Non-Labor Expenditures'!$F$5:$AB$5,0)),"NA")</f>
        <v>201094.86997137719</v>
      </c>
      <c r="Q490" s="166">
        <f t="shared" si="1360"/>
        <v>1769.8429892836589</v>
      </c>
      <c r="R490" s="172">
        <f t="shared" si="1371"/>
        <v>-3.4323046499348975E-2</v>
      </c>
      <c r="S490" s="172">
        <f t="shared" si="1376"/>
        <v>-1.3331655528504335E-3</v>
      </c>
      <c r="T490" s="172"/>
      <c r="U490" s="172"/>
      <c r="V490" s="166">
        <f t="shared" si="1341"/>
        <v>192047.31634714411</v>
      </c>
      <c r="W490" s="170"/>
      <c r="X490" s="174">
        <v>9845.3060146669741</v>
      </c>
      <c r="Y490" s="175">
        <v>4.4032175410342184E-2</v>
      </c>
      <c r="Z490" s="175">
        <f t="shared" si="1377"/>
        <v>1.7102846472340251E-3</v>
      </c>
      <c r="AA490" s="175"/>
      <c r="AB490" s="175"/>
      <c r="AC490" s="170">
        <f t="shared" si="1278"/>
        <v>532001.94774494553</v>
      </c>
      <c r="AD490" s="175">
        <f t="shared" si="1372"/>
        <v>1.2436505790913172E-2</v>
      </c>
      <c r="AE490" s="170"/>
      <c r="AF490" s="170"/>
      <c r="AG490" s="121">
        <f t="shared" si="1373"/>
        <v>409.90103680308067</v>
      </c>
      <c r="AH490" s="119">
        <f>+AZ490/$BB$58</f>
        <v>3.3752403197508767E-2</v>
      </c>
      <c r="AI490" s="119"/>
      <c r="AJ490" s="176">
        <f t="shared" si="1378"/>
        <v>13.835145065254459</v>
      </c>
      <c r="AK490" s="176">
        <f t="shared" si="1379"/>
        <v>0</v>
      </c>
      <c r="AL490" s="120">
        <f t="shared" si="1361"/>
        <v>0.26101363353090007</v>
      </c>
      <c r="AM490" s="120">
        <f t="shared" si="1362"/>
        <v>0.37799649197485058</v>
      </c>
      <c r="AN490" s="120">
        <f t="shared" si="1363"/>
        <v>0.36098987449424941</v>
      </c>
      <c r="AO490" s="120">
        <f t="shared" si="1367"/>
        <v>-1.0764467159283869E-2</v>
      </c>
      <c r="AP490" s="173">
        <f t="shared" si="1383"/>
        <v>110.52216648060308</v>
      </c>
      <c r="AQ490" s="175">
        <f t="shared" si="1384"/>
        <v>-1.0764467159283871E-2</v>
      </c>
      <c r="AR490" s="177">
        <f>+AC490/$AE$58</f>
        <v>3.8841702261939962E-2</v>
      </c>
      <c r="AS490" s="177">
        <f t="shared" si="1380"/>
        <v>-4.1811022840933476E-4</v>
      </c>
      <c r="AT490" s="177"/>
      <c r="AU490" s="177"/>
      <c r="AV490" s="177"/>
      <c r="AW490" s="190"/>
      <c r="AX490" s="120"/>
      <c r="AY490" s="120"/>
      <c r="AZ490" s="118">
        <f>IFERROR(INDEX('Total Customers'!$F$7:$AB$91,MATCH($C490,'Total Customers'!$D$7:$D$91,0),MATCH($G490,'Total Customers'!$F$5:$AB$5,0)),"NA")</f>
        <v>1297879</v>
      </c>
      <c r="BA490" s="119">
        <f t="shared" si="1342"/>
        <v>1.1829651281966525E-2</v>
      </c>
      <c r="BB490" s="119"/>
      <c r="BC490" s="121"/>
      <c r="BD490" s="119"/>
      <c r="BE490" s="119"/>
      <c r="BF490" s="119"/>
      <c r="BG490" s="173"/>
      <c r="BH490" s="173"/>
      <c r="BI490" s="173"/>
      <c r="BJ490" s="173"/>
      <c r="BK490" s="173"/>
      <c r="BL490" s="173"/>
      <c r="BM490" s="173"/>
      <c r="BN490" s="173"/>
      <c r="BO490" s="173"/>
      <c r="BP490" s="173"/>
      <c r="BQ490" s="118"/>
      <c r="BR490" s="118"/>
      <c r="BS490" s="118">
        <f>INDEX('Dist. Plant Gas Additions'!$F$7:$AE$91,MATCH($C490,'Dist. Plant Gas Additions'!$D$7:$D$91,0),MATCH(Calculation!$G490,'Dist. Plant Gas Additions'!$F$5:$AE$5,0))</f>
        <v>399983</v>
      </c>
      <c r="BT490" s="118">
        <f>INDEX('Gen. Plant Additions'!$F$7:$AE$91,MATCH($C490,'Gen. Plant Additions'!$D$7:$D$91,0),MATCH(Calculation!$G490,'Gen. Plant Additions'!$F$5:$AE$5,0))</f>
        <v>18238</v>
      </c>
      <c r="BU490" s="118"/>
      <c r="BV490" s="118"/>
      <c r="BW490" s="118">
        <f>INDEX('Dist Plant Depreciation'!$E$7:$AD$94,MATCH($C490,'Dist Plant Depreciation'!$D$7:$D$94,0),MATCH(Calculation!$G490,'Dist Plant Depreciation'!$E$5:$AD$5,0))</f>
        <v>1551375</v>
      </c>
      <c r="BX490" s="118">
        <f>INDEX('Gen. Plant Depreciation'!$E$7:$AD$94,MATCH($C490,'Gen. Plant Depreciation'!$D$7:$D$94,0),MATCH(Calculation!$G490,'Gen. Plant Depreciation'!$E$5:$AD$5,0))</f>
        <v>97732</v>
      </c>
      <c r="BY490" s="118"/>
      <c r="BZ490" s="118"/>
      <c r="CA490" s="118"/>
      <c r="CB490" s="118"/>
      <c r="CC490" s="118"/>
      <c r="CD490" s="118"/>
      <c r="CE490" s="118">
        <f>INDEX('Gross Dx Plant'!$E$7:$AD$91,MATCH($C490,'Gross Dx Plant'!$D$7:$D$91,0),MATCH(Calculation!$G490,'Gross Dx Plant'!$E$5:$AD$5,0))</f>
        <v>4366879</v>
      </c>
      <c r="CF490" s="118">
        <f>INDEX('Gross Gen Plant'!$E$7:$AD$91,MATCH($C490,'Gross Gen Plant'!$D$7:$D$91,0),MATCH(Calculation!$G490,'Gross Gen Plant'!$E$5:$AD$5,0))</f>
        <v>322659</v>
      </c>
      <c r="CG490" s="118">
        <f t="shared" si="1389"/>
        <v>3040431</v>
      </c>
      <c r="CH490" s="118"/>
      <c r="CI490" s="121">
        <v>2020</v>
      </c>
      <c r="CJ490" s="118"/>
      <c r="CK490" s="118"/>
      <c r="CL490" s="118"/>
      <c r="CM490" s="183"/>
      <c r="CN490" s="118">
        <f t="shared" si="1343"/>
        <v>418221</v>
      </c>
      <c r="CO490" s="118">
        <f t="shared" si="1344"/>
        <v>514.3662572399495</v>
      </c>
      <c r="CP490" s="186">
        <v>0.84057971014492749</v>
      </c>
      <c r="CQ490" s="118">
        <f>CQ468*CP490+CO469*CP489+CO470*CP488+CO471*CP487+CO472*CP486+CO473*CP485+CO474*CP484+CO475*CP483+CO476*CP482+CO477*CP481+CO478*CP480+CO479*CP479+CO480*CP478+CO481*CP477+CO482*CP476+CO483*CP475+CO484*CP474+CO485*CP473+CO486*CP472+CO487*CP471+CO488*CP470+CO489*CP469+CO490</f>
        <v>9845.3060146669741</v>
      </c>
      <c r="CR490" s="119">
        <f t="shared" si="1345"/>
        <v>4.4032175410342184E-2</v>
      </c>
      <c r="CS490" s="119"/>
      <c r="CT490" s="177">
        <f t="shared" si="1346"/>
        <v>9.5806952791657359E-3</v>
      </c>
      <c r="CU490" s="177">
        <f t="shared" si="1354"/>
        <v>9.3474226042649794E-3</v>
      </c>
      <c r="CV490" s="119">
        <f>VLOOKUP($H490,RoR!$E:$F,2,FALSE)</f>
        <v>2.4766666666666666E-2</v>
      </c>
      <c r="CW490" s="177">
        <v>1.1618796630994188E-2</v>
      </c>
      <c r="CX490" s="177">
        <f t="shared" si="1352"/>
        <v>1.3147870035672478E-2</v>
      </c>
      <c r="CY490" s="177">
        <f t="shared" si="1355"/>
        <v>2.1554519004268646E-2</v>
      </c>
      <c r="CZ490" s="177">
        <f t="shared" si="1356"/>
        <v>4.5144642961987357E-2</v>
      </c>
      <c r="DA490" s="187">
        <f t="shared" si="1347"/>
        <v>0.92125000000000001</v>
      </c>
      <c r="DB490" s="188">
        <f t="shared" si="1348"/>
        <v>2.0706077233668081</v>
      </c>
      <c r="DC490" s="188">
        <f t="shared" si="1349"/>
        <v>-3.4421265141318998E-2</v>
      </c>
      <c r="DD490" s="188">
        <f t="shared" si="1350"/>
        <v>0.62416226176410472</v>
      </c>
      <c r="DE490" s="188">
        <f t="shared" si="1351"/>
        <v>-4.4485877841158712E-2</v>
      </c>
      <c r="DF490" s="189">
        <f>INDEX('State Tax Lookup'!$D$7:$Z$91,MATCH(Calculation!$C490,'State Tax Lookup'!$B$7:$B$91,0),MATCH($H490,'State Tax Lookup'!$D$6:$Z$6,0))</f>
        <v>0.20999999999999996</v>
      </c>
      <c r="DG490" s="189">
        <v>0.375</v>
      </c>
      <c r="DH490" s="190">
        <f t="shared" si="1353"/>
        <v>20.384588741840684</v>
      </c>
      <c r="DI490" s="190">
        <v>20.097847602410457</v>
      </c>
      <c r="DJ490" s="177"/>
      <c r="DK490" s="189">
        <f>VLOOKUP($H490,RoR!$E:$F,2,FALSE)</f>
        <v>2.4766666666666666E-2</v>
      </c>
      <c r="DL490" s="191">
        <f>HLOOKUP($H490,'GDP-PI'!$D$8:$CQ$11,3,FALSE)</f>
        <v>1.1618796630994188E-2</v>
      </c>
      <c r="DM490" s="189">
        <f>VLOOKUP(H490,'HW Dx Data'!$E:$F,2,FALSE)</f>
        <v>813.080162458833</v>
      </c>
      <c r="DN490" s="183">
        <f>VLOOKUP(H490,'ECI - Input Price'!$G$17:$H$37,2,FALSE)</f>
        <v>140.44999999999999</v>
      </c>
      <c r="DO490" s="177">
        <f t="shared" ref="DO490" si="1410">LN(DN490/DN489)</f>
        <v>2.5966118063564539E-2</v>
      </c>
      <c r="DP490" s="183">
        <f>HLOOKUP(H490,'GDP-PI'!$8:$9,2,FALSE)</f>
        <v>113.623</v>
      </c>
      <c r="DQ490" s="177">
        <f t="shared" ref="DQ490" si="1411">LN(DP490/DP489)</f>
        <v>1.1551816731392881E-2</v>
      </c>
    </row>
    <row r="491" spans="1:121" s="167" customFormat="1" ht="21" x14ac:dyDescent="0.35">
      <c r="A491" s="167" t="s">
        <v>55</v>
      </c>
      <c r="B491" s="167" t="s">
        <v>55</v>
      </c>
      <c r="C491" s="167">
        <v>4057126</v>
      </c>
      <c r="D491" s="167" t="s">
        <v>137</v>
      </c>
      <c r="G491" s="168" t="s">
        <v>462</v>
      </c>
      <c r="H491" s="169">
        <v>2021</v>
      </c>
      <c r="I491" s="170"/>
      <c r="J491" s="166">
        <f>IFERROR(INDEX('Labor Expenditures'!$E$7:$X$91,MATCH($C491,'Labor Expenditures'!$D$7:$D$91,0),MATCH($G491,'Labor Expenditures'!$E$5:$X$5,0)),"NA")</f>
        <v>152313.30507658049</v>
      </c>
      <c r="K491" s="166">
        <f t="shared" si="1359"/>
        <v>1047.0067370790889</v>
      </c>
      <c r="L491" s="171">
        <f t="shared" si="1366"/>
        <v>5.7322406831921024E-2</v>
      </c>
      <c r="M491" s="172">
        <f t="shared" si="1370"/>
        <v>2.1654117903061485E-3</v>
      </c>
      <c r="N491" s="196"/>
      <c r="O491" s="172"/>
      <c r="P491" s="166">
        <f>IFERROR(INDEX('Non-Labor Expenditures'!$E$7:$AB$91,MATCH($C491,'Non-Labor Expenditures'!$D$7:$D$91,0),MATCH($G491,'Non-Labor Expenditures'!$E$5:$AB$5,0)),"NA")</f>
        <v>214706.70715614362</v>
      </c>
      <c r="Q491" s="166">
        <f t="shared" si="1360"/>
        <v>1812.0238598712433</v>
      </c>
      <c r="R491" s="172">
        <f t="shared" si="1371"/>
        <v>2.3553539201784678E-2</v>
      </c>
      <c r="S491" s="172">
        <f t="shared" si="1376"/>
        <v>8.8975872280681358E-4</v>
      </c>
      <c r="T491" s="172"/>
      <c r="U491" s="172"/>
      <c r="V491" s="166">
        <f t="shared" si="1341"/>
        <v>190116.71552095798</v>
      </c>
      <c r="W491" s="170"/>
      <c r="X491" s="174">
        <v>10128.546755795946</v>
      </c>
      <c r="Y491" s="175"/>
      <c r="Z491" s="175">
        <f t="shared" si="1377"/>
        <v>0</v>
      </c>
      <c r="AA491" s="175"/>
      <c r="AB491" s="175"/>
      <c r="AC491" s="170">
        <f t="shared" si="1278"/>
        <v>557136.72775368206</v>
      </c>
      <c r="AD491" s="175">
        <f t="shared" si="1372"/>
        <v>4.6163531024505766E-2</v>
      </c>
      <c r="AE491" s="118"/>
      <c r="AF491" s="119"/>
      <c r="AG491" s="121">
        <f t="shared" si="1373"/>
        <v>424.7414270201005</v>
      </c>
      <c r="AH491" s="119">
        <f>+AZ491/$BB$59</f>
        <v>3.3654098017144793E-2</v>
      </c>
      <c r="AI491" s="119"/>
      <c r="AJ491" s="176">
        <f t="shared" si="1378"/>
        <v>14.294289616876414</v>
      </c>
      <c r="AK491" s="176">
        <f t="shared" si="1379"/>
        <v>0</v>
      </c>
      <c r="AL491" s="120">
        <f t="shared" si="1361"/>
        <v>0.27338586291141148</v>
      </c>
      <c r="AM491" s="120">
        <f t="shared" si="1362"/>
        <v>0.38537525253777283</v>
      </c>
      <c r="AN491" s="120">
        <f t="shared" si="1363"/>
        <v>0.34123888455081575</v>
      </c>
      <c r="AO491" s="120">
        <f t="shared" si="1367"/>
        <v>2.430658582787637E-2</v>
      </c>
      <c r="AP491" s="173">
        <f t="shared" si="1383"/>
        <v>113.24149795526162</v>
      </c>
      <c r="AQ491" s="175">
        <f t="shared" si="1384"/>
        <v>2.430658582787645E-2</v>
      </c>
      <c r="AR491" s="177">
        <f>+AC491/$AE$59</f>
        <v>3.7776009591772755E-2</v>
      </c>
      <c r="AS491" s="177">
        <f t="shared" si="1380"/>
        <v>9.1820581937710844E-4</v>
      </c>
      <c r="AT491" s="177"/>
      <c r="AU491" s="177"/>
      <c r="AV491" s="177"/>
      <c r="AW491" s="190"/>
      <c r="AX491" s="120"/>
      <c r="AY491" s="120"/>
      <c r="AZ491" s="118">
        <f>INDEX('Total Customers'!$E$7:$E$91,MATCH(Calculation!$C491,'Total Customers'!$D$7:$D$91,0))</f>
        <v>1311708</v>
      </c>
      <c r="BA491" s="119">
        <f t="shared" si="1342"/>
        <v>1.0598711178288867E-2</v>
      </c>
      <c r="BB491" s="118"/>
      <c r="BC491" s="121"/>
      <c r="BD491" s="118"/>
      <c r="BE491" s="119"/>
      <c r="BF491" s="119"/>
      <c r="BG491" s="173"/>
      <c r="BH491" s="173"/>
      <c r="BI491" s="173"/>
      <c r="BJ491" s="173"/>
      <c r="BK491" s="173"/>
      <c r="BL491" s="173"/>
      <c r="BM491" s="173"/>
      <c r="BN491" s="173"/>
      <c r="BO491" s="173"/>
      <c r="BP491" s="173"/>
      <c r="BQ491" s="118"/>
      <c r="BR491" s="118"/>
      <c r="BS491" s="118">
        <f>INDEX('Dist. Plant Gas Additions'!$E$7:$AE$91,MATCH($C491,'Dist. Plant Gas Additions'!$D$7:$D$91,0),MATCH(Calculation!$G491,'Dist. Plant Gas Additions'!$E$5:$AE$5,0))</f>
        <v>409680</v>
      </c>
      <c r="BT491" s="118">
        <f>INDEX('Gen. Plant Additions'!$E$7:$AE$91,MATCH($C491,'Gen. Plant Additions'!$D$7:$D$91,0),MATCH(Calculation!$G491,'Gen. Plant Additions'!$E$5:$AE$5,0))</f>
        <v>41106</v>
      </c>
      <c r="BU491" s="118"/>
      <c r="BV491" s="118"/>
      <c r="BW491" s="118"/>
      <c r="BX491" s="118"/>
      <c r="BY491" s="183"/>
      <c r="BZ491" s="183"/>
      <c r="CA491" s="178"/>
      <c r="CB491" s="184"/>
      <c r="CC491" s="185"/>
      <c r="CD491" s="185"/>
      <c r="CE491" s="118"/>
      <c r="CF491" s="118"/>
      <c r="CG491" s="118"/>
      <c r="CH491" s="118"/>
      <c r="CI491" s="121">
        <v>2021</v>
      </c>
      <c r="CJ491" s="118"/>
      <c r="CK491" s="118"/>
      <c r="CL491" s="118"/>
      <c r="CM491" s="183"/>
      <c r="CN491" s="118">
        <f t="shared" si="1343"/>
        <v>450786</v>
      </c>
      <c r="CO491" s="118">
        <f t="shared" si="1344"/>
        <v>483.14590524717687</v>
      </c>
      <c r="CP491" s="186">
        <f>+(51-23)/(51-23*0.75)</f>
        <v>0.82962962962962961</v>
      </c>
      <c r="CQ491" s="118">
        <f>CQ468*CP491+CO469*CP490+CO470*CP489+CO471*CP488+CO472*CP487+CO473*CP486+CO474*CP485+CO475*CP484+CO476*CP483+CO477*CP482+CO478*CP481+CO479*CP480+CO480*CP479+CO481*CP478+CO482*CP477+CO473*CP476+CO484*CP475+CO485*CP474+CO486*CP473+CO487*CP472+CO488*CP471+CO489*CP470+CO491+CO490*CP469</f>
        <v>10128.546755795946</v>
      </c>
      <c r="CR491" s="119"/>
      <c r="CS491" s="118"/>
      <c r="CT491" s="177">
        <f t="shared" si="1346"/>
        <v>2.0304616618355809E-2</v>
      </c>
      <c r="CU491" s="177">
        <f t="shared" si="1354"/>
        <v>1.3074306525778833E-2</v>
      </c>
      <c r="CV491" s="119">
        <f>VLOOKUP($H491,RoR!$E:$F,2,FALSE)</f>
        <v>2.7033333333333336E-2</v>
      </c>
      <c r="CW491" s="177"/>
      <c r="CX491" s="177"/>
      <c r="CY491" s="177">
        <f t="shared" si="1355"/>
        <v>1.7827635082754791E-2</v>
      </c>
      <c r="CZ491" s="177">
        <f t="shared" si="1356"/>
        <v>7.433422950153494E-2</v>
      </c>
      <c r="DA491" s="187">
        <f t="shared" si="1347"/>
        <v>0.92125000000000001</v>
      </c>
      <c r="DB491" s="188">
        <f t="shared" si="1348"/>
        <v>1.8969932656739068</v>
      </c>
      <c r="DC491" s="188">
        <f t="shared" si="1349"/>
        <v>5.0215782983970621E-2</v>
      </c>
      <c r="DD491" s="188">
        <f t="shared" si="1350"/>
        <v>0.655952481704143</v>
      </c>
      <c r="DE491" s="188">
        <f t="shared" si="1351"/>
        <v>6.2485378865697057E-2</v>
      </c>
      <c r="DF491" s="189">
        <f>DF490</f>
        <v>0.20999999999999996</v>
      </c>
      <c r="DG491" s="189">
        <v>0.375</v>
      </c>
      <c r="DH491" s="190">
        <f t="shared" si="1353"/>
        <v>19.310391697092296</v>
      </c>
      <c r="DI491" s="190"/>
      <c r="DJ491" s="177">
        <f t="shared" ref="DJ491" si="1412">LN(DH491/DH490)</f>
        <v>-5.4135780609163027E-2</v>
      </c>
      <c r="DK491" s="189">
        <f>VLOOKUP($H491,RoR!$E:$F,2,FALSE)</f>
        <v>2.7033333333333336E-2</v>
      </c>
      <c r="DL491" s="191">
        <f>HLOOKUP($H491,'GDP-PI'!$D$8:$CR$11,3,FALSE)</f>
        <v>4.2834637353352578E-2</v>
      </c>
      <c r="DM491" s="189">
        <f>VLOOKUP(H491,'HW Dx Data'!$E:$F,2,FALSE)</f>
        <v>933.02249921662576</v>
      </c>
      <c r="DN491" s="183">
        <f>VLOOKUP(H491,'ECI - Input Price'!$G$17:$H$37,2,FALSE)</f>
        <v>145.47500000000002</v>
      </c>
      <c r="DO491" s="177">
        <f t="shared" ref="DO491" si="1413">LN(DN491/DN490)</f>
        <v>3.5152696992481205E-2</v>
      </c>
      <c r="DP491" s="183">
        <f>HLOOKUP(H491,'GDP-PI'!$8:$9,2,FALSE)</f>
        <v>118.49</v>
      </c>
      <c r="DQ491" s="177">
        <f t="shared" ref="DQ491" si="1414">LN(DP491/DP490)</f>
        <v>4.194261824609434E-2</v>
      </c>
    </row>
    <row r="492" spans="1:121" s="167" customFormat="1" ht="21" x14ac:dyDescent="0.35">
      <c r="A492" s="167" t="s">
        <v>57</v>
      </c>
      <c r="B492" s="168" t="s">
        <v>57</v>
      </c>
      <c r="C492" s="168">
        <v>4057079</v>
      </c>
      <c r="D492" s="168" t="s">
        <v>138</v>
      </c>
      <c r="E492" s="168"/>
      <c r="F492" s="168"/>
      <c r="G492" s="168" t="s">
        <v>4</v>
      </c>
      <c r="H492" s="169">
        <v>1998</v>
      </c>
      <c r="I492" s="170"/>
      <c r="J492" s="166"/>
      <c r="K492" s="166"/>
      <c r="L492" s="166"/>
      <c r="M492" s="166"/>
      <c r="N492" s="196"/>
      <c r="O492" s="166"/>
      <c r="P492" s="172"/>
      <c r="Q492" s="172"/>
      <c r="R492" s="172"/>
      <c r="S492" s="166"/>
      <c r="T492" s="172"/>
      <c r="U492" s="172"/>
      <c r="V492" s="166"/>
      <c r="W492" s="170"/>
      <c r="X492" s="174">
        <v>2007.9720756433521</v>
      </c>
      <c r="Y492" s="175"/>
      <c r="Z492" s="166"/>
      <c r="AA492" s="175"/>
      <c r="AB492" s="175"/>
      <c r="AC492" s="170">
        <f t="shared" si="1278"/>
        <v>0</v>
      </c>
      <c r="AD492" s="170"/>
      <c r="AE492" s="170"/>
      <c r="AF492" s="119"/>
      <c r="AG492" s="174"/>
      <c r="AH492" s="175"/>
      <c r="AI492" s="175"/>
      <c r="AJ492" s="174"/>
      <c r="AK492" s="174"/>
      <c r="AL492" s="120"/>
      <c r="AM492" s="120"/>
      <c r="AN492" s="120"/>
      <c r="AO492" s="120"/>
      <c r="AP492" s="120"/>
      <c r="AQ492" s="175">
        <f>AVERAGE(AQ501:AQ515)</f>
        <v>5.0424700019841952E-3</v>
      </c>
      <c r="AR492" s="120"/>
      <c r="AS492" s="120"/>
      <c r="AT492" s="120"/>
      <c r="AU492" s="120"/>
      <c r="AV492" s="120"/>
      <c r="AW492" s="120"/>
      <c r="AX492" s="120"/>
      <c r="AY492" s="120"/>
      <c r="AZ492" s="118">
        <f>IFERROR(INDEX('Total Customers'!$F$7:$AB$91,MATCH($C492,'Total Customers'!$D$7:$D$91,0),MATCH($G492,'Total Customers'!$F$5:$AB$5,0)),"NA")</f>
        <v>377204</v>
      </c>
      <c r="BA492" s="119"/>
      <c r="BB492" s="119"/>
      <c r="BC492" s="121"/>
      <c r="BD492" s="119"/>
      <c r="BE492" s="119"/>
      <c r="BF492" s="119"/>
      <c r="BG492" s="173"/>
      <c r="BH492" s="173"/>
      <c r="BI492" s="173"/>
      <c r="BJ492" s="173"/>
      <c r="BK492" s="173"/>
      <c r="BL492" s="173"/>
      <c r="BM492" s="173"/>
      <c r="BN492" s="173"/>
      <c r="BO492" s="173"/>
      <c r="BP492" s="173"/>
      <c r="BQ492" s="118">
        <f>INDEX('Gross Dx Plant'!$E$7:$AD$91,MATCH($C492,'Gross Dx Plant'!$D$7:$D$91,0),MATCH(Calculation!$G492,'Gross Dx Plant'!$E$5:$AD$5,0))</f>
        <v>571940</v>
      </c>
      <c r="BR492" s="118">
        <f>INDEX('Gross Gen Plant'!$E$7:$AD$91,MATCH($C492,'Gross Gen Plant'!$D$7:$D$91,0),MATCH(Calculation!$G492,'Gross Gen Plant'!$E$5:$AD$5,0))</f>
        <v>12794</v>
      </c>
      <c r="BS492" s="118">
        <f>INDEX('Dist. Plant Gas Additions'!$F$7:$AE$91,MATCH($C492,'Dist. Plant Gas Additions'!$D$7:$D$91,0),MATCH(Calculation!$G492,'Dist. Plant Gas Additions'!$F$5:$AE$5,0))</f>
        <v>29962</v>
      </c>
      <c r="BT492" s="118">
        <f>INDEX('Gen. Plant Additions'!$F$7:$AE$91,MATCH($C492,'Gen. Plant Additions'!$D$7:$D$91,0),MATCH(Calculation!$G492,'Gen. Plant Additions'!$F$5:$AE$5,0))</f>
        <v>489</v>
      </c>
      <c r="BU492" s="118" t="e">
        <f>INDEX('Dist Plant Depreciation'!$E$7:$AA$94,MATCH($C492,'Dist Plant Depreciation'!$D$7:$D$94,0),MATCH(#REF!,'Dist Plant Depreciation'!$E$5:$AA$5,0))</f>
        <v>#REF!</v>
      </c>
      <c r="BV492" s="118" t="e">
        <f>INDEX('Gen. Plant Depreciation'!$E$7:$AA$94,MATCH($C492,'Gen. Plant Depreciation'!$D$7:$D$94,0),MATCH(#REF!,'Gen. Plant Depreciation'!$E$5:$AA$5,0))</f>
        <v>#REF!</v>
      </c>
      <c r="BW492" s="118">
        <f>INDEX('Dist Plant Depreciation'!$E$7:$AD$94,MATCH($C492,'Dist Plant Depreciation'!$D$7:$D$94,0),MATCH(Calculation!$G492,'Dist Plant Depreciation'!$E$5:$AD$5,0))</f>
        <v>175009</v>
      </c>
      <c r="BX492" s="118">
        <f>INDEX('Gen. Plant Depreciation'!$E$7:$AD$94,MATCH($C492,'Gen. Plant Depreciation'!$D$7:$D$94,0),MATCH(Calculation!$G492,'Gen. Plant Depreciation'!$E$5:$AD$5,0))</f>
        <v>4678</v>
      </c>
      <c r="BY492" s="118"/>
      <c r="BZ492" s="118"/>
      <c r="CA492" s="118"/>
      <c r="CB492" s="118"/>
      <c r="CC492" s="118"/>
      <c r="CD492" s="118"/>
      <c r="CE492" s="118">
        <f>INDEX('Gross Dx Plant'!$E$7:$AD$91,MATCH($C492,'Gross Dx Plant'!$D$7:$D$91,0),MATCH(Calculation!$G492,'Gross Dx Plant'!$E$5:$AD$5,0))</f>
        <v>571940</v>
      </c>
      <c r="CF492" s="118">
        <f>INDEX('Gross Gen Plant'!$E$7:$AD$91,MATCH($C492,'Gross Gen Plant'!$D$7:$D$91,0),MATCH(Calculation!$G492,'Gross Gen Plant'!$E$5:$AD$5,0))</f>
        <v>12794</v>
      </c>
      <c r="CG492" s="118">
        <f t="shared" si="1389"/>
        <v>405047</v>
      </c>
      <c r="CH492" s="118"/>
      <c r="CI492" s="121">
        <v>1998</v>
      </c>
      <c r="CJ492" s="118">
        <f>BQ492+BR492</f>
        <v>584734</v>
      </c>
      <c r="CK492" s="118">
        <f>175009+4678</f>
        <v>179687</v>
      </c>
      <c r="CL492" s="118">
        <f>+CJ492-CK492</f>
        <v>405047</v>
      </c>
      <c r="CM492" s="118">
        <f>CL492/$CD$36</f>
        <v>2007.9720756433521</v>
      </c>
      <c r="CN492" s="183"/>
      <c r="CO492" s="183"/>
      <c r="CP492" s="186">
        <v>1</v>
      </c>
      <c r="CQ492" s="118">
        <f>+CM492</f>
        <v>2007.9720756433521</v>
      </c>
      <c r="CR492" s="119"/>
      <c r="CS492" s="119"/>
      <c r="CT492" s="177"/>
      <c r="CU492" s="177"/>
      <c r="CV492" s="119" t="e">
        <f>VLOOKUP($H492,RoR!$E:$F,2,FALSE)</f>
        <v>#N/A</v>
      </c>
      <c r="CW492" s="177">
        <v>1.1028127770464469E-2</v>
      </c>
      <c r="CX492" s="177"/>
      <c r="CY492" s="177"/>
      <c r="CZ492" s="177"/>
      <c r="DA492" s="187"/>
      <c r="DB492" s="190" t="e">
        <f>2/(DK492*39)</f>
        <v>#N/A</v>
      </c>
      <c r="DC492" s="188" t="e">
        <f>+(DK492*40-(1+DK492))/(DK492*40)</f>
        <v>#N/A</v>
      </c>
      <c r="DD492" s="188" t="e">
        <f>+(1-(1/(1+DK492)^40))</f>
        <v>#N/A</v>
      </c>
      <c r="DE492" s="188" t="e">
        <f>+DD492*DC492*DB492</f>
        <v>#N/A</v>
      </c>
      <c r="DF492" s="189">
        <f>INDEX('State Tax Lookup'!$D$7:$Z$91,MATCH(Calculation!$C492,'State Tax Lookup'!$B$7:$B$91,0),MATCH($H492,'State Tax Lookup'!$D$6:$Z$6,0))</f>
        <v>0.35</v>
      </c>
      <c r="DG492" s="189">
        <v>0.375</v>
      </c>
      <c r="DH492" s="183"/>
      <c r="DI492" s="183"/>
      <c r="DJ492" s="177"/>
      <c r="DK492" s="189" t="e">
        <f>VLOOKUP($H492,RoR!$E:$F,2,FALSE)</f>
        <v>#N/A</v>
      </c>
      <c r="DL492" s="191">
        <f>HLOOKUP($H492,'GDP-PI'!$D$8:$CQ$11,3,FALSE)</f>
        <v>1.1028127770464469E-2</v>
      </c>
      <c r="DM492" s="189">
        <f>VLOOKUP(H492,'HW Dx Data'!$E:$F,2,FALSE)</f>
        <v>329.24564746449528</v>
      </c>
      <c r="DN492" s="183" t="e">
        <f>VLOOKUP(H492,'ECI - Input Price'!$G$17:$H$37,2,FALSE)</f>
        <v>#N/A</v>
      </c>
      <c r="DO492" s="177"/>
      <c r="DP492" s="183">
        <f>HLOOKUP(H492,'GDP-PI'!$8:$9,2,FALSE)</f>
        <v>75.266999999999996</v>
      </c>
    </row>
    <row r="493" spans="1:121" s="167" customFormat="1" ht="21" x14ac:dyDescent="0.35">
      <c r="A493" s="167" t="s">
        <v>57</v>
      </c>
      <c r="B493" s="168" t="s">
        <v>57</v>
      </c>
      <c r="C493" s="168">
        <v>4057079</v>
      </c>
      <c r="D493" s="168" t="s">
        <v>138</v>
      </c>
      <c r="E493" s="168"/>
      <c r="F493" s="168"/>
      <c r="G493" s="168" t="s">
        <v>5</v>
      </c>
      <c r="H493" s="169">
        <v>1999</v>
      </c>
      <c r="I493" s="170"/>
      <c r="J493" s="166"/>
      <c r="K493" s="170"/>
      <c r="L493" s="170"/>
      <c r="M493" s="166"/>
      <c r="N493" s="173"/>
      <c r="O493" s="170"/>
      <c r="P493" s="177"/>
      <c r="Q493" s="177"/>
      <c r="R493" s="177"/>
      <c r="S493" s="195"/>
      <c r="T493" s="177"/>
      <c r="U493" s="177"/>
      <c r="V493" s="166">
        <f t="shared" ref="V493:V515" si="1415">+CQ492*DH493</f>
        <v>0</v>
      </c>
      <c r="W493" s="170"/>
      <c r="X493" s="174">
        <v>2087.5818092375625</v>
      </c>
      <c r="Y493" s="175">
        <v>3.8881071848215355E-2</v>
      </c>
      <c r="Z493" s="175"/>
      <c r="AA493" s="175"/>
      <c r="AB493" s="175"/>
      <c r="AC493" s="170">
        <f t="shared" si="1278"/>
        <v>0</v>
      </c>
      <c r="AD493" s="175"/>
      <c r="AE493" s="170"/>
      <c r="AF493" s="119"/>
      <c r="AG493" s="174"/>
      <c r="AH493" s="175"/>
      <c r="AI493" s="175"/>
      <c r="AJ493" s="174"/>
      <c r="AK493" s="174"/>
      <c r="AL493" s="120"/>
      <c r="AM493" s="120"/>
      <c r="AN493" s="120"/>
      <c r="AO493" s="120"/>
      <c r="AP493" s="120"/>
      <c r="AQ493" s="175"/>
      <c r="AR493" s="120"/>
      <c r="AS493" s="120"/>
      <c r="AT493" s="120"/>
      <c r="AU493" s="120"/>
      <c r="AV493" s="120"/>
      <c r="AW493" s="120"/>
      <c r="AX493" s="120"/>
      <c r="AY493" s="120"/>
      <c r="AZ493" s="118">
        <f>IFERROR(INDEX('Total Customers'!$F$7:$AB$91,MATCH($C493,'Total Customers'!$D$7:$D$91,0),MATCH($G493,'Total Customers'!$F$5:$AB$5,0)),"NA")</f>
        <v>384716</v>
      </c>
      <c r="BA493" s="119">
        <f t="shared" ref="BA493:BA515" si="1416">LN(AZ493/AZ492)</f>
        <v>1.9719244586440702E-2</v>
      </c>
      <c r="BB493" s="119"/>
      <c r="BC493" s="121"/>
      <c r="BD493" s="119"/>
      <c r="BE493" s="119"/>
      <c r="BF493" s="119"/>
      <c r="BG493" s="173"/>
      <c r="BH493" s="173"/>
      <c r="BI493" s="173"/>
      <c r="BJ493" s="173"/>
      <c r="BK493" s="173"/>
      <c r="BL493" s="173"/>
      <c r="BM493" s="173"/>
      <c r="BN493" s="173"/>
      <c r="BO493" s="173"/>
      <c r="BP493" s="173"/>
      <c r="BQ493" s="118"/>
      <c r="BR493" s="118"/>
      <c r="BS493" s="118">
        <f>INDEX('Dist. Plant Gas Additions'!$F$7:$AE$91,MATCH($C493,'Dist. Plant Gas Additions'!$D$7:$D$91,0),MATCH(Calculation!$G493,'Dist. Plant Gas Additions'!$F$5:$AE$5,0))</f>
        <v>29583</v>
      </c>
      <c r="BT493" s="118">
        <f>INDEX('Gen. Plant Additions'!$F$7:$AE$91,MATCH($C493,'Gen. Plant Additions'!$D$7:$D$91,0),MATCH(Calculation!$G493,'Gen. Plant Additions'!$F$5:$AE$5,0))</f>
        <v>462</v>
      </c>
      <c r="BU493" s="118"/>
      <c r="BV493" s="118"/>
      <c r="BW493" s="118">
        <f>INDEX('Dist Plant Depreciation'!$E$7:$AD$94,MATCH($C493,'Dist Plant Depreciation'!$D$7:$D$94,0),MATCH(Calculation!$G493,'Dist Plant Depreciation'!$E$5:$AD$5,0))</f>
        <v>188930</v>
      </c>
      <c r="BX493" s="118">
        <f>INDEX('Gen. Plant Depreciation'!$E$7:$AD$94,MATCH($C493,'Gen. Plant Depreciation'!$D$7:$D$94,0),MATCH(Calculation!$G493,'Gen. Plant Depreciation'!$E$5:$AD$5,0))</f>
        <v>4720</v>
      </c>
      <c r="BY493" s="118"/>
      <c r="BZ493" s="118"/>
      <c r="CA493" s="118"/>
      <c r="CB493" s="118"/>
      <c r="CC493" s="118"/>
      <c r="CD493" s="118"/>
      <c r="CE493" s="118">
        <f>INDEX('Gross Dx Plant'!$E$7:$AD$91,MATCH($C493,'Gross Dx Plant'!$D$7:$D$91,0),MATCH(Calculation!$G493,'Gross Dx Plant'!$E$5:$AD$5,0))</f>
        <v>599560</v>
      </c>
      <c r="CF493" s="118">
        <f>INDEX('Gross Gen Plant'!$E$7:$AD$91,MATCH($C493,'Gross Gen Plant'!$D$7:$D$91,0),MATCH(Calculation!$G493,'Gross Gen Plant'!$E$5:$AD$5,0))</f>
        <v>12337</v>
      </c>
      <c r="CG493" s="118">
        <f t="shared" si="1389"/>
        <v>418247</v>
      </c>
      <c r="CH493" s="118"/>
      <c r="CI493" s="121">
        <v>1999</v>
      </c>
      <c r="CJ493" s="118"/>
      <c r="CK493" s="118"/>
      <c r="CL493" s="118"/>
      <c r="CM493" s="183"/>
      <c r="CN493" s="118">
        <f t="shared" ref="CN493:CN515" si="1417">+BT493+BS493</f>
        <v>30045</v>
      </c>
      <c r="CO493" s="118">
        <f t="shared" ref="CO493:CO515" si="1418">+CN493/$DM493</f>
        <v>89.599644418306966</v>
      </c>
      <c r="CP493" s="186">
        <v>0.99502487562189057</v>
      </c>
      <c r="CQ493" s="118">
        <f>+CQ492*CP493+CO493</f>
        <v>2087.5818092375625</v>
      </c>
      <c r="CR493" s="119">
        <f t="shared" ref="CR493:CR514" si="1419">LN(CQ493/CQ492)</f>
        <v>3.8881071848215355E-2</v>
      </c>
      <c r="CS493" s="119"/>
      <c r="CT493" s="177">
        <f t="shared" ref="CT493:CT515" si="1420">+(CQ492-CQ493+CO493)/CQ492</f>
        <v>4.9751243781095897E-3</v>
      </c>
      <c r="CU493" s="177"/>
      <c r="CV493" s="119">
        <f>VLOOKUP($H493,RoR!$E:$F,2,FALSE)</f>
        <v>7.0416666666666669E-2</v>
      </c>
      <c r="CW493" s="177">
        <v>1.4335631817396832E-2</v>
      </c>
      <c r="CX493" s="177">
        <f>+CV493-CW493</f>
        <v>5.6081034849269837E-2</v>
      </c>
      <c r="CY493" s="177"/>
      <c r="CZ493" s="177"/>
      <c r="DA493" s="187">
        <f t="shared" ref="DA493:DA515" si="1421">1-DF493*DG493</f>
        <v>0.86875000000000002</v>
      </c>
      <c r="DB493" s="188">
        <f t="shared" ref="DB493:DB515" si="1422">2/(DK493*39)</f>
        <v>0.72826581702321336</v>
      </c>
      <c r="DC493" s="188">
        <f t="shared" ref="DC493:DC515" si="1423">+(DK493*40-(1+DK493))/(DK493*40)</f>
        <v>0.61997041420118348</v>
      </c>
      <c r="DD493" s="188">
        <f t="shared" ref="DD493:DD515" si="1424">+(1-(1/(1+DK493)^40))</f>
        <v>0.93425155319585029</v>
      </c>
      <c r="DE493" s="188">
        <f t="shared" ref="DE493:DE515" si="1425">+DD493*DC493*DB493</f>
        <v>0.42181762214141483</v>
      </c>
      <c r="DF493" s="189">
        <f>INDEX('State Tax Lookup'!$D$7:$Z$91,MATCH(Calculation!$C493,'State Tax Lookup'!$B$7:$B$91,0),MATCH($H493,'State Tax Lookup'!$D$6:$Z$6,0))</f>
        <v>0.35</v>
      </c>
      <c r="DG493" s="189">
        <v>0.375</v>
      </c>
      <c r="DH493" s="190"/>
      <c r="DI493" s="190"/>
      <c r="DJ493" s="177"/>
      <c r="DK493" s="189">
        <f>VLOOKUP($H493,RoR!$E:$F,2,FALSE)</f>
        <v>7.0416666666666669E-2</v>
      </c>
      <c r="DL493" s="191">
        <f>HLOOKUP($H493,'GDP-PI'!$D$8:$CQ$11,3,FALSE)</f>
        <v>1.4335631817396832E-2</v>
      </c>
      <c r="DM493" s="189">
        <f>VLOOKUP(H493,'HW Dx Data'!$E:$F,2,FALSE)</f>
        <v>335.32499146683239</v>
      </c>
      <c r="DN493" s="183" t="e">
        <f>VLOOKUP(H493,'ECI - Input Price'!$G$17:$H$37,2,FALSE)</f>
        <v>#N/A</v>
      </c>
      <c r="DO493" s="177"/>
      <c r="DP493" s="183">
        <f>HLOOKUP(H493,'GDP-PI'!$8:$9,2,FALSE)</f>
        <v>76.346000000000004</v>
      </c>
    </row>
    <row r="494" spans="1:121" s="167" customFormat="1" ht="21" x14ac:dyDescent="0.35">
      <c r="A494" s="167" t="s">
        <v>57</v>
      </c>
      <c r="B494" s="168" t="s">
        <v>57</v>
      </c>
      <c r="C494" s="168">
        <v>4057079</v>
      </c>
      <c r="D494" s="168" t="s">
        <v>138</v>
      </c>
      <c r="E494" s="168"/>
      <c r="F494" s="168"/>
      <c r="G494" s="168" t="s">
        <v>6</v>
      </c>
      <c r="H494" s="169">
        <v>2000</v>
      </c>
      <c r="I494" s="170"/>
      <c r="J494" s="166"/>
      <c r="K494" s="166"/>
      <c r="L494" s="166"/>
      <c r="M494" s="166"/>
      <c r="N494" s="196"/>
      <c r="O494" s="166"/>
      <c r="P494" s="166"/>
      <c r="Q494" s="166"/>
      <c r="R494" s="166"/>
      <c r="S494" s="166"/>
      <c r="T494" s="166"/>
      <c r="U494" s="166"/>
      <c r="V494" s="166">
        <f t="shared" si="1415"/>
        <v>0</v>
      </c>
      <c r="W494" s="170"/>
      <c r="X494" s="174">
        <v>2156.8991063325689</v>
      </c>
      <c r="Y494" s="175">
        <v>3.2665224287658383E-2</v>
      </c>
      <c r="Z494" s="175"/>
      <c r="AA494" s="175"/>
      <c r="AB494" s="175"/>
      <c r="AC494" s="170">
        <f t="shared" si="1278"/>
        <v>0</v>
      </c>
      <c r="AD494" s="175"/>
      <c r="AE494" s="170"/>
      <c r="AF494" s="170"/>
      <c r="AG494" s="174"/>
      <c r="AH494" s="175"/>
      <c r="AI494" s="175"/>
      <c r="AJ494" s="174"/>
      <c r="AK494" s="174"/>
      <c r="AL494" s="120"/>
      <c r="AM494" s="120"/>
      <c r="AN494" s="120"/>
      <c r="AO494" s="120"/>
      <c r="AP494" s="120"/>
      <c r="AQ494" s="175"/>
      <c r="AR494" s="120"/>
      <c r="AS494" s="120"/>
      <c r="AT494" s="120"/>
      <c r="AU494" s="120"/>
      <c r="AV494" s="120"/>
      <c r="AW494" s="120"/>
      <c r="AX494" s="120"/>
      <c r="AY494" s="120"/>
      <c r="AZ494" s="118">
        <f>IFERROR(INDEX('Total Customers'!$F$7:$AB$91,MATCH($C494,'Total Customers'!$D$7:$D$91,0),MATCH($G494,'Total Customers'!$F$5:$AB$5,0)),"NA")</f>
        <v>393674</v>
      </c>
      <c r="BA494" s="119">
        <f t="shared" si="1416"/>
        <v>2.3017755893479059E-2</v>
      </c>
      <c r="BB494" s="119"/>
      <c r="BC494" s="121"/>
      <c r="BD494" s="119"/>
      <c r="BE494" s="119"/>
      <c r="BF494" s="119"/>
      <c r="BG494" s="173"/>
      <c r="BH494" s="173"/>
      <c r="BI494" s="173"/>
      <c r="BJ494" s="173"/>
      <c r="BK494" s="173"/>
      <c r="BL494" s="173"/>
      <c r="BM494" s="173"/>
      <c r="BN494" s="173"/>
      <c r="BO494" s="173"/>
      <c r="BP494" s="173"/>
      <c r="BQ494" s="118"/>
      <c r="BR494" s="118"/>
      <c r="BS494" s="118">
        <f>INDEX('Dist. Plant Gas Additions'!$F$7:$AE$91,MATCH($C494,'Dist. Plant Gas Additions'!$D$7:$D$91,0),MATCH(Calculation!$G494,'Dist. Plant Gas Additions'!$F$5:$AE$5,0))</f>
        <v>26924</v>
      </c>
      <c r="BT494" s="118">
        <f>INDEX('Gen. Plant Additions'!$F$7:$AE$91,MATCH($C494,'Gen. Plant Additions'!$D$7:$D$91,0),MATCH(Calculation!$G494,'Gen. Plant Additions'!$F$5:$AE$5,0))</f>
        <v>818</v>
      </c>
      <c r="BU494" s="118"/>
      <c r="BV494" s="118"/>
      <c r="BW494" s="118">
        <f>INDEX('Dist Plant Depreciation'!$E$7:$AD$94,MATCH($C494,'Dist Plant Depreciation'!$D$7:$D$94,0),MATCH(Calculation!$G494,'Dist Plant Depreciation'!$E$5:$AD$5,0))</f>
        <v>204271</v>
      </c>
      <c r="BX494" s="118">
        <f>INDEX('Gen. Plant Depreciation'!$E$7:$AD$94,MATCH($C494,'Gen. Plant Depreciation'!$D$7:$D$94,0),MATCH(Calculation!$G494,'Gen. Plant Depreciation'!$E$5:$AD$5,0))</f>
        <v>4910</v>
      </c>
      <c r="BY494" s="118"/>
      <c r="BZ494" s="118"/>
      <c r="CA494" s="118"/>
      <c r="CB494" s="118"/>
      <c r="CC494" s="118"/>
      <c r="CD494" s="118"/>
      <c r="CE494" s="118">
        <f>INDEX('Gross Dx Plant'!$E$7:$AD$91,MATCH($C494,'Gross Dx Plant'!$D$7:$D$91,0),MATCH(Calculation!$G494,'Gross Dx Plant'!$E$5:$AD$5,0))</f>
        <v>625993</v>
      </c>
      <c r="CF494" s="118">
        <f>INDEX('Gross Gen Plant'!$E$7:$AD$91,MATCH($C494,'Gross Gen Plant'!$D$7:$D$91,0),MATCH(Calculation!$G494,'Gross Gen Plant'!$E$5:$AD$5,0))</f>
        <v>13855</v>
      </c>
      <c r="CG494" s="118">
        <f t="shared" si="1389"/>
        <v>430667</v>
      </c>
      <c r="CH494" s="118"/>
      <c r="CI494" s="121">
        <v>2000</v>
      </c>
      <c r="CJ494" s="118"/>
      <c r="CK494" s="118"/>
      <c r="CL494" s="118"/>
      <c r="CM494" s="183"/>
      <c r="CN494" s="118">
        <f t="shared" si="1417"/>
        <v>27742</v>
      </c>
      <c r="CO494" s="118">
        <f t="shared" si="1418"/>
        <v>80.05570186474516</v>
      </c>
      <c r="CP494" s="186">
        <v>0.98989898989898994</v>
      </c>
      <c r="CQ494" s="118">
        <f>+CQ492*CP494+CO493*CP493+CO494</f>
        <v>2156.8991063325689</v>
      </c>
      <c r="CR494" s="119">
        <f t="shared" si="1419"/>
        <v>3.2665224287658383E-2</v>
      </c>
      <c r="CS494" s="119"/>
      <c r="CT494" s="177">
        <f t="shared" si="1420"/>
        <v>5.1439444060210372E-3</v>
      </c>
      <c r="CU494" s="177"/>
      <c r="CV494" s="119">
        <f>VLOOKUP($H494,RoR!$E:$F,2,FALSE)</f>
        <v>7.6225000000000001E-2</v>
      </c>
      <c r="CW494" s="177">
        <v>2.2568307442433211E-2</v>
      </c>
      <c r="CX494" s="177">
        <f t="shared" ref="CX494:CX514" si="1426">+CV494-CW494</f>
        <v>5.365669255756679E-2</v>
      </c>
      <c r="CY494" s="177"/>
      <c r="CZ494" s="177"/>
      <c r="DA494" s="187">
        <f t="shared" si="1421"/>
        <v>0.86875000000000002</v>
      </c>
      <c r="DB494" s="188">
        <f t="shared" si="1422"/>
        <v>0.67277207323124022</v>
      </c>
      <c r="DC494" s="188">
        <f t="shared" si="1423"/>
        <v>0.6470236142997704</v>
      </c>
      <c r="DD494" s="188">
        <f t="shared" si="1424"/>
        <v>0.94704866037543145</v>
      </c>
      <c r="DE494" s="188">
        <f t="shared" si="1425"/>
        <v>0.41224973107878493</v>
      </c>
      <c r="DF494" s="189">
        <f>INDEX('State Tax Lookup'!$D$7:$Z$91,MATCH(Calculation!$C494,'State Tax Lookup'!$B$7:$B$91,0),MATCH($H494,'State Tax Lookup'!$D$6:$Z$6,0))</f>
        <v>0.35</v>
      </c>
      <c r="DG494" s="189">
        <v>0.375</v>
      </c>
      <c r="DH494" s="190"/>
      <c r="DI494" s="190"/>
      <c r="DJ494" s="177"/>
      <c r="DK494" s="189">
        <f>VLOOKUP($H494,RoR!$E:$F,2,FALSE)</f>
        <v>7.6225000000000001E-2</v>
      </c>
      <c r="DL494" s="191">
        <f>HLOOKUP($H494,'GDP-PI'!$D$8:$CQ$11,3,FALSE)</f>
        <v>2.2568307442433211E-2</v>
      </c>
      <c r="DM494" s="189">
        <f>VLOOKUP(H494,'HW Dx Data'!$E:$F,2,FALSE)</f>
        <v>346.53371782150339</v>
      </c>
      <c r="DN494" s="183" t="e">
        <f>VLOOKUP(H494,'ECI - Input Price'!$G$17:$H$37,2,FALSE)</f>
        <v>#N/A</v>
      </c>
      <c r="DO494" s="177"/>
      <c r="DP494" s="183">
        <f>HLOOKUP(H494,'GDP-PI'!$8:$9,2,FALSE)</f>
        <v>78.069000000000003</v>
      </c>
    </row>
    <row r="495" spans="1:121" s="167" customFormat="1" ht="21" x14ac:dyDescent="0.35">
      <c r="A495" s="167" t="s">
        <v>57</v>
      </c>
      <c r="B495" s="168" t="s">
        <v>57</v>
      </c>
      <c r="C495" s="168">
        <v>4057079</v>
      </c>
      <c r="D495" s="168" t="s">
        <v>138</v>
      </c>
      <c r="E495" s="168"/>
      <c r="F495" s="168"/>
      <c r="G495" s="168" t="s">
        <v>7</v>
      </c>
      <c r="H495" s="169">
        <v>2001</v>
      </c>
      <c r="I495" s="170"/>
      <c r="J495" s="166"/>
      <c r="K495" s="166"/>
      <c r="L495" s="166"/>
      <c r="M495" s="166"/>
      <c r="N495" s="196"/>
      <c r="O495" s="166"/>
      <c r="P495" s="166"/>
      <c r="Q495" s="166"/>
      <c r="R495" s="166"/>
      <c r="S495" s="166"/>
      <c r="T495" s="166"/>
      <c r="U495" s="166"/>
      <c r="V495" s="166">
        <f t="shared" si="1415"/>
        <v>26237.548601987899</v>
      </c>
      <c r="W495" s="170"/>
      <c r="X495" s="174">
        <v>2294.2118485550677</v>
      </c>
      <c r="Y495" s="175">
        <v>6.171777210452821E-2</v>
      </c>
      <c r="Z495" s="175"/>
      <c r="AA495" s="175"/>
      <c r="AB495" s="175"/>
      <c r="AC495" s="170">
        <f t="shared" si="1278"/>
        <v>26237.548601987899</v>
      </c>
      <c r="AD495" s="175"/>
      <c r="AE495" s="170"/>
      <c r="AF495" s="170"/>
      <c r="AG495" s="174"/>
      <c r="AH495" s="175"/>
      <c r="AI495" s="175"/>
      <c r="AJ495" s="174"/>
      <c r="AK495" s="174"/>
      <c r="AL495" s="120"/>
      <c r="AM495" s="120"/>
      <c r="AN495" s="120"/>
      <c r="AO495" s="120"/>
      <c r="AP495" s="120"/>
      <c r="AQ495" s="175"/>
      <c r="AR495" s="120"/>
      <c r="AS495" s="120"/>
      <c r="AT495" s="120"/>
      <c r="AU495" s="120"/>
      <c r="AV495" s="120"/>
      <c r="AW495" s="120"/>
      <c r="AX495" s="120"/>
      <c r="AY495" s="120"/>
      <c r="AZ495" s="118">
        <f>IFERROR(INDEX('Total Customers'!$F$7:$AB$91,MATCH($C495,'Total Customers'!$D$7:$D$91,0),MATCH($G495,'Total Customers'!$F$5:$AB$5,0)),"NA")</f>
        <v>403688</v>
      </c>
      <c r="BA495" s="119">
        <f t="shared" si="1416"/>
        <v>2.5119146736882317E-2</v>
      </c>
      <c r="BB495" s="119"/>
      <c r="BC495" s="121"/>
      <c r="BD495" s="119"/>
      <c r="BE495" s="119"/>
      <c r="BF495" s="119"/>
      <c r="BG495" s="173"/>
      <c r="BH495" s="173"/>
      <c r="BI495" s="173"/>
      <c r="BJ495" s="173"/>
      <c r="BK495" s="173"/>
      <c r="BL495" s="173"/>
      <c r="BM495" s="173"/>
      <c r="BN495" s="173"/>
      <c r="BO495" s="173"/>
      <c r="BP495" s="173"/>
      <c r="BQ495" s="118"/>
      <c r="BR495" s="118"/>
      <c r="BS495" s="118">
        <f>INDEX('Dist. Plant Gas Additions'!$F$7:$AE$91,MATCH($C495,'Dist. Plant Gas Additions'!$D$7:$D$91,0),MATCH(Calculation!$G495,'Dist. Plant Gas Additions'!$F$5:$AE$5,0))</f>
        <v>51387</v>
      </c>
      <c r="BT495" s="118">
        <f>INDEX('Gen. Plant Additions'!$F$7:$AE$91,MATCH($C495,'Gen. Plant Additions'!$D$7:$D$91,0),MATCH(Calculation!$G495,'Gen. Plant Additions'!$F$5:$AE$5,0))</f>
        <v>1058</v>
      </c>
      <c r="BU495" s="118"/>
      <c r="BV495" s="118"/>
      <c r="BW495" s="118">
        <f>INDEX('Dist Plant Depreciation'!$E$7:$AD$94,MATCH($C495,'Dist Plant Depreciation'!$D$7:$D$94,0),MATCH(Calculation!$G495,'Dist Plant Depreciation'!$E$5:$AD$5,0))</f>
        <v>217180</v>
      </c>
      <c r="BX495" s="118">
        <f>INDEX('Gen. Plant Depreciation'!$E$7:$AD$94,MATCH($C495,'Gen. Plant Depreciation'!$D$7:$D$94,0),MATCH(Calculation!$G495,'Gen. Plant Depreciation'!$E$5:$AD$5,0))</f>
        <v>2856</v>
      </c>
      <c r="BY495" s="118"/>
      <c r="BZ495" s="118"/>
      <c r="CA495" s="118"/>
      <c r="CB495" s="118"/>
      <c r="CC495" s="118"/>
      <c r="CD495" s="118"/>
      <c r="CE495" s="118">
        <f>INDEX('Gross Dx Plant'!$E$7:$AD$91,MATCH($C495,'Gross Dx Plant'!$D$7:$D$91,0),MATCH(Calculation!$G495,'Gross Dx Plant'!$E$5:$AD$5,0))</f>
        <v>673780</v>
      </c>
      <c r="CF495" s="118">
        <f>INDEX('Gross Gen Plant'!$E$7:$AD$91,MATCH($C495,'Gross Gen Plant'!$D$7:$D$91,0),MATCH(Calculation!$G495,'Gross Gen Plant'!$E$5:$AD$5,0))</f>
        <v>11930</v>
      </c>
      <c r="CG495" s="118">
        <f t="shared" si="1389"/>
        <v>465674</v>
      </c>
      <c r="CH495" s="118"/>
      <c r="CI495" s="121">
        <v>2001</v>
      </c>
      <c r="CJ495" s="118"/>
      <c r="CK495" s="118"/>
      <c r="CL495" s="118"/>
      <c r="CM495" s="183"/>
      <c r="CN495" s="118">
        <f t="shared" si="1417"/>
        <v>52445</v>
      </c>
      <c r="CO495" s="118">
        <f t="shared" si="1418"/>
        <v>148.38135162880053</v>
      </c>
      <c r="CP495" s="186">
        <v>0.98461538461538467</v>
      </c>
      <c r="CQ495" s="118">
        <f>+CQ492*CP495+CO493*CP494+CO494*CP492+CO495</f>
        <v>2294.2118485550677</v>
      </c>
      <c r="CR495" s="119">
        <f t="shared" si="1419"/>
        <v>6.171777210452821E-2</v>
      </c>
      <c r="CS495" s="119"/>
      <c r="CT495" s="177">
        <f t="shared" si="1420"/>
        <v>5.1317233030532972E-3</v>
      </c>
      <c r="CU495" s="177">
        <f>+(CT495+CT494+CT493)/3</f>
        <v>5.0835973623946417E-3</v>
      </c>
      <c r="CV495" s="119">
        <f>VLOOKUP($H495,RoR!$E:$F,2,FALSE)</f>
        <v>7.0824999999999999E-2</v>
      </c>
      <c r="CW495" s="177">
        <v>2.2454495382290052E-2</v>
      </c>
      <c r="CX495" s="177">
        <f t="shared" si="1426"/>
        <v>4.8370504617709947E-2</v>
      </c>
      <c r="CY495" s="177">
        <f>+$CX$35-CU495</f>
        <v>2.5818344246138984E-2</v>
      </c>
      <c r="CZ495" s="177">
        <f>+((DM493/DM492-1)+(DM494/DM493-1)+(DM495/DM494-1))/3</f>
        <v>2.3947275901631187E-2</v>
      </c>
      <c r="DA495" s="187">
        <f t="shared" si="1421"/>
        <v>0.86875000000000002</v>
      </c>
      <c r="DB495" s="188">
        <f t="shared" si="1422"/>
        <v>0.72406708481540816</v>
      </c>
      <c r="DC495" s="188">
        <f t="shared" si="1423"/>
        <v>0.62201729615248857</v>
      </c>
      <c r="DD495" s="188">
        <f t="shared" si="1424"/>
        <v>0.9352469954311422</v>
      </c>
      <c r="DE495" s="188">
        <f t="shared" si="1425"/>
        <v>0.42121864641655071</v>
      </c>
      <c r="DF495" s="189">
        <f>INDEX('State Tax Lookup'!$D$7:$Z$91,MATCH(Calculation!$C495,'State Tax Lookup'!$B$7:$B$91,0),MATCH($H495,'State Tax Lookup'!$D$6:$Z$6,0))</f>
        <v>0.35</v>
      </c>
      <c r="DG495" s="189">
        <v>0.375</v>
      </c>
      <c r="DH495" s="190">
        <f t="shared" ref="DH495:DH515" si="1427">+(DM495*CY495-CZ495)*DA495/(1-DF495)</f>
        <v>12.164476551061435</v>
      </c>
      <c r="DI495" s="190"/>
      <c r="DJ495" s="177"/>
      <c r="DK495" s="189">
        <f>VLOOKUP($H495,RoR!$E:$F,2,FALSE)</f>
        <v>7.0824999999999999E-2</v>
      </c>
      <c r="DL495" s="191">
        <f>HLOOKUP($H495,'GDP-PI'!$D$8:$CQ$11,3,FALSE)</f>
        <v>2.2454495382290052E-2</v>
      </c>
      <c r="DM495" s="189">
        <f>VLOOKUP(H495,'HW Dx Data'!$E:$F,2,FALSE)</f>
        <v>353.44738017483138</v>
      </c>
      <c r="DN495" s="183">
        <f>VLOOKUP(H495,'ECI - Input Price'!$G$17:$H$37,2,FALSE)</f>
        <v>86.2</v>
      </c>
      <c r="DO495" s="177"/>
      <c r="DP495" s="183">
        <f>HLOOKUP(H495,'GDP-PI'!$8:$9,2,FALSE)</f>
        <v>79.822000000000003</v>
      </c>
    </row>
    <row r="496" spans="1:121" s="167" customFormat="1" ht="21" x14ac:dyDescent="0.35">
      <c r="A496" s="167" t="s">
        <v>57</v>
      </c>
      <c r="B496" s="168" t="s">
        <v>57</v>
      </c>
      <c r="C496" s="168">
        <v>4057079</v>
      </c>
      <c r="D496" s="168" t="s">
        <v>138</v>
      </c>
      <c r="E496" s="168"/>
      <c r="F496" s="168"/>
      <c r="G496" s="168" t="s">
        <v>8</v>
      </c>
      <c r="H496" s="169">
        <v>2002</v>
      </c>
      <c r="I496" s="170"/>
      <c r="J496" s="166"/>
      <c r="K496" s="166"/>
      <c r="L496" s="166"/>
      <c r="M496" s="166"/>
      <c r="N496" s="196"/>
      <c r="O496" s="166"/>
      <c r="P496" s="166"/>
      <c r="Q496" s="166"/>
      <c r="R496" s="166"/>
      <c r="S496" s="166"/>
      <c r="T496" s="166"/>
      <c r="U496" s="166"/>
      <c r="V496" s="166">
        <f t="shared" si="1415"/>
        <v>28280.322841427907</v>
      </c>
      <c r="W496" s="170"/>
      <c r="X496" s="174">
        <v>2459.1290138936838</v>
      </c>
      <c r="Y496" s="175">
        <v>6.9417864436562324E-2</v>
      </c>
      <c r="Z496" s="175"/>
      <c r="AA496" s="175"/>
      <c r="AB496" s="175"/>
      <c r="AC496" s="170">
        <f t="shared" si="1278"/>
        <v>28280.322841427907</v>
      </c>
      <c r="AD496" s="175"/>
      <c r="AE496" s="170"/>
      <c r="AF496" s="170"/>
      <c r="AG496" s="174"/>
      <c r="AH496" s="175"/>
      <c r="AI496" s="175"/>
      <c r="AJ496" s="174"/>
      <c r="AK496" s="174"/>
      <c r="AL496" s="120"/>
      <c r="AM496" s="120"/>
      <c r="AN496" s="120"/>
      <c r="AO496" s="120"/>
      <c r="AP496" s="120"/>
      <c r="AQ496" s="175"/>
      <c r="AR496" s="120"/>
      <c r="AS496" s="120"/>
      <c r="AT496" s="120"/>
      <c r="AU496" s="120"/>
      <c r="AV496" s="120"/>
      <c r="AW496" s="120"/>
      <c r="AX496" s="120"/>
      <c r="AY496" s="120"/>
      <c r="AZ496" s="118">
        <f>IFERROR(INDEX('Total Customers'!$F$7:$AB$91,MATCH($C496,'Total Customers'!$D$7:$D$91,0),MATCH($G496,'Total Customers'!$F$5:$AB$5,0)),"NA")</f>
        <v>405745</v>
      </c>
      <c r="BA496" s="119">
        <f t="shared" si="1416"/>
        <v>5.0825810861221104E-3</v>
      </c>
      <c r="BB496" s="119"/>
      <c r="BC496" s="121"/>
      <c r="BD496" s="119"/>
      <c r="BE496" s="119"/>
      <c r="BF496" s="119"/>
      <c r="BG496" s="173"/>
      <c r="BH496" s="173"/>
      <c r="BI496" s="173"/>
      <c r="BJ496" s="173"/>
      <c r="BK496" s="173"/>
      <c r="BL496" s="173"/>
      <c r="BM496" s="173"/>
      <c r="BN496" s="173"/>
      <c r="BO496" s="173"/>
      <c r="BP496" s="173"/>
      <c r="BQ496" s="118"/>
      <c r="BR496" s="118"/>
      <c r="BS496" s="118">
        <f>INDEX('Dist. Plant Gas Additions'!$F$7:$AE$91,MATCH($C496,'Dist. Plant Gas Additions'!$D$7:$D$91,0),MATCH(Calculation!$G496,'Dist. Plant Gas Additions'!$F$5:$AE$5,0))</f>
        <v>64139</v>
      </c>
      <c r="BT496" s="118">
        <f>INDEX('Gen. Plant Additions'!$F$7:$AE$91,MATCH($C496,'Gen. Plant Additions'!$D$7:$D$91,0),MATCH(Calculation!$G496,'Gen. Plant Additions'!$F$5:$AE$5,0))</f>
        <v>137</v>
      </c>
      <c r="BU496" s="118"/>
      <c r="BV496" s="118"/>
      <c r="BW496" s="118">
        <f>INDEX('Dist Plant Depreciation'!$E$7:$AD$94,MATCH($C496,'Dist Plant Depreciation'!$D$7:$D$94,0),MATCH(Calculation!$G496,'Dist Plant Depreciation'!$E$5:$AD$5,0))</f>
        <v>228812</v>
      </c>
      <c r="BX496" s="118">
        <f>INDEX('Gen. Plant Depreciation'!$E$7:$AD$94,MATCH($C496,'Gen. Plant Depreciation'!$D$7:$D$94,0),MATCH(Calculation!$G496,'Gen. Plant Depreciation'!$E$5:$AD$5,0))</f>
        <v>2037</v>
      </c>
      <c r="BY496" s="118"/>
      <c r="BZ496" s="118"/>
      <c r="CA496" s="118"/>
      <c r="CB496" s="118"/>
      <c r="CC496" s="118"/>
      <c r="CD496" s="118"/>
      <c r="CE496" s="118">
        <f>INDEX('Gross Dx Plant'!$E$7:$AD$91,MATCH($C496,'Gross Dx Plant'!$D$7:$D$91,0),MATCH(Calculation!$G496,'Gross Dx Plant'!$E$5:$AD$5,0))</f>
        <v>731835</v>
      </c>
      <c r="CF496" s="118">
        <f>INDEX('Gross Gen Plant'!$E$7:$AD$91,MATCH($C496,'Gross Gen Plant'!$D$7:$D$91,0),MATCH(Calculation!$G496,'Gross Gen Plant'!$E$5:$AD$5,0))</f>
        <v>10565</v>
      </c>
      <c r="CG496" s="118">
        <f t="shared" si="1389"/>
        <v>511551</v>
      </c>
      <c r="CH496" s="118"/>
      <c r="CI496" s="121">
        <v>2002</v>
      </c>
      <c r="CJ496" s="118"/>
      <c r="CK496" s="118"/>
      <c r="CL496" s="118"/>
      <c r="CM496" s="183"/>
      <c r="CN496" s="118">
        <f t="shared" si="1417"/>
        <v>64276</v>
      </c>
      <c r="CO496" s="118">
        <f t="shared" si="1418"/>
        <v>177.87830711528073</v>
      </c>
      <c r="CP496" s="186">
        <v>0.97916666666666663</v>
      </c>
      <c r="CQ496" s="118">
        <f>+CQ492*CP496+CO493*CP495+CO494*CP494+CO495*CP493+CO496</f>
        <v>2459.1290138936838</v>
      </c>
      <c r="CR496" s="119">
        <f t="shared" si="1419"/>
        <v>6.9417864436562324E-2</v>
      </c>
      <c r="CS496" s="119"/>
      <c r="CT496" s="177">
        <f t="shared" si="1420"/>
        <v>5.6494964860493539E-3</v>
      </c>
      <c r="CU496" s="177">
        <f t="shared" ref="CU496:CU515" si="1428">+(CT496+CT495+CT494)/3</f>
        <v>5.3083880650412292E-3</v>
      </c>
      <c r="CV496" s="119">
        <f>VLOOKUP($H496,RoR!$E:$F,2,FALSE)</f>
        <v>6.4916666666666664E-2</v>
      </c>
      <c r="CW496" s="177">
        <v>1.5246423291824351E-2</v>
      </c>
      <c r="CX496" s="177">
        <f t="shared" si="1426"/>
        <v>4.9670243374842313E-2</v>
      </c>
      <c r="CY496" s="177">
        <f t="shared" ref="CY496:CY515" si="1429">+$CX$35-CU496</f>
        <v>2.5593553543492395E-2</v>
      </c>
      <c r="CZ496" s="177">
        <f t="shared" ref="CZ496:CZ515" si="1430">+((DM494/DM493-1)+(DM495/DM494-1)+(DM496/DM495-1))/3</f>
        <v>2.5243621214759093E-2</v>
      </c>
      <c r="DA496" s="187">
        <f t="shared" si="1421"/>
        <v>0.86875000000000002</v>
      </c>
      <c r="DB496" s="188">
        <f t="shared" si="1422"/>
        <v>0.78996741384417901</v>
      </c>
      <c r="DC496" s="188">
        <f t="shared" si="1423"/>
        <v>0.58989088575096271</v>
      </c>
      <c r="DD496" s="188">
        <f t="shared" si="1424"/>
        <v>0.91920675783645744</v>
      </c>
      <c r="DE496" s="188">
        <f t="shared" si="1425"/>
        <v>0.42834536472275586</v>
      </c>
      <c r="DF496" s="189">
        <f>INDEX('State Tax Lookup'!$D$7:$Z$91,MATCH(Calculation!$C496,'State Tax Lookup'!$B$7:$B$91,0),MATCH($H496,'State Tax Lookup'!$D$6:$Z$6,0))</f>
        <v>0.35</v>
      </c>
      <c r="DG496" s="189">
        <v>0.375</v>
      </c>
      <c r="DH496" s="190">
        <f t="shared" si="1427"/>
        <v>12.326814046941358</v>
      </c>
      <c r="DI496" s="190"/>
      <c r="DJ496" s="177"/>
      <c r="DK496" s="189">
        <f>VLOOKUP($H496,RoR!$E:$F,2,FALSE)</f>
        <v>6.4916666666666664E-2</v>
      </c>
      <c r="DL496" s="191">
        <f>HLOOKUP($H496,'GDP-PI'!$D$8:$CQ$11,3,FALSE)</f>
        <v>1.5246423291824351E-2</v>
      </c>
      <c r="DM496" s="189">
        <f>VLOOKUP(H496,'HW Dx Data'!$E:$F,2,FALSE)</f>
        <v>361.34816573413599</v>
      </c>
      <c r="DN496" s="183">
        <f>VLOOKUP(H496,'ECI - Input Price'!$G$17:$H$37,2,FALSE)</f>
        <v>89.275000000000006</v>
      </c>
      <c r="DO496" s="177">
        <f>LN(DN496/DN495)</f>
        <v>3.5051315810864674E-2</v>
      </c>
      <c r="DP496" s="183">
        <f>HLOOKUP(H496,'GDP-PI'!$8:$9,2,FALSE)</f>
        <v>81.039000000000001</v>
      </c>
      <c r="DQ496" s="177">
        <f>LN(DP496/DP495)</f>
        <v>1.513136459537477E-2</v>
      </c>
    </row>
    <row r="497" spans="1:121" s="167" customFormat="1" ht="21" x14ac:dyDescent="0.35">
      <c r="A497" s="167" t="s">
        <v>57</v>
      </c>
      <c r="B497" s="168" t="s">
        <v>57</v>
      </c>
      <c r="C497" s="168">
        <v>4057079</v>
      </c>
      <c r="D497" s="168" t="s">
        <v>138</v>
      </c>
      <c r="E497" s="168"/>
      <c r="F497" s="168"/>
      <c r="G497" s="168" t="s">
        <v>9</v>
      </c>
      <c r="H497" s="169">
        <v>2003</v>
      </c>
      <c r="I497" s="170"/>
      <c r="J497" s="166"/>
      <c r="K497" s="166"/>
      <c r="L497" s="166"/>
      <c r="M497" s="172"/>
      <c r="N497" s="196"/>
      <c r="O497" s="172"/>
      <c r="P497" s="166"/>
      <c r="Q497" s="166"/>
      <c r="R497" s="166"/>
      <c r="S497" s="166"/>
      <c r="T497" s="166"/>
      <c r="U497" s="166"/>
      <c r="V497" s="166">
        <f t="shared" si="1415"/>
        <v>30792.577751329398</v>
      </c>
      <c r="W497" s="170"/>
      <c r="X497" s="174">
        <v>2673.7414355715778</v>
      </c>
      <c r="Y497" s="175">
        <v>8.3671550399428668E-2</v>
      </c>
      <c r="Z497" s="175"/>
      <c r="AA497" s="175"/>
      <c r="AB497" s="175"/>
      <c r="AC497" s="170">
        <f t="shared" si="1278"/>
        <v>30792.577751329398</v>
      </c>
      <c r="AD497" s="175"/>
      <c r="AE497" s="170"/>
      <c r="AF497" s="170"/>
      <c r="AG497" s="174"/>
      <c r="AH497" s="175"/>
      <c r="AI497" s="175"/>
      <c r="AJ497" s="174"/>
      <c r="AK497" s="174"/>
      <c r="AL497" s="120"/>
      <c r="AM497" s="120"/>
      <c r="AN497" s="120"/>
      <c r="AO497" s="120"/>
      <c r="AP497" s="120"/>
      <c r="AQ497" s="175"/>
      <c r="AR497" s="120"/>
      <c r="AS497" s="120"/>
      <c r="AT497" s="120"/>
      <c r="AU497" s="120"/>
      <c r="AV497" s="120"/>
      <c r="AW497" s="120"/>
      <c r="AX497" s="120"/>
      <c r="AY497" s="120"/>
      <c r="AZ497" s="118">
        <f>IFERROR(INDEX('Total Customers'!$F$7:$AB$91,MATCH($C497,'Total Customers'!$D$7:$D$91,0),MATCH($G497,'Total Customers'!$F$5:$AB$5,0)),"NA")</f>
        <v>409932</v>
      </c>
      <c r="BA497" s="119">
        <f t="shared" si="1416"/>
        <v>1.0266408824707564E-2</v>
      </c>
      <c r="BB497" s="119"/>
      <c r="BC497" s="121"/>
      <c r="BD497" s="119"/>
      <c r="BE497" s="119"/>
      <c r="BF497" s="119"/>
      <c r="BG497" s="173"/>
      <c r="BH497" s="173"/>
      <c r="BI497" s="173"/>
      <c r="BJ497" s="173"/>
      <c r="BK497" s="173"/>
      <c r="BL497" s="173"/>
      <c r="BM497" s="173"/>
      <c r="BN497" s="173"/>
      <c r="BO497" s="173"/>
      <c r="BP497" s="173"/>
      <c r="BQ497" s="118"/>
      <c r="BR497" s="118"/>
      <c r="BS497" s="118">
        <f>INDEX('Dist. Plant Gas Additions'!$F$7:$AE$91,MATCH($C497,'Dist. Plant Gas Additions'!$D$7:$D$91,0),MATCH(Calculation!$G497,'Dist. Plant Gas Additions'!$F$5:$AE$5,0))</f>
        <v>84077</v>
      </c>
      <c r="BT497" s="118">
        <f>INDEX('Gen. Plant Additions'!$F$7:$AE$91,MATCH($C497,'Gen. Plant Additions'!$D$7:$D$91,0),MATCH(Calculation!$G497,'Gen. Plant Additions'!$F$5:$AE$5,0))</f>
        <v>277</v>
      </c>
      <c r="BU497" s="118"/>
      <c r="BV497" s="118"/>
      <c r="BW497" s="118">
        <f>INDEX('Dist Plant Depreciation'!$E$7:$AD$94,MATCH($C497,'Dist Plant Depreciation'!$D$7:$D$94,0),MATCH(Calculation!$G497,'Dist Plant Depreciation'!$E$5:$AD$5,0))</f>
        <v>241907</v>
      </c>
      <c r="BX497" s="118">
        <f>INDEX('Gen. Plant Depreciation'!$E$7:$AD$94,MATCH($C497,'Gen. Plant Depreciation'!$D$7:$D$94,0),MATCH(Calculation!$G497,'Gen. Plant Depreciation'!$E$5:$AD$5,0))</f>
        <v>1034</v>
      </c>
      <c r="BY497" s="118"/>
      <c r="BZ497" s="118"/>
      <c r="CA497" s="118"/>
      <c r="CB497" s="118"/>
      <c r="CC497" s="118"/>
      <c r="CD497" s="118"/>
      <c r="CE497" s="118">
        <f>INDEX('Gross Dx Plant'!$E$7:$AD$91,MATCH($C497,'Gross Dx Plant'!$D$7:$D$91,0),MATCH(Calculation!$G497,'Gross Dx Plant'!$E$5:$AD$5,0))</f>
        <v>809089</v>
      </c>
      <c r="CF497" s="118">
        <f>INDEX('Gross Gen Plant'!$E$7:$AD$91,MATCH($C497,'Gross Gen Plant'!$D$7:$D$91,0),MATCH(Calculation!$G497,'Gross Gen Plant'!$E$5:$AD$5,0))</f>
        <v>9063</v>
      </c>
      <c r="CG497" s="118">
        <f t="shared" si="1389"/>
        <v>575211</v>
      </c>
      <c r="CH497" s="118"/>
      <c r="CI497" s="121">
        <v>2003</v>
      </c>
      <c r="CJ497" s="118"/>
      <c r="CK497" s="118"/>
      <c r="CL497" s="118"/>
      <c r="CM497" s="183"/>
      <c r="CN497" s="118">
        <f t="shared" si="1417"/>
        <v>84354</v>
      </c>
      <c r="CO497" s="118">
        <f t="shared" si="1418"/>
        <v>228.45736295811068</v>
      </c>
      <c r="CP497" s="186">
        <v>0.97354497354497349</v>
      </c>
      <c r="CQ497" s="118">
        <f>+CQ492*CP497+CO493*CP496+CO494*CP495+CO495*CP494+CO496*CP493+CO497</f>
        <v>2673.7414355715778</v>
      </c>
      <c r="CR497" s="119">
        <f t="shared" si="1419"/>
        <v>8.3671550399428668E-2</v>
      </c>
      <c r="CS497" s="119"/>
      <c r="CT497" s="177">
        <f t="shared" si="1420"/>
        <v>5.6300182715079295E-3</v>
      </c>
      <c r="CU497" s="177">
        <f t="shared" si="1428"/>
        <v>5.4704126868701936E-3</v>
      </c>
      <c r="CV497" s="119">
        <f>VLOOKUP($H497,RoR!$E:$F,2,FALSE)</f>
        <v>5.6666666666666671E-2</v>
      </c>
      <c r="CW497" s="177">
        <v>1.8855119140166909E-2</v>
      </c>
      <c r="CX497" s="177">
        <f t="shared" si="1426"/>
        <v>3.7811547526499761E-2</v>
      </c>
      <c r="CY497" s="177">
        <f t="shared" si="1429"/>
        <v>2.5431528921663431E-2</v>
      </c>
      <c r="CZ497" s="177">
        <f t="shared" si="1430"/>
        <v>2.1375012817671957E-2</v>
      </c>
      <c r="DA497" s="187">
        <f t="shared" si="1421"/>
        <v>0.86875000000000002</v>
      </c>
      <c r="DB497" s="188">
        <f t="shared" si="1422"/>
        <v>0.90497737556561086</v>
      </c>
      <c r="DC497" s="188">
        <f t="shared" si="1423"/>
        <v>0.5338235294117647</v>
      </c>
      <c r="DD497" s="188">
        <f t="shared" si="1424"/>
        <v>0.88972433127405692</v>
      </c>
      <c r="DE497" s="188">
        <f t="shared" si="1425"/>
        <v>0.42982423775949252</v>
      </c>
      <c r="DF497" s="189">
        <f>INDEX('State Tax Lookup'!$D$7:$Z$91,MATCH(Calculation!$C497,'State Tax Lookup'!$B$7:$B$91,0),MATCH($H497,'State Tax Lookup'!$D$6:$Z$6,0))</f>
        <v>0.35</v>
      </c>
      <c r="DG497" s="189">
        <v>0.375</v>
      </c>
      <c r="DH497" s="190">
        <f t="shared" si="1427"/>
        <v>12.52174146917721</v>
      </c>
      <c r="DI497" s="190"/>
      <c r="DJ497" s="177"/>
      <c r="DK497" s="189">
        <f>VLOOKUP($H497,RoR!$E:$F,2,FALSE)</f>
        <v>5.6666666666666671E-2</v>
      </c>
      <c r="DL497" s="191">
        <f>HLOOKUP($H497,'GDP-PI'!$D$8:$CQ$11,3,FALSE)</f>
        <v>1.8855119140166909E-2</v>
      </c>
      <c r="DM497" s="189">
        <f>VLOOKUP(H497,'HW Dx Data'!$E:$F,2,FALSE)</f>
        <v>369.23301095560191</v>
      </c>
      <c r="DN497" s="183">
        <f>VLOOKUP(H497,'ECI - Input Price'!$G$17:$H$37,2,FALSE)</f>
        <v>92.625</v>
      </c>
      <c r="DO497" s="177">
        <f t="shared" ref="DO497" si="1431">LN(DN497/DN496)</f>
        <v>3.6837590135738785E-2</v>
      </c>
      <c r="DP497" s="183">
        <f>HLOOKUP(H497,'GDP-PI'!$8:$9,2,FALSE)</f>
        <v>82.566999999999993</v>
      </c>
      <c r="DQ497" s="177">
        <f t="shared" ref="DQ497" si="1432">LN(DP497/DP496)</f>
        <v>1.8679564681853753E-2</v>
      </c>
    </row>
    <row r="498" spans="1:121" s="167" customFormat="1" ht="21" x14ac:dyDescent="0.35">
      <c r="A498" s="167" t="s">
        <v>57</v>
      </c>
      <c r="B498" s="168" t="s">
        <v>57</v>
      </c>
      <c r="C498" s="168">
        <v>4057079</v>
      </c>
      <c r="D498" s="168" t="s">
        <v>138</v>
      </c>
      <c r="E498" s="168"/>
      <c r="F498" s="168"/>
      <c r="G498" s="168" t="s">
        <v>10</v>
      </c>
      <c r="H498" s="169">
        <v>2004</v>
      </c>
      <c r="I498" s="170"/>
      <c r="J498" s="166">
        <f>IFERROR(INDEX('Labor Expenditures'!$F$7:$X$91,MATCH($C498,'Labor Expenditures'!$D$7:$D$91,0),MATCH($G498,'Labor Expenditures'!$F$5:$X$5,0)),"NA")</f>
        <v>28828.133765959861</v>
      </c>
      <c r="K498" s="166">
        <f t="shared" ref="K498:K515" si="1433">+J498/DN498</f>
        <v>299.74664690366376</v>
      </c>
      <c r="L498" s="172"/>
      <c r="M498" s="172"/>
      <c r="N498" s="196"/>
      <c r="O498" s="172"/>
      <c r="P498" s="166">
        <f>IFERROR(INDEX('Non-Labor Expenditures'!$F$7:$AB$91,MATCH($C498,'Non-Labor Expenditures'!$D$7:$D$91,0),MATCH($G498,'Non-Labor Expenditures'!$F$5:$AB$5,0)),"NA")</f>
        <v>41748.522045782462</v>
      </c>
      <c r="Q498" s="166">
        <f t="shared" ref="Q498:Q515" si="1434">+P498/DP498</f>
        <v>492.44523397322962</v>
      </c>
      <c r="R498" s="166"/>
      <c r="S498" s="166"/>
      <c r="T498" s="166"/>
      <c r="U498" s="166"/>
      <c r="V498" s="166">
        <f t="shared" si="1415"/>
        <v>37190.568037851095</v>
      </c>
      <c r="W498" s="170"/>
      <c r="X498" s="174">
        <v>2865.5996697033343</v>
      </c>
      <c r="Y498" s="175">
        <v>6.9298858804584848E-2</v>
      </c>
      <c r="Z498" s="175"/>
      <c r="AA498" s="175"/>
      <c r="AB498" s="175"/>
      <c r="AC498" s="170">
        <f t="shared" si="1278"/>
        <v>107767.22384959343</v>
      </c>
      <c r="AD498" s="175"/>
      <c r="AE498" s="170"/>
      <c r="AF498" s="170"/>
      <c r="AG498" s="174"/>
      <c r="AH498" s="175"/>
      <c r="AI498" s="175"/>
      <c r="AJ498" s="174"/>
      <c r="AK498" s="174"/>
      <c r="AL498" s="120">
        <f t="shared" ref="AL498:AL515" si="1435">+J498/AC498</f>
        <v>0.26750372456651739</v>
      </c>
      <c r="AM498" s="120">
        <f t="shared" ref="AM498:AM515" si="1436">+P498/AC498</f>
        <v>0.38739535597622216</v>
      </c>
      <c r="AN498" s="120">
        <f t="shared" ref="AN498:AN515" si="1437">+V498/AC498</f>
        <v>0.3451009194572604</v>
      </c>
      <c r="AO498" s="120"/>
      <c r="AP498" s="120"/>
      <c r="AQ498" s="175"/>
      <c r="AR498" s="120"/>
      <c r="AS498" s="120"/>
      <c r="AT498" s="120"/>
      <c r="AU498" s="120"/>
      <c r="AV498" s="120"/>
      <c r="AW498" s="120"/>
      <c r="AX498" s="120"/>
      <c r="AY498" s="120"/>
      <c r="AZ498" s="118">
        <f>IFERROR(INDEX('Total Customers'!$F$7:$AB$91,MATCH($C498,'Total Customers'!$D$7:$D$91,0),MATCH($G498,'Total Customers'!$F$5:$AB$5,0)),"NA")</f>
        <v>414231</v>
      </c>
      <c r="BA498" s="119">
        <f t="shared" si="1416"/>
        <v>1.0432496947283187E-2</v>
      </c>
      <c r="BB498" s="119"/>
      <c r="BC498" s="121"/>
      <c r="BD498" s="119"/>
      <c r="BE498" s="119"/>
      <c r="BF498" s="119"/>
      <c r="BG498" s="173"/>
      <c r="BH498" s="173"/>
      <c r="BI498" s="173"/>
      <c r="BJ498" s="173"/>
      <c r="BK498" s="173"/>
      <c r="BL498" s="173"/>
      <c r="BM498" s="173"/>
      <c r="BN498" s="173"/>
      <c r="BO498" s="173"/>
      <c r="BP498" s="173"/>
      <c r="BQ498" s="118"/>
      <c r="BR498" s="118"/>
      <c r="BS498" s="118">
        <f>INDEX('Dist. Plant Gas Additions'!$F$7:$AE$91,MATCH($C498,'Dist. Plant Gas Additions'!$D$7:$D$91,0),MATCH(Calculation!$G498,'Dist. Plant Gas Additions'!$F$5:$AE$5,0))</f>
        <v>85199</v>
      </c>
      <c r="BT498" s="118">
        <f>INDEX('Gen. Plant Additions'!$F$7:$AE$91,MATCH($C498,'Gen. Plant Additions'!$D$7:$D$91,0),MATCH(Calculation!$G498,'Gen. Plant Additions'!$F$5:$AE$5,0))</f>
        <v>800</v>
      </c>
      <c r="BU498" s="118"/>
      <c r="BV498" s="118"/>
      <c r="BW498" s="118">
        <f>INDEX('Dist Plant Depreciation'!$E$7:$AD$94,MATCH($C498,'Dist Plant Depreciation'!$D$7:$D$94,0),MATCH(Calculation!$G498,'Dist Plant Depreciation'!$E$5:$AD$5,0))</f>
        <v>254562</v>
      </c>
      <c r="BX498" s="118">
        <f>INDEX('Gen. Plant Depreciation'!$E$7:$AD$94,MATCH($C498,'Gen. Plant Depreciation'!$D$7:$D$94,0),MATCH(Calculation!$G498,'Gen. Plant Depreciation'!$E$5:$AD$5,0))</f>
        <v>46</v>
      </c>
      <c r="BY498" s="118"/>
      <c r="BZ498" s="118"/>
      <c r="CA498" s="118"/>
      <c r="CB498" s="118"/>
      <c r="CC498" s="118"/>
      <c r="CD498" s="118"/>
      <c r="CE498" s="118">
        <f>INDEX('Gross Dx Plant'!$E$7:$AD$91,MATCH($C498,'Gross Dx Plant'!$D$7:$D$91,0),MATCH(Calculation!$G498,'Gross Dx Plant'!$E$5:$AD$5,0))</f>
        <v>884736</v>
      </c>
      <c r="CF498" s="118">
        <f>INDEX('Gross Gen Plant'!$E$7:$AD$91,MATCH($C498,'Gross Gen Plant'!$D$7:$D$91,0),MATCH(Calculation!$G498,'Gross Gen Plant'!$E$5:$AD$5,0))</f>
        <v>10476</v>
      </c>
      <c r="CG498" s="118">
        <f t="shared" si="1389"/>
        <v>640604</v>
      </c>
      <c r="CH498" s="118"/>
      <c r="CI498" s="121">
        <v>2004</v>
      </c>
      <c r="CJ498" s="118"/>
      <c r="CK498" s="118"/>
      <c r="CL498" s="118"/>
      <c r="CM498" s="183"/>
      <c r="CN498" s="118">
        <f t="shared" si="1417"/>
        <v>85999</v>
      </c>
      <c r="CO498" s="118">
        <f t="shared" si="1418"/>
        <v>207.28285132084889</v>
      </c>
      <c r="CP498" s="186">
        <v>0.967741935483871</v>
      </c>
      <c r="CQ498" s="118">
        <f>+CQ492*CP498+CO493*CP497+CO494*CP496+CO495*CP495+CO496*CP494+CO497*CP493+CO498</f>
        <v>2865.5996697033343</v>
      </c>
      <c r="CR498" s="119">
        <f t="shared" si="1419"/>
        <v>6.9298858804584848E-2</v>
      </c>
      <c r="CS498" s="119"/>
      <c r="CT498" s="177">
        <f t="shared" si="1420"/>
        <v>5.7689262633561318E-3</v>
      </c>
      <c r="CU498" s="177">
        <f t="shared" si="1428"/>
        <v>5.6828136736378045E-3</v>
      </c>
      <c r="CV498" s="119">
        <f>VLOOKUP($H498,RoR!$E:$F,2,FALSE)</f>
        <v>5.6283333333333331E-2</v>
      </c>
      <c r="CW498" s="177">
        <v>2.6778252812867276E-2</v>
      </c>
      <c r="CX498" s="177">
        <f t="shared" si="1426"/>
        <v>2.9505080520466055E-2</v>
      </c>
      <c r="CY498" s="177">
        <f t="shared" si="1429"/>
        <v>2.5219127934895821E-2</v>
      </c>
      <c r="CZ498" s="177">
        <f t="shared" si="1430"/>
        <v>5.5940039414565046E-2</v>
      </c>
      <c r="DA498" s="187">
        <f t="shared" si="1421"/>
        <v>0.86875000000000002</v>
      </c>
      <c r="DB498" s="188">
        <f t="shared" si="1422"/>
        <v>0.91114097628755619</v>
      </c>
      <c r="DC498" s="188">
        <f t="shared" si="1423"/>
        <v>0.53081877405981637</v>
      </c>
      <c r="DD498" s="188">
        <f t="shared" si="1424"/>
        <v>0.88811215519385678</v>
      </c>
      <c r="DE498" s="188">
        <f t="shared" si="1425"/>
        <v>0.42953609753547711</v>
      </c>
      <c r="DF498" s="189">
        <f>INDEX('State Tax Lookup'!$D$7:$Z$91,MATCH(Calculation!$C498,'State Tax Lookup'!$B$7:$B$91,0),MATCH($H498,'State Tax Lookup'!$D$6:$Z$6,0))</f>
        <v>0.35</v>
      </c>
      <c r="DG498" s="189">
        <v>0.375</v>
      </c>
      <c r="DH498" s="190">
        <f t="shared" si="1427"/>
        <v>13.909560417124142</v>
      </c>
      <c r="DI498" s="190"/>
      <c r="DJ498" s="177"/>
      <c r="DK498" s="189">
        <f>VLOOKUP($H498,RoR!$E:$F,2,FALSE)</f>
        <v>5.6283333333333331E-2</v>
      </c>
      <c r="DL498" s="191">
        <f>HLOOKUP($H498,'GDP-PI'!$D$8:$CQ$11,3,FALSE)</f>
        <v>2.6778252812867276E-2</v>
      </c>
      <c r="DM498" s="189">
        <f>VLOOKUP(H498,'HW Dx Data'!$E:$F,2,FALSE)</f>
        <v>414.88719135228365</v>
      </c>
      <c r="DN498" s="183">
        <f>VLOOKUP(H498,'ECI - Input Price'!$G$17:$H$37,2,FALSE)</f>
        <v>96.174999999999997</v>
      </c>
      <c r="DO498" s="177">
        <f t="shared" ref="DO498" si="1438">LN(DN498/DN497)</f>
        <v>3.7610365022107912E-2</v>
      </c>
      <c r="DP498" s="183">
        <f>HLOOKUP(H498,'GDP-PI'!$8:$9,2,FALSE)</f>
        <v>84.778000000000006</v>
      </c>
      <c r="DQ498" s="177">
        <f t="shared" ref="DQ498" si="1439">LN(DP498/DP497)</f>
        <v>2.6425990216022755E-2</v>
      </c>
    </row>
    <row r="499" spans="1:121" s="167" customFormat="1" ht="21" x14ac:dyDescent="0.35">
      <c r="A499" s="167" t="s">
        <v>57</v>
      </c>
      <c r="B499" s="168" t="s">
        <v>57</v>
      </c>
      <c r="C499" s="168">
        <v>4057079</v>
      </c>
      <c r="D499" s="168" t="s">
        <v>138</v>
      </c>
      <c r="E499" s="168"/>
      <c r="F499" s="168"/>
      <c r="G499" s="168" t="s">
        <v>11</v>
      </c>
      <c r="H499" s="169">
        <v>2005</v>
      </c>
      <c r="I499" s="170"/>
      <c r="J499" s="166">
        <f>IFERROR(INDEX('Labor Expenditures'!$F$7:$X$91,MATCH($C499,'Labor Expenditures'!$D$7:$D$91,0),MATCH($G499,'Labor Expenditures'!$F$5:$X$5,0)),"NA")</f>
        <v>31194.887542907843</v>
      </c>
      <c r="K499" s="166">
        <f t="shared" si="1433"/>
        <v>314.62317239443109</v>
      </c>
      <c r="L499" s="172">
        <f t="shared" ref="L499:L515" si="1440">LN(K499/K498)</f>
        <v>4.8438037065540444E-2</v>
      </c>
      <c r="M499" s="172"/>
      <c r="N499" s="196"/>
      <c r="O499" s="172"/>
      <c r="P499" s="166">
        <f>IFERROR(INDEX('Non-Labor Expenditures'!$F$7:$AB$91,MATCH($C499,'Non-Labor Expenditures'!$D$7:$D$91,0),MATCH($G499,'Non-Labor Expenditures'!$F$5:$AB$5,0)),"NA")</f>
        <v>45176.023563432711</v>
      </c>
      <c r="Q499" s="166">
        <f t="shared" si="1434"/>
        <v>516.8467464097007</v>
      </c>
      <c r="R499" s="172">
        <f>LN(Q499/Q498)</f>
        <v>4.8363147582252936E-2</v>
      </c>
      <c r="S499" s="172"/>
      <c r="T499" s="172"/>
      <c r="U499" s="172"/>
      <c r="V499" s="166">
        <f t="shared" si="1415"/>
        <v>44807.051068811685</v>
      </c>
      <c r="W499" s="170"/>
      <c r="X499" s="174">
        <v>3020.4479756462547</v>
      </c>
      <c r="Y499" s="175">
        <v>5.2627519631094959E-2</v>
      </c>
      <c r="Z499" s="175"/>
      <c r="AA499" s="175"/>
      <c r="AB499" s="175"/>
      <c r="AC499" s="170">
        <f t="shared" si="1278"/>
        <v>121177.96217515224</v>
      </c>
      <c r="AD499" s="175">
        <f>LN(AC499/AC498)</f>
        <v>0.11728666054264893</v>
      </c>
      <c r="AE499" s="170"/>
      <c r="AF499" s="170"/>
      <c r="AG499" s="121"/>
      <c r="AH499" s="119"/>
      <c r="AI499" s="119"/>
      <c r="AJ499" s="121"/>
      <c r="AK499" s="121"/>
      <c r="AL499" s="120">
        <f t="shared" si="1435"/>
        <v>0.25743036921035478</v>
      </c>
      <c r="AM499" s="120">
        <f t="shared" si="1436"/>
        <v>0.37280725597724351</v>
      </c>
      <c r="AN499" s="120">
        <f t="shared" si="1437"/>
        <v>0.36976237481240176</v>
      </c>
      <c r="AO499" s="120">
        <f t="shared" ref="AO499:AO515" si="1441">+(((AL499+AL498)/2)*L499+((AM498+AM499)/2)*R499+((AN498+AN499)/2)*Y499)</f>
        <v>4.9907025129187751E-2</v>
      </c>
      <c r="AP499" s="173">
        <v>100</v>
      </c>
      <c r="AQ499" s="175"/>
      <c r="AR499" s="120"/>
      <c r="AS499" s="120"/>
      <c r="AT499" s="120"/>
      <c r="AU499" s="120"/>
      <c r="AV499" s="120"/>
      <c r="AW499" s="120"/>
      <c r="AX499" s="120"/>
      <c r="AY499" s="120"/>
      <c r="AZ499" s="118">
        <f>IFERROR(INDEX('Total Customers'!$F$7:$AB$91,MATCH($C499,'Total Customers'!$D$7:$D$91,0),MATCH($G499,'Total Customers'!$F$5:$AB$5,0)),"NA")</f>
        <v>418167</v>
      </c>
      <c r="BA499" s="119">
        <f t="shared" si="1416"/>
        <v>9.4570850365193002E-3</v>
      </c>
      <c r="BB499" s="119"/>
      <c r="BC499" s="121"/>
      <c r="BD499" s="119"/>
      <c r="BE499" s="119"/>
      <c r="BF499" s="119"/>
      <c r="BG499" s="173"/>
      <c r="BH499" s="173"/>
      <c r="BI499" s="173"/>
      <c r="BJ499" s="173"/>
      <c r="BK499" s="173"/>
      <c r="BL499" s="173"/>
      <c r="BM499" s="173"/>
      <c r="BN499" s="173"/>
      <c r="BO499" s="173"/>
      <c r="BP499" s="173"/>
      <c r="BQ499" s="118"/>
      <c r="BR499" s="118"/>
      <c r="BS499" s="118">
        <f>INDEX('Dist. Plant Gas Additions'!$F$7:$AE$91,MATCH($C499,'Dist. Plant Gas Additions'!$D$7:$D$91,0),MATCH(Calculation!$G499,'Dist. Plant Gas Additions'!$F$5:$AE$5,0))</f>
        <v>80239</v>
      </c>
      <c r="BT499" s="118">
        <f>INDEX('Gen. Plant Additions'!$F$7:$AE$91,MATCH($C499,'Gen. Plant Additions'!$D$7:$D$91,0),MATCH(Calculation!$G499,'Gen. Plant Additions'!$F$5:$AE$5,0))</f>
        <v>372</v>
      </c>
      <c r="BU499" s="118"/>
      <c r="BV499" s="118"/>
      <c r="BW499" s="118">
        <f>INDEX('Dist Plant Depreciation'!$E$7:$AD$94,MATCH($C499,'Dist Plant Depreciation'!$D$7:$D$94,0),MATCH(Calculation!$G499,'Dist Plant Depreciation'!$E$5:$AD$5,0))</f>
        <v>269895</v>
      </c>
      <c r="BX499" s="118">
        <f>INDEX('Gen. Plant Depreciation'!$E$7:$AD$94,MATCH($C499,'Gen. Plant Depreciation'!$D$7:$D$94,0),MATCH(Calculation!$G499,'Gen. Plant Depreciation'!$E$5:$AD$5,0))</f>
        <v>398</v>
      </c>
      <c r="BY499" s="118"/>
      <c r="BZ499" s="118"/>
      <c r="CA499" s="118"/>
      <c r="CB499" s="118"/>
      <c r="CC499" s="118"/>
      <c r="CD499" s="118"/>
      <c r="CE499" s="118">
        <f>INDEX('Gross Dx Plant'!$E$7:$AD$91,MATCH($C499,'Gross Dx Plant'!$D$7:$D$91,0),MATCH(Calculation!$G499,'Gross Dx Plant'!$E$5:$AD$5,0))</f>
        <v>953899</v>
      </c>
      <c r="CF499" s="118">
        <f>INDEX('Gross Gen Plant'!$E$7:$AD$91,MATCH($C499,'Gross Gen Plant'!$D$7:$D$91,0),MATCH(Calculation!$G499,'Gross Gen Plant'!$E$5:$AD$5,0))</f>
        <v>10689</v>
      </c>
      <c r="CG499" s="118">
        <f t="shared" si="1389"/>
        <v>694295</v>
      </c>
      <c r="CH499" s="118"/>
      <c r="CI499" s="121">
        <v>2005</v>
      </c>
      <c r="CJ499" s="118"/>
      <c r="CK499" s="118"/>
      <c r="CL499" s="118"/>
      <c r="CM499" s="183"/>
      <c r="CN499" s="118">
        <f t="shared" si="1417"/>
        <v>80611</v>
      </c>
      <c r="CO499" s="118">
        <f t="shared" si="1418"/>
        <v>171.80331813922231</v>
      </c>
      <c r="CP499" s="186">
        <v>0.96174863387978138</v>
      </c>
      <c r="CQ499" s="118">
        <f>+CQ492*CP499+CO493*CP498+CO494*CP497+CO495*CP496+CO496*CP495+CO497*CP494+CO498*CP493+CO499</f>
        <v>3020.4479756462547</v>
      </c>
      <c r="CR499" s="119">
        <f t="shared" si="1419"/>
        <v>5.2627519631094959E-2</v>
      </c>
      <c r="CS499" s="119"/>
      <c r="CT499" s="177">
        <f t="shared" si="1420"/>
        <v>5.9167413981650735E-3</v>
      </c>
      <c r="CU499" s="177">
        <f t="shared" si="1428"/>
        <v>5.7718953110097128E-3</v>
      </c>
      <c r="CV499" s="119">
        <f>VLOOKUP($H499,RoR!$E:$F,2,FALSE)</f>
        <v>5.2350000000000001E-2</v>
      </c>
      <c r="CW499" s="177">
        <v>3.1010403642454332E-2</v>
      </c>
      <c r="CX499" s="177">
        <f t="shared" si="1426"/>
        <v>2.1339596357545669E-2</v>
      </c>
      <c r="CY499" s="177">
        <f t="shared" si="1429"/>
        <v>2.5130046297523911E-2</v>
      </c>
      <c r="CZ499" s="177">
        <f t="shared" si="1430"/>
        <v>9.2129610649277341E-2</v>
      </c>
      <c r="DA499" s="187">
        <f t="shared" si="1421"/>
        <v>0.86875000000000002</v>
      </c>
      <c r="DB499" s="188">
        <f t="shared" si="1422"/>
        <v>0.97959983346802826</v>
      </c>
      <c r="DC499" s="188">
        <f t="shared" si="1423"/>
        <v>0.49744508118433622</v>
      </c>
      <c r="DD499" s="188">
        <f t="shared" si="1424"/>
        <v>0.87010519444335932</v>
      </c>
      <c r="DE499" s="188">
        <f t="shared" si="1425"/>
        <v>0.42399975420741998</v>
      </c>
      <c r="DF499" s="189">
        <f>INDEX('State Tax Lookup'!$D$7:$Z$91,MATCH(Calculation!$C499,'State Tax Lookup'!$B$7:$B$91,0),MATCH($H499,'State Tax Lookup'!$D$6:$Z$6,0))</f>
        <v>0.35</v>
      </c>
      <c r="DG499" s="189">
        <v>0.375</v>
      </c>
      <c r="DH499" s="190">
        <f t="shared" si="1427"/>
        <v>15.636186569441643</v>
      </c>
      <c r="DI499" s="190"/>
      <c r="DJ499" s="177"/>
      <c r="DK499" s="189">
        <f>VLOOKUP($H499,RoR!$E:$F,2,FALSE)</f>
        <v>5.2350000000000001E-2</v>
      </c>
      <c r="DL499" s="191">
        <f>HLOOKUP($H499,'GDP-PI'!$D$8:$CQ$11,3,FALSE)</f>
        <v>3.1010403642454332E-2</v>
      </c>
      <c r="DM499" s="189">
        <f>VLOOKUP(H499,'HW Dx Data'!$E:$F,2,FALSE)</f>
        <v>469.20514034936258</v>
      </c>
      <c r="DN499" s="183">
        <f>VLOOKUP(H499,'ECI - Input Price'!$G$17:$H$37,2,FALSE)</f>
        <v>99.15</v>
      </c>
      <c r="DO499" s="177">
        <f t="shared" ref="DO499" si="1442">LN(DN499/DN498)</f>
        <v>3.046440632744625E-2</v>
      </c>
      <c r="DP499" s="183">
        <f>HLOOKUP(H499,'GDP-PI'!$8:$9,2,FALSE)</f>
        <v>87.406999999999996</v>
      </c>
      <c r="DQ499" s="177">
        <f t="shared" ref="DQ499" si="1443">LN(DP499/DP498)</f>
        <v>3.0539295810733648E-2</v>
      </c>
    </row>
    <row r="500" spans="1:121" s="167" customFormat="1" ht="21" x14ac:dyDescent="0.35">
      <c r="A500" s="167" t="s">
        <v>57</v>
      </c>
      <c r="B500" s="168" t="s">
        <v>57</v>
      </c>
      <c r="C500" s="168">
        <v>4057079</v>
      </c>
      <c r="D500" s="168" t="s">
        <v>138</v>
      </c>
      <c r="E500" s="168"/>
      <c r="F500" s="168"/>
      <c r="G500" s="168" t="s">
        <v>12</v>
      </c>
      <c r="H500" s="169">
        <v>2006</v>
      </c>
      <c r="I500" s="170"/>
      <c r="J500" s="166">
        <f>IFERROR(INDEX('Labor Expenditures'!$F$7:$X$91,MATCH($C500,'Labor Expenditures'!$D$7:$D$91,0),MATCH($G500,'Labor Expenditures'!$F$5:$X$5,0)),"NA")</f>
        <v>33833.204842769846</v>
      </c>
      <c r="K500" s="166">
        <f t="shared" si="1433"/>
        <v>331.53556925791128</v>
      </c>
      <c r="L500" s="172">
        <f t="shared" si="1440"/>
        <v>5.2359457181274507E-2</v>
      </c>
      <c r="M500" s="172">
        <f t="shared" ref="M500:M515" si="1444">+L500*AR500</f>
        <v>8.4917384047412416E-4</v>
      </c>
      <c r="N500" s="196"/>
      <c r="O500" s="172"/>
      <c r="P500" s="166">
        <f>IFERROR(INDEX('Non-Labor Expenditures'!$F$7:$AB$91,MATCH($C500,'Non-Labor Expenditures'!$D$7:$D$91,0),MATCH($G500,'Non-Labor Expenditures'!$F$5:$AB$5,0)),"NA")</f>
        <v>48996.799783332099</v>
      </c>
      <c r="Q500" s="166">
        <f t="shared" si="1434"/>
        <v>543.96162914195111</v>
      </c>
      <c r="R500" s="172">
        <f t="shared" ref="R500:R515" si="1445">LN(Q500/Q499)</f>
        <v>5.113230774586907E-2</v>
      </c>
      <c r="S500" s="172">
        <f>+R500*AR500</f>
        <v>8.2927173959307138E-4</v>
      </c>
      <c r="T500" s="172"/>
      <c r="U500" s="172"/>
      <c r="V500" s="166">
        <f t="shared" si="1415"/>
        <v>46177.938266139012</v>
      </c>
      <c r="W500" s="170"/>
      <c r="X500" s="174">
        <v>3176.7231864790765</v>
      </c>
      <c r="Y500" s="175">
        <v>5.044506432297375E-2</v>
      </c>
      <c r="Z500" s="175">
        <f>+Y500*AR500</f>
        <v>8.1812591860527643E-4</v>
      </c>
      <c r="AA500" s="175"/>
      <c r="AB500" s="175"/>
      <c r="AC500" s="170">
        <f t="shared" si="1278"/>
        <v>129007.94289224096</v>
      </c>
      <c r="AD500" s="175">
        <f t="shared" ref="AD500:AD515" si="1446">LN(AC500/AC499)</f>
        <v>6.261374841013978E-2</v>
      </c>
      <c r="AE500" s="170"/>
      <c r="AF500" s="170"/>
      <c r="AG500" s="121">
        <f t="shared" ref="AG500:AG515" si="1447">+(AC500*1000)/AZ500</f>
        <v>306.31066273530678</v>
      </c>
      <c r="AH500" s="119">
        <f>+AZ500/$BB$44</f>
        <v>1.1980488024674912E-2</v>
      </c>
      <c r="AI500" s="119"/>
      <c r="AJ500" s="176">
        <f>+AH500*AG500</f>
        <v>3.669751226730579</v>
      </c>
      <c r="AK500" s="176">
        <f>+AI500*AG500</f>
        <v>0</v>
      </c>
      <c r="AL500" s="120">
        <f t="shared" si="1435"/>
        <v>0.26225675787288838</v>
      </c>
      <c r="AM500" s="120">
        <f t="shared" si="1436"/>
        <v>0.37979676820564945</v>
      </c>
      <c r="AN500" s="120">
        <f t="shared" si="1437"/>
        <v>0.35794647392146217</v>
      </c>
      <c r="AO500" s="120">
        <f t="shared" si="1441"/>
        <v>5.120111806812537E-2</v>
      </c>
      <c r="AP500" s="173">
        <f>+AP499*EXP(AO500)</f>
        <v>105.25345557144013</v>
      </c>
      <c r="AQ500" s="175">
        <f>LN(AP500/AP499)</f>
        <v>5.1201118068125308E-2</v>
      </c>
      <c r="AR500" s="177">
        <f>+AC500/$AE$44</f>
        <v>1.6218155920413497E-2</v>
      </c>
      <c r="AS500" s="177">
        <f>+AR500*AQ500</f>
        <v>8.3038771612835695E-4</v>
      </c>
      <c r="AT500" s="177"/>
      <c r="AU500" s="177"/>
      <c r="AV500" s="177"/>
      <c r="AW500" s="190"/>
      <c r="AX500" s="120"/>
      <c r="AY500" s="120"/>
      <c r="AZ500" s="118">
        <f>IFERROR(INDEX('Total Customers'!$F$7:$AB$91,MATCH($C500,'Total Customers'!$D$7:$D$91,0),MATCH($G500,'Total Customers'!$F$5:$AB$5,0)),"NA")</f>
        <v>421167</v>
      </c>
      <c r="BA500" s="119">
        <f t="shared" si="1416"/>
        <v>7.1485553437606502E-3</v>
      </c>
      <c r="BB500" s="119"/>
      <c r="BC500" s="121"/>
      <c r="BD500" s="119"/>
      <c r="BE500" s="119"/>
      <c r="BF500" s="119"/>
      <c r="BG500" s="173"/>
      <c r="BH500" s="173"/>
      <c r="BI500" s="173"/>
      <c r="BJ500" s="173"/>
      <c r="BK500" s="173"/>
      <c r="BL500" s="173"/>
      <c r="BM500" s="173"/>
      <c r="BN500" s="173"/>
      <c r="BO500" s="173"/>
      <c r="BP500" s="173"/>
      <c r="BQ500" s="118"/>
      <c r="BR500" s="118"/>
      <c r="BS500" s="118">
        <f>INDEX('Dist. Plant Gas Additions'!$F$7:$AE$91,MATCH($C500,'Dist. Plant Gas Additions'!$D$7:$D$91,0),MATCH(Calculation!$G500,'Dist. Plant Gas Additions'!$F$5:$AE$5,0))</f>
        <v>80358</v>
      </c>
      <c r="BT500" s="118">
        <f>INDEX('Gen. Plant Additions'!$F$7:$AE$91,MATCH($C500,'Gen. Plant Additions'!$D$7:$D$91,0),MATCH(Calculation!$G500,'Gen. Plant Additions'!$F$5:$AE$5,0))</f>
        <v>166</v>
      </c>
      <c r="BU500" s="118"/>
      <c r="BV500" s="118"/>
      <c r="BW500" s="118">
        <f>INDEX('Dist Plant Depreciation'!$E$7:$AD$94,MATCH($C500,'Dist Plant Depreciation'!$D$7:$D$94,0),MATCH(Calculation!$G500,'Dist Plant Depreciation'!$E$5:$AD$5,0))</f>
        <v>287826</v>
      </c>
      <c r="BX500" s="118">
        <f>INDEX('Gen. Plant Depreciation'!$E$7:$AD$94,MATCH($C500,'Gen. Plant Depreciation'!$D$7:$D$94,0),MATCH(Calculation!$G500,'Gen. Plant Depreciation'!$E$5:$AD$5,0))</f>
        <v>678</v>
      </c>
      <c r="BY500" s="118"/>
      <c r="BZ500" s="118"/>
      <c r="CA500" s="118"/>
      <c r="CB500" s="118"/>
      <c r="CC500" s="118"/>
      <c r="CD500" s="118"/>
      <c r="CE500" s="118">
        <f>INDEX('Gross Dx Plant'!$E$7:$AD$91,MATCH($C500,'Gross Dx Plant'!$D$7:$D$91,0),MATCH(Calculation!$G500,'Gross Dx Plant'!$E$5:$AD$5,0))</f>
        <v>1026155</v>
      </c>
      <c r="CF500" s="118">
        <f>INDEX('Gross Gen Plant'!$E$7:$AD$91,MATCH($C500,'Gross Gen Plant'!$D$7:$D$91,0),MATCH(Calculation!$G500,'Gross Gen Plant'!$E$5:$AD$5,0))</f>
        <v>10811</v>
      </c>
      <c r="CG500" s="118">
        <f t="shared" si="1389"/>
        <v>748462</v>
      </c>
      <c r="CH500" s="119" t="e">
        <f>SUM(#REF!)/15</f>
        <v>#REF!</v>
      </c>
      <c r="CI500" s="121">
        <v>2006</v>
      </c>
      <c r="CJ500" s="118"/>
      <c r="CK500" s="118"/>
      <c r="CL500" s="118"/>
      <c r="CM500" s="183"/>
      <c r="CN500" s="118">
        <f t="shared" si="1417"/>
        <v>80524</v>
      </c>
      <c r="CO500" s="118">
        <f t="shared" si="1418"/>
        <v>174.63999591069924</v>
      </c>
      <c r="CP500" s="186">
        <v>0.9555555555555556</v>
      </c>
      <c r="CQ500" s="118">
        <f>+CQ492*CP500+CO493*CP499+CO494*CP498+CO495*CP497+CO496*CP496+CO497*CP495+CO498*CP494+CO499*CP493+CO500</f>
        <v>3176.7231864790765</v>
      </c>
      <c r="CR500" s="119">
        <f t="shared" si="1419"/>
        <v>5.044506432297375E-2</v>
      </c>
      <c r="CS500" s="119"/>
      <c r="CT500" s="177">
        <f t="shared" si="1420"/>
        <v>6.0801527541450538E-3</v>
      </c>
      <c r="CU500" s="177">
        <f t="shared" si="1428"/>
        <v>5.9219401385554203E-3</v>
      </c>
      <c r="CV500" s="119">
        <f>VLOOKUP($H500,RoR!$E:$F,2,FALSE)</f>
        <v>5.5874999999999994E-2</v>
      </c>
      <c r="CW500" s="177">
        <v>3.0512430354548314E-2</v>
      </c>
      <c r="CX500" s="177">
        <f t="shared" si="1426"/>
        <v>2.536256964545168E-2</v>
      </c>
      <c r="CY500" s="177">
        <f t="shared" si="1429"/>
        <v>2.4980001469978204E-2</v>
      </c>
      <c r="CZ500" s="177">
        <f t="shared" si="1430"/>
        <v>7.9087823893859641E-2</v>
      </c>
      <c r="DA500" s="187">
        <f t="shared" si="1421"/>
        <v>0.86875000000000002</v>
      </c>
      <c r="DB500" s="188">
        <f t="shared" si="1422"/>
        <v>0.91779957551769631</v>
      </c>
      <c r="DC500" s="188">
        <f t="shared" si="1423"/>
        <v>0.52757270693512304</v>
      </c>
      <c r="DD500" s="188">
        <f t="shared" si="1424"/>
        <v>0.88636824549024895</v>
      </c>
      <c r="DE500" s="188">
        <f t="shared" si="1425"/>
        <v>0.42918482841932087</v>
      </c>
      <c r="DF500" s="189">
        <f>INDEX('State Tax Lookup'!$D$7:$Z$91,MATCH(Calculation!$C500,'State Tax Lookup'!$B$7:$B$91,0),MATCH($H500,'State Tax Lookup'!$D$6:$Z$6,0))</f>
        <v>0.35</v>
      </c>
      <c r="DG500" s="189">
        <v>0.375</v>
      </c>
      <c r="DH500" s="190">
        <f t="shared" si="1427"/>
        <v>15.28844020439014</v>
      </c>
      <c r="DI500" s="190">
        <v>14.866421619929499</v>
      </c>
      <c r="DJ500" s="177"/>
      <c r="DK500" s="189">
        <f>VLOOKUP($H500,RoR!$E:$F,2,FALSE)</f>
        <v>5.5874999999999994E-2</v>
      </c>
      <c r="DL500" s="191">
        <f>HLOOKUP($H500,'GDP-PI'!$D$8:$CQ$11,3,FALSE)</f>
        <v>3.0512430354548314E-2</v>
      </c>
      <c r="DM500" s="189">
        <f>VLOOKUP(H500,'HW Dx Data'!$E:$F,2,FALSE)</f>
        <v>461.08567272971823</v>
      </c>
      <c r="DN500" s="183">
        <f>VLOOKUP(H500,'ECI - Input Price'!$G$17:$H$37,2,FALSE)</f>
        <v>102.05</v>
      </c>
      <c r="DO500" s="177">
        <f t="shared" ref="DO500" si="1448">LN(DN500/DN499)</f>
        <v>2.8829034290048662E-2</v>
      </c>
      <c r="DP500" s="183">
        <f>HLOOKUP(H500,'GDP-PI'!$8:$9,2,FALSE)</f>
        <v>90.073999999999998</v>
      </c>
      <c r="DQ500" s="177">
        <f t="shared" ref="DQ500" si="1449">LN(DP500/DP499)</f>
        <v>3.005618372545445E-2</v>
      </c>
    </row>
    <row r="501" spans="1:121" s="167" customFormat="1" ht="21" x14ac:dyDescent="0.35">
      <c r="A501" s="167" t="s">
        <v>57</v>
      </c>
      <c r="B501" s="168" t="s">
        <v>57</v>
      </c>
      <c r="C501" s="168">
        <v>4057079</v>
      </c>
      <c r="D501" s="168" t="s">
        <v>138</v>
      </c>
      <c r="E501" s="168"/>
      <c r="F501" s="168"/>
      <c r="G501" s="168" t="s">
        <v>13</v>
      </c>
      <c r="H501" s="169">
        <v>2007</v>
      </c>
      <c r="I501" s="170"/>
      <c r="J501" s="166">
        <f>IFERROR(INDEX('Labor Expenditures'!$F$7:$X$91,MATCH($C501,'Labor Expenditures'!$D$7:$D$91,0),MATCH($G501,'Labor Expenditures'!$F$5:$X$5,0)),"NA")</f>
        <v>33427.237756925402</v>
      </c>
      <c r="K501" s="166">
        <f t="shared" si="1433"/>
        <v>317.67391548515468</v>
      </c>
      <c r="L501" s="172">
        <f t="shared" si="1440"/>
        <v>-4.2709668110492559E-2</v>
      </c>
      <c r="M501" s="172">
        <f t="shared" si="1444"/>
        <v>-6.8139600060186255E-4</v>
      </c>
      <c r="N501" s="196"/>
      <c r="O501" s="172"/>
      <c r="P501" s="166">
        <f>IFERROR(INDEX('Non-Labor Expenditures'!$F$7:$AB$91,MATCH($C501,'Non-Labor Expenditures'!$D$7:$D$91,0),MATCH($G501,'Non-Labor Expenditures'!$F$5:$AB$5,0)),"NA")</f>
        <v>48408.883618836873</v>
      </c>
      <c r="Q501" s="166">
        <f t="shared" si="1434"/>
        <v>523.35059805441063</v>
      </c>
      <c r="R501" s="172">
        <f t="shared" si="1445"/>
        <v>-3.8627110659749685E-2</v>
      </c>
      <c r="S501" s="172">
        <f t="shared" ref="S501:S515" si="1450">+R501*AR501</f>
        <v>-6.162623097483831E-4</v>
      </c>
      <c r="T501" s="172"/>
      <c r="U501" s="172"/>
      <c r="V501" s="166">
        <f t="shared" si="1415"/>
        <v>52209.907258962827</v>
      </c>
      <c r="W501" s="170"/>
      <c r="X501" s="174">
        <v>3329.6663091022547</v>
      </c>
      <c r="Y501" s="175">
        <v>4.7021870478730465E-2</v>
      </c>
      <c r="Z501" s="175">
        <f t="shared" ref="Z501:Z515" si="1451">+Y501*AR501</f>
        <v>7.5019347849144906E-4</v>
      </c>
      <c r="AA501" s="175"/>
      <c r="AB501" s="175"/>
      <c r="AC501" s="170">
        <f t="shared" si="1278"/>
        <v>134046.02863472511</v>
      </c>
      <c r="AD501" s="175">
        <f t="shared" si="1446"/>
        <v>3.8309262969083095E-2</v>
      </c>
      <c r="AE501" s="170"/>
      <c r="AF501" s="170"/>
      <c r="AG501" s="121">
        <f t="shared" si="1447"/>
        <v>316.46723949931561</v>
      </c>
      <c r="AH501" s="119">
        <f>+AZ501/$BB$45</f>
        <v>1.1958503945052554E-2</v>
      </c>
      <c r="AI501" s="119"/>
      <c r="AJ501" s="176">
        <f t="shared" ref="AJ501:AJ515" si="1452">+AH501*AG501</f>
        <v>3.7844747320324572</v>
      </c>
      <c r="AK501" s="176">
        <f t="shared" ref="AK501:AK515" si="1453">+AI501*AG501</f>
        <v>0</v>
      </c>
      <c r="AL501" s="120">
        <f t="shared" si="1435"/>
        <v>0.24937133981055487</v>
      </c>
      <c r="AM501" s="120">
        <f t="shared" si="1436"/>
        <v>0.36113627618727062</v>
      </c>
      <c r="AN501" s="120">
        <f t="shared" si="1437"/>
        <v>0.38949238400217445</v>
      </c>
      <c r="AO501" s="120">
        <f t="shared" si="1441"/>
        <v>-7.662797888618806E-3</v>
      </c>
      <c r="AP501" s="173">
        <f>+AP500*EXP(AO501)</f>
        <v>104.45000189733669</v>
      </c>
      <c r="AQ501" s="175">
        <f>LN(AP501/AP500)</f>
        <v>-7.6627978886187513E-3</v>
      </c>
      <c r="AR501" s="177">
        <f>+AC501/$AE$45</f>
        <v>1.5954139443065885E-2</v>
      </c>
      <c r="AS501" s="177">
        <f t="shared" ref="AS501:AS515" si="1454">+AR501*AQ501</f>
        <v>-1.2225334603905441E-4</v>
      </c>
      <c r="AT501" s="177"/>
      <c r="AU501" s="177"/>
      <c r="AV501" s="177"/>
      <c r="AW501" s="190"/>
      <c r="AX501" s="120"/>
      <c r="AY501" s="120"/>
      <c r="AZ501" s="118">
        <f>IFERROR(INDEX('Total Customers'!$F$7:$AB$91,MATCH($C501,'Total Customers'!$D$7:$D$91,0),MATCH($G501,'Total Customers'!$F$5:$AB$5,0)),"NA")</f>
        <v>423570</v>
      </c>
      <c r="BA501" s="119">
        <f t="shared" si="1416"/>
        <v>5.6893600774024474E-3</v>
      </c>
      <c r="BB501" s="119"/>
      <c r="BC501" s="121"/>
      <c r="BD501" s="119"/>
      <c r="BE501" s="119"/>
      <c r="BF501" s="119"/>
      <c r="BG501" s="173"/>
      <c r="BH501" s="173"/>
      <c r="BI501" s="173"/>
      <c r="BJ501" s="173"/>
      <c r="BK501" s="173"/>
      <c r="BL501" s="173"/>
      <c r="BM501" s="173"/>
      <c r="BN501" s="173"/>
      <c r="BO501" s="173"/>
      <c r="BP501" s="173"/>
      <c r="BQ501" s="118"/>
      <c r="BR501" s="118"/>
      <c r="BS501" s="118">
        <f>INDEX('Dist. Plant Gas Additions'!$F$7:$AE$91,MATCH($C501,'Dist. Plant Gas Additions'!$D$7:$D$91,0),MATCH(Calculation!$G501,'Dist. Plant Gas Additions'!$F$5:$AE$5,0))</f>
        <v>85638</v>
      </c>
      <c r="BT501" s="118">
        <f>INDEX('Gen. Plant Additions'!$F$7:$AE$91,MATCH($C501,'Gen. Plant Additions'!$D$7:$D$91,0),MATCH(Calculation!$G501,'Gen. Plant Additions'!$F$5:$AE$5,0))</f>
        <v>413</v>
      </c>
      <c r="BU501" s="118"/>
      <c r="BV501" s="118"/>
      <c r="BW501" s="118">
        <f>INDEX('Dist Plant Depreciation'!$E$7:$AD$94,MATCH($C501,'Dist Plant Depreciation'!$D$7:$D$94,0),MATCH(Calculation!$G501,'Dist Plant Depreciation'!$E$5:$AD$5,0))</f>
        <v>307655</v>
      </c>
      <c r="BX501" s="118">
        <f>INDEX('Gen. Plant Depreciation'!$E$7:$AD$94,MATCH($C501,'Gen. Plant Depreciation'!$D$7:$D$94,0),MATCH(Calculation!$G501,'Gen. Plant Depreciation'!$E$5:$AD$5,0))</f>
        <v>791</v>
      </c>
      <c r="BY501" s="118"/>
      <c r="BZ501" s="118"/>
      <c r="CA501" s="118"/>
      <c r="CB501" s="118"/>
      <c r="CC501" s="118"/>
      <c r="CD501" s="118"/>
      <c r="CE501" s="118">
        <f>INDEX('Gross Dx Plant'!$E$7:$AD$91,MATCH($C501,'Gross Dx Plant'!$D$7:$D$91,0),MATCH(Calculation!$G501,'Gross Dx Plant'!$E$5:$AD$5,0))</f>
        <v>1101969</v>
      </c>
      <c r="CF501" s="118">
        <f>INDEX('Gross Gen Plant'!$E$7:$AD$91,MATCH($C501,'Gross Gen Plant'!$D$7:$D$91,0),MATCH(Calculation!$G501,'Gross Gen Plant'!$E$5:$AD$5,0))</f>
        <v>11211</v>
      </c>
      <c r="CG501" s="118">
        <f t="shared" si="1389"/>
        <v>804734</v>
      </c>
      <c r="CH501" s="118"/>
      <c r="CI501" s="121">
        <v>2007</v>
      </c>
      <c r="CJ501" s="118"/>
      <c r="CK501" s="118"/>
      <c r="CL501" s="118"/>
      <c r="CM501" s="183"/>
      <c r="CN501" s="118">
        <f t="shared" si="1417"/>
        <v>86051</v>
      </c>
      <c r="CO501" s="118">
        <f t="shared" si="1418"/>
        <v>172.78543014189191</v>
      </c>
      <c r="CP501" s="186">
        <v>0.94915254237288138</v>
      </c>
      <c r="CQ501" s="118">
        <f>+CQ492*CP501+CO493*CP500+CO494*CP499+CO495*CP498+CO496*CP497+CO497*CP496+CO498*CP495+CO499*CP494+CO500*CP493+CO501</f>
        <v>3329.6663091022547</v>
      </c>
      <c r="CR501" s="119">
        <f t="shared" si="1419"/>
        <v>4.7021870478730465E-2</v>
      </c>
      <c r="CS501" s="119"/>
      <c r="CT501" s="177">
        <f t="shared" si="1420"/>
        <v>6.246155662277258E-3</v>
      </c>
      <c r="CU501" s="177">
        <f t="shared" si="1428"/>
        <v>6.0810166048624612E-3</v>
      </c>
      <c r="CV501" s="119">
        <f>VLOOKUP($H501,RoR!$E:$F,2,FALSE)</f>
        <v>5.5558333333333321E-2</v>
      </c>
      <c r="CW501" s="177">
        <v>2.691120634145272E-2</v>
      </c>
      <c r="CX501" s="177">
        <f t="shared" si="1426"/>
        <v>2.86471269918806E-2</v>
      </c>
      <c r="CY501" s="177">
        <f t="shared" si="1429"/>
        <v>2.4820925003671165E-2</v>
      </c>
      <c r="CZ501" s="177">
        <f t="shared" si="1430"/>
        <v>6.4575155250632399E-2</v>
      </c>
      <c r="DA501" s="187">
        <f t="shared" si="1421"/>
        <v>0.86875000000000002</v>
      </c>
      <c r="DB501" s="188">
        <f t="shared" si="1422"/>
        <v>0.92303077153834634</v>
      </c>
      <c r="DC501" s="188">
        <f t="shared" si="1423"/>
        <v>0.52502249887505614</v>
      </c>
      <c r="DD501" s="188">
        <f t="shared" si="1424"/>
        <v>0.88499666072084604</v>
      </c>
      <c r="DE501" s="188">
        <f t="shared" si="1425"/>
        <v>0.42887993290280618</v>
      </c>
      <c r="DF501" s="189">
        <f>INDEX('State Tax Lookup'!$D$7:$Z$91,MATCH(Calculation!$C501,'State Tax Lookup'!$B$7:$B$91,0),MATCH($H501,'State Tax Lookup'!$D$6:$Z$6,0))</f>
        <v>0.35</v>
      </c>
      <c r="DG501" s="189">
        <v>0.375</v>
      </c>
      <c r="DH501" s="190">
        <f t="shared" si="1427"/>
        <v>16.435145335036168</v>
      </c>
      <c r="DI501" s="190">
        <v>16.220309373981287</v>
      </c>
      <c r="DJ501" s="177"/>
      <c r="DK501" s="189">
        <f>VLOOKUP($H501,RoR!$E:$F,2,FALSE)</f>
        <v>5.5558333333333321E-2</v>
      </c>
      <c r="DL501" s="191">
        <f>HLOOKUP($H501,'GDP-PI'!$D$8:$CQ$11,3,FALSE)</f>
        <v>2.691120634145272E-2</v>
      </c>
      <c r="DM501" s="189">
        <f>VLOOKUP(H501,'HW Dx Data'!$E:$F,2,FALSE)</f>
        <v>498.0223154772637</v>
      </c>
      <c r="DN501" s="183">
        <f>VLOOKUP(H501,'ECI - Input Price'!$G$17:$H$37,2,FALSE)</f>
        <v>105.22500000000001</v>
      </c>
      <c r="DO501" s="177">
        <f t="shared" ref="DO501" si="1455">LN(DN501/DN500)</f>
        <v>3.0638025400780679E-2</v>
      </c>
      <c r="DP501" s="183">
        <f>HLOOKUP(H501,'GDP-PI'!$8:$9,2,FALSE)</f>
        <v>92.498000000000005</v>
      </c>
      <c r="DQ501" s="177">
        <f t="shared" ref="DQ501" si="1456">LN(DP501/DP500)</f>
        <v>2.6555467950038037E-2</v>
      </c>
    </row>
    <row r="502" spans="1:121" s="167" customFormat="1" ht="21" x14ac:dyDescent="0.35">
      <c r="A502" s="167" t="s">
        <v>57</v>
      </c>
      <c r="B502" s="168" t="s">
        <v>57</v>
      </c>
      <c r="C502" s="168">
        <v>4057079</v>
      </c>
      <c r="D502" s="168" t="s">
        <v>138</v>
      </c>
      <c r="E502" s="168"/>
      <c r="F502" s="168"/>
      <c r="G502" s="168" t="s">
        <v>14</v>
      </c>
      <c r="H502" s="169">
        <v>2008</v>
      </c>
      <c r="I502" s="170"/>
      <c r="J502" s="166">
        <f>IFERROR(INDEX('Labor Expenditures'!$F$7:$X$91,MATCH($C502,'Labor Expenditures'!$D$7:$D$91,0),MATCH($G502,'Labor Expenditures'!$F$5:$X$5,0)),"NA")</f>
        <v>27790.953446091095</v>
      </c>
      <c r="K502" s="166">
        <f t="shared" si="1433"/>
        <v>256.78866663054833</v>
      </c>
      <c r="L502" s="172">
        <f t="shared" si="1440"/>
        <v>-0.21277199588836498</v>
      </c>
      <c r="M502" s="172">
        <f t="shared" si="1444"/>
        <v>-3.0855664241503026E-3</v>
      </c>
      <c r="N502" s="196"/>
      <c r="O502" s="172"/>
      <c r="P502" s="166">
        <f>IFERROR(INDEX('Non-Labor Expenditures'!$F$7:$AB$91,MATCH($C502,'Non-Labor Expenditures'!$D$7:$D$91,0),MATCH($G502,'Non-Labor Expenditures'!$F$5:$AB$5,0)),"NA")</f>
        <v>40246.491224050187</v>
      </c>
      <c r="Q502" s="166">
        <f t="shared" si="1434"/>
        <v>426.95505414633573</v>
      </c>
      <c r="R502" s="172">
        <f t="shared" si="1445"/>
        <v>-0.20357285096498731</v>
      </c>
      <c r="S502" s="172">
        <f t="shared" si="1450"/>
        <v>-2.9521627185171637E-3</v>
      </c>
      <c r="T502" s="172"/>
      <c r="U502" s="172"/>
      <c r="V502" s="166">
        <f t="shared" si="1415"/>
        <v>62217.93925579483</v>
      </c>
      <c r="W502" s="170"/>
      <c r="X502" s="174">
        <v>3505.8941327367675</v>
      </c>
      <c r="Y502" s="175">
        <v>5.1573498523805272E-2</v>
      </c>
      <c r="Z502" s="175">
        <f t="shared" si="1451"/>
        <v>7.4790601440102693E-4</v>
      </c>
      <c r="AA502" s="175"/>
      <c r="AB502" s="175"/>
      <c r="AC502" s="170">
        <f t="shared" si="1278"/>
        <v>130255.38392593611</v>
      </c>
      <c r="AD502" s="175">
        <f t="shared" si="1446"/>
        <v>-2.8686223140215957E-2</v>
      </c>
      <c r="AE502" s="170"/>
      <c r="AF502" s="170"/>
      <c r="AG502" s="121">
        <f t="shared" si="1447"/>
        <v>306.9845439987559</v>
      </c>
      <c r="AH502" s="119">
        <f>+AZ502/$BB$46</f>
        <v>1.1915411070716952E-2</v>
      </c>
      <c r="AI502" s="119"/>
      <c r="AJ502" s="176">
        <f t="shared" si="1452"/>
        <v>3.6578470341017715</v>
      </c>
      <c r="AK502" s="176">
        <f t="shared" si="1453"/>
        <v>0</v>
      </c>
      <c r="AL502" s="120">
        <f t="shared" si="1435"/>
        <v>0.21335742606918401</v>
      </c>
      <c r="AM502" s="120">
        <f t="shared" si="1436"/>
        <v>0.3089814026185248</v>
      </c>
      <c r="AN502" s="120">
        <f t="shared" si="1437"/>
        <v>0.47766117131229119</v>
      </c>
      <c r="AO502" s="120">
        <f t="shared" si="1441"/>
        <v>-9.507567341140219E-2</v>
      </c>
      <c r="AP502" s="173">
        <f t="shared" ref="AP502:AP515" si="1457">+AP501*EXP(AO502)</f>
        <v>94.976817238881239</v>
      </c>
      <c r="AQ502" s="175">
        <f t="shared" ref="AQ502:AQ515" si="1458">LN(AP502/AP501)</f>
        <v>-9.5075673411402162E-2</v>
      </c>
      <c r="AR502" s="177">
        <f>+AC502/$AE$46</f>
        <v>1.4501750624030457E-2</v>
      </c>
      <c r="AS502" s="177">
        <f t="shared" si="1454"/>
        <v>-1.3787637062239171E-3</v>
      </c>
      <c r="AT502" s="177"/>
      <c r="AU502" s="177"/>
      <c r="AV502" s="177"/>
      <c r="AW502" s="190"/>
      <c r="AX502" s="120"/>
      <c r="AY502" s="120"/>
      <c r="AZ502" s="118">
        <f>IFERROR(INDEX('Total Customers'!$F$7:$AB$91,MATCH($C502,'Total Customers'!$D$7:$D$91,0),MATCH($G502,'Total Customers'!$F$5:$AB$5,0)),"NA")</f>
        <v>424306</v>
      </c>
      <c r="BA502" s="119">
        <f t="shared" si="1416"/>
        <v>1.7361033567691046E-3</v>
      </c>
      <c r="BB502" s="119"/>
      <c r="BC502" s="121"/>
      <c r="BD502" s="119"/>
      <c r="BE502" s="119"/>
      <c r="BF502" s="119"/>
      <c r="BG502" s="173"/>
      <c r="BH502" s="173"/>
      <c r="BI502" s="173"/>
      <c r="BJ502" s="173"/>
      <c r="BK502" s="173"/>
      <c r="BL502" s="173"/>
      <c r="BM502" s="173"/>
      <c r="BN502" s="173"/>
      <c r="BO502" s="173"/>
      <c r="BP502" s="173"/>
      <c r="BQ502" s="118"/>
      <c r="BR502" s="118"/>
      <c r="BS502" s="118">
        <f>INDEX('Dist. Plant Gas Additions'!$F$7:$AE$91,MATCH($C502,'Dist. Plant Gas Additions'!$D$7:$D$91,0),MATCH(Calculation!$G502,'Dist. Plant Gas Additions'!$F$5:$AE$5,0))</f>
        <v>112409</v>
      </c>
      <c r="BT502" s="118">
        <f>INDEX('Gen. Plant Additions'!$F$7:$AE$91,MATCH($C502,'Gen. Plant Additions'!$D$7:$D$91,0),MATCH(Calculation!$G502,'Gen. Plant Additions'!$F$5:$AE$5,0))</f>
        <v>197</v>
      </c>
      <c r="BU502" s="118"/>
      <c r="BV502" s="118"/>
      <c r="BW502" s="118">
        <f>INDEX('Dist Plant Depreciation'!$E$7:$AD$94,MATCH($C502,'Dist Plant Depreciation'!$D$7:$D$94,0),MATCH(Calculation!$G502,'Dist Plant Depreciation'!$E$5:$AD$5,0))</f>
        <v>328069</v>
      </c>
      <c r="BX502" s="118">
        <f>INDEX('Gen. Plant Depreciation'!$E$7:$AD$94,MATCH($C502,'Gen. Plant Depreciation'!$D$7:$D$94,0),MATCH(Calculation!$G502,'Gen. Plant Depreciation'!$E$5:$AD$5,0))</f>
        <v>881</v>
      </c>
      <c r="BY502" s="118"/>
      <c r="BZ502" s="118"/>
      <c r="CA502" s="118"/>
      <c r="CB502" s="118"/>
      <c r="CC502" s="118"/>
      <c r="CD502" s="118"/>
      <c r="CE502" s="118">
        <f>INDEX('Gross Dx Plant'!$E$7:$AD$91,MATCH($C502,'Gross Dx Plant'!$D$7:$D$91,0),MATCH(Calculation!$G502,'Gross Dx Plant'!$E$5:$AD$5,0))</f>
        <v>1207713</v>
      </c>
      <c r="CF502" s="118">
        <f>INDEX('Gross Gen Plant'!$E$7:$AD$91,MATCH($C502,'Gross Gen Plant'!$D$7:$D$91,0),MATCH(Calculation!$G502,'Gross Gen Plant'!$E$5:$AD$5,0))</f>
        <v>11394</v>
      </c>
      <c r="CG502" s="118">
        <f t="shared" si="1389"/>
        <v>890157</v>
      </c>
      <c r="CH502" s="118"/>
      <c r="CI502" s="121">
        <v>2008</v>
      </c>
      <c r="CJ502" s="118"/>
      <c r="CK502" s="118"/>
      <c r="CL502" s="118"/>
      <c r="CM502" s="183"/>
      <c r="CN502" s="118">
        <f t="shared" si="1417"/>
        <v>112606</v>
      </c>
      <c r="CO502" s="118">
        <f t="shared" si="1418"/>
        <v>197.59556788500655</v>
      </c>
      <c r="CP502" s="186">
        <v>0.94252873563218387</v>
      </c>
      <c r="CQ502" s="118">
        <f>+CQ492*CP502+CO493*CP501+CO494*CP500+CO495*CP499+CO496*CP498+CO497*CP497+CO498*CP496+CO499*CP495+CO500*CP494+CO501*CP493+CO502</f>
        <v>3505.8941327367675</v>
      </c>
      <c r="CR502" s="119">
        <f t="shared" si="1419"/>
        <v>5.1573498523805272E-2</v>
      </c>
      <c r="CS502" s="119"/>
      <c r="CT502" s="177">
        <f t="shared" si="1420"/>
        <v>6.4173830849298926E-3</v>
      </c>
      <c r="CU502" s="177">
        <f t="shared" si="1428"/>
        <v>6.2478971671174012E-3</v>
      </c>
      <c r="CV502" s="119">
        <f>VLOOKUP($H502,RoR!$E:$F,2,FALSE)</f>
        <v>5.6316666666666668E-2</v>
      </c>
      <c r="CW502" s="177">
        <v>1.9092304698479889E-2</v>
      </c>
      <c r="CX502" s="177">
        <f t="shared" si="1426"/>
        <v>3.7224361968186778E-2</v>
      </c>
      <c r="CY502" s="177">
        <f t="shared" si="1429"/>
        <v>2.4654044441416223E-2</v>
      </c>
      <c r="CZ502" s="177">
        <f t="shared" si="1430"/>
        <v>6.9030581091053131E-2</v>
      </c>
      <c r="DA502" s="187">
        <f t="shared" si="1421"/>
        <v>0.86875000000000002</v>
      </c>
      <c r="DB502" s="188">
        <f t="shared" si="1422"/>
        <v>0.91060168006009956</v>
      </c>
      <c r="DC502" s="188">
        <f t="shared" si="1423"/>
        <v>0.53108168097070152</v>
      </c>
      <c r="DD502" s="188">
        <f t="shared" si="1424"/>
        <v>0.88825329850328805</v>
      </c>
      <c r="DE502" s="188">
        <f t="shared" si="1425"/>
        <v>0.4295627335323573</v>
      </c>
      <c r="DF502" s="189">
        <f>INDEX('State Tax Lookup'!$D$7:$Z$91,MATCH(Calculation!$C502,'State Tax Lookup'!$B$7:$B$91,0),MATCH($H502,'State Tax Lookup'!$D$6:$Z$6,0))</f>
        <v>0.35</v>
      </c>
      <c r="DG502" s="189">
        <v>0.375</v>
      </c>
      <c r="DH502" s="190">
        <f t="shared" si="1427"/>
        <v>18.685938313311055</v>
      </c>
      <c r="DI502" s="190">
        <v>18.451095971082438</v>
      </c>
      <c r="DJ502" s="177"/>
      <c r="DK502" s="189">
        <f>VLOOKUP($H502,RoR!$E:$F,2,FALSE)</f>
        <v>5.6316666666666668E-2</v>
      </c>
      <c r="DL502" s="191">
        <f>HLOOKUP($H502,'GDP-PI'!$D$8:$CQ$11,3,FALSE)</f>
        <v>1.9092304698479889E-2</v>
      </c>
      <c r="DM502" s="189">
        <f>VLOOKUP(H502,'HW Dx Data'!$E:$F,2,FALSE)</f>
        <v>569.88120333515076</v>
      </c>
      <c r="DN502" s="183">
        <f>VLOOKUP(H502,'ECI - Input Price'!$G$17:$H$37,2,FALSE)</f>
        <v>108.22499999999999</v>
      </c>
      <c r="DO502" s="177">
        <f t="shared" ref="DO502" si="1459">LN(DN502/DN501)</f>
        <v>2.8111478671409691E-2</v>
      </c>
      <c r="DP502" s="183">
        <f>HLOOKUP(H502,'GDP-PI'!$8:$9,2,FALSE)</f>
        <v>94.263999999999996</v>
      </c>
      <c r="DQ502" s="177">
        <f t="shared" ref="DQ502" si="1460">LN(DP502/DP501)</f>
        <v>1.8912333748032254E-2</v>
      </c>
    </row>
    <row r="503" spans="1:121" s="167" customFormat="1" ht="21" x14ac:dyDescent="0.35">
      <c r="A503" s="167" t="s">
        <v>57</v>
      </c>
      <c r="B503" s="168" t="s">
        <v>57</v>
      </c>
      <c r="C503" s="168">
        <v>4057079</v>
      </c>
      <c r="D503" s="168" t="s">
        <v>138</v>
      </c>
      <c r="E503" s="168"/>
      <c r="F503" s="168"/>
      <c r="G503" s="168" t="s">
        <v>15</v>
      </c>
      <c r="H503" s="169">
        <v>2009</v>
      </c>
      <c r="I503" s="170"/>
      <c r="J503" s="166">
        <f>IFERROR(INDEX('Labor Expenditures'!$F$7:$X$91,MATCH($C503,'Labor Expenditures'!$D$7:$D$91,0),MATCH($G503,'Labor Expenditures'!$F$5:$X$5,0)),"NA")</f>
        <v>26932.066112140848</v>
      </c>
      <c r="K503" s="166">
        <f t="shared" si="1433"/>
        <v>245.33879400720429</v>
      </c>
      <c r="L503" s="172">
        <f t="shared" si="1440"/>
        <v>-4.5613349788705536E-2</v>
      </c>
      <c r="M503" s="172">
        <f t="shared" si="1444"/>
        <v>-6.2732078266972157E-4</v>
      </c>
      <c r="N503" s="196"/>
      <c r="O503" s="172"/>
      <c r="P503" s="166">
        <f>IFERROR(INDEX('Non-Labor Expenditures'!$F$7:$AB$91,MATCH($C503,'Non-Labor Expenditures'!$D$7:$D$91,0),MATCH($G503,'Non-Labor Expenditures'!$F$5:$AB$5,0)),"NA")</f>
        <v>39002.661946464228</v>
      </c>
      <c r="Q503" s="166">
        <f t="shared" si="1434"/>
        <v>410.55865794865451</v>
      </c>
      <c r="R503" s="172">
        <f t="shared" si="1445"/>
        <v>-3.9159935487278516E-2</v>
      </c>
      <c r="S503" s="172">
        <f t="shared" si="1450"/>
        <v>-5.385669215914107E-4</v>
      </c>
      <c r="T503" s="172"/>
      <c r="U503" s="172"/>
      <c r="V503" s="166">
        <f t="shared" si="1415"/>
        <v>62915.632584678991</v>
      </c>
      <c r="W503" s="170"/>
      <c r="X503" s="174">
        <v>3670.4872702083094</v>
      </c>
      <c r="Y503" s="175">
        <v>4.5878834408840156E-2</v>
      </c>
      <c r="Z503" s="175">
        <f t="shared" si="1451"/>
        <v>6.3097199487976768E-4</v>
      </c>
      <c r="AA503" s="175"/>
      <c r="AB503" s="175"/>
      <c r="AC503" s="170">
        <f t="shared" si="1278"/>
        <v>128850.36064328408</v>
      </c>
      <c r="AD503" s="175">
        <f t="shared" si="1446"/>
        <v>-1.0845279069671155E-2</v>
      </c>
      <c r="AE503" s="170"/>
      <c r="AF503" s="170"/>
      <c r="AG503" s="121">
        <f t="shared" si="1447"/>
        <v>306.4691584746372</v>
      </c>
      <c r="AH503" s="119">
        <f>+AZ503/$BB$47</f>
        <v>1.1789669706567984E-2</v>
      </c>
      <c r="AI503" s="119"/>
      <c r="AJ503" s="176">
        <f t="shared" si="1452"/>
        <v>3.6131701536658127</v>
      </c>
      <c r="AK503" s="176">
        <f t="shared" si="1453"/>
        <v>0</v>
      </c>
      <c r="AL503" s="120">
        <f t="shared" si="1435"/>
        <v>0.20901816632629347</v>
      </c>
      <c r="AM503" s="120">
        <f t="shared" si="1436"/>
        <v>0.30269734404889398</v>
      </c>
      <c r="AN503" s="120">
        <f t="shared" si="1437"/>
        <v>0.48828448962481252</v>
      </c>
      <c r="AO503" s="120">
        <f t="shared" si="1441"/>
        <v>5.4859756474446089E-4</v>
      </c>
      <c r="AP503" s="173">
        <f t="shared" si="1457"/>
        <v>95.028935584217194</v>
      </c>
      <c r="AQ503" s="175">
        <f t="shared" si="1458"/>
        <v>5.4859756474435887E-4</v>
      </c>
      <c r="AR503" s="177">
        <f>+AC503/$AE$47</f>
        <v>1.3753008397227044E-2</v>
      </c>
      <c r="AS503" s="177">
        <f t="shared" si="1454"/>
        <v>7.544866914627474E-6</v>
      </c>
      <c r="AT503" s="177"/>
      <c r="AU503" s="177"/>
      <c r="AV503" s="177"/>
      <c r="AW503" s="190"/>
      <c r="AX503" s="120"/>
      <c r="AY503" s="120"/>
      <c r="AZ503" s="118">
        <f>IFERROR(INDEX('Total Customers'!$F$7:$AB$91,MATCH($C503,'Total Customers'!$D$7:$D$91,0),MATCH($G503,'Total Customers'!$F$5:$AB$5,0)),"NA")</f>
        <v>420435</v>
      </c>
      <c r="BA503" s="119">
        <f t="shared" si="1416"/>
        <v>-9.1650034651743154E-3</v>
      </c>
      <c r="BB503" s="119"/>
      <c r="BC503" s="121"/>
      <c r="BD503" s="119"/>
      <c r="BE503" s="119"/>
      <c r="BF503" s="119"/>
      <c r="BG503" s="173"/>
      <c r="BH503" s="173"/>
      <c r="BI503" s="173"/>
      <c r="BJ503" s="173"/>
      <c r="BK503" s="173"/>
      <c r="BL503" s="173"/>
      <c r="BM503" s="173"/>
      <c r="BN503" s="173"/>
      <c r="BO503" s="173"/>
      <c r="BP503" s="173"/>
      <c r="BQ503" s="118"/>
      <c r="BR503" s="118"/>
      <c r="BS503" s="118">
        <f>INDEX('Dist. Plant Gas Additions'!$F$7:$AE$91,MATCH($C503,'Dist. Plant Gas Additions'!$D$7:$D$91,0),MATCH(Calculation!$G503,'Dist. Plant Gas Additions'!$F$5:$AE$5,0))</f>
        <v>102390</v>
      </c>
      <c r="BT503" s="118">
        <f>INDEX('Gen. Plant Additions'!$F$7:$AE$91,MATCH($C503,'Gen. Plant Additions'!$D$7:$D$91,0),MATCH(Calculation!$G503,'Gen. Plant Additions'!$F$5:$AE$5,0))</f>
        <v>1005</v>
      </c>
      <c r="BU503" s="118"/>
      <c r="BV503" s="118"/>
      <c r="BW503" s="118">
        <f>INDEX('Dist Plant Depreciation'!$E$7:$AD$94,MATCH($C503,'Dist Plant Depreciation'!$D$7:$D$94,0),MATCH(Calculation!$G503,'Dist Plant Depreciation'!$E$5:$AD$5,0))</f>
        <v>347596</v>
      </c>
      <c r="BX503" s="118">
        <f>INDEX('Gen. Plant Depreciation'!$E$7:$AD$94,MATCH($C503,'Gen. Plant Depreciation'!$D$7:$D$94,0),MATCH(Calculation!$G503,'Gen. Plant Depreciation'!$E$5:$AD$5,0))</f>
        <v>971</v>
      </c>
      <c r="BY503" s="118"/>
      <c r="BZ503" s="118"/>
      <c r="CA503" s="118"/>
      <c r="CB503" s="118"/>
      <c r="CC503" s="118"/>
      <c r="CD503" s="118"/>
      <c r="CE503" s="118">
        <f>INDEX('Gross Dx Plant'!$E$7:$AD$91,MATCH($C503,'Gross Dx Plant'!$D$7:$D$91,0),MATCH(Calculation!$G503,'Gross Dx Plant'!$E$5:$AD$5,0))</f>
        <v>1303155</v>
      </c>
      <c r="CF503" s="118">
        <f>INDEX('Gross Gen Plant'!$E$7:$AD$91,MATCH($C503,'Gross Gen Plant'!$D$7:$D$91,0),MATCH(Calculation!$G503,'Gross Gen Plant'!$E$5:$AD$5,0))</f>
        <v>12378</v>
      </c>
      <c r="CG503" s="118">
        <f t="shared" si="1389"/>
        <v>966966</v>
      </c>
      <c r="CH503" s="118"/>
      <c r="CI503" s="121">
        <v>2009</v>
      </c>
      <c r="CJ503" s="118"/>
      <c r="CK503" s="118"/>
      <c r="CL503" s="118"/>
      <c r="CM503" s="183"/>
      <c r="CN503" s="118">
        <f t="shared" si="1417"/>
        <v>103395</v>
      </c>
      <c r="CO503" s="118">
        <f t="shared" si="1418"/>
        <v>187.66994680428792</v>
      </c>
      <c r="CP503" s="186">
        <v>0.93567251461988299</v>
      </c>
      <c r="CQ503" s="118">
        <f>+CQ492*CP503+CO493*CP502+CO494*CP501+CO495*CP500+CO496*CP499+CO497*CP498+CO498*CP497+CO499*CP496+CO500*CP495+CO501*CP494+CO502*CP493+CO503</f>
        <v>3670.4872702083094</v>
      </c>
      <c r="CR503" s="119">
        <f t="shared" si="1419"/>
        <v>4.5878834408840156E-2</v>
      </c>
      <c r="CS503" s="119"/>
      <c r="CT503" s="177">
        <f t="shared" si="1420"/>
        <v>6.5822892703071446E-3</v>
      </c>
      <c r="CU503" s="177">
        <f t="shared" si="1428"/>
        <v>6.4152760058380984E-3</v>
      </c>
      <c r="CV503" s="119">
        <f>VLOOKUP($H503,RoR!$E:$F,2,FALSE)</f>
        <v>5.3133333333333324E-2</v>
      </c>
      <c r="CW503" s="177">
        <v>7.7972502758210105E-3</v>
      </c>
      <c r="CX503" s="177">
        <f t="shared" si="1426"/>
        <v>4.5336083057512314E-2</v>
      </c>
      <c r="CY503" s="177">
        <f t="shared" si="1429"/>
        <v>2.4486665602695527E-2</v>
      </c>
      <c r="CZ503" s="177">
        <f t="shared" si="1430"/>
        <v>6.3720160300892073E-2</v>
      </c>
      <c r="DA503" s="187">
        <f t="shared" si="1421"/>
        <v>0.86875000000000002</v>
      </c>
      <c r="DB503" s="188">
        <f t="shared" si="1422"/>
        <v>0.96515780330083989</v>
      </c>
      <c r="DC503" s="188">
        <f t="shared" si="1423"/>
        <v>0.50448557089084056</v>
      </c>
      <c r="DD503" s="188">
        <f t="shared" si="1424"/>
        <v>0.87391435735465484</v>
      </c>
      <c r="DE503" s="188">
        <f t="shared" si="1425"/>
        <v>0.42551605393279146</v>
      </c>
      <c r="DF503" s="189">
        <f>INDEX('State Tax Lookup'!$D$7:$Z$91,MATCH(Calculation!$C503,'State Tax Lookup'!$B$7:$B$91,0),MATCH($H503,'State Tax Lookup'!$D$6:$Z$6,0))</f>
        <v>0.35</v>
      </c>
      <c r="DG503" s="189">
        <v>0.375</v>
      </c>
      <c r="DH503" s="190">
        <f t="shared" si="1427"/>
        <v>17.945673828880238</v>
      </c>
      <c r="DI503" s="190">
        <v>17.660481362705902</v>
      </c>
      <c r="DJ503" s="177"/>
      <c r="DK503" s="189">
        <f>VLOOKUP($H503,RoR!$E:$F,2,FALSE)</f>
        <v>5.3133333333333324E-2</v>
      </c>
      <c r="DL503" s="191">
        <f>HLOOKUP($H503,'GDP-PI'!$D$8:$CQ$11,3,FALSE)</f>
        <v>7.7972502758210105E-3</v>
      </c>
      <c r="DM503" s="189">
        <f>VLOOKUP(H503,'HW Dx Data'!$E:$F,2,FALSE)</f>
        <v>550.94063679692806</v>
      </c>
      <c r="DN503" s="183">
        <f>VLOOKUP(H503,'ECI - Input Price'!$G$17:$H$37,2,FALSE)</f>
        <v>109.77499999999999</v>
      </c>
      <c r="DO503" s="177">
        <f t="shared" ref="DO503" si="1461">LN(DN503/DN502)</f>
        <v>1.4220423119736749E-2</v>
      </c>
      <c r="DP503" s="183">
        <f>HLOOKUP(H503,'GDP-PI'!$8:$9,2,FALSE)</f>
        <v>94.998999999999995</v>
      </c>
      <c r="DQ503" s="177">
        <f t="shared" ref="DQ503" si="1462">LN(DP503/DP502)</f>
        <v>7.7670088183096342E-3</v>
      </c>
    </row>
    <row r="504" spans="1:121" s="167" customFormat="1" ht="21" x14ac:dyDescent="0.35">
      <c r="A504" s="167" t="s">
        <v>57</v>
      </c>
      <c r="B504" s="168" t="s">
        <v>57</v>
      </c>
      <c r="C504" s="168">
        <v>4057079</v>
      </c>
      <c r="D504" s="168" t="s">
        <v>138</v>
      </c>
      <c r="E504" s="168"/>
      <c r="F504" s="168"/>
      <c r="G504" s="168" t="s">
        <v>16</v>
      </c>
      <c r="H504" s="169">
        <v>2010</v>
      </c>
      <c r="I504" s="170"/>
      <c r="J504" s="166">
        <f>IFERROR(INDEX('Labor Expenditures'!$F$7:$X$91,MATCH($C504,'Labor Expenditures'!$D$7:$D$91,0),MATCH($G504,'Labor Expenditures'!$F$5:$X$5,0)),"NA")</f>
        <v>35034.066735605171</v>
      </c>
      <c r="K504" s="166">
        <f t="shared" si="1433"/>
        <v>313.15366914507416</v>
      </c>
      <c r="L504" s="172">
        <f t="shared" si="1440"/>
        <v>0.24405393780128309</v>
      </c>
      <c r="M504" s="172">
        <f t="shared" si="1444"/>
        <v>3.8553636600724118E-3</v>
      </c>
      <c r="N504" s="196"/>
      <c r="O504" s="172"/>
      <c r="P504" s="166">
        <f>IFERROR(INDEX('Non-Labor Expenditures'!$F$7:$AB$91,MATCH($C504,'Non-Labor Expenditures'!$D$7:$D$91,0),MATCH($G504,'Non-Labor Expenditures'!$F$5:$AB$5,0)),"NA")</f>
        <v>50735.872094220787</v>
      </c>
      <c r="Q504" s="166">
        <f t="shared" si="1434"/>
        <v>527.89928200502334</v>
      </c>
      <c r="R504" s="172">
        <f t="shared" si="1445"/>
        <v>0.25138669914137124</v>
      </c>
      <c r="S504" s="172">
        <f t="shared" si="1450"/>
        <v>3.971200601091485E-3</v>
      </c>
      <c r="T504" s="172"/>
      <c r="U504" s="172"/>
      <c r="V504" s="166">
        <f t="shared" si="1415"/>
        <v>67638.969498186547</v>
      </c>
      <c r="W504" s="170"/>
      <c r="X504" s="174">
        <v>3839.7905315408821</v>
      </c>
      <c r="Y504" s="175">
        <v>4.5093391606792238E-2</v>
      </c>
      <c r="Z504" s="175">
        <f t="shared" si="1451"/>
        <v>7.1234836395795732E-4</v>
      </c>
      <c r="AA504" s="175"/>
      <c r="AB504" s="175"/>
      <c r="AC504" s="170">
        <f t="shared" si="1278"/>
        <v>153408.90832801251</v>
      </c>
      <c r="AD504" s="175">
        <f t="shared" si="1446"/>
        <v>0.17445522375605543</v>
      </c>
      <c r="AE504" s="170"/>
      <c r="AF504" s="170"/>
      <c r="AG504" s="121">
        <f t="shared" si="1447"/>
        <v>366.88671016440185</v>
      </c>
      <c r="AH504" s="119">
        <f>+AZ504/$BB$48</f>
        <v>1.1660681327723993E-2</v>
      </c>
      <c r="AI504" s="119"/>
      <c r="AJ504" s="176">
        <f t="shared" si="1452"/>
        <v>4.2781490106041247</v>
      </c>
      <c r="AK504" s="176">
        <f t="shared" si="1453"/>
        <v>0</v>
      </c>
      <c r="AL504" s="120">
        <f t="shared" si="1435"/>
        <v>0.22837048459204726</v>
      </c>
      <c r="AM504" s="120">
        <f t="shared" si="1436"/>
        <v>0.33072311541217325</v>
      </c>
      <c r="AN504" s="120">
        <f t="shared" si="1437"/>
        <v>0.44090639999577946</v>
      </c>
      <c r="AO504" s="120">
        <f t="shared" si="1441"/>
        <v>0.15394013487093267</v>
      </c>
      <c r="AP504" s="173">
        <f t="shared" si="1457"/>
        <v>110.8437514651302</v>
      </c>
      <c r="AQ504" s="175">
        <f t="shared" si="1458"/>
        <v>0.15394013487093258</v>
      </c>
      <c r="AR504" s="177">
        <f>+AC504/$AE$48</f>
        <v>1.5797178667986002E-2</v>
      </c>
      <c r="AS504" s="177">
        <f t="shared" si="1454"/>
        <v>2.4318198147299844E-3</v>
      </c>
      <c r="AT504" s="177"/>
      <c r="AU504" s="177"/>
      <c r="AV504" s="177"/>
      <c r="AW504" s="190"/>
      <c r="AX504" s="120"/>
      <c r="AY504" s="120"/>
      <c r="AZ504" s="118">
        <f>IFERROR(INDEX('Total Customers'!$F$7:$AB$91,MATCH($C504,'Total Customers'!$D$7:$D$91,0),MATCH($G504,'Total Customers'!$F$5:$AB$5,0)),"NA")</f>
        <v>418137</v>
      </c>
      <c r="BA504" s="119">
        <f t="shared" si="1416"/>
        <v>-5.4807595589002134E-3</v>
      </c>
      <c r="BB504" s="119"/>
      <c r="BC504" s="121"/>
      <c r="BD504" s="119"/>
      <c r="BE504" s="119"/>
      <c r="BF504" s="119"/>
      <c r="BG504" s="173"/>
      <c r="BH504" s="173"/>
      <c r="BI504" s="173"/>
      <c r="BJ504" s="173"/>
      <c r="BK504" s="173"/>
      <c r="BL504" s="173"/>
      <c r="BM504" s="173"/>
      <c r="BN504" s="173"/>
      <c r="BO504" s="173"/>
      <c r="BP504" s="173"/>
      <c r="BQ504" s="118"/>
      <c r="BR504" s="118"/>
      <c r="BS504" s="118">
        <f>INDEX('Dist. Plant Gas Additions'!$F$7:$AE$91,MATCH($C504,'Dist. Plant Gas Additions'!$D$7:$D$91,0),MATCH(Calculation!$G504,'Dist. Plant Gas Additions'!$F$5:$AE$5,0))</f>
        <v>109756</v>
      </c>
      <c r="BT504" s="118">
        <f>INDEX('Gen. Plant Additions'!$F$7:$AE$91,MATCH($C504,'Gen. Plant Additions'!$D$7:$D$91,0),MATCH(Calculation!$G504,'Gen. Plant Additions'!$F$5:$AE$5,0))</f>
        <v>689</v>
      </c>
      <c r="BU504" s="118"/>
      <c r="BV504" s="118"/>
      <c r="BW504" s="118">
        <f>INDEX('Dist Plant Depreciation'!$E$7:$AD$94,MATCH($C504,'Dist Plant Depreciation'!$D$7:$D$94,0),MATCH(Calculation!$G504,'Dist Plant Depreciation'!$E$5:$AD$5,0))</f>
        <v>370906</v>
      </c>
      <c r="BX504" s="118">
        <f>INDEX('Gen. Plant Depreciation'!$E$7:$AD$94,MATCH($C504,'Gen. Plant Depreciation'!$D$7:$D$94,0),MATCH(Calculation!$G504,'Gen. Plant Depreciation'!$E$5:$AD$5,0))</f>
        <v>2047</v>
      </c>
      <c r="BY504" s="118"/>
      <c r="BZ504" s="118"/>
      <c r="CA504" s="118"/>
      <c r="CB504" s="118"/>
      <c r="CC504" s="118"/>
      <c r="CD504" s="118"/>
      <c r="CE504" s="118">
        <f>INDEX('Gross Dx Plant'!$E$7:$AD$91,MATCH($C504,'Gross Dx Plant'!$D$7:$D$91,0),MATCH(Calculation!$G504,'Gross Dx Plant'!$E$5:$AD$5,0))</f>
        <v>1407748</v>
      </c>
      <c r="CF504" s="118">
        <f>INDEX('Gross Gen Plant'!$E$7:$AD$91,MATCH($C504,'Gross Gen Plant'!$D$7:$D$91,0),MATCH(Calculation!$G504,'Gross Gen Plant'!$E$5:$AD$5,0))</f>
        <v>13067</v>
      </c>
      <c r="CG504" s="118">
        <f t="shared" si="1389"/>
        <v>1047862</v>
      </c>
      <c r="CH504" s="118"/>
      <c r="CI504" s="121">
        <v>2010</v>
      </c>
      <c r="CJ504" s="118"/>
      <c r="CK504" s="118"/>
      <c r="CL504" s="118"/>
      <c r="CM504" s="183"/>
      <c r="CN504" s="118">
        <f t="shared" si="1417"/>
        <v>110445</v>
      </c>
      <c r="CO504" s="118">
        <f t="shared" si="1418"/>
        <v>194.10727173269933</v>
      </c>
      <c r="CP504" s="186">
        <v>0.9285714285714286</v>
      </c>
      <c r="CQ504" s="118">
        <f>+CQ492*CP504+CO493*CP503+CO494*CP502+CO495*CP501+CO496*CP500+CO497*CP499+CO498*CP498+CO499*CP497+CO500*CP496+CO501*CP495+CO502*CP494+CO503*CP493+CO504</f>
        <v>3839.7905315408821</v>
      </c>
      <c r="CR504" s="119">
        <f t="shared" si="1419"/>
        <v>4.5093391606792238E-2</v>
      </c>
      <c r="CS504" s="119"/>
      <c r="CT504" s="177">
        <f t="shared" si="1420"/>
        <v>6.7576887138254445E-3</v>
      </c>
      <c r="CU504" s="177">
        <f t="shared" si="1428"/>
        <v>6.5857870230208275E-3</v>
      </c>
      <c r="CV504" s="119">
        <f>VLOOKUP($H504,RoR!$E:$F,2,FALSE)</f>
        <v>4.9433333333333322E-2</v>
      </c>
      <c r="CW504" s="177">
        <v>1.1684333519300205E-2</v>
      </c>
      <c r="CX504" s="177">
        <f t="shared" si="1426"/>
        <v>3.7748999814033117E-2</v>
      </c>
      <c r="CY504" s="177">
        <f t="shared" si="1429"/>
        <v>2.4316154585512798E-2</v>
      </c>
      <c r="CZ504" s="177">
        <f t="shared" si="1430"/>
        <v>4.7937530248493419E-2</v>
      </c>
      <c r="DA504" s="187">
        <f t="shared" si="1421"/>
        <v>0.86875000000000002</v>
      </c>
      <c r="DB504" s="188">
        <f t="shared" si="1422"/>
        <v>1.037398205301105</v>
      </c>
      <c r="DC504" s="188">
        <f t="shared" si="1423"/>
        <v>0.46926837491571133</v>
      </c>
      <c r="DD504" s="188">
        <f t="shared" si="1424"/>
        <v>0.8548537519972772</v>
      </c>
      <c r="DE504" s="188">
        <f t="shared" si="1425"/>
        <v>0.41615833911547367</v>
      </c>
      <c r="DF504" s="189">
        <f>INDEX('State Tax Lookup'!$D$7:$Z$91,MATCH(Calculation!$C504,'State Tax Lookup'!$B$7:$B$91,0),MATCH($H504,'State Tax Lookup'!$D$6:$Z$6,0))</f>
        <v>0.35</v>
      </c>
      <c r="DG504" s="189">
        <v>0.375</v>
      </c>
      <c r="DH504" s="190">
        <f t="shared" si="1427"/>
        <v>18.427790241143615</v>
      </c>
      <c r="DI504" s="190">
        <v>18.159936426199842</v>
      </c>
      <c r="DJ504" s="177"/>
      <c r="DK504" s="189">
        <f>VLOOKUP($H504,RoR!$E:$F,2,FALSE)</f>
        <v>4.9433333333333322E-2</v>
      </c>
      <c r="DL504" s="191">
        <f>HLOOKUP($H504,'GDP-PI'!$D$8:$CQ$11,3,FALSE)</f>
        <v>1.1684333519300205E-2</v>
      </c>
      <c r="DM504" s="189">
        <f>VLOOKUP(H504,'HW Dx Data'!$E:$F,2,FALSE)</f>
        <v>568.98950262971744</v>
      </c>
      <c r="DN504" s="183">
        <f>VLOOKUP(H504,'ECI - Input Price'!$G$17:$H$37,2,FALSE)</f>
        <v>111.875</v>
      </c>
      <c r="DO504" s="177">
        <f t="shared" ref="DO504" si="1463">LN(DN504/DN503)</f>
        <v>1.8949360147238387E-2</v>
      </c>
      <c r="DP504" s="183">
        <f>HLOOKUP(H504,'GDP-PI'!$8:$9,2,FALSE)</f>
        <v>96.108999999999995</v>
      </c>
      <c r="DQ504" s="177">
        <f t="shared" ref="DQ504" si="1464">LN(DP504/DP503)</f>
        <v>1.1616598807150427E-2</v>
      </c>
    </row>
    <row r="505" spans="1:121" s="167" customFormat="1" ht="21" x14ac:dyDescent="0.35">
      <c r="A505" s="167" t="s">
        <v>57</v>
      </c>
      <c r="B505" s="168" t="s">
        <v>57</v>
      </c>
      <c r="C505" s="168">
        <v>4057079</v>
      </c>
      <c r="D505" s="168" t="s">
        <v>138</v>
      </c>
      <c r="E505" s="168"/>
      <c r="F505" s="168"/>
      <c r="G505" s="168" t="s">
        <v>17</v>
      </c>
      <c r="H505" s="169">
        <v>2011</v>
      </c>
      <c r="I505" s="170"/>
      <c r="J505" s="166">
        <f>IFERROR(INDEX('Labor Expenditures'!$F$7:$X$91,MATCH($C505,'Labor Expenditures'!$D$7:$D$91,0),MATCH($G505,'Labor Expenditures'!$F$5:$X$5,0)),"NA")</f>
        <v>35680.335704280871</v>
      </c>
      <c r="K505" s="166">
        <f t="shared" si="1433"/>
        <v>312.16391692284225</v>
      </c>
      <c r="L505" s="172">
        <f t="shared" si="1440"/>
        <v>-3.165601194694148E-3</v>
      </c>
      <c r="M505" s="172">
        <f t="shared" si="1444"/>
        <v>-5.059502335614725E-5</v>
      </c>
      <c r="N505" s="196"/>
      <c r="O505" s="172"/>
      <c r="P505" s="166">
        <f>IFERROR(INDEX('Non-Labor Expenditures'!$F$7:$AB$91,MATCH($C505,'Non-Labor Expenditures'!$D$7:$D$91,0),MATCH($G505,'Non-Labor Expenditures'!$F$5:$AB$5,0)),"NA")</f>
        <v>51671.790267256358</v>
      </c>
      <c r="Q505" s="166">
        <f t="shared" si="1434"/>
        <v>526.66126740109632</v>
      </c>
      <c r="R505" s="172">
        <f t="shared" si="1445"/>
        <v>-2.3479262017978633E-3</v>
      </c>
      <c r="S505" s="172">
        <f t="shared" si="1450"/>
        <v>-3.7526325557869426E-5</v>
      </c>
      <c r="T505" s="172"/>
      <c r="U505" s="172"/>
      <c r="V505" s="166">
        <f t="shared" si="1415"/>
        <v>75653.589594398305</v>
      </c>
      <c r="W505" s="170"/>
      <c r="X505" s="174">
        <v>3992.6389329192502</v>
      </c>
      <c r="Y505" s="175">
        <v>3.9034582944649142E-2</v>
      </c>
      <c r="Z505" s="175">
        <f t="shared" si="1451"/>
        <v>6.2388011449206107E-4</v>
      </c>
      <c r="AA505" s="175"/>
      <c r="AB505" s="175"/>
      <c r="AC505" s="170">
        <f t="shared" si="1278"/>
        <v>163005.71556593553</v>
      </c>
      <c r="AD505" s="175">
        <f t="shared" si="1446"/>
        <v>6.0678305224230927E-2</v>
      </c>
      <c r="AE505" s="170"/>
      <c r="AF505" s="170"/>
      <c r="AG505" s="121">
        <f t="shared" si="1447"/>
        <v>390.46464997373562</v>
      </c>
      <c r="AH505" s="119">
        <f>+AZ505/$BB$49</f>
        <v>1.158537294647163E-2</v>
      </c>
      <c r="AI505" s="119"/>
      <c r="AJ505" s="176">
        <f t="shared" si="1452"/>
        <v>4.5236785923592313</v>
      </c>
      <c r="AK505" s="176">
        <f t="shared" si="1453"/>
        <v>0</v>
      </c>
      <c r="AL505" s="120">
        <f t="shared" si="1435"/>
        <v>0.2188900897149722</v>
      </c>
      <c r="AM505" s="120">
        <f t="shared" si="1436"/>
        <v>0.316993732936654</v>
      </c>
      <c r="AN505" s="120">
        <f t="shared" si="1437"/>
        <v>0.46411617734837374</v>
      </c>
      <c r="AO505" s="120">
        <f t="shared" si="1441"/>
        <v>1.6195269447085225E-2</v>
      </c>
      <c r="AP505" s="173">
        <f t="shared" si="1457"/>
        <v>112.65351110295968</v>
      </c>
      <c r="AQ505" s="175">
        <f t="shared" si="1458"/>
        <v>1.6195269447085256E-2</v>
      </c>
      <c r="AR505" s="177">
        <f>+AC505/$AE$49</f>
        <v>1.5982753431148994E-2</v>
      </c>
      <c r="AS505" s="177">
        <f t="shared" si="1454"/>
        <v>2.5884499832378436E-4</v>
      </c>
      <c r="AT505" s="177"/>
      <c r="AU505" s="177"/>
      <c r="AV505" s="177"/>
      <c r="AW505" s="190"/>
      <c r="AX505" s="120"/>
      <c r="AY505" s="120"/>
      <c r="AZ505" s="118">
        <f>IFERROR(INDEX('Total Customers'!$F$7:$AB$91,MATCH($C505,'Total Customers'!$D$7:$D$91,0),MATCH($G505,'Total Customers'!$F$5:$AB$5,0)),"NA")</f>
        <v>417466</v>
      </c>
      <c r="BA505" s="119">
        <f t="shared" si="1416"/>
        <v>-1.606026173259198E-3</v>
      </c>
      <c r="BB505" s="119"/>
      <c r="BC505" s="121"/>
      <c r="BD505" s="119"/>
      <c r="BE505" s="119"/>
      <c r="BF505" s="119"/>
      <c r="BG505" s="173"/>
      <c r="BH505" s="173"/>
      <c r="BI505" s="173"/>
      <c r="BJ505" s="173"/>
      <c r="BK505" s="173"/>
      <c r="BL505" s="173"/>
      <c r="BM505" s="173"/>
      <c r="BN505" s="173"/>
      <c r="BO505" s="173"/>
      <c r="BP505" s="173"/>
      <c r="BQ505" s="118"/>
      <c r="BR505" s="118"/>
      <c r="BS505" s="118">
        <f>INDEX('Dist. Plant Gas Additions'!$F$7:$AE$91,MATCH($C505,'Dist. Plant Gas Additions'!$D$7:$D$91,0),MATCH(Calculation!$G505,'Dist. Plant Gas Additions'!$F$5:$AE$5,0))</f>
        <v>108388</v>
      </c>
      <c r="BT505" s="118">
        <f>INDEX('Gen. Plant Additions'!$F$7:$AE$91,MATCH($C505,'Gen. Plant Additions'!$D$7:$D$91,0),MATCH(Calculation!$G505,'Gen. Plant Additions'!$F$5:$AE$5,0))</f>
        <v>1385</v>
      </c>
      <c r="BU505" s="118"/>
      <c r="BV505" s="118"/>
      <c r="BW505" s="118">
        <f>INDEX('Dist Plant Depreciation'!$E$7:$AD$94,MATCH($C505,'Dist Plant Depreciation'!$D$7:$D$94,0),MATCH(Calculation!$G505,'Dist Plant Depreciation'!$E$5:$AD$5,0))</f>
        <v>395902</v>
      </c>
      <c r="BX505" s="118">
        <f>INDEX('Gen. Plant Depreciation'!$E$7:$AD$94,MATCH($C505,'Gen. Plant Depreciation'!$D$7:$D$94,0),MATCH(Calculation!$G505,'Gen. Plant Depreciation'!$E$5:$AD$5,0))</f>
        <v>1260</v>
      </c>
      <c r="BY505" s="118"/>
      <c r="BZ505" s="118"/>
      <c r="CA505" s="118"/>
      <c r="CB505" s="118"/>
      <c r="CC505" s="118"/>
      <c r="CD505" s="118"/>
      <c r="CE505" s="118">
        <f>INDEX('Gross Dx Plant'!$E$7:$AD$91,MATCH($C505,'Gross Dx Plant'!$D$7:$D$91,0),MATCH(Calculation!$G505,'Gross Dx Plant'!$E$5:$AD$5,0))</f>
        <v>1509713</v>
      </c>
      <c r="CF505" s="118">
        <f>INDEX('Gross Gen Plant'!$E$7:$AD$91,MATCH($C505,'Gross Gen Plant'!$D$7:$D$91,0),MATCH(Calculation!$G505,'Gross Gen Plant'!$E$5:$AD$5,0))</f>
        <v>14005</v>
      </c>
      <c r="CG505" s="118">
        <f t="shared" si="1389"/>
        <v>1126556</v>
      </c>
      <c r="CH505" s="118"/>
      <c r="CI505" s="121">
        <v>2011</v>
      </c>
      <c r="CJ505" s="118"/>
      <c r="CK505" s="118"/>
      <c r="CL505" s="118"/>
      <c r="CM505" s="183"/>
      <c r="CN505" s="118">
        <f t="shared" si="1417"/>
        <v>109773</v>
      </c>
      <c r="CO505" s="118">
        <f t="shared" si="1418"/>
        <v>179.4817011919514</v>
      </c>
      <c r="CP505" s="186">
        <v>0.92121212121212126</v>
      </c>
      <c r="CQ505" s="118">
        <f>+CQ492*CP505+CO493*CP504+CO494*CP503+CO495*CP502+CO496*CP501+CO497*CP500+CO498*CP499+CO499*CP498+CO500*CP497+CO501*CP496+CO502*CP495+CO503*CP494+CO504*CP493+CO505</f>
        <v>3992.6389329192502</v>
      </c>
      <c r="CR505" s="119">
        <f t="shared" si="1419"/>
        <v>3.9034582944649142E-2</v>
      </c>
      <c r="CS505" s="119"/>
      <c r="CT505" s="177">
        <f t="shared" si="1420"/>
        <v>6.9361335194749428E-3</v>
      </c>
      <c r="CU505" s="177">
        <f t="shared" si="1428"/>
        <v>6.7587038345358437E-3</v>
      </c>
      <c r="CV505" s="119">
        <f>VLOOKUP($H505,RoR!$E:$F,2,FALSE)</f>
        <v>4.6391666666666664E-2</v>
      </c>
      <c r="CW505" s="177">
        <v>2.0840920205183799E-2</v>
      </c>
      <c r="CX505" s="177">
        <f t="shared" si="1426"/>
        <v>2.5550746461482865E-2</v>
      </c>
      <c r="CY505" s="177">
        <f t="shared" si="1429"/>
        <v>2.414323777399778E-2</v>
      </c>
      <c r="CZ505" s="177">
        <f t="shared" si="1430"/>
        <v>2.4810540821321614E-2</v>
      </c>
      <c r="DA505" s="187">
        <f t="shared" si="1421"/>
        <v>0.86875000000000002</v>
      </c>
      <c r="DB505" s="188">
        <f t="shared" si="1422"/>
        <v>1.1054151524782025</v>
      </c>
      <c r="DC505" s="188">
        <f t="shared" si="1423"/>
        <v>0.43611011316687626</v>
      </c>
      <c r="DD505" s="188">
        <f t="shared" si="1424"/>
        <v>0.83698442246886229</v>
      </c>
      <c r="DE505" s="188">
        <f t="shared" si="1425"/>
        <v>0.40349573304423936</v>
      </c>
      <c r="DF505" s="189">
        <f>INDEX('State Tax Lookup'!$D$7:$Z$91,MATCH(Calculation!$C505,'State Tax Lookup'!$B$7:$B$91,0),MATCH($H505,'State Tax Lookup'!$D$6:$Z$6,0))</f>
        <v>0.35</v>
      </c>
      <c r="DG505" s="189">
        <v>0.375</v>
      </c>
      <c r="DH505" s="190">
        <f t="shared" si="1427"/>
        <v>19.702530378405573</v>
      </c>
      <c r="DI505" s="190">
        <v>19.416149745861425</v>
      </c>
      <c r="DJ505" s="177"/>
      <c r="DK505" s="189">
        <f>VLOOKUP($H505,RoR!$E:$F,2,FALSE)</f>
        <v>4.6391666666666664E-2</v>
      </c>
      <c r="DL505" s="191">
        <f>HLOOKUP($H505,'GDP-PI'!$D$8:$CQ$11,3,FALSE)</f>
        <v>2.0840920205183799E-2</v>
      </c>
      <c r="DM505" s="189">
        <f>VLOOKUP(H505,'HW Dx Data'!$E:$F,2,FALSE)</f>
        <v>611.61109612283201</v>
      </c>
      <c r="DN505" s="183">
        <f>VLOOKUP(H505,'ECI - Input Price'!$G$17:$H$37,2,FALSE)</f>
        <v>114.3</v>
      </c>
      <c r="DO505" s="177">
        <f t="shared" ref="DO505" si="1465">LN(DN505/DN504)</f>
        <v>2.1444394205745516E-2</v>
      </c>
      <c r="DP505" s="183">
        <f>HLOOKUP(H505,'GDP-PI'!$8:$9,2,FALSE)</f>
        <v>98.111999999999995</v>
      </c>
      <c r="DQ505" s="177">
        <f t="shared" ref="DQ505" si="1466">LN(DP505/DP504)</f>
        <v>2.0626719212849295E-2</v>
      </c>
    </row>
    <row r="506" spans="1:121" s="167" customFormat="1" ht="21" x14ac:dyDescent="0.35">
      <c r="A506" s="167" t="s">
        <v>57</v>
      </c>
      <c r="B506" s="168" t="s">
        <v>57</v>
      </c>
      <c r="C506" s="168">
        <v>4057079</v>
      </c>
      <c r="D506" s="168" t="s">
        <v>138</v>
      </c>
      <c r="E506" s="168"/>
      <c r="F506" s="168"/>
      <c r="G506" s="168" t="s">
        <v>18</v>
      </c>
      <c r="H506" s="169">
        <v>2012</v>
      </c>
      <c r="I506" s="170"/>
      <c r="J506" s="166">
        <f>IFERROR(INDEX('Labor Expenditures'!$F$7:$X$91,MATCH($C506,'Labor Expenditures'!$D$7:$D$91,0),MATCH($G506,'Labor Expenditures'!$F$5:$X$5,0)),"NA")</f>
        <v>34291.315462757273</v>
      </c>
      <c r="K506" s="166">
        <f t="shared" si="1433"/>
        <v>294.34605547431136</v>
      </c>
      <c r="L506" s="172">
        <f t="shared" si="1440"/>
        <v>-5.8772290017415178E-2</v>
      </c>
      <c r="M506" s="172">
        <f t="shared" si="1444"/>
        <v>-9.3012926700755238E-4</v>
      </c>
      <c r="N506" s="196"/>
      <c r="O506" s="172"/>
      <c r="P506" s="166">
        <f>IFERROR(INDEX('Non-Labor Expenditures'!$F$7:$AB$91,MATCH($C506,'Non-Labor Expenditures'!$D$7:$D$91,0),MATCH($G506,'Non-Labor Expenditures'!$F$5:$AB$5,0)),"NA")</f>
        <v>49660.229524335162</v>
      </c>
      <c r="Q506" s="166">
        <f t="shared" si="1434"/>
        <v>496.60229524335159</v>
      </c>
      <c r="R506" s="172">
        <f t="shared" si="1445"/>
        <v>-5.8768090551167391E-2</v>
      </c>
      <c r="S506" s="172">
        <f t="shared" si="1450"/>
        <v>-9.3006280632579709E-4</v>
      </c>
      <c r="T506" s="172"/>
      <c r="U506" s="172"/>
      <c r="V506" s="166">
        <f t="shared" si="1415"/>
        <v>85171.664729795564</v>
      </c>
      <c r="W506" s="170"/>
      <c r="X506" s="174">
        <v>4144.4989613902007</v>
      </c>
      <c r="Y506" s="175">
        <v>3.7329504471336802E-2</v>
      </c>
      <c r="Z506" s="175">
        <f t="shared" si="1451"/>
        <v>5.9077610590622183E-4</v>
      </c>
      <c r="AA506" s="175"/>
      <c r="AB506" s="175"/>
      <c r="AC506" s="170">
        <f t="shared" si="1278"/>
        <v>169123.209716888</v>
      </c>
      <c r="AD506" s="175">
        <f t="shared" si="1446"/>
        <v>3.684223585959065E-2</v>
      </c>
      <c r="AE506" s="170"/>
      <c r="AF506" s="170"/>
      <c r="AG506" s="121">
        <f t="shared" si="1447"/>
        <v>404.28374317972504</v>
      </c>
      <c r="AH506" s="119">
        <f>+AZ506/$BB$50</f>
        <v>1.1553429353759836E-2</v>
      </c>
      <c r="AI506" s="119"/>
      <c r="AJ506" s="176">
        <f t="shared" si="1452"/>
        <v>4.670863665700538</v>
      </c>
      <c r="AK506" s="176">
        <f t="shared" si="1453"/>
        <v>0</v>
      </c>
      <c r="AL506" s="120">
        <f t="shared" si="1435"/>
        <v>0.20275937004838593</v>
      </c>
      <c r="AM506" s="120">
        <f t="shared" si="1436"/>
        <v>0.29363343805658793</v>
      </c>
      <c r="AN506" s="120">
        <f t="shared" si="1437"/>
        <v>0.50360719189502612</v>
      </c>
      <c r="AO506" s="120">
        <f t="shared" si="1441"/>
        <v>-1.2271031686821962E-2</v>
      </c>
      <c r="AP506" s="173">
        <f t="shared" si="1457"/>
        <v>111.27958329467585</v>
      </c>
      <c r="AQ506" s="175">
        <f t="shared" si="1458"/>
        <v>-1.227103168682191E-2</v>
      </c>
      <c r="AR506" s="177">
        <f>+AC506/$AE$50</f>
        <v>1.5825983073518832E-2</v>
      </c>
      <c r="AS506" s="177">
        <f t="shared" si="1454"/>
        <v>-1.9420113977025678E-4</v>
      </c>
      <c r="AT506" s="177"/>
      <c r="AU506" s="177"/>
      <c r="AV506" s="177"/>
      <c r="AW506" s="190"/>
      <c r="AX506" s="120"/>
      <c r="AY506" s="120"/>
      <c r="AZ506" s="118">
        <f>IFERROR(INDEX('Total Customers'!$F$7:$AB$91,MATCH($C506,'Total Customers'!$D$7:$D$91,0),MATCH($G506,'Total Customers'!$F$5:$AB$5,0)),"NA")</f>
        <v>418328</v>
      </c>
      <c r="BA506" s="119">
        <f t="shared" si="1416"/>
        <v>2.0627099635423698E-3</v>
      </c>
      <c r="BB506" s="119"/>
      <c r="BC506" s="121"/>
      <c r="BD506" s="119"/>
      <c r="BE506" s="119"/>
      <c r="BF506" s="119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18"/>
      <c r="BR506" s="118"/>
      <c r="BS506" s="118">
        <f>INDEX('Dist. Plant Gas Additions'!$F$7:$AE$91,MATCH($C506,'Dist. Plant Gas Additions'!$D$7:$D$91,0),MATCH(Calculation!$G506,'Dist. Plant Gas Additions'!$F$5:$AE$5,0))</f>
        <v>97772</v>
      </c>
      <c r="BT506" s="118">
        <f>INDEX('Gen. Plant Additions'!$F$7:$AE$91,MATCH($C506,'Gen. Plant Additions'!$D$7:$D$91,0),MATCH(Calculation!$G506,'Gen. Plant Additions'!$F$5:$AE$5,0))</f>
        <v>22851</v>
      </c>
      <c r="BU506" s="118"/>
      <c r="BV506" s="118"/>
      <c r="BW506" s="118">
        <f>INDEX('Dist Plant Depreciation'!$E$7:$AD$94,MATCH($C506,'Dist Plant Depreciation'!$D$7:$D$94,0),MATCH(Calculation!$G506,'Dist Plant Depreciation'!$E$5:$AD$5,0))</f>
        <v>415020</v>
      </c>
      <c r="BX506" s="118">
        <f>INDEX('Gen. Plant Depreciation'!$E$7:$AD$94,MATCH($C506,'Gen. Plant Depreciation'!$D$7:$D$94,0),MATCH(Calculation!$G506,'Gen. Plant Depreciation'!$E$5:$AD$5,0))</f>
        <v>4131</v>
      </c>
      <c r="BY506" s="118"/>
      <c r="BZ506" s="118"/>
      <c r="CA506" s="118"/>
      <c r="CB506" s="118"/>
      <c r="CC506" s="118"/>
      <c r="CD506" s="118"/>
      <c r="CE506" s="118">
        <f>INDEX('Gross Dx Plant'!$E$7:$AD$91,MATCH($C506,'Gross Dx Plant'!$D$7:$D$91,0),MATCH(Calculation!$G506,'Gross Dx Plant'!$E$5:$AD$5,0))</f>
        <v>1589967</v>
      </c>
      <c r="CF506" s="118">
        <f>INDEX('Gross Gen Plant'!$E$7:$AD$91,MATCH($C506,'Gross Gen Plant'!$D$7:$D$91,0),MATCH(Calculation!$G506,'Gross Gen Plant'!$E$5:$AD$5,0))</f>
        <v>40995</v>
      </c>
      <c r="CG506" s="118">
        <f t="shared" si="1389"/>
        <v>1211811</v>
      </c>
      <c r="CH506" s="118"/>
      <c r="CI506" s="121">
        <v>2012</v>
      </c>
      <c r="CJ506" s="118"/>
      <c r="CK506" s="118"/>
      <c r="CL506" s="118"/>
      <c r="CM506" s="183"/>
      <c r="CN506" s="118">
        <f t="shared" si="1417"/>
        <v>120623</v>
      </c>
      <c r="CO506" s="118">
        <f t="shared" si="1418"/>
        <v>180.32518423752674</v>
      </c>
      <c r="CP506" s="186">
        <v>0.9135802469135802</v>
      </c>
      <c r="CQ506" s="118">
        <f>+CQ492*CP506+CO493*CP505+CO494*CP504+CO495*CP503+CO496*CP502+CO497*CP501+CO498*CP500+CO499*CP499+CO500*CP498+CO501*CP497+CO502*CP496+CO503*CP495+CO504*CP494+CO505*CP493+CO506</f>
        <v>4144.4989613902007</v>
      </c>
      <c r="CR506" s="119">
        <f t="shared" si="1419"/>
        <v>3.7329504471336802E-2</v>
      </c>
      <c r="CS506" s="119"/>
      <c r="CT506" s="177">
        <f t="shared" si="1420"/>
        <v>7.1294089560369296E-3</v>
      </c>
      <c r="CU506" s="177">
        <f t="shared" si="1428"/>
        <v>6.9410770631124392E-3</v>
      </c>
      <c r="CV506" s="119">
        <f>VLOOKUP($H506,RoR!$E:$F,2,FALSE)</f>
        <v>3.6733333333333333E-2</v>
      </c>
      <c r="CW506" s="177">
        <v>1.924331376386168E-2</v>
      </c>
      <c r="CX506" s="177">
        <f t="shared" si="1426"/>
        <v>1.7490019569471653E-2</v>
      </c>
      <c r="CY506" s="177">
        <f t="shared" si="1429"/>
        <v>2.3960864545421186E-2</v>
      </c>
      <c r="CZ506" s="177">
        <f t="shared" si="1430"/>
        <v>6.7122682943869583E-2</v>
      </c>
      <c r="DA506" s="187">
        <f t="shared" si="1421"/>
        <v>0.86875000000000002</v>
      </c>
      <c r="DB506" s="188">
        <f t="shared" si="1422"/>
        <v>1.3960631020522127</v>
      </c>
      <c r="DC506" s="188">
        <f t="shared" si="1423"/>
        <v>0.29441923774954631</v>
      </c>
      <c r="DD506" s="188">
        <f t="shared" si="1424"/>
        <v>0.76377954189366437</v>
      </c>
      <c r="DE506" s="188">
        <f t="shared" si="1425"/>
        <v>0.31393465103033691</v>
      </c>
      <c r="DF506" s="189">
        <f>INDEX('State Tax Lookup'!$D$7:$Z$91,MATCH(Calculation!$C506,'State Tax Lookup'!$B$7:$B$91,0),MATCH($H506,'State Tax Lookup'!$D$6:$Z$6,0))</f>
        <v>0.35</v>
      </c>
      <c r="DG506" s="189">
        <v>0.375</v>
      </c>
      <c r="DH506" s="190">
        <f t="shared" si="1427"/>
        <v>21.332173071688608</v>
      </c>
      <c r="DI506" s="190">
        <v>21.0580353279165</v>
      </c>
      <c r="DJ506" s="177"/>
      <c r="DK506" s="189">
        <f>VLOOKUP($H506,RoR!$E:$F,2,FALSE)</f>
        <v>3.6733333333333333E-2</v>
      </c>
      <c r="DL506" s="191">
        <f>HLOOKUP($H506,'GDP-PI'!$D$8:$CQ$11,3,FALSE)</f>
        <v>1.924331376386168E-2</v>
      </c>
      <c r="DM506" s="189">
        <f>VLOOKUP(H506,'HW Dx Data'!$E:$F,2,FALSE)</f>
        <v>668.91932211262167</v>
      </c>
      <c r="DN506" s="183">
        <f>VLOOKUP(H506,'ECI - Input Price'!$G$17:$H$37,2,FALSE)</f>
        <v>116.5</v>
      </c>
      <c r="DO506" s="177">
        <f t="shared" ref="DO506" si="1467">LN(DN506/DN505)</f>
        <v>1.9064702204990347E-2</v>
      </c>
      <c r="DP506" s="183">
        <f>HLOOKUP(H506,'GDP-PI'!$8:$9,2,FALSE)</f>
        <v>100</v>
      </c>
      <c r="DQ506" s="177">
        <f t="shared" ref="DQ506" si="1468">LN(DP506/DP505)</f>
        <v>1.9060502738742411E-2</v>
      </c>
    </row>
    <row r="507" spans="1:121" s="167" customFormat="1" ht="21" x14ac:dyDescent="0.35">
      <c r="A507" s="167" t="s">
        <v>57</v>
      </c>
      <c r="B507" s="168" t="s">
        <v>57</v>
      </c>
      <c r="C507" s="168">
        <v>4057079</v>
      </c>
      <c r="D507" s="168" t="s">
        <v>138</v>
      </c>
      <c r="E507" s="168"/>
      <c r="F507" s="168"/>
      <c r="G507" s="168" t="s">
        <v>19</v>
      </c>
      <c r="H507" s="169">
        <v>2013</v>
      </c>
      <c r="I507" s="170"/>
      <c r="J507" s="166">
        <f>IFERROR(INDEX('Labor Expenditures'!$F$7:$X$91,MATCH($C507,'Labor Expenditures'!$D$7:$D$91,0),MATCH($G507,'Labor Expenditures'!$F$5:$X$5,0)),"NA")</f>
        <v>35622.457004582269</v>
      </c>
      <c r="K507" s="166">
        <f t="shared" si="1433"/>
        <v>300.04175198637415</v>
      </c>
      <c r="L507" s="172">
        <f t="shared" si="1440"/>
        <v>1.916550367664123E-2</v>
      </c>
      <c r="M507" s="172">
        <f t="shared" si="1444"/>
        <v>3.0126457048754277E-4</v>
      </c>
      <c r="N507" s="196"/>
      <c r="O507" s="172"/>
      <c r="P507" s="166">
        <f>IFERROR(INDEX('Non-Labor Expenditures'!$F$7:$AB$91,MATCH($C507,'Non-Labor Expenditures'!$D$7:$D$91,0),MATCH($G507,'Non-Labor Expenditures'!$F$5:$AB$5,0)),"NA")</f>
        <v>51587.971099842842</v>
      </c>
      <c r="Q507" s="166">
        <f t="shared" si="1434"/>
        <v>506.89250685194349</v>
      </c>
      <c r="R507" s="172">
        <f t="shared" si="1445"/>
        <v>2.0509468089561115E-2</v>
      </c>
      <c r="S507" s="172">
        <f t="shared" si="1450"/>
        <v>3.2239048861837317E-4</v>
      </c>
      <c r="T507" s="172"/>
      <c r="U507" s="172"/>
      <c r="V507" s="166">
        <f t="shared" si="1415"/>
        <v>87033.801388917549</v>
      </c>
      <c r="W507" s="170"/>
      <c r="X507" s="174">
        <v>4275.2526198194746</v>
      </c>
      <c r="Y507" s="175">
        <v>3.1061289548400567E-2</v>
      </c>
      <c r="Z507" s="175">
        <f t="shared" si="1451"/>
        <v>4.8825568127349296E-4</v>
      </c>
      <c r="AA507" s="175"/>
      <c r="AB507" s="175"/>
      <c r="AC507" s="170">
        <f t="shared" si="1278"/>
        <v>174244.22949334266</v>
      </c>
      <c r="AD507" s="175">
        <f t="shared" si="1446"/>
        <v>2.9830431968447091E-2</v>
      </c>
      <c r="AE507" s="170"/>
      <c r="AF507" s="170"/>
      <c r="AG507" s="121">
        <f t="shared" si="1447"/>
        <v>415.76903591681639</v>
      </c>
      <c r="AH507" s="119">
        <f>+AZ507/$BB$51</f>
        <v>1.1500447649623846E-2</v>
      </c>
      <c r="AI507" s="119"/>
      <c r="AJ507" s="176">
        <f t="shared" si="1452"/>
        <v>4.7815300318959233</v>
      </c>
      <c r="AK507" s="176">
        <f t="shared" si="1453"/>
        <v>0</v>
      </c>
      <c r="AL507" s="120">
        <f t="shared" si="1435"/>
        <v>0.20443980904368081</v>
      </c>
      <c r="AM507" s="120">
        <f t="shared" si="1436"/>
        <v>0.29606702758448517</v>
      </c>
      <c r="AN507" s="120">
        <f t="shared" si="1437"/>
        <v>0.49949316337183403</v>
      </c>
      <c r="AO507" s="120">
        <f t="shared" si="1441"/>
        <v>2.5528105413763318E-2</v>
      </c>
      <c r="AP507" s="173">
        <f t="shared" si="1457"/>
        <v>114.15691032393678</v>
      </c>
      <c r="AQ507" s="175">
        <f t="shared" si="1458"/>
        <v>2.5528105413763331E-2</v>
      </c>
      <c r="AR507" s="177">
        <f>+AC507/$AE$51</f>
        <v>1.5719105303489713E-2</v>
      </c>
      <c r="AS507" s="177">
        <f t="shared" si="1454"/>
        <v>4.0127897719753164E-4</v>
      </c>
      <c r="AT507" s="177"/>
      <c r="AU507" s="177"/>
      <c r="AV507" s="177"/>
      <c r="AW507" s="190"/>
      <c r="AX507" s="120"/>
      <c r="AY507" s="120"/>
      <c r="AZ507" s="118">
        <f>IFERROR(INDEX('Total Customers'!$F$7:$AB$91,MATCH($C507,'Total Customers'!$D$7:$D$91,0),MATCH($G507,'Total Customers'!$F$5:$AB$5,0)),"NA")</f>
        <v>419089</v>
      </c>
      <c r="BA507" s="119">
        <f t="shared" si="1416"/>
        <v>1.8174940548933416E-3</v>
      </c>
      <c r="BB507" s="119"/>
      <c r="BC507" s="121"/>
      <c r="BD507" s="119"/>
      <c r="BE507" s="119"/>
      <c r="BF507" s="119"/>
      <c r="BG507" s="173"/>
      <c r="BH507" s="173"/>
      <c r="BI507" s="173"/>
      <c r="BJ507" s="173"/>
      <c r="BK507" s="173"/>
      <c r="BL507" s="173"/>
      <c r="BM507" s="173"/>
      <c r="BN507" s="173"/>
      <c r="BO507" s="173"/>
      <c r="BP507" s="173"/>
      <c r="BQ507" s="118"/>
      <c r="BR507" s="118"/>
      <c r="BS507" s="118">
        <f>INDEX('Dist. Plant Gas Additions'!$F$7:$AE$91,MATCH($C507,'Dist. Plant Gas Additions'!$D$7:$D$91,0),MATCH(Calculation!$G507,'Dist. Plant Gas Additions'!$F$5:$AE$5,0))</f>
        <v>99677</v>
      </c>
      <c r="BT507" s="118">
        <f>INDEX('Gen. Plant Additions'!$F$7:$AE$91,MATCH($C507,'Gen. Plant Additions'!$D$7:$D$91,0),MATCH(Calculation!$G507,'Gen. Plant Additions'!$F$5:$AE$5,0))</f>
        <v>7194</v>
      </c>
      <c r="BU507" s="118"/>
      <c r="BV507" s="118"/>
      <c r="BW507" s="118">
        <f>INDEX('Dist Plant Depreciation'!$E$7:$AD$94,MATCH($C507,'Dist Plant Depreciation'!$D$7:$D$94,0),MATCH(Calculation!$G507,'Dist Plant Depreciation'!$E$5:$AD$5,0))</f>
        <v>441865</v>
      </c>
      <c r="BX507" s="118">
        <f>INDEX('Gen. Plant Depreciation'!$E$7:$AD$94,MATCH($C507,'Gen. Plant Depreciation'!$D$7:$D$94,0),MATCH(Calculation!$G507,'Gen. Plant Depreciation'!$E$5:$AD$5,0))</f>
        <v>6208</v>
      </c>
      <c r="BY507" s="118"/>
      <c r="BZ507" s="118"/>
      <c r="CA507" s="118"/>
      <c r="CB507" s="118"/>
      <c r="CC507" s="118"/>
      <c r="CD507" s="118"/>
      <c r="CE507" s="118">
        <f>INDEX('Gross Dx Plant'!$E$7:$AD$91,MATCH($C507,'Gross Dx Plant'!$D$7:$D$91,0),MATCH(Calculation!$G507,'Gross Dx Plant'!$E$5:$AD$5,0))</f>
        <v>1682128</v>
      </c>
      <c r="CF507" s="118">
        <f>INDEX('Gross Gen Plant'!$E$7:$AD$91,MATCH($C507,'Gross Gen Plant'!$D$7:$D$91,0),MATCH(Calculation!$G507,'Gross Gen Plant'!$E$5:$AD$5,0))</f>
        <v>48017</v>
      </c>
      <c r="CG507" s="118">
        <f t="shared" si="1389"/>
        <v>1282072</v>
      </c>
      <c r="CH507" s="118"/>
      <c r="CI507" s="121">
        <v>2013</v>
      </c>
      <c r="CJ507" s="118"/>
      <c r="CK507" s="118"/>
      <c r="CL507" s="118"/>
      <c r="CM507" s="183"/>
      <c r="CN507" s="118">
        <f t="shared" si="1417"/>
        <v>106871</v>
      </c>
      <c r="CO507" s="118">
        <f t="shared" si="1418"/>
        <v>161.13269043041689</v>
      </c>
      <c r="CP507" s="186">
        <v>0.90566037735849059</v>
      </c>
      <c r="CQ507" s="118">
        <f>+CQ492*CP507+CO493*CP506+CO494*CP505+CO495*CP504+CO496*CP503+CO497*CP502+CO498*CP501+CO499*CP500+CO500*CP499+CO501*CP498+CO502*CP497+CO503*CP496+CO504*CP495+CO505*CP494+CO506*CP493+CO507</f>
        <v>4275.2526198194746</v>
      </c>
      <c r="CR507" s="119">
        <f t="shared" si="1419"/>
        <v>3.1061289548400567E-2</v>
      </c>
      <c r="CS507" s="119"/>
      <c r="CT507" s="177">
        <f t="shared" si="1420"/>
        <v>7.3299649207664193E-3</v>
      </c>
      <c r="CU507" s="177">
        <f t="shared" si="1428"/>
        <v>7.1318357987594306E-3</v>
      </c>
      <c r="CV507" s="119">
        <f>VLOOKUP($H507,RoR!$E:$F,2,FALSE)</f>
        <v>4.2350000000000006E-2</v>
      </c>
      <c r="CW507" s="177">
        <v>1.7730000000000024E-2</v>
      </c>
      <c r="CX507" s="177">
        <f t="shared" si="1426"/>
        <v>2.4619999999999982E-2</v>
      </c>
      <c r="CY507" s="177">
        <f t="shared" si="1429"/>
        <v>2.3770105809774195E-2</v>
      </c>
      <c r="CZ507" s="177">
        <f t="shared" si="1430"/>
        <v>5.3376742735721204E-2</v>
      </c>
      <c r="DA507" s="187">
        <f t="shared" si="1421"/>
        <v>0.86875000000000002</v>
      </c>
      <c r="DB507" s="188">
        <f t="shared" si="1422"/>
        <v>1.2109103018193925</v>
      </c>
      <c r="DC507" s="188">
        <f t="shared" si="1423"/>
        <v>0.38468122786304604</v>
      </c>
      <c r="DD507" s="188">
        <f t="shared" si="1424"/>
        <v>0.80969194503422559</v>
      </c>
      <c r="DE507" s="188">
        <f t="shared" si="1425"/>
        <v>0.37716621754800816</v>
      </c>
      <c r="DF507" s="189">
        <f>INDEX('State Tax Lookup'!$D$7:$Z$91,MATCH(Calculation!$C507,'State Tax Lookup'!$B$7:$B$91,0),MATCH($H507,'State Tax Lookup'!$D$6:$Z$6,0))</f>
        <v>0.35</v>
      </c>
      <c r="DG507" s="189">
        <v>0.375</v>
      </c>
      <c r="DH507" s="190">
        <f t="shared" si="1427"/>
        <v>20.999836699132278</v>
      </c>
      <c r="DI507" s="190">
        <v>20.716757951267308</v>
      </c>
      <c r="DJ507" s="177"/>
      <c r="DK507" s="189">
        <f>VLOOKUP($H507,RoR!$E:$F,2,FALSE)</f>
        <v>4.2350000000000006E-2</v>
      </c>
      <c r="DL507" s="191">
        <f>HLOOKUP($H507,'GDP-PI'!$D$8:$CQ$11,3,FALSE)</f>
        <v>1.7730000000000024E-2</v>
      </c>
      <c r="DM507" s="189">
        <f>VLOOKUP(H507,'HW Dx Data'!$E:$F,2,FALSE)</f>
        <v>663.24840548821396</v>
      </c>
      <c r="DN507" s="183">
        <f>VLOOKUP(H507,'ECI - Input Price'!$G$17:$H$37,2,FALSE)</f>
        <v>118.72499999999999</v>
      </c>
      <c r="DO507" s="177">
        <f t="shared" ref="DO507" si="1469">LN(DN507/DN506)</f>
        <v>1.8918621429430321E-2</v>
      </c>
      <c r="DP507" s="183">
        <f>HLOOKUP(H507,'GDP-PI'!$8:$9,2,FALSE)</f>
        <v>101.773</v>
      </c>
      <c r="DQ507" s="177">
        <f t="shared" ref="DQ507" si="1470">LN(DP507/DP506)</f>
        <v>1.7574657016510519E-2</v>
      </c>
    </row>
    <row r="508" spans="1:121" s="167" customFormat="1" ht="21" x14ac:dyDescent="0.35">
      <c r="A508" s="167" t="s">
        <v>57</v>
      </c>
      <c r="B508" s="168" t="s">
        <v>57</v>
      </c>
      <c r="C508" s="168">
        <v>4057079</v>
      </c>
      <c r="D508" s="168" t="s">
        <v>138</v>
      </c>
      <c r="E508" s="168"/>
      <c r="F508" s="168"/>
      <c r="G508" s="168" t="s">
        <v>20</v>
      </c>
      <c r="H508" s="169">
        <v>2014</v>
      </c>
      <c r="I508" s="170"/>
      <c r="J508" s="166">
        <f>IFERROR(INDEX('Labor Expenditures'!$F$7:$X$91,MATCH($C508,'Labor Expenditures'!$D$7:$D$91,0),MATCH($G508,'Labor Expenditures'!$F$5:$X$5,0)),"NA")</f>
        <v>31611.211887846977</v>
      </c>
      <c r="K508" s="166">
        <f t="shared" si="1433"/>
        <v>260.81857993273081</v>
      </c>
      <c r="L508" s="172">
        <f t="shared" si="1440"/>
        <v>-0.14009656867215509</v>
      </c>
      <c r="M508" s="172">
        <f t="shared" si="1444"/>
        <v>-2.0846528329760273E-3</v>
      </c>
      <c r="N508" s="196"/>
      <c r="O508" s="172"/>
      <c r="P508" s="166">
        <f>IFERROR(INDEX('Non-Labor Expenditures'!$F$7:$AB$91,MATCH($C508,'Non-Labor Expenditures'!$D$7:$D$91,0),MATCH($G508,'Non-Labor Expenditures'!$F$5:$AB$5,0)),"NA")</f>
        <v>45778.938973566226</v>
      </c>
      <c r="Q508" s="166">
        <f t="shared" si="1434"/>
        <v>441.68127368439247</v>
      </c>
      <c r="R508" s="172">
        <f t="shared" si="1445"/>
        <v>-0.1377104413703823</v>
      </c>
      <c r="S508" s="172">
        <f t="shared" si="1450"/>
        <v>-2.0491469880675596E-3</v>
      </c>
      <c r="T508" s="172"/>
      <c r="U508" s="172"/>
      <c r="V508" s="166">
        <f t="shared" si="1415"/>
        <v>91942.644392311006</v>
      </c>
      <c r="W508" s="170"/>
      <c r="X508" s="174">
        <v>4383.0633026206997</v>
      </c>
      <c r="Y508" s="175">
        <v>2.4904671094930636E-2</v>
      </c>
      <c r="Z508" s="175">
        <f t="shared" si="1451"/>
        <v>3.705843308259571E-4</v>
      </c>
      <c r="AA508" s="175"/>
      <c r="AB508" s="175"/>
      <c r="AC508" s="170">
        <f t="shared" si="1278"/>
        <v>169332.79525372421</v>
      </c>
      <c r="AD508" s="175">
        <f t="shared" si="1446"/>
        <v>-2.8591951571897322E-2</v>
      </c>
      <c r="AE508" s="170"/>
      <c r="AF508" s="170"/>
      <c r="AG508" s="121">
        <f t="shared" si="1447"/>
        <v>401.58229124071352</v>
      </c>
      <c r="AH508" s="119">
        <f>+AZ508/$BB$52</f>
        <v>1.1508994992579222E-2</v>
      </c>
      <c r="AI508" s="119"/>
      <c r="AJ508" s="176">
        <f t="shared" si="1452"/>
        <v>4.6218085789978627</v>
      </c>
      <c r="AK508" s="176">
        <f t="shared" si="1453"/>
        <v>0</v>
      </c>
      <c r="AL508" s="120">
        <f t="shared" si="1435"/>
        <v>0.18668097836855227</v>
      </c>
      <c r="AM508" s="120">
        <f t="shared" si="1436"/>
        <v>0.27034892387485931</v>
      </c>
      <c r="AN508" s="120">
        <f t="shared" si="1437"/>
        <v>0.54297009775658844</v>
      </c>
      <c r="AO508" s="120">
        <f t="shared" si="1441"/>
        <v>-5.3416933140272266E-2</v>
      </c>
      <c r="AP508" s="173">
        <f t="shared" si="1457"/>
        <v>108.2190025420513</v>
      </c>
      <c r="AQ508" s="175">
        <f t="shared" si="1458"/>
        <v>-5.3416933140272273E-2</v>
      </c>
      <c r="AR508" s="177">
        <f>+AC508/$AE$52</f>
        <v>1.4880113429861348E-2</v>
      </c>
      <c r="AS508" s="177">
        <f t="shared" si="1454"/>
        <v>-7.948500242025712E-4</v>
      </c>
      <c r="AT508" s="177"/>
      <c r="AU508" s="177"/>
      <c r="AV508" s="177"/>
      <c r="AW508" s="190"/>
      <c r="AX508" s="120"/>
      <c r="AY508" s="120"/>
      <c r="AZ508" s="118">
        <f>IFERROR(INDEX('Total Customers'!$F$7:$AB$91,MATCH($C508,'Total Customers'!$D$7:$D$91,0),MATCH($G508,'Total Customers'!$F$5:$AB$5,0)),"NA")</f>
        <v>421664</v>
      </c>
      <c r="BA508" s="119">
        <f t="shared" si="1416"/>
        <v>6.1254804954271307E-3</v>
      </c>
      <c r="BB508" s="119"/>
      <c r="BC508" s="121"/>
      <c r="BD508" s="119"/>
      <c r="BE508" s="119"/>
      <c r="BF508" s="119"/>
      <c r="BG508" s="173"/>
      <c r="BH508" s="173"/>
      <c r="BI508" s="173"/>
      <c r="BJ508" s="173"/>
      <c r="BK508" s="173"/>
      <c r="BL508" s="173"/>
      <c r="BM508" s="173"/>
      <c r="BN508" s="173"/>
      <c r="BO508" s="173"/>
      <c r="BP508" s="173"/>
      <c r="BQ508" s="118"/>
      <c r="BR508" s="118"/>
      <c r="BS508" s="118">
        <f>INDEX('Dist. Plant Gas Additions'!$F$7:$AE$91,MATCH($C508,'Dist. Plant Gas Additions'!$D$7:$D$91,0),MATCH(Calculation!$G508,'Dist. Plant Gas Additions'!$F$5:$AE$5,0))</f>
        <v>92946</v>
      </c>
      <c r="BT508" s="118">
        <f>INDEX('Gen. Plant Additions'!$F$7:$AE$91,MATCH($C508,'Gen. Plant Additions'!$D$7:$D$91,0),MATCH(Calculation!$G508,'Gen. Plant Additions'!$F$5:$AE$5,0))</f>
        <v>2942</v>
      </c>
      <c r="BU508" s="118"/>
      <c r="BV508" s="118"/>
      <c r="BW508" s="118">
        <f>INDEX('Dist Plant Depreciation'!$E$7:$AD$94,MATCH($C508,'Dist Plant Depreciation'!$D$7:$D$94,0),MATCH(Calculation!$G508,'Dist Plant Depreciation'!$E$5:$AD$5,0))</f>
        <v>472311</v>
      </c>
      <c r="BX508" s="118">
        <f>INDEX('Gen. Plant Depreciation'!$E$7:$AD$94,MATCH($C508,'Gen. Plant Depreciation'!$D$7:$D$94,0),MATCH(Calculation!$G508,'Gen. Plant Depreciation'!$E$5:$AD$5,0))</f>
        <v>8681</v>
      </c>
      <c r="BY508" s="118"/>
      <c r="BZ508" s="118"/>
      <c r="CA508" s="118"/>
      <c r="CB508" s="118"/>
      <c r="CC508" s="118"/>
      <c r="CD508" s="118"/>
      <c r="CE508" s="118">
        <f>INDEX('Gross Dx Plant'!$E$7:$AD$91,MATCH($C508,'Gross Dx Plant'!$D$7:$D$91,0),MATCH(Calculation!$G508,'Gross Dx Plant'!$E$5:$AD$5,0))</f>
        <v>1767289</v>
      </c>
      <c r="CF508" s="118">
        <f>INDEX('Gross Gen Plant'!$E$7:$AD$91,MATCH($C508,'Gross Gen Plant'!$D$7:$D$91,0),MATCH(Calculation!$G508,'Gross Gen Plant'!$E$5:$AD$5,0))</f>
        <v>50959</v>
      </c>
      <c r="CG508" s="118">
        <f t="shared" si="1389"/>
        <v>1337256</v>
      </c>
      <c r="CH508" s="118"/>
      <c r="CI508" s="121">
        <v>2014</v>
      </c>
      <c r="CJ508" s="118"/>
      <c r="CK508" s="118"/>
      <c r="CL508" s="118"/>
      <c r="CM508" s="183"/>
      <c r="CN508" s="118">
        <f t="shared" si="1417"/>
        <v>95888</v>
      </c>
      <c r="CO508" s="118">
        <f t="shared" si="1418"/>
        <v>140.09104866390388</v>
      </c>
      <c r="CP508" s="186">
        <v>0.89743589743589747</v>
      </c>
      <c r="CQ508" s="118">
        <f>+CQ492*CP508+CO493*CP507+CO494*CP506+CO495*CP505+CO496*CP504+CO497*CP503+CO498*CP502+CO499*CP501+CO500*CP500+CO501*CP499+CO502*CP498+CO503*CP497+CO504*CP496+CO505*CP495+CO506*CP494+CO507*CP493+CO508</f>
        <v>4383.0633026206997</v>
      </c>
      <c r="CR508" s="119">
        <f t="shared" si="1419"/>
        <v>2.4904671094930636E-2</v>
      </c>
      <c r="CS508" s="119"/>
      <c r="CT508" s="177">
        <f t="shared" si="1420"/>
        <v>7.5505165970851688E-3</v>
      </c>
      <c r="CU508" s="177">
        <f t="shared" si="1428"/>
        <v>7.3366301579628401E-3</v>
      </c>
      <c r="CV508" s="119">
        <f>VLOOKUP($H508,RoR!$E:$F,2,FALSE)</f>
        <v>4.1625000000000002E-2</v>
      </c>
      <c r="CW508" s="177">
        <v>1.841352814597208E-2</v>
      </c>
      <c r="CX508" s="177">
        <f t="shared" si="1426"/>
        <v>2.3211471854027922E-2</v>
      </c>
      <c r="CY508" s="177">
        <f t="shared" si="1429"/>
        <v>2.3565311450570784E-2</v>
      </c>
      <c r="CZ508" s="177">
        <f t="shared" si="1430"/>
        <v>3.9072621432650924E-2</v>
      </c>
      <c r="DA508" s="187">
        <f t="shared" si="1421"/>
        <v>0.86875000000000002</v>
      </c>
      <c r="DB508" s="188">
        <f t="shared" si="1422"/>
        <v>1.2320012320012319</v>
      </c>
      <c r="DC508" s="188">
        <f t="shared" si="1423"/>
        <v>0.37439939939939942</v>
      </c>
      <c r="DD508" s="188">
        <f t="shared" si="1424"/>
        <v>0.80432100613819935</v>
      </c>
      <c r="DE508" s="188">
        <f t="shared" si="1425"/>
        <v>0.37100152660040037</v>
      </c>
      <c r="DF508" s="189">
        <f>INDEX('State Tax Lookup'!$D$7:$Z$91,MATCH(Calculation!$C508,'State Tax Lookup'!$B$7:$B$91,0),MATCH($H508,'State Tax Lookup'!$D$6:$Z$6,0))</f>
        <v>0.35</v>
      </c>
      <c r="DG508" s="189">
        <v>0.375</v>
      </c>
      <c r="DH508" s="190">
        <f t="shared" si="1427"/>
        <v>21.505780492614104</v>
      </c>
      <c r="DI508" s="190">
        <v>21.187925340438508</v>
      </c>
      <c r="DJ508" s="177"/>
      <c r="DK508" s="189">
        <f>VLOOKUP($H508,RoR!$E:$F,2,FALSE)</f>
        <v>4.1625000000000002E-2</v>
      </c>
      <c r="DL508" s="191">
        <f>HLOOKUP($H508,'GDP-PI'!$D$8:$CQ$11,3,FALSE)</f>
        <v>1.841352814597208E-2</v>
      </c>
      <c r="DM508" s="189">
        <f>VLOOKUP(H508,'HW Dx Data'!$E:$F,2,FALSE)</f>
        <v>684.46914285042885</v>
      </c>
      <c r="DN508" s="183">
        <f>VLOOKUP(H508,'ECI - Input Price'!$G$17:$H$37,2,FALSE)</f>
        <v>121.2</v>
      </c>
      <c r="DO508" s="177">
        <f t="shared" ref="DO508" si="1471">LN(DN508/DN507)</f>
        <v>2.0632179200028689E-2</v>
      </c>
      <c r="DP508" s="183">
        <f>HLOOKUP(H508,'GDP-PI'!$8:$9,2,FALSE)</f>
        <v>103.64700000000001</v>
      </c>
      <c r="DQ508" s="177">
        <f t="shared" ref="DQ508" si="1472">LN(DP508/DP507)</f>
        <v>1.8246051898256087E-2</v>
      </c>
    </row>
    <row r="509" spans="1:121" s="167" customFormat="1" ht="21" x14ac:dyDescent="0.35">
      <c r="A509" s="167" t="s">
        <v>57</v>
      </c>
      <c r="B509" s="168" t="s">
        <v>57</v>
      </c>
      <c r="C509" s="168">
        <v>4057079</v>
      </c>
      <c r="D509" s="168" t="s">
        <v>138</v>
      </c>
      <c r="E509" s="168"/>
      <c r="F509" s="168"/>
      <c r="G509" s="168" t="s">
        <v>21</v>
      </c>
      <c r="H509" s="169">
        <v>2015</v>
      </c>
      <c r="I509" s="170"/>
      <c r="J509" s="166">
        <f>IFERROR(INDEX('Labor Expenditures'!$F$7:$X$91,MATCH($C509,'Labor Expenditures'!$D$7:$D$91,0),MATCH($G509,'Labor Expenditures'!$F$5:$X$5,0)),"NA")</f>
        <v>33254.784623951644</v>
      </c>
      <c r="K509" s="166">
        <f t="shared" si="1433"/>
        <v>268.72553231476076</v>
      </c>
      <c r="L509" s="172">
        <f t="shared" si="1440"/>
        <v>2.9865463159264468E-2</v>
      </c>
      <c r="M509" s="172">
        <f t="shared" si="1444"/>
        <v>4.5152294834999136E-4</v>
      </c>
      <c r="N509" s="196"/>
      <c r="O509" s="172"/>
      <c r="P509" s="166">
        <f>IFERROR(INDEX('Non-Labor Expenditures'!$F$7:$AB$91,MATCH($C509,'Non-Labor Expenditures'!$D$7:$D$91,0),MATCH($G509,'Non-Labor Expenditures'!$F$5:$AB$5,0)),"NA")</f>
        <v>48159.139272488632</v>
      </c>
      <c r="Q509" s="166">
        <f t="shared" si="1434"/>
        <v>460.24082103698078</v>
      </c>
      <c r="R509" s="172">
        <f t="shared" si="1445"/>
        <v>4.1161354787407164E-2</v>
      </c>
      <c r="S509" s="172">
        <f t="shared" si="1450"/>
        <v>6.2230062104109138E-4</v>
      </c>
      <c r="T509" s="172"/>
      <c r="U509" s="172"/>
      <c r="V509" s="166">
        <f t="shared" si="1415"/>
        <v>92370.022515559831</v>
      </c>
      <c r="W509" s="170"/>
      <c r="X509" s="174">
        <v>4485.6799671080598</v>
      </c>
      <c r="Y509" s="175">
        <v>2.3142229091725655E-2</v>
      </c>
      <c r="Z509" s="175">
        <f t="shared" si="1451"/>
        <v>3.498772965670711E-4</v>
      </c>
      <c r="AA509" s="175"/>
      <c r="AB509" s="175"/>
      <c r="AC509" s="170">
        <f t="shared" si="1278"/>
        <v>173783.94641200011</v>
      </c>
      <c r="AD509" s="175">
        <f t="shared" si="1446"/>
        <v>2.5946859124942913E-2</v>
      </c>
      <c r="AE509" s="170"/>
      <c r="AF509" s="170"/>
      <c r="AG509" s="121">
        <f t="shared" si="1447"/>
        <v>410.96208160881241</v>
      </c>
      <c r="AH509" s="119">
        <f>+AZ509/$BB$53</f>
        <v>1.1448355192204497E-2</v>
      </c>
      <c r="AI509" s="119"/>
      <c r="AJ509" s="176">
        <f t="shared" si="1452"/>
        <v>4.7048398807854159</v>
      </c>
      <c r="AK509" s="176">
        <f t="shared" si="1453"/>
        <v>0</v>
      </c>
      <c r="AL509" s="120">
        <f t="shared" si="1435"/>
        <v>0.19135705748741899</v>
      </c>
      <c r="AM509" s="120">
        <f t="shared" si="1436"/>
        <v>0.27712075981008538</v>
      </c>
      <c r="AN509" s="120">
        <f t="shared" si="1437"/>
        <v>0.53152218270249563</v>
      </c>
      <c r="AO509" s="120">
        <f t="shared" si="1441"/>
        <v>2.9345510714918827E-2</v>
      </c>
      <c r="AP509" s="173">
        <f t="shared" si="1457"/>
        <v>111.44180049144963</v>
      </c>
      <c r="AQ509" s="175">
        <f t="shared" si="1458"/>
        <v>2.9345510714918904E-2</v>
      </c>
      <c r="AR509" s="177">
        <f>+AC509/$AE$53</f>
        <v>1.5118565077733471E-2</v>
      </c>
      <c r="AS509" s="177">
        <f t="shared" si="1454"/>
        <v>4.4366201348282634E-4</v>
      </c>
      <c r="AT509" s="177"/>
      <c r="AU509" s="177"/>
      <c r="AV509" s="177"/>
      <c r="AW509" s="190"/>
      <c r="AX509" s="120"/>
      <c r="AY509" s="120"/>
      <c r="AZ509" s="118">
        <f>IFERROR(INDEX('Total Customers'!$F$7:$AB$91,MATCH($C509,'Total Customers'!$D$7:$D$91,0),MATCH($G509,'Total Customers'!$F$5:$AB$5,0)),"NA")</f>
        <v>422871</v>
      </c>
      <c r="BA509" s="119">
        <f t="shared" si="1416"/>
        <v>2.8583796332876813E-3</v>
      </c>
      <c r="BB509" s="119"/>
      <c r="BC509" s="121"/>
      <c r="BD509" s="119"/>
      <c r="BE509" s="119"/>
      <c r="BF509" s="119"/>
      <c r="BG509" s="173"/>
      <c r="BH509" s="173"/>
      <c r="BI509" s="173"/>
      <c r="BJ509" s="173"/>
      <c r="BK509" s="173"/>
      <c r="BL509" s="173"/>
      <c r="BM509" s="173"/>
      <c r="BN509" s="173"/>
      <c r="BO509" s="173"/>
      <c r="BP509" s="173"/>
      <c r="BQ509" s="118"/>
      <c r="BR509" s="118"/>
      <c r="BS509" s="118">
        <f>INDEX('Dist. Plant Gas Additions'!$F$7:$AE$91,MATCH($C509,'Dist. Plant Gas Additions'!$D$7:$D$91,0),MATCH(Calculation!$G509,'Dist. Plant Gas Additions'!$F$5:$AE$5,0))</f>
        <v>90603</v>
      </c>
      <c r="BT509" s="118">
        <f>INDEX('Gen. Plant Additions'!$F$7:$AE$91,MATCH($C509,'Gen. Plant Additions'!$D$7:$D$91,0),MATCH(Calculation!$G509,'Gen. Plant Additions'!$F$5:$AE$5,0))</f>
        <v>1807</v>
      </c>
      <c r="BU509" s="118"/>
      <c r="BV509" s="118"/>
      <c r="BW509" s="118">
        <f>INDEX('Dist Plant Depreciation'!$E$7:$AD$94,MATCH($C509,'Dist Plant Depreciation'!$D$7:$D$94,0),MATCH(Calculation!$G509,'Dist Plant Depreciation'!$E$5:$AD$5,0))</f>
        <v>503566</v>
      </c>
      <c r="BX509" s="118">
        <f>INDEX('Gen. Plant Depreciation'!$E$7:$AD$94,MATCH($C509,'Gen. Plant Depreciation'!$D$7:$D$94,0),MATCH(Calculation!$G509,'Gen. Plant Depreciation'!$E$5:$AD$5,0))</f>
        <v>11170</v>
      </c>
      <c r="BY509" s="118"/>
      <c r="BZ509" s="118"/>
      <c r="CA509" s="118"/>
      <c r="CB509" s="118"/>
      <c r="CC509" s="118"/>
      <c r="CD509" s="118"/>
      <c r="CE509" s="118">
        <f>INDEX('Gross Dx Plant'!$E$7:$AD$91,MATCH($C509,'Gross Dx Plant'!$D$7:$D$91,0),MATCH(Calculation!$G509,'Gross Dx Plant'!$E$5:$AD$5,0))</f>
        <v>1847701</v>
      </c>
      <c r="CF509" s="118">
        <f>INDEX('Gross Gen Plant'!$E$7:$AD$91,MATCH($C509,'Gross Gen Plant'!$D$7:$D$91,0),MATCH(Calculation!$G509,'Gross Gen Plant'!$E$5:$AD$5,0))</f>
        <v>52808</v>
      </c>
      <c r="CG509" s="118">
        <f t="shared" si="1389"/>
        <v>1385773</v>
      </c>
      <c r="CH509" s="118"/>
      <c r="CI509" s="121">
        <v>2015</v>
      </c>
      <c r="CJ509" s="118"/>
      <c r="CK509" s="118"/>
      <c r="CL509" s="118"/>
      <c r="CM509" s="183"/>
      <c r="CN509" s="118">
        <f t="shared" si="1417"/>
        <v>92410</v>
      </c>
      <c r="CO509" s="118">
        <f t="shared" si="1418"/>
        <v>136.77915704372705</v>
      </c>
      <c r="CP509" s="186">
        <v>0.88888888888888884</v>
      </c>
      <c r="CQ509" s="118">
        <f>+CQ492*CP509+CO493*CP508+CO494*CP507+CO495*CP506+CO496*CP505+CO497*CP504+CO498*CP503+CO499*CP502+CO500*CP501+CO501*CP500+CO502*CP499+CO503*CP498+CO504*CP497+CO505*CP496+CO506*CP495+CO507*CP494+CO508*CP493+CO509</f>
        <v>4485.6799671080598</v>
      </c>
      <c r="CR509" s="119">
        <f t="shared" si="1419"/>
        <v>2.3142229091725655E-2</v>
      </c>
      <c r="CS509" s="119"/>
      <c r="CT509" s="177">
        <f t="shared" si="1420"/>
        <v>7.7942046914861217E-3</v>
      </c>
      <c r="CU509" s="177">
        <f t="shared" si="1428"/>
        <v>7.5582287364459036E-3</v>
      </c>
      <c r="CV509" s="119">
        <f>VLOOKUP($H509,RoR!$E:$F,2,FALSE)</f>
        <v>3.8866666666666674E-2</v>
      </c>
      <c r="CW509" s="177">
        <v>9.5709475431029478E-3</v>
      </c>
      <c r="CX509" s="177">
        <f t="shared" si="1426"/>
        <v>2.9295719123563727E-2</v>
      </c>
      <c r="CY509" s="177">
        <f t="shared" si="1429"/>
        <v>2.3343712872087721E-2</v>
      </c>
      <c r="CZ509" s="177">
        <f t="shared" si="1430"/>
        <v>3.5270373279175926E-3</v>
      </c>
      <c r="DA509" s="187">
        <f t="shared" si="1421"/>
        <v>0.86875000000000002</v>
      </c>
      <c r="DB509" s="188">
        <f t="shared" si="1422"/>
        <v>1.3194352816994324</v>
      </c>
      <c r="DC509" s="188">
        <f t="shared" si="1423"/>
        <v>0.33177530017152673</v>
      </c>
      <c r="DD509" s="188">
        <f t="shared" si="1424"/>
        <v>0.78242572977668579</v>
      </c>
      <c r="DE509" s="188">
        <f t="shared" si="1425"/>
        <v>0.34251158643433932</v>
      </c>
      <c r="DF509" s="189">
        <f>INDEX('State Tax Lookup'!$D$7:$Z$91,MATCH(Calculation!$C509,'State Tax Lookup'!$B$7:$B$91,0),MATCH($H509,'State Tax Lookup'!$D$6:$Z$6,0))</f>
        <v>0.35</v>
      </c>
      <c r="DG509" s="189">
        <v>0.375</v>
      </c>
      <c r="DH509" s="190">
        <f t="shared" si="1427"/>
        <v>21.074307199791161</v>
      </c>
      <c r="DI509" s="190">
        <v>20.714812260147738</v>
      </c>
      <c r="DJ509" s="177"/>
      <c r="DK509" s="189">
        <f>VLOOKUP($H509,RoR!$E:$F,2,FALSE)</f>
        <v>3.8866666666666674E-2</v>
      </c>
      <c r="DL509" s="191">
        <f>HLOOKUP($H509,'GDP-PI'!$D$8:$CQ$11,3,FALSE)</f>
        <v>9.5709475431029478E-3</v>
      </c>
      <c r="DM509" s="189">
        <f>VLOOKUP(H509,'HW Dx Data'!$E:$F,2,FALSE)</f>
        <v>675.61463308665782</v>
      </c>
      <c r="DN509" s="183">
        <f>VLOOKUP(H509,'ECI - Input Price'!$G$17:$H$37,2,FALSE)</f>
        <v>123.75</v>
      </c>
      <c r="DO509" s="177">
        <f t="shared" ref="DO509" si="1473">LN(DN509/DN508)</f>
        <v>2.0821327813585516E-2</v>
      </c>
      <c r="DP509" s="183">
        <f>HLOOKUP(H509,'GDP-PI'!$8:$9,2,FALSE)</f>
        <v>104.639</v>
      </c>
      <c r="DQ509" s="177">
        <f t="shared" ref="DQ509" si="1474">LN(DP509/DP508)</f>
        <v>9.5254361854427965E-3</v>
      </c>
    </row>
    <row r="510" spans="1:121" s="167" customFormat="1" ht="21" x14ac:dyDescent="0.35">
      <c r="A510" s="167" t="s">
        <v>57</v>
      </c>
      <c r="B510" s="168" t="s">
        <v>57</v>
      </c>
      <c r="C510" s="168">
        <v>4057079</v>
      </c>
      <c r="D510" s="168" t="s">
        <v>138</v>
      </c>
      <c r="E510" s="168"/>
      <c r="F510" s="168"/>
      <c r="G510" s="168" t="s">
        <v>22</v>
      </c>
      <c r="H510" s="169">
        <v>2016</v>
      </c>
      <c r="I510" s="170"/>
      <c r="J510" s="166">
        <f>IFERROR(INDEX('Labor Expenditures'!$F$7:$X$91,MATCH($C510,'Labor Expenditures'!$D$7:$D$91,0),MATCH($G510,'Labor Expenditures'!$F$5:$X$5,0)),"NA")</f>
        <v>30968.328792320583</v>
      </c>
      <c r="K510" s="166">
        <f t="shared" si="1433"/>
        <v>245.00260120506789</v>
      </c>
      <c r="L510" s="172">
        <f t="shared" si="1440"/>
        <v>-9.2421705095612955E-2</v>
      </c>
      <c r="M510" s="172">
        <f t="shared" si="1444"/>
        <v>-1.311177544278953E-3</v>
      </c>
      <c r="N510" s="196"/>
      <c r="O510" s="172"/>
      <c r="P510" s="166">
        <f>IFERROR(INDEX('Non-Labor Expenditures'!$F$7:$AB$91,MATCH($C510,'Non-Labor Expenditures'!$D$7:$D$91,0),MATCH($G510,'Non-Labor Expenditures'!$F$5:$AB$5,0)),"NA")</f>
        <v>44847.924177244713</v>
      </c>
      <c r="Q510" s="166">
        <f t="shared" si="1434"/>
        <v>424.14999789328812</v>
      </c>
      <c r="R510" s="172">
        <f t="shared" si="1445"/>
        <v>-8.1662715198860397E-2</v>
      </c>
      <c r="S510" s="172">
        <f t="shared" si="1450"/>
        <v>-1.1585408239636111E-3</v>
      </c>
      <c r="T510" s="172"/>
      <c r="U510" s="172"/>
      <c r="V510" s="166">
        <f t="shared" si="1415"/>
        <v>92977.872870079183</v>
      </c>
      <c r="W510" s="170"/>
      <c r="X510" s="174">
        <v>4567.5520487116328</v>
      </c>
      <c r="Y510" s="175">
        <v>1.8087311468802502E-2</v>
      </c>
      <c r="Z510" s="175">
        <f t="shared" si="1451"/>
        <v>2.5660289008667877E-4</v>
      </c>
      <c r="AA510" s="175"/>
      <c r="AB510" s="175"/>
      <c r="AC510" s="170">
        <f t="shared" ref="AC510:AC573" si="1475">+J510+P510+V510</f>
        <v>168794.12583964446</v>
      </c>
      <c r="AD510" s="175">
        <f t="shared" si="1446"/>
        <v>-2.9133058366612948E-2</v>
      </c>
      <c r="AE510" s="170"/>
      <c r="AF510" s="170"/>
      <c r="AG510" s="121">
        <f t="shared" si="1447"/>
        <v>397.35618487038266</v>
      </c>
      <c r="AH510" s="119">
        <f>+AZ510/$BB$54</f>
        <v>1.140102352670032E-2</v>
      </c>
      <c r="AI510" s="119"/>
      <c r="AJ510" s="176">
        <f t="shared" si="1452"/>
        <v>4.5302672121871144</v>
      </c>
      <c r="AK510" s="176">
        <f t="shared" si="1453"/>
        <v>0</v>
      </c>
      <c r="AL510" s="120">
        <f t="shared" si="1435"/>
        <v>0.18346804806312217</v>
      </c>
      <c r="AM510" s="120">
        <f t="shared" si="1436"/>
        <v>0.265696000699992</v>
      </c>
      <c r="AN510" s="120">
        <f t="shared" si="1437"/>
        <v>0.55083595123688589</v>
      </c>
      <c r="AO510" s="120">
        <f t="shared" si="1441"/>
        <v>-2.9696458598486561E-2</v>
      </c>
      <c r="AP510" s="173">
        <f t="shared" si="1457"/>
        <v>108.181029975733</v>
      </c>
      <c r="AQ510" s="175">
        <f t="shared" si="1458"/>
        <v>-2.969645859848653E-2</v>
      </c>
      <c r="AR510" s="177">
        <f>+AC510/$AE$54</f>
        <v>1.4186900608709843E-2</v>
      </c>
      <c r="AS510" s="177">
        <f t="shared" si="1454"/>
        <v>-4.2130070656739519E-4</v>
      </c>
      <c r="AT510" s="177"/>
      <c r="AU510" s="177"/>
      <c r="AV510" s="177"/>
      <c r="AW510" s="190"/>
      <c r="AX510" s="120"/>
      <c r="AY510" s="120"/>
      <c r="AZ510" s="118">
        <f>IFERROR(INDEX('Total Customers'!$F$7:$AB$91,MATCH($C510,'Total Customers'!$D$7:$D$91,0),MATCH($G510,'Total Customers'!$F$5:$AB$5,0)),"NA")</f>
        <v>424793</v>
      </c>
      <c r="BA510" s="119">
        <f t="shared" si="1416"/>
        <v>4.5348234530806541E-3</v>
      </c>
      <c r="BB510" s="119"/>
      <c r="BC510" s="121"/>
      <c r="BD510" s="119"/>
      <c r="BE510" s="119"/>
      <c r="BF510" s="119"/>
      <c r="BG510" s="173"/>
      <c r="BH510" s="173"/>
      <c r="BI510" s="173"/>
      <c r="BJ510" s="173"/>
      <c r="BK510" s="173"/>
      <c r="BL510" s="173"/>
      <c r="BM510" s="173"/>
      <c r="BN510" s="173"/>
      <c r="BO510" s="173"/>
      <c r="BP510" s="173"/>
      <c r="BQ510" s="118"/>
      <c r="BR510" s="118"/>
      <c r="BS510" s="118">
        <f>INDEX('Dist. Plant Gas Additions'!$F$7:$AE$91,MATCH($C510,'Dist. Plant Gas Additions'!$D$7:$D$91,0),MATCH(Calculation!$G510,'Dist. Plant Gas Additions'!$F$5:$AE$5,0))</f>
        <v>76635</v>
      </c>
      <c r="BT510" s="118">
        <f>INDEX('Gen. Plant Additions'!$F$7:$AE$91,MATCH($C510,'Gen. Plant Additions'!$D$7:$D$91,0),MATCH(Calculation!$G510,'Gen. Plant Additions'!$F$5:$AE$5,0))</f>
        <v>2589</v>
      </c>
      <c r="BU510" s="118"/>
      <c r="BV510" s="118"/>
      <c r="BW510" s="118">
        <f>INDEX('Dist Plant Depreciation'!$E$7:$AD$94,MATCH($C510,'Dist Plant Depreciation'!$D$7:$D$94,0),MATCH(Calculation!$G510,'Dist Plant Depreciation'!$E$5:$AD$5,0))</f>
        <v>529763</v>
      </c>
      <c r="BX510" s="118">
        <f>INDEX('Gen. Plant Depreciation'!$E$7:$AD$94,MATCH($C510,'Gen. Plant Depreciation'!$D$7:$D$94,0),MATCH(Calculation!$G510,'Gen. Plant Depreciation'!$E$5:$AD$5,0))</f>
        <v>13257</v>
      </c>
      <c r="BY510" s="118"/>
      <c r="BZ510" s="118"/>
      <c r="CA510" s="118"/>
      <c r="CB510" s="118"/>
      <c r="CC510" s="118"/>
      <c r="CD510" s="118"/>
      <c r="CE510" s="118">
        <f>INDEX('Gross Dx Plant'!$E$7:$AD$91,MATCH($C510,'Gross Dx Plant'!$D$7:$D$91,0),MATCH(Calculation!$G510,'Gross Dx Plant'!$E$5:$AD$5,0))</f>
        <v>1907745</v>
      </c>
      <c r="CF510" s="118">
        <f>INDEX('Gross Gen Plant'!$E$7:$AD$91,MATCH($C510,'Gross Gen Plant'!$D$7:$D$91,0),MATCH(Calculation!$G510,'Gross Gen Plant'!$E$5:$AD$5,0))</f>
        <v>52894</v>
      </c>
      <c r="CG510" s="118">
        <f t="shared" si="1389"/>
        <v>1417619</v>
      </c>
      <c r="CH510" s="118"/>
      <c r="CI510" s="121">
        <v>2016</v>
      </c>
      <c r="CJ510" s="118"/>
      <c r="CK510" s="118"/>
      <c r="CL510" s="118"/>
      <c r="CM510" s="183"/>
      <c r="CN510" s="118">
        <f t="shared" si="1417"/>
        <v>79224</v>
      </c>
      <c r="CO510" s="118">
        <f t="shared" si="1418"/>
        <v>117.98830232980448</v>
      </c>
      <c r="CP510" s="186">
        <v>0.88</v>
      </c>
      <c r="CQ510" s="118">
        <f>+CQ492*CP510+CO493*CP509+CO494*CP508+CO495*CP507+CO496*CP506+CO497*CP505+CO498*CP504+CO499*CP503+CO500*CP502+CO501*CP501+CO502*CP500+CO503*CP499+CO504*CP498+CO505*CP497+CO506*CP496+CO507*CP495+CO508*CP494+CO509*CP493+CO510</f>
        <v>4567.5520487116328</v>
      </c>
      <c r="CR510" s="119">
        <f t="shared" si="1419"/>
        <v>1.8087311468802502E-2</v>
      </c>
      <c r="CS510" s="119"/>
      <c r="CT510" s="177">
        <f t="shared" si="1420"/>
        <v>8.0514483848734848E-3</v>
      </c>
      <c r="CU510" s="177">
        <f t="shared" si="1428"/>
        <v>7.7987232244815926E-3</v>
      </c>
      <c r="CV510" s="119">
        <f>VLOOKUP($H510,RoR!$E:$F,2,FALSE)</f>
        <v>3.6658333333333334E-2</v>
      </c>
      <c r="CW510" s="177">
        <v>1.0483662879041455E-2</v>
      </c>
      <c r="CX510" s="177">
        <f t="shared" si="1426"/>
        <v>2.6174670454291879E-2</v>
      </c>
      <c r="CY510" s="177">
        <f t="shared" si="1429"/>
        <v>2.3103218384052032E-2</v>
      </c>
      <c r="CZ510" s="177">
        <f t="shared" si="1430"/>
        <v>4.301363574220729E-3</v>
      </c>
      <c r="DA510" s="187">
        <f t="shared" si="1421"/>
        <v>0.86875000000000002</v>
      </c>
      <c r="DB510" s="188">
        <f t="shared" si="1422"/>
        <v>1.3989193348138562</v>
      </c>
      <c r="DC510" s="188">
        <f t="shared" si="1423"/>
        <v>0.29302682427824522</v>
      </c>
      <c r="DD510" s="188">
        <f t="shared" si="1424"/>
        <v>0.76309497491941802</v>
      </c>
      <c r="DE510" s="188">
        <f t="shared" si="1425"/>
        <v>0.31280857135128509</v>
      </c>
      <c r="DF510" s="189">
        <f>INDEX('State Tax Lookup'!$D$7:$Z$91,MATCH(Calculation!$C510,'State Tax Lookup'!$B$7:$B$91,0),MATCH($H510,'State Tax Lookup'!$D$6:$Z$6,0))</f>
        <v>0.35</v>
      </c>
      <c r="DG510" s="189">
        <v>0.375</v>
      </c>
      <c r="DH510" s="190">
        <f t="shared" si="1427"/>
        <v>20.727709857112806</v>
      </c>
      <c r="DI510" s="190">
        <v>20.332349661909038</v>
      </c>
      <c r="DJ510" s="177"/>
      <c r="DK510" s="189">
        <f>VLOOKUP($H510,RoR!$E:$F,2,FALSE)</f>
        <v>3.6658333333333334E-2</v>
      </c>
      <c r="DL510" s="191">
        <f>HLOOKUP($H510,'GDP-PI'!$D$8:$CQ$11,3,FALSE)</f>
        <v>1.0483662879041455E-2</v>
      </c>
      <c r="DM510" s="189">
        <f>VLOOKUP(H510,'HW Dx Data'!$E:$F,2,FALSE)</f>
        <v>671.45639385971219</v>
      </c>
      <c r="DN510" s="183">
        <f>VLOOKUP(H510,'ECI - Input Price'!$G$17:$H$37,2,FALSE)</f>
        <v>126.4</v>
      </c>
      <c r="DO510" s="177">
        <f t="shared" ref="DO510" si="1476">LN(DN510/DN509)</f>
        <v>2.11880802639575E-2</v>
      </c>
      <c r="DP510" s="183">
        <f>HLOOKUP(H510,'GDP-PI'!$8:$9,2,FALSE)</f>
        <v>105.736</v>
      </c>
      <c r="DQ510" s="177">
        <f t="shared" ref="DQ510" si="1477">LN(DP510/DP509)</f>
        <v>1.0429090367205095E-2</v>
      </c>
    </row>
    <row r="511" spans="1:121" s="167" customFormat="1" ht="21" x14ac:dyDescent="0.35">
      <c r="A511" s="167" t="s">
        <v>57</v>
      </c>
      <c r="B511" s="168" t="s">
        <v>57</v>
      </c>
      <c r="C511" s="168">
        <v>4057079</v>
      </c>
      <c r="D511" s="168" t="s">
        <v>138</v>
      </c>
      <c r="E511" s="168"/>
      <c r="F511" s="168"/>
      <c r="G511" s="168" t="s">
        <v>23</v>
      </c>
      <c r="H511" s="169">
        <v>2017</v>
      </c>
      <c r="I511" s="170"/>
      <c r="J511" s="166">
        <f>IFERROR(INDEX('Labor Expenditures'!$F$7:$X$91,MATCH($C511,'Labor Expenditures'!$D$7:$D$91,0),MATCH($G511,'Labor Expenditures'!$F$5:$X$5,0)),"NA")</f>
        <v>31218.589340158771</v>
      </c>
      <c r="K511" s="166">
        <f t="shared" si="1433"/>
        <v>241.07018795489398</v>
      </c>
      <c r="L511" s="172">
        <f t="shared" si="1440"/>
        <v>-1.6180700234958652E-2</v>
      </c>
      <c r="M511" s="172">
        <f t="shared" si="1444"/>
        <v>-2.2266256755383001E-4</v>
      </c>
      <c r="N511" s="196"/>
      <c r="O511" s="172"/>
      <c r="P511" s="166">
        <f>IFERROR(INDEX('Non-Labor Expenditures'!$F$7:$AB$91,MATCH($C511,'Non-Labor Expenditures'!$D$7:$D$91,0),MATCH($G511,'Non-Labor Expenditures'!$F$5:$AB$5,0)),"NA")</f>
        <v>45210.348192737147</v>
      </c>
      <c r="Q511" s="166">
        <f t="shared" si="1434"/>
        <v>419.58170404671091</v>
      </c>
      <c r="R511" s="172">
        <f t="shared" si="1445"/>
        <v>-1.0828889035868429E-2</v>
      </c>
      <c r="S511" s="172">
        <f t="shared" si="1450"/>
        <v>-1.4901630964478125E-4</v>
      </c>
      <c r="T511" s="172"/>
      <c r="U511" s="172"/>
      <c r="V511" s="166">
        <f t="shared" si="1415"/>
        <v>86602.706316839191</v>
      </c>
      <c r="W511" s="170"/>
      <c r="X511" s="174">
        <v>4650.8933250785103</v>
      </c>
      <c r="Y511" s="175">
        <v>1.8081909414320283E-2</v>
      </c>
      <c r="Z511" s="175">
        <f t="shared" si="1451"/>
        <v>2.4882510138651072E-4</v>
      </c>
      <c r="AA511" s="175"/>
      <c r="AB511" s="175"/>
      <c r="AC511" s="170">
        <f t="shared" si="1475"/>
        <v>163031.64384973509</v>
      </c>
      <c r="AD511" s="175">
        <f t="shared" si="1446"/>
        <v>-3.4735466015525365E-2</v>
      </c>
      <c r="AE511" s="170"/>
      <c r="AF511" s="170"/>
      <c r="AG511" s="121">
        <f t="shared" si="1447"/>
        <v>380.88212899757519</v>
      </c>
      <c r="AH511" s="119">
        <f>+AZ511/$BB$55</f>
        <v>1.1401776502222431E-2</v>
      </c>
      <c r="AI511" s="119"/>
      <c r="AJ511" s="176">
        <f t="shared" si="1452"/>
        <v>4.3427329085210058</v>
      </c>
      <c r="AK511" s="176">
        <f t="shared" si="1453"/>
        <v>0</v>
      </c>
      <c r="AL511" s="120">
        <f t="shared" si="1435"/>
        <v>0.19148791365271814</v>
      </c>
      <c r="AM511" s="120">
        <f t="shared" si="1436"/>
        <v>0.27731026397799896</v>
      </c>
      <c r="AN511" s="120">
        <f t="shared" si="1437"/>
        <v>0.53120182236928304</v>
      </c>
      <c r="AO511" s="120">
        <f t="shared" si="1441"/>
        <v>3.8090522007027672E-3</v>
      </c>
      <c r="AP511" s="173">
        <f t="shared" si="1457"/>
        <v>108.59388295614379</v>
      </c>
      <c r="AQ511" s="175">
        <f t="shared" si="1458"/>
        <v>3.8090522007027581E-3</v>
      </c>
      <c r="AR511" s="177">
        <f>+AC511/$AE$55</f>
        <v>1.3760997010053008E-2</v>
      </c>
      <c r="AS511" s="177">
        <f t="shared" si="1454"/>
        <v>5.2416355945006482E-5</v>
      </c>
      <c r="AT511" s="177"/>
      <c r="AU511" s="177"/>
      <c r="AV511" s="177"/>
      <c r="AW511" s="190"/>
      <c r="AX511" s="120"/>
      <c r="AY511" s="120"/>
      <c r="AZ511" s="118">
        <f>IFERROR(INDEX('Total Customers'!$F$7:$AB$91,MATCH($C511,'Total Customers'!$D$7:$D$91,0),MATCH($G511,'Total Customers'!$F$5:$AB$5,0)),"NA")</f>
        <v>428037</v>
      </c>
      <c r="BA511" s="119">
        <f t="shared" si="1416"/>
        <v>7.6076489942528509E-3</v>
      </c>
      <c r="BB511" s="119"/>
      <c r="BC511" s="121"/>
      <c r="BD511" s="119"/>
      <c r="BE511" s="119"/>
      <c r="BF511" s="119"/>
      <c r="BG511" s="173"/>
      <c r="BH511" s="173"/>
      <c r="BI511" s="173"/>
      <c r="BJ511" s="173"/>
      <c r="BK511" s="173"/>
      <c r="BL511" s="173"/>
      <c r="BM511" s="173"/>
      <c r="BN511" s="173"/>
      <c r="BO511" s="173"/>
      <c r="BP511" s="173"/>
      <c r="BQ511" s="118"/>
      <c r="BR511" s="118"/>
      <c r="BS511" s="118">
        <f>INDEX('Dist. Plant Gas Additions'!$F$7:$AE$91,MATCH($C511,'Dist. Plant Gas Additions'!$D$7:$D$91,0),MATCH(Calculation!$G511,'Dist. Plant Gas Additions'!$F$5:$AE$5,0))</f>
        <v>84688</v>
      </c>
      <c r="BT511" s="118">
        <f>INDEX('Gen. Plant Additions'!$F$7:$AE$91,MATCH($C511,'Gen. Plant Additions'!$D$7:$D$91,0),MATCH(Calculation!$G511,'Gen. Plant Additions'!$F$5:$AE$5,0))</f>
        <v>1809</v>
      </c>
      <c r="BU511" s="118"/>
      <c r="BV511" s="118"/>
      <c r="BW511" s="118">
        <f>INDEX('Dist Plant Depreciation'!$E$7:$AD$94,MATCH($C511,'Dist Plant Depreciation'!$D$7:$D$94,0),MATCH(Calculation!$G511,'Dist Plant Depreciation'!$E$5:$AD$5,0))</f>
        <v>567172</v>
      </c>
      <c r="BX511" s="118">
        <f>INDEX('Gen. Plant Depreciation'!$E$7:$AD$94,MATCH($C511,'Gen. Plant Depreciation'!$D$7:$D$94,0),MATCH(Calculation!$G511,'Gen. Plant Depreciation'!$E$5:$AD$5,0))</f>
        <v>15532</v>
      </c>
      <c r="BY511" s="118"/>
      <c r="BZ511" s="118"/>
      <c r="CA511" s="118"/>
      <c r="CB511" s="118"/>
      <c r="CC511" s="118"/>
      <c r="CD511" s="118"/>
      <c r="CE511" s="118">
        <f>INDEX('Gross Dx Plant'!$E$7:$AD$91,MATCH($C511,'Gross Dx Plant'!$D$7:$D$91,0),MATCH(Calculation!$G511,'Gross Dx Plant'!$E$5:$AD$5,0))</f>
        <v>1986438</v>
      </c>
      <c r="CF511" s="118">
        <f>INDEX('Gross Gen Plant'!$E$7:$AD$91,MATCH($C511,'Gross Gen Plant'!$D$7:$D$91,0),MATCH(Calculation!$G511,'Gross Gen Plant'!$E$5:$AD$5,0))</f>
        <v>54320</v>
      </c>
      <c r="CG511" s="118">
        <f t="shared" si="1389"/>
        <v>1458054</v>
      </c>
      <c r="CH511" s="118"/>
      <c r="CI511" s="121">
        <v>2017</v>
      </c>
      <c r="CJ511" s="118"/>
      <c r="CK511" s="118"/>
      <c r="CL511" s="118"/>
      <c r="CM511" s="183"/>
      <c r="CN511" s="118">
        <f t="shared" si="1417"/>
        <v>86497</v>
      </c>
      <c r="CO511" s="118">
        <f t="shared" si="1418"/>
        <v>121.41146772985813</v>
      </c>
      <c r="CP511" s="186">
        <v>0.87074829931972786</v>
      </c>
      <c r="CQ511" s="118">
        <f>+CQ492*CP511+CO493*CP510+CO494*CP509+CO495*CP508+CO496*CP507+CO497*CP506+CO498*CP505+CO499*CP504+CO500*CP503+CO501*CP502+CO502*CP501+CO503*CP500+CO504*CP499+CO505*CP498+CO506*CP497+CO507*CP496+CO508*CP495+CO509*CP494+CO510*CP493+CO511</f>
        <v>4650.8933250785103</v>
      </c>
      <c r="CR511" s="119">
        <f t="shared" si="1419"/>
        <v>1.8081909414320283E-2</v>
      </c>
      <c r="CS511" s="119"/>
      <c r="CT511" s="177">
        <f t="shared" si="1420"/>
        <v>8.3349222859363005E-3</v>
      </c>
      <c r="CU511" s="177">
        <f t="shared" si="1428"/>
        <v>8.0601917874319699E-3</v>
      </c>
      <c r="CV511" s="119">
        <f>VLOOKUP($H511,RoR!$E:$F,2,FALSE)</f>
        <v>3.7433333333333339E-2</v>
      </c>
      <c r="CW511" s="177">
        <v>1.9056896421275615E-2</v>
      </c>
      <c r="CX511" s="177">
        <f t="shared" si="1426"/>
        <v>1.8376436912057724E-2</v>
      </c>
      <c r="CY511" s="177">
        <f t="shared" si="1429"/>
        <v>2.2841749821101653E-2</v>
      </c>
      <c r="CZ511" s="177">
        <f t="shared" si="1430"/>
        <v>1.3976271617800498E-2</v>
      </c>
      <c r="DA511" s="187">
        <f t="shared" si="1421"/>
        <v>0.92125000000000001</v>
      </c>
      <c r="DB511" s="188">
        <f t="shared" si="1422"/>
        <v>1.3699568463593395</v>
      </c>
      <c r="DC511" s="188">
        <f t="shared" si="1423"/>
        <v>0.30714603739982199</v>
      </c>
      <c r="DD511" s="188">
        <f t="shared" si="1424"/>
        <v>0.77007188472689425</v>
      </c>
      <c r="DE511" s="188">
        <f t="shared" si="1425"/>
        <v>0.32402839633793828</v>
      </c>
      <c r="DF511" s="189">
        <f>INDEX('State Tax Lookup'!$D$7:$Z$91,MATCH(Calculation!$C511,'State Tax Lookup'!$B$7:$B$91,0),MATCH($H511,'State Tax Lookup'!$D$6:$Z$6,0))</f>
        <v>0.20999999999999996</v>
      </c>
      <c r="DG511" s="189">
        <v>0.375</v>
      </c>
      <c r="DH511" s="190">
        <f t="shared" si="1427"/>
        <v>18.960420241137083</v>
      </c>
      <c r="DI511" s="190">
        <v>18.611665377596378</v>
      </c>
      <c r="DJ511" s="177"/>
      <c r="DK511" s="189">
        <f>VLOOKUP($H511,RoR!$E:$F,2,FALSE)</f>
        <v>3.7433333333333339E-2</v>
      </c>
      <c r="DL511" s="191">
        <f>HLOOKUP($H511,'GDP-PI'!$D$8:$CQ$11,3,FALSE)</f>
        <v>1.9056896421275615E-2</v>
      </c>
      <c r="DM511" s="189">
        <f>VLOOKUP(H511,'HW Dx Data'!$E:$F,2,FALSE)</f>
        <v>712.42858370229726</v>
      </c>
      <c r="DN511" s="183">
        <f>VLOOKUP(H511,'ECI - Input Price'!$G$17:$H$37,2,FALSE)</f>
        <v>129.5</v>
      </c>
      <c r="DO511" s="177">
        <f t="shared" ref="DO511" si="1478">LN(DN511/DN510)</f>
        <v>2.4229399426835413E-2</v>
      </c>
      <c r="DP511" s="183">
        <f>HLOOKUP(H511,'GDP-PI'!$8:$9,2,FALSE)</f>
        <v>107.751</v>
      </c>
      <c r="DQ511" s="177">
        <f t="shared" ref="DQ511" si="1479">LN(DP511/DP510)</f>
        <v>1.8877588227745139E-2</v>
      </c>
    </row>
    <row r="512" spans="1:121" s="167" customFormat="1" ht="21" x14ac:dyDescent="0.35">
      <c r="A512" s="167" t="s">
        <v>57</v>
      </c>
      <c r="B512" s="168" t="s">
        <v>57</v>
      </c>
      <c r="C512" s="168">
        <v>4057079</v>
      </c>
      <c r="D512" s="168" t="s">
        <v>138</v>
      </c>
      <c r="E512" s="168"/>
      <c r="F512" s="168"/>
      <c r="G512" s="168" t="s">
        <v>24</v>
      </c>
      <c r="H512" s="169">
        <v>2018</v>
      </c>
      <c r="I512" s="170"/>
      <c r="J512" s="166">
        <f>IFERROR(INDEX('Labor Expenditures'!$F$7:$X$91,MATCH($C512,'Labor Expenditures'!$D$7:$D$91,0),MATCH($G512,'Labor Expenditures'!$F$5:$X$5,0)),"NA")</f>
        <v>33767.489722012659</v>
      </c>
      <c r="K512" s="166">
        <f t="shared" si="1433"/>
        <v>253.4145570132282</v>
      </c>
      <c r="L512" s="172">
        <f t="shared" si="1440"/>
        <v>4.993858559683572E-2</v>
      </c>
      <c r="M512" s="172">
        <f t="shared" si="1444"/>
        <v>6.7789834078898689E-4</v>
      </c>
      <c r="N512" s="196"/>
      <c r="O512" s="172"/>
      <c r="P512" s="166">
        <f>IFERROR(INDEX('Non-Labor Expenditures'!$F$7:$AB$91,MATCH($C512,'Non-Labor Expenditures'!$D$7:$D$91,0),MATCH($G512,'Non-Labor Expenditures'!$F$5:$AB$5,0)),"NA")</f>
        <v>48901.632014584204</v>
      </c>
      <c r="Q512" s="166">
        <f t="shared" si="1434"/>
        <v>443.26274011152992</v>
      </c>
      <c r="R512" s="172">
        <f t="shared" si="1445"/>
        <v>5.4904414786688796E-2</v>
      </c>
      <c r="S512" s="172">
        <f t="shared" si="1450"/>
        <v>7.4530768625223165E-4</v>
      </c>
      <c r="T512" s="172"/>
      <c r="U512" s="172"/>
      <c r="V512" s="166">
        <f t="shared" si="1415"/>
        <v>92200.515762206895</v>
      </c>
      <c r="W512" s="170"/>
      <c r="X512" s="174">
        <v>4753.2254253234742</v>
      </c>
      <c r="Y512" s="175">
        <v>2.1764110447454282E-2</v>
      </c>
      <c r="Z512" s="175">
        <f t="shared" si="1451"/>
        <v>2.9543997261332862E-4</v>
      </c>
      <c r="AA512" s="175"/>
      <c r="AB512" s="175"/>
      <c r="AC512" s="170">
        <f t="shared" si="1475"/>
        <v>174869.63749880376</v>
      </c>
      <c r="AD512" s="175">
        <f t="shared" si="1446"/>
        <v>7.0096451735446624E-2</v>
      </c>
      <c r="AE512" s="170"/>
      <c r="AF512" s="170"/>
      <c r="AG512" s="121">
        <f t="shared" si="1447"/>
        <v>405.10403297643029</v>
      </c>
      <c r="AH512" s="119">
        <f>+AZ512/$BB$56</f>
        <v>1.1398564877096258E-2</v>
      </c>
      <c r="AI512" s="119"/>
      <c r="AJ512" s="176">
        <f t="shared" si="1452"/>
        <v>4.6176046018551826</v>
      </c>
      <c r="AK512" s="176">
        <f t="shared" si="1453"/>
        <v>0</v>
      </c>
      <c r="AL512" s="120">
        <f t="shared" si="1435"/>
        <v>0.19310093052742591</v>
      </c>
      <c r="AM512" s="120">
        <f t="shared" si="1436"/>
        <v>0.27964621368257098</v>
      </c>
      <c r="AN512" s="120">
        <f t="shared" si="1437"/>
        <v>0.52725285579000314</v>
      </c>
      <c r="AO512" s="120">
        <f t="shared" si="1441"/>
        <v>3.6410758450685365E-2</v>
      </c>
      <c r="AP512" s="173">
        <f t="shared" si="1457"/>
        <v>112.62073407835713</v>
      </c>
      <c r="AQ512" s="175">
        <f t="shared" si="1458"/>
        <v>3.6410758450685275E-2</v>
      </c>
      <c r="AR512" s="177">
        <f>+AC512/$AE$56</f>
        <v>1.3574640384527447E-2</v>
      </c>
      <c r="AS512" s="177">
        <f t="shared" si="1454"/>
        <v>4.9426295209594633E-4</v>
      </c>
      <c r="AT512" s="177"/>
      <c r="AU512" s="177"/>
      <c r="AV512" s="177"/>
      <c r="AW512" s="190"/>
      <c r="AX512" s="120"/>
      <c r="AY512" s="120"/>
      <c r="AZ512" s="118">
        <f>IFERROR(INDEX('Total Customers'!$F$7:$AB$91,MATCH($C512,'Total Customers'!$D$7:$D$91,0),MATCH($G512,'Total Customers'!$F$5:$AB$5,0)),"NA")</f>
        <v>431666</v>
      </c>
      <c r="BA512" s="119">
        <f t="shared" si="1416"/>
        <v>8.4425006193286078E-3</v>
      </c>
      <c r="BB512" s="119"/>
      <c r="BC512" s="121"/>
      <c r="BD512" s="119"/>
      <c r="BE512" s="119"/>
      <c r="BF512" s="119"/>
      <c r="BG512" s="173"/>
      <c r="BH512" s="173"/>
      <c r="BI512" s="173"/>
      <c r="BJ512" s="173"/>
      <c r="BK512" s="173"/>
      <c r="BL512" s="173"/>
      <c r="BM512" s="173"/>
      <c r="BN512" s="173"/>
      <c r="BO512" s="173"/>
      <c r="BP512" s="173"/>
      <c r="BQ512" s="118"/>
      <c r="BR512" s="118"/>
      <c r="BS512" s="118">
        <f>INDEX('Dist. Plant Gas Additions'!$F$7:$AE$91,MATCH($C512,'Dist. Plant Gas Additions'!$D$7:$D$91,0),MATCH(Calculation!$G512,'Dist. Plant Gas Additions'!$F$5:$AE$5,0))</f>
        <v>97092</v>
      </c>
      <c r="BT512" s="118">
        <f>INDEX('Gen. Plant Additions'!$F$7:$AE$91,MATCH($C512,'Gen. Plant Additions'!$D$7:$D$91,0),MATCH(Calculation!$G512,'Gen. Plant Additions'!$F$5:$AE$5,0))</f>
        <v>10493</v>
      </c>
      <c r="BU512" s="118"/>
      <c r="BV512" s="118"/>
      <c r="BW512" s="118">
        <f>INDEX('Dist Plant Depreciation'!$E$7:$AD$94,MATCH($C512,'Dist Plant Depreciation'!$D$7:$D$94,0),MATCH(Calculation!$G512,'Dist Plant Depreciation'!$E$5:$AD$5,0))</f>
        <v>586276</v>
      </c>
      <c r="BX512" s="118">
        <f>INDEX('Gen. Plant Depreciation'!$E$7:$AD$94,MATCH($C512,'Gen. Plant Depreciation'!$D$7:$D$94,0),MATCH(Calculation!$G512,'Gen. Plant Depreciation'!$E$5:$AD$5,0))</f>
        <v>18069</v>
      </c>
      <c r="BY512" s="118"/>
      <c r="BZ512" s="118"/>
      <c r="CA512" s="118"/>
      <c r="CB512" s="118"/>
      <c r="CC512" s="118"/>
      <c r="CD512" s="118"/>
      <c r="CE512" s="118">
        <f>INDEX('Gross Dx Plant'!$E$7:$AD$91,MATCH($C512,'Gross Dx Plant'!$D$7:$D$91,0),MATCH(Calculation!$G512,'Gross Dx Plant'!$E$5:$AD$5,0))</f>
        <v>2065217</v>
      </c>
      <c r="CF512" s="118">
        <f>INDEX('Gross Gen Plant'!$E$7:$AD$91,MATCH($C512,'Gross Gen Plant'!$D$7:$D$91,0),MATCH(Calculation!$G512,'Gross Gen Plant'!$E$5:$AD$5,0))</f>
        <v>64078</v>
      </c>
      <c r="CG512" s="118">
        <f t="shared" si="1389"/>
        <v>1524950</v>
      </c>
      <c r="CH512" s="118"/>
      <c r="CI512" s="121">
        <v>2018</v>
      </c>
      <c r="CJ512" s="118"/>
      <c r="CK512" s="118"/>
      <c r="CL512" s="118"/>
      <c r="CM512" s="183"/>
      <c r="CN512" s="118">
        <f t="shared" si="1417"/>
        <v>107585</v>
      </c>
      <c r="CO512" s="118">
        <f t="shared" si="1418"/>
        <v>142.47089031259947</v>
      </c>
      <c r="CP512" s="186">
        <v>0.86111111111111116</v>
      </c>
      <c r="CQ512" s="118">
        <f>+CQ492*CP512++CO493*CP511+CO494*CP510+CO495*CP509+CO496*CP508+CO497*CP507+CO498*CP506+CO499*CP505+CO500*CP504+CO501*CP503+CO502*CP502+CO503*CP501+CO504*CP500+CO505*CP499+CO506*CP498+CO507*CP497+CO508*CP496+CO509*CP495+CO510*CP494+CO511*CP493+CO512</f>
        <v>4753.2254253234742</v>
      </c>
      <c r="CR512" s="119">
        <f t="shared" si="1419"/>
        <v>2.1764110447454282E-2</v>
      </c>
      <c r="CS512" s="119"/>
      <c r="CT512" s="177">
        <f t="shared" si="1420"/>
        <v>8.6303398642148081E-3</v>
      </c>
      <c r="CU512" s="177">
        <f t="shared" si="1428"/>
        <v>8.3389035116748639E-3</v>
      </c>
      <c r="CV512" s="119">
        <f>VLOOKUP($H512,RoR!$E:$F,2,FALSE)</f>
        <v>3.9299999999999995E-2</v>
      </c>
      <c r="CW512" s="177">
        <v>2.386056741932796E-2</v>
      </c>
      <c r="CX512" s="177">
        <f t="shared" si="1426"/>
        <v>1.5439432580672034E-2</v>
      </c>
      <c r="CY512" s="177">
        <f t="shared" si="1429"/>
        <v>2.2563038096858761E-2</v>
      </c>
      <c r="CZ512" s="177">
        <f t="shared" si="1430"/>
        <v>3.8270792163076606E-2</v>
      </c>
      <c r="DA512" s="187">
        <f t="shared" si="1421"/>
        <v>0.92125000000000001</v>
      </c>
      <c r="DB512" s="188">
        <f t="shared" si="1422"/>
        <v>1.3048868010700074</v>
      </c>
      <c r="DC512" s="188">
        <f t="shared" si="1423"/>
        <v>0.33886768447837151</v>
      </c>
      <c r="DD512" s="188">
        <f t="shared" si="1424"/>
        <v>0.78602506232557801</v>
      </c>
      <c r="DE512" s="188">
        <f t="shared" si="1425"/>
        <v>0.34756768162358759</v>
      </c>
      <c r="DF512" s="189">
        <f>INDEX('State Tax Lookup'!$D$7:$Z$91,MATCH(Calculation!$C512,'State Tax Lookup'!$B$7:$B$91,0),MATCH($H512,'State Tax Lookup'!$D$6:$Z$6,0))</f>
        <v>0.20999999999999996</v>
      </c>
      <c r="DG512" s="189">
        <v>0.375</v>
      </c>
      <c r="DH512" s="190">
        <f t="shared" si="1427"/>
        <v>19.824259409486775</v>
      </c>
      <c r="DI512" s="190">
        <v>19.456423228108001</v>
      </c>
      <c r="DJ512" s="177"/>
      <c r="DK512" s="189">
        <f>VLOOKUP($H512,RoR!$E:$F,2,FALSE)</f>
        <v>3.9299999999999995E-2</v>
      </c>
      <c r="DL512" s="191">
        <f>HLOOKUP($H512,'GDP-PI'!$D$8:$CQ$11,3,FALSE)</f>
        <v>2.386056741932796E-2</v>
      </c>
      <c r="DM512" s="189">
        <f>VLOOKUP(H512,'HW Dx Data'!$E:$F,2,FALSE)</f>
        <v>755.13671434174842</v>
      </c>
      <c r="DN512" s="183">
        <f>VLOOKUP(H512,'ECI - Input Price'!$G$17:$H$37,2,FALSE)</f>
        <v>133.25</v>
      </c>
      <c r="DO512" s="177">
        <f t="shared" ref="DO512" si="1480">LN(DN512/DN511)</f>
        <v>2.8546181906361531E-2</v>
      </c>
      <c r="DP512" s="183">
        <f>HLOOKUP(H512,'GDP-PI'!$8:$9,2,FALSE)</f>
        <v>110.322</v>
      </c>
      <c r="DQ512" s="177">
        <f t="shared" ref="DQ512" si="1481">LN(DP512/DP511)</f>
        <v>2.3580352716508712E-2</v>
      </c>
    </row>
    <row r="513" spans="1:121" s="167" customFormat="1" ht="21" x14ac:dyDescent="0.35">
      <c r="A513" s="167" t="s">
        <v>57</v>
      </c>
      <c r="B513" s="168" t="s">
        <v>57</v>
      </c>
      <c r="C513" s="168">
        <v>4057079</v>
      </c>
      <c r="D513" s="168" t="s">
        <v>138</v>
      </c>
      <c r="E513" s="168"/>
      <c r="F513" s="168"/>
      <c r="G513" s="168" t="s">
        <v>25</v>
      </c>
      <c r="H513" s="169">
        <v>2019</v>
      </c>
      <c r="I513" s="170"/>
      <c r="J513" s="166">
        <f>IFERROR(INDEX('Labor Expenditures'!$F$7:$X$91,MATCH($C513,'Labor Expenditures'!$D$7:$D$91,0),MATCH($G513,'Labor Expenditures'!$F$5:$X$5,0)),"NA")</f>
        <v>32104.16031100625</v>
      </c>
      <c r="K513" s="166">
        <f t="shared" si="1433"/>
        <v>234.59379109248266</v>
      </c>
      <c r="L513" s="172">
        <f t="shared" si="1440"/>
        <v>-7.7171243076085153E-2</v>
      </c>
      <c r="M513" s="172">
        <f t="shared" si="1444"/>
        <v>-1.0097100245047923E-3</v>
      </c>
      <c r="N513" s="196"/>
      <c r="O513" s="172"/>
      <c r="P513" s="166">
        <f>IFERROR(INDEX('Non-Labor Expenditures'!$F$7:$AB$91,MATCH($C513,'Non-Labor Expenditures'!$D$7:$D$91,0),MATCH($G513,'Non-Labor Expenditures'!$F$5:$AB$5,0)),"NA")</f>
        <v>46492.820360366204</v>
      </c>
      <c r="Q513" s="166">
        <f t="shared" si="1434"/>
        <v>413.93917591451242</v>
      </c>
      <c r="R513" s="172">
        <f t="shared" si="1445"/>
        <v>-6.8443642086752951E-2</v>
      </c>
      <c r="S513" s="172">
        <f t="shared" si="1450"/>
        <v>-8.9551792577031498E-4</v>
      </c>
      <c r="T513" s="172"/>
      <c r="U513" s="172"/>
      <c r="V513" s="166">
        <f t="shared" si="1415"/>
        <v>95227.316550409465</v>
      </c>
      <c r="W513" s="170"/>
      <c r="X513" s="174">
        <v>4898.0472955315327</v>
      </c>
      <c r="Y513" s="175">
        <v>3.0013190058405068E-2</v>
      </c>
      <c r="Z513" s="175">
        <f t="shared" si="1451"/>
        <v>3.926931543588206E-4</v>
      </c>
      <c r="AA513" s="175"/>
      <c r="AB513" s="175"/>
      <c r="AC513" s="170">
        <f t="shared" si="1475"/>
        <v>173824.29722178192</v>
      </c>
      <c r="AD513" s="175">
        <f t="shared" si="1446"/>
        <v>-5.995764792712948E-3</v>
      </c>
      <c r="AE513" s="170"/>
      <c r="AF513" s="170"/>
      <c r="AG513" s="121">
        <f t="shared" si="1447"/>
        <v>399.79920194347454</v>
      </c>
      <c r="AH513" s="119">
        <f>+AZ513/$BB$57</f>
        <v>1.138683946724617E-2</v>
      </c>
      <c r="AI513" s="119"/>
      <c r="AJ513" s="176">
        <f t="shared" si="1452"/>
        <v>4.5524493316634773</v>
      </c>
      <c r="AK513" s="176">
        <f t="shared" si="1453"/>
        <v>0</v>
      </c>
      <c r="AL513" s="120">
        <f t="shared" si="1435"/>
        <v>0.18469316904554858</v>
      </c>
      <c r="AM513" s="120">
        <f t="shared" si="1436"/>
        <v>0.26747020470358152</v>
      </c>
      <c r="AN513" s="120">
        <f t="shared" si="1437"/>
        <v>0.54783662625086993</v>
      </c>
      <c r="AO513" s="120">
        <f t="shared" si="1441"/>
        <v>-1.7167307828189877E-2</v>
      </c>
      <c r="AP513" s="173">
        <f t="shared" si="1457"/>
        <v>110.70384029949923</v>
      </c>
      <c r="AQ513" s="175">
        <f t="shared" si="1458"/>
        <v>-1.716730782818986E-2</v>
      </c>
      <c r="AR513" s="177">
        <f>+AC513/$AE$57</f>
        <v>1.3084019179389048E-2</v>
      </c>
      <c r="AS513" s="177">
        <f t="shared" si="1454"/>
        <v>-2.2461738488251186E-4</v>
      </c>
      <c r="AT513" s="177"/>
      <c r="AU513" s="177"/>
      <c r="AV513" s="177"/>
      <c r="AW513" s="190"/>
      <c r="AX513" s="120"/>
      <c r="AY513" s="120"/>
      <c r="AZ513" s="118">
        <f>IFERROR(INDEX('Total Customers'!$F$7:$AB$91,MATCH($C513,'Total Customers'!$D$7:$D$91,0),MATCH($G513,'Total Customers'!$F$5:$AB$5,0)),"NA")</f>
        <v>434779</v>
      </c>
      <c r="BA513" s="119">
        <f t="shared" si="1416"/>
        <v>7.1857149497964153E-3</v>
      </c>
      <c r="BB513" s="119"/>
      <c r="BC513" s="121"/>
      <c r="BD513" s="119"/>
      <c r="BE513" s="119"/>
      <c r="BF513" s="119"/>
      <c r="BG513" s="173"/>
      <c r="BH513" s="173"/>
      <c r="BI513" s="173"/>
      <c r="BJ513" s="173"/>
      <c r="BK513" s="173"/>
      <c r="BL513" s="173"/>
      <c r="BM513" s="173"/>
      <c r="BN513" s="173"/>
      <c r="BO513" s="173"/>
      <c r="BP513" s="173"/>
      <c r="BQ513" s="118"/>
      <c r="BR513" s="118"/>
      <c r="BS513" s="118">
        <f>INDEX('Dist. Plant Gas Additions'!$F$7:$AE$91,MATCH($C513,'Dist. Plant Gas Additions'!$D$7:$D$91,0),MATCH(Calculation!$G513,'Dist. Plant Gas Additions'!$F$5:$AE$5,0))</f>
        <v>135381</v>
      </c>
      <c r="BT513" s="118">
        <f>INDEX('Gen. Plant Additions'!$F$7:$AE$91,MATCH($C513,'Gen. Plant Additions'!$D$7:$D$91,0),MATCH(Calculation!$G513,'Gen. Plant Additions'!$F$5:$AE$5,0))</f>
        <v>9456</v>
      </c>
      <c r="BU513" s="118"/>
      <c r="BV513" s="118"/>
      <c r="BW513" s="118">
        <f>INDEX('Dist Plant Depreciation'!$E$7:$AD$94,MATCH($C513,'Dist Plant Depreciation'!$D$7:$D$94,0),MATCH(Calculation!$G513,'Dist Plant Depreciation'!$E$5:$AD$5,0))</f>
        <v>631110</v>
      </c>
      <c r="BX513" s="118">
        <f>INDEX('Gen. Plant Depreciation'!$E$7:$AD$94,MATCH($C513,'Gen. Plant Depreciation'!$D$7:$D$94,0),MATCH(Calculation!$G513,'Gen. Plant Depreciation'!$E$5:$AD$5,0))</f>
        <v>22111</v>
      </c>
      <c r="BY513" s="118"/>
      <c r="BZ513" s="118"/>
      <c r="CA513" s="118"/>
      <c r="CB513" s="118"/>
      <c r="CC513" s="118"/>
      <c r="CD513" s="118"/>
      <c r="CE513" s="118">
        <f>INDEX('Gross Dx Plant'!$E$7:$AD$91,MATCH($C513,'Gross Dx Plant'!$D$7:$D$91,0),MATCH(Calculation!$G513,'Gross Dx Plant'!$E$5:$AD$5,0))</f>
        <v>2198754</v>
      </c>
      <c r="CF513" s="118">
        <f>INDEX('Gross Gen Plant'!$E$7:$AD$91,MATCH($C513,'Gross Gen Plant'!$D$7:$D$91,0),MATCH(Calculation!$G513,'Gross Gen Plant'!$E$5:$AD$5,0))</f>
        <v>73276</v>
      </c>
      <c r="CG513" s="118">
        <f t="shared" si="1389"/>
        <v>1618809</v>
      </c>
      <c r="CH513" s="118"/>
      <c r="CI513" s="121">
        <v>2019</v>
      </c>
      <c r="CJ513" s="118"/>
      <c r="CK513" s="118"/>
      <c r="CL513" s="118"/>
      <c r="CM513" s="183"/>
      <c r="CN513" s="118">
        <f t="shared" si="1417"/>
        <v>144837</v>
      </c>
      <c r="CO513" s="118">
        <f t="shared" si="1418"/>
        <v>187.23935601698298</v>
      </c>
      <c r="CP513" s="186">
        <v>0.85106382978723405</v>
      </c>
      <c r="CQ513" s="118">
        <f>CQ492*CP513+CO493*CP512+CO494*CP511+CO495*CP510+CO496*CP509+CO497*CP508+CO498*CP507+CO499*CP506+CO500*CP505+CO501*CP504+CO502*CP503+CO503*CP502+CO504*CP501+CO505*CP500+CO506*CP499+CO507*CP498+CO508*CP497+CO509*CP496+CO510*CP495+CO511*CP494+CO512*CP493+CO513</f>
        <v>4898.0472955315327</v>
      </c>
      <c r="CR513" s="119">
        <f t="shared" si="1419"/>
        <v>3.0013190058405068E-2</v>
      </c>
      <c r="CS513" s="119"/>
      <c r="CT513" s="177">
        <f t="shared" si="1420"/>
        <v>8.9239373295740172E-3</v>
      </c>
      <c r="CU513" s="177">
        <f t="shared" si="1428"/>
        <v>8.6297331599083753E-3</v>
      </c>
      <c r="CV513" s="119">
        <f>VLOOKUP($H513,RoR!$E:$F,2,FALSE)</f>
        <v>3.3875000000000009E-2</v>
      </c>
      <c r="CW513" s="177">
        <v>1.8092492884465461E-2</v>
      </c>
      <c r="CX513" s="177">
        <f t="shared" si="1426"/>
        <v>1.5782507115534548E-2</v>
      </c>
      <c r="CY513" s="177">
        <f t="shared" si="1429"/>
        <v>2.227220844862525E-2</v>
      </c>
      <c r="CZ513" s="177">
        <f t="shared" si="1430"/>
        <v>4.8445665544254078E-2</v>
      </c>
      <c r="DA513" s="187">
        <f t="shared" si="1421"/>
        <v>0.92125000000000001</v>
      </c>
      <c r="DB513" s="188">
        <f t="shared" si="1422"/>
        <v>1.513861292459078</v>
      </c>
      <c r="DC513" s="188">
        <f t="shared" si="1423"/>
        <v>0.23699261992619944</v>
      </c>
      <c r="DD513" s="188">
        <f t="shared" si="1424"/>
        <v>0.73619765810468829</v>
      </c>
      <c r="DE513" s="188">
        <f t="shared" si="1425"/>
        <v>0.26412854465362851</v>
      </c>
      <c r="DF513" s="189">
        <f>INDEX('State Tax Lookup'!$D$7:$Z$91,MATCH(Calculation!$C513,'State Tax Lookup'!$B$7:$B$91,0),MATCH($H513,'State Tax Lookup'!$D$6:$Z$6,0))</f>
        <v>0.20999999999999996</v>
      </c>
      <c r="DG513" s="189">
        <v>0.375</v>
      </c>
      <c r="DH513" s="190">
        <f t="shared" si="1427"/>
        <v>20.034252119218372</v>
      </c>
      <c r="DI513" s="190">
        <v>19.665843863619191</v>
      </c>
      <c r="DJ513" s="177"/>
      <c r="DK513" s="189">
        <f>VLOOKUP($H513,RoR!$E:$F,2,FALSE)</f>
        <v>3.3875000000000009E-2</v>
      </c>
      <c r="DL513" s="191">
        <f>HLOOKUP($H513,'GDP-PI'!$D$8:$CQ$11,3,FALSE)</f>
        <v>1.8092492884465461E-2</v>
      </c>
      <c r="DM513" s="189">
        <f>VLOOKUP(H513,'HW Dx Data'!$E:$F,2,FALSE)</f>
        <v>773.53929793938721</v>
      </c>
      <c r="DN513" s="183">
        <f>VLOOKUP(H513,'ECI - Input Price'!$G$17:$H$37,2,FALSE)</f>
        <v>136.85</v>
      </c>
      <c r="DO513" s="177">
        <f t="shared" ref="DO513" si="1482">LN(DN513/DN512)</f>
        <v>2.6658372440734168E-2</v>
      </c>
      <c r="DP513" s="183">
        <f>HLOOKUP(H513,'GDP-PI'!$8:$9,2,FALSE)</f>
        <v>112.318</v>
      </c>
      <c r="DQ513" s="177">
        <f t="shared" ref="DQ513" si="1483">LN(DP513/DP512)</f>
        <v>1.7930771451401852E-2</v>
      </c>
    </row>
    <row r="514" spans="1:121" s="167" customFormat="1" ht="21" x14ac:dyDescent="0.35">
      <c r="A514" s="167" t="s">
        <v>57</v>
      </c>
      <c r="B514" s="167" t="s">
        <v>57</v>
      </c>
      <c r="C514" s="167">
        <v>4057079</v>
      </c>
      <c r="D514" s="167" t="s">
        <v>138</v>
      </c>
      <c r="G514" s="168" t="s">
        <v>26</v>
      </c>
      <c r="H514" s="169">
        <v>2020</v>
      </c>
      <c r="I514" s="170"/>
      <c r="J514" s="166">
        <f>IFERROR(INDEX('Labor Expenditures'!$F$7:$X$91,MATCH($C514,'Labor Expenditures'!$D$7:$D$91,0),MATCH($G514,'Labor Expenditures'!$F$5:$X$5,0)),"NA")</f>
        <v>28927.718020136715</v>
      </c>
      <c r="K514" s="166">
        <f t="shared" si="1433"/>
        <v>205.96452844525965</v>
      </c>
      <c r="L514" s="172">
        <f t="shared" si="1440"/>
        <v>-0.13015150798816813</v>
      </c>
      <c r="M514" s="172">
        <f t="shared" si="1444"/>
        <v>-1.6407586485430645E-3</v>
      </c>
      <c r="N514" s="196"/>
      <c r="O514" s="172"/>
      <c r="P514" s="166">
        <f>IFERROR(INDEX('Non-Labor Expenditures'!$F$7:$AB$91,MATCH($C514,'Non-Labor Expenditures'!$D$7:$D$91,0),MATCH($G514,'Non-Labor Expenditures'!$F$5:$AB$5,0)),"NA")</f>
        <v>41892.738645603589</v>
      </c>
      <c r="Q514" s="166">
        <f t="shared" si="1434"/>
        <v>368.69945913770619</v>
      </c>
      <c r="R514" s="172">
        <f t="shared" si="1445"/>
        <v>-0.11573720665599643</v>
      </c>
      <c r="S514" s="172">
        <f t="shared" si="1450"/>
        <v>-1.4590443531111857E-3</v>
      </c>
      <c r="T514" s="172"/>
      <c r="U514" s="172"/>
      <c r="V514" s="166">
        <f t="shared" si="1415"/>
        <v>101846.98932092103</v>
      </c>
      <c r="W514" s="170"/>
      <c r="X514" s="174">
        <v>5056.2661952734425</v>
      </c>
      <c r="Y514" s="175">
        <v>3.1791690266330615E-2</v>
      </c>
      <c r="Z514" s="175">
        <f t="shared" si="1451"/>
        <v>4.0078283811376451E-4</v>
      </c>
      <c r="AA514" s="175"/>
      <c r="AB514" s="175"/>
      <c r="AC514" s="170">
        <f t="shared" si="1475"/>
        <v>172667.44598666133</v>
      </c>
      <c r="AD514" s="175">
        <f t="shared" si="1446"/>
        <v>-6.6775359379244378E-3</v>
      </c>
      <c r="AE514" s="170"/>
      <c r="AF514" s="170"/>
      <c r="AG514" s="121">
        <f t="shared" si="1447"/>
        <v>393.01822060664443</v>
      </c>
      <c r="AH514" s="119">
        <f>+AZ514/$BB$58</f>
        <v>1.1425317432198155E-2</v>
      </c>
      <c r="AI514" s="119"/>
      <c r="AJ514" s="176">
        <f t="shared" si="1452"/>
        <v>4.4903579270685947</v>
      </c>
      <c r="AK514" s="176">
        <f t="shared" si="1453"/>
        <v>0</v>
      </c>
      <c r="AL514" s="120">
        <f t="shared" si="1435"/>
        <v>0.1675342902933272</v>
      </c>
      <c r="AM514" s="120">
        <f t="shared" si="1436"/>
        <v>0.24262094343388751</v>
      </c>
      <c r="AN514" s="120">
        <f t="shared" si="1437"/>
        <v>0.58984476627278526</v>
      </c>
      <c r="AO514" s="120">
        <f t="shared" si="1441"/>
        <v>-3.435532258014843E-2</v>
      </c>
      <c r="AP514" s="173">
        <f t="shared" si="1457"/>
        <v>106.96516359632518</v>
      </c>
      <c r="AQ514" s="175">
        <f t="shared" si="1458"/>
        <v>-3.4355322580148458E-2</v>
      </c>
      <c r="AR514" s="177">
        <f>+AC514/$AE$58</f>
        <v>1.2606528144815835E-2</v>
      </c>
      <c r="AS514" s="177">
        <f t="shared" si="1454"/>
        <v>-4.331013410308685E-4</v>
      </c>
      <c r="AT514" s="177"/>
      <c r="AU514" s="177"/>
      <c r="AV514" s="177"/>
      <c r="AW514" s="190"/>
      <c r="AX514" s="120"/>
      <c r="AY514" s="120"/>
      <c r="AZ514" s="118">
        <f>IFERROR(INDEX('Total Customers'!$F$7:$AB$91,MATCH($C514,'Total Customers'!$D$7:$D$91,0),MATCH($G514,'Total Customers'!$F$5:$AB$5,0)),"NA")</f>
        <v>439337</v>
      </c>
      <c r="BA514" s="119">
        <f t="shared" si="1416"/>
        <v>1.0428916325683196E-2</v>
      </c>
      <c r="BB514" s="119"/>
      <c r="BC514" s="121"/>
      <c r="BD514" s="119"/>
      <c r="BE514" s="119"/>
      <c r="BF514" s="119"/>
      <c r="BG514" s="173"/>
      <c r="BH514" s="173"/>
      <c r="BI514" s="173"/>
      <c r="BJ514" s="173"/>
      <c r="BK514" s="173"/>
      <c r="BL514" s="173"/>
      <c r="BM514" s="173"/>
      <c r="BN514" s="173"/>
      <c r="BO514" s="173"/>
      <c r="BP514" s="173"/>
      <c r="BQ514" s="118"/>
      <c r="BR514" s="118"/>
      <c r="BS514" s="118">
        <f>INDEX('Dist. Plant Gas Additions'!$F$7:$AE$91,MATCH($C514,'Dist. Plant Gas Additions'!$D$7:$D$91,0),MATCH(Calculation!$G514,'Dist. Plant Gas Additions'!$F$5:$AE$5,0))</f>
        <v>150021</v>
      </c>
      <c r="BT514" s="118">
        <f>INDEX('Gen. Plant Additions'!$F$7:$AE$91,MATCH($C514,'Gen. Plant Additions'!$D$7:$D$91,0),MATCH(Calculation!$G514,'Gen. Plant Additions'!$F$5:$AE$5,0))</f>
        <v>15241</v>
      </c>
      <c r="BU514" s="118"/>
      <c r="BV514" s="118"/>
      <c r="BW514" s="118">
        <f>INDEX('Dist Plant Depreciation'!$E$7:$AD$94,MATCH($C514,'Dist Plant Depreciation'!$D$7:$D$94,0),MATCH(Calculation!$G514,'Dist Plant Depreciation'!$E$5:$AD$5,0))</f>
        <v>674286</v>
      </c>
      <c r="BX514" s="118">
        <f>INDEX('Gen. Plant Depreciation'!$E$7:$AD$94,MATCH($C514,'Gen. Plant Depreciation'!$D$7:$D$94,0),MATCH(Calculation!$G514,'Gen. Plant Depreciation'!$E$5:$AD$5,0))</f>
        <v>24961</v>
      </c>
      <c r="BY514" s="118"/>
      <c r="BZ514" s="118"/>
      <c r="CA514" s="118"/>
      <c r="CB514" s="118"/>
      <c r="CC514" s="118"/>
      <c r="CD514" s="118"/>
      <c r="CE514" s="118">
        <f>INDEX('Gross Dx Plant'!$E$7:$AD$91,MATCH($C514,'Gross Dx Plant'!$D$7:$D$91,0),MATCH(Calculation!$G514,'Gross Dx Plant'!$E$5:$AD$5,0))</f>
        <v>2341981</v>
      </c>
      <c r="CF514" s="118">
        <f>INDEX('Gross Gen Plant'!$E$7:$AD$91,MATCH($C514,'Gross Gen Plant'!$D$7:$D$91,0),MATCH(Calculation!$G514,'Gross Gen Plant'!$E$5:$AD$5,0))</f>
        <v>87731</v>
      </c>
      <c r="CG514" s="118">
        <f t="shared" si="1389"/>
        <v>1730465</v>
      </c>
      <c r="CH514" s="118"/>
      <c r="CI514" s="121">
        <v>2020</v>
      </c>
      <c r="CJ514" s="118"/>
      <c r="CK514" s="118"/>
      <c r="CL514" s="118"/>
      <c r="CM514" s="183"/>
      <c r="CN514" s="118">
        <f t="shared" si="1417"/>
        <v>165262</v>
      </c>
      <c r="CO514" s="118">
        <f t="shared" si="1418"/>
        <v>203.25425170899723</v>
      </c>
      <c r="CP514" s="186">
        <v>0.84057971014492749</v>
      </c>
      <c r="CQ514" s="118">
        <f>CQ492*CP514+CO493*CP513+CO494*CP512+CO495*CP511+CO496*CP510+CO497*CP509+CO498*CP508+CO499*CP507+CO500*CP506+CO501*CP505+CO502*CP504+CO503*CP503+CO504*CP502+CO505*CP501+CO506*CP500+CO507*CP499+CO508*CP498+CO509*CP497+CO510*CP496+CO511*CP495+CO512*CP494+CO513*CP493+CO514</f>
        <v>5056.2661952734425</v>
      </c>
      <c r="CR514" s="119">
        <f t="shared" si="1419"/>
        <v>3.1791690266330615E-2</v>
      </c>
      <c r="CS514" s="119"/>
      <c r="CT514" s="177">
        <f t="shared" si="1420"/>
        <v>9.1945522878419273E-3</v>
      </c>
      <c r="CU514" s="177">
        <f t="shared" si="1428"/>
        <v>8.9162764938769175E-3</v>
      </c>
      <c r="CV514" s="119">
        <f>VLOOKUP($H514,RoR!$E:$F,2,FALSE)</f>
        <v>2.4766666666666666E-2</v>
      </c>
      <c r="CW514" s="177">
        <v>1.1618796630994188E-2</v>
      </c>
      <c r="CX514" s="177">
        <f t="shared" si="1426"/>
        <v>1.3147870035672478E-2</v>
      </c>
      <c r="CY514" s="177">
        <f t="shared" si="1429"/>
        <v>2.1985665114656709E-2</v>
      </c>
      <c r="CZ514" s="177">
        <f t="shared" si="1430"/>
        <v>4.5144642961987357E-2</v>
      </c>
      <c r="DA514" s="187">
        <f t="shared" si="1421"/>
        <v>0.92125000000000001</v>
      </c>
      <c r="DB514" s="188">
        <f t="shared" si="1422"/>
        <v>2.0706077233668081</v>
      </c>
      <c r="DC514" s="188">
        <f t="shared" si="1423"/>
        <v>-3.4421265141318998E-2</v>
      </c>
      <c r="DD514" s="188">
        <f t="shared" si="1424"/>
        <v>0.62416226176410472</v>
      </c>
      <c r="DE514" s="188">
        <f t="shared" si="1425"/>
        <v>-4.4485877841158712E-2</v>
      </c>
      <c r="DF514" s="189">
        <f>INDEX('State Tax Lookup'!$D$7:$Z$91,MATCH(Calculation!$C514,'State Tax Lookup'!$B$7:$B$91,0),MATCH($H514,'State Tax Lookup'!$D$6:$Z$6,0))</f>
        <v>0.20999999999999996</v>
      </c>
      <c r="DG514" s="189">
        <v>0.375</v>
      </c>
      <c r="DH514" s="190">
        <f t="shared" si="1427"/>
        <v>20.793386256975428</v>
      </c>
      <c r="DI514" s="190">
        <v>20.459066959366986</v>
      </c>
      <c r="DJ514" s="177"/>
      <c r="DK514" s="189">
        <f>VLOOKUP($H514,RoR!$E:$F,2,FALSE)</f>
        <v>2.4766666666666666E-2</v>
      </c>
      <c r="DL514" s="191">
        <f>HLOOKUP($H514,'GDP-PI'!$D$8:$CQ$11,3,FALSE)</f>
        <v>1.1618796630994188E-2</v>
      </c>
      <c r="DM514" s="189">
        <f>VLOOKUP(H514,'HW Dx Data'!$E:$F,2,FALSE)</f>
        <v>813.080162458833</v>
      </c>
      <c r="DN514" s="183">
        <f>VLOOKUP(H514,'ECI - Input Price'!$G$17:$H$37,2,FALSE)</f>
        <v>140.44999999999999</v>
      </c>
      <c r="DO514" s="177">
        <f t="shared" ref="DO514" si="1484">LN(DN514/DN513)</f>
        <v>2.5966118063564539E-2</v>
      </c>
      <c r="DP514" s="183">
        <f>HLOOKUP(H514,'GDP-PI'!$8:$9,2,FALSE)</f>
        <v>113.623</v>
      </c>
      <c r="DQ514" s="177">
        <f t="shared" ref="DQ514" si="1485">LN(DP514/DP513)</f>
        <v>1.1551816731392881E-2</v>
      </c>
    </row>
    <row r="515" spans="1:121" s="167" customFormat="1" ht="21" x14ac:dyDescent="0.35">
      <c r="A515" s="167" t="s">
        <v>57</v>
      </c>
      <c r="B515" s="167" t="s">
        <v>57</v>
      </c>
      <c r="C515" s="167">
        <v>4057079</v>
      </c>
      <c r="D515" s="167" t="s">
        <v>138</v>
      </c>
      <c r="G515" s="168" t="s">
        <v>462</v>
      </c>
      <c r="H515" s="169">
        <v>2021</v>
      </c>
      <c r="I515" s="170"/>
      <c r="J515" s="166">
        <f>IFERROR(INDEX('Labor Expenditures'!$E$7:$X$91,MATCH($C515,'Labor Expenditures'!$D$7:$D$91,0),MATCH($G515,'Labor Expenditures'!$E$5:$X$5,0)),"NA")</f>
        <v>35560.634030984511</v>
      </c>
      <c r="K515" s="166">
        <f t="shared" si="1433"/>
        <v>244.44498388715934</v>
      </c>
      <c r="L515" s="171">
        <f t="shared" si="1440"/>
        <v>0.17128630686932755</v>
      </c>
      <c r="M515" s="172">
        <f t="shared" si="1444"/>
        <v>2.6479667288307985E-3</v>
      </c>
      <c r="N515" s="196"/>
      <c r="O515" s="172"/>
      <c r="P515" s="166">
        <f>IFERROR(INDEX('Non-Labor Expenditures'!$E$7:$AB$91,MATCH($C515,'Non-Labor Expenditures'!$D$7:$D$91,0),MATCH($G515,'Non-Labor Expenditures'!$E$5:$AB$5,0)),"NA")</f>
        <v>50127.64074247214</v>
      </c>
      <c r="Q515" s="166">
        <f t="shared" si="1434"/>
        <v>423.05376607707097</v>
      </c>
      <c r="R515" s="172">
        <f t="shared" si="1445"/>
        <v>0.13751743923919105</v>
      </c>
      <c r="S515" s="172">
        <f t="shared" si="1450"/>
        <v>2.1259236093938813E-3</v>
      </c>
      <c r="T515" s="172"/>
      <c r="U515" s="172"/>
      <c r="V515" s="166">
        <f t="shared" si="1415"/>
        <v>142312.11398393475</v>
      </c>
      <c r="W515" s="170"/>
      <c r="X515" s="174">
        <v>5306.9016738616492</v>
      </c>
      <c r="Y515" s="175"/>
      <c r="Z515" s="175">
        <f t="shared" si="1451"/>
        <v>0</v>
      </c>
      <c r="AA515" s="175"/>
      <c r="AB515" s="175"/>
      <c r="AC515" s="170">
        <f t="shared" si="1475"/>
        <v>228000.3887573914</v>
      </c>
      <c r="AD515" s="175">
        <f t="shared" si="1446"/>
        <v>0.27797986701181482</v>
      </c>
      <c r="AE515" s="118"/>
      <c r="AF515" s="119"/>
      <c r="AG515" s="121">
        <f t="shared" si="1447"/>
        <v>514.55392709458386</v>
      </c>
      <c r="AH515" s="119">
        <f>+AZ515/$BB$59</f>
        <v>1.1368560528479593E-2</v>
      </c>
      <c r="AI515" s="119"/>
      <c r="AJ515" s="176">
        <f t="shared" si="1452"/>
        <v>5.8497374653416525</v>
      </c>
      <c r="AK515" s="176">
        <f t="shared" si="1453"/>
        <v>0</v>
      </c>
      <c r="AL515" s="120">
        <f t="shared" si="1435"/>
        <v>0.15596742718199288</v>
      </c>
      <c r="AM515" s="120">
        <f t="shared" si="1436"/>
        <v>0.219857698557749</v>
      </c>
      <c r="AN515" s="120">
        <f t="shared" si="1437"/>
        <v>0.62417487426025808</v>
      </c>
      <c r="AO515" s="120">
        <f t="shared" si="1441"/>
        <v>5.9505146500870326E-2</v>
      </c>
      <c r="AP515" s="173">
        <f t="shared" si="1457"/>
        <v>113.52332859530452</v>
      </c>
      <c r="AQ515" s="175">
        <f t="shared" si="1458"/>
        <v>5.9505146500870403E-2</v>
      </c>
      <c r="AR515" s="177">
        <f>+AC515/$AE$59</f>
        <v>1.5459301897675354E-2</v>
      </c>
      <c r="AS515" s="177">
        <f t="shared" si="1454"/>
        <v>9.1990802422235577E-4</v>
      </c>
      <c r="AT515" s="177"/>
      <c r="AU515" s="177"/>
      <c r="AV515" s="177"/>
      <c r="AW515" s="190"/>
      <c r="AX515" s="120"/>
      <c r="AY515" s="120"/>
      <c r="AZ515" s="118">
        <f>INDEX('Total Customers'!$E$7:$E$91,MATCH(Calculation!$C515,'Total Customers'!$D$7:$D$91,0))</f>
        <v>443103</v>
      </c>
      <c r="BA515" s="119">
        <f t="shared" si="1416"/>
        <v>8.5354763249572748E-3</v>
      </c>
      <c r="BB515" s="118"/>
      <c r="BC515" s="121"/>
      <c r="BD515" s="118"/>
      <c r="BE515" s="119"/>
      <c r="BF515" s="119"/>
      <c r="BG515" s="173"/>
      <c r="BH515" s="173"/>
      <c r="BI515" s="173"/>
      <c r="BJ515" s="173"/>
      <c r="BK515" s="173"/>
      <c r="BL515" s="173"/>
      <c r="BM515" s="173"/>
      <c r="BN515" s="173"/>
      <c r="BO515" s="173"/>
      <c r="BP515" s="173"/>
      <c r="BQ515" s="118"/>
      <c r="BR515" s="118"/>
      <c r="BS515" s="118">
        <f>INDEX('Dist. Plant Gas Additions'!$E$7:$AE$91,MATCH($C515,'Dist. Plant Gas Additions'!$D$7:$D$91,0),MATCH(Calculation!$G515,'Dist. Plant Gas Additions'!$E$5:$AE$5,0))</f>
        <v>217785</v>
      </c>
      <c r="BT515" s="118">
        <f>INDEX('Gen. Plant Additions'!$E$7:$AE$91,MATCH($C515,'Gen. Plant Additions'!$D$7:$D$91,0),MATCH(Calculation!$G515,'Gen. Plant Additions'!$E$5:$AE$5,0))</f>
        <v>699</v>
      </c>
      <c r="BU515" s="118"/>
      <c r="BV515" s="118"/>
      <c r="BW515" s="118"/>
      <c r="BX515" s="118"/>
      <c r="BY515" s="183"/>
      <c r="BZ515" s="183"/>
      <c r="CA515" s="178"/>
      <c r="CB515" s="184"/>
      <c r="CC515" s="185"/>
      <c r="CD515" s="185"/>
      <c r="CE515" s="118"/>
      <c r="CF515" s="118"/>
      <c r="CG515" s="118"/>
      <c r="CH515" s="118"/>
      <c r="CI515" s="121">
        <v>2021</v>
      </c>
      <c r="CJ515" s="118"/>
      <c r="CK515" s="118"/>
      <c r="CL515" s="118"/>
      <c r="CM515" s="183"/>
      <c r="CN515" s="118">
        <f t="shared" si="1417"/>
        <v>218484</v>
      </c>
      <c r="CO515" s="118">
        <f t="shared" si="1418"/>
        <v>234.1679864991907</v>
      </c>
      <c r="CP515" s="186">
        <f>+(51-23)/(51-23*0.75)</f>
        <v>0.82962962962962961</v>
      </c>
      <c r="CQ515" s="118">
        <f>CQ492*CP515+CO493*CP514+CO494*CP513+CO495*CP512+CO496*CP511+CO497*CP510+CO498*CP509+CO499*CP508+CO500*CP507+CO501*CP506+CO502*CP505+CO503*CP504+CO504*CP503+CO505*CP502+CO506*CP501+CO497*CP500+CO508*CP499+CO509*CP498+CO510*CP497+CO511*CP496+CO512*CP495+CO513*CP494+CO515+CO514*CP493</f>
        <v>5306.9016738616492</v>
      </c>
      <c r="CR515" s="119"/>
      <c r="CS515" s="118"/>
      <c r="CT515" s="177">
        <f t="shared" si="1420"/>
        <v>-3.2568483250367095E-3</v>
      </c>
      <c r="CU515" s="177">
        <f t="shared" si="1428"/>
        <v>4.9538804307930782E-3</v>
      </c>
      <c r="CV515" s="119">
        <f>VLOOKUP($H515,RoR!$E:$F,2,FALSE)</f>
        <v>2.7033333333333336E-2</v>
      </c>
      <c r="CW515" s="177"/>
      <c r="CX515" s="177"/>
      <c r="CY515" s="177">
        <f t="shared" si="1429"/>
        <v>2.5948061177740546E-2</v>
      </c>
      <c r="CZ515" s="177">
        <f t="shared" si="1430"/>
        <v>7.433422950153494E-2</v>
      </c>
      <c r="DA515" s="187">
        <f t="shared" si="1421"/>
        <v>0.92125000000000001</v>
      </c>
      <c r="DB515" s="188">
        <f t="shared" si="1422"/>
        <v>1.8969932656739068</v>
      </c>
      <c r="DC515" s="188">
        <f t="shared" si="1423"/>
        <v>5.0215782983970621E-2</v>
      </c>
      <c r="DD515" s="188">
        <f t="shared" si="1424"/>
        <v>0.655952481704143</v>
      </c>
      <c r="DE515" s="188">
        <f t="shared" si="1425"/>
        <v>6.2485378865697057E-2</v>
      </c>
      <c r="DF515" s="189">
        <f>DF514</f>
        <v>0.20999999999999996</v>
      </c>
      <c r="DG515" s="189">
        <v>0.375</v>
      </c>
      <c r="DH515" s="190">
        <f t="shared" si="1427"/>
        <v>28.145692589715111</v>
      </c>
      <c r="DI515" s="190"/>
      <c r="DJ515" s="177">
        <f t="shared" ref="DJ515" si="1486">LN(DH515/DH514)</f>
        <v>0.30275935879639804</v>
      </c>
      <c r="DK515" s="189">
        <f>VLOOKUP($H515,RoR!$E:$F,2,FALSE)</f>
        <v>2.7033333333333336E-2</v>
      </c>
      <c r="DL515" s="191">
        <f>HLOOKUP($H515,'GDP-PI'!$D$8:$CR$11,3,FALSE)</f>
        <v>4.2834637353352578E-2</v>
      </c>
      <c r="DM515" s="189">
        <f>VLOOKUP(H515,'HW Dx Data'!$E:$F,2,FALSE)</f>
        <v>933.02249921662576</v>
      </c>
      <c r="DN515" s="183">
        <f>VLOOKUP(H515,'ECI - Input Price'!$G$17:$H$37,2,FALSE)</f>
        <v>145.47500000000002</v>
      </c>
      <c r="DO515" s="177">
        <f t="shared" ref="DO515" si="1487">LN(DN515/DN514)</f>
        <v>3.5152696992481205E-2</v>
      </c>
      <c r="DP515" s="183">
        <f>HLOOKUP(H515,'GDP-PI'!$8:$9,2,FALSE)</f>
        <v>118.49</v>
      </c>
      <c r="DQ515" s="177">
        <f t="shared" ref="DQ515" si="1488">LN(DP515/DP514)</f>
        <v>4.194261824609434E-2</v>
      </c>
    </row>
    <row r="516" spans="1:121" s="167" customFormat="1" ht="21" x14ac:dyDescent="0.35">
      <c r="A516" s="167" t="s">
        <v>65</v>
      </c>
      <c r="B516" s="168" t="s">
        <v>65</v>
      </c>
      <c r="C516" s="168">
        <v>4057090</v>
      </c>
      <c r="D516" s="168" t="s">
        <v>141</v>
      </c>
      <c r="E516" s="168"/>
      <c r="F516" s="168"/>
      <c r="G516" s="168" t="s">
        <v>4</v>
      </c>
      <c r="H516" s="169">
        <v>1998</v>
      </c>
      <c r="I516" s="170"/>
      <c r="J516" s="166"/>
      <c r="K516" s="166"/>
      <c r="L516" s="166"/>
      <c r="M516" s="166"/>
      <c r="N516" s="196"/>
      <c r="O516" s="166"/>
      <c r="P516" s="166"/>
      <c r="Q516" s="166"/>
      <c r="R516" s="166"/>
      <c r="S516" s="166"/>
      <c r="T516" s="166"/>
      <c r="U516" s="166"/>
      <c r="V516" s="166"/>
      <c r="W516" s="170"/>
      <c r="X516" s="174">
        <v>937.74304167361345</v>
      </c>
      <c r="Y516" s="175"/>
      <c r="Z516" s="166"/>
      <c r="AA516" s="175"/>
      <c r="AB516" s="175"/>
      <c r="AC516" s="170">
        <f t="shared" si="1475"/>
        <v>0</v>
      </c>
      <c r="AD516" s="170"/>
      <c r="AE516" s="170"/>
      <c r="AF516" s="119"/>
      <c r="AG516" s="121"/>
      <c r="AH516" s="175"/>
      <c r="AI516" s="119"/>
      <c r="AJ516" s="174"/>
      <c r="AK516" s="174"/>
      <c r="AL516" s="120"/>
      <c r="AM516" s="120"/>
      <c r="AN516" s="120"/>
      <c r="AO516" s="120"/>
      <c r="AP516" s="120"/>
      <c r="AQ516" s="175">
        <f>AVERAGE(AQ525:AQ539)</f>
        <v>2.1888990089267809E-2</v>
      </c>
      <c r="AR516" s="120"/>
      <c r="AS516" s="120"/>
      <c r="AT516" s="120"/>
      <c r="AU516" s="120"/>
      <c r="AV516" s="120"/>
      <c r="AW516" s="120"/>
      <c r="AX516" s="120"/>
      <c r="AY516" s="120"/>
      <c r="AZ516" s="118">
        <f>IFERROR(INDEX('Total Customers'!$F$7:$AB$91,MATCH($C516,'Total Customers'!$D$7:$D$91,0),MATCH($G516,'Total Customers'!$F$5:$AB$5,0)),"NA")</f>
        <v>286879</v>
      </c>
      <c r="BA516" s="119"/>
      <c r="BB516" s="119"/>
      <c r="BC516" s="121"/>
      <c r="BD516" s="119"/>
      <c r="BE516" s="119"/>
      <c r="BF516" s="119"/>
      <c r="BG516" s="173"/>
      <c r="BH516" s="173"/>
      <c r="BI516" s="173"/>
      <c r="BJ516" s="173"/>
      <c r="BK516" s="173"/>
      <c r="BL516" s="173"/>
      <c r="BM516" s="173"/>
      <c r="BN516" s="173"/>
      <c r="BO516" s="173"/>
      <c r="BP516" s="173"/>
      <c r="BQ516" s="118">
        <f>INDEX('Gross Dx Plant'!$E$7:$AD$91,MATCH($C516,'Gross Dx Plant'!$D$7:$D$91,0),MATCH(Calculation!$G516,'Gross Dx Plant'!$E$5:$AD$5,0))</f>
        <v>273974</v>
      </c>
      <c r="BR516" s="118">
        <f>INDEX('Gross Gen Plant'!$E$7:$AD$91,MATCH($C516,'Gross Gen Plant'!$D$7:$D$91,0),MATCH(Calculation!$G516,'Gross Gen Plant'!$E$5:$AD$5,0))</f>
        <v>10092</v>
      </c>
      <c r="BS516" s="118">
        <f>INDEX('Dist. Plant Gas Additions'!$F$7:$AE$91,MATCH($C516,'Dist. Plant Gas Additions'!$D$7:$D$91,0),MATCH(Calculation!$G516,'Dist. Plant Gas Additions'!$F$5:$AE$5,0))</f>
        <v>6220</v>
      </c>
      <c r="BT516" s="118">
        <f>INDEX('Gen. Plant Additions'!$F$7:$AE$91,MATCH($C516,'Gen. Plant Additions'!$D$7:$D$91,0),MATCH(Calculation!$G516,'Gen. Plant Additions'!$F$5:$AE$5,0))</f>
        <v>607</v>
      </c>
      <c r="BU516" s="118" t="e">
        <f>INDEX('Dist Plant Depreciation'!$E$7:$AA$94,MATCH($C516,'Dist Plant Depreciation'!$D$7:$D$94,0),MATCH(#REF!,'Dist Plant Depreciation'!$E$5:$AA$5,0))</f>
        <v>#REF!</v>
      </c>
      <c r="BV516" s="118" t="e">
        <f>INDEX('Gen. Plant Depreciation'!$E$7:$AA$94,MATCH($C516,'Gen. Plant Depreciation'!$D$7:$D$94,0),MATCH(#REF!,'Gen. Plant Depreciation'!$E$5:$AA$5,0))</f>
        <v>#REF!</v>
      </c>
      <c r="BW516" s="118">
        <f>INDEX('Dist Plant Depreciation'!$E$7:$AD$94,MATCH($C516,'Dist Plant Depreciation'!$D$7:$D$94,0),MATCH(Calculation!$G516,'Dist Plant Depreciation'!$E$5:$AD$5,0))</f>
        <v>88978</v>
      </c>
      <c r="BX516" s="118">
        <f>INDEX('Gen. Plant Depreciation'!$E$7:$AD$94,MATCH($C516,'Gen. Plant Depreciation'!$D$7:$D$94,0),MATCH(Calculation!$G516,'Gen. Plant Depreciation'!$E$5:$AD$5,0))</f>
        <v>5927</v>
      </c>
      <c r="BY516" s="118"/>
      <c r="BZ516" s="118"/>
      <c r="CA516" s="118"/>
      <c r="CB516" s="118"/>
      <c r="CC516" s="118"/>
      <c r="CD516" s="118"/>
      <c r="CE516" s="118">
        <f>INDEX('Gross Dx Plant'!$E$7:$AD$91,MATCH($C516,'Gross Dx Plant'!$D$7:$D$91,0),MATCH(Calculation!$G516,'Gross Dx Plant'!$E$5:$AD$5,0))</f>
        <v>273974</v>
      </c>
      <c r="CF516" s="118">
        <f>INDEX('Gross Gen Plant'!$E$7:$AD$91,MATCH($C516,'Gross Gen Plant'!$D$7:$D$91,0),MATCH(Calculation!$G516,'Gross Gen Plant'!$E$5:$AD$5,0))</f>
        <v>10092</v>
      </c>
      <c r="CG516" s="118">
        <f t="shared" si="1389"/>
        <v>189161</v>
      </c>
      <c r="CH516" s="118"/>
      <c r="CI516" s="121">
        <v>1998</v>
      </c>
      <c r="CJ516" s="118">
        <f>BQ516+BR516</f>
        <v>284066</v>
      </c>
      <c r="CK516" s="118">
        <f>88978+5927</f>
        <v>94905</v>
      </c>
      <c r="CL516" s="118">
        <f>+CJ516-CK516</f>
        <v>189161</v>
      </c>
      <c r="CM516" s="118">
        <f>CL516/$CD$36</f>
        <v>937.74304167361345</v>
      </c>
      <c r="CN516" s="183"/>
      <c r="CO516" s="183"/>
      <c r="CP516" s="186">
        <v>1</v>
      </c>
      <c r="CQ516" s="118">
        <f>+CM516</f>
        <v>937.74304167361345</v>
      </c>
      <c r="CR516" s="119"/>
      <c r="CS516" s="119"/>
      <c r="CT516" s="177"/>
      <c r="CU516" s="177"/>
      <c r="CV516" s="119" t="e">
        <f>VLOOKUP($H516,RoR!$E:$F,2,FALSE)</f>
        <v>#N/A</v>
      </c>
      <c r="CW516" s="177">
        <v>1.1028127770464469E-2</v>
      </c>
      <c r="CX516" s="177"/>
      <c r="CY516" s="177"/>
      <c r="CZ516" s="177"/>
      <c r="DA516" s="187"/>
      <c r="DB516" s="190" t="e">
        <f>2/(DK516*39)</f>
        <v>#N/A</v>
      </c>
      <c r="DC516" s="188" t="e">
        <f>+(DK516*40-(1+DK516))/(DK516*40)</f>
        <v>#N/A</v>
      </c>
      <c r="DD516" s="188" t="e">
        <f>+(1-(1/(1+DK516)^40))</f>
        <v>#N/A</v>
      </c>
      <c r="DE516" s="188" t="e">
        <f>+DD516*DC516*DB516</f>
        <v>#N/A</v>
      </c>
      <c r="DF516" s="189">
        <f>INDEX('State Tax Lookup'!$D$7:$Z$91,MATCH(Calculation!$C516,'State Tax Lookup'!$B$7:$B$91,0),MATCH($H516,'State Tax Lookup'!$D$6:$Z$6,0))</f>
        <v>0.39279166999999998</v>
      </c>
      <c r="DG516" s="189">
        <v>0.375</v>
      </c>
      <c r="DH516" s="183"/>
      <c r="DI516" s="183"/>
      <c r="DJ516" s="177"/>
      <c r="DK516" s="189" t="e">
        <f>VLOOKUP($H516,RoR!$E:$F,2,FALSE)</f>
        <v>#N/A</v>
      </c>
      <c r="DL516" s="191">
        <f>HLOOKUP($H516,'GDP-PI'!$D$8:$CQ$11,3,FALSE)</f>
        <v>1.1028127770464469E-2</v>
      </c>
      <c r="DM516" s="189">
        <f>VLOOKUP(H516,'HW Dx Data'!$E:$F,2,FALSE)</f>
        <v>329.24564746449528</v>
      </c>
      <c r="DN516" s="183" t="e">
        <f>VLOOKUP(H516,'ECI - Input Price'!$G$17:$H$37,2,FALSE)</f>
        <v>#N/A</v>
      </c>
      <c r="DO516" s="177"/>
      <c r="DP516" s="183">
        <f>HLOOKUP(H516,'GDP-PI'!$8:$9,2,FALSE)</f>
        <v>75.266999999999996</v>
      </c>
    </row>
    <row r="517" spans="1:121" s="167" customFormat="1" ht="21" x14ac:dyDescent="0.35">
      <c r="A517" s="167" t="s">
        <v>65</v>
      </c>
      <c r="B517" s="168" t="s">
        <v>65</v>
      </c>
      <c r="C517" s="168">
        <v>4057090</v>
      </c>
      <c r="D517" s="168" t="s">
        <v>141</v>
      </c>
      <c r="E517" s="168"/>
      <c r="F517" s="168"/>
      <c r="G517" s="168" t="s">
        <v>5</v>
      </c>
      <c r="H517" s="169">
        <v>1999</v>
      </c>
      <c r="I517" s="170"/>
      <c r="J517" s="166"/>
      <c r="K517" s="166"/>
      <c r="L517" s="166"/>
      <c r="M517" s="166"/>
      <c r="N517" s="196"/>
      <c r="O517" s="166"/>
      <c r="P517" s="166"/>
      <c r="Q517" s="166"/>
      <c r="R517" s="166"/>
      <c r="S517" s="195"/>
      <c r="T517" s="166"/>
      <c r="U517" s="166"/>
      <c r="V517" s="166">
        <f t="shared" ref="V517:V539" si="1489">+CQ516*DH517</f>
        <v>0</v>
      </c>
      <c r="W517" s="170"/>
      <c r="X517" s="174">
        <v>1017.4405870377833</v>
      </c>
      <c r="Y517" s="175">
        <v>8.1569555795880849E-2</v>
      </c>
      <c r="Z517" s="175"/>
      <c r="AA517" s="175"/>
      <c r="AB517" s="175"/>
      <c r="AC517" s="170">
        <f t="shared" si="1475"/>
        <v>0</v>
      </c>
      <c r="AD517" s="175"/>
      <c r="AE517" s="170"/>
      <c r="AF517" s="119"/>
      <c r="AG517" s="121"/>
      <c r="AH517" s="175"/>
      <c r="AI517" s="119"/>
      <c r="AJ517" s="174"/>
      <c r="AK517" s="174"/>
      <c r="AL517" s="120"/>
      <c r="AM517" s="120"/>
      <c r="AN517" s="120"/>
      <c r="AO517" s="120"/>
      <c r="AP517" s="120"/>
      <c r="AQ517" s="175"/>
      <c r="AR517" s="120"/>
      <c r="AS517" s="120"/>
      <c r="AT517" s="120"/>
      <c r="AU517" s="120"/>
      <c r="AV517" s="120"/>
      <c r="AW517" s="120"/>
      <c r="AX517" s="120"/>
      <c r="AY517" s="120"/>
      <c r="AZ517" s="118">
        <f>IFERROR(INDEX('Total Customers'!$F$7:$AB$91,MATCH($C517,'Total Customers'!$D$7:$D$91,0),MATCH($G517,'Total Customers'!$F$5:$AB$5,0)),"NA")</f>
        <v>293218</v>
      </c>
      <c r="BA517" s="119">
        <f t="shared" ref="BA517:BA539" si="1490">LN(AZ517/AZ516)</f>
        <v>2.1855835597000887E-2</v>
      </c>
      <c r="BB517" s="119"/>
      <c r="BC517" s="121"/>
      <c r="BD517" s="119"/>
      <c r="BE517" s="119"/>
      <c r="BF517" s="119"/>
      <c r="BG517" s="173"/>
      <c r="BH517" s="173"/>
      <c r="BI517" s="173"/>
      <c r="BJ517" s="173"/>
      <c r="BK517" s="173"/>
      <c r="BL517" s="173"/>
      <c r="BM517" s="173"/>
      <c r="BN517" s="173"/>
      <c r="BO517" s="173"/>
      <c r="BP517" s="173"/>
      <c r="BQ517" s="118"/>
      <c r="BR517" s="118"/>
      <c r="BS517" s="118">
        <f>INDEX('Dist. Plant Gas Additions'!$F$7:$AE$91,MATCH($C517,'Dist. Plant Gas Additions'!$D$7:$D$91,0),MATCH(Calculation!$G517,'Dist. Plant Gas Additions'!$F$5:$AE$5,0))</f>
        <v>26841</v>
      </c>
      <c r="BT517" s="118">
        <f>INDEX('Gen. Plant Additions'!$F$7:$AE$91,MATCH($C517,'Gen. Plant Additions'!$D$7:$D$91,0),MATCH(Calculation!$G517,'Gen. Plant Additions'!$F$5:$AE$5,0))</f>
        <v>1448</v>
      </c>
      <c r="BU517" s="118"/>
      <c r="BV517" s="118"/>
      <c r="BW517" s="118">
        <f>INDEX('Dist Plant Depreciation'!$E$7:$AD$94,MATCH($C517,'Dist Plant Depreciation'!$D$7:$D$94,0),MATCH(Calculation!$G517,'Dist Plant Depreciation'!$E$5:$AD$5,0))</f>
        <v>91914</v>
      </c>
      <c r="BX517" s="118">
        <f>INDEX('Gen. Plant Depreciation'!$E$7:$AD$94,MATCH($C517,'Gen. Plant Depreciation'!$D$7:$D$94,0),MATCH(Calculation!$G517,'Gen. Plant Depreciation'!$E$5:$AD$5,0))</f>
        <v>6414</v>
      </c>
      <c r="BY517" s="118"/>
      <c r="BZ517" s="118"/>
      <c r="CA517" s="118"/>
      <c r="CB517" s="118"/>
      <c r="CC517" s="118"/>
      <c r="CD517" s="118"/>
      <c r="CE517" s="118">
        <f>INDEX('Gross Dx Plant'!$E$7:$AD$91,MATCH($C517,'Gross Dx Plant'!$D$7:$D$91,0),MATCH(Calculation!$G517,'Gross Dx Plant'!$E$5:$AD$5,0))</f>
        <v>296415</v>
      </c>
      <c r="CF517" s="118">
        <f>INDEX('Gross Gen Plant'!$E$7:$AD$91,MATCH($C517,'Gross Gen Plant'!$D$7:$D$91,0),MATCH(Calculation!$G517,'Gross Gen Plant'!$E$5:$AD$5,0))</f>
        <v>10583</v>
      </c>
      <c r="CG517" s="118">
        <f t="shared" si="1389"/>
        <v>208670</v>
      </c>
      <c r="CH517" s="118"/>
      <c r="CI517" s="121">
        <v>1999</v>
      </c>
      <c r="CJ517" s="118"/>
      <c r="CK517" s="118"/>
      <c r="CL517" s="118"/>
      <c r="CM517" s="183"/>
      <c r="CN517" s="118">
        <f t="shared" ref="CN517:CN539" si="1491">+BT517+BS517</f>
        <v>28289</v>
      </c>
      <c r="CO517" s="118">
        <f t="shared" ref="CO517:CO539" si="1492">+CN517/$DM517</f>
        <v>84.362933631202722</v>
      </c>
      <c r="CP517" s="186">
        <v>0.99502487562189057</v>
      </c>
      <c r="CQ517" s="118">
        <f>+CQ516*CP517+CO517</f>
        <v>1017.4405870377833</v>
      </c>
      <c r="CR517" s="119">
        <f t="shared" ref="CR517:CR538" si="1493">LN(CQ517/CQ516)</f>
        <v>8.1569555795880849E-2</v>
      </c>
      <c r="CS517" s="119"/>
      <c r="CT517" s="177">
        <f t="shared" ref="CT517:CT539" si="1494">+(CQ516-CQ517+CO517)/CQ516</f>
        <v>4.9751243781094145E-3</v>
      </c>
      <c r="CU517" s="177"/>
      <c r="CV517" s="119">
        <f>VLOOKUP($H517,RoR!$E:$F,2,FALSE)</f>
        <v>7.0416666666666669E-2</v>
      </c>
      <c r="CW517" s="177">
        <v>1.4335631817396832E-2</v>
      </c>
      <c r="CX517" s="177">
        <f>+CV517-CW517</f>
        <v>5.6081034849269837E-2</v>
      </c>
      <c r="CY517" s="177"/>
      <c r="CZ517" s="177"/>
      <c r="DA517" s="187">
        <f t="shared" ref="DA517:DA539" si="1495">1-DF517*DG517</f>
        <v>0.85270312375000001</v>
      </c>
      <c r="DB517" s="188">
        <f t="shared" ref="DB517:DB539" si="1496">2/(DK517*39)</f>
        <v>0.72826581702321336</v>
      </c>
      <c r="DC517" s="188">
        <f t="shared" ref="DC517:DC539" si="1497">+(DK517*40-(1+DK517))/(DK517*40)</f>
        <v>0.61997041420118348</v>
      </c>
      <c r="DD517" s="188">
        <f t="shared" ref="DD517:DD539" si="1498">+(1-(1/(1+DK517)^40))</f>
        <v>0.93425155319585029</v>
      </c>
      <c r="DE517" s="188">
        <f t="shared" ref="DE517:DE539" si="1499">+DD517*DC517*DB517</f>
        <v>0.42181762214141483</v>
      </c>
      <c r="DF517" s="189">
        <f>INDEX('State Tax Lookup'!$D$7:$Z$91,MATCH(Calculation!$C517,'State Tax Lookup'!$B$7:$B$91,0),MATCH($H517,'State Tax Lookup'!$D$6:$Z$6,0))</f>
        <v>0.39279166999999998</v>
      </c>
      <c r="DG517" s="189">
        <v>0.375</v>
      </c>
      <c r="DH517" s="190"/>
      <c r="DI517" s="190"/>
      <c r="DJ517" s="177"/>
      <c r="DK517" s="189">
        <f>VLOOKUP($H517,RoR!$E:$F,2,FALSE)</f>
        <v>7.0416666666666669E-2</v>
      </c>
      <c r="DL517" s="191">
        <f>HLOOKUP($H517,'GDP-PI'!$D$8:$CQ$11,3,FALSE)</f>
        <v>1.4335631817396832E-2</v>
      </c>
      <c r="DM517" s="189">
        <f>VLOOKUP(H517,'HW Dx Data'!$E:$F,2,FALSE)</f>
        <v>335.32499146683239</v>
      </c>
      <c r="DN517" s="183" t="e">
        <f>VLOOKUP(H517,'ECI - Input Price'!$G$17:$H$37,2,FALSE)</f>
        <v>#N/A</v>
      </c>
      <c r="DO517" s="177"/>
      <c r="DP517" s="183">
        <f>HLOOKUP(H517,'GDP-PI'!$8:$9,2,FALSE)</f>
        <v>76.346000000000004</v>
      </c>
    </row>
    <row r="518" spans="1:121" s="167" customFormat="1" ht="21" x14ac:dyDescent="0.35">
      <c r="A518" s="167" t="s">
        <v>65</v>
      </c>
      <c r="B518" s="168" t="s">
        <v>65</v>
      </c>
      <c r="C518" s="168">
        <v>4057090</v>
      </c>
      <c r="D518" s="168" t="s">
        <v>141</v>
      </c>
      <c r="E518" s="168"/>
      <c r="F518" s="168"/>
      <c r="G518" s="168" t="s">
        <v>6</v>
      </c>
      <c r="H518" s="169">
        <v>2000</v>
      </c>
      <c r="I518" s="170"/>
      <c r="J518" s="166"/>
      <c r="K518" s="166"/>
      <c r="L518" s="166"/>
      <c r="M518" s="166"/>
      <c r="N518" s="196"/>
      <c r="O518" s="166"/>
      <c r="P518" s="166"/>
      <c r="Q518" s="166"/>
      <c r="R518" s="166"/>
      <c r="S518" s="166"/>
      <c r="T518" s="166"/>
      <c r="U518" s="166"/>
      <c r="V518" s="166">
        <f t="shared" si="1489"/>
        <v>0</v>
      </c>
      <c r="W518" s="170"/>
      <c r="X518" s="174">
        <v>1080.6345777306126</v>
      </c>
      <c r="Y518" s="175">
        <v>6.0258195043966761E-2</v>
      </c>
      <c r="Z518" s="175"/>
      <c r="AA518" s="175"/>
      <c r="AB518" s="175"/>
      <c r="AC518" s="170">
        <f t="shared" si="1475"/>
        <v>0</v>
      </c>
      <c r="AD518" s="175"/>
      <c r="AE518" s="170"/>
      <c r="AF518" s="170"/>
      <c r="AG518" s="174"/>
      <c r="AH518" s="175"/>
      <c r="AI518" s="175"/>
      <c r="AJ518" s="174"/>
      <c r="AK518" s="174"/>
      <c r="AL518" s="120"/>
      <c r="AM518" s="120"/>
      <c r="AN518" s="120"/>
      <c r="AO518" s="120"/>
      <c r="AP518" s="120"/>
      <c r="AQ518" s="175"/>
      <c r="AR518" s="120"/>
      <c r="AS518" s="120"/>
      <c r="AT518" s="120"/>
      <c r="AU518" s="120"/>
      <c r="AV518" s="120"/>
      <c r="AW518" s="120"/>
      <c r="AX518" s="120"/>
      <c r="AY518" s="120"/>
      <c r="AZ518" s="118">
        <f>IFERROR(INDEX('Total Customers'!$F$7:$AB$91,MATCH($C518,'Total Customers'!$D$7:$D$91,0),MATCH($G518,'Total Customers'!$F$5:$AB$5,0)),"NA")</f>
        <v>297754</v>
      </c>
      <c r="BA518" s="119">
        <f t="shared" si="1490"/>
        <v>1.5351282564450975E-2</v>
      </c>
      <c r="BB518" s="119"/>
      <c r="BC518" s="121"/>
      <c r="BD518" s="119"/>
      <c r="BE518" s="119"/>
      <c r="BF518" s="119"/>
      <c r="BG518" s="173"/>
      <c r="BH518" s="173"/>
      <c r="BI518" s="173"/>
      <c r="BJ518" s="173"/>
      <c r="BK518" s="173"/>
      <c r="BL518" s="173"/>
      <c r="BM518" s="173"/>
      <c r="BN518" s="173"/>
      <c r="BO518" s="173"/>
      <c r="BP518" s="173"/>
      <c r="BQ518" s="118"/>
      <c r="BR518" s="118"/>
      <c r="BS518" s="118">
        <f>INDEX('Dist. Plant Gas Additions'!$F$7:$AE$91,MATCH($C518,'Dist. Plant Gas Additions'!$D$7:$D$91,0),MATCH(Calculation!$G518,'Dist. Plant Gas Additions'!$F$5:$AE$5,0))</f>
        <v>22737</v>
      </c>
      <c r="BT518" s="118">
        <f>INDEX('Gen. Plant Additions'!$F$7:$AE$91,MATCH($C518,'Gen. Plant Additions'!$D$7:$D$91,0),MATCH(Calculation!$G518,'Gen. Plant Additions'!$F$5:$AE$5,0))</f>
        <v>973</v>
      </c>
      <c r="BU518" s="118"/>
      <c r="BV518" s="118"/>
      <c r="BW518" s="118">
        <f>INDEX('Dist Plant Depreciation'!$E$7:$AD$94,MATCH($C518,'Dist Plant Depreciation'!$D$7:$D$94,0),MATCH(Calculation!$G518,'Dist Plant Depreciation'!$E$5:$AD$5,0))</f>
        <v>98673</v>
      </c>
      <c r="BX518" s="118">
        <f>INDEX('Gen. Plant Depreciation'!$E$7:$AD$94,MATCH($C518,'Gen. Plant Depreciation'!$D$7:$D$94,0),MATCH(Calculation!$G518,'Gen. Plant Depreciation'!$E$5:$AD$5,0))</f>
        <v>6753</v>
      </c>
      <c r="BY518" s="118"/>
      <c r="BZ518" s="118"/>
      <c r="CA518" s="118"/>
      <c r="CB518" s="118"/>
      <c r="CC518" s="118"/>
      <c r="CD518" s="118"/>
      <c r="CE518" s="118">
        <f>INDEX('Gross Dx Plant'!$E$7:$AD$91,MATCH($C518,'Gross Dx Plant'!$D$7:$D$91,0),MATCH(Calculation!$G518,'Gross Dx Plant'!$E$5:$AD$5,0))</f>
        <v>315583</v>
      </c>
      <c r="CF518" s="118">
        <f>INDEX('Gross Gen Plant'!$E$7:$AD$91,MATCH($C518,'Gross Gen Plant'!$D$7:$D$91,0),MATCH(Calculation!$G518,'Gross Gen Plant'!$E$5:$AD$5,0))</f>
        <v>10926</v>
      </c>
      <c r="CG518" s="118">
        <f t="shared" si="1389"/>
        <v>221083</v>
      </c>
      <c r="CH518" s="118"/>
      <c r="CI518" s="121">
        <v>2000</v>
      </c>
      <c r="CJ518" s="118"/>
      <c r="CK518" s="118"/>
      <c r="CL518" s="118"/>
      <c r="CM518" s="183"/>
      <c r="CN518" s="118">
        <f t="shared" si="1491"/>
        <v>23710</v>
      </c>
      <c r="CO518" s="118">
        <f t="shared" si="1492"/>
        <v>68.420470449610974</v>
      </c>
      <c r="CP518" s="186">
        <v>0.98989898989898994</v>
      </c>
      <c r="CQ518" s="118">
        <f>+CQ516*CP518+CO517*CP517+CO518</f>
        <v>1080.6345777306126</v>
      </c>
      <c r="CR518" s="119">
        <f t="shared" si="1493"/>
        <v>6.0258195043966761E-2</v>
      </c>
      <c r="CS518" s="119"/>
      <c r="CT518" s="177">
        <f t="shared" si="1494"/>
        <v>5.1368893902672642E-3</v>
      </c>
      <c r="CU518" s="177"/>
      <c r="CV518" s="119">
        <f>VLOOKUP($H518,RoR!$E:$F,2,FALSE)</f>
        <v>7.6225000000000001E-2</v>
      </c>
      <c r="CW518" s="177">
        <v>2.2568307442433211E-2</v>
      </c>
      <c r="CX518" s="177">
        <f t="shared" ref="CX518:CX538" si="1500">+CV518-CW518</f>
        <v>5.365669255756679E-2</v>
      </c>
      <c r="CY518" s="177"/>
      <c r="CZ518" s="177"/>
      <c r="DA518" s="187">
        <f t="shared" si="1495"/>
        <v>0.85270312375000001</v>
      </c>
      <c r="DB518" s="188">
        <f t="shared" si="1496"/>
        <v>0.67277207323124022</v>
      </c>
      <c r="DC518" s="188">
        <f t="shared" si="1497"/>
        <v>0.6470236142997704</v>
      </c>
      <c r="DD518" s="188">
        <f t="shared" si="1498"/>
        <v>0.94704866037543145</v>
      </c>
      <c r="DE518" s="188">
        <f t="shared" si="1499"/>
        <v>0.41224973107878493</v>
      </c>
      <c r="DF518" s="189">
        <f>INDEX('State Tax Lookup'!$D$7:$Z$91,MATCH(Calculation!$C518,'State Tax Lookup'!$B$7:$B$91,0),MATCH($H518,'State Tax Lookup'!$D$6:$Z$6,0))</f>
        <v>0.39279166999999998</v>
      </c>
      <c r="DG518" s="189">
        <v>0.375</v>
      </c>
      <c r="DH518" s="190"/>
      <c r="DI518" s="190"/>
      <c r="DJ518" s="177"/>
      <c r="DK518" s="189">
        <f>VLOOKUP($H518,RoR!$E:$F,2,FALSE)</f>
        <v>7.6225000000000001E-2</v>
      </c>
      <c r="DL518" s="191">
        <f>HLOOKUP($H518,'GDP-PI'!$D$8:$CQ$11,3,FALSE)</f>
        <v>2.2568307442433211E-2</v>
      </c>
      <c r="DM518" s="189">
        <f>VLOOKUP(H518,'HW Dx Data'!$E:$F,2,FALSE)</f>
        <v>346.53371782150339</v>
      </c>
      <c r="DN518" s="183" t="e">
        <f>VLOOKUP(H518,'ECI - Input Price'!$G$17:$H$37,2,FALSE)</f>
        <v>#N/A</v>
      </c>
      <c r="DO518" s="177"/>
      <c r="DP518" s="183">
        <f>HLOOKUP(H518,'GDP-PI'!$8:$9,2,FALSE)</f>
        <v>78.069000000000003</v>
      </c>
    </row>
    <row r="519" spans="1:121" s="167" customFormat="1" ht="21" x14ac:dyDescent="0.35">
      <c r="A519" s="167" t="s">
        <v>65</v>
      </c>
      <c r="B519" s="168" t="s">
        <v>65</v>
      </c>
      <c r="C519" s="168">
        <v>4057090</v>
      </c>
      <c r="D519" s="168" t="s">
        <v>141</v>
      </c>
      <c r="E519" s="168"/>
      <c r="F519" s="168"/>
      <c r="G519" s="168" t="s">
        <v>7</v>
      </c>
      <c r="H519" s="169">
        <v>2001</v>
      </c>
      <c r="I519" s="170"/>
      <c r="J519" s="166"/>
      <c r="K519" s="166"/>
      <c r="L519" s="166"/>
      <c r="M519" s="166"/>
      <c r="N519" s="196"/>
      <c r="O519" s="166"/>
      <c r="P519" s="166"/>
      <c r="Q519" s="166"/>
      <c r="R519" s="166"/>
      <c r="S519" s="166"/>
      <c r="T519" s="166"/>
      <c r="U519" s="166"/>
      <c r="V519" s="166">
        <f t="shared" si="1489"/>
        <v>13839.293083456554</v>
      </c>
      <c r="W519" s="170"/>
      <c r="X519" s="174">
        <v>1134.0426522693349</v>
      </c>
      <c r="Y519" s="175">
        <v>4.8240376272597925E-2</v>
      </c>
      <c r="Z519" s="175"/>
      <c r="AA519" s="175"/>
      <c r="AB519" s="175"/>
      <c r="AC519" s="170">
        <f t="shared" si="1475"/>
        <v>13839.293083456554</v>
      </c>
      <c r="AD519" s="175"/>
      <c r="AE519" s="170"/>
      <c r="AF519" s="170"/>
      <c r="AG519" s="174"/>
      <c r="AH519" s="175"/>
      <c r="AI519" s="175"/>
      <c r="AJ519" s="174"/>
      <c r="AK519" s="174"/>
      <c r="AL519" s="120"/>
      <c r="AM519" s="120"/>
      <c r="AN519" s="120"/>
      <c r="AO519" s="120"/>
      <c r="AP519" s="120"/>
      <c r="AQ519" s="175"/>
      <c r="AR519" s="120"/>
      <c r="AS519" s="120"/>
      <c r="AT519" s="120"/>
      <c r="AU519" s="120"/>
      <c r="AV519" s="120"/>
      <c r="AW519" s="120"/>
      <c r="AX519" s="120"/>
      <c r="AY519" s="120"/>
      <c r="AZ519" s="118">
        <f>IFERROR(INDEX('Total Customers'!$F$7:$AB$91,MATCH($C519,'Total Customers'!$D$7:$D$91,0),MATCH($G519,'Total Customers'!$F$5:$AB$5,0)),"NA")</f>
        <v>303153</v>
      </c>
      <c r="BA519" s="119">
        <f t="shared" si="1490"/>
        <v>1.796998632564397E-2</v>
      </c>
      <c r="BB519" s="119"/>
      <c r="BC519" s="121"/>
      <c r="BD519" s="119"/>
      <c r="BE519" s="119"/>
      <c r="BF519" s="119"/>
      <c r="BG519" s="173"/>
      <c r="BH519" s="173"/>
      <c r="BI519" s="173"/>
      <c r="BJ519" s="173"/>
      <c r="BK519" s="173"/>
      <c r="BL519" s="173"/>
      <c r="BM519" s="173"/>
      <c r="BN519" s="173"/>
      <c r="BO519" s="173"/>
      <c r="BP519" s="173"/>
      <c r="BQ519" s="118"/>
      <c r="BR519" s="118"/>
      <c r="BS519" s="118">
        <f>INDEX('Dist. Plant Gas Additions'!$F$7:$AE$91,MATCH($C519,'Dist. Plant Gas Additions'!$D$7:$D$91,0),MATCH(Calculation!$G519,'Dist. Plant Gas Additions'!$F$5:$AE$5,0))</f>
        <v>20337</v>
      </c>
      <c r="BT519" s="118">
        <f>INDEX('Gen. Plant Additions'!$F$7:$AE$91,MATCH($C519,'Gen. Plant Additions'!$D$7:$D$91,0),MATCH(Calculation!$G519,'Gen. Plant Additions'!$F$5:$AE$5,0))</f>
        <v>444</v>
      </c>
      <c r="BU519" s="118"/>
      <c r="BV519" s="118"/>
      <c r="BW519" s="118">
        <f>INDEX('Dist Plant Depreciation'!$E$7:$AD$94,MATCH($C519,'Dist Plant Depreciation'!$D$7:$D$94,0),MATCH(Calculation!$G519,'Dist Plant Depreciation'!$E$5:$AD$5,0))</f>
        <v>106369</v>
      </c>
      <c r="BX519" s="118">
        <f>INDEX('Gen. Plant Depreciation'!$E$7:$AD$94,MATCH($C519,'Gen. Plant Depreciation'!$D$7:$D$94,0),MATCH(Calculation!$G519,'Gen. Plant Depreciation'!$E$5:$AD$5,0))</f>
        <v>6260</v>
      </c>
      <c r="BY519" s="118"/>
      <c r="BZ519" s="118"/>
      <c r="CA519" s="118"/>
      <c r="CB519" s="118"/>
      <c r="CC519" s="118"/>
      <c r="CD519" s="118"/>
      <c r="CE519" s="118">
        <f>INDEX('Gross Dx Plant'!$E$7:$AD$91,MATCH($C519,'Gross Dx Plant'!$D$7:$D$91,0),MATCH(Calculation!$G519,'Gross Dx Plant'!$E$5:$AD$5,0))</f>
        <v>332059</v>
      </c>
      <c r="CF519" s="118">
        <f>INDEX('Gross Gen Plant'!$E$7:$AD$91,MATCH($C519,'Gross Gen Plant'!$D$7:$D$91,0),MATCH(Calculation!$G519,'Gross Gen Plant'!$E$5:$AD$5,0))</f>
        <v>10342</v>
      </c>
      <c r="CG519" s="118">
        <f t="shared" si="1389"/>
        <v>229772</v>
      </c>
      <c r="CH519" s="118"/>
      <c r="CI519" s="121">
        <v>2001</v>
      </c>
      <c r="CJ519" s="118"/>
      <c r="CK519" s="118"/>
      <c r="CL519" s="118"/>
      <c r="CM519" s="183"/>
      <c r="CN519" s="118">
        <f t="shared" si="1491"/>
        <v>20781</v>
      </c>
      <c r="CO519" s="118">
        <f t="shared" si="1492"/>
        <v>58.795173385415275</v>
      </c>
      <c r="CP519" s="186">
        <v>0.98461538461538467</v>
      </c>
      <c r="CQ519" s="118">
        <f>+CQ516*CP519+CO517*CP518+CO518*CP516+CO519</f>
        <v>1134.0426522693349</v>
      </c>
      <c r="CR519" s="119">
        <f t="shared" si="1493"/>
        <v>4.8240376272597925E-2</v>
      </c>
      <c r="CS519" s="119"/>
      <c r="CT519" s="177">
        <f t="shared" si="1494"/>
        <v>4.9851253677317565E-3</v>
      </c>
      <c r="CU519" s="177">
        <f>+(CT519+CT518+CT517)/3</f>
        <v>5.0323797120361445E-3</v>
      </c>
      <c r="CV519" s="119">
        <f>VLOOKUP($H519,RoR!$E:$F,2,FALSE)</f>
        <v>7.0824999999999999E-2</v>
      </c>
      <c r="CW519" s="177">
        <v>2.2454495382290052E-2</v>
      </c>
      <c r="CX519" s="177">
        <f t="shared" si="1500"/>
        <v>4.8370504617709947E-2</v>
      </c>
      <c r="CY519" s="177">
        <f>+$CX$35-CU519</f>
        <v>2.586956189649748E-2</v>
      </c>
      <c r="CZ519" s="177">
        <f>+((DM517/DM516-1)+(DM518/DM517-1)+(DM519/DM518-1))/3</f>
        <v>2.3947275901631187E-2</v>
      </c>
      <c r="DA519" s="187">
        <f t="shared" si="1495"/>
        <v>0.85270312375000001</v>
      </c>
      <c r="DB519" s="188">
        <f t="shared" si="1496"/>
        <v>0.72406708481540816</v>
      </c>
      <c r="DC519" s="188">
        <f t="shared" si="1497"/>
        <v>0.62201729615248857</v>
      </c>
      <c r="DD519" s="188">
        <f t="shared" si="1498"/>
        <v>0.9352469954311422</v>
      </c>
      <c r="DE519" s="188">
        <f t="shared" si="1499"/>
        <v>0.42121864641655071</v>
      </c>
      <c r="DF519" s="189">
        <f>INDEX('State Tax Lookup'!$D$7:$Z$91,MATCH(Calculation!$C519,'State Tax Lookup'!$B$7:$B$91,0),MATCH($H519,'State Tax Lookup'!$D$6:$Z$6,0))</f>
        <v>0.39279166999999998</v>
      </c>
      <c r="DG519" s="189">
        <v>0.375</v>
      </c>
      <c r="DH519" s="190">
        <f t="shared" ref="DH519:DH539" si="1501">+(DM519*CY519-CZ519)*DA519/(1-DF519)</f>
        <v>12.806635442408082</v>
      </c>
      <c r="DI519" s="190"/>
      <c r="DJ519" s="177"/>
      <c r="DK519" s="189">
        <f>VLOOKUP($H519,RoR!$E:$F,2,FALSE)</f>
        <v>7.0824999999999999E-2</v>
      </c>
      <c r="DL519" s="191">
        <f>HLOOKUP($H519,'GDP-PI'!$D$8:$CQ$11,3,FALSE)</f>
        <v>2.2454495382290052E-2</v>
      </c>
      <c r="DM519" s="189">
        <f>VLOOKUP(H519,'HW Dx Data'!$E:$F,2,FALSE)</f>
        <v>353.44738017483138</v>
      </c>
      <c r="DN519" s="183">
        <f>VLOOKUP(H519,'ECI - Input Price'!$G$17:$H$37,2,FALSE)</f>
        <v>86.2</v>
      </c>
      <c r="DO519" s="177"/>
      <c r="DP519" s="183">
        <f>HLOOKUP(H519,'GDP-PI'!$8:$9,2,FALSE)</f>
        <v>79.822000000000003</v>
      </c>
    </row>
    <row r="520" spans="1:121" s="167" customFormat="1" ht="21" x14ac:dyDescent="0.35">
      <c r="A520" s="167" t="s">
        <v>65</v>
      </c>
      <c r="B520" s="168" t="s">
        <v>65</v>
      </c>
      <c r="C520" s="168">
        <v>4057090</v>
      </c>
      <c r="D520" s="168" t="s">
        <v>141</v>
      </c>
      <c r="E520" s="168"/>
      <c r="F520" s="168"/>
      <c r="G520" s="168" t="s">
        <v>8</v>
      </c>
      <c r="H520" s="169">
        <v>2002</v>
      </c>
      <c r="I520" s="170"/>
      <c r="J520" s="166"/>
      <c r="K520" s="166"/>
      <c r="L520" s="166"/>
      <c r="M520" s="166"/>
      <c r="N520" s="196"/>
      <c r="O520" s="166"/>
      <c r="P520" s="166"/>
      <c r="Q520" s="166"/>
      <c r="R520" s="166"/>
      <c r="S520" s="166"/>
      <c r="T520" s="166"/>
      <c r="U520" s="166"/>
      <c r="V520" s="166">
        <f t="shared" si="1489"/>
        <v>14695.002799163529</v>
      </c>
      <c r="W520" s="170"/>
      <c r="X520" s="174">
        <v>1203.9148553594173</v>
      </c>
      <c r="Y520" s="175">
        <v>5.9789809417272646E-2</v>
      </c>
      <c r="Z520" s="175"/>
      <c r="AA520" s="175"/>
      <c r="AB520" s="175"/>
      <c r="AC520" s="170">
        <f t="shared" si="1475"/>
        <v>14695.002799163529</v>
      </c>
      <c r="AD520" s="175"/>
      <c r="AE520" s="170"/>
      <c r="AF520" s="170"/>
      <c r="AG520" s="174"/>
      <c r="AH520" s="175"/>
      <c r="AI520" s="175"/>
      <c r="AJ520" s="174"/>
      <c r="AK520" s="174"/>
      <c r="AL520" s="120"/>
      <c r="AM520" s="120"/>
      <c r="AN520" s="120"/>
      <c r="AO520" s="120"/>
      <c r="AP520" s="120"/>
      <c r="AQ520" s="175"/>
      <c r="AR520" s="120"/>
      <c r="AS520" s="120"/>
      <c r="AT520" s="120"/>
      <c r="AU520" s="120"/>
      <c r="AV520" s="120"/>
      <c r="AW520" s="120"/>
      <c r="AX520" s="120"/>
      <c r="AY520" s="120"/>
      <c r="AZ520" s="118">
        <f>IFERROR(INDEX('Total Customers'!$F$7:$AB$91,MATCH($C520,'Total Customers'!$D$7:$D$91,0),MATCH($G520,'Total Customers'!$F$5:$AB$5,0)),"NA")</f>
        <v>308344</v>
      </c>
      <c r="BA520" s="119">
        <f t="shared" si="1490"/>
        <v>1.6978414280713068E-2</v>
      </c>
      <c r="BB520" s="119"/>
      <c r="BC520" s="121"/>
      <c r="BD520" s="119"/>
      <c r="BE520" s="119"/>
      <c r="BF520" s="119"/>
      <c r="BG520" s="173"/>
      <c r="BH520" s="173"/>
      <c r="BI520" s="173"/>
      <c r="BJ520" s="173"/>
      <c r="BK520" s="173"/>
      <c r="BL520" s="173"/>
      <c r="BM520" s="173"/>
      <c r="BN520" s="173"/>
      <c r="BO520" s="173"/>
      <c r="BP520" s="173"/>
      <c r="BQ520" s="118"/>
      <c r="BR520" s="118"/>
      <c r="BS520" s="118">
        <f>INDEX('Dist. Plant Gas Additions'!$F$7:$AE$91,MATCH($C520,'Dist. Plant Gas Additions'!$D$7:$D$91,0),MATCH(Calculation!$G520,'Dist. Plant Gas Additions'!$F$5:$AE$5,0))</f>
        <v>27104</v>
      </c>
      <c r="BT520" s="118">
        <f>INDEX('Gen. Plant Additions'!$F$7:$AE$91,MATCH($C520,'Gen. Plant Additions'!$D$7:$D$91,0),MATCH(Calculation!$G520,'Gen. Plant Additions'!$F$5:$AE$5,0))</f>
        <v>507</v>
      </c>
      <c r="BU520" s="118"/>
      <c r="BV520" s="118"/>
      <c r="BW520" s="118">
        <f>INDEX('Dist Plant Depreciation'!$E$7:$AD$94,MATCH($C520,'Dist Plant Depreciation'!$D$7:$D$94,0),MATCH(Calculation!$G520,'Dist Plant Depreciation'!$E$5:$AD$5,0))</f>
        <v>113995</v>
      </c>
      <c r="BX520" s="118">
        <f>INDEX('Gen. Plant Depreciation'!$E$7:$AD$94,MATCH($C520,'Gen. Plant Depreciation'!$D$7:$D$94,0),MATCH(Calculation!$G520,'Gen. Plant Depreciation'!$E$5:$AD$5,0))</f>
        <v>4988</v>
      </c>
      <c r="BY520" s="118"/>
      <c r="BZ520" s="118"/>
      <c r="CA520" s="118"/>
      <c r="CB520" s="118"/>
      <c r="CC520" s="118"/>
      <c r="CD520" s="118"/>
      <c r="CE520" s="118">
        <f>INDEX('Gross Dx Plant'!$E$7:$AD$91,MATCH($C520,'Gross Dx Plant'!$D$7:$D$91,0),MATCH(Calculation!$G520,'Gross Dx Plant'!$E$5:$AD$5,0))</f>
        <v>356807</v>
      </c>
      <c r="CF520" s="118">
        <f>INDEX('Gross Gen Plant'!$E$7:$AD$91,MATCH($C520,'Gross Gen Plant'!$D$7:$D$91,0),MATCH(Calculation!$G520,'Gross Gen Plant'!$E$5:$AD$5,0))</f>
        <v>8983</v>
      </c>
      <c r="CG520" s="118">
        <f t="shared" si="1389"/>
        <v>246807</v>
      </c>
      <c r="CH520" s="118"/>
      <c r="CI520" s="121">
        <v>2002</v>
      </c>
      <c r="CJ520" s="118"/>
      <c r="CK520" s="118"/>
      <c r="CL520" s="118"/>
      <c r="CM520" s="183"/>
      <c r="CN520" s="118">
        <f t="shared" si="1491"/>
        <v>27611</v>
      </c>
      <c r="CO520" s="118">
        <f t="shared" si="1492"/>
        <v>76.411070037961537</v>
      </c>
      <c r="CP520" s="186">
        <v>0.97916666666666663</v>
      </c>
      <c r="CQ520" s="118">
        <f>+CQ516*CP520+CO517*CP519+CO518*CP518+CO519*CP517+CO520</f>
        <v>1203.9148553594173</v>
      </c>
      <c r="CR520" s="119">
        <f t="shared" si="1493"/>
        <v>5.9789809417272646E-2</v>
      </c>
      <c r="CS520" s="119"/>
      <c r="CT520" s="177">
        <f t="shared" si="1494"/>
        <v>5.7659797317095645E-3</v>
      </c>
      <c r="CU520" s="177">
        <f t="shared" ref="CU520:CU539" si="1502">+(CT520+CT519+CT518)/3</f>
        <v>5.2959981632361951E-3</v>
      </c>
      <c r="CV520" s="119">
        <f>VLOOKUP($H520,RoR!$E:$F,2,FALSE)</f>
        <v>6.4916666666666664E-2</v>
      </c>
      <c r="CW520" s="177">
        <v>1.5246423291824351E-2</v>
      </c>
      <c r="CX520" s="177">
        <f t="shared" si="1500"/>
        <v>4.9670243374842313E-2</v>
      </c>
      <c r="CY520" s="177">
        <f t="shared" ref="CY520:CY539" si="1503">+$CX$35-CU520</f>
        <v>2.560594344529743E-2</v>
      </c>
      <c r="CZ520" s="177">
        <f t="shared" ref="CZ520:CZ539" si="1504">+((DM518/DM517-1)+(DM519/DM518-1)+(DM520/DM519-1))/3</f>
        <v>2.5243621214759093E-2</v>
      </c>
      <c r="DA520" s="187">
        <f t="shared" si="1495"/>
        <v>0.85270312375000001</v>
      </c>
      <c r="DB520" s="188">
        <f t="shared" si="1496"/>
        <v>0.78996741384417901</v>
      </c>
      <c r="DC520" s="188">
        <f t="shared" si="1497"/>
        <v>0.58989088575096271</v>
      </c>
      <c r="DD520" s="188">
        <f t="shared" si="1498"/>
        <v>0.91920675783645744</v>
      </c>
      <c r="DE520" s="188">
        <f t="shared" si="1499"/>
        <v>0.42834536472275586</v>
      </c>
      <c r="DF520" s="189">
        <f>INDEX('State Tax Lookup'!$D$7:$Z$91,MATCH(Calculation!$C520,'State Tax Lookup'!$B$7:$B$91,0),MATCH($H520,'State Tax Lookup'!$D$6:$Z$6,0))</f>
        <v>0.39279166999999998</v>
      </c>
      <c r="DG520" s="189">
        <v>0.375</v>
      </c>
      <c r="DH520" s="190">
        <f t="shared" si="1501"/>
        <v>12.958068878412405</v>
      </c>
      <c r="DI520" s="190"/>
      <c r="DJ520" s="177"/>
      <c r="DK520" s="189">
        <f>VLOOKUP($H520,RoR!$E:$F,2,FALSE)</f>
        <v>6.4916666666666664E-2</v>
      </c>
      <c r="DL520" s="191">
        <f>HLOOKUP($H520,'GDP-PI'!$D$8:$CQ$11,3,FALSE)</f>
        <v>1.5246423291824351E-2</v>
      </c>
      <c r="DM520" s="189">
        <f>VLOOKUP(H520,'HW Dx Data'!$E:$F,2,FALSE)</f>
        <v>361.34816573413599</v>
      </c>
      <c r="DN520" s="183">
        <f>VLOOKUP(H520,'ECI - Input Price'!$G$17:$H$37,2,FALSE)</f>
        <v>89.275000000000006</v>
      </c>
      <c r="DO520" s="177">
        <f>LN(DN520/DN519)</f>
        <v>3.5051315810864674E-2</v>
      </c>
      <c r="DP520" s="183">
        <f>HLOOKUP(H520,'GDP-PI'!$8:$9,2,FALSE)</f>
        <v>81.039000000000001</v>
      </c>
      <c r="DQ520" s="177">
        <f>LN(DP520/DP519)</f>
        <v>1.513136459537477E-2</v>
      </c>
    </row>
    <row r="521" spans="1:121" s="167" customFormat="1" ht="21" x14ac:dyDescent="0.35">
      <c r="A521" s="167" t="s">
        <v>65</v>
      </c>
      <c r="B521" s="168" t="s">
        <v>65</v>
      </c>
      <c r="C521" s="168">
        <v>4057090</v>
      </c>
      <c r="D521" s="168" t="s">
        <v>141</v>
      </c>
      <c r="E521" s="168"/>
      <c r="F521" s="168"/>
      <c r="G521" s="168" t="s">
        <v>9</v>
      </c>
      <c r="H521" s="169">
        <v>2003</v>
      </c>
      <c r="I521" s="170"/>
      <c r="J521" s="166"/>
      <c r="K521" s="166"/>
      <c r="L521" s="166"/>
      <c r="M521" s="172"/>
      <c r="N521" s="196"/>
      <c r="O521" s="172"/>
      <c r="P521" s="166"/>
      <c r="Q521" s="166"/>
      <c r="R521" s="166"/>
      <c r="S521" s="166"/>
      <c r="T521" s="166"/>
      <c r="U521" s="166"/>
      <c r="V521" s="166">
        <f t="shared" si="1489"/>
        <v>15846.313768089978</v>
      </c>
      <c r="W521" s="170"/>
      <c r="X521" s="174">
        <v>1303.450006137168</v>
      </c>
      <c r="Y521" s="175">
        <v>7.9435973851954111E-2</v>
      </c>
      <c r="Z521" s="175"/>
      <c r="AA521" s="175"/>
      <c r="AB521" s="175"/>
      <c r="AC521" s="170">
        <f t="shared" si="1475"/>
        <v>15846.313768089978</v>
      </c>
      <c r="AD521" s="175"/>
      <c r="AE521" s="170"/>
      <c r="AF521" s="170"/>
      <c r="AG521" s="174"/>
      <c r="AH521" s="175"/>
      <c r="AI521" s="175"/>
      <c r="AJ521" s="174"/>
      <c r="AK521" s="174"/>
      <c r="AL521" s="120"/>
      <c r="AM521" s="120"/>
      <c r="AN521" s="120"/>
      <c r="AO521" s="120"/>
      <c r="AP521" s="120"/>
      <c r="AQ521" s="175"/>
      <c r="AR521" s="120"/>
      <c r="AS521" s="120"/>
      <c r="AT521" s="120"/>
      <c r="AU521" s="120"/>
      <c r="AV521" s="120"/>
      <c r="AW521" s="120"/>
      <c r="AX521" s="120"/>
      <c r="AY521" s="120"/>
      <c r="AZ521" s="118">
        <f>IFERROR(INDEX('Total Customers'!$F$7:$AB$91,MATCH($C521,'Total Customers'!$D$7:$D$91,0),MATCH($G521,'Total Customers'!$F$5:$AB$5,0)),"NA")</f>
        <v>312151</v>
      </c>
      <c r="BA521" s="119">
        <f t="shared" si="1490"/>
        <v>1.227100225010924E-2</v>
      </c>
      <c r="BB521" s="119"/>
      <c r="BC521" s="121"/>
      <c r="BD521" s="119"/>
      <c r="BE521" s="119"/>
      <c r="BF521" s="119"/>
      <c r="BG521" s="173"/>
      <c r="BH521" s="173"/>
      <c r="BI521" s="173"/>
      <c r="BJ521" s="173"/>
      <c r="BK521" s="173"/>
      <c r="BL521" s="173"/>
      <c r="BM521" s="173"/>
      <c r="BN521" s="173"/>
      <c r="BO521" s="173"/>
      <c r="BP521" s="173"/>
      <c r="BQ521" s="118"/>
      <c r="BR521" s="118"/>
      <c r="BS521" s="118">
        <f>INDEX('Dist. Plant Gas Additions'!$F$7:$AE$91,MATCH($C521,'Dist. Plant Gas Additions'!$D$7:$D$91,0),MATCH(Calculation!$G521,'Dist. Plant Gas Additions'!$F$5:$AE$5,0))</f>
        <v>39077</v>
      </c>
      <c r="BT521" s="118">
        <f>INDEX('Gen. Plant Additions'!$F$7:$AE$91,MATCH($C521,'Gen. Plant Additions'!$D$7:$D$91,0),MATCH(Calculation!$G521,'Gen. Plant Additions'!$F$5:$AE$5,0))</f>
        <v>176</v>
      </c>
      <c r="BU521" s="118"/>
      <c r="BV521" s="118"/>
      <c r="BW521" s="118">
        <f>INDEX('Dist Plant Depreciation'!$E$7:$AD$94,MATCH($C521,'Dist Plant Depreciation'!$D$7:$D$94,0),MATCH(Calculation!$G521,'Dist Plant Depreciation'!$E$5:$AD$5,0))</f>
        <v>116219</v>
      </c>
      <c r="BX521" s="118">
        <f>INDEX('Gen. Plant Depreciation'!$E$7:$AD$94,MATCH($C521,'Gen. Plant Depreciation'!$D$7:$D$94,0),MATCH(Calculation!$G521,'Gen. Plant Depreciation'!$E$5:$AD$5,0))</f>
        <v>4923</v>
      </c>
      <c r="BY521" s="118"/>
      <c r="BZ521" s="118"/>
      <c r="CA521" s="118"/>
      <c r="CB521" s="118"/>
      <c r="CC521" s="118"/>
      <c r="CD521" s="118"/>
      <c r="CE521" s="118">
        <f>INDEX('Gross Dx Plant'!$E$7:$AD$91,MATCH($C521,'Gross Dx Plant'!$D$7:$D$91,0),MATCH(Calculation!$G521,'Gross Dx Plant'!$E$5:$AD$5,0))</f>
        <v>388159</v>
      </c>
      <c r="CF521" s="118">
        <f>INDEX('Gross Gen Plant'!$E$7:$AD$91,MATCH($C521,'Gross Gen Plant'!$D$7:$D$91,0),MATCH(Calculation!$G521,'Gross Gen Plant'!$E$5:$AD$5,0))</f>
        <v>8822</v>
      </c>
      <c r="CG521" s="118">
        <f t="shared" si="1389"/>
        <v>275839</v>
      </c>
      <c r="CH521" s="118"/>
      <c r="CI521" s="121">
        <v>2003</v>
      </c>
      <c r="CJ521" s="118"/>
      <c r="CK521" s="118"/>
      <c r="CL521" s="118"/>
      <c r="CM521" s="183"/>
      <c r="CN521" s="118">
        <f t="shared" si="1491"/>
        <v>39253</v>
      </c>
      <c r="CO521" s="118">
        <f t="shared" si="1492"/>
        <v>106.30956289203498</v>
      </c>
      <c r="CP521" s="186">
        <v>0.97354497354497349</v>
      </c>
      <c r="CQ521" s="118">
        <f>+CQ516*CP521+CO517*CP520+CO518*CP519+CO519*CP518+CO520*CP517+CO521</f>
        <v>1303.450006137168</v>
      </c>
      <c r="CR521" s="119">
        <f t="shared" si="1493"/>
        <v>7.9435973851954111E-2</v>
      </c>
      <c r="CS521" s="119"/>
      <c r="CT521" s="177">
        <f t="shared" si="1494"/>
        <v>5.6269860647760279E-3</v>
      </c>
      <c r="CU521" s="177">
        <f t="shared" si="1502"/>
        <v>5.4593637214057833E-3</v>
      </c>
      <c r="CV521" s="119">
        <f>VLOOKUP($H521,RoR!$E:$F,2,FALSE)</f>
        <v>5.6666666666666671E-2</v>
      </c>
      <c r="CW521" s="177">
        <v>1.8855119140166909E-2</v>
      </c>
      <c r="CX521" s="177">
        <f t="shared" si="1500"/>
        <v>3.7811547526499761E-2</v>
      </c>
      <c r="CY521" s="177">
        <f t="shared" si="1503"/>
        <v>2.5442577887127841E-2</v>
      </c>
      <c r="CZ521" s="177">
        <f t="shared" si="1504"/>
        <v>2.1375012817671957E-2</v>
      </c>
      <c r="DA521" s="187">
        <f t="shared" si="1495"/>
        <v>0.85270312375000001</v>
      </c>
      <c r="DB521" s="188">
        <f t="shared" si="1496"/>
        <v>0.90497737556561086</v>
      </c>
      <c r="DC521" s="188">
        <f t="shared" si="1497"/>
        <v>0.5338235294117647</v>
      </c>
      <c r="DD521" s="188">
        <f t="shared" si="1498"/>
        <v>0.88972433127405692</v>
      </c>
      <c r="DE521" s="188">
        <f t="shared" si="1499"/>
        <v>0.42982423775949252</v>
      </c>
      <c r="DF521" s="189">
        <f>INDEX('State Tax Lookup'!$D$7:$Z$91,MATCH(Calculation!$C521,'State Tax Lookup'!$B$7:$B$91,0),MATCH($H521,'State Tax Lookup'!$D$6:$Z$6,0))</f>
        <v>0.39279166999999998</v>
      </c>
      <c r="DG521" s="189">
        <v>0.375</v>
      </c>
      <c r="DH521" s="190">
        <f t="shared" si="1501"/>
        <v>13.162320987690789</v>
      </c>
      <c r="DI521" s="190"/>
      <c r="DJ521" s="177"/>
      <c r="DK521" s="189">
        <f>VLOOKUP($H521,RoR!$E:$F,2,FALSE)</f>
        <v>5.6666666666666671E-2</v>
      </c>
      <c r="DL521" s="191">
        <f>HLOOKUP($H521,'GDP-PI'!$D$8:$CQ$11,3,FALSE)</f>
        <v>1.8855119140166909E-2</v>
      </c>
      <c r="DM521" s="189">
        <f>VLOOKUP(H521,'HW Dx Data'!$E:$F,2,FALSE)</f>
        <v>369.23301095560191</v>
      </c>
      <c r="DN521" s="183">
        <f>VLOOKUP(H521,'ECI - Input Price'!$G$17:$H$37,2,FALSE)</f>
        <v>92.625</v>
      </c>
      <c r="DO521" s="177">
        <f t="shared" ref="DO521" si="1505">LN(DN521/DN520)</f>
        <v>3.6837590135738785E-2</v>
      </c>
      <c r="DP521" s="183">
        <f>HLOOKUP(H521,'GDP-PI'!$8:$9,2,FALSE)</f>
        <v>82.566999999999993</v>
      </c>
      <c r="DQ521" s="177">
        <f t="shared" ref="DQ521" si="1506">LN(DP521/DP520)</f>
        <v>1.8679564681853753E-2</v>
      </c>
    </row>
    <row r="522" spans="1:121" s="167" customFormat="1" ht="21" x14ac:dyDescent="0.35">
      <c r="A522" s="167" t="s">
        <v>65</v>
      </c>
      <c r="B522" s="168" t="s">
        <v>65</v>
      </c>
      <c r="C522" s="168">
        <v>4057090</v>
      </c>
      <c r="D522" s="168" t="s">
        <v>141</v>
      </c>
      <c r="E522" s="168"/>
      <c r="F522" s="168"/>
      <c r="G522" s="168" t="s">
        <v>10</v>
      </c>
      <c r="H522" s="169">
        <v>2004</v>
      </c>
      <c r="I522" s="170"/>
      <c r="J522" s="166">
        <f>IFERROR(INDEX('Labor Expenditures'!$F$7:$X$91,MATCH($C522,'Labor Expenditures'!$D$7:$D$91,0),MATCH($G522,'Labor Expenditures'!$F$5:$X$5,0)),"NA")</f>
        <v>17341.361836883279</v>
      </c>
      <c r="K522" s="166">
        <f t="shared" ref="K522:K539" si="1507">+J522/DN522</f>
        <v>180.31049479473128</v>
      </c>
      <c r="L522" s="172"/>
      <c r="M522" s="172"/>
      <c r="N522" s="196"/>
      <c r="O522" s="172"/>
      <c r="P522" s="166">
        <f>IFERROR(INDEX('Non-Labor Expenditures'!$F$7:$AB$91,MATCH($C522,'Non-Labor Expenditures'!$D$7:$D$91,0),MATCH($G522,'Non-Labor Expenditures'!$F$5:$AB$5,0)),"NA")</f>
        <v>25113.530859423179</v>
      </c>
      <c r="Q522" s="166">
        <f t="shared" ref="Q522:Q539" si="1508">+P522/DP522</f>
        <v>296.22697939823041</v>
      </c>
      <c r="R522" s="166"/>
      <c r="S522" s="166"/>
      <c r="T522" s="166"/>
      <c r="U522" s="166"/>
      <c r="V522" s="166">
        <f t="shared" si="1489"/>
        <v>19020.800868291091</v>
      </c>
      <c r="W522" s="170"/>
      <c r="X522" s="174">
        <v>1339.6020652756904</v>
      </c>
      <c r="Y522" s="175">
        <v>2.7358003549532498E-2</v>
      </c>
      <c r="Z522" s="175"/>
      <c r="AA522" s="175"/>
      <c r="AB522" s="175"/>
      <c r="AC522" s="170">
        <f t="shared" si="1475"/>
        <v>61475.693564597546</v>
      </c>
      <c r="AD522" s="175"/>
      <c r="AE522" s="170"/>
      <c r="AF522" s="170"/>
      <c r="AG522" s="174"/>
      <c r="AH522" s="175"/>
      <c r="AI522" s="175"/>
      <c r="AJ522" s="174"/>
      <c r="AK522" s="174"/>
      <c r="AL522" s="120">
        <f t="shared" ref="AL522:AL539" si="1509">+J522/AC522</f>
        <v>0.28208485063550021</v>
      </c>
      <c r="AM522" s="120">
        <f t="shared" ref="AM522:AM539" si="1510">+P522/AC522</f>
        <v>0.40851154990279753</v>
      </c>
      <c r="AN522" s="120">
        <f t="shared" ref="AN522:AN539" si="1511">+V522/AC522</f>
        <v>0.30940359946170232</v>
      </c>
      <c r="AO522" s="120"/>
      <c r="AP522" s="120"/>
      <c r="AQ522" s="175"/>
      <c r="AR522" s="120"/>
      <c r="AS522" s="120"/>
      <c r="AT522" s="120"/>
      <c r="AU522" s="120"/>
      <c r="AV522" s="120"/>
      <c r="AW522" s="120"/>
      <c r="AX522" s="120"/>
      <c r="AY522" s="120"/>
      <c r="AZ522" s="118">
        <f>IFERROR(INDEX('Total Customers'!$F$7:$AB$91,MATCH($C522,'Total Customers'!$D$7:$D$91,0),MATCH($G522,'Total Customers'!$F$5:$AB$5,0)),"NA")</f>
        <v>316311</v>
      </c>
      <c r="BA522" s="119">
        <f t="shared" si="1490"/>
        <v>1.3238861726591451E-2</v>
      </c>
      <c r="BB522" s="119"/>
      <c r="BC522" s="121"/>
      <c r="BD522" s="119"/>
      <c r="BE522" s="119"/>
      <c r="BF522" s="119"/>
      <c r="BG522" s="173"/>
      <c r="BH522" s="173"/>
      <c r="BI522" s="173"/>
      <c r="BJ522" s="173"/>
      <c r="BK522" s="173"/>
      <c r="BL522" s="173"/>
      <c r="BM522" s="173"/>
      <c r="BN522" s="173"/>
      <c r="BO522" s="173"/>
      <c r="BP522" s="173"/>
      <c r="BQ522" s="118"/>
      <c r="BR522" s="118"/>
      <c r="BS522" s="118">
        <f>INDEX('Dist. Plant Gas Additions'!$F$7:$AE$91,MATCH($C522,'Dist. Plant Gas Additions'!$D$7:$D$91,0),MATCH(Calculation!$G522,'Dist. Plant Gas Additions'!$F$5:$AE$5,0))</f>
        <v>17399</v>
      </c>
      <c r="BT522" s="118">
        <f>INDEX('Gen. Plant Additions'!$F$7:$AE$91,MATCH($C522,'Gen. Plant Additions'!$D$7:$D$91,0),MATCH(Calculation!$G522,'Gen. Plant Additions'!$F$5:$AE$5,0))</f>
        <v>720</v>
      </c>
      <c r="BU522" s="118"/>
      <c r="BV522" s="118"/>
      <c r="BW522" s="118">
        <f>INDEX('Dist Plant Depreciation'!$E$7:$AD$94,MATCH($C522,'Dist Plant Depreciation'!$D$7:$D$94,0),MATCH(Calculation!$G522,'Dist Plant Depreciation'!$E$5:$AD$5,0))</f>
        <v>127007</v>
      </c>
      <c r="BX522" s="118">
        <f>INDEX('Gen. Plant Depreciation'!$E$7:$AD$94,MATCH($C522,'Gen. Plant Depreciation'!$D$7:$D$94,0),MATCH(Calculation!$G522,'Gen. Plant Depreciation'!$E$5:$AD$5,0))</f>
        <v>5886</v>
      </c>
      <c r="BY522" s="118"/>
      <c r="BZ522" s="118"/>
      <c r="CA522" s="118"/>
      <c r="CB522" s="118"/>
      <c r="CC522" s="118"/>
      <c r="CD522" s="118"/>
      <c r="CE522" s="118">
        <f>INDEX('Gross Dx Plant'!$E$7:$AD$91,MATCH($C522,'Gross Dx Plant'!$D$7:$D$91,0),MATCH(Calculation!$G522,'Gross Dx Plant'!$E$5:$AD$5,0))</f>
        <v>404952</v>
      </c>
      <c r="CF522" s="118">
        <f>INDEX('Gross Gen Plant'!$E$7:$AD$91,MATCH($C522,'Gross Gen Plant'!$D$7:$D$91,0),MATCH(Calculation!$G522,'Gross Gen Plant'!$E$5:$AD$5,0))</f>
        <v>9273</v>
      </c>
      <c r="CG522" s="118">
        <f t="shared" si="1389"/>
        <v>281332</v>
      </c>
      <c r="CH522" s="118"/>
      <c r="CI522" s="121">
        <v>2004</v>
      </c>
      <c r="CJ522" s="118"/>
      <c r="CK522" s="118"/>
      <c r="CL522" s="118"/>
      <c r="CM522" s="183"/>
      <c r="CN522" s="118">
        <f t="shared" si="1491"/>
        <v>18119</v>
      </c>
      <c r="CO522" s="118">
        <f t="shared" si="1492"/>
        <v>43.672112269706176</v>
      </c>
      <c r="CP522" s="186">
        <v>0.967741935483871</v>
      </c>
      <c r="CQ522" s="118">
        <f>+CQ516*CP522+CO517*CP521+CO518*CP520+CO519*CP519+CO520*CP518+CO521*CP517+CO522</f>
        <v>1339.6020652756904</v>
      </c>
      <c r="CR522" s="119">
        <f t="shared" si="1493"/>
        <v>2.7358003549532498E-2</v>
      </c>
      <c r="CS522" s="119"/>
      <c r="CT522" s="177">
        <f t="shared" si="1494"/>
        <v>5.7693452727579243E-3</v>
      </c>
      <c r="CU522" s="177">
        <f t="shared" si="1502"/>
        <v>5.7207703564145056E-3</v>
      </c>
      <c r="CV522" s="119">
        <f>VLOOKUP($H522,RoR!$E:$F,2,FALSE)</f>
        <v>5.6283333333333331E-2</v>
      </c>
      <c r="CW522" s="177">
        <v>2.6778252812867276E-2</v>
      </c>
      <c r="CX522" s="177">
        <f t="shared" si="1500"/>
        <v>2.9505080520466055E-2</v>
      </c>
      <c r="CY522" s="177">
        <f t="shared" si="1503"/>
        <v>2.5181171252119119E-2</v>
      </c>
      <c r="CZ522" s="177">
        <f t="shared" si="1504"/>
        <v>5.5940039414565046E-2</v>
      </c>
      <c r="DA522" s="187">
        <f t="shared" si="1495"/>
        <v>0.85270312375000001</v>
      </c>
      <c r="DB522" s="188">
        <f t="shared" si="1496"/>
        <v>0.91114097628755619</v>
      </c>
      <c r="DC522" s="188">
        <f t="shared" si="1497"/>
        <v>0.53081877405981637</v>
      </c>
      <c r="DD522" s="188">
        <f t="shared" si="1498"/>
        <v>0.88811215519385678</v>
      </c>
      <c r="DE522" s="188">
        <f t="shared" si="1499"/>
        <v>0.42953609753547711</v>
      </c>
      <c r="DF522" s="189">
        <f>INDEX('State Tax Lookup'!$D$7:$Z$91,MATCH(Calculation!$C522,'State Tax Lookup'!$B$7:$B$91,0),MATCH($H522,'State Tax Lookup'!$D$6:$Z$6,0))</f>
        <v>0.39279166999999998</v>
      </c>
      <c r="DG522" s="189">
        <v>0.375</v>
      </c>
      <c r="DH522" s="190">
        <f t="shared" si="1501"/>
        <v>14.592658543659899</v>
      </c>
      <c r="DI522" s="190"/>
      <c r="DJ522" s="177"/>
      <c r="DK522" s="189">
        <f>VLOOKUP($H522,RoR!$E:$F,2,FALSE)</f>
        <v>5.6283333333333331E-2</v>
      </c>
      <c r="DL522" s="191">
        <f>HLOOKUP($H522,'GDP-PI'!$D$8:$CQ$11,3,FALSE)</f>
        <v>2.6778252812867276E-2</v>
      </c>
      <c r="DM522" s="189">
        <f>VLOOKUP(H522,'HW Dx Data'!$E:$F,2,FALSE)</f>
        <v>414.88719135228365</v>
      </c>
      <c r="DN522" s="183">
        <f>VLOOKUP(H522,'ECI - Input Price'!$G$17:$H$37,2,FALSE)</f>
        <v>96.174999999999997</v>
      </c>
      <c r="DO522" s="177">
        <f t="shared" ref="DO522" si="1512">LN(DN522/DN521)</f>
        <v>3.7610365022107912E-2</v>
      </c>
      <c r="DP522" s="183">
        <f>HLOOKUP(H522,'GDP-PI'!$8:$9,2,FALSE)</f>
        <v>84.778000000000006</v>
      </c>
      <c r="DQ522" s="177">
        <f t="shared" ref="DQ522" si="1513">LN(DP522/DP521)</f>
        <v>2.6425990216022755E-2</v>
      </c>
    </row>
    <row r="523" spans="1:121" s="167" customFormat="1" ht="21" x14ac:dyDescent="0.35">
      <c r="A523" s="167" t="s">
        <v>65</v>
      </c>
      <c r="B523" s="168" t="s">
        <v>65</v>
      </c>
      <c r="C523" s="168">
        <v>4057090</v>
      </c>
      <c r="D523" s="168" t="s">
        <v>141</v>
      </c>
      <c r="E523" s="168"/>
      <c r="F523" s="168"/>
      <c r="G523" s="168" t="s">
        <v>11</v>
      </c>
      <c r="H523" s="169">
        <v>2005</v>
      </c>
      <c r="I523" s="170"/>
      <c r="J523" s="166">
        <f>IFERROR(INDEX('Labor Expenditures'!$F$7:$X$91,MATCH($C523,'Labor Expenditures'!$D$7:$D$91,0),MATCH($G523,'Labor Expenditures'!$F$5:$X$5,0)),"NA")</f>
        <v>17986.637902296035</v>
      </c>
      <c r="K523" s="166">
        <f t="shared" si="1507"/>
        <v>181.40834999794285</v>
      </c>
      <c r="L523" s="172">
        <f t="shared" ref="L523:L539" si="1514">LN(K523/K522)</f>
        <v>6.0702315631893933E-3</v>
      </c>
      <c r="M523" s="172"/>
      <c r="N523" s="196"/>
      <c r="O523" s="172"/>
      <c r="P523" s="166">
        <f>IFERROR(INDEX('Non-Labor Expenditures'!$F$7:$AB$91,MATCH($C523,'Non-Labor Expenditures'!$D$7:$D$91,0),MATCH($G523,'Non-Labor Expenditures'!$F$5:$AB$5,0)),"NA")</f>
        <v>26048.011123085274</v>
      </c>
      <c r="Q523" s="166">
        <f t="shared" si="1508"/>
        <v>298.00829593837193</v>
      </c>
      <c r="R523" s="172">
        <f>LN(Q523/Q522)</f>
        <v>5.9953420799023121E-3</v>
      </c>
      <c r="S523" s="172"/>
      <c r="T523" s="172"/>
      <c r="U523" s="172"/>
      <c r="V523" s="166">
        <f t="shared" si="1489"/>
        <v>21997.020159971329</v>
      </c>
      <c r="W523" s="170"/>
      <c r="X523" s="174">
        <v>1377.3348795137863</v>
      </c>
      <c r="Y523" s="175">
        <v>2.7777781531074835E-2</v>
      </c>
      <c r="Z523" s="175"/>
      <c r="AA523" s="175"/>
      <c r="AB523" s="175"/>
      <c r="AC523" s="170">
        <f t="shared" si="1475"/>
        <v>66031.669185352643</v>
      </c>
      <c r="AD523" s="175">
        <f>LN(AC523/AC522)</f>
        <v>7.1492592985635775E-2</v>
      </c>
      <c r="AE523" s="170"/>
      <c r="AF523" s="170"/>
      <c r="AG523" s="174"/>
      <c r="AH523" s="119"/>
      <c r="AI523" s="175"/>
      <c r="AJ523" s="121"/>
      <c r="AK523" s="121"/>
      <c r="AL523" s="120">
        <f t="shared" si="1509"/>
        <v>0.27239411216165182</v>
      </c>
      <c r="AM523" s="120">
        <f t="shared" si="1510"/>
        <v>0.39447755061238599</v>
      </c>
      <c r="AN523" s="120">
        <f t="shared" si="1511"/>
        <v>0.33312833722596213</v>
      </c>
      <c r="AO523" s="120">
        <f t="shared" ref="AO523:AO539" si="1515">+(((AL523+AL522)/2)*L523+((AM522+AM523)/2)*R523+((AN522+AN523)/2)*Y523)</f>
        <v>1.3014060904582864E-2</v>
      </c>
      <c r="AP523" s="173">
        <v>100</v>
      </c>
      <c r="AQ523" s="175"/>
      <c r="AR523" s="120"/>
      <c r="AS523" s="120"/>
      <c r="AT523" s="120"/>
      <c r="AU523" s="120"/>
      <c r="AV523" s="120"/>
      <c r="AW523" s="120"/>
      <c r="AX523" s="120"/>
      <c r="AY523" s="120"/>
      <c r="AZ523" s="118">
        <f>IFERROR(INDEX('Total Customers'!$F$7:$AB$91,MATCH($C523,'Total Customers'!$D$7:$D$91,0),MATCH($G523,'Total Customers'!$F$5:$AB$5,0)),"NA")</f>
        <v>320305</v>
      </c>
      <c r="BA523" s="119">
        <f t="shared" si="1490"/>
        <v>1.2547760041322832E-2</v>
      </c>
      <c r="BB523" s="119"/>
      <c r="BC523" s="121"/>
      <c r="BD523" s="119"/>
      <c r="BE523" s="119"/>
      <c r="BF523" s="119"/>
      <c r="BG523" s="173"/>
      <c r="BH523" s="173"/>
      <c r="BI523" s="173"/>
      <c r="BJ523" s="173"/>
      <c r="BK523" s="173"/>
      <c r="BL523" s="173"/>
      <c r="BM523" s="173"/>
      <c r="BN523" s="173"/>
      <c r="BO523" s="173"/>
      <c r="BP523" s="173"/>
      <c r="BQ523" s="118"/>
      <c r="BR523" s="118"/>
      <c r="BS523" s="118">
        <f>INDEX('Dist. Plant Gas Additions'!$F$7:$AE$91,MATCH($C523,'Dist. Plant Gas Additions'!$D$7:$D$91,0),MATCH(Calculation!$G523,'Dist. Plant Gas Additions'!$F$5:$AE$5,0))</f>
        <v>20975</v>
      </c>
      <c r="BT523" s="118">
        <f>INDEX('Gen. Plant Additions'!$F$7:$AE$91,MATCH($C523,'Gen. Plant Additions'!$D$7:$D$91,0),MATCH(Calculation!$G523,'Gen. Plant Additions'!$F$5:$AE$5,0))</f>
        <v>474</v>
      </c>
      <c r="BU523" s="118"/>
      <c r="BV523" s="118"/>
      <c r="BW523" s="118">
        <f>INDEX('Dist Plant Depreciation'!$E$7:$AD$94,MATCH($C523,'Dist Plant Depreciation'!$D$7:$D$94,0),MATCH(Calculation!$G523,'Dist Plant Depreciation'!$E$5:$AD$5,0))</f>
        <v>137543</v>
      </c>
      <c r="BX523" s="118">
        <f>INDEX('Gen. Plant Depreciation'!$E$7:$AD$94,MATCH($C523,'Gen. Plant Depreciation'!$D$7:$D$94,0),MATCH(Calculation!$G523,'Gen. Plant Depreciation'!$E$5:$AD$5,0))</f>
        <v>6413</v>
      </c>
      <c r="BY523" s="118"/>
      <c r="BZ523" s="118"/>
      <c r="CA523" s="118"/>
      <c r="CB523" s="118"/>
      <c r="CC523" s="118"/>
      <c r="CD523" s="118"/>
      <c r="CE523" s="118">
        <f>INDEX('Gross Dx Plant'!$E$7:$AD$91,MATCH($C523,'Gross Dx Plant'!$D$7:$D$91,0),MATCH(Calculation!$G523,'Gross Dx Plant'!$E$5:$AD$5,0))</f>
        <v>425927</v>
      </c>
      <c r="CF523" s="118">
        <f>INDEX('Gross Gen Plant'!$E$7:$AD$91,MATCH($C523,'Gross Gen Plant'!$D$7:$D$91,0),MATCH(Calculation!$G523,'Gross Gen Plant'!$E$5:$AD$5,0))</f>
        <v>9747</v>
      </c>
      <c r="CG523" s="118">
        <f t="shared" ref="CG523:CG589" si="1516">IF(OR(BW523="NA",BX523="NA"),"NA",(SUM(CE523:CF523)-SUM(BW523:BX523)))</f>
        <v>291718</v>
      </c>
      <c r="CH523" s="118"/>
      <c r="CI523" s="121">
        <v>2005</v>
      </c>
      <c r="CJ523" s="118"/>
      <c r="CK523" s="118"/>
      <c r="CL523" s="118"/>
      <c r="CM523" s="183"/>
      <c r="CN523" s="118">
        <f t="shared" si="1491"/>
        <v>21449</v>
      </c>
      <c r="CO523" s="118">
        <f t="shared" si="1492"/>
        <v>45.713480427834661</v>
      </c>
      <c r="CP523" s="186">
        <v>0.96174863387978138</v>
      </c>
      <c r="CQ523" s="118">
        <f>+CQ516*CP523+CO517*CP522+CO518*CP521+CO519*CP520+CO520*CP519+CO521*CP518+CO522*CP517+CO523</f>
        <v>1377.3348795137863</v>
      </c>
      <c r="CR523" s="119">
        <f t="shared" si="1493"/>
        <v>2.7777781531074835E-2</v>
      </c>
      <c r="CS523" s="119"/>
      <c r="CT523" s="177">
        <f t="shared" si="1494"/>
        <v>5.9574902104203159E-3</v>
      </c>
      <c r="CU523" s="177">
        <f t="shared" si="1502"/>
        <v>5.7846071826514224E-3</v>
      </c>
      <c r="CV523" s="119">
        <f>VLOOKUP($H523,RoR!$E:$F,2,FALSE)</f>
        <v>5.2350000000000001E-2</v>
      </c>
      <c r="CW523" s="177">
        <v>3.1010403642454332E-2</v>
      </c>
      <c r="CX523" s="177">
        <f t="shared" si="1500"/>
        <v>2.1339596357545669E-2</v>
      </c>
      <c r="CY523" s="177">
        <f t="shared" si="1503"/>
        <v>2.5117334425882203E-2</v>
      </c>
      <c r="CZ523" s="177">
        <f t="shared" si="1504"/>
        <v>9.2129610649277341E-2</v>
      </c>
      <c r="DA523" s="187">
        <f t="shared" si="1495"/>
        <v>0.85270312375000001</v>
      </c>
      <c r="DB523" s="188">
        <f t="shared" si="1496"/>
        <v>0.97959983346802826</v>
      </c>
      <c r="DC523" s="188">
        <f t="shared" si="1497"/>
        <v>0.49744508118433622</v>
      </c>
      <c r="DD523" s="188">
        <f t="shared" si="1498"/>
        <v>0.87010519444335932</v>
      </c>
      <c r="DE523" s="188">
        <f t="shared" si="1499"/>
        <v>0.42399975420741998</v>
      </c>
      <c r="DF523" s="189">
        <f>INDEX('State Tax Lookup'!$D$7:$Z$91,MATCH(Calculation!$C523,'State Tax Lookup'!$B$7:$B$91,0),MATCH($H523,'State Tax Lookup'!$D$6:$Z$6,0))</f>
        <v>0.39279166999999998</v>
      </c>
      <c r="DG523" s="189">
        <v>0.375</v>
      </c>
      <c r="DH523" s="190">
        <f t="shared" si="1501"/>
        <v>16.420563038953166</v>
      </c>
      <c r="DI523" s="190"/>
      <c r="DJ523" s="177"/>
      <c r="DK523" s="189">
        <f>VLOOKUP($H523,RoR!$E:$F,2,FALSE)</f>
        <v>5.2350000000000001E-2</v>
      </c>
      <c r="DL523" s="191">
        <f>HLOOKUP($H523,'GDP-PI'!$D$8:$CQ$11,3,FALSE)</f>
        <v>3.1010403642454332E-2</v>
      </c>
      <c r="DM523" s="189">
        <f>VLOOKUP(H523,'HW Dx Data'!$E:$F,2,FALSE)</f>
        <v>469.20514034936258</v>
      </c>
      <c r="DN523" s="183">
        <f>VLOOKUP(H523,'ECI - Input Price'!$G$17:$H$37,2,FALSE)</f>
        <v>99.15</v>
      </c>
      <c r="DO523" s="177">
        <f t="shared" ref="DO523" si="1517">LN(DN523/DN522)</f>
        <v>3.046440632744625E-2</v>
      </c>
      <c r="DP523" s="183">
        <f>HLOOKUP(H523,'GDP-PI'!$8:$9,2,FALSE)</f>
        <v>87.406999999999996</v>
      </c>
      <c r="DQ523" s="177">
        <f t="shared" ref="DQ523" si="1518">LN(DP523/DP522)</f>
        <v>3.0539295810733648E-2</v>
      </c>
    </row>
    <row r="524" spans="1:121" s="167" customFormat="1" ht="21" x14ac:dyDescent="0.35">
      <c r="A524" s="167" t="s">
        <v>65</v>
      </c>
      <c r="B524" s="168" t="s">
        <v>65</v>
      </c>
      <c r="C524" s="168">
        <v>4057090</v>
      </c>
      <c r="D524" s="168" t="s">
        <v>141</v>
      </c>
      <c r="E524" s="168"/>
      <c r="F524" s="168"/>
      <c r="G524" s="168" t="s">
        <v>12</v>
      </c>
      <c r="H524" s="169">
        <v>2006</v>
      </c>
      <c r="I524" s="170"/>
      <c r="J524" s="166">
        <f>IFERROR(INDEX('Labor Expenditures'!$F$7:$X$91,MATCH($C524,'Labor Expenditures'!$D$7:$D$91,0),MATCH($G524,'Labor Expenditures'!$F$5:$X$5,0)),"NA")</f>
        <v>17238.250345341658</v>
      </c>
      <c r="K524" s="166">
        <f t="shared" si="1507"/>
        <v>168.91965061579282</v>
      </c>
      <c r="L524" s="172">
        <f t="shared" si="1514"/>
        <v>-7.1327405758976892E-2</v>
      </c>
      <c r="M524" s="172">
        <f t="shared" ref="M524:M539" si="1519">+L524*AR524</f>
        <v>-5.7652103637571264E-4</v>
      </c>
      <c r="N524" s="196"/>
      <c r="O524" s="172"/>
      <c r="P524" s="166">
        <f>IFERROR(INDEX('Non-Labor Expenditures'!$F$7:$AB$91,MATCH($C524,'Non-Labor Expenditures'!$D$7:$D$91,0),MATCH($G524,'Non-Labor Expenditures'!$F$5:$AB$5,0)),"NA")</f>
        <v>24964.20616110081</v>
      </c>
      <c r="Q524" s="166">
        <f t="shared" si="1508"/>
        <v>277.15218776895455</v>
      </c>
      <c r="R524" s="172">
        <f t="shared" ref="R524:R539" si="1520">LN(Q524/Q523)</f>
        <v>-7.2554555194382614E-2</v>
      </c>
      <c r="S524" s="172">
        <f>+R524*AR524</f>
        <v>-5.8643976896888468E-4</v>
      </c>
      <c r="T524" s="172"/>
      <c r="U524" s="172"/>
      <c r="V524" s="166">
        <f t="shared" si="1489"/>
        <v>22092.02655294471</v>
      </c>
      <c r="W524" s="170"/>
      <c r="X524" s="174">
        <v>1408.987542642094</v>
      </c>
      <c r="Y524" s="175">
        <v>2.2721006422916971E-2</v>
      </c>
      <c r="Z524" s="175">
        <f>+Y524*AR524</f>
        <v>1.83648038661363E-4</v>
      </c>
      <c r="AA524" s="175"/>
      <c r="AB524" s="175"/>
      <c r="AC524" s="170">
        <f t="shared" si="1475"/>
        <v>64294.483059387174</v>
      </c>
      <c r="AD524" s="175">
        <f t="shared" ref="AD524:AD539" si="1521">LN(AC524/AC523)</f>
        <v>-2.6660635530572224E-2</v>
      </c>
      <c r="AE524" s="170"/>
      <c r="AF524" s="170"/>
      <c r="AG524" s="174"/>
      <c r="AH524" s="119">
        <f>+AZ524/$BB$44</f>
        <v>9.1928719841160196E-3</v>
      </c>
      <c r="AI524" s="175"/>
      <c r="AJ524" s="176">
        <f>+AH524*AG524</f>
        <v>0</v>
      </c>
      <c r="AK524" s="176">
        <f>+AI524*AG524</f>
        <v>0</v>
      </c>
      <c r="AL524" s="120">
        <f t="shared" si="1509"/>
        <v>0.26811398933589881</v>
      </c>
      <c r="AM524" s="120">
        <f t="shared" si="1510"/>
        <v>0.38827913334402286</v>
      </c>
      <c r="AN524" s="120">
        <f t="shared" si="1511"/>
        <v>0.34360687732007844</v>
      </c>
      <c r="AO524" s="120">
        <f t="shared" si="1515"/>
        <v>-3.9984749272551273E-2</v>
      </c>
      <c r="AP524" s="173">
        <f>+AP523*EXP(AO524)</f>
        <v>96.080409200192847</v>
      </c>
      <c r="AQ524" s="175">
        <f>LN(AP524/AP523)</f>
        <v>-3.9984749272551114E-2</v>
      </c>
      <c r="AR524" s="177">
        <f>+AC524/$AE$44</f>
        <v>8.0827422537115712E-3</v>
      </c>
      <c r="AS524" s="177">
        <f>+AR524*AQ524</f>
        <v>-3.2318642244931191E-4</v>
      </c>
      <c r="AT524" s="177"/>
      <c r="AU524" s="177"/>
      <c r="AV524" s="177"/>
      <c r="AW524" s="190"/>
      <c r="AX524" s="120"/>
      <c r="AY524" s="120"/>
      <c r="AZ524" s="118">
        <f>IFERROR(INDEX('Total Customers'!$F$7:$AB$91,MATCH($C524,'Total Customers'!$D$7:$D$91,0),MATCH($G524,'Total Customers'!$F$5:$AB$5,0)),"NA")</f>
        <v>323170</v>
      </c>
      <c r="BA524" s="119">
        <f t="shared" si="1490"/>
        <v>8.9048336979992756E-3</v>
      </c>
      <c r="BB524" s="119"/>
      <c r="BC524" s="121"/>
      <c r="BD524" s="119"/>
      <c r="BE524" s="119"/>
      <c r="BF524" s="119"/>
      <c r="BG524" s="173"/>
      <c r="BH524" s="173"/>
      <c r="BI524" s="173"/>
      <c r="BJ524" s="173"/>
      <c r="BK524" s="173"/>
      <c r="BL524" s="173"/>
      <c r="BM524" s="173"/>
      <c r="BN524" s="173"/>
      <c r="BO524" s="173"/>
      <c r="BP524" s="173"/>
      <c r="BQ524" s="118"/>
      <c r="BR524" s="118"/>
      <c r="BS524" s="118">
        <f>INDEX('Dist. Plant Gas Additions'!$F$7:$AE$91,MATCH($C524,'Dist. Plant Gas Additions'!$D$7:$D$91,0),MATCH(Calculation!$G524,'Dist. Plant Gas Additions'!$F$5:$AE$5,0))</f>
        <v>17851</v>
      </c>
      <c r="BT524" s="118">
        <f>INDEX('Gen. Plant Additions'!$F$7:$AE$91,MATCH($C524,'Gen. Plant Additions'!$D$7:$D$91,0),MATCH(Calculation!$G524,'Gen. Plant Additions'!$F$5:$AE$5,0))</f>
        <v>649</v>
      </c>
      <c r="BU524" s="118"/>
      <c r="BV524" s="118"/>
      <c r="BW524" s="118">
        <f>INDEX('Dist Plant Depreciation'!$E$7:$AD$94,MATCH($C524,'Dist Plant Depreciation'!$D$7:$D$94,0),MATCH(Calculation!$G524,'Dist Plant Depreciation'!$E$5:$AD$5,0))</f>
        <v>146047</v>
      </c>
      <c r="BX524" s="118">
        <f>INDEX('Gen. Plant Depreciation'!$E$7:$AD$94,MATCH($C524,'Gen. Plant Depreciation'!$D$7:$D$94,0),MATCH(Calculation!$G524,'Gen. Plant Depreciation'!$E$5:$AD$5,0))</f>
        <v>6789</v>
      </c>
      <c r="BY524" s="118"/>
      <c r="BZ524" s="118"/>
      <c r="CA524" s="118"/>
      <c r="CB524" s="118"/>
      <c r="CC524" s="118"/>
      <c r="CD524" s="118"/>
      <c r="CE524" s="118">
        <f>INDEX('Gross Dx Plant'!$E$7:$AD$91,MATCH($C524,'Gross Dx Plant'!$D$7:$D$91,0),MATCH(Calculation!$G524,'Gross Dx Plant'!$E$5:$AD$5,0))</f>
        <v>440121</v>
      </c>
      <c r="CF524" s="118">
        <f>INDEX('Gross Gen Plant'!$E$7:$AD$91,MATCH($C524,'Gross Gen Plant'!$D$7:$D$91,0),MATCH(Calculation!$G524,'Gross Gen Plant'!$E$5:$AD$5,0))</f>
        <v>10346</v>
      </c>
      <c r="CG524" s="118">
        <f t="shared" si="1516"/>
        <v>297631</v>
      </c>
      <c r="CH524" s="119" t="e">
        <f>SUM(#REF!)/15</f>
        <v>#REF!</v>
      </c>
      <c r="CI524" s="121">
        <v>2006</v>
      </c>
      <c r="CJ524" s="118"/>
      <c r="CK524" s="118"/>
      <c r="CL524" s="118"/>
      <c r="CM524" s="183"/>
      <c r="CN524" s="118">
        <f t="shared" si="1491"/>
        <v>18500</v>
      </c>
      <c r="CO524" s="118">
        <f t="shared" si="1492"/>
        <v>40.122695399482588</v>
      </c>
      <c r="CP524" s="186">
        <v>0.9555555555555556</v>
      </c>
      <c r="CQ524" s="118">
        <f>+CQ516*CP524+CO517*CP523+CO518*CP522+CO519*CP521+CO520*CP520+CO521*CP519+CO522*CP518+CO523*CP517+CO524</f>
        <v>1408.987542642094</v>
      </c>
      <c r="CR524" s="119">
        <f t="shared" si="1493"/>
        <v>2.2721006422916971E-2</v>
      </c>
      <c r="CS524" s="119"/>
      <c r="CT524" s="177">
        <f t="shared" si="1494"/>
        <v>6.1495809023328274E-3</v>
      </c>
      <c r="CU524" s="177">
        <f t="shared" si="1502"/>
        <v>5.9588054618370219E-3</v>
      </c>
      <c r="CV524" s="119">
        <f>VLOOKUP($H524,RoR!$E:$F,2,FALSE)</f>
        <v>5.5874999999999994E-2</v>
      </c>
      <c r="CW524" s="177">
        <v>3.0512430354548314E-2</v>
      </c>
      <c r="CX524" s="177">
        <f t="shared" si="1500"/>
        <v>2.536256964545168E-2</v>
      </c>
      <c r="CY524" s="177">
        <f t="shared" si="1503"/>
        <v>2.4943136146696604E-2</v>
      </c>
      <c r="CZ524" s="177">
        <f t="shared" si="1504"/>
        <v>7.9087823893859641E-2</v>
      </c>
      <c r="DA524" s="187">
        <f t="shared" si="1495"/>
        <v>0.85270312375000001</v>
      </c>
      <c r="DB524" s="188">
        <f t="shared" si="1496"/>
        <v>0.91779957551769631</v>
      </c>
      <c r="DC524" s="188">
        <f t="shared" si="1497"/>
        <v>0.52757270693512304</v>
      </c>
      <c r="DD524" s="188">
        <f t="shared" si="1498"/>
        <v>0.88636824549024895</v>
      </c>
      <c r="DE524" s="188">
        <f t="shared" si="1499"/>
        <v>0.42918482841932087</v>
      </c>
      <c r="DF524" s="189">
        <f>INDEX('State Tax Lookup'!$D$7:$Z$91,MATCH(Calculation!$C524,'State Tax Lookup'!$B$7:$B$91,0),MATCH($H524,'State Tax Lookup'!$D$6:$Z$6,0))</f>
        <v>0.39279166999999998</v>
      </c>
      <c r="DG524" s="189">
        <v>0.375</v>
      </c>
      <c r="DH524" s="190">
        <f t="shared" si="1501"/>
        <v>16.039691495174672</v>
      </c>
      <c r="DI524" s="190">
        <v>15.57608566851076</v>
      </c>
      <c r="DJ524" s="177"/>
      <c r="DK524" s="189">
        <f>VLOOKUP($H524,RoR!$E:$F,2,FALSE)</f>
        <v>5.5874999999999994E-2</v>
      </c>
      <c r="DL524" s="191">
        <f>HLOOKUP($H524,'GDP-PI'!$D$8:$CQ$11,3,FALSE)</f>
        <v>3.0512430354548314E-2</v>
      </c>
      <c r="DM524" s="189">
        <f>VLOOKUP(H524,'HW Dx Data'!$E:$F,2,FALSE)</f>
        <v>461.08567272971823</v>
      </c>
      <c r="DN524" s="183">
        <f>VLOOKUP(H524,'ECI - Input Price'!$G$17:$H$37,2,FALSE)</f>
        <v>102.05</v>
      </c>
      <c r="DO524" s="177">
        <f t="shared" ref="DO524" si="1522">LN(DN524/DN523)</f>
        <v>2.8829034290048662E-2</v>
      </c>
      <c r="DP524" s="183">
        <f>HLOOKUP(H524,'GDP-PI'!$8:$9,2,FALSE)</f>
        <v>90.073999999999998</v>
      </c>
      <c r="DQ524" s="177">
        <f t="shared" ref="DQ524" si="1523">LN(DP524/DP523)</f>
        <v>3.005618372545445E-2</v>
      </c>
    </row>
    <row r="525" spans="1:121" s="167" customFormat="1" ht="21" x14ac:dyDescent="0.35">
      <c r="A525" s="167" t="s">
        <v>65</v>
      </c>
      <c r="B525" s="168" t="s">
        <v>65</v>
      </c>
      <c r="C525" s="168">
        <v>4057090</v>
      </c>
      <c r="D525" s="168" t="s">
        <v>141</v>
      </c>
      <c r="E525" s="168"/>
      <c r="F525" s="168"/>
      <c r="G525" s="168" t="s">
        <v>13</v>
      </c>
      <c r="H525" s="169">
        <v>2007</v>
      </c>
      <c r="I525" s="170"/>
      <c r="J525" s="166">
        <f>IFERROR(INDEX('Labor Expenditures'!$F$7:$X$91,MATCH($C525,'Labor Expenditures'!$D$7:$D$91,0),MATCH($G525,'Labor Expenditures'!$F$5:$X$5,0)),"NA")</f>
        <v>17677.630636025351</v>
      </c>
      <c r="K525" s="166">
        <f t="shared" si="1507"/>
        <v>167.99839045878213</v>
      </c>
      <c r="L525" s="172">
        <f t="shared" si="1514"/>
        <v>-5.4687629674573567E-3</v>
      </c>
      <c r="M525" s="172">
        <f t="shared" si="1519"/>
        <v>-4.3959743318768743E-5</v>
      </c>
      <c r="N525" s="196"/>
      <c r="O525" s="172"/>
      <c r="P525" s="166">
        <f>IFERROR(INDEX('Non-Labor Expenditures'!$F$7:$AB$91,MATCH($C525,'Non-Labor Expenditures'!$D$7:$D$91,0),MATCH($G525,'Non-Labor Expenditures'!$F$5:$AB$5,0)),"NA")</f>
        <v>25600.5108869291</v>
      </c>
      <c r="Q525" s="166">
        <f t="shared" si="1508"/>
        <v>276.76826403737482</v>
      </c>
      <c r="R525" s="172">
        <f t="shared" si="1520"/>
        <v>-1.3862055167150819E-3</v>
      </c>
      <c r="S525" s="172">
        <f t="shared" ref="S525:S539" si="1524">+R525*AR525</f>
        <v>-1.1142782940945112E-5</v>
      </c>
      <c r="T525" s="172"/>
      <c r="U525" s="172"/>
      <c r="V525" s="166">
        <f t="shared" si="1489"/>
        <v>24259.612792346117</v>
      </c>
      <c r="W525" s="170"/>
      <c r="X525" s="174">
        <v>1452.7865943756306</v>
      </c>
      <c r="Y525" s="175">
        <v>3.0612109781193778E-2</v>
      </c>
      <c r="Z525" s="175">
        <f t="shared" ref="Z525:Z539" si="1525">+Y525*AR525</f>
        <v>2.4607036297514238E-4</v>
      </c>
      <c r="AA525" s="175"/>
      <c r="AB525" s="175"/>
      <c r="AC525" s="170">
        <f t="shared" si="1475"/>
        <v>67537.754315300568</v>
      </c>
      <c r="AD525" s="175">
        <f t="shared" si="1521"/>
        <v>4.9212937152197489E-2</v>
      </c>
      <c r="AE525" s="170"/>
      <c r="AF525" s="170"/>
      <c r="AG525" s="174"/>
      <c r="AH525" s="119">
        <f>+AZ525/$BB$45</f>
        <v>9.1914782948726292E-3</v>
      </c>
      <c r="AI525" s="175"/>
      <c r="AJ525" s="176">
        <f t="shared" ref="AJ525:AJ539" si="1526">+AH525*AG525</f>
        <v>0</v>
      </c>
      <c r="AK525" s="176">
        <f t="shared" ref="AK525:AK539" si="1527">+AI525*AG525</f>
        <v>0</v>
      </c>
      <c r="AL525" s="120">
        <f t="shared" si="1509"/>
        <v>0.26174442451102514</v>
      </c>
      <c r="AM525" s="120">
        <f t="shared" si="1510"/>
        <v>0.37905481380699901</v>
      </c>
      <c r="AN525" s="120">
        <f t="shared" si="1511"/>
        <v>0.3592007616819759</v>
      </c>
      <c r="AO525" s="120">
        <f t="shared" si="1515"/>
        <v>8.7765359889236186E-3</v>
      </c>
      <c r="AP525" s="173">
        <f>+AP524*EXP(AO525)</f>
        <v>96.927373639682699</v>
      </c>
      <c r="AQ525" s="175">
        <f>LN(AP525/AP524)</f>
        <v>8.7765359889235266E-3</v>
      </c>
      <c r="AR525" s="177">
        <f>+AC525/$AE$45</f>
        <v>8.0383340035685182E-3</v>
      </c>
      <c r="AS525" s="177">
        <f t="shared" ref="AS525:AS539" si="1528">+AR525*AQ525</f>
        <v>7.054872767330684E-5</v>
      </c>
      <c r="AT525" s="177"/>
      <c r="AU525" s="177"/>
      <c r="AV525" s="177"/>
      <c r="AW525" s="190"/>
      <c r="AX525" s="120"/>
      <c r="AY525" s="120"/>
      <c r="AZ525" s="118">
        <f>IFERROR(INDEX('Total Customers'!$F$7:$AB$91,MATCH($C525,'Total Customers'!$D$7:$D$91,0),MATCH($G525,'Total Customers'!$F$5:$AB$5,0)),"NA")</f>
        <v>325562</v>
      </c>
      <c r="BA525" s="119">
        <f t="shared" si="1490"/>
        <v>7.3744191442598559E-3</v>
      </c>
      <c r="BB525" s="119"/>
      <c r="BC525" s="121"/>
      <c r="BD525" s="119"/>
      <c r="BE525" s="119"/>
      <c r="BF525" s="119"/>
      <c r="BG525" s="173"/>
      <c r="BH525" s="173"/>
      <c r="BI525" s="173"/>
      <c r="BJ525" s="173"/>
      <c r="BK525" s="173"/>
      <c r="BL525" s="173"/>
      <c r="BM525" s="173"/>
      <c r="BN525" s="173"/>
      <c r="BO525" s="173"/>
      <c r="BP525" s="173"/>
      <c r="BQ525" s="118"/>
      <c r="BR525" s="118"/>
      <c r="BS525" s="118">
        <f>INDEX('Dist. Plant Gas Additions'!$F$7:$AE$91,MATCH($C525,'Dist. Plant Gas Additions'!$D$7:$D$91,0),MATCH(Calculation!$G525,'Dist. Plant Gas Additions'!$F$5:$AE$5,0))</f>
        <v>25972</v>
      </c>
      <c r="BT525" s="118">
        <f>INDEX('Gen. Plant Additions'!$F$7:$AE$91,MATCH($C525,'Gen. Plant Additions'!$D$7:$D$91,0),MATCH(Calculation!$G525,'Gen. Plant Additions'!$F$5:$AE$5,0))</f>
        <v>299</v>
      </c>
      <c r="BU525" s="118"/>
      <c r="BV525" s="118"/>
      <c r="BW525" s="118">
        <f>INDEX('Dist Plant Depreciation'!$E$7:$AD$94,MATCH($C525,'Dist Plant Depreciation'!$D$7:$D$94,0),MATCH(Calculation!$G525,'Dist Plant Depreciation'!$E$5:$AD$5,0))</f>
        <v>156229</v>
      </c>
      <c r="BX525" s="118">
        <f>INDEX('Gen. Plant Depreciation'!$E$7:$AD$94,MATCH($C525,'Gen. Plant Depreciation'!$D$7:$D$94,0),MATCH(Calculation!$G525,'Gen. Plant Depreciation'!$E$5:$AD$5,0))</f>
        <v>5623</v>
      </c>
      <c r="BY525" s="118"/>
      <c r="BZ525" s="118"/>
      <c r="CA525" s="118"/>
      <c r="CB525" s="118"/>
      <c r="CC525" s="118"/>
      <c r="CD525" s="118"/>
      <c r="CE525" s="118">
        <f>INDEX('Gross Dx Plant'!$E$7:$AD$91,MATCH($C525,'Gross Dx Plant'!$D$7:$D$91,0),MATCH(Calculation!$G525,'Gross Dx Plant'!$E$5:$AD$5,0))</f>
        <v>464243</v>
      </c>
      <c r="CF525" s="118">
        <f>INDEX('Gross Gen Plant'!$E$7:$AD$91,MATCH($C525,'Gross Gen Plant'!$D$7:$D$91,0),MATCH(Calculation!$G525,'Gross Gen Plant'!$E$5:$AD$5,0))</f>
        <v>9033</v>
      </c>
      <c r="CG525" s="118">
        <f t="shared" si="1516"/>
        <v>311424</v>
      </c>
      <c r="CH525" s="118"/>
      <c r="CI525" s="121">
        <v>2007</v>
      </c>
      <c r="CJ525" s="118"/>
      <c r="CK525" s="118"/>
      <c r="CL525" s="118"/>
      <c r="CM525" s="183"/>
      <c r="CN525" s="118">
        <f t="shared" si="1491"/>
        <v>26271</v>
      </c>
      <c r="CO525" s="118">
        <f t="shared" si="1492"/>
        <v>52.750648281340624</v>
      </c>
      <c r="CP525" s="186">
        <v>0.94915254237288138</v>
      </c>
      <c r="CQ525" s="118">
        <f>+CQ516*CP525+CO517*CP524+CO518*CP523+CO519*CP522+CO520*CP521+CO521*CP520+CO522*CP519+CO523*CP518+CO524*CP517+CO525</f>
        <v>1452.7865943756306</v>
      </c>
      <c r="CR525" s="119">
        <f t="shared" si="1493"/>
        <v>3.0612109781193778E-2</v>
      </c>
      <c r="CS525" s="119"/>
      <c r="CT525" s="177">
        <f t="shared" si="1494"/>
        <v>6.3532119886725875E-3</v>
      </c>
      <c r="CU525" s="177">
        <f t="shared" si="1502"/>
        <v>6.1534277004752433E-3</v>
      </c>
      <c r="CV525" s="119">
        <f>VLOOKUP($H525,RoR!$E:$F,2,FALSE)</f>
        <v>5.5558333333333321E-2</v>
      </c>
      <c r="CW525" s="177">
        <v>2.691120634145272E-2</v>
      </c>
      <c r="CX525" s="177">
        <f t="shared" si="1500"/>
        <v>2.86471269918806E-2</v>
      </c>
      <c r="CY525" s="177">
        <f t="shared" si="1503"/>
        <v>2.4748513908058382E-2</v>
      </c>
      <c r="CZ525" s="177">
        <f t="shared" si="1504"/>
        <v>6.4575155250632399E-2</v>
      </c>
      <c r="DA525" s="187">
        <f t="shared" si="1495"/>
        <v>0.85270312375000001</v>
      </c>
      <c r="DB525" s="188">
        <f t="shared" si="1496"/>
        <v>0.92303077153834634</v>
      </c>
      <c r="DC525" s="188">
        <f t="shared" si="1497"/>
        <v>0.52502249887505614</v>
      </c>
      <c r="DD525" s="188">
        <f t="shared" si="1498"/>
        <v>0.88499666072084604</v>
      </c>
      <c r="DE525" s="188">
        <f t="shared" si="1499"/>
        <v>0.42887993290280618</v>
      </c>
      <c r="DF525" s="189">
        <f>INDEX('State Tax Lookup'!$D$7:$Z$91,MATCH(Calculation!$C525,'State Tax Lookup'!$B$7:$B$91,0),MATCH($H525,'State Tax Lookup'!$D$6:$Z$6,0))</f>
        <v>0.39279166999999998</v>
      </c>
      <c r="DG525" s="189">
        <v>0.375</v>
      </c>
      <c r="DH525" s="190">
        <f t="shared" si="1501"/>
        <v>17.217762441572173</v>
      </c>
      <c r="DI525" s="190">
        <v>16.967893135643564</v>
      </c>
      <c r="DJ525" s="177"/>
      <c r="DK525" s="189">
        <f>VLOOKUP($H525,RoR!$E:$F,2,FALSE)</f>
        <v>5.5558333333333321E-2</v>
      </c>
      <c r="DL525" s="191">
        <f>HLOOKUP($H525,'GDP-PI'!$D$8:$CQ$11,3,FALSE)</f>
        <v>2.691120634145272E-2</v>
      </c>
      <c r="DM525" s="189">
        <f>VLOOKUP(H525,'HW Dx Data'!$E:$F,2,FALSE)</f>
        <v>498.0223154772637</v>
      </c>
      <c r="DN525" s="183">
        <f>VLOOKUP(H525,'ECI - Input Price'!$G$17:$H$37,2,FALSE)</f>
        <v>105.22500000000001</v>
      </c>
      <c r="DO525" s="177">
        <f t="shared" ref="DO525" si="1529">LN(DN525/DN524)</f>
        <v>3.0638025400780679E-2</v>
      </c>
      <c r="DP525" s="183">
        <f>HLOOKUP(H525,'GDP-PI'!$8:$9,2,FALSE)</f>
        <v>92.498000000000005</v>
      </c>
      <c r="DQ525" s="177">
        <f t="shared" ref="DQ525" si="1530">LN(DP525/DP524)</f>
        <v>2.6555467950038037E-2</v>
      </c>
    </row>
    <row r="526" spans="1:121" s="167" customFormat="1" ht="21" x14ac:dyDescent="0.35">
      <c r="A526" s="167" t="s">
        <v>65</v>
      </c>
      <c r="B526" s="168" t="s">
        <v>65</v>
      </c>
      <c r="C526" s="168">
        <v>4057090</v>
      </c>
      <c r="D526" s="168" t="s">
        <v>141</v>
      </c>
      <c r="E526" s="168"/>
      <c r="F526" s="168"/>
      <c r="G526" s="168" t="s">
        <v>14</v>
      </c>
      <c r="H526" s="169">
        <v>2008</v>
      </c>
      <c r="I526" s="170"/>
      <c r="J526" s="166">
        <f>IFERROR(INDEX('Labor Expenditures'!$F$7:$X$91,MATCH($C526,'Labor Expenditures'!$D$7:$D$91,0),MATCH($G526,'Labor Expenditures'!$F$5:$X$5,0)),"NA")</f>
        <v>19467.730833496753</v>
      </c>
      <c r="K526" s="166">
        <f t="shared" si="1507"/>
        <v>179.88201278352278</v>
      </c>
      <c r="L526" s="172">
        <f t="shared" si="1514"/>
        <v>6.8346752675435413E-2</v>
      </c>
      <c r="M526" s="172">
        <f t="shared" si="1519"/>
        <v>5.787887442842769E-4</v>
      </c>
      <c r="N526" s="196"/>
      <c r="O526" s="172"/>
      <c r="P526" s="166">
        <f>IFERROR(INDEX('Non-Labor Expenditures'!$F$7:$AB$91,MATCH($C526,'Non-Labor Expenditures'!$D$7:$D$91,0),MATCH($G526,'Non-Labor Expenditures'!$F$5:$AB$5,0)),"NA")</f>
        <v>28192.910317465256</v>
      </c>
      <c r="Q526" s="166">
        <f t="shared" si="1508"/>
        <v>299.08459557694619</v>
      </c>
      <c r="R526" s="172">
        <f t="shared" si="1520"/>
        <v>7.7545897598813182E-2</v>
      </c>
      <c r="S526" s="172">
        <f t="shared" si="1524"/>
        <v>6.5669093173676926E-4</v>
      </c>
      <c r="T526" s="172"/>
      <c r="U526" s="172"/>
      <c r="V526" s="166">
        <f t="shared" si="1489"/>
        <v>28403.058032922319</v>
      </c>
      <c r="W526" s="170"/>
      <c r="X526" s="174">
        <v>1529.0740754353974</v>
      </c>
      <c r="Y526" s="175">
        <v>5.1178871372718218E-2</v>
      </c>
      <c r="Z526" s="175">
        <f t="shared" si="1525"/>
        <v>4.3340398096702106E-4</v>
      </c>
      <c r="AA526" s="175"/>
      <c r="AB526" s="175"/>
      <c r="AC526" s="170">
        <f t="shared" si="1475"/>
        <v>76063.699183884324</v>
      </c>
      <c r="AD526" s="175">
        <f t="shared" si="1521"/>
        <v>0.11888437168830698</v>
      </c>
      <c r="AE526" s="170"/>
      <c r="AF526" s="170"/>
      <c r="AG526" s="174"/>
      <c r="AH526" s="119">
        <f>+AZ526/$BB$46</f>
        <v>8.8133480112370533E-3</v>
      </c>
      <c r="AI526" s="175"/>
      <c r="AJ526" s="176">
        <f t="shared" si="1526"/>
        <v>0</v>
      </c>
      <c r="AK526" s="176">
        <f t="shared" si="1527"/>
        <v>0</v>
      </c>
      <c r="AL526" s="120">
        <f t="shared" si="1509"/>
        <v>0.25593983782505014</v>
      </c>
      <c r="AM526" s="120">
        <f t="shared" si="1510"/>
        <v>0.37064868813846108</v>
      </c>
      <c r="AN526" s="120">
        <f t="shared" si="1511"/>
        <v>0.37341147403648883</v>
      </c>
      <c r="AO526" s="120">
        <f t="shared" si="1515"/>
        <v>6.550636830554904E-2</v>
      </c>
      <c r="AP526" s="173">
        <f t="shared" ref="AP526:AP539" si="1531">+AP525*EXP(AO526)</f>
        <v>103.48931193142194</v>
      </c>
      <c r="AQ526" s="175">
        <f t="shared" ref="AQ526:AQ539" si="1532">LN(AP526/AP525)</f>
        <v>6.550636830554904E-2</v>
      </c>
      <c r="AR526" s="177">
        <f>+AC526/$AE$46</f>
        <v>8.4684161518664234E-3</v>
      </c>
      <c r="AS526" s="177">
        <f t="shared" si="1528"/>
        <v>5.5473518740882229E-4</v>
      </c>
      <c r="AT526" s="177"/>
      <c r="AU526" s="177"/>
      <c r="AV526" s="177"/>
      <c r="AW526" s="190"/>
      <c r="AX526" s="120"/>
      <c r="AY526" s="120"/>
      <c r="AZ526" s="118">
        <f>IFERROR(INDEX('Total Customers'!$F$7:$AB$91,MATCH($C526,'Total Customers'!$D$7:$D$91,0),MATCH($G526,'Total Customers'!$F$5:$AB$5,0)),"NA")</f>
        <v>313842</v>
      </c>
      <c r="BA526" s="119">
        <f t="shared" si="1490"/>
        <v>-3.6663245145848081E-2</v>
      </c>
      <c r="BB526" s="119"/>
      <c r="BC526" s="121"/>
      <c r="BD526" s="119"/>
      <c r="BE526" s="119"/>
      <c r="BF526" s="119"/>
      <c r="BG526" s="173"/>
      <c r="BH526" s="173"/>
      <c r="BI526" s="173"/>
      <c r="BJ526" s="173"/>
      <c r="BK526" s="173"/>
      <c r="BL526" s="173"/>
      <c r="BM526" s="173"/>
      <c r="BN526" s="173"/>
      <c r="BO526" s="173"/>
      <c r="BP526" s="173"/>
      <c r="BQ526" s="118"/>
      <c r="BR526" s="118"/>
      <c r="BS526" s="118">
        <f>INDEX('Dist. Plant Gas Additions'!$F$7:$AE$91,MATCH($C526,'Dist. Plant Gas Additions'!$D$7:$D$91,0),MATCH(Calculation!$G526,'Dist. Plant Gas Additions'!$F$5:$AE$5,0))</f>
        <v>48893</v>
      </c>
      <c r="BT526" s="118">
        <f>INDEX('Gen. Plant Additions'!$F$7:$AE$91,MATCH($C526,'Gen. Plant Additions'!$D$7:$D$91,0),MATCH(Calculation!$G526,'Gen. Plant Additions'!$F$5:$AE$5,0))</f>
        <v>5</v>
      </c>
      <c r="BU526" s="118"/>
      <c r="BV526" s="118"/>
      <c r="BW526" s="118">
        <f>INDEX('Dist Plant Depreciation'!$E$7:$AD$94,MATCH($C526,'Dist Plant Depreciation'!$D$7:$D$94,0),MATCH(Calculation!$G526,'Dist Plant Depreciation'!$E$5:$AD$5,0))</f>
        <v>167528</v>
      </c>
      <c r="BX526" s="118">
        <f>INDEX('Gen. Plant Depreciation'!$E$7:$AD$94,MATCH($C526,'Gen. Plant Depreciation'!$D$7:$D$94,0),MATCH(Calculation!$G526,'Gen. Plant Depreciation'!$E$5:$AD$5,0))</f>
        <v>5911</v>
      </c>
      <c r="BY526" s="118"/>
      <c r="BZ526" s="118"/>
      <c r="CA526" s="118"/>
      <c r="CB526" s="118"/>
      <c r="CC526" s="118"/>
      <c r="CD526" s="118"/>
      <c r="CE526" s="118">
        <f>INDEX('Gross Dx Plant'!$E$7:$AD$91,MATCH($C526,'Gross Dx Plant'!$D$7:$D$91,0),MATCH(Calculation!$G526,'Gross Dx Plant'!$E$5:$AD$5,0))</f>
        <v>511329</v>
      </c>
      <c r="CF526" s="118">
        <f>INDEX('Gross Gen Plant'!$E$7:$AD$91,MATCH($C526,'Gross Gen Plant'!$D$7:$D$91,0),MATCH(Calculation!$G526,'Gross Gen Plant'!$E$5:$AD$5,0))</f>
        <v>9038</v>
      </c>
      <c r="CG526" s="118">
        <f t="shared" si="1516"/>
        <v>346928</v>
      </c>
      <c r="CH526" s="118"/>
      <c r="CI526" s="121">
        <v>2008</v>
      </c>
      <c r="CJ526" s="118"/>
      <c r="CK526" s="118"/>
      <c r="CL526" s="118"/>
      <c r="CM526" s="183"/>
      <c r="CN526" s="118">
        <f t="shared" si="1491"/>
        <v>48898</v>
      </c>
      <c r="CO526" s="118">
        <f t="shared" si="1492"/>
        <v>85.803847738495733</v>
      </c>
      <c r="CP526" s="186">
        <v>0.94252873563218387</v>
      </c>
      <c r="CQ526" s="118">
        <f>+CQ516*CP526+CO517*CP525+CO518*CP524+CO519*CP523+CO520*CP522+CO521*CP521+CO522*CP520+CO523*CP519+CO524*CP518+CO525*CP517+CO526</f>
        <v>1529.0740754353974</v>
      </c>
      <c r="CR526" s="119">
        <f t="shared" si="1493"/>
        <v>5.1178871372718218E-2</v>
      </c>
      <c r="CS526" s="119"/>
      <c r="CT526" s="177">
        <f t="shared" si="1494"/>
        <v>6.5504229702909563E-3</v>
      </c>
      <c r="CU526" s="177">
        <f t="shared" si="1502"/>
        <v>6.3510719537654579E-3</v>
      </c>
      <c r="CV526" s="119">
        <f>VLOOKUP($H526,RoR!$E:$F,2,FALSE)</f>
        <v>5.6316666666666668E-2</v>
      </c>
      <c r="CW526" s="177">
        <v>1.9092304698479889E-2</v>
      </c>
      <c r="CX526" s="177">
        <f t="shared" si="1500"/>
        <v>3.7224361968186778E-2</v>
      </c>
      <c r="CY526" s="177">
        <f t="shared" si="1503"/>
        <v>2.4550869654768166E-2</v>
      </c>
      <c r="CZ526" s="177">
        <f t="shared" si="1504"/>
        <v>6.9030581091053131E-2</v>
      </c>
      <c r="DA526" s="187">
        <f t="shared" si="1495"/>
        <v>0.85270312375000001</v>
      </c>
      <c r="DB526" s="188">
        <f t="shared" si="1496"/>
        <v>0.91060168006009956</v>
      </c>
      <c r="DC526" s="188">
        <f t="shared" si="1497"/>
        <v>0.53108168097070152</v>
      </c>
      <c r="DD526" s="188">
        <f t="shared" si="1498"/>
        <v>0.88825329850328805</v>
      </c>
      <c r="DE526" s="188">
        <f t="shared" si="1499"/>
        <v>0.4295627335323573</v>
      </c>
      <c r="DF526" s="189">
        <f>INDEX('State Tax Lookup'!$D$7:$Z$91,MATCH(Calculation!$C526,'State Tax Lookup'!$B$7:$B$91,0),MATCH($H526,'State Tax Lookup'!$D$6:$Z$6,0))</f>
        <v>0.39279166999999998</v>
      </c>
      <c r="DG526" s="189">
        <v>0.375</v>
      </c>
      <c r="DH526" s="190">
        <f t="shared" si="1501"/>
        <v>19.550743476628242</v>
      </c>
      <c r="DI526" s="190">
        <v>19.280348885992979</v>
      </c>
      <c r="DJ526" s="177"/>
      <c r="DK526" s="189">
        <f>VLOOKUP($H526,RoR!$E:$F,2,FALSE)</f>
        <v>5.6316666666666668E-2</v>
      </c>
      <c r="DL526" s="191">
        <f>HLOOKUP($H526,'GDP-PI'!$D$8:$CQ$11,3,FALSE)</f>
        <v>1.9092304698479889E-2</v>
      </c>
      <c r="DM526" s="189">
        <f>VLOOKUP(H526,'HW Dx Data'!$E:$F,2,FALSE)</f>
        <v>569.88120333515076</v>
      </c>
      <c r="DN526" s="183">
        <f>VLOOKUP(H526,'ECI - Input Price'!$G$17:$H$37,2,FALSE)</f>
        <v>108.22499999999999</v>
      </c>
      <c r="DO526" s="177">
        <f t="shared" ref="DO526" si="1533">LN(DN526/DN525)</f>
        <v>2.8111478671409691E-2</v>
      </c>
      <c r="DP526" s="183">
        <f>HLOOKUP(H526,'GDP-PI'!$8:$9,2,FALSE)</f>
        <v>94.263999999999996</v>
      </c>
      <c r="DQ526" s="177">
        <f t="shared" ref="DQ526" si="1534">LN(DP526/DP525)</f>
        <v>1.8912333748032254E-2</v>
      </c>
    </row>
    <row r="527" spans="1:121" s="167" customFormat="1" ht="21" x14ac:dyDescent="0.35">
      <c r="A527" s="167" t="s">
        <v>65</v>
      </c>
      <c r="B527" s="168" t="s">
        <v>65</v>
      </c>
      <c r="C527" s="168">
        <v>4057090</v>
      </c>
      <c r="D527" s="168" t="s">
        <v>141</v>
      </c>
      <c r="E527" s="168"/>
      <c r="F527" s="168"/>
      <c r="G527" s="168" t="s">
        <v>15</v>
      </c>
      <c r="H527" s="169">
        <v>2009</v>
      </c>
      <c r="I527" s="170"/>
      <c r="J527" s="166">
        <f>IFERROR(INDEX('Labor Expenditures'!$F$7:$X$91,MATCH($C527,'Labor Expenditures'!$D$7:$D$91,0),MATCH($G527,'Labor Expenditures'!$F$5:$X$5,0)),"NA")</f>
        <v>20766.496132246513</v>
      </c>
      <c r="K527" s="166">
        <f t="shared" si="1507"/>
        <v>189.17327380775691</v>
      </c>
      <c r="L527" s="172">
        <f t="shared" si="1514"/>
        <v>5.0362236265278491E-2</v>
      </c>
      <c r="M527" s="172">
        <f t="shared" si="1519"/>
        <v>4.2748148281732687E-4</v>
      </c>
      <c r="N527" s="196"/>
      <c r="O527" s="172"/>
      <c r="P527" s="166">
        <f>IFERROR(INDEX('Non-Labor Expenditures'!$F$7:$AB$91,MATCH($C527,'Non-Labor Expenditures'!$D$7:$D$91,0),MATCH($G527,'Non-Labor Expenditures'!$F$5:$AB$5,0)),"NA")</f>
        <v>30073.765045951917</v>
      </c>
      <c r="Q527" s="166">
        <f t="shared" si="1508"/>
        <v>316.56928016033766</v>
      </c>
      <c r="R527" s="172">
        <f t="shared" si="1520"/>
        <v>5.6815650566705615E-2</v>
      </c>
      <c r="S527" s="172">
        <f t="shared" si="1524"/>
        <v>4.8225893750137487E-4</v>
      </c>
      <c r="T527" s="172"/>
      <c r="U527" s="172"/>
      <c r="V527" s="166">
        <f t="shared" si="1489"/>
        <v>28684.107738360526</v>
      </c>
      <c r="W527" s="170"/>
      <c r="X527" s="174">
        <v>1596.0945763192422</v>
      </c>
      <c r="Y527" s="175">
        <v>4.2897382861944999E-2</v>
      </c>
      <c r="Z527" s="175">
        <f t="shared" si="1525"/>
        <v>3.641187960402304E-4</v>
      </c>
      <c r="AA527" s="175"/>
      <c r="AB527" s="175"/>
      <c r="AC527" s="170">
        <f t="shared" si="1475"/>
        <v>79524.36891655896</v>
      </c>
      <c r="AD527" s="175">
        <f t="shared" si="1521"/>
        <v>4.4492365549203883E-2</v>
      </c>
      <c r="AE527" s="170"/>
      <c r="AF527" s="170"/>
      <c r="AG527" s="174"/>
      <c r="AH527" s="119">
        <f>+AZ527/$BB$47</f>
        <v>8.8612294320991412E-3</v>
      </c>
      <c r="AI527" s="175"/>
      <c r="AJ527" s="176">
        <f t="shared" si="1526"/>
        <v>0</v>
      </c>
      <c r="AK527" s="176">
        <f t="shared" si="1527"/>
        <v>0</v>
      </c>
      <c r="AL527" s="120">
        <f t="shared" si="1509"/>
        <v>0.26113374321820504</v>
      </c>
      <c r="AM527" s="120">
        <f t="shared" si="1510"/>
        <v>0.37817043323546334</v>
      </c>
      <c r="AN527" s="120">
        <f t="shared" si="1511"/>
        <v>0.36069582354633156</v>
      </c>
      <c r="AO527" s="120">
        <f t="shared" si="1515"/>
        <v>5.0038454599420246E-2</v>
      </c>
      <c r="AP527" s="173">
        <f t="shared" si="1531"/>
        <v>108.79950617833056</v>
      </c>
      <c r="AQ527" s="175">
        <f t="shared" si="1532"/>
        <v>5.0038454599420301E-2</v>
      </c>
      <c r="AR527" s="177">
        <f>+AC527/$AE$47</f>
        <v>8.4881354466788787E-3</v>
      </c>
      <c r="AS527" s="177">
        <f t="shared" si="1528"/>
        <v>4.2473318018237125E-4</v>
      </c>
      <c r="AT527" s="177"/>
      <c r="AU527" s="177"/>
      <c r="AV527" s="177"/>
      <c r="AW527" s="190"/>
      <c r="AX527" s="120"/>
      <c r="AY527" s="120"/>
      <c r="AZ527" s="118">
        <f>IFERROR(INDEX('Total Customers'!$F$7:$AB$91,MATCH($C527,'Total Customers'!$D$7:$D$91,0),MATCH($G527,'Total Customers'!$F$5:$AB$5,0)),"NA")</f>
        <v>316003</v>
      </c>
      <c r="BA527" s="119">
        <f t="shared" si="1490"/>
        <v>6.8620326577679535E-3</v>
      </c>
      <c r="BB527" s="119"/>
      <c r="BC527" s="121"/>
      <c r="BD527" s="119"/>
      <c r="BE527" s="119"/>
      <c r="BF527" s="119"/>
      <c r="BG527" s="173"/>
      <c r="BH527" s="173"/>
      <c r="BI527" s="173"/>
      <c r="BJ527" s="173"/>
      <c r="BK527" s="173"/>
      <c r="BL527" s="173"/>
      <c r="BM527" s="173"/>
      <c r="BN527" s="173"/>
      <c r="BO527" s="173"/>
      <c r="BP527" s="173"/>
      <c r="BQ527" s="118"/>
      <c r="BR527" s="118"/>
      <c r="BS527" s="118">
        <f>INDEX('Dist. Plant Gas Additions'!$F$7:$AE$91,MATCH($C527,'Dist. Plant Gas Additions'!$D$7:$D$91,0),MATCH(Calculation!$G527,'Dist. Plant Gas Additions'!$F$5:$AE$5,0))</f>
        <v>42188</v>
      </c>
      <c r="BT527" s="118">
        <f>INDEX('Gen. Plant Additions'!$F$7:$AE$91,MATCH($C527,'Gen. Plant Additions'!$D$7:$D$91,0),MATCH(Calculation!$G527,'Gen. Plant Additions'!$F$5:$AE$5,0))</f>
        <v>394</v>
      </c>
      <c r="BU527" s="118"/>
      <c r="BV527" s="118"/>
      <c r="BW527" s="118">
        <f>INDEX('Dist Plant Depreciation'!$E$7:$AD$94,MATCH($C527,'Dist Plant Depreciation'!$D$7:$D$94,0),MATCH(Calculation!$G527,'Dist Plant Depreciation'!$E$5:$AD$5,0))</f>
        <v>169707</v>
      </c>
      <c r="BX527" s="118">
        <f>INDEX('Gen. Plant Depreciation'!$E$7:$AD$94,MATCH($C527,'Gen. Plant Depreciation'!$D$7:$D$94,0),MATCH(Calculation!$G527,'Gen. Plant Depreciation'!$E$5:$AD$5,0))</f>
        <v>6249</v>
      </c>
      <c r="BY527" s="118"/>
      <c r="BZ527" s="118"/>
      <c r="CA527" s="118"/>
      <c r="CB527" s="118"/>
      <c r="CC527" s="118"/>
      <c r="CD527" s="118"/>
      <c r="CE527" s="118">
        <f>INDEX('Gross Dx Plant'!$E$7:$AD$91,MATCH($C527,'Gross Dx Plant'!$D$7:$D$91,0),MATCH(Calculation!$G527,'Gross Dx Plant'!$E$5:$AD$5,0))</f>
        <v>544481</v>
      </c>
      <c r="CF527" s="118">
        <f>INDEX('Gross Gen Plant'!$E$7:$AD$91,MATCH($C527,'Gross Gen Plant'!$D$7:$D$91,0),MATCH(Calculation!$G527,'Gross Gen Plant'!$E$5:$AD$5,0))</f>
        <v>9226</v>
      </c>
      <c r="CG527" s="118">
        <f t="shared" si="1516"/>
        <v>377751</v>
      </c>
      <c r="CH527" s="118"/>
      <c r="CI527" s="121">
        <v>2009</v>
      </c>
      <c r="CJ527" s="118"/>
      <c r="CK527" s="118"/>
      <c r="CL527" s="118"/>
      <c r="CM527" s="183"/>
      <c r="CN527" s="118">
        <f t="shared" si="1491"/>
        <v>42582</v>
      </c>
      <c r="CO527" s="118">
        <f t="shared" si="1492"/>
        <v>77.289633684609399</v>
      </c>
      <c r="CP527" s="186">
        <v>0.93567251461988299</v>
      </c>
      <c r="CQ527" s="118">
        <f>+CQ516*CP527+CO517*CP526+CO518*CP525+CO519*CP524+CO520*CP523+CO521*CP522+CO522*CP521+CO523*CP520+CO524*CP519+CO525*CP518+CO526*CP517+CO527</f>
        <v>1596.0945763192422</v>
      </c>
      <c r="CR527" s="119">
        <f t="shared" si="1493"/>
        <v>4.2897382861944999E-2</v>
      </c>
      <c r="CS527" s="119"/>
      <c r="CT527" s="177">
        <f t="shared" si="1494"/>
        <v>6.7159158380476402E-3</v>
      </c>
      <c r="CU527" s="177">
        <f t="shared" si="1502"/>
        <v>6.5398502656703952E-3</v>
      </c>
      <c r="CV527" s="119">
        <f>VLOOKUP($H527,RoR!$E:$F,2,FALSE)</f>
        <v>5.3133333333333324E-2</v>
      </c>
      <c r="CW527" s="177">
        <v>7.7972502758210105E-3</v>
      </c>
      <c r="CX527" s="177">
        <f t="shared" si="1500"/>
        <v>4.5336083057512314E-2</v>
      </c>
      <c r="CY527" s="177">
        <f t="shared" si="1503"/>
        <v>2.436209134286323E-2</v>
      </c>
      <c r="CZ527" s="177">
        <f t="shared" si="1504"/>
        <v>6.3720160300892073E-2</v>
      </c>
      <c r="DA527" s="187">
        <f t="shared" si="1495"/>
        <v>0.85270312375000001</v>
      </c>
      <c r="DB527" s="188">
        <f t="shared" si="1496"/>
        <v>0.96515780330083989</v>
      </c>
      <c r="DC527" s="188">
        <f t="shared" si="1497"/>
        <v>0.50448557089084056</v>
      </c>
      <c r="DD527" s="188">
        <f t="shared" si="1498"/>
        <v>0.87391435735465484</v>
      </c>
      <c r="DE527" s="188">
        <f t="shared" si="1499"/>
        <v>0.42551605393279146</v>
      </c>
      <c r="DF527" s="189">
        <f>INDEX('State Tax Lookup'!$D$7:$Z$91,MATCH(Calculation!$C527,'State Tax Lookup'!$B$7:$B$91,0),MATCH($H527,'State Tax Lookup'!$D$6:$Z$6,0))</f>
        <v>0.39279166999999998</v>
      </c>
      <c r="DG527" s="189">
        <v>0.375</v>
      </c>
      <c r="DH527" s="190">
        <f t="shared" si="1501"/>
        <v>18.759135478896173</v>
      </c>
      <c r="DI527" s="190">
        <v>18.453130381510793</v>
      </c>
      <c r="DJ527" s="177"/>
      <c r="DK527" s="189">
        <f>VLOOKUP($H527,RoR!$E:$F,2,FALSE)</f>
        <v>5.3133333333333324E-2</v>
      </c>
      <c r="DL527" s="191">
        <f>HLOOKUP($H527,'GDP-PI'!$D$8:$CQ$11,3,FALSE)</f>
        <v>7.7972502758210105E-3</v>
      </c>
      <c r="DM527" s="189">
        <f>VLOOKUP(H527,'HW Dx Data'!$E:$F,2,FALSE)</f>
        <v>550.94063679692806</v>
      </c>
      <c r="DN527" s="183">
        <f>VLOOKUP(H527,'ECI - Input Price'!$G$17:$H$37,2,FALSE)</f>
        <v>109.77499999999999</v>
      </c>
      <c r="DO527" s="177">
        <f t="shared" ref="DO527" si="1535">LN(DN527/DN526)</f>
        <v>1.4220423119736749E-2</v>
      </c>
      <c r="DP527" s="183">
        <f>HLOOKUP(H527,'GDP-PI'!$8:$9,2,FALSE)</f>
        <v>94.998999999999995</v>
      </c>
      <c r="DQ527" s="177">
        <f t="shared" ref="DQ527" si="1536">LN(DP527/DP526)</f>
        <v>7.7670088183096342E-3</v>
      </c>
    </row>
    <row r="528" spans="1:121" s="167" customFormat="1" ht="21" x14ac:dyDescent="0.35">
      <c r="A528" s="167" t="s">
        <v>65</v>
      </c>
      <c r="B528" s="168" t="s">
        <v>65</v>
      </c>
      <c r="C528" s="168">
        <v>4057090</v>
      </c>
      <c r="D528" s="168" t="s">
        <v>141</v>
      </c>
      <c r="E528" s="168"/>
      <c r="F528" s="168"/>
      <c r="G528" s="168" t="s">
        <v>16</v>
      </c>
      <c r="H528" s="169">
        <v>2010</v>
      </c>
      <c r="I528" s="170"/>
      <c r="J528" s="166">
        <f>IFERROR(INDEX('Labor Expenditures'!$F$7:$X$91,MATCH($C528,'Labor Expenditures'!$D$7:$D$91,0),MATCH($G528,'Labor Expenditures'!$F$5:$X$5,0)),"NA")</f>
        <v>19817.252089175588</v>
      </c>
      <c r="K528" s="166">
        <f t="shared" si="1507"/>
        <v>177.13744884179297</v>
      </c>
      <c r="L528" s="172">
        <f t="shared" si="1514"/>
        <v>-6.5737409349708065E-2</v>
      </c>
      <c r="M528" s="172">
        <f t="shared" si="1519"/>
        <v>-5.3644475205052392E-4</v>
      </c>
      <c r="N528" s="196"/>
      <c r="O528" s="172"/>
      <c r="P528" s="166">
        <f>IFERROR(INDEX('Non-Labor Expenditures'!$F$7:$AB$91,MATCH($C528,'Non-Labor Expenditures'!$D$7:$D$91,0),MATCH($G528,'Non-Labor Expenditures'!$F$5:$AB$5,0)),"NA")</f>
        <v>28699.082377253868</v>
      </c>
      <c r="Q528" s="166">
        <f t="shared" si="1508"/>
        <v>298.60972830071972</v>
      </c>
      <c r="R528" s="172">
        <f t="shared" si="1520"/>
        <v>-5.8404648009619808E-2</v>
      </c>
      <c r="S528" s="172">
        <f t="shared" si="1524"/>
        <v>-4.7660635291308089E-4</v>
      </c>
      <c r="T528" s="172"/>
      <c r="U528" s="172"/>
      <c r="V528" s="166">
        <f t="shared" si="1489"/>
        <v>30730.781410529118</v>
      </c>
      <c r="W528" s="170"/>
      <c r="X528" s="174">
        <v>1656.3447035447336</v>
      </c>
      <c r="Y528" s="175">
        <v>3.7053432999116766E-2</v>
      </c>
      <c r="Z528" s="175">
        <f t="shared" si="1525"/>
        <v>3.0237150922833209E-4</v>
      </c>
      <c r="AA528" s="175"/>
      <c r="AB528" s="175"/>
      <c r="AC528" s="170">
        <f t="shared" si="1475"/>
        <v>79247.115876958575</v>
      </c>
      <c r="AD528" s="175">
        <f t="shared" si="1521"/>
        <v>-3.492482567326839E-3</v>
      </c>
      <c r="AE528" s="170"/>
      <c r="AF528" s="170"/>
      <c r="AG528" s="174"/>
      <c r="AH528" s="119">
        <f>+AZ528/$BB$48</f>
        <v>8.9397246146227134E-3</v>
      </c>
      <c r="AI528" s="175"/>
      <c r="AJ528" s="176">
        <f t="shared" si="1526"/>
        <v>0</v>
      </c>
      <c r="AK528" s="176">
        <f t="shared" si="1527"/>
        <v>0</v>
      </c>
      <c r="AL528" s="120">
        <f t="shared" si="1509"/>
        <v>0.25006906396372131</v>
      </c>
      <c r="AM528" s="120">
        <f t="shared" si="1510"/>
        <v>0.3621467110779516</v>
      </c>
      <c r="AN528" s="120">
        <f t="shared" si="1511"/>
        <v>0.3877842249583271</v>
      </c>
      <c r="AO528" s="120">
        <f t="shared" si="1515"/>
        <v>-2.4554677548553526E-2</v>
      </c>
      <c r="AP528" s="173">
        <f t="shared" si="1531"/>
        <v>106.16050192958679</v>
      </c>
      <c r="AQ528" s="175">
        <f t="shared" si="1532"/>
        <v>-2.4554677548553575E-2</v>
      </c>
      <c r="AR528" s="177">
        <f>+AC528/$AE$48</f>
        <v>8.1604182056636866E-3</v>
      </c>
      <c r="AS528" s="177">
        <f t="shared" si="1528"/>
        <v>-2.0037643770141796E-4</v>
      </c>
      <c r="AT528" s="177"/>
      <c r="AU528" s="177"/>
      <c r="AV528" s="177"/>
      <c r="AW528" s="190"/>
      <c r="AX528" s="120"/>
      <c r="AY528" s="120"/>
      <c r="AZ528" s="118">
        <f>IFERROR(INDEX('Total Customers'!$F$7:$AB$91,MATCH($C528,'Total Customers'!$D$7:$D$91,0),MATCH($G528,'Total Customers'!$F$5:$AB$5,0)),"NA")</f>
        <v>320567</v>
      </c>
      <c r="BA528" s="119">
        <f t="shared" si="1490"/>
        <v>1.4339595662361463E-2</v>
      </c>
      <c r="BB528" s="119"/>
      <c r="BC528" s="121"/>
      <c r="BD528" s="119"/>
      <c r="BE528" s="119"/>
      <c r="BF528" s="119"/>
      <c r="BG528" s="173"/>
      <c r="BH528" s="173"/>
      <c r="BI528" s="173"/>
      <c r="BJ528" s="173"/>
      <c r="BK528" s="173"/>
      <c r="BL528" s="173"/>
      <c r="BM528" s="173"/>
      <c r="BN528" s="173"/>
      <c r="BO528" s="173"/>
      <c r="BP528" s="173"/>
      <c r="BQ528" s="118"/>
      <c r="BR528" s="118"/>
      <c r="BS528" s="118">
        <f>INDEX('Dist. Plant Gas Additions'!$F$7:$AE$91,MATCH($C528,'Dist. Plant Gas Additions'!$D$7:$D$91,0),MATCH(Calculation!$G528,'Dist. Plant Gas Additions'!$F$5:$AE$5,0))</f>
        <v>39862</v>
      </c>
      <c r="BT528" s="118">
        <f>INDEX('Gen. Plant Additions'!$F$7:$AE$91,MATCH($C528,'Gen. Plant Additions'!$D$7:$D$91,0),MATCH(Calculation!$G528,'Gen. Plant Additions'!$F$5:$AE$5,0))</f>
        <v>684</v>
      </c>
      <c r="BU528" s="118"/>
      <c r="BV528" s="118"/>
      <c r="BW528" s="118">
        <f>INDEX('Dist Plant Depreciation'!$E$7:$AD$94,MATCH($C528,'Dist Plant Depreciation'!$D$7:$D$94,0),MATCH(Calculation!$G528,'Dist Plant Depreciation'!$E$5:$AD$5,0))</f>
        <v>54833</v>
      </c>
      <c r="BX528" s="118">
        <f>INDEX('Gen. Plant Depreciation'!$E$7:$AD$94,MATCH($C528,'Gen. Plant Depreciation'!$D$7:$D$94,0),MATCH(Calculation!$G528,'Gen. Plant Depreciation'!$E$5:$AD$5,0))</f>
        <v>-172</v>
      </c>
      <c r="BY528" s="118"/>
      <c r="BZ528" s="118"/>
      <c r="CA528" s="118"/>
      <c r="CB528" s="118"/>
      <c r="CC528" s="118"/>
      <c r="CD528" s="118"/>
      <c r="CE528" s="118">
        <f>INDEX('Gross Dx Plant'!$E$7:$AD$91,MATCH($C528,'Gross Dx Plant'!$D$7:$D$91,0),MATCH(Calculation!$G528,'Gross Dx Plant'!$E$5:$AD$5,0))</f>
        <v>574219</v>
      </c>
      <c r="CF528" s="118">
        <f>INDEX('Gross Gen Plant'!$E$7:$AD$91,MATCH($C528,'Gross Gen Plant'!$D$7:$D$91,0),MATCH(Calculation!$G528,'Gross Gen Plant'!$E$5:$AD$5,0))</f>
        <v>9305</v>
      </c>
      <c r="CG528" s="118">
        <f t="shared" si="1516"/>
        <v>528863</v>
      </c>
      <c r="CH528" s="118"/>
      <c r="CI528" s="121">
        <v>2010</v>
      </c>
      <c r="CJ528" s="118"/>
      <c r="CK528" s="118"/>
      <c r="CL528" s="118"/>
      <c r="CM528" s="183"/>
      <c r="CN528" s="118">
        <f t="shared" si="1491"/>
        <v>40546</v>
      </c>
      <c r="CO528" s="118">
        <f t="shared" si="1492"/>
        <v>71.259662634560428</v>
      </c>
      <c r="CP528" s="186">
        <v>0.9285714285714286</v>
      </c>
      <c r="CQ528" s="118">
        <f>+CQ516*CP528+CO517*CP527+CO518*CP526+CO519*CP525+CO520*CP524+CO521*CP523+CO522*CP522+CO523*CP521+CO524*CP520+CO525*CP519+CO526*CP518+CO527*CP517+CO528</f>
        <v>1656.3447035447336</v>
      </c>
      <c r="CR528" s="119">
        <f t="shared" si="1493"/>
        <v>3.7053432999116766E-2</v>
      </c>
      <c r="CS528" s="119"/>
      <c r="CT528" s="177">
        <f t="shared" si="1494"/>
        <v>6.8977963915259014E-3</v>
      </c>
      <c r="CU528" s="177">
        <f t="shared" si="1502"/>
        <v>6.7213783999548323E-3</v>
      </c>
      <c r="CV528" s="119">
        <f>VLOOKUP($H528,RoR!$E:$F,2,FALSE)</f>
        <v>4.9433333333333322E-2</v>
      </c>
      <c r="CW528" s="177">
        <v>1.1684333519300205E-2</v>
      </c>
      <c r="CX528" s="177">
        <f t="shared" si="1500"/>
        <v>3.7748999814033117E-2</v>
      </c>
      <c r="CY528" s="177">
        <f t="shared" si="1503"/>
        <v>2.4180563208578792E-2</v>
      </c>
      <c r="CZ528" s="177">
        <f t="shared" si="1504"/>
        <v>4.7937530248493419E-2</v>
      </c>
      <c r="DA528" s="187">
        <f t="shared" si="1495"/>
        <v>0.85270312375000001</v>
      </c>
      <c r="DB528" s="188">
        <f t="shared" si="1496"/>
        <v>1.037398205301105</v>
      </c>
      <c r="DC528" s="188">
        <f t="shared" si="1497"/>
        <v>0.46926837491571133</v>
      </c>
      <c r="DD528" s="188">
        <f t="shared" si="1498"/>
        <v>0.8548537519972772</v>
      </c>
      <c r="DE528" s="188">
        <f t="shared" si="1499"/>
        <v>0.41615833911547367</v>
      </c>
      <c r="DF528" s="189">
        <f>INDEX('State Tax Lookup'!$D$7:$Z$91,MATCH(Calculation!$C528,'State Tax Lookup'!$B$7:$B$91,0),MATCH($H528,'State Tax Lookup'!$D$6:$Z$6,0))</f>
        <v>0.39279166999999998</v>
      </c>
      <c r="DG528" s="189">
        <v>0.375</v>
      </c>
      <c r="DH528" s="190">
        <f t="shared" si="1501"/>
        <v>19.253734626050452</v>
      </c>
      <c r="DI528" s="190">
        <v>18.969369151466555</v>
      </c>
      <c r="DJ528" s="177"/>
      <c r="DK528" s="189">
        <f>VLOOKUP($H528,RoR!$E:$F,2,FALSE)</f>
        <v>4.9433333333333322E-2</v>
      </c>
      <c r="DL528" s="191">
        <f>HLOOKUP($H528,'GDP-PI'!$D$8:$CQ$11,3,FALSE)</f>
        <v>1.1684333519300205E-2</v>
      </c>
      <c r="DM528" s="189">
        <f>VLOOKUP(H528,'HW Dx Data'!$E:$F,2,FALSE)</f>
        <v>568.98950262971744</v>
      </c>
      <c r="DN528" s="183">
        <f>VLOOKUP(H528,'ECI - Input Price'!$G$17:$H$37,2,FALSE)</f>
        <v>111.875</v>
      </c>
      <c r="DO528" s="177">
        <f t="shared" ref="DO528" si="1537">LN(DN528/DN527)</f>
        <v>1.8949360147238387E-2</v>
      </c>
      <c r="DP528" s="183">
        <f>HLOOKUP(H528,'GDP-PI'!$8:$9,2,FALSE)</f>
        <v>96.108999999999995</v>
      </c>
      <c r="DQ528" s="177">
        <f t="shared" ref="DQ528" si="1538">LN(DP528/DP527)</f>
        <v>1.1616598807150427E-2</v>
      </c>
    </row>
    <row r="529" spans="1:121" s="167" customFormat="1" ht="21" x14ac:dyDescent="0.35">
      <c r="A529" s="167" t="s">
        <v>65</v>
      </c>
      <c r="B529" s="168" t="s">
        <v>65</v>
      </c>
      <c r="C529" s="168">
        <v>4057090</v>
      </c>
      <c r="D529" s="168" t="s">
        <v>141</v>
      </c>
      <c r="E529" s="168"/>
      <c r="F529" s="168"/>
      <c r="G529" s="168" t="s">
        <v>17</v>
      </c>
      <c r="H529" s="169">
        <v>2011</v>
      </c>
      <c r="I529" s="170"/>
      <c r="J529" s="166">
        <f>IFERROR(INDEX('Labor Expenditures'!$F$7:$X$91,MATCH($C529,'Labor Expenditures'!$D$7:$D$91,0),MATCH($G529,'Labor Expenditures'!$F$5:$X$5,0)),"NA")</f>
        <v>21335.238953880023</v>
      </c>
      <c r="K529" s="166">
        <f t="shared" si="1507"/>
        <v>186.66000834540702</v>
      </c>
      <c r="L529" s="172">
        <f t="shared" si="1514"/>
        <v>5.2362846500850997E-2</v>
      </c>
      <c r="M529" s="172">
        <f t="shared" si="1519"/>
        <v>4.4316596814920022E-4</v>
      </c>
      <c r="N529" s="196"/>
      <c r="O529" s="172"/>
      <c r="P529" s="166">
        <f>IFERROR(INDEX('Non-Labor Expenditures'!$F$7:$AB$91,MATCH($C529,'Non-Labor Expenditures'!$D$7:$D$91,0),MATCH($G529,'Non-Labor Expenditures'!$F$5:$AB$5,0)),"NA")</f>
        <v>30897.410878183491</v>
      </c>
      <c r="Q529" s="166">
        <f t="shared" si="1508"/>
        <v>314.91979450203331</v>
      </c>
      <c r="R529" s="172">
        <f t="shared" si="1520"/>
        <v>5.3180521493747149E-2</v>
      </c>
      <c r="S529" s="172">
        <f t="shared" si="1524"/>
        <v>4.5008625140485412E-4</v>
      </c>
      <c r="T529" s="172"/>
      <c r="U529" s="172"/>
      <c r="V529" s="166">
        <f t="shared" si="1489"/>
        <v>34083.962688860993</v>
      </c>
      <c r="W529" s="170"/>
      <c r="X529" s="174">
        <v>1715.3483542919582</v>
      </c>
      <c r="Y529" s="175">
        <v>3.5002993411125664E-2</v>
      </c>
      <c r="Z529" s="175">
        <f t="shared" si="1525"/>
        <v>2.9624316666798244E-4</v>
      </c>
      <c r="AA529" s="175"/>
      <c r="AB529" s="175"/>
      <c r="AC529" s="170">
        <f t="shared" si="1475"/>
        <v>86316.612520924507</v>
      </c>
      <c r="AD529" s="175">
        <f t="shared" si="1521"/>
        <v>8.5451057534343344E-2</v>
      </c>
      <c r="AE529" s="170"/>
      <c r="AF529" s="170"/>
      <c r="AG529" s="174"/>
      <c r="AH529" s="119">
        <f>+AZ529/$BB$49</f>
        <v>8.8433705463333446E-3</v>
      </c>
      <c r="AI529" s="175"/>
      <c r="AJ529" s="176">
        <f t="shared" si="1526"/>
        <v>0</v>
      </c>
      <c r="AK529" s="176">
        <f t="shared" si="1527"/>
        <v>0</v>
      </c>
      <c r="AL529" s="120">
        <f t="shared" si="1509"/>
        <v>0.24717419197501553</v>
      </c>
      <c r="AM529" s="120">
        <f t="shared" si="1510"/>
        <v>0.35795439575080024</v>
      </c>
      <c r="AN529" s="120">
        <f t="shared" si="1511"/>
        <v>0.39487141227418421</v>
      </c>
      <c r="AO529" s="120">
        <f t="shared" si="1515"/>
        <v>4.5863857393455477E-2</v>
      </c>
      <c r="AP529" s="173">
        <f t="shared" si="1531"/>
        <v>111.14281272253997</v>
      </c>
      <c r="AQ529" s="175">
        <f t="shared" si="1532"/>
        <v>4.5863857393455443E-2</v>
      </c>
      <c r="AR529" s="177">
        <f>+AC529/$AE$49</f>
        <v>8.4633666380607847E-3</v>
      </c>
      <c r="AS529" s="177">
        <f t="shared" si="1528"/>
        <v>3.8816264055654823E-4</v>
      </c>
      <c r="AT529" s="177"/>
      <c r="AU529" s="177"/>
      <c r="AV529" s="177"/>
      <c r="AW529" s="190"/>
      <c r="AX529" s="120"/>
      <c r="AY529" s="120"/>
      <c r="AZ529" s="118">
        <f>IFERROR(INDEX('Total Customers'!$F$7:$AB$91,MATCH($C529,'Total Customers'!$D$7:$D$91,0),MATCH($G529,'Total Customers'!$F$5:$AB$5,0)),"NA")</f>
        <v>318661</v>
      </c>
      <c r="BA529" s="119">
        <f t="shared" si="1490"/>
        <v>-5.9634610766910665E-3</v>
      </c>
      <c r="BB529" s="119"/>
      <c r="BC529" s="121"/>
      <c r="BD529" s="119"/>
      <c r="BE529" s="119"/>
      <c r="BF529" s="119"/>
      <c r="BG529" s="173"/>
      <c r="BH529" s="173"/>
      <c r="BI529" s="173"/>
      <c r="BJ529" s="173"/>
      <c r="BK529" s="173"/>
      <c r="BL529" s="173"/>
      <c r="BM529" s="173"/>
      <c r="BN529" s="173"/>
      <c r="BO529" s="173"/>
      <c r="BP529" s="173"/>
      <c r="BQ529" s="118"/>
      <c r="BR529" s="118"/>
      <c r="BS529" s="118">
        <f>INDEX('Dist. Plant Gas Additions'!$F$7:$AE$91,MATCH($C529,'Dist. Plant Gas Additions'!$D$7:$D$91,0),MATCH(Calculation!$G529,'Dist. Plant Gas Additions'!$F$5:$AE$5,0))</f>
        <v>42431</v>
      </c>
      <c r="BT529" s="118">
        <f>INDEX('Gen. Plant Additions'!$F$7:$AE$91,MATCH($C529,'Gen. Plant Additions'!$D$7:$D$91,0),MATCH(Calculation!$G529,'Gen. Plant Additions'!$F$5:$AE$5,0))</f>
        <v>843</v>
      </c>
      <c r="BU529" s="118"/>
      <c r="BV529" s="118"/>
      <c r="BW529" s="118">
        <f>INDEX('Dist Plant Depreciation'!$E$7:$AD$94,MATCH($C529,'Dist Plant Depreciation'!$D$7:$D$94,0),MATCH(Calculation!$G529,'Dist Plant Depreciation'!$E$5:$AD$5,0))</f>
        <v>189161</v>
      </c>
      <c r="BX529" s="118">
        <f>INDEX('Gen. Plant Depreciation'!$E$7:$AD$94,MATCH($C529,'Gen. Plant Depreciation'!$D$7:$D$94,0),MATCH(Calculation!$G529,'Gen. Plant Depreciation'!$E$5:$AD$5,0))</f>
        <v>4788</v>
      </c>
      <c r="BY529" s="118"/>
      <c r="BZ529" s="118"/>
      <c r="CA529" s="118"/>
      <c r="CB529" s="118"/>
      <c r="CC529" s="118"/>
      <c r="CD529" s="118"/>
      <c r="CE529" s="118">
        <f>INDEX('Gross Dx Plant'!$E$7:$AD$91,MATCH($C529,'Gross Dx Plant'!$D$7:$D$91,0),MATCH(Calculation!$G529,'Gross Dx Plant'!$E$5:$AD$5,0))</f>
        <v>611817</v>
      </c>
      <c r="CF529" s="118">
        <f>INDEX('Gross Gen Plant'!$E$7:$AD$91,MATCH($C529,'Gross Gen Plant'!$D$7:$D$91,0),MATCH(Calculation!$G529,'Gross Gen Plant'!$E$5:$AD$5,0))</f>
        <v>8467</v>
      </c>
      <c r="CG529" s="118">
        <f t="shared" si="1516"/>
        <v>426335</v>
      </c>
      <c r="CH529" s="118"/>
      <c r="CI529" s="121">
        <v>2011</v>
      </c>
      <c r="CJ529" s="118"/>
      <c r="CK529" s="118"/>
      <c r="CL529" s="118"/>
      <c r="CM529" s="183"/>
      <c r="CN529" s="118">
        <f t="shared" si="1491"/>
        <v>43274</v>
      </c>
      <c r="CO529" s="118">
        <f t="shared" si="1492"/>
        <v>70.7541120073288</v>
      </c>
      <c r="CP529" s="186">
        <v>0.92121212121212126</v>
      </c>
      <c r="CQ529" s="118">
        <f>+CQ516*CP529+CO517*CP528+CO518*CP527+CO519*CP526+CO520*CP525+CO521*CP524+CO522*CP523+CO523*CP522+CO524*CP521+CO525*CP520+CO526*CP519+CO527*CP518+CO528*CP517+CO529</f>
        <v>1715.3483542919582</v>
      </c>
      <c r="CR529" s="119">
        <f t="shared" si="1493"/>
        <v>3.5002993411125664E-2</v>
      </c>
      <c r="CS529" s="119"/>
      <c r="CT529" s="177">
        <f t="shared" si="1494"/>
        <v>7.0942124757951185E-3</v>
      </c>
      <c r="CU529" s="177">
        <f t="shared" si="1502"/>
        <v>6.9026415684562206E-3</v>
      </c>
      <c r="CV529" s="119">
        <f>VLOOKUP($H529,RoR!$E:$F,2,FALSE)</f>
        <v>4.6391666666666664E-2</v>
      </c>
      <c r="CW529" s="177">
        <v>2.0840920205183799E-2</v>
      </c>
      <c r="CX529" s="177">
        <f t="shared" si="1500"/>
        <v>2.5550746461482865E-2</v>
      </c>
      <c r="CY529" s="177">
        <f t="shared" si="1503"/>
        <v>2.3999300040077404E-2</v>
      </c>
      <c r="CZ529" s="177">
        <f t="shared" si="1504"/>
        <v>2.4810540821321614E-2</v>
      </c>
      <c r="DA529" s="187">
        <f t="shared" si="1495"/>
        <v>0.85270312375000001</v>
      </c>
      <c r="DB529" s="188">
        <f t="shared" si="1496"/>
        <v>1.1054151524782025</v>
      </c>
      <c r="DC529" s="188">
        <f t="shared" si="1497"/>
        <v>0.43611011316687626</v>
      </c>
      <c r="DD529" s="188">
        <f t="shared" si="1498"/>
        <v>0.83698442246886229</v>
      </c>
      <c r="DE529" s="188">
        <f t="shared" si="1499"/>
        <v>0.40349573304423936</v>
      </c>
      <c r="DF529" s="189">
        <f>INDEX('State Tax Lookup'!$D$7:$Z$91,MATCH(Calculation!$C529,'State Tax Lookup'!$B$7:$B$91,0),MATCH($H529,'State Tax Lookup'!$D$6:$Z$6,0))</f>
        <v>0.39279166999999998</v>
      </c>
      <c r="DG529" s="189">
        <v>0.375</v>
      </c>
      <c r="DH529" s="190">
        <f t="shared" si="1501"/>
        <v>20.577819711028813</v>
      </c>
      <c r="DI529" s="190">
        <v>20.265701083633584</v>
      </c>
      <c r="DJ529" s="177"/>
      <c r="DK529" s="189">
        <f>VLOOKUP($H529,RoR!$E:$F,2,FALSE)</f>
        <v>4.6391666666666664E-2</v>
      </c>
      <c r="DL529" s="191">
        <f>HLOOKUP($H529,'GDP-PI'!$D$8:$CQ$11,3,FALSE)</f>
        <v>2.0840920205183799E-2</v>
      </c>
      <c r="DM529" s="189">
        <f>VLOOKUP(H529,'HW Dx Data'!$E:$F,2,FALSE)</f>
        <v>611.61109612283201</v>
      </c>
      <c r="DN529" s="183">
        <f>VLOOKUP(H529,'ECI - Input Price'!$G$17:$H$37,2,FALSE)</f>
        <v>114.3</v>
      </c>
      <c r="DO529" s="177">
        <f t="shared" ref="DO529" si="1539">LN(DN529/DN528)</f>
        <v>2.1444394205745516E-2</v>
      </c>
      <c r="DP529" s="183">
        <f>HLOOKUP(H529,'GDP-PI'!$8:$9,2,FALSE)</f>
        <v>98.111999999999995</v>
      </c>
      <c r="DQ529" s="177">
        <f t="shared" ref="DQ529" si="1540">LN(DP529/DP528)</f>
        <v>2.0626719212849295E-2</v>
      </c>
    </row>
    <row r="530" spans="1:121" s="167" customFormat="1" ht="21" x14ac:dyDescent="0.35">
      <c r="A530" s="167" t="s">
        <v>65</v>
      </c>
      <c r="B530" s="168" t="s">
        <v>65</v>
      </c>
      <c r="C530" s="168">
        <v>4057090</v>
      </c>
      <c r="D530" s="168" t="s">
        <v>141</v>
      </c>
      <c r="E530" s="168"/>
      <c r="F530" s="168"/>
      <c r="G530" s="168" t="s">
        <v>18</v>
      </c>
      <c r="H530" s="169">
        <v>2012</v>
      </c>
      <c r="I530" s="170"/>
      <c r="J530" s="166">
        <f>IFERROR(INDEX('Labor Expenditures'!$F$7:$X$91,MATCH($C530,'Labor Expenditures'!$D$7:$D$91,0),MATCH($G530,'Labor Expenditures'!$F$5:$X$5,0)),"NA")</f>
        <v>20593.252658355923</v>
      </c>
      <c r="K530" s="166">
        <f t="shared" si="1507"/>
        <v>176.76611723910662</v>
      </c>
      <c r="L530" s="172">
        <f t="shared" si="1514"/>
        <v>-5.4461337584547971E-2</v>
      </c>
      <c r="M530" s="172">
        <f t="shared" si="1519"/>
        <v>-4.5159510946719773E-4</v>
      </c>
      <c r="N530" s="196"/>
      <c r="O530" s="172"/>
      <c r="P530" s="166">
        <f>IFERROR(INDEX('Non-Labor Expenditures'!$F$7:$AB$91,MATCH($C530,'Non-Labor Expenditures'!$D$7:$D$91,0),MATCH($G530,'Non-Labor Expenditures'!$F$5:$AB$5,0)),"NA")</f>
        <v>29822.876138340784</v>
      </c>
      <c r="Q530" s="166">
        <f t="shared" si="1508"/>
        <v>298.22876138340786</v>
      </c>
      <c r="R530" s="172">
        <f t="shared" si="1520"/>
        <v>-5.4457138118300094E-2</v>
      </c>
      <c r="S530" s="172">
        <f t="shared" si="1524"/>
        <v>-4.5156028736212237E-4</v>
      </c>
      <c r="T530" s="172"/>
      <c r="U530" s="172"/>
      <c r="V530" s="166">
        <f t="shared" si="1489"/>
        <v>38196.055486963436</v>
      </c>
      <c r="W530" s="170"/>
      <c r="X530" s="174">
        <v>1759.6614299138523</v>
      </c>
      <c r="Y530" s="175">
        <v>2.5505239150028239E-2</v>
      </c>
      <c r="Z530" s="175">
        <f t="shared" si="1525"/>
        <v>2.1149023833766457E-4</v>
      </c>
      <c r="AA530" s="175"/>
      <c r="AB530" s="175"/>
      <c r="AC530" s="170">
        <f t="shared" si="1475"/>
        <v>88612.184283660143</v>
      </c>
      <c r="AD530" s="175">
        <f t="shared" si="1521"/>
        <v>2.6247291377876437E-2</v>
      </c>
      <c r="AE530" s="170"/>
      <c r="AF530" s="170"/>
      <c r="AG530" s="174"/>
      <c r="AH530" s="119">
        <f>+AZ530/$BB$50</f>
        <v>8.7833603869377306E-3</v>
      </c>
      <c r="AI530" s="175"/>
      <c r="AJ530" s="176">
        <f t="shared" si="1526"/>
        <v>0</v>
      </c>
      <c r="AK530" s="176">
        <f t="shared" si="1527"/>
        <v>0</v>
      </c>
      <c r="AL530" s="120">
        <f t="shared" si="1509"/>
        <v>0.23239752890453538</v>
      </c>
      <c r="AM530" s="120">
        <f t="shared" si="1510"/>
        <v>0.33655502772478257</v>
      </c>
      <c r="AN530" s="120">
        <f t="shared" si="1511"/>
        <v>0.43104744337068202</v>
      </c>
      <c r="AO530" s="120">
        <f t="shared" si="1515"/>
        <v>-2.1436927526877328E-2</v>
      </c>
      <c r="AP530" s="173">
        <f t="shared" si="1531"/>
        <v>108.78560818135355</v>
      </c>
      <c r="AQ530" s="175">
        <f t="shared" si="1532"/>
        <v>-2.1436927526877318E-2</v>
      </c>
      <c r="AR530" s="177">
        <f>+AC530/$AE$50</f>
        <v>8.2920311820495283E-3</v>
      </c>
      <c r="AS530" s="177">
        <f t="shared" si="1528"/>
        <v>-1.7775567150020259E-4</v>
      </c>
      <c r="AT530" s="177"/>
      <c r="AU530" s="177"/>
      <c r="AV530" s="177"/>
      <c r="AW530" s="190"/>
      <c r="AX530" s="120"/>
      <c r="AY530" s="120"/>
      <c r="AZ530" s="118">
        <f>IFERROR(INDEX('Total Customers'!$F$7:$AB$91,MATCH($C530,'Total Customers'!$D$7:$D$91,0),MATCH($G530,'Total Customers'!$F$5:$AB$5,0)),"NA")</f>
        <v>318029</v>
      </c>
      <c r="BA530" s="119">
        <f t="shared" si="1490"/>
        <v>-1.9852682076821537E-3</v>
      </c>
      <c r="BB530" s="119"/>
      <c r="BC530" s="121"/>
      <c r="BD530" s="119"/>
      <c r="BE530" s="119"/>
      <c r="BF530" s="119"/>
      <c r="BG530" s="173"/>
      <c r="BH530" s="173"/>
      <c r="BI530" s="173"/>
      <c r="BJ530" s="173"/>
      <c r="BK530" s="173"/>
      <c r="BL530" s="173"/>
      <c r="BM530" s="173"/>
      <c r="BN530" s="173"/>
      <c r="BO530" s="173"/>
      <c r="BP530" s="173"/>
      <c r="BQ530" s="118"/>
      <c r="BR530" s="118"/>
      <c r="BS530" s="118">
        <f>INDEX('Dist. Plant Gas Additions'!$F$7:$AE$91,MATCH($C530,'Dist. Plant Gas Additions'!$D$7:$D$91,0),MATCH(Calculation!$G530,'Dist. Plant Gas Additions'!$F$5:$AE$5,0))</f>
        <v>36861</v>
      </c>
      <c r="BT530" s="118">
        <f>INDEX('Gen. Plant Additions'!$F$7:$AE$91,MATCH($C530,'Gen. Plant Additions'!$D$7:$D$91,0),MATCH(Calculation!$G530,'Gen. Plant Additions'!$F$5:$AE$5,0))</f>
        <v>1156</v>
      </c>
      <c r="BU530" s="118"/>
      <c r="BV530" s="118"/>
      <c r="BW530" s="118">
        <f>INDEX('Dist Plant Depreciation'!$E$7:$AD$94,MATCH($C530,'Dist Plant Depreciation'!$D$7:$D$94,0),MATCH(Calculation!$G530,'Dist Plant Depreciation'!$E$5:$AD$5,0))</f>
        <v>201131</v>
      </c>
      <c r="BX530" s="118">
        <f>INDEX('Gen. Plant Depreciation'!$E$7:$AD$94,MATCH($C530,'Gen. Plant Depreciation'!$D$7:$D$94,0),MATCH(Calculation!$G530,'Gen. Plant Depreciation'!$E$5:$AD$5,0))</f>
        <v>4868</v>
      </c>
      <c r="BY530" s="118"/>
      <c r="BZ530" s="118"/>
      <c r="CA530" s="118"/>
      <c r="CB530" s="118"/>
      <c r="CC530" s="118"/>
      <c r="CD530" s="118"/>
      <c r="CE530" s="118">
        <f>INDEX('Gross Dx Plant'!$E$7:$AD$91,MATCH($C530,'Gross Dx Plant'!$D$7:$D$91,0),MATCH(Calculation!$G530,'Gross Dx Plant'!$E$5:$AD$5,0))</f>
        <v>645232</v>
      </c>
      <c r="CF530" s="118">
        <f>INDEX('Gross Gen Plant'!$E$7:$AD$91,MATCH($C530,'Gross Gen Plant'!$D$7:$D$91,0),MATCH(Calculation!$G530,'Gross Gen Plant'!$E$5:$AD$5,0))</f>
        <v>9274</v>
      </c>
      <c r="CG530" s="118">
        <f t="shared" si="1516"/>
        <v>448507</v>
      </c>
      <c r="CH530" s="118"/>
      <c r="CI530" s="121">
        <v>2012</v>
      </c>
      <c r="CJ530" s="118"/>
      <c r="CK530" s="118"/>
      <c r="CL530" s="118"/>
      <c r="CM530" s="183"/>
      <c r="CN530" s="118">
        <f t="shared" si="1491"/>
        <v>38017</v>
      </c>
      <c r="CO530" s="118">
        <f t="shared" si="1492"/>
        <v>56.833460692886547</v>
      </c>
      <c r="CP530" s="186">
        <v>0.9135802469135802</v>
      </c>
      <c r="CQ530" s="118">
        <f>+CQ516*CP530+CO517*CP529+CO518*CP528+CO519*CP527+CO520*CP526+CO521*CP525+CO522*CP524+CO523*CP523+CO524*CP522+CO525*CP521+CO526*CP520+CO527*CP519+CO528*CP518+CO529*CP517+CO530</f>
        <v>1759.6614299138523</v>
      </c>
      <c r="CR530" s="119">
        <f t="shared" si="1493"/>
        <v>2.5505239150028239E-2</v>
      </c>
      <c r="CS530" s="119"/>
      <c r="CT530" s="177">
        <f t="shared" si="1494"/>
        <v>7.2990334818378516E-3</v>
      </c>
      <c r="CU530" s="177">
        <f t="shared" si="1502"/>
        <v>7.0970141163862908E-3</v>
      </c>
      <c r="CV530" s="119">
        <f>VLOOKUP($H530,RoR!$E:$F,2,FALSE)</f>
        <v>3.6733333333333333E-2</v>
      </c>
      <c r="CW530" s="177">
        <v>1.924331376386168E-2</v>
      </c>
      <c r="CX530" s="177">
        <f t="shared" si="1500"/>
        <v>1.7490019569471653E-2</v>
      </c>
      <c r="CY530" s="177">
        <f t="shared" si="1503"/>
        <v>2.3804927492147333E-2</v>
      </c>
      <c r="CZ530" s="177">
        <f t="shared" si="1504"/>
        <v>6.7122682943869583E-2</v>
      </c>
      <c r="DA530" s="187">
        <f t="shared" si="1495"/>
        <v>0.85270312375000001</v>
      </c>
      <c r="DB530" s="188">
        <f t="shared" si="1496"/>
        <v>1.3960631020522127</v>
      </c>
      <c r="DC530" s="188">
        <f t="shared" si="1497"/>
        <v>0.29441923774954631</v>
      </c>
      <c r="DD530" s="188">
        <f t="shared" si="1498"/>
        <v>0.76377954189366437</v>
      </c>
      <c r="DE530" s="188">
        <f t="shared" si="1499"/>
        <v>0.31393465103033691</v>
      </c>
      <c r="DF530" s="189">
        <f>INDEX('State Tax Lookup'!$D$7:$Z$91,MATCH(Calculation!$C530,'State Tax Lookup'!$B$7:$B$91,0),MATCH($H530,'State Tax Lookup'!$D$6:$Z$6,0))</f>
        <v>0.39279166999999998</v>
      </c>
      <c r="DG530" s="189">
        <v>0.375</v>
      </c>
      <c r="DH530" s="190">
        <f t="shared" si="1501"/>
        <v>22.267229505536537</v>
      </c>
      <c r="DI530" s="190">
        <v>21.967176216650085</v>
      </c>
      <c r="DJ530" s="177"/>
      <c r="DK530" s="189">
        <f>VLOOKUP($H530,RoR!$E:$F,2,FALSE)</f>
        <v>3.6733333333333333E-2</v>
      </c>
      <c r="DL530" s="191">
        <f>HLOOKUP($H530,'GDP-PI'!$D$8:$CQ$11,3,FALSE)</f>
        <v>1.924331376386168E-2</v>
      </c>
      <c r="DM530" s="189">
        <f>VLOOKUP(H530,'HW Dx Data'!$E:$F,2,FALSE)</f>
        <v>668.91932211262167</v>
      </c>
      <c r="DN530" s="183">
        <f>VLOOKUP(H530,'ECI - Input Price'!$G$17:$H$37,2,FALSE)</f>
        <v>116.5</v>
      </c>
      <c r="DO530" s="177">
        <f t="shared" ref="DO530" si="1541">LN(DN530/DN529)</f>
        <v>1.9064702204990347E-2</v>
      </c>
      <c r="DP530" s="183">
        <f>HLOOKUP(H530,'GDP-PI'!$8:$9,2,FALSE)</f>
        <v>100</v>
      </c>
      <c r="DQ530" s="177">
        <f t="shared" ref="DQ530" si="1542">LN(DP530/DP529)</f>
        <v>1.9060502738742411E-2</v>
      </c>
    </row>
    <row r="531" spans="1:121" s="167" customFormat="1" ht="21" x14ac:dyDescent="0.35">
      <c r="A531" s="167" t="s">
        <v>65</v>
      </c>
      <c r="B531" s="168" t="s">
        <v>65</v>
      </c>
      <c r="C531" s="168">
        <v>4057090</v>
      </c>
      <c r="D531" s="168" t="s">
        <v>141</v>
      </c>
      <c r="E531" s="168"/>
      <c r="F531" s="168"/>
      <c r="G531" s="168" t="s">
        <v>19</v>
      </c>
      <c r="H531" s="169">
        <v>2013</v>
      </c>
      <c r="I531" s="170"/>
      <c r="J531" s="166">
        <f>IFERROR(INDEX('Labor Expenditures'!$F$7:$X$91,MATCH($C531,'Labor Expenditures'!$D$7:$D$91,0),MATCH($G531,'Labor Expenditures'!$F$5:$X$5,0)),"NA")</f>
        <v>22338.644698979504</v>
      </c>
      <c r="K531" s="166">
        <f t="shared" si="1507"/>
        <v>188.15451420492317</v>
      </c>
      <c r="L531" s="172">
        <f t="shared" si="1514"/>
        <v>6.243602207473728E-2</v>
      </c>
      <c r="M531" s="172">
        <f t="shared" si="1519"/>
        <v>5.2509755742179501E-4</v>
      </c>
      <c r="N531" s="196"/>
      <c r="O531" s="172"/>
      <c r="P531" s="166">
        <f>IFERROR(INDEX('Non-Labor Expenditures'!$F$7:$AB$91,MATCH($C531,'Non-Labor Expenditures'!$D$7:$D$91,0),MATCH($G531,'Non-Labor Expenditures'!$F$5:$AB$5,0)),"NA")</f>
        <v>32350.529807429437</v>
      </c>
      <c r="Q531" s="166">
        <f t="shared" si="1508"/>
        <v>317.86947232988553</v>
      </c>
      <c r="R531" s="172">
        <f t="shared" si="1520"/>
        <v>6.377998648765712E-2</v>
      </c>
      <c r="S531" s="172">
        <f t="shared" si="1524"/>
        <v>5.3640052655780552E-4</v>
      </c>
      <c r="T531" s="172"/>
      <c r="U531" s="172"/>
      <c r="V531" s="166">
        <f t="shared" si="1489"/>
        <v>38536.461221917649</v>
      </c>
      <c r="W531" s="170"/>
      <c r="X531" s="174">
        <v>1844.0113813048392</v>
      </c>
      <c r="Y531" s="175">
        <v>4.6821876011991628E-2</v>
      </c>
      <c r="Z531" s="175">
        <f t="shared" si="1525"/>
        <v>3.9377993521709151E-4</v>
      </c>
      <c r="AA531" s="175"/>
      <c r="AB531" s="175"/>
      <c r="AC531" s="170">
        <f t="shared" si="1475"/>
        <v>93225.635728326597</v>
      </c>
      <c r="AD531" s="175">
        <f t="shared" si="1521"/>
        <v>5.0753377044195518E-2</v>
      </c>
      <c r="AE531" s="170"/>
      <c r="AF531" s="170"/>
      <c r="AG531" s="174"/>
      <c r="AH531" s="119">
        <f>+AZ531/$BB$51</f>
        <v>8.7557722382727316E-3</v>
      </c>
      <c r="AI531" s="175"/>
      <c r="AJ531" s="176">
        <f t="shared" si="1526"/>
        <v>0</v>
      </c>
      <c r="AK531" s="176">
        <f t="shared" si="1527"/>
        <v>0</v>
      </c>
      <c r="AL531" s="120">
        <f t="shared" si="1509"/>
        <v>0.23961911897364419</v>
      </c>
      <c r="AM531" s="120">
        <f t="shared" si="1510"/>
        <v>0.34701323895182334</v>
      </c>
      <c r="AN531" s="120">
        <f t="shared" si="1511"/>
        <v>0.41336764207453242</v>
      </c>
      <c r="AO531" s="120">
        <f t="shared" si="1515"/>
        <v>5.6302957545980886E-2</v>
      </c>
      <c r="AP531" s="173">
        <f t="shared" si="1531"/>
        <v>115.08626820890676</v>
      </c>
      <c r="AQ531" s="175">
        <f t="shared" si="1532"/>
        <v>5.6302957545980782E-2</v>
      </c>
      <c r="AR531" s="177">
        <f>+AC531/$AE$51</f>
        <v>8.4101699623534924E-3</v>
      </c>
      <c r="AS531" s="177">
        <f t="shared" si="1528"/>
        <v>4.7351744234487147E-4</v>
      </c>
      <c r="AT531" s="177"/>
      <c r="AU531" s="177"/>
      <c r="AV531" s="177"/>
      <c r="AW531" s="190"/>
      <c r="AX531" s="120"/>
      <c r="AY531" s="120"/>
      <c r="AZ531" s="118">
        <f>IFERROR(INDEX('Total Customers'!$F$7:$AB$91,MATCH($C531,'Total Customers'!$D$7:$D$91,0),MATCH($G531,'Total Customers'!$F$5:$AB$5,0)),"NA")</f>
        <v>319070</v>
      </c>
      <c r="BA531" s="119">
        <f t="shared" si="1490"/>
        <v>3.2679408582999671E-3</v>
      </c>
      <c r="BB531" s="119"/>
      <c r="BC531" s="121"/>
      <c r="BD531" s="119"/>
      <c r="BE531" s="119"/>
      <c r="BF531" s="119"/>
      <c r="BG531" s="173"/>
      <c r="BH531" s="173"/>
      <c r="BI531" s="173"/>
      <c r="BJ531" s="173"/>
      <c r="BK531" s="173"/>
      <c r="BL531" s="173"/>
      <c r="BM531" s="173"/>
      <c r="BN531" s="173"/>
      <c r="BO531" s="173"/>
      <c r="BP531" s="173"/>
      <c r="BQ531" s="118"/>
      <c r="BR531" s="118"/>
      <c r="BS531" s="118">
        <f>INDEX('Dist. Plant Gas Additions'!$F$7:$AE$91,MATCH($C531,'Dist. Plant Gas Additions'!$D$7:$D$91,0),MATCH(Calculation!$G531,'Dist. Plant Gas Additions'!$F$5:$AE$5,0))</f>
        <v>64443</v>
      </c>
      <c r="BT531" s="118">
        <f>INDEX('Gen. Plant Additions'!$F$7:$AE$91,MATCH($C531,'Gen. Plant Additions'!$D$7:$D$91,0),MATCH(Calculation!$G531,'Gen. Plant Additions'!$F$5:$AE$5,0))</f>
        <v>293</v>
      </c>
      <c r="BU531" s="118"/>
      <c r="BV531" s="118"/>
      <c r="BW531" s="118">
        <f>INDEX('Dist Plant Depreciation'!$E$7:$AD$94,MATCH($C531,'Dist Plant Depreciation'!$D$7:$D$94,0),MATCH(Calculation!$G531,'Dist Plant Depreciation'!$E$5:$AD$5,0))</f>
        <v>210147</v>
      </c>
      <c r="BX531" s="118">
        <f>INDEX('Gen. Plant Depreciation'!$E$7:$AD$94,MATCH($C531,'Gen. Plant Depreciation'!$D$7:$D$94,0),MATCH(Calculation!$G531,'Gen. Plant Depreciation'!$E$5:$AD$5,0))</f>
        <v>5130</v>
      </c>
      <c r="BY531" s="118"/>
      <c r="BZ531" s="118"/>
      <c r="CA531" s="118"/>
      <c r="CB531" s="118"/>
      <c r="CC531" s="118"/>
      <c r="CD531" s="118"/>
      <c r="CE531" s="118">
        <f>INDEX('Gross Dx Plant'!$E$7:$AD$91,MATCH($C531,'Gross Dx Plant'!$D$7:$D$91,0),MATCH(Calculation!$G531,'Gross Dx Plant'!$E$5:$AD$5,0))</f>
        <v>700841</v>
      </c>
      <c r="CF531" s="118">
        <f>INDEX('Gross Gen Plant'!$E$7:$AD$91,MATCH($C531,'Gross Gen Plant'!$D$7:$D$91,0),MATCH(Calculation!$G531,'Gross Gen Plant'!$E$5:$AD$5,0))</f>
        <v>9476</v>
      </c>
      <c r="CG531" s="118">
        <f t="shared" si="1516"/>
        <v>495040</v>
      </c>
      <c r="CH531" s="118"/>
      <c r="CI531" s="121">
        <v>2013</v>
      </c>
      <c r="CJ531" s="118"/>
      <c r="CK531" s="118"/>
      <c r="CL531" s="118"/>
      <c r="CM531" s="183"/>
      <c r="CN531" s="118">
        <f t="shared" si="1491"/>
        <v>64736</v>
      </c>
      <c r="CO531" s="118">
        <f t="shared" si="1492"/>
        <v>97.604456285647828</v>
      </c>
      <c r="CP531" s="186">
        <v>0.90566037735849059</v>
      </c>
      <c r="CQ531" s="118">
        <f>+CQ516*CP531+CO517*CP530+CO518*CP529+CO519*CP528+CO520*CP527+CO521*CP526+CO522*CP525+CO523*CP524+CO524*CP523+CO525*CP522+CO526*CP521+CO527*CP520+CO528*CP519+CO529*CP518+CO530*CP517+CO531</f>
        <v>1844.0113813048392</v>
      </c>
      <c r="CR531" s="119">
        <f t="shared" si="1493"/>
        <v>4.6821876011991628E-2</v>
      </c>
      <c r="CS531" s="119"/>
      <c r="CT531" s="177">
        <f t="shared" si="1494"/>
        <v>7.5324176965734886E-3</v>
      </c>
      <c r="CU531" s="177">
        <f t="shared" si="1502"/>
        <v>7.3085545514021523E-3</v>
      </c>
      <c r="CV531" s="119">
        <f>VLOOKUP($H531,RoR!$E:$F,2,FALSE)</f>
        <v>4.2350000000000006E-2</v>
      </c>
      <c r="CW531" s="177">
        <v>1.7730000000000024E-2</v>
      </c>
      <c r="CX531" s="177">
        <f t="shared" si="1500"/>
        <v>2.4619999999999982E-2</v>
      </c>
      <c r="CY531" s="177">
        <f t="shared" si="1503"/>
        <v>2.3593387057131474E-2</v>
      </c>
      <c r="CZ531" s="177">
        <f t="shared" si="1504"/>
        <v>5.3376742735721204E-2</v>
      </c>
      <c r="DA531" s="187">
        <f t="shared" si="1495"/>
        <v>0.85270312375000001</v>
      </c>
      <c r="DB531" s="188">
        <f t="shared" si="1496"/>
        <v>1.2109103018193925</v>
      </c>
      <c r="DC531" s="188">
        <f t="shared" si="1497"/>
        <v>0.38468122786304604</v>
      </c>
      <c r="DD531" s="188">
        <f t="shared" si="1498"/>
        <v>0.80969194503422559</v>
      </c>
      <c r="DE531" s="188">
        <f t="shared" si="1499"/>
        <v>0.37716621754800816</v>
      </c>
      <c r="DF531" s="189">
        <f>INDEX('State Tax Lookup'!$D$7:$Z$91,MATCH(Calculation!$C531,'State Tax Lookup'!$B$7:$B$91,0),MATCH($H531,'State Tax Lookup'!$D$6:$Z$6,0))</f>
        <v>0.39279166999999998</v>
      </c>
      <c r="DG531" s="189">
        <v>0.375</v>
      </c>
      <c r="DH531" s="190">
        <f t="shared" si="1501"/>
        <v>21.899929478936343</v>
      </c>
      <c r="DI531" s="190">
        <v>21.579757253378521</v>
      </c>
      <c r="DJ531" s="177"/>
      <c r="DK531" s="189">
        <f>VLOOKUP($H531,RoR!$E:$F,2,FALSE)</f>
        <v>4.2350000000000006E-2</v>
      </c>
      <c r="DL531" s="191">
        <f>HLOOKUP($H531,'GDP-PI'!$D$8:$CQ$11,3,FALSE)</f>
        <v>1.7730000000000024E-2</v>
      </c>
      <c r="DM531" s="189">
        <f>VLOOKUP(H531,'HW Dx Data'!$E:$F,2,FALSE)</f>
        <v>663.24840548821396</v>
      </c>
      <c r="DN531" s="183">
        <f>VLOOKUP(H531,'ECI - Input Price'!$G$17:$H$37,2,FALSE)</f>
        <v>118.72499999999999</v>
      </c>
      <c r="DO531" s="177">
        <f t="shared" ref="DO531" si="1543">LN(DN531/DN530)</f>
        <v>1.8918621429430321E-2</v>
      </c>
      <c r="DP531" s="183">
        <f>HLOOKUP(H531,'GDP-PI'!$8:$9,2,FALSE)</f>
        <v>101.773</v>
      </c>
      <c r="DQ531" s="177">
        <f t="shared" ref="DQ531" si="1544">LN(DP531/DP530)</f>
        <v>1.7574657016510519E-2</v>
      </c>
    </row>
    <row r="532" spans="1:121" s="167" customFormat="1" ht="21" x14ac:dyDescent="0.35">
      <c r="A532" s="167" t="s">
        <v>65</v>
      </c>
      <c r="B532" s="168" t="s">
        <v>65</v>
      </c>
      <c r="C532" s="168">
        <v>4057090</v>
      </c>
      <c r="D532" s="168" t="s">
        <v>141</v>
      </c>
      <c r="E532" s="168"/>
      <c r="F532" s="168"/>
      <c r="G532" s="168" t="s">
        <v>20</v>
      </c>
      <c r="H532" s="169">
        <v>2014</v>
      </c>
      <c r="I532" s="170"/>
      <c r="J532" s="166">
        <f>IFERROR(INDEX('Labor Expenditures'!$F$7:$X$91,MATCH($C532,'Labor Expenditures'!$D$7:$D$91,0),MATCH($G532,'Labor Expenditures'!$F$5:$X$5,0)),"NA")</f>
        <v>23148.112502807264</v>
      </c>
      <c r="K532" s="166">
        <f t="shared" si="1507"/>
        <v>190.991027250885</v>
      </c>
      <c r="L532" s="172">
        <f t="shared" si="1514"/>
        <v>1.4962939862160202E-2</v>
      </c>
      <c r="M532" s="172">
        <f t="shared" si="1519"/>
        <v>1.2888582653454116E-4</v>
      </c>
      <c r="N532" s="196"/>
      <c r="O532" s="172"/>
      <c r="P532" s="166">
        <f>IFERROR(INDEX('Non-Labor Expenditures'!$F$7:$AB$91,MATCH($C532,'Non-Labor Expenditures'!$D$7:$D$91,0),MATCH($G532,'Non-Labor Expenditures'!$F$5:$AB$5,0)),"NA")</f>
        <v>33522.790375103024</v>
      </c>
      <c r="Q532" s="166">
        <f t="shared" si="1508"/>
        <v>323.43232679289338</v>
      </c>
      <c r="R532" s="172">
        <f t="shared" si="1520"/>
        <v>1.7349067163932527E-2</v>
      </c>
      <c r="S532" s="172">
        <f t="shared" si="1524"/>
        <v>1.4943913974294976E-4</v>
      </c>
      <c r="T532" s="172"/>
      <c r="U532" s="172"/>
      <c r="V532" s="166">
        <f t="shared" si="1489"/>
        <v>41350.985807682831</v>
      </c>
      <c r="W532" s="170"/>
      <c r="X532" s="174">
        <v>1926.1720211771196</v>
      </c>
      <c r="Y532" s="175">
        <v>4.3591327450919176E-2</v>
      </c>
      <c r="Z532" s="175">
        <f t="shared" si="1525"/>
        <v>3.7548131049150901E-4</v>
      </c>
      <c r="AA532" s="175"/>
      <c r="AB532" s="175"/>
      <c r="AC532" s="170">
        <f t="shared" si="1475"/>
        <v>98021.88868559312</v>
      </c>
      <c r="AD532" s="175">
        <f t="shared" si="1521"/>
        <v>5.016806233361043E-2</v>
      </c>
      <c r="AE532" s="170"/>
      <c r="AF532" s="170"/>
      <c r="AG532" s="174"/>
      <c r="AH532" s="119">
        <f>+AZ532/$BB$52</f>
        <v>8.7324892543133963E-3</v>
      </c>
      <c r="AI532" s="175"/>
      <c r="AJ532" s="176">
        <f t="shared" si="1526"/>
        <v>0</v>
      </c>
      <c r="AK532" s="176">
        <f t="shared" si="1527"/>
        <v>0</v>
      </c>
      <c r="AL532" s="120">
        <f t="shared" si="1509"/>
        <v>0.23615248403400213</v>
      </c>
      <c r="AM532" s="120">
        <f t="shared" si="1510"/>
        <v>0.3419929040811277</v>
      </c>
      <c r="AN532" s="120">
        <f t="shared" si="1511"/>
        <v>0.42185461188487017</v>
      </c>
      <c r="AO532" s="120">
        <f t="shared" si="1515"/>
        <v>2.7740501251203413E-2</v>
      </c>
      <c r="AP532" s="173">
        <f t="shared" si="1531"/>
        <v>118.32351277441451</v>
      </c>
      <c r="AQ532" s="175">
        <f t="shared" si="1532"/>
        <v>2.77405012512035E-2</v>
      </c>
      <c r="AR532" s="177">
        <f>+AC532/$AE$52</f>
        <v>8.6136700221913411E-3</v>
      </c>
      <c r="AS532" s="177">
        <f t="shared" si="1528"/>
        <v>2.3894752402805298E-4</v>
      </c>
      <c r="AT532" s="177"/>
      <c r="AU532" s="177"/>
      <c r="AV532" s="177"/>
      <c r="AW532" s="190"/>
      <c r="AX532" s="120"/>
      <c r="AY532" s="120"/>
      <c r="AZ532" s="118">
        <f>IFERROR(INDEX('Total Customers'!$F$7:$AB$91,MATCH($C532,'Total Customers'!$D$7:$D$91,0),MATCH($G532,'Total Customers'!$F$5:$AB$5,0)),"NA")</f>
        <v>319939</v>
      </c>
      <c r="BA532" s="119">
        <f t="shared" si="1490"/>
        <v>2.7198381734955895E-3</v>
      </c>
      <c r="BB532" s="119"/>
      <c r="BC532" s="121"/>
      <c r="BD532" s="119"/>
      <c r="BE532" s="119"/>
      <c r="BF532" s="119"/>
      <c r="BG532" s="173"/>
      <c r="BH532" s="173"/>
      <c r="BI532" s="173"/>
      <c r="BJ532" s="173"/>
      <c r="BK532" s="173"/>
      <c r="BL532" s="173"/>
      <c r="BM532" s="173"/>
      <c r="BN532" s="173"/>
      <c r="BO532" s="173"/>
      <c r="BP532" s="173"/>
      <c r="BQ532" s="118"/>
      <c r="BR532" s="118"/>
      <c r="BS532" s="118">
        <f>INDEX('Dist. Plant Gas Additions'!$F$7:$AE$91,MATCH($C532,'Dist. Plant Gas Additions'!$D$7:$D$91,0),MATCH(Calculation!$G532,'Dist. Plant Gas Additions'!$F$5:$AE$5,0))</f>
        <v>64319</v>
      </c>
      <c r="BT532" s="118">
        <f>INDEX('Gen. Plant Additions'!$F$7:$AE$91,MATCH($C532,'Gen. Plant Additions'!$D$7:$D$91,0),MATCH(Calculation!$G532,'Gen. Plant Additions'!$F$5:$AE$5,0))</f>
        <v>1654</v>
      </c>
      <c r="BU532" s="118"/>
      <c r="BV532" s="118"/>
      <c r="BW532" s="118">
        <f>INDEX('Dist Plant Depreciation'!$E$7:$AD$94,MATCH($C532,'Dist Plant Depreciation'!$D$7:$D$94,0),MATCH(Calculation!$G532,'Dist Plant Depreciation'!$E$5:$AD$5,0))</f>
        <v>220610</v>
      </c>
      <c r="BX532" s="118">
        <f>INDEX('Gen. Plant Depreciation'!$E$7:$AD$94,MATCH($C532,'Gen. Plant Depreciation'!$D$7:$D$94,0),MATCH(Calculation!$G532,'Gen. Plant Depreciation'!$E$5:$AD$5,0))</f>
        <v>5462</v>
      </c>
      <c r="BY532" s="118"/>
      <c r="BZ532" s="118"/>
      <c r="CA532" s="118"/>
      <c r="CB532" s="118"/>
      <c r="CC532" s="118"/>
      <c r="CD532" s="118"/>
      <c r="CE532" s="118">
        <f>INDEX('Gross Dx Plant'!$E$7:$AD$91,MATCH($C532,'Gross Dx Plant'!$D$7:$D$91,0),MATCH(Calculation!$G532,'Gross Dx Plant'!$E$5:$AD$5,0))</f>
        <v>756502</v>
      </c>
      <c r="CF532" s="118">
        <f>INDEX('Gross Gen Plant'!$E$7:$AD$91,MATCH($C532,'Gross Gen Plant'!$D$7:$D$91,0),MATCH(Calculation!$G532,'Gross Gen Plant'!$E$5:$AD$5,0))</f>
        <v>10992</v>
      </c>
      <c r="CG532" s="118">
        <f t="shared" si="1516"/>
        <v>541422</v>
      </c>
      <c r="CH532" s="118"/>
      <c r="CI532" s="121">
        <v>2014</v>
      </c>
      <c r="CJ532" s="118"/>
      <c r="CK532" s="118"/>
      <c r="CL532" s="118"/>
      <c r="CM532" s="183"/>
      <c r="CN532" s="118">
        <f t="shared" si="1491"/>
        <v>65973</v>
      </c>
      <c r="CO532" s="118">
        <f t="shared" si="1492"/>
        <v>96.385645268477077</v>
      </c>
      <c r="CP532" s="186">
        <v>0.89743589743589747</v>
      </c>
      <c r="CQ532" s="118">
        <f>+CQ516*CP532+CO517*CP531+CO518*CP530+CO519*CP529+CO520*CP528+CO521*CP527+CO522*CP526+CO523*CP525+CO524*CP524+CO525*CP523+CO526*CP522+CO527*CP521+CO528*CP520+CO529*CP519+CO530*CP518+CO531*CP517+CO532</f>
        <v>1926.1720211771196</v>
      </c>
      <c r="CR532" s="119">
        <f t="shared" si="1493"/>
        <v>4.3591327450919176E-2</v>
      </c>
      <c r="CS532" s="119"/>
      <c r="CT532" s="177">
        <f t="shared" si="1494"/>
        <v>7.7141635569141307E-3</v>
      </c>
      <c r="CU532" s="177">
        <f t="shared" si="1502"/>
        <v>7.5152049117751564E-3</v>
      </c>
      <c r="CV532" s="119">
        <f>VLOOKUP($H532,RoR!$E:$F,2,FALSE)</f>
        <v>4.1625000000000002E-2</v>
      </c>
      <c r="CW532" s="177">
        <v>1.841352814597208E-2</v>
      </c>
      <c r="CX532" s="177">
        <f t="shared" si="1500"/>
        <v>2.3211471854027922E-2</v>
      </c>
      <c r="CY532" s="177">
        <f t="shared" si="1503"/>
        <v>2.3386736696758469E-2</v>
      </c>
      <c r="CZ532" s="177">
        <f t="shared" si="1504"/>
        <v>3.9072621432650924E-2</v>
      </c>
      <c r="DA532" s="187">
        <f t="shared" si="1495"/>
        <v>0.85270312375000001</v>
      </c>
      <c r="DB532" s="188">
        <f t="shared" si="1496"/>
        <v>1.2320012320012319</v>
      </c>
      <c r="DC532" s="188">
        <f t="shared" si="1497"/>
        <v>0.37439939939939942</v>
      </c>
      <c r="DD532" s="188">
        <f t="shared" si="1498"/>
        <v>0.80432100613819935</v>
      </c>
      <c r="DE532" s="188">
        <f t="shared" si="1499"/>
        <v>0.37100152660040037</v>
      </c>
      <c r="DF532" s="189">
        <f>INDEX('State Tax Lookup'!$D$7:$Z$91,MATCH(Calculation!$C532,'State Tax Lookup'!$B$7:$B$91,0),MATCH($H532,'State Tax Lookup'!$D$6:$Z$6,0))</f>
        <v>0.39279166999999998</v>
      </c>
      <c r="DG532" s="189">
        <v>0.375</v>
      </c>
      <c r="DH532" s="190">
        <f t="shared" si="1501"/>
        <v>22.424474288451787</v>
      </c>
      <c r="DI532" s="190">
        <v>22.10596752927227</v>
      </c>
      <c r="DJ532" s="177"/>
      <c r="DK532" s="189">
        <f>VLOOKUP($H532,RoR!$E:$F,2,FALSE)</f>
        <v>4.1625000000000002E-2</v>
      </c>
      <c r="DL532" s="191">
        <f>HLOOKUP($H532,'GDP-PI'!$D$8:$CQ$11,3,FALSE)</f>
        <v>1.841352814597208E-2</v>
      </c>
      <c r="DM532" s="189">
        <f>VLOOKUP(H532,'HW Dx Data'!$E:$F,2,FALSE)</f>
        <v>684.46914285042885</v>
      </c>
      <c r="DN532" s="183">
        <f>VLOOKUP(H532,'ECI - Input Price'!$G$17:$H$37,2,FALSE)</f>
        <v>121.2</v>
      </c>
      <c r="DO532" s="177">
        <f t="shared" ref="DO532" si="1545">LN(DN532/DN531)</f>
        <v>2.0632179200028689E-2</v>
      </c>
      <c r="DP532" s="183">
        <f>HLOOKUP(H532,'GDP-PI'!$8:$9,2,FALSE)</f>
        <v>103.64700000000001</v>
      </c>
      <c r="DQ532" s="177">
        <f t="shared" ref="DQ532" si="1546">LN(DP532/DP531)</f>
        <v>1.8246051898256087E-2</v>
      </c>
    </row>
    <row r="533" spans="1:121" s="167" customFormat="1" ht="21" x14ac:dyDescent="0.35">
      <c r="A533" s="167" t="s">
        <v>65</v>
      </c>
      <c r="B533" s="168" t="s">
        <v>65</v>
      </c>
      <c r="C533" s="168">
        <v>4057090</v>
      </c>
      <c r="D533" s="168" t="s">
        <v>141</v>
      </c>
      <c r="E533" s="168"/>
      <c r="F533" s="168"/>
      <c r="G533" s="168" t="s">
        <v>21</v>
      </c>
      <c r="H533" s="169">
        <v>2015</v>
      </c>
      <c r="I533" s="170"/>
      <c r="J533" s="166">
        <f>IFERROR(INDEX('Labor Expenditures'!$F$7:$X$91,MATCH($C533,'Labor Expenditures'!$D$7:$D$91,0),MATCH($G533,'Labor Expenditures'!$F$5:$X$5,0)),"NA")</f>
        <v>25045.778547787264</v>
      </c>
      <c r="K533" s="166">
        <f t="shared" si="1507"/>
        <v>202.390129679089</v>
      </c>
      <c r="L533" s="172">
        <f t="shared" si="1514"/>
        <v>5.7970720617444085E-2</v>
      </c>
      <c r="M533" s="172">
        <f t="shared" si="1519"/>
        <v>5.2286008799358387E-4</v>
      </c>
      <c r="N533" s="196"/>
      <c r="O533" s="172"/>
      <c r="P533" s="166">
        <f>IFERROR(INDEX('Non-Labor Expenditures'!$F$7:$AB$91,MATCH($C533,'Non-Labor Expenditures'!$D$7:$D$91,0),MATCH($G533,'Non-Labor Expenditures'!$F$5:$AB$5,0)),"NA")</f>
        <v>36270.965243360668</v>
      </c>
      <c r="Q533" s="166">
        <f t="shared" si="1508"/>
        <v>346.62950948843803</v>
      </c>
      <c r="R533" s="172">
        <f t="shared" si="1520"/>
        <v>6.9266612245586862E-2</v>
      </c>
      <c r="S533" s="172">
        <f t="shared" si="1524"/>
        <v>6.2474205233265542E-4</v>
      </c>
      <c r="T533" s="172"/>
      <c r="U533" s="172"/>
      <c r="V533" s="166">
        <f t="shared" si="1489"/>
        <v>42358.693120770477</v>
      </c>
      <c r="W533" s="170"/>
      <c r="X533" s="174">
        <v>2014.114813150989</v>
      </c>
      <c r="Y533" s="175">
        <v>4.4645175553856227E-2</v>
      </c>
      <c r="Z533" s="175">
        <f t="shared" si="1525"/>
        <v>4.0267190350492247E-4</v>
      </c>
      <c r="AA533" s="175"/>
      <c r="AB533" s="175"/>
      <c r="AC533" s="170">
        <f t="shared" si="1475"/>
        <v>103675.43691191841</v>
      </c>
      <c r="AD533" s="175">
        <f t="shared" si="1521"/>
        <v>5.607441270380227E-2</v>
      </c>
      <c r="AE533" s="170"/>
      <c r="AF533" s="170"/>
      <c r="AG533" s="174"/>
      <c r="AH533" s="119">
        <f>+AZ533/$BB$53</f>
        <v>8.6905716089038902E-3</v>
      </c>
      <c r="AI533" s="175"/>
      <c r="AJ533" s="176">
        <f t="shared" si="1526"/>
        <v>0</v>
      </c>
      <c r="AK533" s="176">
        <f t="shared" si="1527"/>
        <v>0</v>
      </c>
      <c r="AL533" s="120">
        <f t="shared" si="1509"/>
        <v>0.24157871231414149</v>
      </c>
      <c r="AM533" s="120">
        <f t="shared" si="1510"/>
        <v>0.34985109611041337</v>
      </c>
      <c r="AN533" s="120">
        <f t="shared" si="1511"/>
        <v>0.40857019157544511</v>
      </c>
      <c r="AO533" s="120">
        <f t="shared" si="1515"/>
        <v>5.6345286472100548E-2</v>
      </c>
      <c r="AP533" s="173">
        <f t="shared" si="1531"/>
        <v>125.18188919328495</v>
      </c>
      <c r="AQ533" s="175">
        <f t="shared" si="1532"/>
        <v>5.6345286472100589E-2</v>
      </c>
      <c r="AR533" s="177">
        <f>+AC533/$AE$53</f>
        <v>9.0193822402864689E-3</v>
      </c>
      <c r="AS533" s="177">
        <f t="shared" si="1528"/>
        <v>5.0819967613031751E-4</v>
      </c>
      <c r="AT533" s="177"/>
      <c r="AU533" s="177"/>
      <c r="AV533" s="177"/>
      <c r="AW533" s="190"/>
      <c r="AX533" s="120"/>
      <c r="AY533" s="120"/>
      <c r="AZ533" s="118">
        <f>IFERROR(INDEX('Total Customers'!$F$7:$AB$91,MATCH($C533,'Total Customers'!$D$7:$D$91,0),MATCH($G533,'Total Customers'!$F$5:$AB$5,0)),"NA")</f>
        <v>321006</v>
      </c>
      <c r="BA533" s="119">
        <f t="shared" si="1490"/>
        <v>3.3294619215977115E-3</v>
      </c>
      <c r="BB533" s="119"/>
      <c r="BC533" s="121"/>
      <c r="BD533" s="119"/>
      <c r="BE533" s="119"/>
      <c r="BF533" s="119"/>
      <c r="BG533" s="173"/>
      <c r="BH533" s="173"/>
      <c r="BI533" s="173"/>
      <c r="BJ533" s="173"/>
      <c r="BK533" s="173"/>
      <c r="BL533" s="173"/>
      <c r="BM533" s="173"/>
      <c r="BN533" s="173"/>
      <c r="BO533" s="173"/>
      <c r="BP533" s="173"/>
      <c r="BQ533" s="118"/>
      <c r="BR533" s="118"/>
      <c r="BS533" s="118">
        <f>INDEX('Dist. Plant Gas Additions'!$F$7:$AE$91,MATCH($C533,'Dist. Plant Gas Additions'!$D$7:$D$91,0),MATCH(Calculation!$G533,'Dist. Plant Gas Additions'!$F$5:$AE$5,0))</f>
        <v>69167</v>
      </c>
      <c r="BT533" s="118">
        <f>INDEX('Gen. Plant Additions'!$F$7:$AE$91,MATCH($C533,'Gen. Plant Additions'!$D$7:$D$91,0),MATCH(Calculation!$G533,'Gen. Plant Additions'!$F$5:$AE$5,0))</f>
        <v>539</v>
      </c>
      <c r="BU533" s="118"/>
      <c r="BV533" s="118"/>
      <c r="BW533" s="118">
        <f>INDEX('Dist Plant Depreciation'!$E$7:$AD$94,MATCH($C533,'Dist Plant Depreciation'!$D$7:$D$94,0),MATCH(Calculation!$G533,'Dist Plant Depreciation'!$E$5:$AD$5,0))</f>
        <v>234892</v>
      </c>
      <c r="BX533" s="118">
        <f>INDEX('Gen. Plant Depreciation'!$E$7:$AD$94,MATCH($C533,'Gen. Plant Depreciation'!$D$7:$D$94,0),MATCH(Calculation!$G533,'Gen. Plant Depreciation'!$E$5:$AD$5,0))</f>
        <v>5601</v>
      </c>
      <c r="BY533" s="118"/>
      <c r="BZ533" s="118"/>
      <c r="CA533" s="118"/>
      <c r="CB533" s="118"/>
      <c r="CC533" s="118"/>
      <c r="CD533" s="118"/>
      <c r="CE533" s="118">
        <f>INDEX('Gross Dx Plant'!$E$7:$AD$91,MATCH($C533,'Gross Dx Plant'!$D$7:$D$91,0),MATCH(Calculation!$G533,'Gross Dx Plant'!$E$5:$AD$5,0))</f>
        <v>818369</v>
      </c>
      <c r="CF533" s="118">
        <f>INDEX('Gross Gen Plant'!$E$7:$AD$91,MATCH($C533,'Gross Gen Plant'!$D$7:$D$91,0),MATCH(Calculation!$G533,'Gross Gen Plant'!$E$5:$AD$5,0))</f>
        <v>11065</v>
      </c>
      <c r="CG533" s="118">
        <f t="shared" si="1516"/>
        <v>588941</v>
      </c>
      <c r="CH533" s="118"/>
      <c r="CI533" s="121">
        <v>2015</v>
      </c>
      <c r="CJ533" s="118"/>
      <c r="CK533" s="118"/>
      <c r="CL533" s="118"/>
      <c r="CM533" s="183"/>
      <c r="CN533" s="118">
        <f t="shared" si="1491"/>
        <v>69706</v>
      </c>
      <c r="CO533" s="118">
        <f t="shared" si="1492"/>
        <v>103.17420107012269</v>
      </c>
      <c r="CP533" s="186">
        <v>0.88888888888888884</v>
      </c>
      <c r="CQ533" s="118">
        <f>+CQ516*CP533+CO517*CP532+CO518*CP531+CO519*CP530+CO520*CP529+CO521*CP528+CO522*CP527+CO523*CP526+CO524*CP525+CO525*CP524+CO526*CP523+CO527*CP522+CO528*CP521+CO529*CP520+CO530*CP519+CO531*CP518+CO532*CP517+CO533</f>
        <v>2014.114813150989</v>
      </c>
      <c r="CR533" s="119">
        <f t="shared" si="1493"/>
        <v>4.4645175553856227E-2</v>
      </c>
      <c r="CS533" s="119"/>
      <c r="CT533" s="177">
        <f t="shared" si="1494"/>
        <v>7.9076058258520081E-3</v>
      </c>
      <c r="CU533" s="177">
        <f t="shared" si="1502"/>
        <v>7.7180623597798764E-3</v>
      </c>
      <c r="CV533" s="119">
        <f>VLOOKUP($H533,RoR!$E:$F,2,FALSE)</f>
        <v>3.8866666666666674E-2</v>
      </c>
      <c r="CW533" s="177">
        <v>9.5709475431029478E-3</v>
      </c>
      <c r="CX533" s="177">
        <f t="shared" si="1500"/>
        <v>2.9295719123563727E-2</v>
      </c>
      <c r="CY533" s="177">
        <f t="shared" si="1503"/>
        <v>2.3183879248753748E-2</v>
      </c>
      <c r="CZ533" s="177">
        <f t="shared" si="1504"/>
        <v>3.5270373279175926E-3</v>
      </c>
      <c r="DA533" s="187">
        <f t="shared" si="1495"/>
        <v>0.85270312375000001</v>
      </c>
      <c r="DB533" s="188">
        <f t="shared" si="1496"/>
        <v>1.3194352816994324</v>
      </c>
      <c r="DC533" s="188">
        <f t="shared" si="1497"/>
        <v>0.33177530017152673</v>
      </c>
      <c r="DD533" s="188">
        <f t="shared" si="1498"/>
        <v>0.78242572977668579</v>
      </c>
      <c r="DE533" s="188">
        <f t="shared" si="1499"/>
        <v>0.34251158643433932</v>
      </c>
      <c r="DF533" s="189">
        <f>INDEX('State Tax Lookup'!$D$7:$Z$91,MATCH(Calculation!$C533,'State Tax Lookup'!$B$7:$B$91,0),MATCH($H533,'State Tax Lookup'!$D$6:$Z$6,0))</f>
        <v>0.39279166999999998</v>
      </c>
      <c r="DG533" s="189">
        <v>0.375</v>
      </c>
      <c r="DH533" s="190">
        <f t="shared" si="1501"/>
        <v>21.991126781544821</v>
      </c>
      <c r="DI533" s="190">
        <v>21.65834226819694</v>
      </c>
      <c r="DJ533" s="177"/>
      <c r="DK533" s="189">
        <f>VLOOKUP($H533,RoR!$E:$F,2,FALSE)</f>
        <v>3.8866666666666674E-2</v>
      </c>
      <c r="DL533" s="191">
        <f>HLOOKUP($H533,'GDP-PI'!$D$8:$CQ$11,3,FALSE)</f>
        <v>9.5709475431029478E-3</v>
      </c>
      <c r="DM533" s="189">
        <f>VLOOKUP(H533,'HW Dx Data'!$E:$F,2,FALSE)</f>
        <v>675.61463308665782</v>
      </c>
      <c r="DN533" s="183">
        <f>VLOOKUP(H533,'ECI - Input Price'!$G$17:$H$37,2,FALSE)</f>
        <v>123.75</v>
      </c>
      <c r="DO533" s="177">
        <f t="shared" ref="DO533" si="1547">LN(DN533/DN532)</f>
        <v>2.0821327813585516E-2</v>
      </c>
      <c r="DP533" s="183">
        <f>HLOOKUP(H533,'GDP-PI'!$8:$9,2,FALSE)</f>
        <v>104.639</v>
      </c>
      <c r="DQ533" s="177">
        <f t="shared" ref="DQ533" si="1548">LN(DP533/DP532)</f>
        <v>9.5254361854427965E-3</v>
      </c>
    </row>
    <row r="534" spans="1:121" s="167" customFormat="1" ht="21" x14ac:dyDescent="0.35">
      <c r="A534" s="167" t="s">
        <v>65</v>
      </c>
      <c r="B534" s="168" t="s">
        <v>65</v>
      </c>
      <c r="C534" s="168">
        <v>4057090</v>
      </c>
      <c r="D534" s="168" t="s">
        <v>141</v>
      </c>
      <c r="E534" s="168"/>
      <c r="F534" s="168"/>
      <c r="G534" s="168" t="s">
        <v>22</v>
      </c>
      <c r="H534" s="169">
        <v>2016</v>
      </c>
      <c r="I534" s="170"/>
      <c r="J534" s="166">
        <f>IFERROR(INDEX('Labor Expenditures'!$F$7:$X$91,MATCH($C534,'Labor Expenditures'!$D$7:$D$91,0),MATCH($G534,'Labor Expenditures'!$F$5:$X$5,0)),"NA")</f>
        <v>24034.199941655468</v>
      </c>
      <c r="K534" s="166">
        <f t="shared" si="1507"/>
        <v>190.14398688018565</v>
      </c>
      <c r="L534" s="172">
        <f t="shared" si="1514"/>
        <v>-6.2415558975747652E-2</v>
      </c>
      <c r="M534" s="172">
        <f t="shared" si="1519"/>
        <v>-5.376986867991916E-4</v>
      </c>
      <c r="N534" s="196"/>
      <c r="O534" s="172"/>
      <c r="P534" s="166">
        <f>IFERROR(INDEX('Non-Labor Expenditures'!$F$7:$AB$91,MATCH($C534,'Non-Labor Expenditures'!$D$7:$D$91,0),MATCH($G534,'Non-Labor Expenditures'!$F$5:$AB$5,0)),"NA")</f>
        <v>34806.010484860053</v>
      </c>
      <c r="Q534" s="166">
        <f t="shared" si="1508"/>
        <v>329.17843009816954</v>
      </c>
      <c r="R534" s="172">
        <f t="shared" si="1520"/>
        <v>-5.1656569078995108E-2</v>
      </c>
      <c r="S534" s="172">
        <f t="shared" si="1524"/>
        <v>-4.4501194596558813E-4</v>
      </c>
      <c r="T534" s="172"/>
      <c r="U534" s="172"/>
      <c r="V534" s="166">
        <f t="shared" si="1489"/>
        <v>43657.912984494847</v>
      </c>
      <c r="W534" s="170"/>
      <c r="X534" s="174">
        <v>2110.3003936760147</v>
      </c>
      <c r="Y534" s="175">
        <v>4.6650503831561128E-2</v>
      </c>
      <c r="Z534" s="175">
        <f t="shared" si="1525"/>
        <v>4.0188560449322809E-4</v>
      </c>
      <c r="AA534" s="175"/>
      <c r="AB534" s="175"/>
      <c r="AC534" s="170">
        <f t="shared" si="1475"/>
        <v>102498.12341101037</v>
      </c>
      <c r="AD534" s="175">
        <f t="shared" si="1521"/>
        <v>-1.1420730143620097E-2</v>
      </c>
      <c r="AE534" s="170"/>
      <c r="AF534" s="170"/>
      <c r="AG534" s="174"/>
      <c r="AH534" s="119">
        <f>+AZ534/$BB$54</f>
        <v>8.6562516636315111E-3</v>
      </c>
      <c r="AI534" s="175"/>
      <c r="AJ534" s="176">
        <f t="shared" si="1526"/>
        <v>0</v>
      </c>
      <c r="AK534" s="176">
        <f t="shared" si="1527"/>
        <v>0</v>
      </c>
      <c r="AL534" s="120">
        <f t="shared" si="1509"/>
        <v>0.2344842924126522</v>
      </c>
      <c r="AM534" s="120">
        <f t="shared" si="1510"/>
        <v>0.33957705103819669</v>
      </c>
      <c r="AN534" s="120">
        <f t="shared" si="1511"/>
        <v>0.42593865654915108</v>
      </c>
      <c r="AO534" s="120">
        <f t="shared" si="1515"/>
        <v>-1.3198486519487237E-2</v>
      </c>
      <c r="AP534" s="173">
        <f t="shared" si="1531"/>
        <v>123.54053325038075</v>
      </c>
      <c r="AQ534" s="175">
        <f t="shared" si="1532"/>
        <v>-1.3198486519487282E-2</v>
      </c>
      <c r="AR534" s="177">
        <f>+AC534/$AE$54</f>
        <v>8.6148180938044813E-3</v>
      </c>
      <c r="AS534" s="177">
        <f t="shared" si="1528"/>
        <v>-1.1370256047891357E-4</v>
      </c>
      <c r="AT534" s="177"/>
      <c r="AU534" s="177"/>
      <c r="AV534" s="177"/>
      <c r="AW534" s="190"/>
      <c r="AX534" s="120"/>
      <c r="AY534" s="120"/>
      <c r="AZ534" s="118">
        <f>IFERROR(INDEX('Total Customers'!$F$7:$AB$91,MATCH($C534,'Total Customers'!$D$7:$D$91,0),MATCH($G534,'Total Customers'!$F$5:$AB$5,0)),"NA")</f>
        <v>322525</v>
      </c>
      <c r="BA534" s="119">
        <f t="shared" si="1490"/>
        <v>4.7208380670849251E-3</v>
      </c>
      <c r="BB534" s="119"/>
      <c r="BC534" s="121"/>
      <c r="BD534" s="119"/>
      <c r="BE534" s="119"/>
      <c r="BF534" s="119"/>
      <c r="BG534" s="173"/>
      <c r="BH534" s="173"/>
      <c r="BI534" s="173"/>
      <c r="BJ534" s="173"/>
      <c r="BK534" s="173"/>
      <c r="BL534" s="173"/>
      <c r="BM534" s="173"/>
      <c r="BN534" s="173"/>
      <c r="BO534" s="173"/>
      <c r="BP534" s="173"/>
      <c r="BQ534" s="118"/>
      <c r="BR534" s="118"/>
      <c r="BS534" s="118">
        <f>INDEX('Dist. Plant Gas Additions'!$F$7:$AE$91,MATCH($C534,'Dist. Plant Gas Additions'!$D$7:$D$91,0),MATCH(Calculation!$G534,'Dist. Plant Gas Additions'!$F$5:$AE$5,0))</f>
        <v>74085</v>
      </c>
      <c r="BT534" s="118">
        <f>INDEX('Gen. Plant Additions'!$F$7:$AE$91,MATCH($C534,'Gen. Plant Additions'!$D$7:$D$91,0),MATCH(Calculation!$G534,'Gen. Plant Additions'!$F$5:$AE$5,0))</f>
        <v>1455</v>
      </c>
      <c r="BU534" s="118"/>
      <c r="BV534" s="118"/>
      <c r="BW534" s="118">
        <f>INDEX('Dist Plant Depreciation'!$E$7:$AD$94,MATCH($C534,'Dist Plant Depreciation'!$D$7:$D$94,0),MATCH(Calculation!$G534,'Dist Plant Depreciation'!$E$5:$AD$5,0))</f>
        <v>249222</v>
      </c>
      <c r="BX534" s="118">
        <f>INDEX('Gen. Plant Depreciation'!$E$7:$AD$94,MATCH($C534,'Gen. Plant Depreciation'!$D$7:$D$94,0),MATCH(Calculation!$G534,'Gen. Plant Depreciation'!$E$5:$AD$5,0))</f>
        <v>5752</v>
      </c>
      <c r="BY534" s="118"/>
      <c r="BZ534" s="118"/>
      <c r="CA534" s="118"/>
      <c r="CB534" s="118"/>
      <c r="CC534" s="118"/>
      <c r="CD534" s="118"/>
      <c r="CE534" s="118">
        <f>INDEX('Gross Dx Plant'!$E$7:$AD$91,MATCH($C534,'Gross Dx Plant'!$D$7:$D$91,0),MATCH(Calculation!$G534,'Gross Dx Plant'!$E$5:$AD$5,0))</f>
        <v>883475</v>
      </c>
      <c r="CF534" s="118">
        <f>INDEX('Gross Gen Plant'!$E$7:$AD$91,MATCH($C534,'Gross Gen Plant'!$D$7:$D$91,0),MATCH(Calculation!$G534,'Gross Gen Plant'!$E$5:$AD$5,0))</f>
        <v>12101</v>
      </c>
      <c r="CG534" s="118">
        <f t="shared" si="1516"/>
        <v>640602</v>
      </c>
      <c r="CH534" s="118"/>
      <c r="CI534" s="121">
        <v>2016</v>
      </c>
      <c r="CJ534" s="118"/>
      <c r="CK534" s="118"/>
      <c r="CL534" s="118"/>
      <c r="CM534" s="183"/>
      <c r="CN534" s="118">
        <f t="shared" si="1491"/>
        <v>75540</v>
      </c>
      <c r="CO534" s="118">
        <f t="shared" si="1492"/>
        <v>112.50172117026951</v>
      </c>
      <c r="CP534" s="186">
        <v>0.88</v>
      </c>
      <c r="CQ534" s="118">
        <f>+CQ516*CP534+CO517*CP533+CO518*CP532+CO519*CP531+CO520*CP530+CO521*CP529+CO522*CP528+CO523*CP527+CO524*CP526+CO525*CP525+CO526*CP524+CO527*CP523+CO528*CP522+CO529*CP521+CO530*CP520+CO531*CP519+CO532*CP518+CO533*CP517+CO534</f>
        <v>2110.3003936760147</v>
      </c>
      <c r="CR534" s="119">
        <f t="shared" si="1493"/>
        <v>4.6650503831561128E-2</v>
      </c>
      <c r="CS534" s="119"/>
      <c r="CT534" s="177">
        <f t="shared" si="1494"/>
        <v>8.1008989848587575E-3</v>
      </c>
      <c r="CU534" s="177">
        <f t="shared" si="1502"/>
        <v>7.9075561225416327E-3</v>
      </c>
      <c r="CV534" s="119">
        <f>VLOOKUP($H534,RoR!$E:$F,2,FALSE)</f>
        <v>3.6658333333333334E-2</v>
      </c>
      <c r="CW534" s="177">
        <v>1.0483662879041455E-2</v>
      </c>
      <c r="CX534" s="177">
        <f t="shared" si="1500"/>
        <v>2.6174670454291879E-2</v>
      </c>
      <c r="CY534" s="177">
        <f t="shared" si="1503"/>
        <v>2.2994385485991992E-2</v>
      </c>
      <c r="CZ534" s="177">
        <f t="shared" si="1504"/>
        <v>4.301363574220729E-3</v>
      </c>
      <c r="DA534" s="187">
        <f t="shared" si="1495"/>
        <v>0.85270312375000001</v>
      </c>
      <c r="DB534" s="188">
        <f t="shared" si="1496"/>
        <v>1.3989193348138562</v>
      </c>
      <c r="DC534" s="188">
        <f t="shared" si="1497"/>
        <v>0.29302682427824522</v>
      </c>
      <c r="DD534" s="188">
        <f t="shared" si="1498"/>
        <v>0.76309497491941802</v>
      </c>
      <c r="DE534" s="188">
        <f t="shared" si="1499"/>
        <v>0.31280857135128509</v>
      </c>
      <c r="DF534" s="189">
        <f>INDEX('State Tax Lookup'!$D$7:$Z$91,MATCH(Calculation!$C534,'State Tax Lookup'!$B$7:$B$91,0),MATCH($H534,'State Tax Lookup'!$D$6:$Z$6,0))</f>
        <v>0.39279166999999998</v>
      </c>
      <c r="DG534" s="189">
        <v>0.375</v>
      </c>
      <c r="DH534" s="190">
        <f t="shared" si="1501"/>
        <v>21.675980286443586</v>
      </c>
      <c r="DI534" s="190">
        <v>21.316995076586938</v>
      </c>
      <c r="DJ534" s="177"/>
      <c r="DK534" s="189">
        <f>VLOOKUP($H534,RoR!$E:$F,2,FALSE)</f>
        <v>3.6658333333333334E-2</v>
      </c>
      <c r="DL534" s="191">
        <f>HLOOKUP($H534,'GDP-PI'!$D$8:$CQ$11,3,FALSE)</f>
        <v>1.0483662879041455E-2</v>
      </c>
      <c r="DM534" s="189">
        <f>VLOOKUP(H534,'HW Dx Data'!$E:$F,2,FALSE)</f>
        <v>671.45639385971219</v>
      </c>
      <c r="DN534" s="183">
        <f>VLOOKUP(H534,'ECI - Input Price'!$G$17:$H$37,2,FALSE)</f>
        <v>126.4</v>
      </c>
      <c r="DO534" s="177">
        <f t="shared" ref="DO534" si="1549">LN(DN534/DN533)</f>
        <v>2.11880802639575E-2</v>
      </c>
      <c r="DP534" s="183">
        <f>HLOOKUP(H534,'GDP-PI'!$8:$9,2,FALSE)</f>
        <v>105.736</v>
      </c>
      <c r="DQ534" s="177">
        <f t="shared" ref="DQ534" si="1550">LN(DP534/DP533)</f>
        <v>1.0429090367205095E-2</v>
      </c>
    </row>
    <row r="535" spans="1:121" s="167" customFormat="1" ht="21" x14ac:dyDescent="0.35">
      <c r="A535" s="167" t="s">
        <v>65</v>
      </c>
      <c r="B535" s="168" t="s">
        <v>65</v>
      </c>
      <c r="C535" s="168">
        <v>4057090</v>
      </c>
      <c r="D535" s="168" t="s">
        <v>141</v>
      </c>
      <c r="E535" s="168"/>
      <c r="F535" s="168"/>
      <c r="G535" s="168" t="s">
        <v>23</v>
      </c>
      <c r="H535" s="169">
        <v>2017</v>
      </c>
      <c r="I535" s="170"/>
      <c r="J535" s="166">
        <f>IFERROR(INDEX('Labor Expenditures'!$F$7:$X$91,MATCH($C535,'Labor Expenditures'!$D$7:$D$91,0),MATCH($G535,'Labor Expenditures'!$F$5:$X$5,0)),"NA")</f>
        <v>25321.460239262091</v>
      </c>
      <c r="K535" s="166">
        <f t="shared" si="1507"/>
        <v>195.53251150009336</v>
      </c>
      <c r="L535" s="172">
        <f t="shared" si="1514"/>
        <v>2.7945053991670049E-2</v>
      </c>
      <c r="M535" s="172">
        <f t="shared" si="1519"/>
        <v>2.4409913304292266E-4</v>
      </c>
      <c r="N535" s="196"/>
      <c r="O535" s="172"/>
      <c r="P535" s="166">
        <f>IFERROR(INDEX('Non-Labor Expenditures'!$F$7:$AB$91,MATCH($C535,'Non-Labor Expenditures'!$D$7:$D$91,0),MATCH($G535,'Non-Labor Expenditures'!$F$5:$AB$5,0)),"NA")</f>
        <v>36670.203822853655</v>
      </c>
      <c r="Q535" s="166">
        <f t="shared" si="1508"/>
        <v>340.32355915818556</v>
      </c>
      <c r="R535" s="172">
        <f t="shared" si="1520"/>
        <v>3.3296865190760222E-2</v>
      </c>
      <c r="S535" s="172">
        <f t="shared" si="1524"/>
        <v>2.9084702890659581E-4</v>
      </c>
      <c r="T535" s="172"/>
      <c r="U535" s="172"/>
      <c r="V535" s="166">
        <f t="shared" si="1489"/>
        <v>41494.738717278102</v>
      </c>
      <c r="W535" s="170"/>
      <c r="X535" s="174">
        <v>2182.8332012489686</v>
      </c>
      <c r="Y535" s="175">
        <v>3.3793362582796818E-2</v>
      </c>
      <c r="Z535" s="175">
        <f t="shared" si="1525"/>
        <v>2.9518391739463852E-4</v>
      </c>
      <c r="AA535" s="175"/>
      <c r="AB535" s="175"/>
      <c r="AC535" s="170">
        <f t="shared" si="1475"/>
        <v>103486.40277939384</v>
      </c>
      <c r="AD535" s="175">
        <f t="shared" si="1521"/>
        <v>9.5957397373511721E-3</v>
      </c>
      <c r="AE535" s="170"/>
      <c r="AF535" s="170"/>
      <c r="AG535" s="174"/>
      <c r="AH535" s="119">
        <f>+AZ535/$BB$55</f>
        <v>8.643504308396591E-3</v>
      </c>
      <c r="AI535" s="175"/>
      <c r="AJ535" s="176">
        <f t="shared" si="1526"/>
        <v>0</v>
      </c>
      <c r="AK535" s="176">
        <f t="shared" si="1527"/>
        <v>0</v>
      </c>
      <c r="AL535" s="120">
        <f t="shared" si="1509"/>
        <v>0.24468393488602433</v>
      </c>
      <c r="AM535" s="120">
        <f t="shared" si="1510"/>
        <v>0.35434803837007472</v>
      </c>
      <c r="AN535" s="120">
        <f t="shared" si="1511"/>
        <v>0.40096802674390103</v>
      </c>
      <c r="AO535" s="120">
        <f t="shared" si="1515"/>
        <v>3.2219934754063914E-2</v>
      </c>
      <c r="AP535" s="173">
        <f t="shared" si="1531"/>
        <v>127.5858206663179</v>
      </c>
      <c r="AQ535" s="175">
        <f t="shared" si="1532"/>
        <v>3.2219934754063893E-2</v>
      </c>
      <c r="AR535" s="177">
        <f>+AC535/$AE$55</f>
        <v>8.7349673081928737E-3</v>
      </c>
      <c r="AS535" s="177">
        <f t="shared" si="1528"/>
        <v>2.8144007674885552E-4</v>
      </c>
      <c r="AT535" s="177"/>
      <c r="AU535" s="177"/>
      <c r="AV535" s="177"/>
      <c r="AW535" s="190"/>
      <c r="AX535" s="120"/>
      <c r="AY535" s="120"/>
      <c r="AZ535" s="118">
        <f>IFERROR(INDEX('Total Customers'!$F$7:$AB$91,MATCH($C535,'Total Customers'!$D$7:$D$91,0),MATCH($G535,'Total Customers'!$F$5:$AB$5,0)),"NA")</f>
        <v>324488</v>
      </c>
      <c r="BA535" s="119">
        <f t="shared" si="1490"/>
        <v>6.0679028799851212E-3</v>
      </c>
      <c r="BB535" s="119"/>
      <c r="BC535" s="121"/>
      <c r="BD535" s="119"/>
      <c r="BE535" s="119"/>
      <c r="BF535" s="119"/>
      <c r="BG535" s="173"/>
      <c r="BH535" s="173"/>
      <c r="BI535" s="173"/>
      <c r="BJ535" s="173"/>
      <c r="BK535" s="173"/>
      <c r="BL535" s="173"/>
      <c r="BM535" s="173"/>
      <c r="BN535" s="173"/>
      <c r="BO535" s="173"/>
      <c r="BP535" s="173"/>
      <c r="BQ535" s="118"/>
      <c r="BR535" s="118"/>
      <c r="BS535" s="118">
        <f>INDEX('Dist. Plant Gas Additions'!$F$7:$AE$91,MATCH($C535,'Dist. Plant Gas Additions'!$D$7:$D$91,0),MATCH(Calculation!$G535,'Dist. Plant Gas Additions'!$F$5:$AE$5,0))</f>
        <v>63064</v>
      </c>
      <c r="BT535" s="118">
        <f>INDEX('Gen. Plant Additions'!$F$7:$AE$91,MATCH($C535,'Gen. Plant Additions'!$D$7:$D$91,0),MATCH(Calculation!$G535,'Gen. Plant Additions'!$F$5:$AE$5,0))</f>
        <v>1075</v>
      </c>
      <c r="BU535" s="118"/>
      <c r="BV535" s="118"/>
      <c r="BW535" s="118">
        <f>INDEX('Dist Plant Depreciation'!$E$7:$AD$94,MATCH($C535,'Dist Plant Depreciation'!$D$7:$D$94,0),MATCH(Calculation!$G535,'Dist Plant Depreciation'!$E$5:$AD$5,0))</f>
        <v>267951</v>
      </c>
      <c r="BX535" s="118">
        <f>INDEX('Gen. Plant Depreciation'!$E$7:$AD$94,MATCH($C535,'Gen. Plant Depreciation'!$D$7:$D$94,0),MATCH(Calculation!$G535,'Gen. Plant Depreciation'!$E$5:$AD$5,0))</f>
        <v>5689</v>
      </c>
      <c r="BY535" s="118"/>
      <c r="BZ535" s="118"/>
      <c r="CA535" s="118"/>
      <c r="CB535" s="118"/>
      <c r="CC535" s="118"/>
      <c r="CD535" s="118"/>
      <c r="CE535" s="118">
        <f>INDEX('Gross Dx Plant'!$E$7:$AD$91,MATCH($C535,'Gross Dx Plant'!$D$7:$D$91,0),MATCH(Calculation!$G535,'Gross Dx Plant'!$E$5:$AD$5,0))</f>
        <v>943963</v>
      </c>
      <c r="CF535" s="118">
        <f>INDEX('Gross Gen Plant'!$E$7:$AD$91,MATCH($C535,'Gross Gen Plant'!$D$7:$D$91,0),MATCH(Calculation!$G535,'Gross Gen Plant'!$E$5:$AD$5,0))</f>
        <v>12382</v>
      </c>
      <c r="CG535" s="118">
        <f t="shared" si="1516"/>
        <v>682705</v>
      </c>
      <c r="CH535" s="118"/>
      <c r="CI535" s="121">
        <v>2017</v>
      </c>
      <c r="CJ535" s="118"/>
      <c r="CK535" s="118"/>
      <c r="CL535" s="118"/>
      <c r="CM535" s="183"/>
      <c r="CN535" s="118">
        <f t="shared" si="1491"/>
        <v>64139</v>
      </c>
      <c r="CO535" s="118">
        <f t="shared" si="1492"/>
        <v>90.028673002825201</v>
      </c>
      <c r="CP535" s="186">
        <v>0.87074829931972786</v>
      </c>
      <c r="CQ535" s="118">
        <f>+CQ516*CP535+CO517*CP534+CO518*CP533+CO519*CP532+CO520*CP531+CO521*CP530+CO522*CP529+CO523*CP528+CO524*CP527+CO525*CP526+CO526*CP525+CO527*CP524+CO528*CP523+CO529*CP522+CO530*CP521+CO531*CP520+CO532*CP519+CO533*CP518+CO534*CP517+CO535</f>
        <v>2182.8332012489686</v>
      </c>
      <c r="CR535" s="119">
        <f t="shared" si="1493"/>
        <v>3.3793362582796818E-2</v>
      </c>
      <c r="CS535" s="119"/>
      <c r="CT535" s="177">
        <f t="shared" si="1494"/>
        <v>8.2906990314277011E-3</v>
      </c>
      <c r="CU535" s="177">
        <f t="shared" si="1502"/>
        <v>8.0997346140461567E-3</v>
      </c>
      <c r="CV535" s="119">
        <f>VLOOKUP($H535,RoR!$E:$F,2,FALSE)</f>
        <v>3.7433333333333339E-2</v>
      </c>
      <c r="CW535" s="177">
        <v>1.9056896421275615E-2</v>
      </c>
      <c r="CX535" s="177">
        <f t="shared" si="1500"/>
        <v>1.8376436912057724E-2</v>
      </c>
      <c r="CY535" s="177">
        <f t="shared" si="1503"/>
        <v>2.280220699448747E-2</v>
      </c>
      <c r="CZ535" s="177">
        <f t="shared" si="1504"/>
        <v>1.3976271617800498E-2</v>
      </c>
      <c r="DA535" s="187">
        <f t="shared" si="1495"/>
        <v>0.90520312375</v>
      </c>
      <c r="DB535" s="188">
        <f t="shared" si="1496"/>
        <v>1.3699568463593395</v>
      </c>
      <c r="DC535" s="188">
        <f t="shared" si="1497"/>
        <v>0.30714603739982199</v>
      </c>
      <c r="DD535" s="188">
        <f t="shared" si="1498"/>
        <v>0.77007188472689425</v>
      </c>
      <c r="DE535" s="188">
        <f t="shared" si="1499"/>
        <v>0.32402839633793828</v>
      </c>
      <c r="DF535" s="189">
        <f>INDEX('State Tax Lookup'!$D$7:$Z$91,MATCH(Calculation!$C535,'State Tax Lookup'!$B$7:$B$91,0),MATCH($H535,'State Tax Lookup'!$D$6:$Z$6,0))</f>
        <v>0.25279166999999997</v>
      </c>
      <c r="DG535" s="189">
        <v>0.375</v>
      </c>
      <c r="DH535" s="190">
        <f t="shared" si="1501"/>
        <v>19.662953597329714</v>
      </c>
      <c r="DI535" s="190">
        <v>19.372634982085771</v>
      </c>
      <c r="DJ535" s="177"/>
      <c r="DK535" s="189">
        <f>VLOOKUP($H535,RoR!$E:$F,2,FALSE)</f>
        <v>3.7433333333333339E-2</v>
      </c>
      <c r="DL535" s="191">
        <f>HLOOKUP($H535,'GDP-PI'!$D$8:$CQ$11,3,FALSE)</f>
        <v>1.9056896421275615E-2</v>
      </c>
      <c r="DM535" s="189">
        <f>VLOOKUP(H535,'HW Dx Data'!$E:$F,2,FALSE)</f>
        <v>712.42858370229726</v>
      </c>
      <c r="DN535" s="183">
        <f>VLOOKUP(H535,'ECI - Input Price'!$G$17:$H$37,2,FALSE)</f>
        <v>129.5</v>
      </c>
      <c r="DO535" s="177">
        <f t="shared" ref="DO535" si="1551">LN(DN535/DN534)</f>
        <v>2.4229399426835413E-2</v>
      </c>
      <c r="DP535" s="183">
        <f>HLOOKUP(H535,'GDP-PI'!$8:$9,2,FALSE)</f>
        <v>107.751</v>
      </c>
      <c r="DQ535" s="177">
        <f t="shared" ref="DQ535" si="1552">LN(DP535/DP534)</f>
        <v>1.8877588227745139E-2</v>
      </c>
    </row>
    <row r="536" spans="1:121" s="167" customFormat="1" ht="21" x14ac:dyDescent="0.35">
      <c r="A536" s="167" t="s">
        <v>65</v>
      </c>
      <c r="B536" s="168" t="s">
        <v>65</v>
      </c>
      <c r="C536" s="168">
        <v>4057090</v>
      </c>
      <c r="D536" s="168" t="s">
        <v>141</v>
      </c>
      <c r="E536" s="168"/>
      <c r="F536" s="168"/>
      <c r="G536" s="168" t="s">
        <v>24</v>
      </c>
      <c r="H536" s="169">
        <v>2018</v>
      </c>
      <c r="I536" s="170"/>
      <c r="J536" s="166">
        <f>IFERROR(INDEX('Labor Expenditures'!$F$7:$X$91,MATCH($C536,'Labor Expenditures'!$D$7:$D$91,0),MATCH($G536,'Labor Expenditures'!$F$5:$X$5,0)),"NA")</f>
        <v>27867.457434070646</v>
      </c>
      <c r="K536" s="166">
        <f t="shared" si="1507"/>
        <v>209.13664115625249</v>
      </c>
      <c r="L536" s="172">
        <f t="shared" si="1514"/>
        <v>6.7261158944382018E-2</v>
      </c>
      <c r="M536" s="172">
        <f t="shared" si="1519"/>
        <v>5.9127579332552262E-4</v>
      </c>
      <c r="N536" s="196"/>
      <c r="O536" s="172"/>
      <c r="P536" s="166">
        <f>IFERROR(INDEX('Non-Labor Expenditures'!$F$7:$AB$91,MATCH($C536,'Non-Labor Expenditures'!$D$7:$D$91,0),MATCH($G536,'Non-Labor Expenditures'!$F$5:$AB$5,0)),"NA")</f>
        <v>40357.283287618513</v>
      </c>
      <c r="Q536" s="166">
        <f t="shared" si="1508"/>
        <v>365.81355747374516</v>
      </c>
      <c r="R536" s="172">
        <f t="shared" si="1520"/>
        <v>7.2226988134234615E-2</v>
      </c>
      <c r="S536" s="172">
        <f t="shared" si="1524"/>
        <v>6.3492913858198845E-4</v>
      </c>
      <c r="T536" s="172"/>
      <c r="U536" s="172"/>
      <c r="V536" s="166">
        <f t="shared" si="1489"/>
        <v>45018.380215767684</v>
      </c>
      <c r="W536" s="170"/>
      <c r="X536" s="174">
        <v>2224.5455631474515</v>
      </c>
      <c r="Y536" s="175">
        <v>1.8928986867372148E-2</v>
      </c>
      <c r="Z536" s="175">
        <f t="shared" si="1525"/>
        <v>1.6639992385663016E-4</v>
      </c>
      <c r="AA536" s="175"/>
      <c r="AB536" s="175"/>
      <c r="AC536" s="170">
        <f t="shared" si="1475"/>
        <v>113243.12093745684</v>
      </c>
      <c r="AD536" s="175">
        <f t="shared" si="1521"/>
        <v>9.0096790281192579E-2</v>
      </c>
      <c r="AE536" s="170"/>
      <c r="AF536" s="170"/>
      <c r="AG536" s="174"/>
      <c r="AH536" s="119">
        <f>+AZ536/$BB$56</f>
        <v>8.602699441349752E-3</v>
      </c>
      <c r="AI536" s="175"/>
      <c r="AJ536" s="176">
        <f t="shared" si="1526"/>
        <v>0</v>
      </c>
      <c r="AK536" s="176">
        <f t="shared" si="1527"/>
        <v>0</v>
      </c>
      <c r="AL536" s="120">
        <f t="shared" si="1509"/>
        <v>0.24608521209391246</v>
      </c>
      <c r="AM536" s="120">
        <f t="shared" si="1510"/>
        <v>0.35637734948957717</v>
      </c>
      <c r="AN536" s="120">
        <f t="shared" si="1511"/>
        <v>0.39753743841651035</v>
      </c>
      <c r="AO536" s="120">
        <f t="shared" si="1515"/>
        <v>4.9729077609600499E-2</v>
      </c>
      <c r="AP536" s="173">
        <f t="shared" si="1531"/>
        <v>134.09095241104521</v>
      </c>
      <c r="AQ536" s="175">
        <f t="shared" si="1532"/>
        <v>4.9729077609600464E-2</v>
      </c>
      <c r="AR536" s="177">
        <f>+AC536/$AE$56</f>
        <v>8.7907464368023481E-3</v>
      </c>
      <c r="AS536" s="177">
        <f t="shared" si="1528"/>
        <v>4.3715571180206271E-4</v>
      </c>
      <c r="AT536" s="177"/>
      <c r="AU536" s="177"/>
      <c r="AV536" s="177"/>
      <c r="AW536" s="190"/>
      <c r="AX536" s="120"/>
      <c r="AY536" s="120"/>
      <c r="AZ536" s="118">
        <f>IFERROR(INDEX('Total Customers'!$F$7:$AB$91,MATCH($C536,'Total Customers'!$D$7:$D$91,0),MATCH($G536,'Total Customers'!$F$5:$AB$5,0)),"NA")</f>
        <v>325786</v>
      </c>
      <c r="BA536" s="119">
        <f t="shared" si="1490"/>
        <v>3.9921686055296732E-3</v>
      </c>
      <c r="BB536" s="119"/>
      <c r="BC536" s="121"/>
      <c r="BD536" s="119"/>
      <c r="BE536" s="119"/>
      <c r="BF536" s="119"/>
      <c r="BG536" s="173"/>
      <c r="BH536" s="173"/>
      <c r="BI536" s="173"/>
      <c r="BJ536" s="173"/>
      <c r="BK536" s="173"/>
      <c r="BL536" s="173"/>
      <c r="BM536" s="173"/>
      <c r="BN536" s="173"/>
      <c r="BO536" s="173"/>
      <c r="BP536" s="173"/>
      <c r="BQ536" s="118"/>
      <c r="BR536" s="118"/>
      <c r="BS536" s="118">
        <f>INDEX('Dist. Plant Gas Additions'!$F$7:$AE$91,MATCH($C536,'Dist. Plant Gas Additions'!$D$7:$D$91,0),MATCH(Calculation!$G536,'Dist. Plant Gas Additions'!$F$5:$AE$5,0))</f>
        <v>43630</v>
      </c>
      <c r="BT536" s="118">
        <f>INDEX('Gen. Plant Additions'!$F$7:$AE$91,MATCH($C536,'Gen. Plant Additions'!$D$7:$D$91,0),MATCH(Calculation!$G536,'Gen. Plant Additions'!$F$5:$AE$5,0))</f>
        <v>1927</v>
      </c>
      <c r="BU536" s="118"/>
      <c r="BV536" s="118"/>
      <c r="BW536" s="118">
        <f>INDEX('Dist Plant Depreciation'!$E$7:$AD$94,MATCH($C536,'Dist Plant Depreciation'!$D$7:$D$94,0),MATCH(Calculation!$G536,'Dist Plant Depreciation'!$E$5:$AD$5,0))</f>
        <v>286112</v>
      </c>
      <c r="BX536" s="118">
        <f>INDEX('Gen. Plant Depreciation'!$E$7:$AD$94,MATCH($C536,'Gen. Plant Depreciation'!$D$7:$D$94,0),MATCH(Calculation!$G536,'Gen. Plant Depreciation'!$E$5:$AD$5,0))</f>
        <v>5843</v>
      </c>
      <c r="BY536" s="118"/>
      <c r="BZ536" s="118"/>
      <c r="CA536" s="118"/>
      <c r="CB536" s="118"/>
      <c r="CC536" s="118"/>
      <c r="CD536" s="118"/>
      <c r="CE536" s="118">
        <f>INDEX('Gross Dx Plant'!$E$7:$AD$91,MATCH($C536,'Gross Dx Plant'!$D$7:$D$91,0),MATCH(Calculation!$G536,'Gross Dx Plant'!$E$5:$AD$5,0))</f>
        <v>984030</v>
      </c>
      <c r="CF536" s="118">
        <f>INDEX('Gross Gen Plant'!$E$7:$AD$91,MATCH($C536,'Gross Gen Plant'!$D$7:$D$91,0),MATCH(Calculation!$G536,'Gross Gen Plant'!$E$5:$AD$5,0))</f>
        <v>13897</v>
      </c>
      <c r="CG536" s="118">
        <f t="shared" si="1516"/>
        <v>705972</v>
      </c>
      <c r="CH536" s="118"/>
      <c r="CI536" s="121">
        <v>2018</v>
      </c>
      <c r="CJ536" s="118"/>
      <c r="CK536" s="118"/>
      <c r="CL536" s="118"/>
      <c r="CM536" s="183"/>
      <c r="CN536" s="118">
        <f t="shared" si="1491"/>
        <v>45557</v>
      </c>
      <c r="CO536" s="118">
        <f t="shared" si="1492"/>
        <v>60.329472974588413</v>
      </c>
      <c r="CP536" s="186">
        <v>0.86111111111111116</v>
      </c>
      <c r="CQ536" s="118">
        <f>+CQ516*CP536++CO517*CP535+CO518*CP534+CO519*CP533+CO520*CP532+CO521*CP531+CO522*CP530+CO523*CP529+CO524*CP528+CO525*CP527+CO526*CP526+CO527*CP525+CO528*CP524+CO529*CP523+CO530*CP522+CO531*CP521+CO532*CP520+CO533*CP519+CO534*CP518+CO535*CP517+CO536</f>
        <v>2224.5455631474515</v>
      </c>
      <c r="CR536" s="119">
        <f t="shared" si="1493"/>
        <v>1.8928986867372148E-2</v>
      </c>
      <c r="CS536" s="119"/>
      <c r="CT536" s="177">
        <f t="shared" si="1494"/>
        <v>8.528874796962611E-3</v>
      </c>
      <c r="CU536" s="177">
        <f t="shared" si="1502"/>
        <v>8.3068242710830232E-3</v>
      </c>
      <c r="CV536" s="119">
        <f>VLOOKUP($H536,RoR!$E:$F,2,FALSE)</f>
        <v>3.9299999999999995E-2</v>
      </c>
      <c r="CW536" s="177">
        <v>2.386056741932796E-2</v>
      </c>
      <c r="CX536" s="177">
        <f t="shared" si="1500"/>
        <v>1.5439432580672034E-2</v>
      </c>
      <c r="CY536" s="177">
        <f t="shared" si="1503"/>
        <v>2.25951173374506E-2</v>
      </c>
      <c r="CZ536" s="177">
        <f t="shared" si="1504"/>
        <v>3.8270792163076606E-2</v>
      </c>
      <c r="DA536" s="187">
        <f t="shared" si="1495"/>
        <v>0.90520312375</v>
      </c>
      <c r="DB536" s="188">
        <f t="shared" si="1496"/>
        <v>1.3048868010700074</v>
      </c>
      <c r="DC536" s="188">
        <f t="shared" si="1497"/>
        <v>0.33886768447837151</v>
      </c>
      <c r="DD536" s="188">
        <f t="shared" si="1498"/>
        <v>0.78602506232557801</v>
      </c>
      <c r="DE536" s="188">
        <f t="shared" si="1499"/>
        <v>0.34756768162358759</v>
      </c>
      <c r="DF536" s="189">
        <f>INDEX('State Tax Lookup'!$D$7:$Z$91,MATCH(Calculation!$C536,'State Tax Lookup'!$B$7:$B$91,0),MATCH($H536,'State Tax Lookup'!$D$6:$Z$6,0))</f>
        <v>0.25279166999999997</v>
      </c>
      <c r="DG536" s="189">
        <v>0.375</v>
      </c>
      <c r="DH536" s="190">
        <f t="shared" si="1501"/>
        <v>20.6238297044452</v>
      </c>
      <c r="DI536" s="190">
        <v>20.304394297936483</v>
      </c>
      <c r="DJ536" s="177"/>
      <c r="DK536" s="189">
        <f>VLOOKUP($H536,RoR!$E:$F,2,FALSE)</f>
        <v>3.9299999999999995E-2</v>
      </c>
      <c r="DL536" s="191">
        <f>HLOOKUP($H536,'GDP-PI'!$D$8:$CQ$11,3,FALSE)</f>
        <v>2.386056741932796E-2</v>
      </c>
      <c r="DM536" s="189">
        <f>VLOOKUP(H536,'HW Dx Data'!$E:$F,2,FALSE)</f>
        <v>755.13671434174842</v>
      </c>
      <c r="DN536" s="183">
        <f>VLOOKUP(H536,'ECI - Input Price'!$G$17:$H$37,2,FALSE)</f>
        <v>133.25</v>
      </c>
      <c r="DO536" s="177">
        <f t="shared" ref="DO536" si="1553">LN(DN536/DN535)</f>
        <v>2.8546181906361531E-2</v>
      </c>
      <c r="DP536" s="183">
        <f>HLOOKUP(H536,'GDP-PI'!$8:$9,2,FALSE)</f>
        <v>110.322</v>
      </c>
      <c r="DQ536" s="177">
        <f t="shared" ref="DQ536" si="1554">LN(DP536/DP535)</f>
        <v>2.3580352716508712E-2</v>
      </c>
    </row>
    <row r="537" spans="1:121" s="167" customFormat="1" ht="21" x14ac:dyDescent="0.35">
      <c r="A537" s="167" t="s">
        <v>65</v>
      </c>
      <c r="B537" s="168" t="s">
        <v>65</v>
      </c>
      <c r="C537" s="168">
        <v>4057090</v>
      </c>
      <c r="D537" s="168" t="s">
        <v>141</v>
      </c>
      <c r="E537" s="168"/>
      <c r="F537" s="168"/>
      <c r="G537" s="168" t="s">
        <v>25</v>
      </c>
      <c r="H537" s="169">
        <v>2019</v>
      </c>
      <c r="I537" s="170"/>
      <c r="J537" s="166">
        <f>IFERROR(INDEX('Labor Expenditures'!$F$7:$X$91,MATCH($C537,'Labor Expenditures'!$D$7:$D$91,0),MATCH($G537,'Labor Expenditures'!$F$5:$X$5,0)),"NA")</f>
        <v>30095.559873891547</v>
      </c>
      <c r="K537" s="166">
        <f t="shared" si="1507"/>
        <v>219.9164039012901</v>
      </c>
      <c r="L537" s="172">
        <f t="shared" si="1514"/>
        <v>5.0259668097111423E-2</v>
      </c>
      <c r="M537" s="172">
        <f t="shared" si="1519"/>
        <v>4.5452029142818256E-4</v>
      </c>
      <c r="N537" s="196"/>
      <c r="O537" s="172"/>
      <c r="P537" s="166">
        <f>IFERROR(INDEX('Non-Labor Expenditures'!$F$7:$AB$91,MATCH($C537,'Non-Labor Expenditures'!$D$7:$D$91,0),MATCH($G537,'Non-Labor Expenditures'!$F$5:$AB$5,0)),"NA")</f>
        <v>43583.991772611131</v>
      </c>
      <c r="Q537" s="166">
        <f t="shared" si="1508"/>
        <v>388.04102434704259</v>
      </c>
      <c r="R537" s="172">
        <f t="shared" si="1520"/>
        <v>5.898726908644393E-2</v>
      </c>
      <c r="S537" s="172">
        <f t="shared" si="1524"/>
        <v>5.3344782707118643E-4</v>
      </c>
      <c r="T537" s="172"/>
      <c r="U537" s="172"/>
      <c r="V537" s="166">
        <f t="shared" si="1489"/>
        <v>46464.692715734913</v>
      </c>
      <c r="W537" s="170"/>
      <c r="X537" s="174">
        <v>2269.9555414583588</v>
      </c>
      <c r="Y537" s="175">
        <v>2.0207592564814345E-2</v>
      </c>
      <c r="Z537" s="175">
        <f t="shared" si="1525"/>
        <v>1.8274615033021411E-4</v>
      </c>
      <c r="AA537" s="175"/>
      <c r="AB537" s="175"/>
      <c r="AC537" s="170">
        <f t="shared" si="1475"/>
        <v>120144.24436223759</v>
      </c>
      <c r="AD537" s="175">
        <f t="shared" si="1521"/>
        <v>5.9156037022600944E-2</v>
      </c>
      <c r="AE537" s="170"/>
      <c r="AF537" s="170"/>
      <c r="AG537" s="174"/>
      <c r="AH537" s="119">
        <f>+AZ537/$BB$57</f>
        <v>8.5887577866644339E-3</v>
      </c>
      <c r="AI537" s="175"/>
      <c r="AJ537" s="176">
        <f t="shared" si="1526"/>
        <v>0</v>
      </c>
      <c r="AK537" s="176">
        <f t="shared" si="1527"/>
        <v>0</v>
      </c>
      <c r="AL537" s="120">
        <f t="shared" si="1509"/>
        <v>0.25049522791248124</v>
      </c>
      <c r="AM537" s="120">
        <f t="shared" si="1510"/>
        <v>0.36276387607220217</v>
      </c>
      <c r="AN537" s="120">
        <f t="shared" si="1511"/>
        <v>0.38674089601531658</v>
      </c>
      <c r="AO537" s="120">
        <f t="shared" si="1515"/>
        <v>4.16132610606081E-2</v>
      </c>
      <c r="AP537" s="173">
        <f t="shared" si="1531"/>
        <v>139.78864175362739</v>
      </c>
      <c r="AQ537" s="175">
        <f t="shared" si="1532"/>
        <v>4.1613261060608003E-2</v>
      </c>
      <c r="AR537" s="177">
        <f>+AC537/$AE$57</f>
        <v>9.0434399715883761E-3</v>
      </c>
      <c r="AS537" s="177">
        <f t="shared" si="1528"/>
        <v>3.7632702842364449E-4</v>
      </c>
      <c r="AT537" s="177"/>
      <c r="AU537" s="177"/>
      <c r="AV537" s="177"/>
      <c r="AW537" s="190"/>
      <c r="AX537" s="120"/>
      <c r="AY537" s="120"/>
      <c r="AZ537" s="118">
        <f>IFERROR(INDEX('Total Customers'!$F$7:$AB$91,MATCH($C537,'Total Customers'!$D$7:$D$91,0),MATCH($G537,'Total Customers'!$F$5:$AB$5,0)),"NA")</f>
        <v>327941</v>
      </c>
      <c r="BA537" s="119">
        <f t="shared" si="1490"/>
        <v>6.59299005865179E-3</v>
      </c>
      <c r="BB537" s="119"/>
      <c r="BC537" s="121"/>
      <c r="BD537" s="119"/>
      <c r="BE537" s="119"/>
      <c r="BF537" s="119"/>
      <c r="BG537" s="173"/>
      <c r="BH537" s="173"/>
      <c r="BI537" s="173"/>
      <c r="BJ537" s="173"/>
      <c r="BK537" s="173"/>
      <c r="BL537" s="173"/>
      <c r="BM537" s="173"/>
      <c r="BN537" s="173"/>
      <c r="BO537" s="173"/>
      <c r="BP537" s="173"/>
      <c r="BQ537" s="118"/>
      <c r="BR537" s="118"/>
      <c r="BS537" s="118">
        <f>INDEX('Dist. Plant Gas Additions'!$F$7:$AE$91,MATCH($C537,'Dist. Plant Gas Additions'!$D$7:$D$91,0),MATCH(Calculation!$G537,'Dist. Plant Gas Additions'!$F$5:$AE$5,0))</f>
        <v>49021</v>
      </c>
      <c r="BT537" s="118">
        <f>INDEX('Gen. Plant Additions'!$F$7:$AE$91,MATCH($C537,'Gen. Plant Additions'!$D$7:$D$91,0),MATCH(Calculation!$G537,'Gen. Plant Additions'!$F$5:$AE$5,0))</f>
        <v>1301</v>
      </c>
      <c r="BU537" s="118"/>
      <c r="BV537" s="118"/>
      <c r="BW537" s="118">
        <f>INDEX('Dist Plant Depreciation'!$E$7:$AD$94,MATCH($C537,'Dist Plant Depreciation'!$D$7:$D$94,0),MATCH(Calculation!$G537,'Dist Plant Depreciation'!$E$5:$AD$5,0))</f>
        <v>302468</v>
      </c>
      <c r="BX537" s="118">
        <f>INDEX('Gen. Plant Depreciation'!$E$7:$AD$94,MATCH($C537,'Gen. Plant Depreciation'!$D$7:$D$94,0),MATCH(Calculation!$G537,'Gen. Plant Depreciation'!$E$5:$AD$5,0))</f>
        <v>6051</v>
      </c>
      <c r="BY537" s="118"/>
      <c r="BZ537" s="118"/>
      <c r="CA537" s="118"/>
      <c r="CB537" s="118"/>
      <c r="CC537" s="118"/>
      <c r="CD537" s="118"/>
      <c r="CE537" s="118">
        <f>INDEX('Gross Dx Plant'!$E$7:$AD$91,MATCH($C537,'Gross Dx Plant'!$D$7:$D$91,0),MATCH(Calculation!$G537,'Gross Dx Plant'!$E$5:$AD$5,0))</f>
        <v>1029149</v>
      </c>
      <c r="CF537" s="118">
        <f>INDEX('Gross Gen Plant'!$E$7:$AD$91,MATCH($C537,'Gross Gen Plant'!$D$7:$D$91,0),MATCH(Calculation!$G537,'Gross Gen Plant'!$E$5:$AD$5,0))</f>
        <v>14848</v>
      </c>
      <c r="CG537" s="118">
        <f t="shared" si="1516"/>
        <v>735478</v>
      </c>
      <c r="CH537" s="118"/>
      <c r="CI537" s="121">
        <v>2019</v>
      </c>
      <c r="CJ537" s="118"/>
      <c r="CK537" s="118"/>
      <c r="CL537" s="118"/>
      <c r="CM537" s="183"/>
      <c r="CN537" s="118">
        <f t="shared" si="1491"/>
        <v>50322</v>
      </c>
      <c r="CO537" s="118">
        <f t="shared" si="1492"/>
        <v>65.054225601791103</v>
      </c>
      <c r="CP537" s="186">
        <v>0.85106382978723405</v>
      </c>
      <c r="CQ537" s="118">
        <f>CQ516*CP537+CO517*CP536+CO518*CP535+CO519*CP534+CO520*CP533+CO521*CP532+CO522*CP531+CO523*CP530+CO524*CP529+CO525*CP528+CO526*CP527+CO527*CP526+CO528*CP525+CO529*CP524+CO530*CP523+CO531*CP522+CO532*CP521+CO533*CP520+CO534*CP519+CO535*CP518+CO536*CP517+CO537</f>
        <v>2269.9555414583588</v>
      </c>
      <c r="CR537" s="119">
        <f t="shared" si="1493"/>
        <v>2.0207592564814345E-2</v>
      </c>
      <c r="CS537" s="119"/>
      <c r="CT537" s="177">
        <f t="shared" si="1494"/>
        <v>8.830678776068631E-3</v>
      </c>
      <c r="CU537" s="177">
        <f t="shared" si="1502"/>
        <v>8.5500842014863132E-3</v>
      </c>
      <c r="CV537" s="119">
        <f>VLOOKUP($H537,RoR!$E:$F,2,FALSE)</f>
        <v>3.3875000000000009E-2</v>
      </c>
      <c r="CW537" s="177">
        <v>1.8092492884465461E-2</v>
      </c>
      <c r="CX537" s="177">
        <f t="shared" si="1500"/>
        <v>1.5782507115534548E-2</v>
      </c>
      <c r="CY537" s="177">
        <f t="shared" si="1503"/>
        <v>2.2351857407047312E-2</v>
      </c>
      <c r="CZ537" s="177">
        <f t="shared" si="1504"/>
        <v>4.8445665544254078E-2</v>
      </c>
      <c r="DA537" s="187">
        <f t="shared" si="1495"/>
        <v>0.90520312375</v>
      </c>
      <c r="DB537" s="188">
        <f t="shared" si="1496"/>
        <v>1.513861292459078</v>
      </c>
      <c r="DC537" s="188">
        <f t="shared" si="1497"/>
        <v>0.23699261992619944</v>
      </c>
      <c r="DD537" s="188">
        <f t="shared" si="1498"/>
        <v>0.73619765810468829</v>
      </c>
      <c r="DE537" s="188">
        <f t="shared" si="1499"/>
        <v>0.26412854465362851</v>
      </c>
      <c r="DF537" s="189">
        <f>INDEX('State Tax Lookup'!$D$7:$Z$91,MATCH(Calculation!$C537,'State Tax Lookup'!$B$7:$B$91,0),MATCH($H537,'State Tax Lookup'!$D$6:$Z$6,0))</f>
        <v>0.25279166999999997</v>
      </c>
      <c r="DG537" s="189">
        <v>0.375</v>
      </c>
      <c r="DH537" s="190">
        <f t="shared" si="1501"/>
        <v>20.887274005749394</v>
      </c>
      <c r="DI537" s="190">
        <v>20.516631242207961</v>
      </c>
      <c r="DJ537" s="177"/>
      <c r="DK537" s="189">
        <f>VLOOKUP($H537,RoR!$E:$F,2,FALSE)</f>
        <v>3.3875000000000009E-2</v>
      </c>
      <c r="DL537" s="191">
        <f>HLOOKUP($H537,'GDP-PI'!$D$8:$CQ$11,3,FALSE)</f>
        <v>1.8092492884465461E-2</v>
      </c>
      <c r="DM537" s="189">
        <f>VLOOKUP(H537,'HW Dx Data'!$E:$F,2,FALSE)</f>
        <v>773.53929793938721</v>
      </c>
      <c r="DN537" s="183">
        <f>VLOOKUP(H537,'ECI - Input Price'!$G$17:$H$37,2,FALSE)</f>
        <v>136.85</v>
      </c>
      <c r="DO537" s="177">
        <f t="shared" ref="DO537" si="1555">LN(DN537/DN536)</f>
        <v>2.6658372440734168E-2</v>
      </c>
      <c r="DP537" s="183">
        <f>HLOOKUP(H537,'GDP-PI'!$8:$9,2,FALSE)</f>
        <v>112.318</v>
      </c>
      <c r="DQ537" s="177">
        <f t="shared" ref="DQ537" si="1556">LN(DP537/DP536)</f>
        <v>1.7930771451401852E-2</v>
      </c>
    </row>
    <row r="538" spans="1:121" s="167" customFormat="1" ht="21" x14ac:dyDescent="0.35">
      <c r="A538" s="167" t="s">
        <v>65</v>
      </c>
      <c r="B538" s="167" t="s">
        <v>65</v>
      </c>
      <c r="C538" s="167">
        <v>4057090</v>
      </c>
      <c r="D538" s="167" t="s">
        <v>141</v>
      </c>
      <c r="G538" s="168" t="s">
        <v>26</v>
      </c>
      <c r="H538" s="169">
        <v>2020</v>
      </c>
      <c r="I538" s="170"/>
      <c r="J538" s="166">
        <f>IFERROR(INDEX('Labor Expenditures'!$F$7:$X$91,MATCH($C538,'Labor Expenditures'!$D$7:$D$91,0),MATCH($G538,'Labor Expenditures'!$F$5:$X$5,0)),"NA")</f>
        <v>30270.858614376044</v>
      </c>
      <c r="K538" s="166">
        <f t="shared" si="1507"/>
        <v>215.52765122375254</v>
      </c>
      <c r="L538" s="172">
        <f t="shared" si="1514"/>
        <v>-2.015827861824699E-2</v>
      </c>
      <c r="M538" s="172">
        <f t="shared" si="1519"/>
        <v>-1.8151016322529788E-4</v>
      </c>
      <c r="N538" s="196"/>
      <c r="O538" s="172"/>
      <c r="P538" s="166">
        <f>IFERROR(INDEX('Non-Labor Expenditures'!$F$7:$AB$91,MATCH($C538,'Non-Labor Expenditures'!$D$7:$D$91,0),MATCH($G538,'Non-Labor Expenditures'!$F$5:$AB$5,0)),"NA")</f>
        <v>43837.857090121077</v>
      </c>
      <c r="Q538" s="166">
        <f t="shared" si="1508"/>
        <v>385.81851465038835</v>
      </c>
      <c r="R538" s="172">
        <f t="shared" si="1520"/>
        <v>-5.7439772860754558E-3</v>
      </c>
      <c r="S538" s="172">
        <f t="shared" si="1524"/>
        <v>-5.1720202627530978E-5</v>
      </c>
      <c r="T538" s="172"/>
      <c r="U538" s="172"/>
      <c r="V538" s="166">
        <f t="shared" si="1489"/>
        <v>49219.50653505326</v>
      </c>
      <c r="W538" s="170"/>
      <c r="X538" s="174">
        <v>2319.4564933691913</v>
      </c>
      <c r="Y538" s="175">
        <v>2.1572642092323107E-2</v>
      </c>
      <c r="Z538" s="175">
        <f t="shared" si="1525"/>
        <v>1.9424544434236087E-4</v>
      </c>
      <c r="AA538" s="175"/>
      <c r="AB538" s="175"/>
      <c r="AC538" s="170">
        <f t="shared" si="1475"/>
        <v>123328.22223955038</v>
      </c>
      <c r="AD538" s="175">
        <f t="shared" si="1521"/>
        <v>2.6156217543756986E-2</v>
      </c>
      <c r="AE538" s="170"/>
      <c r="AF538" s="170"/>
      <c r="AG538" s="174"/>
      <c r="AH538" s="119">
        <f>+AZ538/$BB$58</f>
        <v>8.5283734901282961E-3</v>
      </c>
      <c r="AI538" s="175"/>
      <c r="AJ538" s="176">
        <f t="shared" si="1526"/>
        <v>0</v>
      </c>
      <c r="AK538" s="176">
        <f t="shared" si="1527"/>
        <v>0</v>
      </c>
      <c r="AL538" s="120">
        <f t="shared" si="1509"/>
        <v>0.24544956591994416</v>
      </c>
      <c r="AM538" s="120">
        <f t="shared" si="1510"/>
        <v>0.35545681510734228</v>
      </c>
      <c r="AN538" s="120">
        <f t="shared" si="1511"/>
        <v>0.39909361897271362</v>
      </c>
      <c r="AO538" s="120">
        <f t="shared" si="1515"/>
        <v>1.4148450328816415E-3</v>
      </c>
      <c r="AP538" s="173">
        <f t="shared" si="1531"/>
        <v>139.9865609985801</v>
      </c>
      <c r="AQ538" s="175">
        <f t="shared" si="1532"/>
        <v>1.4148450328816675E-3</v>
      </c>
      <c r="AR538" s="177">
        <f>+AC538/$AE$58</f>
        <v>9.0042491555304451E-3</v>
      </c>
      <c r="AS538" s="177">
        <f t="shared" si="1528"/>
        <v>1.2739617192531199E-5</v>
      </c>
      <c r="AT538" s="177"/>
      <c r="AU538" s="177"/>
      <c r="AV538" s="177"/>
      <c r="AW538" s="190"/>
      <c r="AX538" s="120"/>
      <c r="AY538" s="120"/>
      <c r="AZ538" s="118">
        <v>327941</v>
      </c>
      <c r="BA538" s="119">
        <f t="shared" si="1490"/>
        <v>0</v>
      </c>
      <c r="BB538" s="119"/>
      <c r="BC538" s="121"/>
      <c r="BD538" s="119"/>
      <c r="BE538" s="119"/>
      <c r="BF538" s="119"/>
      <c r="BG538" s="173"/>
      <c r="BH538" s="173"/>
      <c r="BI538" s="173"/>
      <c r="BJ538" s="173"/>
      <c r="BK538" s="173"/>
      <c r="BL538" s="173"/>
      <c r="BM538" s="173"/>
      <c r="BN538" s="173"/>
      <c r="BO538" s="173"/>
      <c r="BP538" s="173"/>
      <c r="BQ538" s="118"/>
      <c r="BR538" s="118"/>
      <c r="BS538" s="118">
        <f>INDEX('Dist. Plant Gas Additions'!$F$7:$AE$91,MATCH($C538,'Dist. Plant Gas Additions'!$D$7:$D$91,0),MATCH(Calculation!$G538,'Dist. Plant Gas Additions'!$F$5:$AE$5,0))</f>
        <v>55589</v>
      </c>
      <c r="BT538" s="118">
        <f>INDEX('Gen. Plant Additions'!$F$7:$AE$91,MATCH($C538,'Gen. Plant Additions'!$D$7:$D$91,0),MATCH(Calculation!$G538,'Gen. Plant Additions'!$F$5:$AE$5,0))</f>
        <v>1529</v>
      </c>
      <c r="BU538" s="118"/>
      <c r="BV538" s="118"/>
      <c r="BW538" s="118">
        <f>INDEX('Dist Plant Depreciation'!$E$7:$AD$94,MATCH($C538,'Dist Plant Depreciation'!$D$7:$D$94,0),MATCH(Calculation!$G538,'Dist Plant Depreciation'!$E$5:$AD$5,0))</f>
        <v>318257</v>
      </c>
      <c r="BX538" s="118">
        <f>INDEX('Gen. Plant Depreciation'!$E$7:$AD$94,MATCH($C538,'Gen. Plant Depreciation'!$D$7:$D$94,0),MATCH(Calculation!$G538,'Gen. Plant Depreciation'!$E$5:$AD$5,0))</f>
        <v>6136</v>
      </c>
      <c r="BY538" s="118"/>
      <c r="BZ538" s="118"/>
      <c r="CA538" s="118"/>
      <c r="CB538" s="118"/>
      <c r="CC538" s="118"/>
      <c r="CD538" s="118"/>
      <c r="CE538" s="118">
        <f>INDEX('Gross Dx Plant'!$E$7:$AD$91,MATCH($C538,'Gross Dx Plant'!$D$7:$D$91,0),MATCH(Calculation!$G538,'Gross Dx Plant'!$E$5:$AD$5,0))</f>
        <v>1075161</v>
      </c>
      <c r="CF538" s="118">
        <f>INDEX('Gross Gen Plant'!$E$7:$AD$91,MATCH($C538,'Gross Gen Plant'!$D$7:$D$91,0),MATCH(Calculation!$G538,'Gross Gen Plant'!$E$5:$AD$5,0))</f>
        <v>15890</v>
      </c>
      <c r="CG538" s="118">
        <f t="shared" si="1516"/>
        <v>766658</v>
      </c>
      <c r="CH538" s="118"/>
      <c r="CI538" s="121">
        <v>2020</v>
      </c>
      <c r="CJ538" s="118"/>
      <c r="CK538" s="118"/>
      <c r="CL538" s="118"/>
      <c r="CM538" s="183"/>
      <c r="CN538" s="118">
        <f t="shared" si="1491"/>
        <v>57118</v>
      </c>
      <c r="CO538" s="118">
        <f t="shared" si="1492"/>
        <v>70.248915958384288</v>
      </c>
      <c r="CP538" s="186">
        <v>0.84057971014492749</v>
      </c>
      <c r="CQ538" s="118">
        <f>CQ516*CP538+CO517*CP537+CO518*CP536+CO519*CP535+CO520*CP534+CO521*CP533+CO522*CP532+CO523*CP531+CO524*CP530+CO525*CP529+CO526*CP528+CO527*CP527+CO528*CP526+CO529*CP525+CO530*CP524+CO531*CP523+CO532*CP522+CO533*CP521+CO534*CP520+CO535*CP519+CO536*CP518+CO537*CP517+CO538</f>
        <v>2319.4564933691913</v>
      </c>
      <c r="CR538" s="119">
        <f t="shared" si="1493"/>
        <v>2.1572642092323107E-2</v>
      </c>
      <c r="CS538" s="119"/>
      <c r="CT538" s="177">
        <f t="shared" si="1494"/>
        <v>9.1402512818475595E-3</v>
      </c>
      <c r="CU538" s="177">
        <f t="shared" si="1502"/>
        <v>8.8332682849596011E-3</v>
      </c>
      <c r="CV538" s="119">
        <f>VLOOKUP($H538,RoR!$E:$F,2,FALSE)</f>
        <v>2.4766666666666666E-2</v>
      </c>
      <c r="CW538" s="177">
        <v>1.1618796630994188E-2</v>
      </c>
      <c r="CX538" s="177">
        <f t="shared" si="1500"/>
        <v>1.3147870035672478E-2</v>
      </c>
      <c r="CY538" s="177">
        <f t="shared" si="1503"/>
        <v>2.2068673323574026E-2</v>
      </c>
      <c r="CZ538" s="177">
        <f t="shared" si="1504"/>
        <v>4.5144642961987357E-2</v>
      </c>
      <c r="DA538" s="187">
        <f t="shared" si="1495"/>
        <v>0.90520312375</v>
      </c>
      <c r="DB538" s="188">
        <f t="shared" si="1496"/>
        <v>2.0706077233668081</v>
      </c>
      <c r="DC538" s="188">
        <f t="shared" si="1497"/>
        <v>-3.4421265141318998E-2</v>
      </c>
      <c r="DD538" s="188">
        <f t="shared" si="1498"/>
        <v>0.62416226176410472</v>
      </c>
      <c r="DE538" s="188">
        <f t="shared" si="1499"/>
        <v>-4.4485877841158712E-2</v>
      </c>
      <c r="DF538" s="189">
        <f>INDEX('State Tax Lookup'!$D$7:$Z$91,MATCH(Calculation!$C538,'State Tax Lookup'!$B$7:$B$91,0),MATCH($H538,'State Tax Lookup'!$D$6:$Z$6,0))</f>
        <v>0.25279166999999997</v>
      </c>
      <c r="DG538" s="189">
        <v>0.375</v>
      </c>
      <c r="DH538" s="190">
        <f t="shared" si="1501"/>
        <v>21.683026665549416</v>
      </c>
      <c r="DI538" s="190">
        <v>21.307242920270191</v>
      </c>
      <c r="DJ538" s="177"/>
      <c r="DK538" s="189">
        <f>VLOOKUP($H538,RoR!$E:$F,2,FALSE)</f>
        <v>2.4766666666666666E-2</v>
      </c>
      <c r="DL538" s="191">
        <f>HLOOKUP($H538,'GDP-PI'!$D$8:$CQ$11,3,FALSE)</f>
        <v>1.1618796630994188E-2</v>
      </c>
      <c r="DM538" s="189">
        <f>VLOOKUP(H538,'HW Dx Data'!$E:$F,2,FALSE)</f>
        <v>813.080162458833</v>
      </c>
      <c r="DN538" s="183">
        <f>VLOOKUP(H538,'ECI - Input Price'!$G$17:$H$37,2,FALSE)</f>
        <v>140.44999999999999</v>
      </c>
      <c r="DO538" s="177">
        <f t="shared" ref="DO538" si="1557">LN(DN538/DN537)</f>
        <v>2.5966118063564539E-2</v>
      </c>
      <c r="DP538" s="183">
        <f>HLOOKUP(H538,'GDP-PI'!$8:$9,2,FALSE)</f>
        <v>113.623</v>
      </c>
      <c r="DQ538" s="177">
        <f t="shared" ref="DQ538" si="1558">LN(DP538/DP537)</f>
        <v>1.1551816731392881E-2</v>
      </c>
    </row>
    <row r="539" spans="1:121" s="167" customFormat="1" ht="21" x14ac:dyDescent="0.35">
      <c r="A539" s="167" t="s">
        <v>65</v>
      </c>
      <c r="B539" s="167" t="s">
        <v>65</v>
      </c>
      <c r="C539" s="167">
        <v>4057090</v>
      </c>
      <c r="D539" s="167" t="s">
        <v>141</v>
      </c>
      <c r="G539" s="168" t="s">
        <v>462</v>
      </c>
      <c r="H539" s="169">
        <v>2021</v>
      </c>
      <c r="I539" s="170"/>
      <c r="J539" s="166">
        <f>IFERROR(INDEX('Labor Expenditures'!$E$7:$X$91,MATCH($C539,'Labor Expenditures'!$D$7:$D$91,0),MATCH($G539,'Labor Expenditures'!$E$5:$X$5,0)),"NA")</f>
        <v>29404.177856915558</v>
      </c>
      <c r="K539" s="166">
        <f t="shared" si="1507"/>
        <v>202.12529889613717</v>
      </c>
      <c r="L539" s="171">
        <f t="shared" si="1514"/>
        <v>-6.4201416590751292E-2</v>
      </c>
      <c r="M539" s="172">
        <f t="shared" si="1519"/>
        <v>-5.6949384188123434E-4</v>
      </c>
      <c r="N539" s="196"/>
      <c r="O539" s="172"/>
      <c r="P539" s="166">
        <f>IFERROR(INDEX('Non-Labor Expenditures'!$E$7:$AB$91,MATCH($C539,'Non-Labor Expenditures'!$D$7:$D$91,0),MATCH($G539,'Non-Labor Expenditures'!$E$5:$AB$5,0)),"NA")</f>
        <v>41449.262762158076</v>
      </c>
      <c r="Q539" s="166">
        <f t="shared" si="1508"/>
        <v>349.81232814716918</v>
      </c>
      <c r="R539" s="172">
        <f t="shared" si="1520"/>
        <v>-9.7970284220887882E-2</v>
      </c>
      <c r="S539" s="172">
        <f t="shared" si="1524"/>
        <v>-8.6903804485814718E-4</v>
      </c>
      <c r="T539" s="172"/>
      <c r="U539" s="172"/>
      <c r="V539" s="166">
        <f t="shared" si="1489"/>
        <v>59971.374776298522</v>
      </c>
      <c r="W539" s="170"/>
      <c r="X539" s="174">
        <v>2392.7771950291731</v>
      </c>
      <c r="Y539" s="175"/>
      <c r="Z539" s="175">
        <f t="shared" si="1525"/>
        <v>0</v>
      </c>
      <c r="AA539" s="175"/>
      <c r="AB539" s="175"/>
      <c r="AC539" s="170">
        <f t="shared" si="1475"/>
        <v>130824.81539537216</v>
      </c>
      <c r="AD539" s="175">
        <f t="shared" si="1521"/>
        <v>5.9009866366108978E-2</v>
      </c>
      <c r="AE539" s="118"/>
      <c r="AF539" s="119"/>
      <c r="AG539" s="121">
        <f>+(AC539*1000)/AZ539</f>
        <v>394.14681110563771</v>
      </c>
      <c r="AH539" s="119">
        <f>+AZ539/$BB$59</f>
        <v>8.5159460487796695E-3</v>
      </c>
      <c r="AI539" s="119"/>
      <c r="AJ539" s="176">
        <f t="shared" si="1526"/>
        <v>3.3565329786741622</v>
      </c>
      <c r="AK539" s="176">
        <f t="shared" si="1527"/>
        <v>0</v>
      </c>
      <c r="AL539" s="120">
        <f t="shared" si="1509"/>
        <v>0.22475994151454931</v>
      </c>
      <c r="AM539" s="120">
        <f t="shared" si="1510"/>
        <v>0.31683027900243699</v>
      </c>
      <c r="AN539" s="120">
        <f t="shared" si="1511"/>
        <v>0.45840977948301365</v>
      </c>
      <c r="AO539" s="120">
        <f t="shared" si="1515"/>
        <v>-4.8026137079851872E-2</v>
      </c>
      <c r="AP539" s="173">
        <f t="shared" si="1531"/>
        <v>133.422433706155</v>
      </c>
      <c r="AQ539" s="175">
        <f t="shared" si="1532"/>
        <v>-4.8026137079851865E-2</v>
      </c>
      <c r="AR539" s="177">
        <f>+AC539/$AE$59</f>
        <v>8.8704248616731356E-3</v>
      </c>
      <c r="AS539" s="177">
        <f t="shared" si="1528"/>
        <v>-4.2601224036324003E-4</v>
      </c>
      <c r="AT539" s="177"/>
      <c r="AU539" s="177"/>
      <c r="AV539" s="177"/>
      <c r="AW539" s="190"/>
      <c r="AX539" s="120"/>
      <c r="AY539" s="120"/>
      <c r="AZ539" s="118">
        <f>INDEX('Total Customers'!$E$7:$E$91,MATCH(Calculation!$C539,'Total Customers'!$D$7:$D$91,0))</f>
        <v>331919</v>
      </c>
      <c r="BA539" s="119">
        <f t="shared" si="1490"/>
        <v>1.2057249090544944E-2</v>
      </c>
      <c r="BB539" s="118"/>
      <c r="BC539" s="121"/>
      <c r="BD539" s="118"/>
      <c r="BE539" s="119"/>
      <c r="BF539" s="119"/>
      <c r="BG539" s="173"/>
      <c r="BH539" s="173"/>
      <c r="BI539" s="173"/>
      <c r="BJ539" s="173"/>
      <c r="BK539" s="173"/>
      <c r="BL539" s="173"/>
      <c r="BM539" s="173"/>
      <c r="BN539" s="173"/>
      <c r="BO539" s="173"/>
      <c r="BP539" s="173"/>
      <c r="BQ539" s="118"/>
      <c r="BR539" s="118"/>
      <c r="BS539" s="118">
        <f>INDEX('Dist. Plant Gas Additions'!$E$7:$AE$91,MATCH($C539,'Dist. Plant Gas Additions'!$D$7:$D$91,0),MATCH(Calculation!$G539,'Dist. Plant Gas Additions'!$E$5:$AE$5,0))</f>
        <v>79674</v>
      </c>
      <c r="BT539" s="118">
        <f>INDEX('Gen. Plant Additions'!$E$7:$AE$91,MATCH($C539,'Gen. Plant Additions'!$D$7:$D$91,0),MATCH(Calculation!$G539,'Gen. Plant Additions'!$E$5:$AE$5,0))</f>
        <v>1441</v>
      </c>
      <c r="BU539" s="118"/>
      <c r="BV539" s="118"/>
      <c r="BW539" s="118"/>
      <c r="BX539" s="118"/>
      <c r="BY539" s="183"/>
      <c r="BZ539" s="183"/>
      <c r="CA539" s="178"/>
      <c r="CB539" s="184"/>
      <c r="CC539" s="185"/>
      <c r="CD539" s="185"/>
      <c r="CE539" s="118"/>
      <c r="CF539" s="118"/>
      <c r="CG539" s="118"/>
      <c r="CH539" s="118"/>
      <c r="CI539" s="121">
        <v>2021</v>
      </c>
      <c r="CJ539" s="118"/>
      <c r="CK539" s="118"/>
      <c r="CL539" s="118"/>
      <c r="CM539" s="183"/>
      <c r="CN539" s="118">
        <f t="shared" si="1491"/>
        <v>81115</v>
      </c>
      <c r="CO539" s="118">
        <f t="shared" si="1492"/>
        <v>86.937882064049788</v>
      </c>
      <c r="CP539" s="186">
        <f>+(51-23)/(51-23*0.75)</f>
        <v>0.82962962962962961</v>
      </c>
      <c r="CQ539" s="118">
        <f>CQ516*CP539+CO517*CP538+CO518*CP537+CO519*CP536+CO520*CP535+CO521*CP534+CO522*CP533+CO523*CP532+CO524*CP531+CO525*CP530+CO526*CP529+CO527*CP528+CO528*CP527+CO529*CP526+CO530*CP525+CO521*CP524+CO532*CP523+CO533*CP522+CO534*CP521+CO535*CP520+CO536*CP519+CO537*CP518+CO539+CO538*CP517</f>
        <v>2392.7771950291731</v>
      </c>
      <c r="CR539" s="119"/>
      <c r="CS539" s="118"/>
      <c r="CT539" s="177">
        <f t="shared" si="1494"/>
        <v>5.8708496766361074E-3</v>
      </c>
      <c r="CU539" s="177">
        <f t="shared" si="1502"/>
        <v>7.9472599115174326E-3</v>
      </c>
      <c r="CV539" s="119">
        <f>VLOOKUP($H539,RoR!$E:$F,2,FALSE)</f>
        <v>2.7033333333333336E-2</v>
      </c>
      <c r="CW539" s="177"/>
      <c r="CX539" s="177"/>
      <c r="CY539" s="177">
        <f t="shared" si="1503"/>
        <v>2.2954681697016192E-2</v>
      </c>
      <c r="CZ539" s="177">
        <f t="shared" si="1504"/>
        <v>7.433422950153494E-2</v>
      </c>
      <c r="DA539" s="187">
        <f t="shared" si="1495"/>
        <v>0.90520312375</v>
      </c>
      <c r="DB539" s="188">
        <f t="shared" si="1496"/>
        <v>1.8969932656739068</v>
      </c>
      <c r="DC539" s="188">
        <f t="shared" si="1497"/>
        <v>5.0215782983970621E-2</v>
      </c>
      <c r="DD539" s="188">
        <f t="shared" si="1498"/>
        <v>0.655952481704143</v>
      </c>
      <c r="DE539" s="188">
        <f t="shared" si="1499"/>
        <v>6.2485378865697057E-2</v>
      </c>
      <c r="DF539" s="189">
        <f>DF538</f>
        <v>0.25279166999999997</v>
      </c>
      <c r="DG539" s="189">
        <v>0.375</v>
      </c>
      <c r="DH539" s="190">
        <f t="shared" si="1501"/>
        <v>25.855787744992547</v>
      </c>
      <c r="DI539" s="190"/>
      <c r="DJ539" s="177">
        <f t="shared" ref="DJ539" si="1559">LN(DH539/DH538)</f>
        <v>0.17600470001304466</v>
      </c>
      <c r="DK539" s="189">
        <f>VLOOKUP($H539,RoR!$E:$F,2,FALSE)</f>
        <v>2.7033333333333336E-2</v>
      </c>
      <c r="DL539" s="191">
        <f>HLOOKUP($H539,'GDP-PI'!$D$8:$CR$11,3,FALSE)</f>
        <v>4.2834637353352578E-2</v>
      </c>
      <c r="DM539" s="189">
        <f>VLOOKUP(H539,'HW Dx Data'!$E:$F,2,FALSE)</f>
        <v>933.02249921662576</v>
      </c>
      <c r="DN539" s="183">
        <f>VLOOKUP(H539,'ECI - Input Price'!$G$17:$H$37,2,FALSE)</f>
        <v>145.47500000000002</v>
      </c>
      <c r="DO539" s="177">
        <f t="shared" ref="DO539" si="1560">LN(DN539/DN538)</f>
        <v>3.5152696992481205E-2</v>
      </c>
      <c r="DP539" s="183">
        <f>HLOOKUP(H539,'GDP-PI'!$8:$9,2,FALSE)</f>
        <v>118.49</v>
      </c>
      <c r="DQ539" s="177">
        <f t="shared" ref="DQ539" si="1561">LN(DP539/DP538)</f>
        <v>4.194261824609434E-2</v>
      </c>
    </row>
    <row r="540" spans="1:121" s="167" customFormat="1" ht="21" x14ac:dyDescent="0.35">
      <c r="A540" s="167" t="s">
        <v>66</v>
      </c>
      <c r="B540" s="168" t="s">
        <v>66</v>
      </c>
      <c r="C540" s="168">
        <v>4008754</v>
      </c>
      <c r="D540" s="168" t="s">
        <v>144</v>
      </c>
      <c r="E540" s="168"/>
      <c r="F540" s="168"/>
      <c r="G540" s="168" t="s">
        <v>4</v>
      </c>
      <c r="H540" s="169">
        <v>1998</v>
      </c>
      <c r="I540" s="170"/>
      <c r="J540" s="166"/>
      <c r="K540" s="166"/>
      <c r="L540" s="166"/>
      <c r="M540" s="166"/>
      <c r="N540" s="196"/>
      <c r="O540" s="166"/>
      <c r="P540" s="172"/>
      <c r="Q540" s="172"/>
      <c r="R540" s="172"/>
      <c r="S540" s="166"/>
      <c r="T540" s="172"/>
      <c r="U540" s="172"/>
      <c r="V540" s="166"/>
      <c r="W540" s="170"/>
      <c r="X540" s="174">
        <v>392.52538334919308</v>
      </c>
      <c r="Y540" s="175"/>
      <c r="Z540" s="166"/>
      <c r="AA540" s="175"/>
      <c r="AB540" s="175"/>
      <c r="AC540" s="170">
        <f t="shared" si="1475"/>
        <v>0</v>
      </c>
      <c r="AD540" s="170"/>
      <c r="AE540" s="170"/>
      <c r="AF540" s="119"/>
      <c r="AG540" s="174"/>
      <c r="AH540" s="175"/>
      <c r="AI540" s="175"/>
      <c r="AJ540" s="174"/>
      <c r="AK540" s="174"/>
      <c r="AL540" s="120"/>
      <c r="AM540" s="120"/>
      <c r="AN540" s="120"/>
      <c r="AO540" s="120"/>
      <c r="AP540" s="120"/>
      <c r="AQ540" s="175">
        <f>AVERAGE(AQ549:AQ563)</f>
        <v>1.4150653419825675E-2</v>
      </c>
      <c r="AR540" s="120"/>
      <c r="AS540" s="120"/>
      <c r="AT540" s="120"/>
      <c r="AU540" s="120"/>
      <c r="AV540" s="120"/>
      <c r="AW540" s="120"/>
      <c r="AX540" s="120"/>
      <c r="AY540" s="120"/>
      <c r="AZ540" s="118">
        <f>IFERROR(INDEX('Total Customers'!$F$7:$AB$91,MATCH($C540,'Total Customers'!$D$7:$D$91,0),MATCH($G540,'Total Customers'!$F$5:$AB$5,0)),"NA")</f>
        <v>108415</v>
      </c>
      <c r="BA540" s="119"/>
      <c r="BB540" s="119"/>
      <c r="BC540" s="121"/>
      <c r="BD540" s="119"/>
      <c r="BE540" s="119"/>
      <c r="BF540" s="119"/>
      <c r="BG540" s="173"/>
      <c r="BH540" s="173"/>
      <c r="BI540" s="173"/>
      <c r="BJ540" s="173"/>
      <c r="BK540" s="173"/>
      <c r="BL540" s="173"/>
      <c r="BM540" s="173"/>
      <c r="BN540" s="173"/>
      <c r="BO540" s="173"/>
      <c r="BP540" s="173"/>
      <c r="BQ540" s="118">
        <f>INDEX('Gross Dx Plant'!$E$7:$AD$91,MATCH($C540,'Gross Dx Plant'!$D$7:$D$91,0),MATCH(Calculation!$G540,'Gross Dx Plant'!$E$5:$AD$5,0))</f>
        <v>166607</v>
      </c>
      <c r="BR540" s="118">
        <f>INDEX('Gross Gen Plant'!$E$7:$AD$91,MATCH($C540,'Gross Gen Plant'!$D$7:$D$91,0),MATCH(Calculation!$G540,'Gross Gen Plant'!$E$5:$AD$5,0))</f>
        <v>2440</v>
      </c>
      <c r="BS540" s="118">
        <f>INDEX('Dist. Plant Gas Additions'!$F$7:$AE$91,MATCH($C540,'Dist. Plant Gas Additions'!$D$7:$D$91,0),MATCH(Calculation!$G540,'Dist. Plant Gas Additions'!$F$5:$AE$5,0))</f>
        <v>3563</v>
      </c>
      <c r="BT540" s="118">
        <f>INDEX('Gen. Plant Additions'!$F$7:$AE$91,MATCH($C540,'Gen. Plant Additions'!$D$7:$D$91,0),MATCH(Calculation!$G540,'Gen. Plant Additions'!$F$5:$AE$5,0))</f>
        <v>95</v>
      </c>
      <c r="BU540" s="118" t="e">
        <f>INDEX('Dist Plant Depreciation'!$E$7:$AA$94,MATCH($C540,'Dist Plant Depreciation'!$D$7:$D$94,0),MATCH(#REF!,'Dist Plant Depreciation'!$E$5:$AA$5,0))</f>
        <v>#REF!</v>
      </c>
      <c r="BV540" s="118" t="e">
        <f>INDEX('Gen. Plant Depreciation'!$E$7:$AA$94,MATCH($C540,'Gen. Plant Depreciation'!$D$7:$D$94,0),MATCH(#REF!,'Gen. Plant Depreciation'!$E$5:$AA$5,0))</f>
        <v>#REF!</v>
      </c>
      <c r="BW540" s="118">
        <f>INDEX('Dist Plant Depreciation'!$E$7:$AD$94,MATCH($C540,'Dist Plant Depreciation'!$D$7:$D$94,0),MATCH(Calculation!$G540,'Dist Plant Depreciation'!$E$5:$AD$5,0))</f>
        <v>85563</v>
      </c>
      <c r="BX540" s="118">
        <f>INDEX('Gen. Plant Depreciation'!$E$7:$AD$94,MATCH($C540,'Gen. Plant Depreciation'!$D$7:$D$94,0),MATCH(Calculation!$G540,'Gen. Plant Depreciation'!$E$5:$AD$5,0))</f>
        <v>4304</v>
      </c>
      <c r="BY540" s="118"/>
      <c r="BZ540" s="118"/>
      <c r="CA540" s="118"/>
      <c r="CB540" s="118"/>
      <c r="CC540" s="118"/>
      <c r="CD540" s="118"/>
      <c r="CE540" s="118">
        <f>INDEX('Gross Dx Plant'!$E$7:$AD$91,MATCH($C540,'Gross Dx Plant'!$D$7:$D$91,0),MATCH(Calculation!$G540,'Gross Dx Plant'!$E$5:$AD$5,0))</f>
        <v>166607</v>
      </c>
      <c r="CF540" s="118">
        <f>INDEX('Gross Gen Plant'!$E$7:$AD$91,MATCH($C540,'Gross Gen Plant'!$D$7:$D$91,0),MATCH(Calculation!$G540,'Gross Gen Plant'!$E$5:$AD$5,0))</f>
        <v>2440</v>
      </c>
      <c r="CG540" s="118">
        <f t="shared" si="1516"/>
        <v>79180</v>
      </c>
      <c r="CH540" s="118"/>
      <c r="CI540" s="121">
        <v>1998</v>
      </c>
      <c r="CJ540" s="118">
        <f>BQ540+BR540</f>
        <v>169047</v>
      </c>
      <c r="CK540" s="118">
        <f>85563+4304</f>
        <v>89867</v>
      </c>
      <c r="CL540" s="118">
        <f>+CJ540-CK540</f>
        <v>79180</v>
      </c>
      <c r="CM540" s="118">
        <f>CL540/$CD$36</f>
        <v>392.52538334919308</v>
      </c>
      <c r="CN540" s="183"/>
      <c r="CO540" s="183"/>
      <c r="CP540" s="186">
        <v>1</v>
      </c>
      <c r="CQ540" s="118">
        <f>+CM540</f>
        <v>392.52538334919308</v>
      </c>
      <c r="CR540" s="119"/>
      <c r="CS540" s="119"/>
      <c r="CT540" s="177"/>
      <c r="CU540" s="177"/>
      <c r="CV540" s="119" t="e">
        <f>VLOOKUP($H540,RoR!$E:$F,2,FALSE)</f>
        <v>#N/A</v>
      </c>
      <c r="CW540" s="177">
        <v>1.1028127770464469E-2</v>
      </c>
      <c r="CX540" s="177"/>
      <c r="CY540" s="177"/>
      <c r="CZ540" s="177"/>
      <c r="DA540" s="187"/>
      <c r="DB540" s="190" t="e">
        <f>2/(DK540*39)</f>
        <v>#N/A</v>
      </c>
      <c r="DC540" s="188" t="e">
        <f>+(DK540*40-(1+DK540))/(DK540*40)</f>
        <v>#N/A</v>
      </c>
      <c r="DD540" s="188" t="e">
        <f>+(1-(1/(1+DK540)^40))</f>
        <v>#N/A</v>
      </c>
      <c r="DE540" s="188" t="e">
        <f>+DD540*DC540*DB540</f>
        <v>#N/A</v>
      </c>
      <c r="DF540" s="189">
        <f>INDEX('State Tax Lookup'!$D$7:$Z$91,MATCH(Calculation!$C540,'State Tax Lookup'!$B$7:$B$91,0),MATCH($H540,'State Tax Lookup'!$D$6:$Z$6,0))</f>
        <v>0.40134999999999998</v>
      </c>
      <c r="DG540" s="189">
        <v>0.375</v>
      </c>
      <c r="DH540" s="183"/>
      <c r="DI540" s="183"/>
      <c r="DJ540" s="177"/>
      <c r="DK540" s="189" t="e">
        <f>VLOOKUP($H540,RoR!$E:$F,2,FALSE)</f>
        <v>#N/A</v>
      </c>
      <c r="DL540" s="191">
        <f>HLOOKUP($H540,'GDP-PI'!$D$8:$CQ$11,3,FALSE)</f>
        <v>1.1028127770464469E-2</v>
      </c>
      <c r="DM540" s="189">
        <f>VLOOKUP(H540,'HW Dx Data'!$E:$F,2,FALSE)</f>
        <v>329.24564746449528</v>
      </c>
      <c r="DN540" s="183" t="e">
        <f>VLOOKUP(H540,'ECI - Input Price'!$G$17:$H$37,2,FALSE)</f>
        <v>#N/A</v>
      </c>
      <c r="DO540" s="177"/>
      <c r="DP540" s="183">
        <f>HLOOKUP(H540,'GDP-PI'!$8:$9,2,FALSE)</f>
        <v>75.266999999999996</v>
      </c>
    </row>
    <row r="541" spans="1:121" s="167" customFormat="1" ht="21" x14ac:dyDescent="0.35">
      <c r="A541" s="167" t="s">
        <v>66</v>
      </c>
      <c r="B541" s="168" t="s">
        <v>66</v>
      </c>
      <c r="C541" s="168">
        <v>4008754</v>
      </c>
      <c r="D541" s="168" t="s">
        <v>144</v>
      </c>
      <c r="E541" s="168"/>
      <c r="F541" s="168"/>
      <c r="G541" s="168" t="s">
        <v>5</v>
      </c>
      <c r="H541" s="169">
        <v>1999</v>
      </c>
      <c r="I541" s="170"/>
      <c r="J541" s="166"/>
      <c r="K541" s="170"/>
      <c r="L541" s="170"/>
      <c r="M541" s="166"/>
      <c r="N541" s="173"/>
      <c r="O541" s="170"/>
      <c r="P541" s="177"/>
      <c r="Q541" s="177"/>
      <c r="R541" s="177"/>
      <c r="S541" s="195"/>
      <c r="T541" s="177"/>
      <c r="U541" s="177"/>
      <c r="V541" s="166">
        <f t="shared" ref="V541:V563" si="1562">+CQ540*DH541</f>
        <v>0</v>
      </c>
      <c r="W541" s="170"/>
      <c r="X541" s="174">
        <v>405.57885826295353</v>
      </c>
      <c r="Y541" s="175">
        <v>3.2714120235453205E-2</v>
      </c>
      <c r="Z541" s="175"/>
      <c r="AA541" s="175"/>
      <c r="AB541" s="175"/>
      <c r="AC541" s="170">
        <f t="shared" si="1475"/>
        <v>0</v>
      </c>
      <c r="AD541" s="175"/>
      <c r="AE541" s="170"/>
      <c r="AF541" s="119"/>
      <c r="AG541" s="174"/>
      <c r="AH541" s="175"/>
      <c r="AI541" s="175"/>
      <c r="AJ541" s="174"/>
      <c r="AK541" s="174"/>
      <c r="AL541" s="120"/>
      <c r="AM541" s="120"/>
      <c r="AN541" s="120"/>
      <c r="AO541" s="120"/>
      <c r="AP541" s="120"/>
      <c r="AQ541" s="175"/>
      <c r="AR541" s="120"/>
      <c r="AS541" s="120"/>
      <c r="AT541" s="120"/>
      <c r="AU541" s="120"/>
      <c r="AV541" s="120"/>
      <c r="AW541" s="120"/>
      <c r="AX541" s="120"/>
      <c r="AY541" s="120"/>
      <c r="AZ541" s="118">
        <f>IFERROR(INDEX('Total Customers'!$F$7:$AB$91,MATCH($C541,'Total Customers'!$D$7:$D$91,0),MATCH($G541,'Total Customers'!$F$5:$AB$5,0)),"NA")</f>
        <v>111491</v>
      </c>
      <c r="BA541" s="119">
        <f t="shared" ref="BA541:BA563" si="1563">LN(AZ541/AZ540)</f>
        <v>2.7977414337371508E-2</v>
      </c>
      <c r="BB541" s="119"/>
      <c r="BC541" s="121"/>
      <c r="BD541" s="119"/>
      <c r="BE541" s="119"/>
      <c r="BF541" s="119"/>
      <c r="BG541" s="173"/>
      <c r="BH541" s="173"/>
      <c r="BI541" s="173"/>
      <c r="BJ541" s="173"/>
      <c r="BK541" s="173"/>
      <c r="BL541" s="173"/>
      <c r="BM541" s="173"/>
      <c r="BN541" s="173"/>
      <c r="BO541" s="173"/>
      <c r="BP541" s="173"/>
      <c r="BQ541" s="118"/>
      <c r="BR541" s="118"/>
      <c r="BS541" s="118">
        <f>INDEX('Dist. Plant Gas Additions'!$F$7:$AE$91,MATCH($C541,'Dist. Plant Gas Additions'!$D$7:$D$91,0),MATCH(Calculation!$G541,'Dist. Plant Gas Additions'!$F$5:$AE$5,0))</f>
        <v>4932</v>
      </c>
      <c r="BT541" s="118">
        <f>INDEX('Gen. Plant Additions'!$F$7:$AE$91,MATCH($C541,'Gen. Plant Additions'!$D$7:$D$91,0),MATCH(Calculation!$G541,'Gen. Plant Additions'!$F$5:$AE$5,0))</f>
        <v>100</v>
      </c>
      <c r="BU541" s="118"/>
      <c r="BV541" s="118"/>
      <c r="BW541" s="118">
        <f>INDEX('Dist Plant Depreciation'!$E$7:$AD$94,MATCH($C541,'Dist Plant Depreciation'!$D$7:$D$94,0),MATCH(Calculation!$G541,'Dist Plant Depreciation'!$E$5:$AD$5,0))</f>
        <v>90348</v>
      </c>
      <c r="BX541" s="118">
        <f>INDEX('Gen. Plant Depreciation'!$E$7:$AD$94,MATCH($C541,'Gen. Plant Depreciation'!$D$7:$D$94,0),MATCH(Calculation!$G541,'Gen. Plant Depreciation'!$E$5:$AD$5,0))</f>
        <v>3934</v>
      </c>
      <c r="BY541" s="118"/>
      <c r="BZ541" s="118"/>
      <c r="CA541" s="118"/>
      <c r="CB541" s="118"/>
      <c r="CC541" s="118"/>
      <c r="CD541" s="118"/>
      <c r="CE541" s="118">
        <f>INDEX('Gross Dx Plant'!$E$7:$AD$91,MATCH($C541,'Gross Dx Plant'!$D$7:$D$91,0),MATCH(Calculation!$G541,'Gross Dx Plant'!$E$5:$AD$5,0))</f>
        <v>170810</v>
      </c>
      <c r="CF541" s="118">
        <f>INDEX('Gross Gen Plant'!$E$7:$AD$91,MATCH($C541,'Gross Gen Plant'!$D$7:$D$91,0),MATCH(Calculation!$G541,'Gross Gen Plant'!$E$5:$AD$5,0))</f>
        <v>2522</v>
      </c>
      <c r="CG541" s="118">
        <f t="shared" si="1516"/>
        <v>79050</v>
      </c>
      <c r="CH541" s="118"/>
      <c r="CI541" s="121">
        <v>1999</v>
      </c>
      <c r="CJ541" s="118"/>
      <c r="CK541" s="118"/>
      <c r="CL541" s="118"/>
      <c r="CM541" s="183"/>
      <c r="CN541" s="118">
        <f t="shared" ref="CN541:CN563" si="1564">+BT541+BS541</f>
        <v>5032</v>
      </c>
      <c r="CO541" s="118">
        <f t="shared" ref="CO541:CO563" si="1565">+CN541/$DM541</f>
        <v>15.00633751748779</v>
      </c>
      <c r="CP541" s="186">
        <v>0.99502487562189057</v>
      </c>
      <c r="CQ541" s="118">
        <f>+CQ540*CP541+CO541</f>
        <v>405.57885826295353</v>
      </c>
      <c r="CR541" s="119">
        <f t="shared" ref="CR541:CR562" si="1566">LN(CQ541/CQ540)</f>
        <v>3.2714120235453205E-2</v>
      </c>
      <c r="CS541" s="119"/>
      <c r="CT541" s="177">
        <f t="shared" ref="CT541:CT563" si="1567">+(CQ540-CQ541+CO541)/CQ540</f>
        <v>4.9751243781094717E-3</v>
      </c>
      <c r="CU541" s="177"/>
      <c r="CV541" s="119">
        <f>VLOOKUP($H541,RoR!$E:$F,2,FALSE)</f>
        <v>7.0416666666666669E-2</v>
      </c>
      <c r="CW541" s="177">
        <v>1.4335631817396832E-2</v>
      </c>
      <c r="CX541" s="177">
        <f>+CV541-CW541</f>
        <v>5.6081034849269837E-2</v>
      </c>
      <c r="CY541" s="177"/>
      <c r="CZ541" s="177"/>
      <c r="DA541" s="187">
        <f t="shared" ref="DA541:DA563" si="1568">1-DF541*DG541</f>
        <v>0.84949374999999994</v>
      </c>
      <c r="DB541" s="188">
        <f t="shared" ref="DB541:DB563" si="1569">2/(DK541*39)</f>
        <v>0.72826581702321336</v>
      </c>
      <c r="DC541" s="188">
        <f t="shared" ref="DC541:DC563" si="1570">+(DK541*40-(1+DK541))/(DK541*40)</f>
        <v>0.61997041420118348</v>
      </c>
      <c r="DD541" s="188">
        <f t="shared" ref="DD541:DD563" si="1571">+(1-(1/(1+DK541)^40))</f>
        <v>0.93425155319585029</v>
      </c>
      <c r="DE541" s="188">
        <f t="shared" ref="DE541:DE563" si="1572">+DD541*DC541*DB541</f>
        <v>0.42181762214141483</v>
      </c>
      <c r="DF541" s="189">
        <f>INDEX('State Tax Lookup'!$D$7:$Z$91,MATCH(Calculation!$C541,'State Tax Lookup'!$B$7:$B$91,0),MATCH($H541,'State Tax Lookup'!$D$6:$Z$6,0))</f>
        <v>0.40134999999999998</v>
      </c>
      <c r="DG541" s="189">
        <v>0.375</v>
      </c>
      <c r="DH541" s="190"/>
      <c r="DI541" s="190"/>
      <c r="DJ541" s="177"/>
      <c r="DK541" s="189">
        <f>VLOOKUP($H541,RoR!$E:$F,2,FALSE)</f>
        <v>7.0416666666666669E-2</v>
      </c>
      <c r="DL541" s="191">
        <f>HLOOKUP($H541,'GDP-PI'!$D$8:$CQ$11,3,FALSE)</f>
        <v>1.4335631817396832E-2</v>
      </c>
      <c r="DM541" s="189">
        <f>VLOOKUP(H541,'HW Dx Data'!$E:$F,2,FALSE)</f>
        <v>335.32499146683239</v>
      </c>
      <c r="DN541" s="183" t="e">
        <f>VLOOKUP(H541,'ECI - Input Price'!$G$17:$H$37,2,FALSE)</f>
        <v>#N/A</v>
      </c>
      <c r="DO541" s="177"/>
      <c r="DP541" s="183">
        <f>HLOOKUP(H541,'GDP-PI'!$8:$9,2,FALSE)</f>
        <v>76.346000000000004</v>
      </c>
    </row>
    <row r="542" spans="1:121" s="167" customFormat="1" ht="21" x14ac:dyDescent="0.35">
      <c r="A542" s="167" t="s">
        <v>66</v>
      </c>
      <c r="B542" s="168" t="s">
        <v>66</v>
      </c>
      <c r="C542" s="168">
        <v>4008754</v>
      </c>
      <c r="D542" s="168" t="s">
        <v>144</v>
      </c>
      <c r="E542" s="168"/>
      <c r="F542" s="168"/>
      <c r="G542" s="168" t="s">
        <v>6</v>
      </c>
      <c r="H542" s="169">
        <v>2000</v>
      </c>
      <c r="I542" s="170"/>
      <c r="J542" s="166"/>
      <c r="K542" s="166"/>
      <c r="L542" s="166"/>
      <c r="M542" s="166"/>
      <c r="N542" s="196"/>
      <c r="O542" s="166"/>
      <c r="P542" s="166"/>
      <c r="Q542" s="166"/>
      <c r="R542" s="166"/>
      <c r="S542" s="166"/>
      <c r="T542" s="166"/>
      <c r="U542" s="166"/>
      <c r="V542" s="166">
        <f t="shared" si="1562"/>
        <v>0</v>
      </c>
      <c r="W542" s="170"/>
      <c r="X542" s="174">
        <v>423.86535747375194</v>
      </c>
      <c r="Y542" s="175">
        <v>4.4100525353144508E-2</v>
      </c>
      <c r="Z542" s="175"/>
      <c r="AA542" s="175"/>
      <c r="AB542" s="175"/>
      <c r="AC542" s="170">
        <f t="shared" si="1475"/>
        <v>0</v>
      </c>
      <c r="AD542" s="175"/>
      <c r="AE542" s="170"/>
      <c r="AF542" s="170"/>
      <c r="AG542" s="174"/>
      <c r="AH542" s="175"/>
      <c r="AI542" s="175"/>
      <c r="AJ542" s="174"/>
      <c r="AK542" s="174"/>
      <c r="AL542" s="120"/>
      <c r="AM542" s="120"/>
      <c r="AN542" s="120"/>
      <c r="AO542" s="120"/>
      <c r="AP542" s="120"/>
      <c r="AQ542" s="175"/>
      <c r="AR542" s="120"/>
      <c r="AS542" s="120"/>
      <c r="AT542" s="120"/>
      <c r="AU542" s="120"/>
      <c r="AV542" s="120"/>
      <c r="AW542" s="120"/>
      <c r="AX542" s="120"/>
      <c r="AY542" s="120"/>
      <c r="AZ542" s="118">
        <f>IFERROR(INDEX('Total Customers'!$F$7:$AB$91,MATCH($C542,'Total Customers'!$D$7:$D$91,0),MATCH($G542,'Total Customers'!$F$5:$AB$5,0)),"NA")</f>
        <v>113784</v>
      </c>
      <c r="BA542" s="119">
        <f t="shared" si="1563"/>
        <v>2.0358044114374422E-2</v>
      </c>
      <c r="BB542" s="119"/>
      <c r="BC542" s="121"/>
      <c r="BD542" s="119"/>
      <c r="BE542" s="119"/>
      <c r="BF542" s="119"/>
      <c r="BG542" s="173"/>
      <c r="BH542" s="173"/>
      <c r="BI542" s="173"/>
      <c r="BJ542" s="173"/>
      <c r="BK542" s="173"/>
      <c r="BL542" s="173"/>
      <c r="BM542" s="173"/>
      <c r="BN542" s="173"/>
      <c r="BO542" s="173"/>
      <c r="BP542" s="173"/>
      <c r="BQ542" s="118"/>
      <c r="BR542" s="118"/>
      <c r="BS542" s="118">
        <f>INDEX('Dist. Plant Gas Additions'!$F$7:$AE$91,MATCH($C542,'Dist. Plant Gas Additions'!$D$7:$D$91,0),MATCH(Calculation!$G542,'Dist. Plant Gas Additions'!$F$5:$AE$5,0))</f>
        <v>6920</v>
      </c>
      <c r="BT542" s="118">
        <f>INDEX('Gen. Plant Additions'!$F$7:$AE$91,MATCH($C542,'Gen. Plant Additions'!$D$7:$D$91,0),MATCH(Calculation!$G542,'Gen. Plant Additions'!$F$5:$AE$5,0))</f>
        <v>140</v>
      </c>
      <c r="BU542" s="118"/>
      <c r="BV542" s="118"/>
      <c r="BW542" s="118">
        <f>INDEX('Dist Plant Depreciation'!$E$7:$AD$94,MATCH($C542,'Dist Plant Depreciation'!$D$7:$D$94,0),MATCH(Calculation!$G542,'Dist Plant Depreciation'!$E$5:$AD$5,0))</f>
        <v>95438</v>
      </c>
      <c r="BX542" s="118">
        <f>INDEX('Gen. Plant Depreciation'!$E$7:$AD$94,MATCH($C542,'Gen. Plant Depreciation'!$D$7:$D$94,0),MATCH(Calculation!$G542,'Gen. Plant Depreciation'!$E$5:$AD$5,0))</f>
        <v>3580</v>
      </c>
      <c r="BY542" s="118"/>
      <c r="BZ542" s="118"/>
      <c r="CA542" s="118"/>
      <c r="CB542" s="118"/>
      <c r="CC542" s="118"/>
      <c r="CD542" s="118"/>
      <c r="CE542" s="118">
        <f>INDEX('Gross Dx Plant'!$E$7:$AD$91,MATCH($C542,'Gross Dx Plant'!$D$7:$D$91,0),MATCH(Calculation!$G542,'Gross Dx Plant'!$E$5:$AD$5,0))</f>
        <v>177083</v>
      </c>
      <c r="CF542" s="118">
        <f>INDEX('Gross Gen Plant'!$E$7:$AD$91,MATCH($C542,'Gross Gen Plant'!$D$7:$D$91,0),MATCH(Calculation!$G542,'Gross Gen Plant'!$E$5:$AD$5,0))</f>
        <v>2644</v>
      </c>
      <c r="CG542" s="118">
        <f t="shared" si="1516"/>
        <v>80709</v>
      </c>
      <c r="CH542" s="118"/>
      <c r="CI542" s="121">
        <v>2000</v>
      </c>
      <c r="CJ542" s="118"/>
      <c r="CK542" s="118"/>
      <c r="CL542" s="118"/>
      <c r="CM542" s="183"/>
      <c r="CN542" s="118">
        <f t="shared" si="1564"/>
        <v>7060</v>
      </c>
      <c r="CO542" s="118">
        <f t="shared" si="1565"/>
        <v>20.373197864793482</v>
      </c>
      <c r="CP542" s="186">
        <v>0.98989898989898994</v>
      </c>
      <c r="CQ542" s="118">
        <f>+CQ540*CP542+CO541*CP541+CO542</f>
        <v>423.86535747375194</v>
      </c>
      <c r="CR542" s="119">
        <f t="shared" si="1566"/>
        <v>4.4100525353144508E-2</v>
      </c>
      <c r="CS542" s="119"/>
      <c r="CT542" s="177">
        <f t="shared" si="1567"/>
        <v>5.1449887277955171E-3</v>
      </c>
      <c r="CU542" s="177"/>
      <c r="CV542" s="119">
        <f>VLOOKUP($H542,RoR!$E:$F,2,FALSE)</f>
        <v>7.6225000000000001E-2</v>
      </c>
      <c r="CW542" s="177">
        <v>2.2568307442433211E-2</v>
      </c>
      <c r="CX542" s="177">
        <f t="shared" ref="CX542:CX562" si="1573">+CV542-CW542</f>
        <v>5.365669255756679E-2</v>
      </c>
      <c r="CY542" s="177"/>
      <c r="CZ542" s="177"/>
      <c r="DA542" s="187">
        <f t="shared" si="1568"/>
        <v>0.84949374999999994</v>
      </c>
      <c r="DB542" s="188">
        <f t="shared" si="1569"/>
        <v>0.67277207323124022</v>
      </c>
      <c r="DC542" s="188">
        <f t="shared" si="1570"/>
        <v>0.6470236142997704</v>
      </c>
      <c r="DD542" s="188">
        <f t="shared" si="1571"/>
        <v>0.94704866037543145</v>
      </c>
      <c r="DE542" s="188">
        <f t="shared" si="1572"/>
        <v>0.41224973107878493</v>
      </c>
      <c r="DF542" s="189">
        <f>INDEX('State Tax Lookup'!$D$7:$Z$91,MATCH(Calculation!$C542,'State Tax Lookup'!$B$7:$B$91,0),MATCH($H542,'State Tax Lookup'!$D$6:$Z$6,0))</f>
        <v>0.40134999999999998</v>
      </c>
      <c r="DG542" s="189">
        <v>0.375</v>
      </c>
      <c r="DH542" s="190"/>
      <c r="DI542" s="190"/>
      <c r="DJ542" s="177"/>
      <c r="DK542" s="189">
        <f>VLOOKUP($H542,RoR!$E:$F,2,FALSE)</f>
        <v>7.6225000000000001E-2</v>
      </c>
      <c r="DL542" s="191">
        <f>HLOOKUP($H542,'GDP-PI'!$D$8:$CQ$11,3,FALSE)</f>
        <v>2.2568307442433211E-2</v>
      </c>
      <c r="DM542" s="189">
        <f>VLOOKUP(H542,'HW Dx Data'!$E:$F,2,FALSE)</f>
        <v>346.53371782150339</v>
      </c>
      <c r="DN542" s="183" t="e">
        <f>VLOOKUP(H542,'ECI - Input Price'!$G$17:$H$37,2,FALSE)</f>
        <v>#N/A</v>
      </c>
      <c r="DO542" s="177"/>
      <c r="DP542" s="183">
        <f>HLOOKUP(H542,'GDP-PI'!$8:$9,2,FALSE)</f>
        <v>78.069000000000003</v>
      </c>
    </row>
    <row r="543" spans="1:121" s="167" customFormat="1" ht="21" x14ac:dyDescent="0.35">
      <c r="A543" s="167" t="s">
        <v>66</v>
      </c>
      <c r="B543" s="168" t="s">
        <v>66</v>
      </c>
      <c r="C543" s="168">
        <v>4008754</v>
      </c>
      <c r="D543" s="168" t="s">
        <v>144</v>
      </c>
      <c r="E543" s="168"/>
      <c r="F543" s="168"/>
      <c r="G543" s="168" t="s">
        <v>7</v>
      </c>
      <c r="H543" s="169">
        <v>2001</v>
      </c>
      <c r="I543" s="170"/>
      <c r="J543" s="166"/>
      <c r="K543" s="166"/>
      <c r="L543" s="166"/>
      <c r="M543" s="166"/>
      <c r="N543" s="196"/>
      <c r="O543" s="166"/>
      <c r="P543" s="166"/>
      <c r="Q543" s="166"/>
      <c r="R543" s="166"/>
      <c r="S543" s="166"/>
      <c r="T543" s="166"/>
      <c r="U543" s="166"/>
      <c r="V543" s="166">
        <f t="shared" si="1562"/>
        <v>5478.2678513358624</v>
      </c>
      <c r="W543" s="170"/>
      <c r="X543" s="174">
        <v>434.68954478395409</v>
      </c>
      <c r="Y543" s="175">
        <v>2.5216234465456518E-2</v>
      </c>
      <c r="Z543" s="175"/>
      <c r="AA543" s="175"/>
      <c r="AB543" s="175"/>
      <c r="AC543" s="170">
        <f t="shared" si="1475"/>
        <v>5478.2678513358624</v>
      </c>
      <c r="AD543" s="175"/>
      <c r="AE543" s="170"/>
      <c r="AF543" s="170"/>
      <c r="AG543" s="174"/>
      <c r="AH543" s="175"/>
      <c r="AI543" s="175"/>
      <c r="AJ543" s="174"/>
      <c r="AK543" s="174"/>
      <c r="AL543" s="120"/>
      <c r="AM543" s="120"/>
      <c r="AN543" s="120"/>
      <c r="AO543" s="120"/>
      <c r="AP543" s="120"/>
      <c r="AQ543" s="175"/>
      <c r="AR543" s="120"/>
      <c r="AS543" s="120"/>
      <c r="AT543" s="120"/>
      <c r="AU543" s="120"/>
      <c r="AV543" s="120"/>
      <c r="AW543" s="120"/>
      <c r="AX543" s="120"/>
      <c r="AY543" s="120"/>
      <c r="AZ543" s="118">
        <f>IFERROR(INDEX('Total Customers'!$F$7:$AB$91,MATCH($C543,'Total Customers'!$D$7:$D$91,0),MATCH($G543,'Total Customers'!$F$5:$AB$5,0)),"NA")</f>
        <v>117091</v>
      </c>
      <c r="BA543" s="119">
        <f t="shared" si="1563"/>
        <v>2.8649495995215529E-2</v>
      </c>
      <c r="BB543" s="119"/>
      <c r="BC543" s="121"/>
      <c r="BD543" s="119"/>
      <c r="BE543" s="119"/>
      <c r="BF543" s="119"/>
      <c r="BG543" s="173"/>
      <c r="BH543" s="173"/>
      <c r="BI543" s="173"/>
      <c r="BJ543" s="173"/>
      <c r="BK543" s="173"/>
      <c r="BL543" s="173"/>
      <c r="BM543" s="173"/>
      <c r="BN543" s="173"/>
      <c r="BO543" s="173"/>
      <c r="BP543" s="173"/>
      <c r="BQ543" s="118"/>
      <c r="BR543" s="118"/>
      <c r="BS543" s="118">
        <f>INDEX('Dist. Plant Gas Additions'!$F$7:$AE$91,MATCH($C543,'Dist. Plant Gas Additions'!$D$7:$D$91,0),MATCH(Calculation!$G543,'Dist. Plant Gas Additions'!$F$5:$AE$5,0))</f>
        <v>4552</v>
      </c>
      <c r="BT543" s="118">
        <f>INDEX('Gen. Plant Additions'!$F$7:$AE$91,MATCH($C543,'Gen. Plant Additions'!$D$7:$D$91,0),MATCH(Calculation!$G543,'Gen. Plant Additions'!$F$5:$AE$5,0))</f>
        <v>34</v>
      </c>
      <c r="BU543" s="118"/>
      <c r="BV543" s="118"/>
      <c r="BW543" s="118">
        <f>INDEX('Dist Plant Depreciation'!$E$7:$AD$94,MATCH($C543,'Dist Plant Depreciation'!$D$7:$D$94,0),MATCH(Calculation!$G543,'Dist Plant Depreciation'!$E$5:$AD$5,0))</f>
        <v>103015</v>
      </c>
      <c r="BX543" s="118">
        <f>INDEX('Gen. Plant Depreciation'!$E$7:$AD$94,MATCH($C543,'Gen. Plant Depreciation'!$D$7:$D$94,0),MATCH(Calculation!$G543,'Gen. Plant Depreciation'!$E$5:$AD$5,0))</f>
        <v>3192</v>
      </c>
      <c r="BY543" s="118"/>
      <c r="BZ543" s="118"/>
      <c r="CA543" s="118"/>
      <c r="CB543" s="118"/>
      <c r="CC543" s="118"/>
      <c r="CD543" s="118"/>
      <c r="CE543" s="118">
        <f>INDEX('Gross Dx Plant'!$E$7:$AD$91,MATCH($C543,'Gross Dx Plant'!$D$7:$D$91,0),MATCH(Calculation!$G543,'Gross Dx Plant'!$E$5:$AD$5,0))</f>
        <v>186974</v>
      </c>
      <c r="CF543" s="118">
        <f>INDEX('Gross Gen Plant'!$E$7:$AD$91,MATCH($C543,'Gross Gen Plant'!$D$7:$D$91,0),MATCH(Calculation!$G543,'Gross Gen Plant'!$E$5:$AD$5,0))</f>
        <v>2952</v>
      </c>
      <c r="CG543" s="118">
        <f t="shared" si="1516"/>
        <v>83719</v>
      </c>
      <c r="CH543" s="118"/>
      <c r="CI543" s="121">
        <v>2001</v>
      </c>
      <c r="CJ543" s="118"/>
      <c r="CK543" s="118"/>
      <c r="CL543" s="118"/>
      <c r="CM543" s="183"/>
      <c r="CN543" s="118">
        <f t="shared" si="1564"/>
        <v>4586</v>
      </c>
      <c r="CO543" s="118">
        <f t="shared" si="1565"/>
        <v>12.975057270849065</v>
      </c>
      <c r="CP543" s="186">
        <v>0.98461538461538467</v>
      </c>
      <c r="CQ543" s="118">
        <f>+CQ540*CP543+CO541*CP542+CO542*CP540+CO543</f>
        <v>434.68954478395409</v>
      </c>
      <c r="CR543" s="119">
        <f t="shared" si="1566"/>
        <v>2.5216234465456518E-2</v>
      </c>
      <c r="CS543" s="119"/>
      <c r="CT543" s="177">
        <f t="shared" si="1567"/>
        <v>5.0744179082389635E-3</v>
      </c>
      <c r="CU543" s="177">
        <f>+(CT543+CT542+CT541)/3</f>
        <v>5.0648436713813172E-3</v>
      </c>
      <c r="CV543" s="119">
        <f>VLOOKUP($H543,RoR!$E:$F,2,FALSE)</f>
        <v>7.0824999999999999E-2</v>
      </c>
      <c r="CW543" s="177">
        <v>2.2454495382290052E-2</v>
      </c>
      <c r="CX543" s="177">
        <f t="shared" si="1573"/>
        <v>4.8370504617709947E-2</v>
      </c>
      <c r="CY543" s="177">
        <f>+$CX$35-CU543</f>
        <v>2.5837097937152307E-2</v>
      </c>
      <c r="CZ543" s="177">
        <f>+((DM541/DM540-1)+(DM542/DM541-1)+(DM543/DM542-1))/3</f>
        <v>2.3947275901631187E-2</v>
      </c>
      <c r="DA543" s="187">
        <f t="shared" si="1568"/>
        <v>0.84949374999999994</v>
      </c>
      <c r="DB543" s="188">
        <f t="shared" si="1569"/>
        <v>0.72406708481540816</v>
      </c>
      <c r="DC543" s="188">
        <f t="shared" si="1570"/>
        <v>0.62201729615248857</v>
      </c>
      <c r="DD543" s="188">
        <f t="shared" si="1571"/>
        <v>0.9352469954311422</v>
      </c>
      <c r="DE543" s="188">
        <f t="shared" si="1572"/>
        <v>0.42121864641655071</v>
      </c>
      <c r="DF543" s="189">
        <f>INDEX('State Tax Lookup'!$D$7:$Z$91,MATCH(Calculation!$C543,'State Tax Lookup'!$B$7:$B$91,0),MATCH($H543,'State Tax Lookup'!$D$6:$Z$6,0))</f>
        <v>0.40134999999999998</v>
      </c>
      <c r="DG543" s="189">
        <v>0.375</v>
      </c>
      <c r="DH543" s="190">
        <f t="shared" ref="DH543:DH563" si="1574">+(DM543*CY543-CZ543)*DA543/(1-DF543)</f>
        <v>12.924547276018203</v>
      </c>
      <c r="DI543" s="190"/>
      <c r="DJ543" s="177"/>
      <c r="DK543" s="189">
        <f>VLOOKUP($H543,RoR!$E:$F,2,FALSE)</f>
        <v>7.0824999999999999E-2</v>
      </c>
      <c r="DL543" s="191">
        <f>HLOOKUP($H543,'GDP-PI'!$D$8:$CQ$11,3,FALSE)</f>
        <v>2.2454495382290052E-2</v>
      </c>
      <c r="DM543" s="189">
        <f>VLOOKUP(H543,'HW Dx Data'!$E:$F,2,FALSE)</f>
        <v>353.44738017483138</v>
      </c>
      <c r="DN543" s="183">
        <f>VLOOKUP(H543,'ECI - Input Price'!$G$17:$H$37,2,FALSE)</f>
        <v>86.2</v>
      </c>
      <c r="DO543" s="177"/>
      <c r="DP543" s="183">
        <f>HLOOKUP(H543,'GDP-PI'!$8:$9,2,FALSE)</f>
        <v>79.822000000000003</v>
      </c>
    </row>
    <row r="544" spans="1:121" s="167" customFormat="1" ht="21" x14ac:dyDescent="0.35">
      <c r="A544" s="167" t="s">
        <v>66</v>
      </c>
      <c r="B544" s="168" t="s">
        <v>66</v>
      </c>
      <c r="C544" s="168">
        <v>4008754</v>
      </c>
      <c r="D544" s="168" t="s">
        <v>144</v>
      </c>
      <c r="E544" s="168"/>
      <c r="F544" s="168"/>
      <c r="G544" s="168" t="s">
        <v>8</v>
      </c>
      <c r="H544" s="169">
        <v>2002</v>
      </c>
      <c r="I544" s="170"/>
      <c r="J544" s="166"/>
      <c r="K544" s="166"/>
      <c r="L544" s="166"/>
      <c r="M544" s="166"/>
      <c r="N544" s="196"/>
      <c r="O544" s="166"/>
      <c r="P544" s="166"/>
      <c r="Q544" s="166"/>
      <c r="R544" s="166"/>
      <c r="S544" s="166"/>
      <c r="T544" s="166"/>
      <c r="U544" s="166"/>
      <c r="V544" s="166">
        <f t="shared" si="1562"/>
        <v>5687.6038017437777</v>
      </c>
      <c r="W544" s="170"/>
      <c r="X544" s="174">
        <v>472.2677757017575</v>
      </c>
      <c r="Y544" s="175">
        <v>8.291405998283681E-2</v>
      </c>
      <c r="Z544" s="175"/>
      <c r="AA544" s="175"/>
      <c r="AB544" s="175"/>
      <c r="AC544" s="170">
        <f t="shared" si="1475"/>
        <v>5687.6038017437777</v>
      </c>
      <c r="AD544" s="175"/>
      <c r="AE544" s="170"/>
      <c r="AF544" s="170"/>
      <c r="AG544" s="174"/>
      <c r="AH544" s="175"/>
      <c r="AI544" s="175"/>
      <c r="AJ544" s="174"/>
      <c r="AK544" s="174"/>
      <c r="AL544" s="120"/>
      <c r="AM544" s="120"/>
      <c r="AN544" s="120"/>
      <c r="AO544" s="120"/>
      <c r="AP544" s="120"/>
      <c r="AQ544" s="175"/>
      <c r="AR544" s="120"/>
      <c r="AS544" s="120"/>
      <c r="AT544" s="120"/>
      <c r="AU544" s="120"/>
      <c r="AV544" s="120"/>
      <c r="AW544" s="120"/>
      <c r="AX544" s="120"/>
      <c r="AY544" s="120"/>
      <c r="AZ544" s="118">
        <f>IFERROR(INDEX('Total Customers'!$F$7:$AB$91,MATCH($C544,'Total Customers'!$D$7:$D$91,0),MATCH($G544,'Total Customers'!$F$5:$AB$5,0)),"NA")</f>
        <v>124416</v>
      </c>
      <c r="BA544" s="119">
        <f t="shared" si="1563"/>
        <v>6.0679379134776772E-2</v>
      </c>
      <c r="BB544" s="119"/>
      <c r="BC544" s="121"/>
      <c r="BD544" s="119"/>
      <c r="BE544" s="119"/>
      <c r="BF544" s="119"/>
      <c r="BG544" s="173"/>
      <c r="BH544" s="173"/>
      <c r="BI544" s="173"/>
      <c r="BJ544" s="173"/>
      <c r="BK544" s="173"/>
      <c r="BL544" s="173"/>
      <c r="BM544" s="173"/>
      <c r="BN544" s="173"/>
      <c r="BO544" s="173"/>
      <c r="BP544" s="173"/>
      <c r="BQ544" s="118"/>
      <c r="BR544" s="118"/>
      <c r="BS544" s="118">
        <f>INDEX('Dist. Plant Gas Additions'!$F$7:$AE$91,MATCH($C544,'Dist. Plant Gas Additions'!$D$7:$D$91,0),MATCH(Calculation!$G544,'Dist. Plant Gas Additions'!$F$5:$AE$5,0))</f>
        <v>14372</v>
      </c>
      <c r="BT544" s="118">
        <f>INDEX('Gen. Plant Additions'!$F$7:$AE$91,MATCH($C544,'Gen. Plant Additions'!$D$7:$D$91,0),MATCH(Calculation!$G544,'Gen. Plant Additions'!$F$5:$AE$5,0))</f>
        <v>106</v>
      </c>
      <c r="BU544" s="118"/>
      <c r="BV544" s="118"/>
      <c r="BW544" s="118">
        <f>INDEX('Dist Plant Depreciation'!$E$7:$AD$94,MATCH($C544,'Dist Plant Depreciation'!$D$7:$D$94,0),MATCH(Calculation!$G544,'Dist Plant Depreciation'!$E$5:$AD$5,0))</f>
        <v>108754</v>
      </c>
      <c r="BX544" s="118">
        <f>INDEX('Gen. Plant Depreciation'!$E$7:$AD$94,MATCH($C544,'Gen. Plant Depreciation'!$D$7:$D$94,0),MATCH(Calculation!$G544,'Gen. Plant Depreciation'!$E$5:$AD$5,0))</f>
        <v>2772</v>
      </c>
      <c r="BY544" s="118"/>
      <c r="BZ544" s="118"/>
      <c r="CA544" s="118"/>
      <c r="CB544" s="118"/>
      <c r="CC544" s="118"/>
      <c r="CD544" s="118"/>
      <c r="CE544" s="118">
        <f>INDEX('Gross Dx Plant'!$E$7:$AD$91,MATCH($C544,'Gross Dx Plant'!$D$7:$D$91,0),MATCH(Calculation!$G544,'Gross Dx Plant'!$E$5:$AD$5,0))</f>
        <v>200983</v>
      </c>
      <c r="CF544" s="118">
        <f>INDEX('Gross Gen Plant'!$E$7:$AD$91,MATCH($C544,'Gross Gen Plant'!$D$7:$D$91,0),MATCH(Calculation!$G544,'Gross Gen Plant'!$E$5:$AD$5,0))</f>
        <v>3042</v>
      </c>
      <c r="CG544" s="118">
        <f t="shared" si="1516"/>
        <v>92499</v>
      </c>
      <c r="CH544" s="118"/>
      <c r="CI544" s="121">
        <v>2002</v>
      </c>
      <c r="CJ544" s="118"/>
      <c r="CK544" s="118"/>
      <c r="CL544" s="118"/>
      <c r="CM544" s="183"/>
      <c r="CN544" s="118">
        <f t="shared" si="1564"/>
        <v>14478</v>
      </c>
      <c r="CO544" s="118">
        <f t="shared" si="1565"/>
        <v>40.066620984738229</v>
      </c>
      <c r="CP544" s="186">
        <v>0.97916666666666663</v>
      </c>
      <c r="CQ544" s="118">
        <f>+CQ540*CP544+CO541*CP543+CO542*CP542+CO543*CP541+CO544</f>
        <v>472.2677757017575</v>
      </c>
      <c r="CR544" s="119">
        <f t="shared" si="1566"/>
        <v>8.291405998283681E-2</v>
      </c>
      <c r="CS544" s="119"/>
      <c r="CT544" s="177">
        <f t="shared" si="1567"/>
        <v>5.7245224707936767E-3</v>
      </c>
      <c r="CU544" s="177">
        <f t="shared" ref="CU544:CU563" si="1575">+(CT544+CT543+CT542)/3</f>
        <v>5.3146430356093852E-3</v>
      </c>
      <c r="CV544" s="119">
        <f>VLOOKUP($H544,RoR!$E:$F,2,FALSE)</f>
        <v>6.4916666666666664E-2</v>
      </c>
      <c r="CW544" s="177">
        <v>1.5246423291824351E-2</v>
      </c>
      <c r="CX544" s="177">
        <f t="shared" si="1573"/>
        <v>4.9670243374842313E-2</v>
      </c>
      <c r="CY544" s="177">
        <f t="shared" ref="CY544:CY563" si="1576">+$CX$35-CU544</f>
        <v>2.5587298572924241E-2</v>
      </c>
      <c r="CZ544" s="177">
        <f t="shared" ref="CZ544:CZ563" si="1577">+((DM542/DM541-1)+(DM543/DM542-1)+(DM544/DM543-1))/3</f>
        <v>2.5243621214759093E-2</v>
      </c>
      <c r="DA544" s="187">
        <f t="shared" si="1568"/>
        <v>0.84949374999999994</v>
      </c>
      <c r="DB544" s="188">
        <f t="shared" si="1569"/>
        <v>0.78996741384417901</v>
      </c>
      <c r="DC544" s="188">
        <f t="shared" si="1570"/>
        <v>0.58989088575096271</v>
      </c>
      <c r="DD544" s="188">
        <f t="shared" si="1571"/>
        <v>0.91920675783645744</v>
      </c>
      <c r="DE544" s="188">
        <f t="shared" si="1572"/>
        <v>0.42834536472275586</v>
      </c>
      <c r="DF544" s="189">
        <f>INDEX('State Tax Lookup'!$D$7:$Z$91,MATCH(Calculation!$C544,'State Tax Lookup'!$B$7:$B$91,0),MATCH($H544,'State Tax Lookup'!$D$6:$Z$6,0))</f>
        <v>0.40134999999999998</v>
      </c>
      <c r="DG544" s="189">
        <v>0.375</v>
      </c>
      <c r="DH544" s="190">
        <f t="shared" si="1574"/>
        <v>13.084289396862731</v>
      </c>
      <c r="DI544" s="190"/>
      <c r="DJ544" s="177"/>
      <c r="DK544" s="189">
        <f>VLOOKUP($H544,RoR!$E:$F,2,FALSE)</f>
        <v>6.4916666666666664E-2</v>
      </c>
      <c r="DL544" s="191">
        <f>HLOOKUP($H544,'GDP-PI'!$D$8:$CQ$11,3,FALSE)</f>
        <v>1.5246423291824351E-2</v>
      </c>
      <c r="DM544" s="189">
        <f>VLOOKUP(H544,'HW Dx Data'!$E:$F,2,FALSE)</f>
        <v>361.34816573413599</v>
      </c>
      <c r="DN544" s="183">
        <f>VLOOKUP(H544,'ECI - Input Price'!$G$17:$H$37,2,FALSE)</f>
        <v>89.275000000000006</v>
      </c>
      <c r="DO544" s="177">
        <f>LN(DN544/DN543)</f>
        <v>3.5051315810864674E-2</v>
      </c>
      <c r="DP544" s="183">
        <f>HLOOKUP(H544,'GDP-PI'!$8:$9,2,FALSE)</f>
        <v>81.039000000000001</v>
      </c>
      <c r="DQ544" s="177">
        <f>LN(DP544/DP543)</f>
        <v>1.513136459537477E-2</v>
      </c>
    </row>
    <row r="545" spans="1:121" s="167" customFormat="1" ht="21" x14ac:dyDescent="0.35">
      <c r="A545" s="167" t="s">
        <v>66</v>
      </c>
      <c r="B545" s="168" t="s">
        <v>66</v>
      </c>
      <c r="C545" s="168">
        <v>4008754</v>
      </c>
      <c r="D545" s="168" t="s">
        <v>144</v>
      </c>
      <c r="E545" s="168"/>
      <c r="F545" s="168"/>
      <c r="G545" s="168" t="s">
        <v>9</v>
      </c>
      <c r="H545" s="169">
        <v>2003</v>
      </c>
      <c r="I545" s="170"/>
      <c r="J545" s="166"/>
      <c r="K545" s="166"/>
      <c r="L545" s="166"/>
      <c r="M545" s="172"/>
      <c r="N545" s="196"/>
      <c r="O545" s="172"/>
      <c r="P545" s="166"/>
      <c r="Q545" s="166"/>
      <c r="R545" s="166"/>
      <c r="S545" s="166"/>
      <c r="T545" s="166"/>
      <c r="U545" s="166"/>
      <c r="V545" s="166">
        <f t="shared" si="1562"/>
        <v>6276.5500098234688</v>
      </c>
      <c r="W545" s="170"/>
      <c r="X545" s="174">
        <v>499.41901646161284</v>
      </c>
      <c r="Y545" s="175">
        <v>5.5899309616631102E-2</v>
      </c>
      <c r="Z545" s="175"/>
      <c r="AA545" s="175"/>
      <c r="AB545" s="175"/>
      <c r="AC545" s="170">
        <f t="shared" si="1475"/>
        <v>6276.5500098234688</v>
      </c>
      <c r="AD545" s="175"/>
      <c r="AE545" s="170"/>
      <c r="AF545" s="170"/>
      <c r="AG545" s="174"/>
      <c r="AH545" s="175"/>
      <c r="AI545" s="175"/>
      <c r="AJ545" s="174"/>
      <c r="AK545" s="174"/>
      <c r="AL545" s="120"/>
      <c r="AM545" s="120"/>
      <c r="AN545" s="120"/>
      <c r="AO545" s="120"/>
      <c r="AP545" s="120"/>
      <c r="AQ545" s="175"/>
      <c r="AR545" s="120"/>
      <c r="AS545" s="120"/>
      <c r="AT545" s="120"/>
      <c r="AU545" s="120"/>
      <c r="AV545" s="120"/>
      <c r="AW545" s="120"/>
      <c r="AX545" s="120"/>
      <c r="AY545" s="120"/>
      <c r="AZ545" s="118">
        <f>IFERROR(INDEX('Total Customers'!$F$7:$AB$91,MATCH($C545,'Total Customers'!$D$7:$D$91,0),MATCH($G545,'Total Customers'!$F$5:$AB$5,0)),"NA")</f>
        <v>128815</v>
      </c>
      <c r="BA545" s="119">
        <f t="shared" si="1563"/>
        <v>3.474647711876732E-2</v>
      </c>
      <c r="BB545" s="119"/>
      <c r="BC545" s="121"/>
      <c r="BD545" s="119"/>
      <c r="BE545" s="119"/>
      <c r="BF545" s="119"/>
      <c r="BG545" s="173"/>
      <c r="BH545" s="173"/>
      <c r="BI545" s="173"/>
      <c r="BJ545" s="173"/>
      <c r="BK545" s="173"/>
      <c r="BL545" s="173"/>
      <c r="BM545" s="173"/>
      <c r="BN545" s="173"/>
      <c r="BO545" s="173"/>
      <c r="BP545" s="173"/>
      <c r="BQ545" s="118"/>
      <c r="BR545" s="118"/>
      <c r="BS545" s="118">
        <f>INDEX('Dist. Plant Gas Additions'!$F$7:$AE$91,MATCH($C545,'Dist. Plant Gas Additions'!$D$7:$D$91,0),MATCH(Calculation!$G545,'Dist. Plant Gas Additions'!$F$5:$AE$5,0))</f>
        <v>10717</v>
      </c>
      <c r="BT545" s="118">
        <f>INDEX('Gen. Plant Additions'!$F$7:$AE$91,MATCH($C545,'Gen. Plant Additions'!$D$7:$D$91,0),MATCH(Calculation!$G545,'Gen. Plant Additions'!$F$5:$AE$5,0))</f>
        <v>291</v>
      </c>
      <c r="BU545" s="118"/>
      <c r="BV545" s="118"/>
      <c r="BW545" s="118">
        <f>INDEX('Dist Plant Depreciation'!$E$7:$AD$94,MATCH($C545,'Dist Plant Depreciation'!$D$7:$D$94,0),MATCH(Calculation!$G545,'Dist Plant Depreciation'!$E$5:$AD$5,0))</f>
        <v>114410</v>
      </c>
      <c r="BX545" s="118">
        <f>INDEX('Gen. Plant Depreciation'!$E$7:$AD$94,MATCH($C545,'Gen. Plant Depreciation'!$D$7:$D$94,0),MATCH(Calculation!$G545,'Gen. Plant Depreciation'!$E$5:$AD$5,0))</f>
        <v>2488</v>
      </c>
      <c r="BY545" s="118"/>
      <c r="BZ545" s="118"/>
      <c r="CA545" s="118"/>
      <c r="CB545" s="118"/>
      <c r="CC545" s="118"/>
      <c r="CD545" s="118"/>
      <c r="CE545" s="118">
        <f>INDEX('Gross Dx Plant'!$E$7:$AD$91,MATCH($C545,'Gross Dx Plant'!$D$7:$D$91,0),MATCH(Calculation!$G545,'Gross Dx Plant'!$E$5:$AD$5,0))</f>
        <v>210877</v>
      </c>
      <c r="CF545" s="118">
        <f>INDEX('Gross Gen Plant'!$E$7:$AD$91,MATCH($C545,'Gross Gen Plant'!$D$7:$D$91,0),MATCH(Calculation!$G545,'Gross Gen Plant'!$E$5:$AD$5,0))</f>
        <v>3304</v>
      </c>
      <c r="CG545" s="118">
        <f t="shared" si="1516"/>
        <v>97283</v>
      </c>
      <c r="CH545" s="118"/>
      <c r="CI545" s="121">
        <v>2003</v>
      </c>
      <c r="CJ545" s="118"/>
      <c r="CK545" s="118"/>
      <c r="CL545" s="118"/>
      <c r="CM545" s="183"/>
      <c r="CN545" s="118">
        <f t="shared" si="1564"/>
        <v>11008</v>
      </c>
      <c r="CO545" s="118">
        <f t="shared" si="1565"/>
        <v>29.813152327606069</v>
      </c>
      <c r="CP545" s="186">
        <v>0.97354497354497349</v>
      </c>
      <c r="CQ545" s="118">
        <f>+CQ540*CP545+CO541*CP544+CO542*CP543+CO543*CP542+CO544*CP541+CO545</f>
        <v>499.41901646161284</v>
      </c>
      <c r="CR545" s="119">
        <f t="shared" si="1566"/>
        <v>5.5899309616631102E-2</v>
      </c>
      <c r="CS545" s="119"/>
      <c r="CT545" s="177">
        <f t="shared" si="1567"/>
        <v>5.6364454758644289E-3</v>
      </c>
      <c r="CU545" s="177">
        <f t="shared" si="1575"/>
        <v>5.4784619516323567E-3</v>
      </c>
      <c r="CV545" s="119">
        <f>VLOOKUP($H545,RoR!$E:$F,2,FALSE)</f>
        <v>5.6666666666666671E-2</v>
      </c>
      <c r="CW545" s="177">
        <v>1.8855119140166909E-2</v>
      </c>
      <c r="CX545" s="177">
        <f t="shared" si="1573"/>
        <v>3.7811547526499761E-2</v>
      </c>
      <c r="CY545" s="177">
        <f t="shared" si="1576"/>
        <v>2.5423479656901268E-2</v>
      </c>
      <c r="CZ545" s="177">
        <f t="shared" si="1577"/>
        <v>2.1375012817671957E-2</v>
      </c>
      <c r="DA545" s="187">
        <f t="shared" si="1568"/>
        <v>0.84949374999999994</v>
      </c>
      <c r="DB545" s="188">
        <f t="shared" si="1569"/>
        <v>0.90497737556561086</v>
      </c>
      <c r="DC545" s="188">
        <f t="shared" si="1570"/>
        <v>0.5338235294117647</v>
      </c>
      <c r="DD545" s="188">
        <f t="shared" si="1571"/>
        <v>0.88972433127405692</v>
      </c>
      <c r="DE545" s="188">
        <f t="shared" si="1572"/>
        <v>0.42982423775949252</v>
      </c>
      <c r="DF545" s="189">
        <f>INDEX('State Tax Lookup'!$D$7:$Z$91,MATCH(Calculation!$C545,'State Tax Lookup'!$B$7:$B$91,0),MATCH($H545,'State Tax Lookup'!$D$6:$Z$6,0))</f>
        <v>0.40134999999999998</v>
      </c>
      <c r="DG545" s="189">
        <v>0.375</v>
      </c>
      <c r="DH545" s="190">
        <f t="shared" si="1574"/>
        <v>13.290235609442009</v>
      </c>
      <c r="DI545" s="190"/>
      <c r="DJ545" s="177"/>
      <c r="DK545" s="189">
        <f>VLOOKUP($H545,RoR!$E:$F,2,FALSE)</f>
        <v>5.6666666666666671E-2</v>
      </c>
      <c r="DL545" s="191">
        <f>HLOOKUP($H545,'GDP-PI'!$D$8:$CQ$11,3,FALSE)</f>
        <v>1.8855119140166909E-2</v>
      </c>
      <c r="DM545" s="189">
        <f>VLOOKUP(H545,'HW Dx Data'!$E:$F,2,FALSE)</f>
        <v>369.23301095560191</v>
      </c>
      <c r="DN545" s="183">
        <f>VLOOKUP(H545,'ECI - Input Price'!$G$17:$H$37,2,FALSE)</f>
        <v>92.625</v>
      </c>
      <c r="DO545" s="177">
        <f t="shared" ref="DO545" si="1578">LN(DN545/DN544)</f>
        <v>3.6837590135738785E-2</v>
      </c>
      <c r="DP545" s="183">
        <f>HLOOKUP(H545,'GDP-PI'!$8:$9,2,FALSE)</f>
        <v>82.566999999999993</v>
      </c>
      <c r="DQ545" s="177">
        <f t="shared" ref="DQ545" si="1579">LN(DP545/DP544)</f>
        <v>1.8679564681853753E-2</v>
      </c>
    </row>
    <row r="546" spans="1:121" s="167" customFormat="1" ht="21" x14ac:dyDescent="0.35">
      <c r="A546" s="167" t="s">
        <v>66</v>
      </c>
      <c r="B546" s="168" t="s">
        <v>66</v>
      </c>
      <c r="C546" s="168">
        <v>4008754</v>
      </c>
      <c r="D546" s="168" t="s">
        <v>144</v>
      </c>
      <c r="E546" s="168"/>
      <c r="F546" s="168"/>
      <c r="G546" s="168" t="s">
        <v>10</v>
      </c>
      <c r="H546" s="169">
        <v>2004</v>
      </c>
      <c r="I546" s="170"/>
      <c r="J546" s="166">
        <f>IFERROR(INDEX('Labor Expenditures'!$F$7:$X$91,MATCH($C546,'Labor Expenditures'!$D$7:$D$91,0),MATCH($G546,'Labor Expenditures'!$F$5:$X$5,0)),"NA")</f>
        <v>10815.879678416652</v>
      </c>
      <c r="K546" s="166">
        <f t="shared" ref="K546:K563" si="1580">+J546/DN546</f>
        <v>112.46040736591267</v>
      </c>
      <c r="L546" s="172"/>
      <c r="M546" s="172"/>
      <c r="N546" s="196"/>
      <c r="O546" s="172"/>
      <c r="P546" s="166">
        <f>IFERROR(INDEX('Non-Labor Expenditures'!$F$7:$AB$91,MATCH($C546,'Non-Labor Expenditures'!$D$7:$D$91,0),MATCH($G546,'Non-Labor Expenditures'!$F$5:$AB$5,0)),"NA")</f>
        <v>15663.413902015847</v>
      </c>
      <c r="Q546" s="166">
        <f t="shared" ref="Q546:Q563" si="1581">+P546/DP546</f>
        <v>184.75800209978823</v>
      </c>
      <c r="R546" s="166"/>
      <c r="S546" s="166"/>
      <c r="T546" s="166"/>
      <c r="U546" s="166"/>
      <c r="V546" s="166">
        <f t="shared" si="1562"/>
        <v>7364.5771399945352</v>
      </c>
      <c r="W546" s="170"/>
      <c r="X546" s="174">
        <v>516.38196186767641</v>
      </c>
      <c r="Y546" s="175">
        <v>3.3401272081292475E-2</v>
      </c>
      <c r="Z546" s="175"/>
      <c r="AA546" s="175"/>
      <c r="AB546" s="175"/>
      <c r="AC546" s="170">
        <f t="shared" si="1475"/>
        <v>33843.870720427032</v>
      </c>
      <c r="AD546" s="175"/>
      <c r="AE546" s="170"/>
      <c r="AF546" s="170"/>
      <c r="AG546" s="174"/>
      <c r="AH546" s="175"/>
      <c r="AI546" s="175"/>
      <c r="AJ546" s="174"/>
      <c r="AK546" s="174"/>
      <c r="AL546" s="120">
        <f t="shared" ref="AL546:AL563" si="1582">+J546/AC546</f>
        <v>0.31958163910277992</v>
      </c>
      <c r="AM546" s="120">
        <f t="shared" ref="AM546:AM563" si="1583">+P546/AC546</f>
        <v>0.46281390303745407</v>
      </c>
      <c r="AN546" s="120">
        <f t="shared" ref="AN546:AN563" si="1584">+V546/AC546</f>
        <v>0.21760445785976607</v>
      </c>
      <c r="AO546" s="120"/>
      <c r="AP546" s="120"/>
      <c r="AQ546" s="175"/>
      <c r="AR546" s="120"/>
      <c r="AS546" s="120"/>
      <c r="AT546" s="120"/>
      <c r="AU546" s="120"/>
      <c r="AV546" s="120"/>
      <c r="AW546" s="120"/>
      <c r="AX546" s="120"/>
      <c r="AY546" s="120"/>
      <c r="AZ546" s="118">
        <f>IFERROR(INDEX('Total Customers'!$F$7:$AB$91,MATCH($C546,'Total Customers'!$D$7:$D$91,0),MATCH($G546,'Total Customers'!$F$5:$AB$5,0)),"NA")</f>
        <v>131674</v>
      </c>
      <c r="BA546" s="119">
        <f t="shared" si="1563"/>
        <v>2.1951904367881355E-2</v>
      </c>
      <c r="BB546" s="119"/>
      <c r="BC546" s="121"/>
      <c r="BD546" s="119"/>
      <c r="BE546" s="119"/>
      <c r="BF546" s="119"/>
      <c r="BG546" s="173"/>
      <c r="BH546" s="173"/>
      <c r="BI546" s="173"/>
      <c r="BJ546" s="173"/>
      <c r="BK546" s="173"/>
      <c r="BL546" s="173"/>
      <c r="BM546" s="173"/>
      <c r="BN546" s="173"/>
      <c r="BO546" s="173"/>
      <c r="BP546" s="173"/>
      <c r="BQ546" s="118"/>
      <c r="BR546" s="118"/>
      <c r="BS546" s="118">
        <f>INDEX('Dist. Plant Gas Additions'!$F$7:$AE$91,MATCH($C546,'Dist. Plant Gas Additions'!$D$7:$D$91,0),MATCH(Calculation!$G546,'Dist. Plant Gas Additions'!$F$5:$AE$5,0))</f>
        <v>8119</v>
      </c>
      <c r="BT546" s="118">
        <f>INDEX('Gen. Plant Additions'!$F$7:$AE$91,MATCH($C546,'Gen. Plant Additions'!$D$7:$D$91,0),MATCH(Calculation!$G546,'Gen. Plant Additions'!$F$5:$AE$5,0))</f>
        <v>120</v>
      </c>
      <c r="BU546" s="118"/>
      <c r="BV546" s="118"/>
      <c r="BW546" s="118">
        <f>INDEX('Dist Plant Depreciation'!$E$7:$AD$94,MATCH($C546,'Dist Plant Depreciation'!$D$7:$D$94,0),MATCH(Calculation!$G546,'Dist Plant Depreciation'!$E$5:$AD$5,0))</f>
        <v>119741</v>
      </c>
      <c r="BX546" s="118">
        <f>INDEX('Gen. Plant Depreciation'!$E$7:$AD$94,MATCH($C546,'Gen. Plant Depreciation'!$D$7:$D$94,0),MATCH(Calculation!$G546,'Gen. Plant Depreciation'!$E$5:$AD$5,0))</f>
        <v>1997</v>
      </c>
      <c r="BY546" s="118"/>
      <c r="BZ546" s="118"/>
      <c r="CA546" s="118"/>
      <c r="CB546" s="118"/>
      <c r="CC546" s="118"/>
      <c r="CD546" s="118"/>
      <c r="CE546" s="118">
        <f>INDEX('Gross Dx Plant'!$E$7:$AD$91,MATCH($C546,'Gross Dx Plant'!$D$7:$D$91,0),MATCH(Calculation!$G546,'Gross Dx Plant'!$E$5:$AD$5,0))</f>
        <v>217301</v>
      </c>
      <c r="CF546" s="118">
        <f>INDEX('Gross Gen Plant'!$E$7:$AD$91,MATCH($C546,'Gross Gen Plant'!$D$7:$D$91,0),MATCH(Calculation!$G546,'Gross Gen Plant'!$E$5:$AD$5,0))</f>
        <v>3392</v>
      </c>
      <c r="CG546" s="118">
        <f t="shared" si="1516"/>
        <v>98955</v>
      </c>
      <c r="CH546" s="118"/>
      <c r="CI546" s="121">
        <v>2004</v>
      </c>
      <c r="CJ546" s="118"/>
      <c r="CK546" s="118"/>
      <c r="CL546" s="118"/>
      <c r="CM546" s="183"/>
      <c r="CN546" s="118">
        <f t="shared" si="1564"/>
        <v>8239</v>
      </c>
      <c r="CO546" s="118">
        <f t="shared" si="1565"/>
        <v>19.858410121425528</v>
      </c>
      <c r="CP546" s="186">
        <v>0.967741935483871</v>
      </c>
      <c r="CQ546" s="118">
        <f>+CQ540*CP546+CO541*CP545+CO542*CP544+CO543*CP543+CO544*CP542+CO545*CP541+CO546</f>
        <v>516.38196186767641</v>
      </c>
      <c r="CR546" s="119">
        <f t="shared" si="1566"/>
        <v>3.3401272081292475E-2</v>
      </c>
      <c r="CS546" s="119"/>
      <c r="CT546" s="177">
        <f t="shared" si="1567"/>
        <v>5.7976661278866543E-3</v>
      </c>
      <c r="CU546" s="177">
        <f t="shared" si="1575"/>
        <v>5.7195446915149209E-3</v>
      </c>
      <c r="CV546" s="119">
        <f>VLOOKUP($H546,RoR!$E:$F,2,FALSE)</f>
        <v>5.6283333333333331E-2</v>
      </c>
      <c r="CW546" s="177">
        <v>2.6778252812867276E-2</v>
      </c>
      <c r="CX546" s="177">
        <f t="shared" si="1573"/>
        <v>2.9505080520466055E-2</v>
      </c>
      <c r="CY546" s="177">
        <f t="shared" si="1576"/>
        <v>2.5182396917018703E-2</v>
      </c>
      <c r="CZ546" s="177">
        <f t="shared" si="1577"/>
        <v>5.5940039414565046E-2</v>
      </c>
      <c r="DA546" s="187">
        <f t="shared" si="1568"/>
        <v>0.84949374999999994</v>
      </c>
      <c r="DB546" s="188">
        <f t="shared" si="1569"/>
        <v>0.91114097628755619</v>
      </c>
      <c r="DC546" s="188">
        <f t="shared" si="1570"/>
        <v>0.53081877405981637</v>
      </c>
      <c r="DD546" s="188">
        <f t="shared" si="1571"/>
        <v>0.88811215519385678</v>
      </c>
      <c r="DE546" s="188">
        <f t="shared" si="1572"/>
        <v>0.42953609753547711</v>
      </c>
      <c r="DF546" s="189">
        <f>INDEX('State Tax Lookup'!$D$7:$Z$91,MATCH(Calculation!$C546,'State Tax Lookup'!$B$7:$B$91,0),MATCH($H546,'State Tax Lookup'!$D$6:$Z$6,0))</f>
        <v>0.40134999999999998</v>
      </c>
      <c r="DG546" s="189">
        <v>0.375</v>
      </c>
      <c r="DH546" s="190">
        <f t="shared" si="1574"/>
        <v>14.746288982291093</v>
      </c>
      <c r="DI546" s="190"/>
      <c r="DJ546" s="177"/>
      <c r="DK546" s="189">
        <f>VLOOKUP($H546,RoR!$E:$F,2,FALSE)</f>
        <v>5.6283333333333331E-2</v>
      </c>
      <c r="DL546" s="191">
        <f>HLOOKUP($H546,'GDP-PI'!$D$8:$CQ$11,3,FALSE)</f>
        <v>2.6778252812867276E-2</v>
      </c>
      <c r="DM546" s="189">
        <f>VLOOKUP(H546,'HW Dx Data'!$E:$F,2,FALSE)</f>
        <v>414.88719135228365</v>
      </c>
      <c r="DN546" s="183">
        <f>VLOOKUP(H546,'ECI - Input Price'!$G$17:$H$37,2,FALSE)</f>
        <v>96.174999999999997</v>
      </c>
      <c r="DO546" s="177">
        <f t="shared" ref="DO546" si="1585">LN(DN546/DN545)</f>
        <v>3.7610365022107912E-2</v>
      </c>
      <c r="DP546" s="183">
        <f>HLOOKUP(H546,'GDP-PI'!$8:$9,2,FALSE)</f>
        <v>84.778000000000006</v>
      </c>
      <c r="DQ546" s="177">
        <f t="shared" ref="DQ546" si="1586">LN(DP546/DP545)</f>
        <v>2.6425990216022755E-2</v>
      </c>
    </row>
    <row r="547" spans="1:121" s="167" customFormat="1" ht="21" x14ac:dyDescent="0.35">
      <c r="A547" s="167" t="s">
        <v>66</v>
      </c>
      <c r="B547" s="168" t="s">
        <v>66</v>
      </c>
      <c r="C547" s="168">
        <v>4008754</v>
      </c>
      <c r="D547" s="168" t="s">
        <v>144</v>
      </c>
      <c r="E547" s="168"/>
      <c r="F547" s="168"/>
      <c r="G547" s="168" t="s">
        <v>11</v>
      </c>
      <c r="H547" s="169">
        <v>2005</v>
      </c>
      <c r="I547" s="170"/>
      <c r="J547" s="166">
        <f>IFERROR(INDEX('Labor Expenditures'!$F$7:$X$91,MATCH($C547,'Labor Expenditures'!$D$7:$D$91,0),MATCH($G547,'Labor Expenditures'!$F$5:$X$5,0)),"NA")</f>
        <v>10422.09279407416</v>
      </c>
      <c r="K547" s="166">
        <f t="shared" si="1580"/>
        <v>105.11440034366274</v>
      </c>
      <c r="L547" s="172">
        <f t="shared" ref="L547:L563" si="1587">LN(K547/K546)</f>
        <v>-6.7551941039608654E-2</v>
      </c>
      <c r="M547" s="172"/>
      <c r="N547" s="196"/>
      <c r="O547" s="172"/>
      <c r="P547" s="166">
        <f>IFERROR(INDEX('Non-Labor Expenditures'!$F$7:$AB$91,MATCH($C547,'Non-Labor Expenditures'!$D$7:$D$91,0),MATCH($G547,'Non-Labor Expenditures'!$F$5:$AB$5,0)),"NA")</f>
        <v>15093.13694424327</v>
      </c>
      <c r="Q547" s="166">
        <f t="shared" si="1581"/>
        <v>172.67652412556512</v>
      </c>
      <c r="R547" s="172">
        <f>LN(Q547/Q546)</f>
        <v>-6.7626830522896281E-2</v>
      </c>
      <c r="S547" s="172"/>
      <c r="T547" s="172"/>
      <c r="U547" s="172"/>
      <c r="V547" s="166">
        <f t="shared" si="1562"/>
        <v>8561.1823031622534</v>
      </c>
      <c r="W547" s="170"/>
      <c r="X547" s="174">
        <v>535.10730064519134</v>
      </c>
      <c r="Y547" s="175">
        <v>3.5620560920215642E-2</v>
      </c>
      <c r="Z547" s="175"/>
      <c r="AA547" s="175"/>
      <c r="AB547" s="175"/>
      <c r="AC547" s="170">
        <f t="shared" si="1475"/>
        <v>34076.412041479685</v>
      </c>
      <c r="AD547" s="175">
        <f>LN(AC547/AC546)</f>
        <v>6.8475047575935347E-3</v>
      </c>
      <c r="AE547" s="170"/>
      <c r="AF547" s="170"/>
      <c r="AG547" s="121"/>
      <c r="AH547" s="119"/>
      <c r="AI547" s="119"/>
      <c r="AJ547" s="121"/>
      <c r="AK547" s="121"/>
      <c r="AL547" s="120">
        <f t="shared" si="1582"/>
        <v>0.30584478146900607</v>
      </c>
      <c r="AM547" s="120">
        <f t="shared" si="1583"/>
        <v>0.44292036749265362</v>
      </c>
      <c r="AN547" s="120">
        <f t="shared" si="1584"/>
        <v>0.25123485103834026</v>
      </c>
      <c r="AO547" s="120">
        <f t="shared" ref="AO547:AO563" si="1588">+(((AL547+AL546)/2)*L547+((AM546+AM547)/2)*R547+((AN546+AN547)/2)*Y547)</f>
        <v>-4.3400193767300338E-2</v>
      </c>
      <c r="AP547" s="173">
        <v>100</v>
      </c>
      <c r="AQ547" s="175"/>
      <c r="AR547" s="120"/>
      <c r="AS547" s="120"/>
      <c r="AT547" s="120"/>
      <c r="AU547" s="120"/>
      <c r="AV547" s="120"/>
      <c r="AW547" s="120"/>
      <c r="AX547" s="120"/>
      <c r="AY547" s="120"/>
      <c r="AZ547" s="118">
        <f>IFERROR(INDEX('Total Customers'!$F$7:$AB$91,MATCH($C547,'Total Customers'!$D$7:$D$91,0),MATCH($G547,'Total Customers'!$F$5:$AB$5,0)),"NA")</f>
        <v>134495</v>
      </c>
      <c r="BA547" s="119">
        <f t="shared" si="1563"/>
        <v>2.1197852745139273E-2</v>
      </c>
      <c r="BB547" s="119"/>
      <c r="BC547" s="121"/>
      <c r="BD547" s="119"/>
      <c r="BE547" s="119"/>
      <c r="BF547" s="119"/>
      <c r="BG547" s="173"/>
      <c r="BH547" s="173"/>
      <c r="BI547" s="173"/>
      <c r="BJ547" s="173"/>
      <c r="BK547" s="173"/>
      <c r="BL547" s="173"/>
      <c r="BM547" s="173"/>
      <c r="BN547" s="173"/>
      <c r="BO547" s="173"/>
      <c r="BP547" s="173"/>
      <c r="BQ547" s="118"/>
      <c r="BR547" s="118"/>
      <c r="BS547" s="118">
        <f>INDEX('Dist. Plant Gas Additions'!$F$7:$AE$91,MATCH($C547,'Dist. Plant Gas Additions'!$D$7:$D$91,0),MATCH(Calculation!$G547,'Dist. Plant Gas Additions'!$F$5:$AE$5,0))</f>
        <v>10180</v>
      </c>
      <c r="BT547" s="118">
        <f>INDEX('Gen. Plant Additions'!$F$7:$AE$91,MATCH($C547,'Gen. Plant Additions'!$D$7:$D$91,0),MATCH(Calculation!$G547,'Gen. Plant Additions'!$F$5:$AE$5,0))</f>
        <v>55</v>
      </c>
      <c r="BU547" s="118"/>
      <c r="BV547" s="118"/>
      <c r="BW547" s="118">
        <f>INDEX('Dist Plant Depreciation'!$E$7:$AD$94,MATCH($C547,'Dist Plant Depreciation'!$D$7:$D$94,0),MATCH(Calculation!$G547,'Dist Plant Depreciation'!$E$5:$AD$5,0))</f>
        <v>126627</v>
      </c>
      <c r="BX547" s="118">
        <f>INDEX('Gen. Plant Depreciation'!$E$7:$AD$94,MATCH($C547,'Gen. Plant Depreciation'!$D$7:$D$94,0),MATCH(Calculation!$G547,'Gen. Plant Depreciation'!$E$5:$AD$5,0))</f>
        <v>1524</v>
      </c>
      <c r="BY547" s="118"/>
      <c r="BZ547" s="118"/>
      <c r="CA547" s="118"/>
      <c r="CB547" s="118"/>
      <c r="CC547" s="118"/>
      <c r="CD547" s="118"/>
      <c r="CE547" s="118">
        <f>INDEX('Gross Dx Plant'!$E$7:$AD$91,MATCH($C547,'Gross Dx Plant'!$D$7:$D$91,0),MATCH(Calculation!$G547,'Gross Dx Plant'!$E$5:$AD$5,0))</f>
        <v>226161</v>
      </c>
      <c r="CF547" s="118">
        <f>INDEX('Gross Gen Plant'!$E$7:$AD$91,MATCH($C547,'Gross Gen Plant'!$D$7:$D$91,0),MATCH(Calculation!$G547,'Gross Gen Plant'!$E$5:$AD$5,0))</f>
        <v>3421</v>
      </c>
      <c r="CG547" s="118">
        <f t="shared" si="1516"/>
        <v>101431</v>
      </c>
      <c r="CH547" s="118"/>
      <c r="CI547" s="121">
        <v>2005</v>
      </c>
      <c r="CJ547" s="118"/>
      <c r="CK547" s="118"/>
      <c r="CL547" s="118"/>
      <c r="CM547" s="183"/>
      <c r="CN547" s="118">
        <f t="shared" si="1564"/>
        <v>10235</v>
      </c>
      <c r="CO547" s="118">
        <f t="shared" si="1565"/>
        <v>21.813486511207408</v>
      </c>
      <c r="CP547" s="186">
        <v>0.96174863387978138</v>
      </c>
      <c r="CQ547" s="118">
        <f>+CQ540*CP547+CO541*CP546+CO542*CP545+CO543*CP544+CO544*CP543+CO545*CP542+CO546*CP541+CO547</f>
        <v>535.10730064519134</v>
      </c>
      <c r="CR547" s="119">
        <f t="shared" si="1566"/>
        <v>3.5620560920215642E-2</v>
      </c>
      <c r="CS547" s="119"/>
      <c r="CT547" s="177">
        <f t="shared" si="1567"/>
        <v>5.9803555541001162E-3</v>
      </c>
      <c r="CU547" s="177">
        <f t="shared" si="1575"/>
        <v>5.8048223859504004E-3</v>
      </c>
      <c r="CV547" s="119">
        <f>VLOOKUP($H547,RoR!$E:$F,2,FALSE)</f>
        <v>5.2350000000000001E-2</v>
      </c>
      <c r="CW547" s="177">
        <v>3.1010403642454332E-2</v>
      </c>
      <c r="CX547" s="177">
        <f t="shared" si="1573"/>
        <v>2.1339596357545669E-2</v>
      </c>
      <c r="CY547" s="177">
        <f t="shared" si="1576"/>
        <v>2.5097119222583224E-2</v>
      </c>
      <c r="CZ547" s="177">
        <f t="shared" si="1577"/>
        <v>9.2129610649277341E-2</v>
      </c>
      <c r="DA547" s="187">
        <f t="shared" si="1568"/>
        <v>0.84949374999999994</v>
      </c>
      <c r="DB547" s="188">
        <f t="shared" si="1569"/>
        <v>0.97959983346802826</v>
      </c>
      <c r="DC547" s="188">
        <f t="shared" si="1570"/>
        <v>0.49744508118433622</v>
      </c>
      <c r="DD547" s="188">
        <f t="shared" si="1571"/>
        <v>0.87010519444335932</v>
      </c>
      <c r="DE547" s="188">
        <f t="shared" si="1572"/>
        <v>0.42399975420741998</v>
      </c>
      <c r="DF547" s="189">
        <f>INDEX('State Tax Lookup'!$D$7:$Z$91,MATCH(Calculation!$C547,'State Tax Lookup'!$B$7:$B$91,0),MATCH($H547,'State Tax Lookup'!$D$6:$Z$6,0))</f>
        <v>0.40134999999999998</v>
      </c>
      <c r="DG547" s="189">
        <v>0.375</v>
      </c>
      <c r="DH547" s="190">
        <f t="shared" si="1574"/>
        <v>16.579166073496712</v>
      </c>
      <c r="DI547" s="190"/>
      <c r="DJ547" s="177"/>
      <c r="DK547" s="189">
        <f>VLOOKUP($H547,RoR!$E:$F,2,FALSE)</f>
        <v>5.2350000000000001E-2</v>
      </c>
      <c r="DL547" s="191">
        <f>HLOOKUP($H547,'GDP-PI'!$D$8:$CQ$11,3,FALSE)</f>
        <v>3.1010403642454332E-2</v>
      </c>
      <c r="DM547" s="189">
        <f>VLOOKUP(H547,'HW Dx Data'!$E:$F,2,FALSE)</f>
        <v>469.20514034936258</v>
      </c>
      <c r="DN547" s="183">
        <f>VLOOKUP(H547,'ECI - Input Price'!$G$17:$H$37,2,FALSE)</f>
        <v>99.15</v>
      </c>
      <c r="DO547" s="177">
        <f t="shared" ref="DO547" si="1589">LN(DN547/DN546)</f>
        <v>3.046440632744625E-2</v>
      </c>
      <c r="DP547" s="183">
        <f>HLOOKUP(H547,'GDP-PI'!$8:$9,2,FALSE)</f>
        <v>87.406999999999996</v>
      </c>
      <c r="DQ547" s="177">
        <f t="shared" ref="DQ547" si="1590">LN(DP547/DP546)</f>
        <v>3.0539295810733648E-2</v>
      </c>
    </row>
    <row r="548" spans="1:121" s="167" customFormat="1" ht="21" x14ac:dyDescent="0.35">
      <c r="A548" s="167" t="s">
        <v>66</v>
      </c>
      <c r="B548" s="168" t="s">
        <v>66</v>
      </c>
      <c r="C548" s="168">
        <v>4008754</v>
      </c>
      <c r="D548" s="168" t="s">
        <v>144</v>
      </c>
      <c r="E548" s="168"/>
      <c r="F548" s="168"/>
      <c r="G548" s="168" t="s">
        <v>12</v>
      </c>
      <c r="H548" s="169">
        <v>2006</v>
      </c>
      <c r="I548" s="170"/>
      <c r="J548" s="166">
        <f>IFERROR(INDEX('Labor Expenditures'!$F$7:$X$91,MATCH($C548,'Labor Expenditures'!$D$7:$D$91,0),MATCH($G548,'Labor Expenditures'!$F$5:$X$5,0)),"NA")</f>
        <v>11360.205791449089</v>
      </c>
      <c r="K548" s="166">
        <f t="shared" si="1580"/>
        <v>111.319997956385</v>
      </c>
      <c r="L548" s="172">
        <f t="shared" si="1587"/>
        <v>5.7359634163511267E-2</v>
      </c>
      <c r="M548" s="172">
        <f t="shared" ref="M548:M563" si="1591">+L548*AR548</f>
        <v>2.6303450655089275E-4</v>
      </c>
      <c r="N548" s="196"/>
      <c r="O548" s="172"/>
      <c r="P548" s="166">
        <f>IFERROR(INDEX('Non-Labor Expenditures'!$F$7:$AB$91,MATCH($C548,'Non-Labor Expenditures'!$D$7:$D$91,0),MATCH($G548,'Non-Labor Expenditures'!$F$5:$AB$5,0)),"NA")</f>
        <v>16451.69977978096</v>
      </c>
      <c r="Q548" s="166">
        <f t="shared" si="1581"/>
        <v>182.64648821836445</v>
      </c>
      <c r="R548" s="172">
        <f t="shared" ref="R548:R563" si="1592">LN(Q548/Q547)</f>
        <v>5.6132484728105725E-2</v>
      </c>
      <c r="S548" s="172">
        <f>+R548*AR548</f>
        <v>2.5740715813918623E-4</v>
      </c>
      <c r="T548" s="172"/>
      <c r="U548" s="172"/>
      <c r="V548" s="166">
        <f t="shared" si="1562"/>
        <v>8665.2807756274251</v>
      </c>
      <c r="W548" s="170"/>
      <c r="X548" s="174">
        <v>548.56304138901794</v>
      </c>
      <c r="Y548" s="175">
        <v>2.4834918535201141E-2</v>
      </c>
      <c r="Z548" s="175">
        <f>+Y548*AR548</f>
        <v>1.1388567304171889E-4</v>
      </c>
      <c r="AA548" s="175"/>
      <c r="AB548" s="175"/>
      <c r="AC548" s="170">
        <f t="shared" si="1475"/>
        <v>36477.186346857474</v>
      </c>
      <c r="AD548" s="175">
        <f t="shared" ref="AD548:AD563" si="1593">LN(AC548/AC547)</f>
        <v>6.8081617636100086E-2</v>
      </c>
      <c r="AE548" s="170"/>
      <c r="AF548" s="170"/>
      <c r="AG548" s="121">
        <f t="shared" ref="AG548:AG563" si="1594">+(AC548*1000)/AZ548</f>
        <v>265.40637189485864</v>
      </c>
      <c r="AH548" s="119">
        <f>+AZ548/$BB$44</f>
        <v>3.9095805075499632E-3</v>
      </c>
      <c r="AI548" s="119"/>
      <c r="AJ548" s="176">
        <f>+AH548*AG548</f>
        <v>1.0376275781396957</v>
      </c>
      <c r="AK548" s="176">
        <f>+AI548*AG548</f>
        <v>0</v>
      </c>
      <c r="AL548" s="120">
        <f t="shared" si="1582"/>
        <v>0.31143317040481594</v>
      </c>
      <c r="AM548" s="120">
        <f t="shared" si="1583"/>
        <v>0.45101339843878285</v>
      </c>
      <c r="AN548" s="120">
        <f t="shared" si="1584"/>
        <v>0.23755343115640121</v>
      </c>
      <c r="AO548" s="120">
        <f t="shared" si="1588"/>
        <v>4.8862289065017828E-2</v>
      </c>
      <c r="AP548" s="173">
        <f>+AP547*EXP(AO548)</f>
        <v>105.0075733871481</v>
      </c>
      <c r="AQ548" s="175">
        <f>LN(AP548/AP547)</f>
        <v>4.8862289065017765E-2</v>
      </c>
      <c r="AR548" s="177">
        <f>+AC548/$AE$44</f>
        <v>4.5857075343451095E-3</v>
      </c>
      <c r="AS548" s="177">
        <f>+AR548*AQ548</f>
        <v>2.2406816711080063E-4</v>
      </c>
      <c r="AT548" s="177"/>
      <c r="AU548" s="177"/>
      <c r="AV548" s="177"/>
      <c r="AW548" s="190"/>
      <c r="AX548" s="120"/>
      <c r="AY548" s="120"/>
      <c r="AZ548" s="118">
        <f>IFERROR(INDEX('Total Customers'!$F$7:$AB$91,MATCH($C548,'Total Customers'!$D$7:$D$91,0),MATCH($G548,'Total Customers'!$F$5:$AB$5,0)),"NA")</f>
        <v>137439</v>
      </c>
      <c r="BA548" s="119">
        <f t="shared" si="1563"/>
        <v>2.1653158677556742E-2</v>
      </c>
      <c r="BB548" s="119"/>
      <c r="BC548" s="121"/>
      <c r="BD548" s="119"/>
      <c r="BE548" s="119"/>
      <c r="BF548" s="119"/>
      <c r="BG548" s="173"/>
      <c r="BH548" s="173"/>
      <c r="BI548" s="173"/>
      <c r="BJ548" s="173"/>
      <c r="BK548" s="173"/>
      <c r="BL548" s="173"/>
      <c r="BM548" s="173"/>
      <c r="BN548" s="173"/>
      <c r="BO548" s="173"/>
      <c r="BP548" s="173"/>
      <c r="BQ548" s="118"/>
      <c r="BR548" s="118"/>
      <c r="BS548" s="118">
        <f>INDEX('Dist. Plant Gas Additions'!$F$7:$AE$91,MATCH($C548,'Dist. Plant Gas Additions'!$D$7:$D$91,0),MATCH(Calculation!$G548,'Dist. Plant Gas Additions'!$F$5:$AE$5,0))</f>
        <v>7622</v>
      </c>
      <c r="BT548" s="118">
        <f>INDEX('Gen. Plant Additions'!$F$7:$AE$91,MATCH($C548,'Gen. Plant Additions'!$D$7:$D$91,0),MATCH(Calculation!$G548,'Gen. Plant Additions'!$F$5:$AE$5,0))</f>
        <v>103</v>
      </c>
      <c r="BU548" s="118"/>
      <c r="BV548" s="118"/>
      <c r="BW548" s="118">
        <f>INDEX('Dist Plant Depreciation'!$E$7:$AD$94,MATCH($C548,'Dist Plant Depreciation'!$D$7:$D$94,0),MATCH(Calculation!$G548,'Dist Plant Depreciation'!$E$5:$AD$5,0))</f>
        <v>133885</v>
      </c>
      <c r="BX548" s="118">
        <f>INDEX('Gen. Plant Depreciation'!$E$7:$AD$94,MATCH($C548,'Gen. Plant Depreciation'!$D$7:$D$94,0),MATCH(Calculation!$G548,'Gen. Plant Depreciation'!$E$5:$AD$5,0))</f>
        <v>1684</v>
      </c>
      <c r="BY548" s="118"/>
      <c r="BZ548" s="118"/>
      <c r="CA548" s="118"/>
      <c r="CB548" s="118"/>
      <c r="CC548" s="118"/>
      <c r="CD548" s="118"/>
      <c r="CE548" s="118">
        <f>INDEX('Gross Dx Plant'!$E$7:$AD$91,MATCH($C548,'Gross Dx Plant'!$D$7:$D$91,0),MATCH(Calculation!$G548,'Gross Dx Plant'!$E$5:$AD$5,0))</f>
        <v>233783</v>
      </c>
      <c r="CF548" s="118">
        <f>INDEX('Gross Gen Plant'!$E$7:$AD$91,MATCH($C548,'Gross Gen Plant'!$D$7:$D$91,0),MATCH(Calculation!$G548,'Gross Gen Plant'!$E$5:$AD$5,0))</f>
        <v>3524</v>
      </c>
      <c r="CG548" s="118">
        <f t="shared" si="1516"/>
        <v>101738</v>
      </c>
      <c r="CH548" s="119" t="e">
        <f>SUM(#REF!)/15</f>
        <v>#REF!</v>
      </c>
      <c r="CI548" s="121">
        <v>2006</v>
      </c>
      <c r="CJ548" s="118"/>
      <c r="CK548" s="118"/>
      <c r="CL548" s="118"/>
      <c r="CM548" s="183"/>
      <c r="CN548" s="118">
        <f t="shared" si="1564"/>
        <v>7725</v>
      </c>
      <c r="CO548" s="118">
        <f t="shared" si="1565"/>
        <v>16.753936322216379</v>
      </c>
      <c r="CP548" s="186">
        <v>0.9555555555555556</v>
      </c>
      <c r="CQ548" s="118">
        <f>+CQ540*CP548+CO541*CP547+CO542*CP546+CO543*CP545+CO544*CP544+CO545*CP543+CO546*CP542+CO547*CP541+CO548</f>
        <v>548.56304138901794</v>
      </c>
      <c r="CR548" s="119">
        <f t="shared" si="1566"/>
        <v>2.4834918535201141E-2</v>
      </c>
      <c r="CS548" s="119"/>
      <c r="CT548" s="177">
        <f t="shared" si="1567"/>
        <v>6.1636153616537702E-3</v>
      </c>
      <c r="CU548" s="177">
        <f t="shared" si="1575"/>
        <v>5.980545681213513E-3</v>
      </c>
      <c r="CV548" s="119">
        <f>VLOOKUP($H548,RoR!$E:$F,2,FALSE)</f>
        <v>5.5874999999999994E-2</v>
      </c>
      <c r="CW548" s="177">
        <v>3.0512430354548314E-2</v>
      </c>
      <c r="CX548" s="177">
        <f t="shared" si="1573"/>
        <v>2.536256964545168E-2</v>
      </c>
      <c r="CY548" s="177">
        <f t="shared" si="1576"/>
        <v>2.4921395927320112E-2</v>
      </c>
      <c r="CZ548" s="177">
        <f t="shared" si="1577"/>
        <v>7.9087823893859641E-2</v>
      </c>
      <c r="DA548" s="187">
        <f t="shared" si="1568"/>
        <v>0.84949374999999994</v>
      </c>
      <c r="DB548" s="188">
        <f t="shared" si="1569"/>
        <v>0.91779957551769631</v>
      </c>
      <c r="DC548" s="188">
        <f t="shared" si="1570"/>
        <v>0.52757270693512304</v>
      </c>
      <c r="DD548" s="188">
        <f t="shared" si="1571"/>
        <v>0.88636824549024895</v>
      </c>
      <c r="DE548" s="188">
        <f t="shared" si="1572"/>
        <v>0.42918482841932087</v>
      </c>
      <c r="DF548" s="189">
        <f>INDEX('State Tax Lookup'!$D$7:$Z$91,MATCH(Calculation!$C548,'State Tax Lookup'!$B$7:$B$91,0),MATCH($H548,'State Tax Lookup'!$D$6:$Z$6,0))</f>
        <v>0.40134999999999998</v>
      </c>
      <c r="DG548" s="189">
        <v>0.375</v>
      </c>
      <c r="DH548" s="190">
        <f t="shared" si="1574"/>
        <v>16.193538688744283</v>
      </c>
      <c r="DI548" s="190">
        <v>15.730360851619583</v>
      </c>
      <c r="DJ548" s="177"/>
      <c r="DK548" s="189">
        <f>VLOOKUP($H548,RoR!$E:$F,2,FALSE)</f>
        <v>5.5874999999999994E-2</v>
      </c>
      <c r="DL548" s="191">
        <f>HLOOKUP($H548,'GDP-PI'!$D$8:$CQ$11,3,FALSE)</f>
        <v>3.0512430354548314E-2</v>
      </c>
      <c r="DM548" s="189">
        <f>VLOOKUP(H548,'HW Dx Data'!$E:$F,2,FALSE)</f>
        <v>461.08567272971823</v>
      </c>
      <c r="DN548" s="183">
        <f>VLOOKUP(H548,'ECI - Input Price'!$G$17:$H$37,2,FALSE)</f>
        <v>102.05</v>
      </c>
      <c r="DO548" s="177">
        <f t="shared" ref="DO548" si="1595">LN(DN548/DN547)</f>
        <v>2.8829034290048662E-2</v>
      </c>
      <c r="DP548" s="183">
        <f>HLOOKUP(H548,'GDP-PI'!$8:$9,2,FALSE)</f>
        <v>90.073999999999998</v>
      </c>
      <c r="DQ548" s="177">
        <f t="shared" ref="DQ548" si="1596">LN(DP548/DP547)</f>
        <v>3.005618372545445E-2</v>
      </c>
    </row>
    <row r="549" spans="1:121" s="167" customFormat="1" ht="21" x14ac:dyDescent="0.35">
      <c r="A549" s="167" t="s">
        <v>66</v>
      </c>
      <c r="B549" s="168" t="s">
        <v>66</v>
      </c>
      <c r="C549" s="168">
        <v>4008754</v>
      </c>
      <c r="D549" s="168" t="s">
        <v>144</v>
      </c>
      <c r="E549" s="168"/>
      <c r="F549" s="168"/>
      <c r="G549" s="168" t="s">
        <v>13</v>
      </c>
      <c r="H549" s="169">
        <v>2007</v>
      </c>
      <c r="I549" s="170"/>
      <c r="J549" s="166">
        <f>IFERROR(INDEX('Labor Expenditures'!$F$7:$X$91,MATCH($C549,'Labor Expenditures'!$D$7:$D$91,0),MATCH($G549,'Labor Expenditures'!$F$5:$X$5,0)),"NA")</f>
        <v>11656.771732028126</v>
      </c>
      <c r="K549" s="166">
        <f t="shared" si="1580"/>
        <v>110.77948901903659</v>
      </c>
      <c r="L549" s="172">
        <f t="shared" si="1587"/>
        <v>-4.8672782794895999E-3</v>
      </c>
      <c r="M549" s="172">
        <f t="shared" si="1591"/>
        <v>-2.2057356164462122E-5</v>
      </c>
      <c r="N549" s="196"/>
      <c r="O549" s="172"/>
      <c r="P549" s="166">
        <f>IFERROR(INDEX('Non-Labor Expenditures'!$F$7:$AB$91,MATCH($C549,'Non-Labor Expenditures'!$D$7:$D$91,0),MATCH($G549,'Non-Labor Expenditures'!$F$5:$AB$5,0)),"NA")</f>
        <v>16881.182652616517</v>
      </c>
      <c r="Q549" s="166">
        <f t="shared" si="1581"/>
        <v>182.50321793570149</v>
      </c>
      <c r="R549" s="172">
        <f t="shared" si="1592"/>
        <v>-7.8472082874694014E-4</v>
      </c>
      <c r="S549" s="172">
        <f t="shared" ref="S549:S563" si="1597">+R549*AR549</f>
        <v>-3.5561695500915992E-6</v>
      </c>
      <c r="T549" s="172"/>
      <c r="U549" s="172"/>
      <c r="V549" s="166">
        <f t="shared" si="1562"/>
        <v>9537.7412835972737</v>
      </c>
      <c r="W549" s="170"/>
      <c r="X549" s="174">
        <v>560.54679739539313</v>
      </c>
      <c r="Y549" s="175">
        <v>2.1610523982808744E-2</v>
      </c>
      <c r="Z549" s="175">
        <f t="shared" ref="Z549:Z563" si="1598">+Y549*AR549</f>
        <v>9.7933793183374002E-5</v>
      </c>
      <c r="AA549" s="175"/>
      <c r="AB549" s="175"/>
      <c r="AC549" s="170">
        <f t="shared" si="1475"/>
        <v>38075.695668241919</v>
      </c>
      <c r="AD549" s="175">
        <f t="shared" si="1593"/>
        <v>4.2889136030307737E-2</v>
      </c>
      <c r="AE549" s="170"/>
      <c r="AF549" s="170"/>
      <c r="AG549" s="121">
        <f t="shared" si="1594"/>
        <v>273.6679508394385</v>
      </c>
      <c r="AH549" s="119">
        <f>+AZ549/$BB$45</f>
        <v>3.9280369534648507E-3</v>
      </c>
      <c r="AI549" s="119"/>
      <c r="AJ549" s="176">
        <f t="shared" ref="AJ549:AJ563" si="1599">+AH549*AG549</f>
        <v>1.0749778238763166</v>
      </c>
      <c r="AK549" s="176">
        <f t="shared" ref="AK549:AK563" si="1600">+AI549*AG549</f>
        <v>0</v>
      </c>
      <c r="AL549" s="120">
        <f t="shared" si="1582"/>
        <v>0.30614730807796581</v>
      </c>
      <c r="AM549" s="120">
        <f t="shared" si="1583"/>
        <v>0.44335848252660376</v>
      </c>
      <c r="AN549" s="120">
        <f t="shared" si="1584"/>
        <v>0.25049420939543043</v>
      </c>
      <c r="AO549" s="120">
        <f t="shared" si="1588"/>
        <v>3.4195984742517119E-3</v>
      </c>
      <c r="AP549" s="173">
        <f>+AP548*EXP(AO549)</f>
        <v>105.3672717864207</v>
      </c>
      <c r="AQ549" s="175">
        <f>LN(AP549/AP548)</f>
        <v>3.4195984742517722E-3</v>
      </c>
      <c r="AR549" s="177">
        <f>+AC549/$AE$45</f>
        <v>4.5317639341498949E-3</v>
      </c>
      <c r="AS549" s="177">
        <f t="shared" ref="AS549:AS563" si="1601">+AR549*AQ549</f>
        <v>1.5496813034888189E-5</v>
      </c>
      <c r="AT549" s="177"/>
      <c r="AU549" s="177"/>
      <c r="AV549" s="177"/>
      <c r="AW549" s="190"/>
      <c r="AX549" s="120"/>
      <c r="AY549" s="120"/>
      <c r="AZ549" s="118">
        <f>IFERROR(INDEX('Total Customers'!$F$7:$AB$91,MATCH($C549,'Total Customers'!$D$7:$D$91,0),MATCH($G549,'Total Customers'!$F$5:$AB$5,0)),"NA")</f>
        <v>139131</v>
      </c>
      <c r="BA549" s="119">
        <f t="shared" si="1563"/>
        <v>1.2235753043152416E-2</v>
      </c>
      <c r="BB549" s="119"/>
      <c r="BC549" s="121"/>
      <c r="BD549" s="119"/>
      <c r="BE549" s="119"/>
      <c r="BF549" s="119"/>
      <c r="BG549" s="173"/>
      <c r="BH549" s="173"/>
      <c r="BI549" s="173"/>
      <c r="BJ549" s="173"/>
      <c r="BK549" s="173"/>
      <c r="BL549" s="173"/>
      <c r="BM549" s="173"/>
      <c r="BN549" s="173"/>
      <c r="BO549" s="173"/>
      <c r="BP549" s="173"/>
      <c r="BQ549" s="118"/>
      <c r="BR549" s="118"/>
      <c r="BS549" s="118">
        <f>INDEX('Dist. Plant Gas Additions'!$F$7:$AE$91,MATCH($C549,'Dist. Plant Gas Additions'!$D$7:$D$91,0),MATCH(Calculation!$G549,'Dist. Plant Gas Additions'!$F$5:$AE$5,0))</f>
        <v>7492</v>
      </c>
      <c r="BT549" s="118">
        <f>INDEX('Gen. Plant Additions'!$F$7:$AE$91,MATCH($C549,'Gen. Plant Additions'!$D$7:$D$91,0),MATCH(Calculation!$G549,'Gen. Plant Additions'!$F$5:$AE$5,0))</f>
        <v>215</v>
      </c>
      <c r="BU549" s="118"/>
      <c r="BV549" s="118"/>
      <c r="BW549" s="118">
        <f>INDEX('Dist Plant Depreciation'!$E$7:$AD$94,MATCH($C549,'Dist Plant Depreciation'!$D$7:$D$94,0),MATCH(Calculation!$G549,'Dist Plant Depreciation'!$E$5:$AD$5,0))</f>
        <v>140280</v>
      </c>
      <c r="BX549" s="118">
        <f>INDEX('Gen. Plant Depreciation'!$E$7:$AD$94,MATCH($C549,'Gen. Plant Depreciation'!$D$7:$D$94,0),MATCH(Calculation!$G549,'Gen. Plant Depreciation'!$E$5:$AD$5,0))</f>
        <v>1539</v>
      </c>
      <c r="BY549" s="118"/>
      <c r="BZ549" s="118"/>
      <c r="CA549" s="118"/>
      <c r="CB549" s="118"/>
      <c r="CC549" s="118"/>
      <c r="CD549" s="118"/>
      <c r="CE549" s="118">
        <f>INDEX('Gross Dx Plant'!$E$7:$AD$91,MATCH($C549,'Gross Dx Plant'!$D$7:$D$91,0),MATCH(Calculation!$G549,'Gross Dx Plant'!$E$5:$AD$5,0))</f>
        <v>240677</v>
      </c>
      <c r="CF549" s="118">
        <f>INDEX('Gross Gen Plant'!$E$7:$AD$91,MATCH($C549,'Gross Gen Plant'!$D$7:$D$91,0),MATCH(Calculation!$G549,'Gross Gen Plant'!$E$5:$AD$5,0))</f>
        <v>3660</v>
      </c>
      <c r="CG549" s="118">
        <f t="shared" si="1516"/>
        <v>102518</v>
      </c>
      <c r="CH549" s="118"/>
      <c r="CI549" s="121">
        <v>2007</v>
      </c>
      <c r="CJ549" s="118"/>
      <c r="CK549" s="118"/>
      <c r="CL549" s="118"/>
      <c r="CM549" s="183"/>
      <c r="CN549" s="118">
        <f t="shared" si="1564"/>
        <v>7707</v>
      </c>
      <c r="CO549" s="118">
        <f t="shared" si="1565"/>
        <v>15.475210167267793</v>
      </c>
      <c r="CP549" s="186">
        <v>0.94915254237288138</v>
      </c>
      <c r="CQ549" s="118">
        <f>+CQ540*CP549+CO541*CP548+CO542*CP547+CO543*CP546+CO544*CP545+CO545*CP544+CO546*CP543+CO547*CP542+CO548*CP541+CO549</f>
        <v>560.54679739539313</v>
      </c>
      <c r="CR549" s="119">
        <f t="shared" si="1566"/>
        <v>2.1610523982808744E-2</v>
      </c>
      <c r="CS549" s="119"/>
      <c r="CT549" s="177">
        <f t="shared" si="1567"/>
        <v>6.3647272919660882E-3</v>
      </c>
      <c r="CU549" s="177">
        <f t="shared" si="1575"/>
        <v>6.1695660692399909E-3</v>
      </c>
      <c r="CV549" s="119">
        <f>VLOOKUP($H549,RoR!$E:$F,2,FALSE)</f>
        <v>5.5558333333333321E-2</v>
      </c>
      <c r="CW549" s="177">
        <v>2.691120634145272E-2</v>
      </c>
      <c r="CX549" s="177">
        <f t="shared" si="1573"/>
        <v>2.86471269918806E-2</v>
      </c>
      <c r="CY549" s="177">
        <f t="shared" si="1576"/>
        <v>2.4732375539293635E-2</v>
      </c>
      <c r="CZ549" s="177">
        <f t="shared" si="1577"/>
        <v>6.4575155250632399E-2</v>
      </c>
      <c r="DA549" s="187">
        <f t="shared" si="1568"/>
        <v>0.84949374999999994</v>
      </c>
      <c r="DB549" s="188">
        <f t="shared" si="1569"/>
        <v>0.92303077153834634</v>
      </c>
      <c r="DC549" s="188">
        <f t="shared" si="1570"/>
        <v>0.52502249887505614</v>
      </c>
      <c r="DD549" s="188">
        <f t="shared" si="1571"/>
        <v>0.88499666072084604</v>
      </c>
      <c r="DE549" s="188">
        <f t="shared" si="1572"/>
        <v>0.42887993290280618</v>
      </c>
      <c r="DF549" s="189">
        <f>INDEX('State Tax Lookup'!$D$7:$Z$91,MATCH(Calculation!$C549,'State Tax Lookup'!$B$7:$B$91,0),MATCH($H549,'State Tax Lookup'!$D$6:$Z$6,0))</f>
        <v>0.40134999999999998</v>
      </c>
      <c r="DG549" s="189">
        <v>0.375</v>
      </c>
      <c r="DH549" s="190">
        <f t="shared" si="1574"/>
        <v>17.386773376942664</v>
      </c>
      <c r="DI549" s="190">
        <v>17.137713123125856</v>
      </c>
      <c r="DJ549" s="177"/>
      <c r="DK549" s="189">
        <f>VLOOKUP($H549,RoR!$E:$F,2,FALSE)</f>
        <v>5.5558333333333321E-2</v>
      </c>
      <c r="DL549" s="191">
        <f>HLOOKUP($H549,'GDP-PI'!$D$8:$CQ$11,3,FALSE)</f>
        <v>2.691120634145272E-2</v>
      </c>
      <c r="DM549" s="189">
        <f>VLOOKUP(H549,'HW Dx Data'!$E:$F,2,FALSE)</f>
        <v>498.0223154772637</v>
      </c>
      <c r="DN549" s="183">
        <f>VLOOKUP(H549,'ECI - Input Price'!$G$17:$H$37,2,FALSE)</f>
        <v>105.22500000000001</v>
      </c>
      <c r="DO549" s="177">
        <f t="shared" ref="DO549" si="1602">LN(DN549/DN548)</f>
        <v>3.0638025400780679E-2</v>
      </c>
      <c r="DP549" s="183">
        <f>HLOOKUP(H549,'GDP-PI'!$8:$9,2,FALSE)</f>
        <v>92.498000000000005</v>
      </c>
      <c r="DQ549" s="177">
        <f t="shared" ref="DQ549" si="1603">LN(DP549/DP548)</f>
        <v>2.6555467950038037E-2</v>
      </c>
    </row>
    <row r="550" spans="1:121" s="167" customFormat="1" ht="21" x14ac:dyDescent="0.35">
      <c r="A550" s="167" t="s">
        <v>66</v>
      </c>
      <c r="B550" s="168" t="s">
        <v>66</v>
      </c>
      <c r="C550" s="168">
        <v>4008754</v>
      </c>
      <c r="D550" s="168" t="s">
        <v>144</v>
      </c>
      <c r="E550" s="168"/>
      <c r="F550" s="168"/>
      <c r="G550" s="168" t="s">
        <v>14</v>
      </c>
      <c r="H550" s="169">
        <v>2008</v>
      </c>
      <c r="I550" s="170"/>
      <c r="J550" s="166">
        <f>IFERROR(INDEX('Labor Expenditures'!$F$7:$X$91,MATCH($C550,'Labor Expenditures'!$D$7:$D$91,0),MATCH($G550,'Labor Expenditures'!$F$5:$X$5,0)),"NA")</f>
        <v>12371.819194316275</v>
      </c>
      <c r="K550" s="166">
        <f t="shared" si="1580"/>
        <v>114.31572367120606</v>
      </c>
      <c r="L550" s="172">
        <f t="shared" si="1587"/>
        <v>3.1422486246836884E-2</v>
      </c>
      <c r="M550" s="172">
        <f t="shared" si="1591"/>
        <v>1.446737384990262E-4</v>
      </c>
      <c r="N550" s="196"/>
      <c r="O550" s="172"/>
      <c r="P550" s="166">
        <f>IFERROR(INDEX('Non-Labor Expenditures'!$F$7:$AB$91,MATCH($C550,'Non-Labor Expenditures'!$D$7:$D$91,0),MATCH($G550,'Non-Labor Expenditures'!$F$5:$AB$5,0)),"NA")</f>
        <v>17916.704930453558</v>
      </c>
      <c r="Q550" s="166">
        <f t="shared" si="1581"/>
        <v>190.06943191943435</v>
      </c>
      <c r="R550" s="172">
        <f t="shared" si="1592"/>
        <v>4.0621631170214723E-2</v>
      </c>
      <c r="S550" s="172">
        <f t="shared" si="1597"/>
        <v>1.8702795186727552E-4</v>
      </c>
      <c r="T550" s="172"/>
      <c r="U550" s="172"/>
      <c r="V550" s="166">
        <f t="shared" si="1562"/>
        <v>11066.131632197326</v>
      </c>
      <c r="W550" s="170"/>
      <c r="X550" s="174">
        <v>575.66073750935129</v>
      </c>
      <c r="Y550" s="175">
        <v>2.6605758531409479E-2</v>
      </c>
      <c r="Z550" s="175">
        <f t="shared" si="1598"/>
        <v>1.2249681715522563E-4</v>
      </c>
      <c r="AA550" s="175"/>
      <c r="AB550" s="175"/>
      <c r="AC550" s="170">
        <f t="shared" si="1475"/>
        <v>41354.655756967157</v>
      </c>
      <c r="AD550" s="175">
        <f t="shared" si="1593"/>
        <v>8.2608839400059295E-2</v>
      </c>
      <c r="AE550" s="170"/>
      <c r="AF550" s="170"/>
      <c r="AG550" s="121">
        <f t="shared" si="1594"/>
        <v>292.28383860798908</v>
      </c>
      <c r="AH550" s="119">
        <f>+AZ550/$BB$46</f>
        <v>3.9732826817758882E-3</v>
      </c>
      <c r="AI550" s="119"/>
      <c r="AJ550" s="176">
        <f t="shared" si="1599"/>
        <v>1.1613263141041017</v>
      </c>
      <c r="AK550" s="176">
        <f t="shared" si="1600"/>
        <v>0</v>
      </c>
      <c r="AL550" s="120">
        <f t="shared" si="1582"/>
        <v>0.29916387811381923</v>
      </c>
      <c r="AM550" s="120">
        <f t="shared" si="1583"/>
        <v>0.43324517161372017</v>
      </c>
      <c r="AN550" s="120">
        <f t="shared" si="1584"/>
        <v>0.26759095027246066</v>
      </c>
      <c r="AO550" s="120">
        <f t="shared" si="1588"/>
        <v>3.4206750700474617E-2</v>
      </c>
      <c r="AP550" s="173">
        <f t="shared" ref="AP550:AP563" si="1604">+AP549*EXP(AO550)</f>
        <v>109.0338979477321</v>
      </c>
      <c r="AQ550" s="175">
        <f t="shared" ref="AQ550:AQ563" si="1605">LN(AP550/AP549)</f>
        <v>3.4206750700474679E-2</v>
      </c>
      <c r="AR550" s="177">
        <f>+AC550/$AE$46</f>
        <v>4.604146768099537E-3</v>
      </c>
      <c r="AS550" s="177">
        <f t="shared" si="1601"/>
        <v>1.5749290068477708E-4</v>
      </c>
      <c r="AT550" s="177"/>
      <c r="AU550" s="177"/>
      <c r="AV550" s="177"/>
      <c r="AW550" s="190"/>
      <c r="AX550" s="120"/>
      <c r="AY550" s="120"/>
      <c r="AZ550" s="118">
        <f>IFERROR(INDEX('Total Customers'!$F$7:$AB$91,MATCH($C550,'Total Customers'!$D$7:$D$91,0),MATCH($G550,'Total Customers'!$F$5:$AB$5,0)),"NA")</f>
        <v>141488</v>
      </c>
      <c r="BA550" s="119">
        <f t="shared" si="1563"/>
        <v>1.679897248296305E-2</v>
      </c>
      <c r="BB550" s="119"/>
      <c r="BC550" s="121"/>
      <c r="BD550" s="119"/>
      <c r="BE550" s="119"/>
      <c r="BF550" s="119"/>
      <c r="BG550" s="173"/>
      <c r="BH550" s="173"/>
      <c r="BI550" s="173"/>
      <c r="BJ550" s="173"/>
      <c r="BK550" s="173"/>
      <c r="BL550" s="173"/>
      <c r="BM550" s="173"/>
      <c r="BN550" s="173"/>
      <c r="BO550" s="173"/>
      <c r="BP550" s="173"/>
      <c r="BQ550" s="118"/>
      <c r="BR550" s="118"/>
      <c r="BS550" s="118">
        <f>INDEX('Dist. Plant Gas Additions'!$F$7:$AE$91,MATCH($C550,'Dist. Plant Gas Additions'!$D$7:$D$91,0),MATCH(Calculation!$G550,'Dist. Plant Gas Additions'!$F$5:$AE$5,0))</f>
        <v>10456</v>
      </c>
      <c r="BT550" s="118">
        <f>INDEX('Gen. Plant Additions'!$F$7:$AE$91,MATCH($C550,'Gen. Plant Additions'!$D$7:$D$91,0),MATCH(Calculation!$G550,'Gen. Plant Additions'!$F$5:$AE$5,0))</f>
        <v>258</v>
      </c>
      <c r="BU550" s="118"/>
      <c r="BV550" s="118"/>
      <c r="BW550" s="118">
        <f>INDEX('Dist Plant Depreciation'!$E$7:$AD$94,MATCH($C550,'Dist Plant Depreciation'!$D$7:$D$94,0),MATCH(Calculation!$G550,'Dist Plant Depreciation'!$E$5:$AD$5,0))</f>
        <v>146572</v>
      </c>
      <c r="BX550" s="118">
        <f>INDEX('Gen. Plant Depreciation'!$E$7:$AD$94,MATCH($C550,'Gen. Plant Depreciation'!$D$7:$D$94,0),MATCH(Calculation!$G550,'Gen. Plant Depreciation'!$E$5:$AD$5,0))</f>
        <v>1661</v>
      </c>
      <c r="BY550" s="118"/>
      <c r="BZ550" s="118"/>
      <c r="CA550" s="118"/>
      <c r="CB550" s="118"/>
      <c r="CC550" s="118"/>
      <c r="CD550" s="118"/>
      <c r="CE550" s="118">
        <f>INDEX('Gross Dx Plant'!$E$7:$AD$91,MATCH($C550,'Gross Dx Plant'!$D$7:$D$91,0),MATCH(Calculation!$G550,'Gross Dx Plant'!$E$5:$AD$5,0))</f>
        <v>249629</v>
      </c>
      <c r="CF550" s="118">
        <f>INDEX('Gross Gen Plant'!$E$7:$AD$91,MATCH($C550,'Gross Gen Plant'!$D$7:$D$91,0),MATCH(Calculation!$G550,'Gross Gen Plant'!$E$5:$AD$5,0))</f>
        <v>3827</v>
      </c>
      <c r="CG550" s="118">
        <f t="shared" si="1516"/>
        <v>105223</v>
      </c>
      <c r="CH550" s="118"/>
      <c r="CI550" s="121">
        <v>2008</v>
      </c>
      <c r="CJ550" s="118"/>
      <c r="CK550" s="118"/>
      <c r="CL550" s="118"/>
      <c r="CM550" s="183"/>
      <c r="CN550" s="118">
        <f t="shared" si="1564"/>
        <v>10714</v>
      </c>
      <c r="CO550" s="118">
        <f t="shared" si="1565"/>
        <v>18.800409519208213</v>
      </c>
      <c r="CP550" s="186">
        <v>0.94252873563218387</v>
      </c>
      <c r="CQ550" s="118">
        <f>+CQ540*CP550+CO541*CP549+CO542*CP548+CO543*CP547+CO544*CP546+CO545*CP545+CO546*CP544+CO547*CP543+CO548*CP542+CO549*CP541+CO550</f>
        <v>575.66073750935129</v>
      </c>
      <c r="CR550" s="119">
        <f t="shared" si="1566"/>
        <v>2.6605758531409479E-2</v>
      </c>
      <c r="CS550" s="119"/>
      <c r="CT550" s="177">
        <f t="shared" si="1567"/>
        <v>6.5765595707252275E-3</v>
      </c>
      <c r="CU550" s="177">
        <f t="shared" si="1575"/>
        <v>6.3683007414483614E-3</v>
      </c>
      <c r="CV550" s="119">
        <f>VLOOKUP($H550,RoR!$E:$F,2,FALSE)</f>
        <v>5.6316666666666668E-2</v>
      </c>
      <c r="CW550" s="177">
        <v>1.9092304698479889E-2</v>
      </c>
      <c r="CX550" s="177">
        <f t="shared" si="1573"/>
        <v>3.7224361968186778E-2</v>
      </c>
      <c r="CY550" s="177">
        <f t="shared" si="1576"/>
        <v>2.4533640867085264E-2</v>
      </c>
      <c r="CZ550" s="177">
        <f t="shared" si="1577"/>
        <v>6.9030581091053131E-2</v>
      </c>
      <c r="DA550" s="187">
        <f t="shared" si="1568"/>
        <v>0.84949374999999994</v>
      </c>
      <c r="DB550" s="188">
        <f t="shared" si="1569"/>
        <v>0.91060168006009956</v>
      </c>
      <c r="DC550" s="188">
        <f t="shared" si="1570"/>
        <v>0.53108168097070152</v>
      </c>
      <c r="DD550" s="188">
        <f t="shared" si="1571"/>
        <v>0.88825329850328805</v>
      </c>
      <c r="DE550" s="188">
        <f t="shared" si="1572"/>
        <v>0.4295627335323573</v>
      </c>
      <c r="DF550" s="189">
        <f>INDEX('State Tax Lookup'!$D$7:$Z$91,MATCH(Calculation!$C550,'State Tax Lookup'!$B$7:$B$91,0),MATCH($H550,'State Tax Lookup'!$D$6:$Z$6,0))</f>
        <v>0.40134999999999998</v>
      </c>
      <c r="DG550" s="189">
        <v>0.375</v>
      </c>
      <c r="DH550" s="190">
        <f t="shared" si="1574"/>
        <v>19.741673101365709</v>
      </c>
      <c r="DI550" s="190">
        <v>19.461523340455997</v>
      </c>
      <c r="DJ550" s="177"/>
      <c r="DK550" s="189">
        <f>VLOOKUP($H550,RoR!$E:$F,2,FALSE)</f>
        <v>5.6316666666666668E-2</v>
      </c>
      <c r="DL550" s="191">
        <f>HLOOKUP($H550,'GDP-PI'!$D$8:$CQ$11,3,FALSE)</f>
        <v>1.9092304698479889E-2</v>
      </c>
      <c r="DM550" s="189">
        <f>VLOOKUP(H550,'HW Dx Data'!$E:$F,2,FALSE)</f>
        <v>569.88120333515076</v>
      </c>
      <c r="DN550" s="183">
        <f>VLOOKUP(H550,'ECI - Input Price'!$G$17:$H$37,2,FALSE)</f>
        <v>108.22499999999999</v>
      </c>
      <c r="DO550" s="177">
        <f t="shared" ref="DO550" si="1606">LN(DN550/DN549)</f>
        <v>2.8111478671409691E-2</v>
      </c>
      <c r="DP550" s="183">
        <f>HLOOKUP(H550,'GDP-PI'!$8:$9,2,FALSE)</f>
        <v>94.263999999999996</v>
      </c>
      <c r="DQ550" s="177">
        <f t="shared" ref="DQ550" si="1607">LN(DP550/DP549)</f>
        <v>1.8912333748032254E-2</v>
      </c>
    </row>
    <row r="551" spans="1:121" s="167" customFormat="1" ht="21" x14ac:dyDescent="0.35">
      <c r="A551" s="167" t="s">
        <v>66</v>
      </c>
      <c r="B551" s="168" t="s">
        <v>66</v>
      </c>
      <c r="C551" s="168">
        <v>4008754</v>
      </c>
      <c r="D551" s="168" t="s">
        <v>144</v>
      </c>
      <c r="E551" s="168"/>
      <c r="F551" s="168"/>
      <c r="G551" s="168" t="s">
        <v>15</v>
      </c>
      <c r="H551" s="169">
        <v>2009</v>
      </c>
      <c r="I551" s="170"/>
      <c r="J551" s="166">
        <f>IFERROR(INDEX('Labor Expenditures'!$F$7:$X$91,MATCH($C551,'Labor Expenditures'!$D$7:$D$91,0),MATCH($G551,'Labor Expenditures'!$F$5:$X$5,0)),"NA")</f>
        <v>12072.858683316259</v>
      </c>
      <c r="K551" s="166">
        <f t="shared" si="1580"/>
        <v>109.97821619964709</v>
      </c>
      <c r="L551" s="172">
        <f t="shared" si="1587"/>
        <v>-3.868181463469212E-2</v>
      </c>
      <c r="M551" s="172">
        <f t="shared" si="1591"/>
        <v>-1.6701837782649148E-4</v>
      </c>
      <c r="N551" s="196"/>
      <c r="O551" s="172"/>
      <c r="P551" s="166">
        <f>IFERROR(INDEX('Non-Labor Expenditures'!$F$7:$AB$91,MATCH($C551,'Non-Labor Expenditures'!$D$7:$D$91,0),MATCH($G551,'Non-Labor Expenditures'!$F$5:$AB$5,0)),"NA")</f>
        <v>17483.754272404363</v>
      </c>
      <c r="Q551" s="166">
        <f t="shared" si="1581"/>
        <v>184.04145593537157</v>
      </c>
      <c r="R551" s="172">
        <f t="shared" si="1592"/>
        <v>-3.2228400333264962E-2</v>
      </c>
      <c r="S551" s="172">
        <f t="shared" si="1597"/>
        <v>-1.3915415278313025E-4</v>
      </c>
      <c r="T551" s="172"/>
      <c r="U551" s="172"/>
      <c r="V551" s="166">
        <f t="shared" si="1562"/>
        <v>10895.885699124061</v>
      </c>
      <c r="W551" s="170"/>
      <c r="X551" s="174">
        <v>600.63942557531368</v>
      </c>
      <c r="Y551" s="175">
        <v>4.2476307254125968E-2</v>
      </c>
      <c r="Z551" s="175">
        <f t="shared" si="1598"/>
        <v>1.8340204565483713E-4</v>
      </c>
      <c r="AA551" s="175"/>
      <c r="AB551" s="175"/>
      <c r="AC551" s="170">
        <f t="shared" si="1475"/>
        <v>40452.498654844683</v>
      </c>
      <c r="AD551" s="175">
        <f t="shared" si="1593"/>
        <v>-2.2056595973076326E-2</v>
      </c>
      <c r="AE551" s="170"/>
      <c r="AF551" s="170"/>
      <c r="AG551" s="121">
        <f t="shared" si="1594"/>
        <v>284.11045317801063</v>
      </c>
      <c r="AH551" s="119">
        <f>+AZ551/$BB$47</f>
        <v>3.9926470009163583E-3</v>
      </c>
      <c r="AI551" s="119"/>
      <c r="AJ551" s="176">
        <f t="shared" si="1599"/>
        <v>1.1343527488101717</v>
      </c>
      <c r="AK551" s="176">
        <f t="shared" si="1600"/>
        <v>0</v>
      </c>
      <c r="AL551" s="120">
        <f t="shared" si="1582"/>
        <v>0.29844531449901884</v>
      </c>
      <c r="AM551" s="120">
        <f t="shared" si="1583"/>
        <v>0.43220455729031881</v>
      </c>
      <c r="AN551" s="120">
        <f t="shared" si="1584"/>
        <v>0.26935012821066234</v>
      </c>
      <c r="AO551" s="120">
        <f t="shared" si="1588"/>
        <v>-1.410069705853096E-2</v>
      </c>
      <c r="AP551" s="173">
        <f t="shared" si="1604"/>
        <v>107.50723280047785</v>
      </c>
      <c r="AQ551" s="175">
        <f t="shared" si="1605"/>
        <v>-1.4100697058530899E-2</v>
      </c>
      <c r="AR551" s="177">
        <f>+AC551/$AE$47</f>
        <v>4.3177492939201357E-3</v>
      </c>
      <c r="AS551" s="177">
        <f t="shared" si="1601"/>
        <v>-6.0883274768253526E-5</v>
      </c>
      <c r="AT551" s="177"/>
      <c r="AU551" s="177"/>
      <c r="AV551" s="177"/>
      <c r="AW551" s="190"/>
      <c r="AX551" s="120"/>
      <c r="AY551" s="120"/>
      <c r="AZ551" s="118">
        <f>IFERROR(INDEX('Total Customers'!$F$7:$AB$91,MATCH($C551,'Total Customers'!$D$7:$D$91,0),MATCH($G551,'Total Customers'!$F$5:$AB$5,0)),"NA")</f>
        <v>142383</v>
      </c>
      <c r="BA551" s="119">
        <f t="shared" si="1563"/>
        <v>6.3057019954234003E-3</v>
      </c>
      <c r="BB551" s="119"/>
      <c r="BC551" s="121"/>
      <c r="BD551" s="119"/>
      <c r="BE551" s="119"/>
      <c r="BF551" s="119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18"/>
      <c r="BR551" s="118"/>
      <c r="BS551" s="118">
        <f>INDEX('Dist. Plant Gas Additions'!$F$7:$AE$91,MATCH($C551,'Dist. Plant Gas Additions'!$D$7:$D$91,0),MATCH(Calculation!$G551,'Dist. Plant Gas Additions'!$F$5:$AE$5,0))</f>
        <v>15675</v>
      </c>
      <c r="BT551" s="118">
        <f>INDEX('Gen. Plant Additions'!$F$7:$AE$91,MATCH($C551,'Gen. Plant Additions'!$D$7:$D$91,0),MATCH(Calculation!$G551,'Gen. Plant Additions'!$F$5:$AE$5,0))</f>
        <v>239</v>
      </c>
      <c r="BU551" s="118"/>
      <c r="BV551" s="118"/>
      <c r="BW551" s="118">
        <f>INDEX('Dist Plant Depreciation'!$E$7:$AD$94,MATCH($C551,'Dist Plant Depreciation'!$D$7:$D$94,0),MATCH(Calculation!$G551,'Dist Plant Depreciation'!$E$5:$AD$5,0))</f>
        <v>151858</v>
      </c>
      <c r="BX551" s="118">
        <f>INDEX('Gen. Plant Depreciation'!$E$7:$AD$94,MATCH($C551,'Gen. Plant Depreciation'!$D$7:$D$94,0),MATCH(Calculation!$G551,'Gen. Plant Depreciation'!$E$5:$AD$5,0))</f>
        <v>1797</v>
      </c>
      <c r="BY551" s="118"/>
      <c r="BZ551" s="118"/>
      <c r="CA551" s="118"/>
      <c r="CB551" s="118"/>
      <c r="CC551" s="118"/>
      <c r="CD551" s="118"/>
      <c r="CE551" s="118">
        <f>INDEX('Gross Dx Plant'!$E$7:$AD$91,MATCH($C551,'Gross Dx Plant'!$D$7:$D$91,0),MATCH(Calculation!$G551,'Gross Dx Plant'!$E$5:$AD$5,0))</f>
        <v>262525</v>
      </c>
      <c r="CF551" s="118">
        <f>INDEX('Gross Gen Plant'!$E$7:$AD$91,MATCH($C551,'Gross Gen Plant'!$D$7:$D$91,0),MATCH(Calculation!$G551,'Gross Gen Plant'!$E$5:$AD$5,0))</f>
        <v>4005</v>
      </c>
      <c r="CG551" s="118">
        <f t="shared" si="1516"/>
        <v>112875</v>
      </c>
      <c r="CH551" s="118"/>
      <c r="CI551" s="121">
        <v>2009</v>
      </c>
      <c r="CJ551" s="118"/>
      <c r="CK551" s="118"/>
      <c r="CL551" s="118"/>
      <c r="CM551" s="183"/>
      <c r="CN551" s="118">
        <f t="shared" si="1564"/>
        <v>15914</v>
      </c>
      <c r="CO551" s="118">
        <f t="shared" si="1565"/>
        <v>28.885144672793054</v>
      </c>
      <c r="CP551" s="186">
        <v>0.93567251461988299</v>
      </c>
      <c r="CQ551" s="118">
        <f>+CQ540*CP551+CO541*CP550+CO542*CP549+CO543*CP548+CO544*CP547+CO545*CP546+CO546*CP545+CO547*CP544+CO548*CP543+CO549*CP542+CO550*CP541+CO551</f>
        <v>600.63942557531368</v>
      </c>
      <c r="CR551" s="119">
        <f t="shared" si="1566"/>
        <v>4.2476307254125968E-2</v>
      </c>
      <c r="CS551" s="119"/>
      <c r="CT551" s="177">
        <f t="shared" si="1567"/>
        <v>6.7860396797813707E-3</v>
      </c>
      <c r="CU551" s="177">
        <f t="shared" si="1575"/>
        <v>6.5757755141575619E-3</v>
      </c>
      <c r="CV551" s="119">
        <f>VLOOKUP($H551,RoR!$E:$F,2,FALSE)</f>
        <v>5.3133333333333324E-2</v>
      </c>
      <c r="CW551" s="177">
        <v>7.7972502758210105E-3</v>
      </c>
      <c r="CX551" s="177">
        <f t="shared" si="1573"/>
        <v>4.5336083057512314E-2</v>
      </c>
      <c r="CY551" s="177">
        <f t="shared" si="1576"/>
        <v>2.4326166094376062E-2</v>
      </c>
      <c r="CZ551" s="177">
        <f t="shared" si="1577"/>
        <v>6.3720160300892073E-2</v>
      </c>
      <c r="DA551" s="187">
        <f t="shared" si="1568"/>
        <v>0.84949374999999994</v>
      </c>
      <c r="DB551" s="188">
        <f t="shared" si="1569"/>
        <v>0.96515780330083989</v>
      </c>
      <c r="DC551" s="188">
        <f t="shared" si="1570"/>
        <v>0.50448557089084056</v>
      </c>
      <c r="DD551" s="188">
        <f t="shared" si="1571"/>
        <v>0.87391435735465484</v>
      </c>
      <c r="DE551" s="188">
        <f t="shared" si="1572"/>
        <v>0.42551605393279146</v>
      </c>
      <c r="DF551" s="189">
        <f>INDEX('State Tax Lookup'!$D$7:$Z$91,MATCH(Calculation!$C551,'State Tax Lookup'!$B$7:$B$91,0),MATCH($H551,'State Tax Lookup'!$D$6:$Z$6,0))</f>
        <v>0.40134999999999998</v>
      </c>
      <c r="DG551" s="189">
        <v>0.375</v>
      </c>
      <c r="DH551" s="190">
        <f t="shared" si="1574"/>
        <v>18.927616544192514</v>
      </c>
      <c r="DI551" s="190">
        <v>18.592401662349154</v>
      </c>
      <c r="DJ551" s="177"/>
      <c r="DK551" s="189">
        <f>VLOOKUP($H551,RoR!$E:$F,2,FALSE)</f>
        <v>5.3133333333333324E-2</v>
      </c>
      <c r="DL551" s="191">
        <f>HLOOKUP($H551,'GDP-PI'!$D$8:$CQ$11,3,FALSE)</f>
        <v>7.7972502758210105E-3</v>
      </c>
      <c r="DM551" s="189">
        <f>VLOOKUP(H551,'HW Dx Data'!$E:$F,2,FALSE)</f>
        <v>550.94063679692806</v>
      </c>
      <c r="DN551" s="183">
        <f>VLOOKUP(H551,'ECI - Input Price'!$G$17:$H$37,2,FALSE)</f>
        <v>109.77499999999999</v>
      </c>
      <c r="DO551" s="177">
        <f t="shared" ref="DO551" si="1608">LN(DN551/DN550)</f>
        <v>1.4220423119736749E-2</v>
      </c>
      <c r="DP551" s="183">
        <f>HLOOKUP(H551,'GDP-PI'!$8:$9,2,FALSE)</f>
        <v>94.998999999999995</v>
      </c>
      <c r="DQ551" s="177">
        <f t="shared" ref="DQ551" si="1609">LN(DP551/DP550)</f>
        <v>7.7670088183096342E-3</v>
      </c>
    </row>
    <row r="552" spans="1:121" s="167" customFormat="1" ht="21" x14ac:dyDescent="0.35">
      <c r="A552" s="167" t="s">
        <v>66</v>
      </c>
      <c r="B552" s="168" t="s">
        <v>66</v>
      </c>
      <c r="C552" s="168">
        <v>4008754</v>
      </c>
      <c r="D552" s="168" t="s">
        <v>144</v>
      </c>
      <c r="E552" s="168"/>
      <c r="F552" s="168"/>
      <c r="G552" s="168" t="s">
        <v>16</v>
      </c>
      <c r="H552" s="169">
        <v>2010</v>
      </c>
      <c r="I552" s="170"/>
      <c r="J552" s="166">
        <f>IFERROR(INDEX('Labor Expenditures'!$F$7:$X$91,MATCH($C552,'Labor Expenditures'!$D$7:$D$91,0),MATCH($G552,'Labor Expenditures'!$F$5:$X$5,0)),"NA")</f>
        <v>13584.779786399962</v>
      </c>
      <c r="K552" s="166">
        <f t="shared" si="1580"/>
        <v>121.42819920804436</v>
      </c>
      <c r="L552" s="172">
        <f t="shared" si="1587"/>
        <v>9.9040823446510703E-2</v>
      </c>
      <c r="M552" s="172">
        <f t="shared" si="1591"/>
        <v>4.5809000456869349E-4</v>
      </c>
      <c r="N552" s="196"/>
      <c r="O552" s="172"/>
      <c r="P552" s="166">
        <f>IFERROR(INDEX('Non-Labor Expenditures'!$F$7:$AB$91,MATCH($C552,'Non-Labor Expenditures'!$D$7:$D$91,0),MATCH($G552,'Non-Labor Expenditures'!$F$5:$AB$5,0)),"NA")</f>
        <v>19673.298417579175</v>
      </c>
      <c r="Q552" s="166">
        <f t="shared" si="1581"/>
        <v>204.69777458488983</v>
      </c>
      <c r="R552" s="172">
        <f t="shared" si="1592"/>
        <v>0.10637358478659857</v>
      </c>
      <c r="S552" s="172">
        <f t="shared" si="1597"/>
        <v>4.9200596526944565E-4</v>
      </c>
      <c r="T552" s="172"/>
      <c r="U552" s="172"/>
      <c r="V552" s="166">
        <f t="shared" si="1562"/>
        <v>11658.599154944462</v>
      </c>
      <c r="W552" s="170"/>
      <c r="X552" s="174">
        <v>614.94050365754936</v>
      </c>
      <c r="Y552" s="175">
        <v>2.3530724063141082E-2</v>
      </c>
      <c r="Z552" s="175">
        <f t="shared" si="1598"/>
        <v>1.0883582262833786E-4</v>
      </c>
      <c r="AA552" s="175"/>
      <c r="AB552" s="175"/>
      <c r="AC552" s="170">
        <f t="shared" si="1475"/>
        <v>44916.677358923596</v>
      </c>
      <c r="AD552" s="175">
        <f t="shared" si="1593"/>
        <v>0.10468074612839107</v>
      </c>
      <c r="AE552" s="170"/>
      <c r="AF552" s="170"/>
      <c r="AG552" s="121">
        <f t="shared" si="1594"/>
        <v>313.76254660279835</v>
      </c>
      <c r="AH552" s="119">
        <f>+AZ552/$BB$48</f>
        <v>3.9921959440813136E-3</v>
      </c>
      <c r="AI552" s="119"/>
      <c r="AJ552" s="176">
        <f t="shared" si="1599"/>
        <v>1.2526015659523158</v>
      </c>
      <c r="AK552" s="176">
        <f t="shared" si="1600"/>
        <v>0</v>
      </c>
      <c r="AL552" s="120">
        <f t="shared" si="1582"/>
        <v>0.30244400488143131</v>
      </c>
      <c r="AM552" s="120">
        <f t="shared" si="1583"/>
        <v>0.43799540781639495</v>
      </c>
      <c r="AN552" s="120">
        <f t="shared" si="1584"/>
        <v>0.25956058730217385</v>
      </c>
      <c r="AO552" s="120">
        <f t="shared" si="1588"/>
        <v>8.2262257430999172E-2</v>
      </c>
      <c r="AP552" s="173">
        <f t="shared" si="1604"/>
        <v>116.72495841594447</v>
      </c>
      <c r="AQ552" s="175">
        <f t="shared" si="1605"/>
        <v>8.2262257430999255E-2</v>
      </c>
      <c r="AR552" s="177">
        <f>+AC552/$AE$48</f>
        <v>4.6252644982914103E-3</v>
      </c>
      <c r="AS552" s="177">
        <f t="shared" si="1601"/>
        <v>3.8048469884490962E-4</v>
      </c>
      <c r="AT552" s="177"/>
      <c r="AU552" s="177"/>
      <c r="AV552" s="177"/>
      <c r="AW552" s="190"/>
      <c r="AX552" s="120"/>
      <c r="AY552" s="120"/>
      <c r="AZ552" s="118">
        <f>IFERROR(INDEX('Total Customers'!$F$7:$AB$91,MATCH($C552,'Total Customers'!$D$7:$D$91,0),MATCH($G552,'Total Customers'!$F$5:$AB$5,0)),"NA")</f>
        <v>143155</v>
      </c>
      <c r="BA552" s="119">
        <f t="shared" si="1563"/>
        <v>5.4073495021256628E-3</v>
      </c>
      <c r="BB552" s="119"/>
      <c r="BC552" s="121"/>
      <c r="BD552" s="119"/>
      <c r="BE552" s="119"/>
      <c r="BF552" s="119"/>
      <c r="BG552" s="173"/>
      <c r="BH552" s="173"/>
      <c r="BI552" s="173"/>
      <c r="BJ552" s="173"/>
      <c r="BK552" s="173"/>
      <c r="BL552" s="173"/>
      <c r="BM552" s="173"/>
      <c r="BN552" s="173"/>
      <c r="BO552" s="173"/>
      <c r="BP552" s="173"/>
      <c r="BQ552" s="118"/>
      <c r="BR552" s="118"/>
      <c r="BS552" s="118">
        <f>INDEX('Dist. Plant Gas Additions'!$F$7:$AE$91,MATCH($C552,'Dist. Plant Gas Additions'!$D$7:$D$91,0),MATCH(Calculation!$G552,'Dist. Plant Gas Additions'!$F$5:$AE$5,0))</f>
        <v>10446</v>
      </c>
      <c r="BT552" s="118">
        <f>INDEX('Gen. Plant Additions'!$F$7:$AE$91,MATCH($C552,'Gen. Plant Additions'!$D$7:$D$91,0),MATCH(Calculation!$G552,'Gen. Plant Additions'!$F$5:$AE$5,0))</f>
        <v>73</v>
      </c>
      <c r="BU552" s="118"/>
      <c r="BV552" s="118"/>
      <c r="BW552" s="118">
        <f>INDEX('Dist Plant Depreciation'!$E$7:$AD$94,MATCH($C552,'Dist Plant Depreciation'!$D$7:$D$94,0),MATCH(Calculation!$G552,'Dist Plant Depreciation'!$E$5:$AD$5,0))</f>
        <v>153616</v>
      </c>
      <c r="BX552" s="118">
        <f>INDEX('Gen. Plant Depreciation'!$E$7:$AD$94,MATCH($C552,'Gen. Plant Depreciation'!$D$7:$D$94,0),MATCH(Calculation!$G552,'Gen. Plant Depreciation'!$E$5:$AD$5,0))</f>
        <v>1762</v>
      </c>
      <c r="BY552" s="118"/>
      <c r="BZ552" s="118"/>
      <c r="CA552" s="118"/>
      <c r="CB552" s="118"/>
      <c r="CC552" s="118"/>
      <c r="CD552" s="118"/>
      <c r="CE552" s="118">
        <f>INDEX('Gross Dx Plant'!$E$7:$AD$91,MATCH($C552,'Gross Dx Plant'!$D$7:$D$91,0),MATCH(Calculation!$G552,'Gross Dx Plant'!$E$5:$AD$5,0))</f>
        <v>271383</v>
      </c>
      <c r="CF552" s="118">
        <f>INDEX('Gross Gen Plant'!$E$7:$AD$91,MATCH($C552,'Gross Gen Plant'!$D$7:$D$91,0),MATCH(Calculation!$G552,'Gross Gen Plant'!$E$5:$AD$5,0))</f>
        <v>4041</v>
      </c>
      <c r="CG552" s="118">
        <f t="shared" si="1516"/>
        <v>120046</v>
      </c>
      <c r="CH552" s="118"/>
      <c r="CI552" s="121">
        <v>2010</v>
      </c>
      <c r="CJ552" s="118"/>
      <c r="CK552" s="118"/>
      <c r="CL552" s="118"/>
      <c r="CM552" s="183"/>
      <c r="CN552" s="118">
        <f t="shared" si="1564"/>
        <v>10519</v>
      </c>
      <c r="CO552" s="118">
        <f t="shared" si="1565"/>
        <v>18.487160046686263</v>
      </c>
      <c r="CP552" s="186">
        <v>0.9285714285714286</v>
      </c>
      <c r="CQ552" s="118">
        <f>+CQ540*CP552+CO541*CP551+CO542*CP550+CO543*CP549+CO544*CP548+CO545*CP547+CO546*CP546+CO547*CP545+CO548*CP544+CO549*CP543+CO550*CP542+CO551*CP541+CO552</f>
        <v>614.94050365754936</v>
      </c>
      <c r="CR552" s="119">
        <f t="shared" si="1566"/>
        <v>2.3530724063141082E-2</v>
      </c>
      <c r="CS552" s="119"/>
      <c r="CT552" s="177">
        <f t="shared" si="1567"/>
        <v>6.9693759453785592E-3</v>
      </c>
      <c r="CU552" s="177">
        <f t="shared" si="1575"/>
        <v>6.7773250652950522E-3</v>
      </c>
      <c r="CV552" s="119">
        <f>VLOOKUP($H552,RoR!$E:$F,2,FALSE)</f>
        <v>4.9433333333333322E-2</v>
      </c>
      <c r="CW552" s="177">
        <v>1.1684333519300205E-2</v>
      </c>
      <c r="CX552" s="177">
        <f t="shared" si="1573"/>
        <v>3.7748999814033117E-2</v>
      </c>
      <c r="CY552" s="177">
        <f t="shared" si="1576"/>
        <v>2.4124616543238574E-2</v>
      </c>
      <c r="CZ552" s="177">
        <f t="shared" si="1577"/>
        <v>4.7937530248493419E-2</v>
      </c>
      <c r="DA552" s="187">
        <f t="shared" si="1568"/>
        <v>0.84949374999999994</v>
      </c>
      <c r="DB552" s="188">
        <f t="shared" si="1569"/>
        <v>1.037398205301105</v>
      </c>
      <c r="DC552" s="188">
        <f t="shared" si="1570"/>
        <v>0.46926837491571133</v>
      </c>
      <c r="DD552" s="188">
        <f t="shared" si="1571"/>
        <v>0.8548537519972772</v>
      </c>
      <c r="DE552" s="188">
        <f t="shared" si="1572"/>
        <v>0.41615833911547367</v>
      </c>
      <c r="DF552" s="189">
        <f>INDEX('State Tax Lookup'!$D$7:$Z$91,MATCH(Calculation!$C552,'State Tax Lookup'!$B$7:$B$91,0),MATCH($H552,'State Tax Lookup'!$D$6:$Z$6,0))</f>
        <v>0.40134999999999998</v>
      </c>
      <c r="DG552" s="189">
        <v>0.375</v>
      </c>
      <c r="DH552" s="190">
        <f t="shared" si="1574"/>
        <v>19.410312840815344</v>
      </c>
      <c r="DI552" s="190">
        <v>19.111124052167838</v>
      </c>
      <c r="DJ552" s="177"/>
      <c r="DK552" s="189">
        <f>VLOOKUP($H552,RoR!$E:$F,2,FALSE)</f>
        <v>4.9433333333333322E-2</v>
      </c>
      <c r="DL552" s="191">
        <f>HLOOKUP($H552,'GDP-PI'!$D$8:$CQ$11,3,FALSE)</f>
        <v>1.1684333519300205E-2</v>
      </c>
      <c r="DM552" s="189">
        <f>VLOOKUP(H552,'HW Dx Data'!$E:$F,2,FALSE)</f>
        <v>568.98950262971744</v>
      </c>
      <c r="DN552" s="183">
        <f>VLOOKUP(H552,'ECI - Input Price'!$G$17:$H$37,2,FALSE)</f>
        <v>111.875</v>
      </c>
      <c r="DO552" s="177">
        <f t="shared" ref="DO552" si="1610">LN(DN552/DN551)</f>
        <v>1.8949360147238387E-2</v>
      </c>
      <c r="DP552" s="183">
        <f>HLOOKUP(H552,'GDP-PI'!$8:$9,2,FALSE)</f>
        <v>96.108999999999995</v>
      </c>
      <c r="DQ552" s="177">
        <f t="shared" ref="DQ552" si="1611">LN(DP552/DP551)</f>
        <v>1.1616598807150427E-2</v>
      </c>
    </row>
    <row r="553" spans="1:121" s="167" customFormat="1" ht="21" x14ac:dyDescent="0.35">
      <c r="A553" s="167" t="s">
        <v>66</v>
      </c>
      <c r="B553" s="168" t="s">
        <v>66</v>
      </c>
      <c r="C553" s="168">
        <v>4008754</v>
      </c>
      <c r="D553" s="168" t="s">
        <v>144</v>
      </c>
      <c r="E553" s="168"/>
      <c r="F553" s="168"/>
      <c r="G553" s="168" t="s">
        <v>17</v>
      </c>
      <c r="H553" s="169">
        <v>2011</v>
      </c>
      <c r="I553" s="170"/>
      <c r="J553" s="166">
        <f>IFERROR(INDEX('Labor Expenditures'!$F$7:$X$91,MATCH($C553,'Labor Expenditures'!$D$7:$D$91,0),MATCH($G553,'Labor Expenditures'!$F$5:$X$5,0)),"NA")</f>
        <v>13984.036121772966</v>
      </c>
      <c r="K553" s="166">
        <f t="shared" si="1580"/>
        <v>122.34502293764625</v>
      </c>
      <c r="L553" s="172">
        <f t="shared" si="1587"/>
        <v>7.5219750911123305E-3</v>
      </c>
      <c r="M553" s="172">
        <f t="shared" si="1591"/>
        <v>3.4648362706004389E-5</v>
      </c>
      <c r="N553" s="196"/>
      <c r="O553" s="172"/>
      <c r="P553" s="166">
        <f>IFERROR(INDEX('Non-Labor Expenditures'!$F$7:$AB$91,MATCH($C553,'Non-Labor Expenditures'!$D$7:$D$91,0),MATCH($G553,'Non-Labor Expenditures'!$F$5:$AB$5,0)),"NA")</f>
        <v>20251.496161996474</v>
      </c>
      <c r="Q553" s="166">
        <f t="shared" si="1581"/>
        <v>206.41202056829414</v>
      </c>
      <c r="R553" s="172">
        <f t="shared" si="1592"/>
        <v>8.3396500840086721E-3</v>
      </c>
      <c r="S553" s="172">
        <f t="shared" si="1597"/>
        <v>3.8414806942568919E-5</v>
      </c>
      <c r="T553" s="172"/>
      <c r="U553" s="172"/>
      <c r="V553" s="166">
        <f t="shared" si="1562"/>
        <v>12743.282851221156</v>
      </c>
      <c r="W553" s="170"/>
      <c r="X553" s="174">
        <v>636.46279989720574</v>
      </c>
      <c r="Y553" s="175">
        <v>3.440045040252715E-2</v>
      </c>
      <c r="Z553" s="175">
        <f t="shared" si="1598"/>
        <v>1.5845828633559292E-4</v>
      </c>
      <c r="AA553" s="175"/>
      <c r="AB553" s="175"/>
      <c r="AC553" s="170">
        <f t="shared" si="1475"/>
        <v>46978.815134990597</v>
      </c>
      <c r="AD553" s="175">
        <f t="shared" si="1593"/>
        <v>4.4887599119217962E-2</v>
      </c>
      <c r="AE553" s="170"/>
      <c r="AF553" s="170"/>
      <c r="AG553" s="121">
        <f t="shared" si="1594"/>
        <v>326.126268717264</v>
      </c>
      <c r="AH553" s="119">
        <f>+AZ553/$BB$49</f>
        <v>3.997653840821013E-3</v>
      </c>
      <c r="AI553" s="119"/>
      <c r="AJ553" s="176">
        <f t="shared" si="1599"/>
        <v>1.3037399307301962</v>
      </c>
      <c r="AK553" s="176">
        <f t="shared" si="1600"/>
        <v>0</v>
      </c>
      <c r="AL553" s="120">
        <f t="shared" si="1582"/>
        <v>0.29766685433829565</v>
      </c>
      <c r="AM553" s="120">
        <f t="shared" si="1583"/>
        <v>0.43107720158128948</v>
      </c>
      <c r="AN553" s="120">
        <f t="shared" si="1584"/>
        <v>0.27125594408041487</v>
      </c>
      <c r="AO553" s="120">
        <f t="shared" si="1588"/>
        <v>1.5011054077799039E-2</v>
      </c>
      <c r="AP553" s="173">
        <f t="shared" si="1604"/>
        <v>118.49034004894979</v>
      </c>
      <c r="AQ553" s="175">
        <f t="shared" si="1605"/>
        <v>1.5011054077798992E-2</v>
      </c>
      <c r="AR553" s="177">
        <f>+AC553/$AE$49</f>
        <v>4.6062852224734866E-3</v>
      </c>
      <c r="AS553" s="177">
        <f t="shared" si="1601"/>
        <v>6.9145196572315869E-5</v>
      </c>
      <c r="AT553" s="177"/>
      <c r="AU553" s="177"/>
      <c r="AV553" s="177"/>
      <c r="AW553" s="190"/>
      <c r="AX553" s="120"/>
      <c r="AY553" s="120"/>
      <c r="AZ553" s="118">
        <f>IFERROR(INDEX('Total Customers'!$F$7:$AB$91,MATCH($C553,'Total Customers'!$D$7:$D$91,0),MATCH($G553,'Total Customers'!$F$5:$AB$5,0)),"NA")</f>
        <v>144051</v>
      </c>
      <c r="BA553" s="119">
        <f t="shared" si="1563"/>
        <v>6.2394442095293585E-3</v>
      </c>
      <c r="BB553" s="119"/>
      <c r="BC553" s="121"/>
      <c r="BD553" s="119"/>
      <c r="BE553" s="119"/>
      <c r="BF553" s="119"/>
      <c r="BG553" s="173"/>
      <c r="BH553" s="173"/>
      <c r="BI553" s="173"/>
      <c r="BJ553" s="173"/>
      <c r="BK553" s="173"/>
      <c r="BL553" s="173"/>
      <c r="BM553" s="173"/>
      <c r="BN553" s="173"/>
      <c r="BO553" s="173"/>
      <c r="BP553" s="173"/>
      <c r="BQ553" s="118"/>
      <c r="BR553" s="118"/>
      <c r="BS553" s="118">
        <f>INDEX('Dist. Plant Gas Additions'!$F$7:$AE$91,MATCH($C553,'Dist. Plant Gas Additions'!$D$7:$D$91,0),MATCH(Calculation!$G553,'Dist. Plant Gas Additions'!$F$5:$AE$5,0))</f>
        <v>15740</v>
      </c>
      <c r="BT553" s="118">
        <f>INDEX('Gen. Plant Additions'!$F$7:$AE$91,MATCH($C553,'Gen. Plant Additions'!$D$7:$D$91,0),MATCH(Calculation!$G553,'Gen. Plant Additions'!$F$5:$AE$5,0))</f>
        <v>130</v>
      </c>
      <c r="BU553" s="118"/>
      <c r="BV553" s="118"/>
      <c r="BW553" s="118">
        <f>INDEX('Dist Plant Depreciation'!$E$7:$AD$94,MATCH($C553,'Dist Plant Depreciation'!$D$7:$D$94,0),MATCH(Calculation!$G553,'Dist Plant Depreciation'!$E$5:$AD$5,0))</f>
        <v>155247</v>
      </c>
      <c r="BX553" s="118">
        <f>INDEX('Gen. Plant Depreciation'!$E$7:$AD$94,MATCH($C553,'Gen. Plant Depreciation'!$D$7:$D$94,0),MATCH(Calculation!$G553,'Gen. Plant Depreciation'!$E$5:$AD$5,0))</f>
        <v>1975</v>
      </c>
      <c r="BY553" s="118"/>
      <c r="BZ553" s="118"/>
      <c r="CA553" s="118"/>
      <c r="CB553" s="118"/>
      <c r="CC553" s="118"/>
      <c r="CD553" s="118"/>
      <c r="CE553" s="118">
        <f>INDEX('Gross Dx Plant'!$E$7:$AD$91,MATCH($C553,'Gross Dx Plant'!$D$7:$D$91,0),MATCH(Calculation!$G553,'Gross Dx Plant'!$E$5:$AD$5,0))</f>
        <v>284962</v>
      </c>
      <c r="CF553" s="118">
        <f>INDEX('Gross Gen Plant'!$E$7:$AD$91,MATCH($C553,'Gross Gen Plant'!$D$7:$D$91,0),MATCH(Calculation!$G553,'Gross Gen Plant'!$E$5:$AD$5,0))</f>
        <v>4137</v>
      </c>
      <c r="CG553" s="118">
        <f t="shared" si="1516"/>
        <v>131877</v>
      </c>
      <c r="CH553" s="118"/>
      <c r="CI553" s="121">
        <v>2011</v>
      </c>
      <c r="CJ553" s="118"/>
      <c r="CK553" s="118"/>
      <c r="CL553" s="118"/>
      <c r="CM553" s="183"/>
      <c r="CN553" s="118">
        <f t="shared" si="1564"/>
        <v>15870</v>
      </c>
      <c r="CO553" s="118">
        <f t="shared" si="1565"/>
        <v>25.947861477014101</v>
      </c>
      <c r="CP553" s="186">
        <v>0.92121212121212126</v>
      </c>
      <c r="CQ553" s="118">
        <f>+CQ540*CP553+CO541*CP552+CO542*CP551+CO543*CP550+CO544*CP549+CO545*CP548+CO546*CP547+CO547*CP546+CO548*CP545+CO549*CP544+CO550*CP543+CO551*CP542+CO552*CP541+CO553</f>
        <v>636.46279989720574</v>
      </c>
      <c r="CR553" s="119">
        <f t="shared" si="1566"/>
        <v>3.440045040252715E-2</v>
      </c>
      <c r="CS553" s="119"/>
      <c r="CT553" s="177">
        <f t="shared" si="1567"/>
        <v>7.1967372632560297E-3</v>
      </c>
      <c r="CU553" s="177">
        <f t="shared" si="1575"/>
        <v>6.9840509628053202E-3</v>
      </c>
      <c r="CV553" s="119">
        <f>VLOOKUP($H553,RoR!$E:$F,2,FALSE)</f>
        <v>4.6391666666666664E-2</v>
      </c>
      <c r="CW553" s="177">
        <v>2.0840920205183799E-2</v>
      </c>
      <c r="CX553" s="177">
        <f t="shared" si="1573"/>
        <v>2.5550746461482865E-2</v>
      </c>
      <c r="CY553" s="177">
        <f t="shared" si="1576"/>
        <v>2.3917890645728305E-2</v>
      </c>
      <c r="CZ553" s="177">
        <f t="shared" si="1577"/>
        <v>2.4810540821321614E-2</v>
      </c>
      <c r="DA553" s="187">
        <f t="shared" si="1568"/>
        <v>0.84949374999999994</v>
      </c>
      <c r="DB553" s="188">
        <f t="shared" si="1569"/>
        <v>1.1054151524782025</v>
      </c>
      <c r="DC553" s="188">
        <f t="shared" si="1570"/>
        <v>0.43611011316687626</v>
      </c>
      <c r="DD553" s="188">
        <f t="shared" si="1571"/>
        <v>0.83698442246886229</v>
      </c>
      <c r="DE553" s="188">
        <f t="shared" si="1572"/>
        <v>0.40349573304423936</v>
      </c>
      <c r="DF553" s="189">
        <f>INDEX('State Tax Lookup'!$D$7:$Z$91,MATCH(Calculation!$C553,'State Tax Lookup'!$B$7:$B$91,0),MATCH($H553,'State Tax Lookup'!$D$6:$Z$6,0))</f>
        <v>0.40134999999999998</v>
      </c>
      <c r="DG553" s="189">
        <v>0.375</v>
      </c>
      <c r="DH553" s="190">
        <f t="shared" si="1574"/>
        <v>20.722789888495765</v>
      </c>
      <c r="DI553" s="190">
        <v>20.390180290128576</v>
      </c>
      <c r="DJ553" s="177"/>
      <c r="DK553" s="189">
        <f>VLOOKUP($H553,RoR!$E:$F,2,FALSE)</f>
        <v>4.6391666666666664E-2</v>
      </c>
      <c r="DL553" s="191">
        <f>HLOOKUP($H553,'GDP-PI'!$D$8:$CQ$11,3,FALSE)</f>
        <v>2.0840920205183799E-2</v>
      </c>
      <c r="DM553" s="189">
        <f>VLOOKUP(H553,'HW Dx Data'!$E:$F,2,FALSE)</f>
        <v>611.61109612283201</v>
      </c>
      <c r="DN553" s="183">
        <f>VLOOKUP(H553,'ECI - Input Price'!$G$17:$H$37,2,FALSE)</f>
        <v>114.3</v>
      </c>
      <c r="DO553" s="177">
        <f t="shared" ref="DO553" si="1612">LN(DN553/DN552)</f>
        <v>2.1444394205745516E-2</v>
      </c>
      <c r="DP553" s="183">
        <f>HLOOKUP(H553,'GDP-PI'!$8:$9,2,FALSE)</f>
        <v>98.111999999999995</v>
      </c>
      <c r="DQ553" s="177">
        <f t="shared" ref="DQ553" si="1613">LN(DP553/DP552)</f>
        <v>2.0626719212849295E-2</v>
      </c>
    </row>
    <row r="554" spans="1:121" s="167" customFormat="1" ht="21" x14ac:dyDescent="0.35">
      <c r="A554" s="167" t="s">
        <v>66</v>
      </c>
      <c r="B554" s="168" t="s">
        <v>66</v>
      </c>
      <c r="C554" s="168">
        <v>4008754</v>
      </c>
      <c r="D554" s="168" t="s">
        <v>144</v>
      </c>
      <c r="E554" s="168"/>
      <c r="F554" s="168"/>
      <c r="G554" s="168" t="s">
        <v>18</v>
      </c>
      <c r="H554" s="169">
        <v>2012</v>
      </c>
      <c r="I554" s="170"/>
      <c r="J554" s="166">
        <f>IFERROR(INDEX('Labor Expenditures'!$F$7:$X$91,MATCH($C554,'Labor Expenditures'!$D$7:$D$91,0),MATCH($G554,'Labor Expenditures'!$F$5:$X$5,0)),"NA")</f>
        <v>14773.152873564637</v>
      </c>
      <c r="K554" s="166">
        <f t="shared" si="1580"/>
        <v>126.80817917222865</v>
      </c>
      <c r="L554" s="172">
        <f t="shared" si="1587"/>
        <v>3.5830434265697118E-2</v>
      </c>
      <c r="M554" s="172">
        <f t="shared" si="1591"/>
        <v>1.6909248992406461E-4</v>
      </c>
      <c r="N554" s="196"/>
      <c r="O554" s="172"/>
      <c r="P554" s="166">
        <f>IFERROR(INDEX('Non-Labor Expenditures'!$F$7:$AB$91,MATCH($C554,'Non-Labor Expenditures'!$D$7:$D$91,0),MATCH($G554,'Non-Labor Expenditures'!$F$5:$AB$5,0)),"NA")</f>
        <v>21394.284605269604</v>
      </c>
      <c r="Q554" s="166">
        <f t="shared" si="1581"/>
        <v>213.94284605269604</v>
      </c>
      <c r="R554" s="172">
        <f t="shared" si="1592"/>
        <v>3.5834633731944836E-2</v>
      </c>
      <c r="S554" s="172">
        <f t="shared" si="1597"/>
        <v>1.6911230822151847E-4</v>
      </c>
      <c r="T554" s="172"/>
      <c r="U554" s="172"/>
      <c r="V554" s="166">
        <f t="shared" si="1562"/>
        <v>14264.396622984217</v>
      </c>
      <c r="W554" s="170"/>
      <c r="X554" s="174">
        <v>652.48332921229553</v>
      </c>
      <c r="Y554" s="175">
        <v>2.4859618261545497E-2</v>
      </c>
      <c r="Z554" s="175">
        <f t="shared" si="1598"/>
        <v>1.1731855436736471E-4</v>
      </c>
      <c r="AA554" s="175"/>
      <c r="AB554" s="175"/>
      <c r="AC554" s="170">
        <f t="shared" si="1475"/>
        <v>50431.834101818458</v>
      </c>
      <c r="AD554" s="175">
        <f t="shared" si="1593"/>
        <v>7.092584640129232E-2</v>
      </c>
      <c r="AE554" s="170"/>
      <c r="AF554" s="170"/>
      <c r="AG554" s="121">
        <f t="shared" si="1594"/>
        <v>347.61396541093507</v>
      </c>
      <c r="AH554" s="119">
        <f>+AZ554/$BB$50</f>
        <v>4.0068356185659982E-3</v>
      </c>
      <c r="AI554" s="119"/>
      <c r="AJ554" s="176">
        <f t="shared" si="1599"/>
        <v>1.3928320181195035</v>
      </c>
      <c r="AK554" s="176">
        <f t="shared" si="1600"/>
        <v>0</v>
      </c>
      <c r="AL554" s="120">
        <f t="shared" si="1582"/>
        <v>0.29293308753630976</v>
      </c>
      <c r="AM554" s="120">
        <f t="shared" si="1583"/>
        <v>0.42422182310633383</v>
      </c>
      <c r="AN554" s="120">
        <f t="shared" si="1584"/>
        <v>0.28284508935735642</v>
      </c>
      <c r="AO554" s="120">
        <f t="shared" si="1588"/>
        <v>3.2792759922612033E-2</v>
      </c>
      <c r="AP554" s="173">
        <f t="shared" si="1604"/>
        <v>122.44037766964018</v>
      </c>
      <c r="AQ554" s="175">
        <f t="shared" si="1605"/>
        <v>3.279275992261195E-2</v>
      </c>
      <c r="AR554" s="177">
        <f>+AC554/$AE$50</f>
        <v>4.7192419904870707E-3</v>
      </c>
      <c r="AS554" s="177">
        <f t="shared" si="1601"/>
        <v>1.5475696961075186E-4</v>
      </c>
      <c r="AT554" s="177"/>
      <c r="AU554" s="177"/>
      <c r="AV554" s="177"/>
      <c r="AW554" s="190"/>
      <c r="AX554" s="120"/>
      <c r="AY554" s="120"/>
      <c r="AZ554" s="118">
        <f>IFERROR(INDEX('Total Customers'!$F$7:$AB$91,MATCH($C554,'Total Customers'!$D$7:$D$91,0),MATCH($G554,'Total Customers'!$F$5:$AB$5,0)),"NA")</f>
        <v>145080</v>
      </c>
      <c r="BA554" s="119">
        <f t="shared" si="1563"/>
        <v>7.1179108742438612E-3</v>
      </c>
      <c r="BB554" s="119"/>
      <c r="BC554" s="121"/>
      <c r="BD554" s="119"/>
      <c r="BE554" s="119"/>
      <c r="BF554" s="119"/>
      <c r="BG554" s="173"/>
      <c r="BH554" s="173"/>
      <c r="BI554" s="173"/>
      <c r="BJ554" s="173"/>
      <c r="BK554" s="173"/>
      <c r="BL554" s="173"/>
      <c r="BM554" s="173"/>
      <c r="BN554" s="173"/>
      <c r="BO554" s="173"/>
      <c r="BP554" s="173"/>
      <c r="BQ554" s="118"/>
      <c r="BR554" s="118"/>
      <c r="BS554" s="118">
        <f>INDEX('Dist. Plant Gas Additions'!$F$7:$AE$91,MATCH($C554,'Dist. Plant Gas Additions'!$D$7:$D$91,0),MATCH(Calculation!$G554,'Dist. Plant Gas Additions'!$F$5:$AE$5,0))</f>
        <v>13517</v>
      </c>
      <c r="BT554" s="118">
        <f>INDEX('Gen. Plant Additions'!$F$7:$AE$91,MATCH($C554,'Gen. Plant Additions'!$D$7:$D$91,0),MATCH(Calculation!$G554,'Gen. Plant Additions'!$F$5:$AE$5,0))</f>
        <v>352</v>
      </c>
      <c r="BU554" s="118"/>
      <c r="BV554" s="118"/>
      <c r="BW554" s="118">
        <f>INDEX('Dist Plant Depreciation'!$E$7:$AD$94,MATCH($C554,'Dist Plant Depreciation'!$D$7:$D$94,0),MATCH(Calculation!$G554,'Dist Plant Depreciation'!$E$5:$AD$5,0))</f>
        <v>157591</v>
      </c>
      <c r="BX554" s="118">
        <f>INDEX('Gen. Plant Depreciation'!$E$7:$AD$94,MATCH($C554,'Gen. Plant Depreciation'!$D$7:$D$94,0),MATCH(Calculation!$G554,'Gen. Plant Depreciation'!$E$5:$AD$5,0))</f>
        <v>2090</v>
      </c>
      <c r="BY554" s="118"/>
      <c r="BZ554" s="118"/>
      <c r="CA554" s="118"/>
      <c r="CB554" s="118"/>
      <c r="CC554" s="118"/>
      <c r="CD554" s="118"/>
      <c r="CE554" s="118">
        <f>INDEX('Gross Dx Plant'!$E$7:$AD$91,MATCH($C554,'Gross Dx Plant'!$D$7:$D$91,0),MATCH(Calculation!$G554,'Gross Dx Plant'!$E$5:$AD$5,0))</f>
        <v>296823</v>
      </c>
      <c r="CF554" s="118">
        <f>INDEX('Gross Gen Plant'!$E$7:$AD$91,MATCH($C554,'Gross Gen Plant'!$D$7:$D$91,0),MATCH(Calculation!$G554,'Gross Gen Plant'!$E$5:$AD$5,0))</f>
        <v>4173</v>
      </c>
      <c r="CG554" s="118">
        <f t="shared" si="1516"/>
        <v>141315</v>
      </c>
      <c r="CH554" s="118"/>
      <c r="CI554" s="121">
        <v>2012</v>
      </c>
      <c r="CJ554" s="118"/>
      <c r="CK554" s="118"/>
      <c r="CL554" s="118"/>
      <c r="CM554" s="183"/>
      <c r="CN554" s="118">
        <f t="shared" si="1564"/>
        <v>13869</v>
      </c>
      <c r="CO554" s="118">
        <f t="shared" si="1565"/>
        <v>20.733442048284807</v>
      </c>
      <c r="CP554" s="186">
        <v>0.9135802469135802</v>
      </c>
      <c r="CQ554" s="118">
        <f>+CQ540*CP554+CO541*CP553+CO542*CP552+CO543*CP551+CO544*CP550+CO545*CP549+CO546*CP548+CO547*CP547+CO548*CP546+CO549*CP545+CO550*CP544+CO551*CP543+CO552*CP542+CO553*CP541+CO554</f>
        <v>652.48332921229553</v>
      </c>
      <c r="CR554" s="119">
        <f t="shared" si="1566"/>
        <v>2.4859618261545497E-2</v>
      </c>
      <c r="CS554" s="119"/>
      <c r="CT554" s="177">
        <f t="shared" si="1567"/>
        <v>7.4048518373048587E-3</v>
      </c>
      <c r="CU554" s="177">
        <f t="shared" si="1575"/>
        <v>7.1903216819798159E-3</v>
      </c>
      <c r="CV554" s="119">
        <f>VLOOKUP($H554,RoR!$E:$F,2,FALSE)</f>
        <v>3.6733333333333333E-2</v>
      </c>
      <c r="CW554" s="177">
        <v>1.924331376386168E-2</v>
      </c>
      <c r="CX554" s="177">
        <f t="shared" si="1573"/>
        <v>1.7490019569471653E-2</v>
      </c>
      <c r="CY554" s="177">
        <f t="shared" si="1576"/>
        <v>2.3711619926553809E-2</v>
      </c>
      <c r="CZ554" s="177">
        <f t="shared" si="1577"/>
        <v>6.7122682943869583E-2</v>
      </c>
      <c r="DA554" s="187">
        <f t="shared" si="1568"/>
        <v>0.84949374999999994</v>
      </c>
      <c r="DB554" s="188">
        <f t="shared" si="1569"/>
        <v>1.3960631020522127</v>
      </c>
      <c r="DC554" s="188">
        <f t="shared" si="1570"/>
        <v>0.29441923774954631</v>
      </c>
      <c r="DD554" s="188">
        <f t="shared" si="1571"/>
        <v>0.76377954189366437</v>
      </c>
      <c r="DE554" s="188">
        <f t="shared" si="1572"/>
        <v>0.31393465103033691</v>
      </c>
      <c r="DF554" s="189">
        <f>INDEX('State Tax Lookup'!$D$7:$Z$91,MATCH(Calculation!$C554,'State Tax Lookup'!$B$7:$B$91,0),MATCH($H554,'State Tax Lookup'!$D$6:$Z$6,0))</f>
        <v>0.40134999999999998</v>
      </c>
      <c r="DG554" s="189">
        <v>0.375</v>
      </c>
      <c r="DH554" s="190">
        <f t="shared" si="1574"/>
        <v>22.41198798309664</v>
      </c>
      <c r="DI554" s="190">
        <v>22.098020262455464</v>
      </c>
      <c r="DJ554" s="177"/>
      <c r="DK554" s="189">
        <f>VLOOKUP($H554,RoR!$E:$F,2,FALSE)</f>
        <v>3.6733333333333333E-2</v>
      </c>
      <c r="DL554" s="191">
        <f>HLOOKUP($H554,'GDP-PI'!$D$8:$CQ$11,3,FALSE)</f>
        <v>1.924331376386168E-2</v>
      </c>
      <c r="DM554" s="189">
        <f>VLOOKUP(H554,'HW Dx Data'!$E:$F,2,FALSE)</f>
        <v>668.91932211262167</v>
      </c>
      <c r="DN554" s="183">
        <f>VLOOKUP(H554,'ECI - Input Price'!$G$17:$H$37,2,FALSE)</f>
        <v>116.5</v>
      </c>
      <c r="DO554" s="177">
        <f t="shared" ref="DO554" si="1614">LN(DN554/DN553)</f>
        <v>1.9064702204990347E-2</v>
      </c>
      <c r="DP554" s="183">
        <f>HLOOKUP(H554,'GDP-PI'!$8:$9,2,FALSE)</f>
        <v>100</v>
      </c>
      <c r="DQ554" s="177">
        <f t="shared" ref="DQ554" si="1615">LN(DP554/DP553)</f>
        <v>1.9060502738742411E-2</v>
      </c>
    </row>
    <row r="555" spans="1:121" s="167" customFormat="1" ht="21" x14ac:dyDescent="0.35">
      <c r="A555" s="167" t="s">
        <v>66</v>
      </c>
      <c r="B555" s="168" t="s">
        <v>66</v>
      </c>
      <c r="C555" s="168">
        <v>4008754</v>
      </c>
      <c r="D555" s="168" t="s">
        <v>144</v>
      </c>
      <c r="E555" s="168"/>
      <c r="F555" s="168"/>
      <c r="G555" s="168" t="s">
        <v>19</v>
      </c>
      <c r="H555" s="169">
        <v>2013</v>
      </c>
      <c r="I555" s="170"/>
      <c r="J555" s="166">
        <f>IFERROR(INDEX('Labor Expenditures'!$F$7:$X$91,MATCH($C555,'Labor Expenditures'!$D$7:$D$91,0),MATCH($G555,'Labor Expenditures'!$F$5:$X$5,0)),"NA")</f>
        <v>14221.391040906536</v>
      </c>
      <c r="K555" s="166">
        <f t="shared" si="1580"/>
        <v>119.78430019714918</v>
      </c>
      <c r="L555" s="172">
        <f t="shared" si="1587"/>
        <v>-5.6982917449378792E-2</v>
      </c>
      <c r="M555" s="172">
        <f t="shared" si="1591"/>
        <v>-2.5286842274432284E-4</v>
      </c>
      <c r="N555" s="196"/>
      <c r="O555" s="172"/>
      <c r="P555" s="166">
        <f>IFERROR(INDEX('Non-Labor Expenditures'!$F$7:$AB$91,MATCH($C555,'Non-Labor Expenditures'!$D$7:$D$91,0),MATCH($G555,'Non-Labor Expenditures'!$F$5:$AB$5,0)),"NA")</f>
        <v>20595.23041668567</v>
      </c>
      <c r="Q555" s="166">
        <f t="shared" si="1581"/>
        <v>202.36438364483379</v>
      </c>
      <c r="R555" s="172">
        <f t="shared" si="1592"/>
        <v>-5.5638953036459063E-2</v>
      </c>
      <c r="S555" s="172">
        <f t="shared" si="1597"/>
        <v>-2.469044220133772E-4</v>
      </c>
      <c r="T555" s="172"/>
      <c r="U555" s="172"/>
      <c r="V555" s="166">
        <f t="shared" si="1562"/>
        <v>14373.795054763792</v>
      </c>
      <c r="W555" s="170"/>
      <c r="X555" s="174">
        <v>674.40338950393198</v>
      </c>
      <c r="Y555" s="175">
        <v>3.3042842859303249E-2</v>
      </c>
      <c r="Z555" s="175">
        <f t="shared" si="1598"/>
        <v>1.4663151573878589E-4</v>
      </c>
      <c r="AA555" s="175"/>
      <c r="AB555" s="175"/>
      <c r="AC555" s="170">
        <f t="shared" si="1475"/>
        <v>49190.416512355994</v>
      </c>
      <c r="AD555" s="175">
        <f t="shared" si="1593"/>
        <v>-2.492378649730256E-2</v>
      </c>
      <c r="AE555" s="170"/>
      <c r="AF555" s="170"/>
      <c r="AG555" s="121">
        <f t="shared" si="1594"/>
        <v>335.94045123376992</v>
      </c>
      <c r="AH555" s="119">
        <f>+AZ555/$BB$51</f>
        <v>4.0181549683809921E-3</v>
      </c>
      <c r="AI555" s="119"/>
      <c r="AJ555" s="176">
        <f t="shared" si="1599"/>
        <v>1.349860793205125</v>
      </c>
      <c r="AK555" s="176">
        <f t="shared" si="1600"/>
        <v>0</v>
      </c>
      <c r="AL555" s="120">
        <f t="shared" si="1582"/>
        <v>0.28910897791105927</v>
      </c>
      <c r="AM555" s="120">
        <f t="shared" si="1583"/>
        <v>0.41868379812381573</v>
      </c>
      <c r="AN555" s="120">
        <f t="shared" si="1584"/>
        <v>0.292207223965125</v>
      </c>
      <c r="AO555" s="120">
        <f t="shared" si="1588"/>
        <v>-3.0531739008125711E-2</v>
      </c>
      <c r="AP555" s="173">
        <f t="shared" si="1604"/>
        <v>118.75855228844334</v>
      </c>
      <c r="AQ555" s="175">
        <f t="shared" si="1605"/>
        <v>-3.0531739008125686E-2</v>
      </c>
      <c r="AR555" s="177">
        <f>+AC555/$AE$51</f>
        <v>4.4376180452494456E-3</v>
      </c>
      <c r="AS555" s="177">
        <f t="shared" si="1601"/>
        <v>-1.3548819597530495E-4</v>
      </c>
      <c r="AT555" s="177"/>
      <c r="AU555" s="177"/>
      <c r="AV555" s="177"/>
      <c r="AW555" s="190"/>
      <c r="AX555" s="120"/>
      <c r="AY555" s="120"/>
      <c r="AZ555" s="118">
        <f>IFERROR(INDEX('Total Customers'!$F$7:$AB$91,MATCH($C555,'Total Customers'!$D$7:$D$91,0),MATCH($G555,'Total Customers'!$F$5:$AB$5,0)),"NA")</f>
        <v>146426</v>
      </c>
      <c r="BA555" s="119">
        <f t="shared" si="1563"/>
        <v>9.2348669726880998E-3</v>
      </c>
      <c r="BB555" s="119"/>
      <c r="BC555" s="121"/>
      <c r="BD555" s="119"/>
      <c r="BE555" s="119"/>
      <c r="BF555" s="119"/>
      <c r="BG555" s="173"/>
      <c r="BH555" s="173"/>
      <c r="BI555" s="173"/>
      <c r="BJ555" s="173"/>
      <c r="BK555" s="173"/>
      <c r="BL555" s="173"/>
      <c r="BM555" s="173"/>
      <c r="BN555" s="173"/>
      <c r="BO555" s="173"/>
      <c r="BP555" s="173"/>
      <c r="BQ555" s="118"/>
      <c r="BR555" s="118"/>
      <c r="BS555" s="118">
        <f>INDEX('Dist. Plant Gas Additions'!$F$7:$AE$91,MATCH($C555,'Dist. Plant Gas Additions'!$D$7:$D$91,0),MATCH(Calculation!$G555,'Dist. Plant Gas Additions'!$F$5:$AE$5,0))</f>
        <v>17556</v>
      </c>
      <c r="BT555" s="118">
        <f>INDEX('Gen. Plant Additions'!$F$7:$AE$91,MATCH($C555,'Gen. Plant Additions'!$D$7:$D$91,0),MATCH(Calculation!$G555,'Gen. Plant Additions'!$F$5:$AE$5,0))</f>
        <v>290</v>
      </c>
      <c r="BU555" s="118"/>
      <c r="BV555" s="118"/>
      <c r="BW555" s="118">
        <f>INDEX('Dist Plant Depreciation'!$E$7:$AD$94,MATCH($C555,'Dist Plant Depreciation'!$D$7:$D$94,0),MATCH(Calculation!$G555,'Dist Plant Depreciation'!$E$5:$AD$5,0))</f>
        <v>159181</v>
      </c>
      <c r="BX555" s="118">
        <f>INDEX('Gen. Plant Depreciation'!$E$7:$AD$94,MATCH($C555,'Gen. Plant Depreciation'!$D$7:$D$94,0),MATCH(Calculation!$G555,'Gen. Plant Depreciation'!$E$5:$AD$5,0))</f>
        <v>2324</v>
      </c>
      <c r="BY555" s="118"/>
      <c r="BZ555" s="118"/>
      <c r="CA555" s="118"/>
      <c r="CB555" s="118"/>
      <c r="CC555" s="118"/>
      <c r="CD555" s="118"/>
      <c r="CE555" s="118">
        <f>INDEX('Gross Dx Plant'!$E$7:$AD$91,MATCH($C555,'Gross Dx Plant'!$D$7:$D$91,0),MATCH(Calculation!$G555,'Gross Dx Plant'!$E$5:$AD$5,0))</f>
        <v>311909</v>
      </c>
      <c r="CF555" s="118">
        <f>INDEX('Gross Gen Plant'!$E$7:$AD$91,MATCH($C555,'Gross Gen Plant'!$D$7:$D$91,0),MATCH(Calculation!$G555,'Gross Gen Plant'!$E$5:$AD$5,0))</f>
        <v>4413</v>
      </c>
      <c r="CG555" s="118">
        <f t="shared" si="1516"/>
        <v>154817</v>
      </c>
      <c r="CH555" s="118"/>
      <c r="CI555" s="121">
        <v>2013</v>
      </c>
      <c r="CJ555" s="118"/>
      <c r="CK555" s="118"/>
      <c r="CL555" s="118"/>
      <c r="CM555" s="183"/>
      <c r="CN555" s="118">
        <f t="shared" si="1564"/>
        <v>17846</v>
      </c>
      <c r="CO555" s="118">
        <f t="shared" si="1565"/>
        <v>26.906962538211676</v>
      </c>
      <c r="CP555" s="186">
        <v>0.90566037735849059</v>
      </c>
      <c r="CQ555" s="118">
        <f>+CQ540*CP555+CO541*CP554+CO542*CP553+CO543*CP552+CO544*CP551+CO545*CP550+CO546*CP549+CO547*CP548+CO548*CP547+CO549*CP546+CO550*CP545+CO551*CP544+CO552*CP543+CO553*CP542+CO554*CP541+CO555</f>
        <v>674.40338950393198</v>
      </c>
      <c r="CR555" s="119">
        <f t="shared" si="1566"/>
        <v>3.3042842859303249E-2</v>
      </c>
      <c r="CS555" s="119"/>
      <c r="CT555" s="177">
        <f t="shared" si="1567"/>
        <v>7.6429573343975267E-3</v>
      </c>
      <c r="CU555" s="177">
        <f t="shared" si="1575"/>
        <v>7.4148488116528048E-3</v>
      </c>
      <c r="CV555" s="119">
        <f>VLOOKUP($H555,RoR!$E:$F,2,FALSE)</f>
        <v>4.2350000000000006E-2</v>
      </c>
      <c r="CW555" s="177">
        <v>1.7730000000000024E-2</v>
      </c>
      <c r="CX555" s="177">
        <f t="shared" si="1573"/>
        <v>2.4619999999999982E-2</v>
      </c>
      <c r="CY555" s="177">
        <f t="shared" si="1576"/>
        <v>2.3487092796880819E-2</v>
      </c>
      <c r="CZ555" s="177">
        <f t="shared" si="1577"/>
        <v>5.3376742735721204E-2</v>
      </c>
      <c r="DA555" s="187">
        <f t="shared" si="1568"/>
        <v>0.84949374999999994</v>
      </c>
      <c r="DB555" s="188">
        <f t="shared" si="1569"/>
        <v>1.2109103018193925</v>
      </c>
      <c r="DC555" s="188">
        <f t="shared" si="1570"/>
        <v>0.38468122786304604</v>
      </c>
      <c r="DD555" s="188">
        <f t="shared" si="1571"/>
        <v>0.80969194503422559</v>
      </c>
      <c r="DE555" s="188">
        <f t="shared" si="1572"/>
        <v>0.37716621754800816</v>
      </c>
      <c r="DF555" s="189">
        <f>INDEX('State Tax Lookup'!$D$7:$Z$91,MATCH(Calculation!$C555,'State Tax Lookup'!$B$7:$B$91,0),MATCH($H555,'State Tax Lookup'!$D$6:$Z$6,0))</f>
        <v>0.40134999999999998</v>
      </c>
      <c r="DG555" s="189">
        <v>0.375</v>
      </c>
      <c r="DH555" s="190">
        <f t="shared" si="1574"/>
        <v>22.029367512142301</v>
      </c>
      <c r="DI555" s="190">
        <v>21.703078019950304</v>
      </c>
      <c r="DJ555" s="177"/>
      <c r="DK555" s="189">
        <f>VLOOKUP($H555,RoR!$E:$F,2,FALSE)</f>
        <v>4.2350000000000006E-2</v>
      </c>
      <c r="DL555" s="191">
        <f>HLOOKUP($H555,'GDP-PI'!$D$8:$CQ$11,3,FALSE)</f>
        <v>1.7730000000000024E-2</v>
      </c>
      <c r="DM555" s="189">
        <f>VLOOKUP(H555,'HW Dx Data'!$E:$F,2,FALSE)</f>
        <v>663.24840548821396</v>
      </c>
      <c r="DN555" s="183">
        <f>VLOOKUP(H555,'ECI - Input Price'!$G$17:$H$37,2,FALSE)</f>
        <v>118.72499999999999</v>
      </c>
      <c r="DO555" s="177">
        <f t="shared" ref="DO555" si="1616">LN(DN555/DN554)</f>
        <v>1.8918621429430321E-2</v>
      </c>
      <c r="DP555" s="183">
        <f>HLOOKUP(H555,'GDP-PI'!$8:$9,2,FALSE)</f>
        <v>101.773</v>
      </c>
      <c r="DQ555" s="177">
        <f t="shared" ref="DQ555" si="1617">LN(DP555/DP554)</f>
        <v>1.7574657016510519E-2</v>
      </c>
    </row>
    <row r="556" spans="1:121" s="167" customFormat="1" ht="21" x14ac:dyDescent="0.35">
      <c r="A556" s="167" t="s">
        <v>66</v>
      </c>
      <c r="B556" s="168" t="s">
        <v>66</v>
      </c>
      <c r="C556" s="168">
        <v>4008754</v>
      </c>
      <c r="D556" s="168" t="s">
        <v>144</v>
      </c>
      <c r="E556" s="168"/>
      <c r="F556" s="168"/>
      <c r="G556" s="168" t="s">
        <v>20</v>
      </c>
      <c r="H556" s="169">
        <v>2014</v>
      </c>
      <c r="I556" s="170"/>
      <c r="J556" s="166">
        <f>IFERROR(INDEX('Labor Expenditures'!$F$7:$X$91,MATCH($C556,'Labor Expenditures'!$D$7:$D$91,0),MATCH($G556,'Labor Expenditures'!$F$5:$X$5,0)),"NA")</f>
        <v>13887.749478179361</v>
      </c>
      <c r="K556" s="166">
        <f t="shared" si="1580"/>
        <v>114.58539173415315</v>
      </c>
      <c r="L556" s="172">
        <f t="shared" si="1587"/>
        <v>-4.437230260961126E-2</v>
      </c>
      <c r="M556" s="172">
        <f t="shared" si="1591"/>
        <v>-1.9184612430965363E-4</v>
      </c>
      <c r="N556" s="196"/>
      <c r="O556" s="172"/>
      <c r="P556" s="166">
        <f>IFERROR(INDEX('Non-Labor Expenditures'!$F$7:$AB$91,MATCH($C556,'Non-Labor Expenditures'!$D$7:$D$91,0),MATCH($G556,'Non-Labor Expenditures'!$F$5:$AB$5,0)),"NA")</f>
        <v>20112.055118208595</v>
      </c>
      <c r="Q556" s="166">
        <f t="shared" si="1581"/>
        <v>194.04377471811623</v>
      </c>
      <c r="R556" s="172">
        <f t="shared" si="1592"/>
        <v>-4.1986175307838644E-2</v>
      </c>
      <c r="S556" s="172">
        <f t="shared" si="1597"/>
        <v>-1.8152956988195141E-4</v>
      </c>
      <c r="T556" s="172"/>
      <c r="U556" s="172"/>
      <c r="V556" s="166">
        <f t="shared" si="1562"/>
        <v>15201.418558098567</v>
      </c>
      <c r="W556" s="170"/>
      <c r="X556" s="174">
        <v>697.94340869879852</v>
      </c>
      <c r="Y556" s="175">
        <v>3.4309590482916055E-2</v>
      </c>
      <c r="Z556" s="175">
        <f t="shared" si="1598"/>
        <v>1.4833942738353843E-4</v>
      </c>
      <c r="AA556" s="175"/>
      <c r="AB556" s="175"/>
      <c r="AC556" s="170">
        <f t="shared" si="1475"/>
        <v>49201.223154486521</v>
      </c>
      <c r="AD556" s="175">
        <f t="shared" si="1593"/>
        <v>2.1966586207062926E-4</v>
      </c>
      <c r="AE556" s="170"/>
      <c r="AF556" s="170"/>
      <c r="AG556" s="121">
        <f t="shared" si="1594"/>
        <v>332.16239876378251</v>
      </c>
      <c r="AH556" s="119">
        <f>+AZ556/$BB$52</f>
        <v>4.0429308033903882E-3</v>
      </c>
      <c r="AI556" s="119"/>
      <c r="AJ556" s="176">
        <f t="shared" si="1599"/>
        <v>1.3429095936901376</v>
      </c>
      <c r="AK556" s="176">
        <f t="shared" si="1600"/>
        <v>0</v>
      </c>
      <c r="AL556" s="120">
        <f t="shared" si="1582"/>
        <v>0.28226431352272136</v>
      </c>
      <c r="AM556" s="120">
        <f t="shared" si="1583"/>
        <v>0.40877144568253754</v>
      </c>
      <c r="AN556" s="120">
        <f t="shared" si="1584"/>
        <v>0.30896424079474116</v>
      </c>
      <c r="AO556" s="120">
        <f t="shared" si="1588"/>
        <v>-1.9734441375233711E-2</v>
      </c>
      <c r="AP556" s="173">
        <f t="shared" si="1604"/>
        <v>116.43789237821653</v>
      </c>
      <c r="AQ556" s="175">
        <f t="shared" si="1605"/>
        <v>-1.9734441375233752E-2</v>
      </c>
      <c r="AR556" s="177">
        <f>+AC556/$AE$52</f>
        <v>4.3235557549834887E-3</v>
      </c>
      <c r="AS556" s="177">
        <f t="shared" si="1601"/>
        <v>-8.5322957579276161E-5</v>
      </c>
      <c r="AT556" s="177"/>
      <c r="AU556" s="177"/>
      <c r="AV556" s="177"/>
      <c r="AW556" s="190"/>
      <c r="AX556" s="120"/>
      <c r="AY556" s="120"/>
      <c r="AZ556" s="118">
        <f>IFERROR(INDEX('Total Customers'!$F$7:$AB$91,MATCH($C556,'Total Customers'!$D$7:$D$91,0),MATCH($G556,'Total Customers'!$F$5:$AB$5,0)),"NA")</f>
        <v>148124</v>
      </c>
      <c r="BA556" s="119">
        <f t="shared" si="1563"/>
        <v>1.152957942436509E-2</v>
      </c>
      <c r="BB556" s="119"/>
      <c r="BC556" s="121"/>
      <c r="BD556" s="119"/>
      <c r="BE556" s="119"/>
      <c r="BF556" s="119"/>
      <c r="BG556" s="173"/>
      <c r="BH556" s="173"/>
      <c r="BI556" s="173"/>
      <c r="BJ556" s="173"/>
      <c r="BK556" s="173"/>
      <c r="BL556" s="173"/>
      <c r="BM556" s="173"/>
      <c r="BN556" s="173"/>
      <c r="BO556" s="173"/>
      <c r="BP556" s="173"/>
      <c r="BQ556" s="118"/>
      <c r="BR556" s="118"/>
      <c r="BS556" s="118">
        <f>INDEX('Dist. Plant Gas Additions'!$F$7:$AE$91,MATCH($C556,'Dist. Plant Gas Additions'!$D$7:$D$91,0),MATCH(Calculation!$G556,'Dist. Plant Gas Additions'!$F$5:$AE$5,0))</f>
        <v>19537</v>
      </c>
      <c r="BT556" s="118">
        <f>INDEX('Gen. Plant Additions'!$F$7:$AE$91,MATCH($C556,'Gen. Plant Additions'!$D$7:$D$91,0),MATCH(Calculation!$G556,'Gen. Plant Additions'!$F$5:$AE$5,0))</f>
        <v>206</v>
      </c>
      <c r="BU556" s="118"/>
      <c r="BV556" s="118"/>
      <c r="BW556" s="118">
        <f>INDEX('Dist Plant Depreciation'!$E$7:$AD$94,MATCH($C556,'Dist Plant Depreciation'!$D$7:$D$94,0),MATCH(Calculation!$G556,'Dist Plant Depreciation'!$E$5:$AD$5,0))</f>
        <v>160010</v>
      </c>
      <c r="BX556" s="118">
        <f>INDEX('Gen. Plant Depreciation'!$E$7:$AD$94,MATCH($C556,'Gen. Plant Depreciation'!$D$7:$D$94,0),MATCH(Calculation!$G556,'Gen. Plant Depreciation'!$E$5:$AD$5,0))</f>
        <v>2643</v>
      </c>
      <c r="BY556" s="118"/>
      <c r="BZ556" s="118"/>
      <c r="CA556" s="118"/>
      <c r="CB556" s="118"/>
      <c r="CC556" s="118"/>
      <c r="CD556" s="118"/>
      <c r="CE556" s="118">
        <f>INDEX('Gross Dx Plant'!$E$7:$AD$91,MATCH($C556,'Gross Dx Plant'!$D$7:$D$91,0),MATCH(Calculation!$G556,'Gross Dx Plant'!$E$5:$AD$5,0))</f>
        <v>327849</v>
      </c>
      <c r="CF556" s="118">
        <f>INDEX('Gross Gen Plant'!$E$7:$AD$91,MATCH($C556,'Gross Gen Plant'!$D$7:$D$91,0),MATCH(Calculation!$G556,'Gross Gen Plant'!$E$5:$AD$5,0))</f>
        <v>4589</v>
      </c>
      <c r="CG556" s="118">
        <f t="shared" si="1516"/>
        <v>169785</v>
      </c>
      <c r="CH556" s="118"/>
      <c r="CI556" s="121">
        <v>2014</v>
      </c>
      <c r="CJ556" s="118"/>
      <c r="CK556" s="118"/>
      <c r="CL556" s="118"/>
      <c r="CM556" s="183"/>
      <c r="CN556" s="118">
        <f t="shared" si="1564"/>
        <v>19743</v>
      </c>
      <c r="CO556" s="118">
        <f t="shared" si="1565"/>
        <v>28.844251353364907</v>
      </c>
      <c r="CP556" s="186">
        <v>0.89743589743589747</v>
      </c>
      <c r="CQ556" s="118">
        <f>+CQ540*CP556+CO541*CP555+CO542*CP554+CO543*CP553+CO544*CP552+CO545*CP551+CO546*CP550+CO547*CP549+CO548*CP548+CO549*CP547+CO550*CP546+CO551*CP545+CO552*CP544+CO553*CP543+CO554*CP542+CO555*CP541+CO556</f>
        <v>697.94340869879852</v>
      </c>
      <c r="CR556" s="119">
        <f t="shared" si="1566"/>
        <v>3.4309590482916055E-2</v>
      </c>
      <c r="CS556" s="119"/>
      <c r="CT556" s="177">
        <f t="shared" si="1567"/>
        <v>7.8650733982816631E-3</v>
      </c>
      <c r="CU556" s="177">
        <f t="shared" si="1575"/>
        <v>7.6376275233280165E-3</v>
      </c>
      <c r="CV556" s="119">
        <f>VLOOKUP($H556,RoR!$E:$F,2,FALSE)</f>
        <v>4.1625000000000002E-2</v>
      </c>
      <c r="CW556" s="177">
        <v>1.841352814597208E-2</v>
      </c>
      <c r="CX556" s="177">
        <f t="shared" si="1573"/>
        <v>2.3211471854027922E-2</v>
      </c>
      <c r="CY556" s="177">
        <f t="shared" si="1576"/>
        <v>2.3264314085205608E-2</v>
      </c>
      <c r="CZ556" s="177">
        <f t="shared" si="1577"/>
        <v>3.9072621432650924E-2</v>
      </c>
      <c r="DA556" s="187">
        <f t="shared" si="1568"/>
        <v>0.84949374999999994</v>
      </c>
      <c r="DB556" s="188">
        <f t="shared" si="1569"/>
        <v>1.2320012320012319</v>
      </c>
      <c r="DC556" s="188">
        <f t="shared" si="1570"/>
        <v>0.37439939939939942</v>
      </c>
      <c r="DD556" s="188">
        <f t="shared" si="1571"/>
        <v>0.80432100613819935</v>
      </c>
      <c r="DE556" s="188">
        <f t="shared" si="1572"/>
        <v>0.37100152660040037</v>
      </c>
      <c r="DF556" s="189">
        <f>INDEX('State Tax Lookup'!$D$7:$Z$91,MATCH(Calculation!$C556,'State Tax Lookup'!$B$7:$B$91,0),MATCH($H556,'State Tax Lookup'!$D$6:$Z$6,0))</f>
        <v>0.40134999999999998</v>
      </c>
      <c r="DG556" s="189">
        <v>0.375</v>
      </c>
      <c r="DH556" s="190">
        <f t="shared" si="1574"/>
        <v>22.540542937188096</v>
      </c>
      <c r="DI556" s="190">
        <v>22.192845786925432</v>
      </c>
      <c r="DJ556" s="177"/>
      <c r="DK556" s="189">
        <f>VLOOKUP($H556,RoR!$E:$F,2,FALSE)</f>
        <v>4.1625000000000002E-2</v>
      </c>
      <c r="DL556" s="191">
        <f>HLOOKUP($H556,'GDP-PI'!$D$8:$CQ$11,3,FALSE)</f>
        <v>1.841352814597208E-2</v>
      </c>
      <c r="DM556" s="189">
        <f>VLOOKUP(H556,'HW Dx Data'!$E:$F,2,FALSE)</f>
        <v>684.46914285042885</v>
      </c>
      <c r="DN556" s="183">
        <f>VLOOKUP(H556,'ECI - Input Price'!$G$17:$H$37,2,FALSE)</f>
        <v>121.2</v>
      </c>
      <c r="DO556" s="177">
        <f t="shared" ref="DO556" si="1618">LN(DN556/DN555)</f>
        <v>2.0632179200028689E-2</v>
      </c>
      <c r="DP556" s="183">
        <f>HLOOKUP(H556,'GDP-PI'!$8:$9,2,FALSE)</f>
        <v>103.64700000000001</v>
      </c>
      <c r="DQ556" s="177">
        <f t="shared" ref="DQ556" si="1619">LN(DP556/DP555)</f>
        <v>1.8246051898256087E-2</v>
      </c>
    </row>
    <row r="557" spans="1:121" s="167" customFormat="1" ht="21" x14ac:dyDescent="0.35">
      <c r="A557" s="167" t="s">
        <v>66</v>
      </c>
      <c r="B557" s="168" t="s">
        <v>66</v>
      </c>
      <c r="C557" s="168">
        <v>4008754</v>
      </c>
      <c r="D557" s="168" t="s">
        <v>144</v>
      </c>
      <c r="E557" s="168"/>
      <c r="F557" s="168"/>
      <c r="G557" s="168" t="s">
        <v>21</v>
      </c>
      <c r="H557" s="169">
        <v>2015</v>
      </c>
      <c r="I557" s="170"/>
      <c r="J557" s="166">
        <f>IFERROR(INDEX('Labor Expenditures'!$F$7:$X$91,MATCH($C557,'Labor Expenditures'!$D$7:$D$91,0),MATCH($G557,'Labor Expenditures'!$F$5:$X$5,0)),"NA")</f>
        <v>14005.674182040924</v>
      </c>
      <c r="K557" s="166">
        <f t="shared" si="1580"/>
        <v>113.17716510740141</v>
      </c>
      <c r="L557" s="172">
        <f t="shared" si="1587"/>
        <v>-1.2365900622187783E-2</v>
      </c>
      <c r="M557" s="172">
        <f t="shared" si="1591"/>
        <v>-5.3465734086446168E-5</v>
      </c>
      <c r="N557" s="196"/>
      <c r="O557" s="172"/>
      <c r="P557" s="166">
        <f>IFERROR(INDEX('Non-Labor Expenditures'!$F$7:$AB$91,MATCH($C557,'Non-Labor Expenditures'!$D$7:$D$91,0),MATCH($G557,'Non-Labor Expenditures'!$F$5:$AB$5,0)),"NA")</f>
        <v>20282.832114696663</v>
      </c>
      <c r="Q557" s="166">
        <f t="shared" si="1581"/>
        <v>193.83625717654664</v>
      </c>
      <c r="R557" s="172">
        <f t="shared" si="1592"/>
        <v>-1.070008994044719E-3</v>
      </c>
      <c r="S557" s="172">
        <f t="shared" si="1597"/>
        <v>-4.6263364144341063E-6</v>
      </c>
      <c r="T557" s="172"/>
      <c r="U557" s="172"/>
      <c r="V557" s="166">
        <f t="shared" si="1562"/>
        <v>15410.632554856273</v>
      </c>
      <c r="W557" s="170"/>
      <c r="X557" s="174">
        <v>715.38343203746967</v>
      </c>
      <c r="Y557" s="175">
        <v>2.4680644424517447E-2</v>
      </c>
      <c r="Z557" s="175">
        <f t="shared" si="1598"/>
        <v>1.0671028436988369E-4</v>
      </c>
      <c r="AA557" s="175"/>
      <c r="AB557" s="175"/>
      <c r="AC557" s="170">
        <f t="shared" si="1475"/>
        <v>49699.13885159386</v>
      </c>
      <c r="AD557" s="175">
        <f t="shared" si="1593"/>
        <v>1.0069121969985528E-2</v>
      </c>
      <c r="AE557" s="170"/>
      <c r="AF557" s="170"/>
      <c r="AG557" s="121">
        <f t="shared" si="1594"/>
        <v>328.95908691814839</v>
      </c>
      <c r="AH557" s="119">
        <f>+AZ557/$BB$53</f>
        <v>4.0901776249453268E-3</v>
      </c>
      <c r="AI557" s="119"/>
      <c r="AJ557" s="176">
        <f t="shared" si="1599"/>
        <v>1.3455010968350556</v>
      </c>
      <c r="AK557" s="176">
        <f t="shared" si="1600"/>
        <v>0</v>
      </c>
      <c r="AL557" s="120">
        <f t="shared" si="1582"/>
        <v>0.28180919238587088</v>
      </c>
      <c r="AM557" s="120">
        <f t="shared" si="1583"/>
        <v>0.40811234527147522</v>
      </c>
      <c r="AN557" s="120">
        <f t="shared" si="1584"/>
        <v>0.31007846234265385</v>
      </c>
      <c r="AO557" s="120">
        <f t="shared" si="1588"/>
        <v>3.7145114593206572E-3</v>
      </c>
      <c r="AP557" s="173">
        <f t="shared" si="1604"/>
        <v>116.87120654074133</v>
      </c>
      <c r="AQ557" s="175">
        <f t="shared" si="1605"/>
        <v>3.7145114593207587E-3</v>
      </c>
      <c r="AR557" s="177">
        <f>+AC557/$AE$53</f>
        <v>4.3236425489716554E-3</v>
      </c>
      <c r="AS557" s="177">
        <f t="shared" si="1601"/>
        <v>1.6060219794162029E-5</v>
      </c>
      <c r="AT557" s="177"/>
      <c r="AU557" s="177"/>
      <c r="AV557" s="177"/>
      <c r="AW557" s="190"/>
      <c r="AX557" s="120"/>
      <c r="AY557" s="120"/>
      <c r="AZ557" s="118">
        <f>IFERROR(INDEX('Total Customers'!$F$7:$AB$91,MATCH($C557,'Total Customers'!$D$7:$D$91,0),MATCH($G557,'Total Customers'!$F$5:$AB$5,0)),"NA")</f>
        <v>151080</v>
      </c>
      <c r="BA557" s="119">
        <f t="shared" si="1563"/>
        <v>1.9759737032501237E-2</v>
      </c>
      <c r="BB557" s="119"/>
      <c r="BC557" s="121"/>
      <c r="BD557" s="119"/>
      <c r="BE557" s="119"/>
      <c r="BF557" s="119"/>
      <c r="BG557" s="173"/>
      <c r="BH557" s="173"/>
      <c r="BI557" s="173"/>
      <c r="BJ557" s="173"/>
      <c r="BK557" s="173"/>
      <c r="BL557" s="173"/>
      <c r="BM557" s="173"/>
      <c r="BN557" s="173"/>
      <c r="BO557" s="173"/>
      <c r="BP557" s="173"/>
      <c r="BQ557" s="118"/>
      <c r="BR557" s="118"/>
      <c r="BS557" s="118">
        <f>INDEX('Dist. Plant Gas Additions'!$F$7:$AE$91,MATCH($C557,'Dist. Plant Gas Additions'!$D$7:$D$91,0),MATCH(Calculation!$G557,'Dist. Plant Gas Additions'!$F$5:$AE$5,0))</f>
        <v>15330</v>
      </c>
      <c r="BT557" s="118">
        <f>INDEX('Gen. Plant Additions'!$F$7:$AE$91,MATCH($C557,'Gen. Plant Additions'!$D$7:$D$91,0),MATCH(Calculation!$G557,'Gen. Plant Additions'!$F$5:$AE$5,0))</f>
        <v>267</v>
      </c>
      <c r="BU557" s="118"/>
      <c r="BV557" s="118"/>
      <c r="BW557" s="118">
        <f>INDEX('Dist Plant Depreciation'!$E$7:$AD$94,MATCH($C557,'Dist Plant Depreciation'!$D$7:$D$94,0),MATCH(Calculation!$G557,'Dist Plant Depreciation'!$E$5:$AD$5,0))</f>
        <v>159891</v>
      </c>
      <c r="BX557" s="118">
        <f>INDEX('Gen. Plant Depreciation'!$E$7:$AD$94,MATCH($C557,'Gen. Plant Depreciation'!$D$7:$D$94,0),MATCH(Calculation!$G557,'Gen. Plant Depreciation'!$E$5:$AD$5,0))</f>
        <v>2814</v>
      </c>
      <c r="BY557" s="118"/>
      <c r="BZ557" s="118"/>
      <c r="CA557" s="118"/>
      <c r="CB557" s="118"/>
      <c r="CC557" s="118"/>
      <c r="CD557" s="118"/>
      <c r="CE557" s="118">
        <f>INDEX('Gross Dx Plant'!$E$7:$AD$91,MATCH($C557,'Gross Dx Plant'!$D$7:$D$91,0),MATCH(Calculation!$G557,'Gross Dx Plant'!$E$5:$AD$5,0))</f>
        <v>338320</v>
      </c>
      <c r="CF557" s="118">
        <f>INDEX('Gross Gen Plant'!$E$7:$AD$91,MATCH($C557,'Gross Gen Plant'!$D$7:$D$91,0),MATCH(Calculation!$G557,'Gross Gen Plant'!$E$5:$AD$5,0))</f>
        <v>4783</v>
      </c>
      <c r="CG557" s="118">
        <f t="shared" si="1516"/>
        <v>180398</v>
      </c>
      <c r="CH557" s="118"/>
      <c r="CI557" s="121">
        <v>2015</v>
      </c>
      <c r="CJ557" s="118"/>
      <c r="CK557" s="118"/>
      <c r="CL557" s="118"/>
      <c r="CM557" s="183"/>
      <c r="CN557" s="118">
        <f t="shared" si="1564"/>
        <v>15597</v>
      </c>
      <c r="CO557" s="118">
        <f t="shared" si="1565"/>
        <v>23.085645627215786</v>
      </c>
      <c r="CP557" s="186">
        <v>0.88888888888888884</v>
      </c>
      <c r="CQ557" s="118">
        <f>+CQ540*CP557+CO541*CP556+CO542*CP555+CO543*CP554+CO544*CP553+CO545*CP552+CO546*CP551+CO547*CP550+CO548*CP549+CO549*CP548+CO550*CP547+CO551*CP546+CO552*CP545+CO553*CP544+CO554*CP543+CO555*CP542+CO556*CP541+CO557</f>
        <v>715.38343203746967</v>
      </c>
      <c r="CR557" s="119">
        <f t="shared" si="1566"/>
        <v>2.4680644424517447E-2</v>
      </c>
      <c r="CS557" s="119"/>
      <c r="CT557" s="177">
        <f t="shared" si="1567"/>
        <v>8.0889399028353515E-3</v>
      </c>
      <c r="CU557" s="177">
        <f t="shared" si="1575"/>
        <v>7.8656568785048474E-3</v>
      </c>
      <c r="CV557" s="119">
        <f>VLOOKUP($H557,RoR!$E:$F,2,FALSE)</f>
        <v>3.8866666666666674E-2</v>
      </c>
      <c r="CW557" s="177">
        <v>9.5709475431029478E-3</v>
      </c>
      <c r="CX557" s="177">
        <f t="shared" si="1573"/>
        <v>2.9295719123563727E-2</v>
      </c>
      <c r="CY557" s="177">
        <f t="shared" si="1576"/>
        <v>2.3036284730028778E-2</v>
      </c>
      <c r="CZ557" s="177">
        <f t="shared" si="1577"/>
        <v>3.5270373279175926E-3</v>
      </c>
      <c r="DA557" s="187">
        <f t="shared" si="1568"/>
        <v>0.84949374999999994</v>
      </c>
      <c r="DB557" s="188">
        <f t="shared" si="1569"/>
        <v>1.3194352816994324</v>
      </c>
      <c r="DC557" s="188">
        <f t="shared" si="1570"/>
        <v>0.33177530017152673</v>
      </c>
      <c r="DD557" s="188">
        <f t="shared" si="1571"/>
        <v>0.78242572977668579</v>
      </c>
      <c r="DE557" s="188">
        <f t="shared" si="1572"/>
        <v>0.34251158643433932</v>
      </c>
      <c r="DF557" s="189">
        <f>INDEX('State Tax Lookup'!$D$7:$Z$91,MATCH(Calculation!$C557,'State Tax Lookup'!$B$7:$B$91,0),MATCH($H557,'State Tax Lookup'!$D$6:$Z$6,0))</f>
        <v>0.40134999999999998</v>
      </c>
      <c r="DG557" s="189">
        <v>0.375</v>
      </c>
      <c r="DH557" s="190">
        <f t="shared" si="1574"/>
        <v>22.080060306876284</v>
      </c>
      <c r="DI557" s="190">
        <v>21.713871968001662</v>
      </c>
      <c r="DJ557" s="177"/>
      <c r="DK557" s="189">
        <f>VLOOKUP($H557,RoR!$E:$F,2,FALSE)</f>
        <v>3.8866666666666674E-2</v>
      </c>
      <c r="DL557" s="191">
        <f>HLOOKUP($H557,'GDP-PI'!$D$8:$CQ$11,3,FALSE)</f>
        <v>9.5709475431029478E-3</v>
      </c>
      <c r="DM557" s="189">
        <f>VLOOKUP(H557,'HW Dx Data'!$E:$F,2,FALSE)</f>
        <v>675.61463308665782</v>
      </c>
      <c r="DN557" s="183">
        <f>VLOOKUP(H557,'ECI - Input Price'!$G$17:$H$37,2,FALSE)</f>
        <v>123.75</v>
      </c>
      <c r="DO557" s="177">
        <f t="shared" ref="DO557" si="1620">LN(DN557/DN556)</f>
        <v>2.0821327813585516E-2</v>
      </c>
      <c r="DP557" s="183">
        <f>HLOOKUP(H557,'GDP-PI'!$8:$9,2,FALSE)</f>
        <v>104.639</v>
      </c>
      <c r="DQ557" s="177">
        <f t="shared" ref="DQ557" si="1621">LN(DP557/DP556)</f>
        <v>9.5254361854427965E-3</v>
      </c>
    </row>
    <row r="558" spans="1:121" s="167" customFormat="1" ht="21" x14ac:dyDescent="0.35">
      <c r="A558" s="167" t="s">
        <v>66</v>
      </c>
      <c r="B558" s="168" t="s">
        <v>66</v>
      </c>
      <c r="C558" s="168">
        <v>4008754</v>
      </c>
      <c r="D558" s="168" t="s">
        <v>144</v>
      </c>
      <c r="E558" s="168"/>
      <c r="F558" s="168"/>
      <c r="G558" s="168" t="s">
        <v>22</v>
      </c>
      <c r="H558" s="169">
        <v>2016</v>
      </c>
      <c r="I558" s="170"/>
      <c r="J558" s="166">
        <f>IFERROR(INDEX('Labor Expenditures'!$F$7:$X$91,MATCH($C558,'Labor Expenditures'!$D$7:$D$91,0),MATCH($G558,'Labor Expenditures'!$F$5:$X$5,0)),"NA")</f>
        <v>14360.171588439667</v>
      </c>
      <c r="K558" s="166">
        <f t="shared" si="1580"/>
        <v>113.60895244018724</v>
      </c>
      <c r="L558" s="172">
        <f t="shared" si="1587"/>
        <v>3.8078861192903761E-3</v>
      </c>
      <c r="M558" s="172">
        <f t="shared" si="1591"/>
        <v>1.6224229112362535E-5</v>
      </c>
      <c r="N558" s="196"/>
      <c r="O558" s="172"/>
      <c r="P558" s="166">
        <f>IFERROR(INDEX('Non-Labor Expenditures'!$F$7:$AB$91,MATCH($C558,'Non-Labor Expenditures'!$D$7:$D$91,0),MATCH($G558,'Non-Labor Expenditures'!$F$5:$AB$5,0)),"NA")</f>
        <v>20796.210570144445</v>
      </c>
      <c r="Q558" s="166">
        <f t="shared" si="1581"/>
        <v>196.68051155845166</v>
      </c>
      <c r="R558" s="172">
        <f t="shared" si="1592"/>
        <v>1.4566876016042531E-2</v>
      </c>
      <c r="S558" s="172">
        <f t="shared" si="1597"/>
        <v>6.2064968996419366E-5</v>
      </c>
      <c r="T558" s="172"/>
      <c r="U558" s="172"/>
      <c r="V558" s="166">
        <f t="shared" si="1562"/>
        <v>15536.842909318859</v>
      </c>
      <c r="W558" s="170"/>
      <c r="X558" s="174">
        <v>733.41539514578983</v>
      </c>
      <c r="Y558" s="175">
        <v>2.4893579351943591E-2</v>
      </c>
      <c r="Z558" s="175">
        <f t="shared" si="1598"/>
        <v>1.0606386908124647E-4</v>
      </c>
      <c r="AA558" s="175"/>
      <c r="AB558" s="175"/>
      <c r="AC558" s="170">
        <f t="shared" si="1475"/>
        <v>50693.225067902975</v>
      </c>
      <c r="AD558" s="175">
        <f t="shared" si="1593"/>
        <v>1.9804667793359192E-2</v>
      </c>
      <c r="AE558" s="170"/>
      <c r="AF558" s="170"/>
      <c r="AG558" s="121">
        <f t="shared" si="1594"/>
        <v>328.66458161244151</v>
      </c>
      <c r="AH558" s="119">
        <f>+AZ558/$BB$54</f>
        <v>4.1396488848880683E-3</v>
      </c>
      <c r="AI558" s="119"/>
      <c r="AJ558" s="176">
        <f t="shared" si="1599"/>
        <v>1.3605559687741471</v>
      </c>
      <c r="AK558" s="176">
        <f t="shared" si="1600"/>
        <v>0</v>
      </c>
      <c r="AL558" s="120">
        <f t="shared" si="1582"/>
        <v>0.28327595194830052</v>
      </c>
      <c r="AM558" s="120">
        <f t="shared" si="1583"/>
        <v>0.41023648707077065</v>
      </c>
      <c r="AN558" s="120">
        <f t="shared" si="1584"/>
        <v>0.30648756098092872</v>
      </c>
      <c r="AO558" s="120">
        <f t="shared" si="1588"/>
        <v>1.4710550541623934E-2</v>
      </c>
      <c r="AP558" s="173">
        <f t="shared" si="1604"/>
        <v>118.60315404938314</v>
      </c>
      <c r="AQ558" s="175">
        <f t="shared" si="1605"/>
        <v>1.4710550541623993E-2</v>
      </c>
      <c r="AR558" s="177">
        <f>+AC558/$AE$54</f>
        <v>4.2606917864933484E-3</v>
      </c>
      <c r="AS558" s="177">
        <f t="shared" si="1601"/>
        <v>6.2677121867492629E-5</v>
      </c>
      <c r="AT558" s="177"/>
      <c r="AU558" s="177"/>
      <c r="AV558" s="177"/>
      <c r="AW558" s="190"/>
      <c r="AX558" s="120"/>
      <c r="AY558" s="120"/>
      <c r="AZ558" s="118">
        <f>IFERROR(INDEX('Total Customers'!$F$7:$AB$91,MATCH($C558,'Total Customers'!$D$7:$D$91,0),MATCH($G558,'Total Customers'!$F$5:$AB$5,0)),"NA")</f>
        <v>154240</v>
      </c>
      <c r="BA558" s="119">
        <f t="shared" si="1563"/>
        <v>2.0700333017979321E-2</v>
      </c>
      <c r="BB558" s="119"/>
      <c r="BC558" s="121"/>
      <c r="BD558" s="119"/>
      <c r="BE558" s="119"/>
      <c r="BF558" s="119"/>
      <c r="BG558" s="173"/>
      <c r="BH558" s="173"/>
      <c r="BI558" s="173"/>
      <c r="BJ558" s="173"/>
      <c r="BK558" s="173"/>
      <c r="BL558" s="173"/>
      <c r="BM558" s="173"/>
      <c r="BN558" s="173"/>
      <c r="BO558" s="173"/>
      <c r="BP558" s="173"/>
      <c r="BQ558" s="118"/>
      <c r="BR558" s="118"/>
      <c r="BS558" s="118">
        <f>INDEX('Dist. Plant Gas Additions'!$F$7:$AE$91,MATCH($C558,'Dist. Plant Gas Additions'!$D$7:$D$91,0),MATCH(Calculation!$G558,'Dist. Plant Gas Additions'!$F$5:$AE$5,0))</f>
        <v>16001</v>
      </c>
      <c r="BT558" s="118">
        <f>INDEX('Gen. Plant Additions'!$F$7:$AE$91,MATCH($C558,'Gen. Plant Additions'!$D$7:$D$91,0),MATCH(Calculation!$G558,'Gen. Plant Additions'!$F$5:$AE$5,0))</f>
        <v>118</v>
      </c>
      <c r="BU558" s="118"/>
      <c r="BV558" s="118"/>
      <c r="BW558" s="118">
        <f>INDEX('Dist Plant Depreciation'!$E$7:$AD$94,MATCH($C558,'Dist Plant Depreciation'!$D$7:$D$94,0),MATCH(Calculation!$G558,'Dist Plant Depreciation'!$E$5:$AD$5,0))</f>
        <v>163925</v>
      </c>
      <c r="BX558" s="118">
        <f>INDEX('Gen. Plant Depreciation'!$E$7:$AD$94,MATCH($C558,'Gen. Plant Depreciation'!$D$7:$D$94,0),MATCH(Calculation!$G558,'Gen. Plant Depreciation'!$E$5:$AD$5,0))</f>
        <v>1535</v>
      </c>
      <c r="BY558" s="118"/>
      <c r="BZ558" s="118"/>
      <c r="CA558" s="118"/>
      <c r="CB558" s="118"/>
      <c r="CC558" s="118"/>
      <c r="CD558" s="118"/>
      <c r="CE558" s="118">
        <f>INDEX('Gross Dx Plant'!$E$7:$AD$91,MATCH($C558,'Gross Dx Plant'!$D$7:$D$91,0),MATCH(Calculation!$G558,'Gross Dx Plant'!$E$5:$AD$5,0))</f>
        <v>352252</v>
      </c>
      <c r="CF558" s="118">
        <f>INDEX('Gross Gen Plant'!$E$7:$AD$91,MATCH($C558,'Gross Gen Plant'!$D$7:$D$91,0),MATCH(Calculation!$G558,'Gross Gen Plant'!$E$5:$AD$5,0))</f>
        <v>3304</v>
      </c>
      <c r="CG558" s="118">
        <f t="shared" si="1516"/>
        <v>190096</v>
      </c>
      <c r="CH558" s="118"/>
      <c r="CI558" s="121">
        <v>2016</v>
      </c>
      <c r="CJ558" s="118"/>
      <c r="CK558" s="118"/>
      <c r="CL558" s="118"/>
      <c r="CM558" s="183"/>
      <c r="CN558" s="118">
        <f t="shared" si="1564"/>
        <v>16119</v>
      </c>
      <c r="CO558" s="118">
        <f t="shared" si="1565"/>
        <v>24.006026522949089</v>
      </c>
      <c r="CP558" s="186">
        <v>0.88</v>
      </c>
      <c r="CQ558" s="118">
        <f>+CQ540*CP558+CO541*CP557+CO542*CP556+CO543*CP555+CO544*CP554+CO545*CP553+CO546*CP552+CO547*CP551+CO548*CP550+CO549*CP549+CO550*CP548+CO551*CP547+CO552*CP546+CO553*CP545+CO554*CP544+CO555*CP543+CO556*CP542+CO557*CP541+CO558</f>
        <v>733.41539514578983</v>
      </c>
      <c r="CR558" s="119">
        <f t="shared" si="1566"/>
        <v>2.4893579351943591E-2</v>
      </c>
      <c r="CS558" s="119"/>
      <c r="CT558" s="177">
        <f t="shared" si="1567"/>
        <v>8.3508551457703167E-3</v>
      </c>
      <c r="CU558" s="177">
        <f t="shared" si="1575"/>
        <v>8.1016228156291104E-3</v>
      </c>
      <c r="CV558" s="119">
        <f>VLOOKUP($H558,RoR!$E:$F,2,FALSE)</f>
        <v>3.6658333333333334E-2</v>
      </c>
      <c r="CW558" s="177">
        <v>1.0483662879041455E-2</v>
      </c>
      <c r="CX558" s="177">
        <f t="shared" si="1573"/>
        <v>2.6174670454291879E-2</v>
      </c>
      <c r="CY558" s="177">
        <f t="shared" si="1576"/>
        <v>2.2800318792904513E-2</v>
      </c>
      <c r="CZ558" s="177">
        <f t="shared" si="1577"/>
        <v>4.301363574220729E-3</v>
      </c>
      <c r="DA558" s="187">
        <f t="shared" si="1568"/>
        <v>0.84949374999999994</v>
      </c>
      <c r="DB558" s="188">
        <f t="shared" si="1569"/>
        <v>1.3989193348138562</v>
      </c>
      <c r="DC558" s="188">
        <f t="shared" si="1570"/>
        <v>0.29302682427824522</v>
      </c>
      <c r="DD558" s="188">
        <f t="shared" si="1571"/>
        <v>0.76309497491941802</v>
      </c>
      <c r="DE558" s="188">
        <f t="shared" si="1572"/>
        <v>0.31280857135128509</v>
      </c>
      <c r="DF558" s="189">
        <f>INDEX('State Tax Lookup'!$D$7:$Z$91,MATCH(Calculation!$C558,'State Tax Lookup'!$B$7:$B$91,0),MATCH($H558,'State Tax Lookup'!$D$6:$Z$6,0))</f>
        <v>0.40134999999999998</v>
      </c>
      <c r="DG558" s="189">
        <v>0.375</v>
      </c>
      <c r="DH558" s="190">
        <f t="shared" si="1574"/>
        <v>21.718203432624485</v>
      </c>
      <c r="DI558" s="190">
        <v>21.305677811471099</v>
      </c>
      <c r="DJ558" s="177"/>
      <c r="DK558" s="189">
        <f>VLOOKUP($H558,RoR!$E:$F,2,FALSE)</f>
        <v>3.6658333333333334E-2</v>
      </c>
      <c r="DL558" s="191">
        <f>HLOOKUP($H558,'GDP-PI'!$D$8:$CQ$11,3,FALSE)</f>
        <v>1.0483662879041455E-2</v>
      </c>
      <c r="DM558" s="189">
        <f>VLOOKUP(H558,'HW Dx Data'!$E:$F,2,FALSE)</f>
        <v>671.45639385971219</v>
      </c>
      <c r="DN558" s="183">
        <f>VLOOKUP(H558,'ECI - Input Price'!$G$17:$H$37,2,FALSE)</f>
        <v>126.4</v>
      </c>
      <c r="DO558" s="177">
        <f t="shared" ref="DO558" si="1622">LN(DN558/DN557)</f>
        <v>2.11880802639575E-2</v>
      </c>
      <c r="DP558" s="183">
        <f>HLOOKUP(H558,'GDP-PI'!$8:$9,2,FALSE)</f>
        <v>105.736</v>
      </c>
      <c r="DQ558" s="177">
        <f t="shared" ref="DQ558" si="1623">LN(DP558/DP557)</f>
        <v>1.0429090367205095E-2</v>
      </c>
    </row>
    <row r="559" spans="1:121" s="167" customFormat="1" ht="21" x14ac:dyDescent="0.35">
      <c r="A559" s="167" t="s">
        <v>66</v>
      </c>
      <c r="B559" s="168" t="s">
        <v>66</v>
      </c>
      <c r="C559" s="168">
        <v>4008754</v>
      </c>
      <c r="D559" s="168" t="s">
        <v>144</v>
      </c>
      <c r="E559" s="168"/>
      <c r="F559" s="168"/>
      <c r="G559" s="168" t="s">
        <v>23</v>
      </c>
      <c r="H559" s="169">
        <v>2017</v>
      </c>
      <c r="I559" s="170"/>
      <c r="J559" s="166">
        <f>IFERROR(INDEX('Labor Expenditures'!$F$7:$X$91,MATCH($C559,'Labor Expenditures'!$D$7:$D$91,0),MATCH($G559,'Labor Expenditures'!$F$5:$X$5,0)),"NA")</f>
        <v>14769.824568999353</v>
      </c>
      <c r="K559" s="166">
        <f t="shared" si="1580"/>
        <v>114.05269937451237</v>
      </c>
      <c r="L559" s="172">
        <f t="shared" si="1587"/>
        <v>3.8983069194909029E-3</v>
      </c>
      <c r="M559" s="172">
        <f t="shared" si="1591"/>
        <v>1.6627820298002222E-5</v>
      </c>
      <c r="N559" s="196"/>
      <c r="O559" s="172"/>
      <c r="P559" s="166">
        <f>IFERROR(INDEX('Non-Labor Expenditures'!$F$7:$AB$91,MATCH($C559,'Non-Labor Expenditures'!$D$7:$D$91,0),MATCH($G559,'Non-Labor Expenditures'!$F$5:$AB$5,0)),"NA")</f>
        <v>21389.464598617527</v>
      </c>
      <c r="Q559" s="166">
        <f t="shared" si="1581"/>
        <v>198.50826998002364</v>
      </c>
      <c r="R559" s="172">
        <f t="shared" si="1592"/>
        <v>9.2501181185814154E-3</v>
      </c>
      <c r="S559" s="172">
        <f t="shared" si="1597"/>
        <v>3.9455411025243952E-5</v>
      </c>
      <c r="T559" s="172"/>
      <c r="U559" s="172"/>
      <c r="V559" s="166">
        <f t="shared" si="1562"/>
        <v>14374.434432937183</v>
      </c>
      <c r="W559" s="170"/>
      <c r="X559" s="174">
        <v>755.16678107156577</v>
      </c>
      <c r="Y559" s="175">
        <v>2.922638004608202E-2</v>
      </c>
      <c r="Z559" s="175">
        <f t="shared" si="1598"/>
        <v>1.2466206622613357E-4</v>
      </c>
      <c r="AA559" s="175"/>
      <c r="AB559" s="175"/>
      <c r="AC559" s="170">
        <f t="shared" si="1475"/>
        <v>50533.723600554062</v>
      </c>
      <c r="AD559" s="175">
        <f t="shared" si="1593"/>
        <v>-3.151366339679185E-3</v>
      </c>
      <c r="AE559" s="170"/>
      <c r="AF559" s="170"/>
      <c r="AG559" s="121">
        <f t="shared" si="1594"/>
        <v>322.73215524587317</v>
      </c>
      <c r="AH559" s="119">
        <f>+AZ559/$BB$55</f>
        <v>4.1709047734062484E-3</v>
      </c>
      <c r="AI559" s="119"/>
      <c r="AJ559" s="176">
        <f t="shared" si="1599"/>
        <v>1.3460850868466989</v>
      </c>
      <c r="AK559" s="176">
        <f t="shared" si="1600"/>
        <v>0</v>
      </c>
      <c r="AL559" s="120">
        <f t="shared" si="1582"/>
        <v>0.29227659306779075</v>
      </c>
      <c r="AM559" s="120">
        <f t="shared" si="1583"/>
        <v>0.42327109649966521</v>
      </c>
      <c r="AN559" s="120">
        <f t="shared" si="1584"/>
        <v>0.2844523104325441</v>
      </c>
      <c r="AO559" s="120">
        <f t="shared" si="1588"/>
        <v>1.3612378667919863E-2</v>
      </c>
      <c r="AP559" s="173">
        <f t="shared" si="1604"/>
        <v>120.22866351865338</v>
      </c>
      <c r="AQ559" s="175">
        <f t="shared" si="1605"/>
        <v>1.3612378667919768E-2</v>
      </c>
      <c r="AR559" s="177">
        <f>+AC559/$AE$55</f>
        <v>4.26539537327495E-3</v>
      </c>
      <c r="AS559" s="177">
        <f t="shared" si="1601"/>
        <v>5.8062176989411605E-5</v>
      </c>
      <c r="AT559" s="177"/>
      <c r="AU559" s="177"/>
      <c r="AV559" s="177"/>
      <c r="AW559" s="190"/>
      <c r="AX559" s="120"/>
      <c r="AY559" s="120"/>
      <c r="AZ559" s="118">
        <f>IFERROR(INDEX('Total Customers'!$F$7:$AB$91,MATCH($C559,'Total Customers'!$D$7:$D$91,0),MATCH($G559,'Total Customers'!$F$5:$AB$5,0)),"NA")</f>
        <v>156581</v>
      </c>
      <c r="BA559" s="119">
        <f t="shared" si="1563"/>
        <v>1.506361710882626E-2</v>
      </c>
      <c r="BB559" s="119"/>
      <c r="BC559" s="121"/>
      <c r="BD559" s="119"/>
      <c r="BE559" s="119"/>
      <c r="BF559" s="119"/>
      <c r="BG559" s="173"/>
      <c r="BH559" s="173"/>
      <c r="BI559" s="173"/>
      <c r="BJ559" s="173"/>
      <c r="BK559" s="173"/>
      <c r="BL559" s="173"/>
      <c r="BM559" s="173"/>
      <c r="BN559" s="173"/>
      <c r="BO559" s="173"/>
      <c r="BP559" s="173"/>
      <c r="BQ559" s="118"/>
      <c r="BR559" s="118"/>
      <c r="BS559" s="118">
        <f>INDEX('Dist. Plant Gas Additions'!$F$7:$AE$91,MATCH($C559,'Dist. Plant Gas Additions'!$D$7:$D$91,0),MATCH(Calculation!$G559,'Dist. Plant Gas Additions'!$F$5:$AE$5,0))</f>
        <v>19801</v>
      </c>
      <c r="BT559" s="118">
        <f>INDEX('Gen. Plant Additions'!$F$7:$AE$91,MATCH($C559,'Gen. Plant Additions'!$D$7:$D$91,0),MATCH(Calculation!$G559,'Gen. Plant Additions'!$F$5:$AE$5,0))</f>
        <v>200</v>
      </c>
      <c r="BU559" s="118"/>
      <c r="BV559" s="118"/>
      <c r="BW559" s="118">
        <f>INDEX('Dist Plant Depreciation'!$E$7:$AD$94,MATCH($C559,'Dist Plant Depreciation'!$D$7:$D$94,0),MATCH(Calculation!$G559,'Dist Plant Depreciation'!$E$5:$AD$5,0))</f>
        <v>167411</v>
      </c>
      <c r="BX559" s="118">
        <f>INDEX('Gen. Plant Depreciation'!$E$7:$AD$94,MATCH($C559,'Gen. Plant Depreciation'!$D$7:$D$94,0),MATCH(Calculation!$G559,'Gen. Plant Depreciation'!$E$5:$AD$5,0))</f>
        <v>1531</v>
      </c>
      <c r="BY559" s="118"/>
      <c r="BZ559" s="118"/>
      <c r="CA559" s="118"/>
      <c r="CB559" s="118"/>
      <c r="CC559" s="118"/>
      <c r="CD559" s="118"/>
      <c r="CE559" s="118">
        <f>INDEX('Gross Dx Plant'!$E$7:$AD$91,MATCH($C559,'Gross Dx Plant'!$D$7:$D$91,0),MATCH(Calculation!$G559,'Gross Dx Plant'!$E$5:$AD$5,0))</f>
        <v>369290</v>
      </c>
      <c r="CF559" s="118">
        <f>INDEX('Gross Gen Plant'!$E$7:$AD$91,MATCH($C559,'Gross Gen Plant'!$D$7:$D$91,0),MATCH(Calculation!$G559,'Gross Gen Plant'!$E$5:$AD$5,0))</f>
        <v>3368</v>
      </c>
      <c r="CG559" s="118">
        <f t="shared" si="1516"/>
        <v>203716</v>
      </c>
      <c r="CH559" s="118"/>
      <c r="CI559" s="121">
        <v>2017</v>
      </c>
      <c r="CJ559" s="118"/>
      <c r="CK559" s="118"/>
      <c r="CL559" s="118"/>
      <c r="CM559" s="183"/>
      <c r="CN559" s="118">
        <f t="shared" si="1564"/>
        <v>20001</v>
      </c>
      <c r="CO559" s="118">
        <f t="shared" si="1565"/>
        <v>28.074392939233643</v>
      </c>
      <c r="CP559" s="186">
        <v>0.87074829931972786</v>
      </c>
      <c r="CQ559" s="118">
        <f>+CQ540*CP559+CO541*CP558+CO542*CP557+CO543*CP556+CO544*CP555+CO545*CP554+CO546*CP553+CO547*CP552+CO548*CP551+CO549*CP550+CO550*CP549+CO551*CP548+CO552*CP547+CO553*CP546+CO554*CP545+CO555*CP544+CO556*CP543+CO557*CP542+CO558*CP541+CO559</f>
        <v>755.16678107156577</v>
      </c>
      <c r="CR559" s="119">
        <f t="shared" si="1566"/>
        <v>2.922638004608202E-2</v>
      </c>
      <c r="CS559" s="119"/>
      <c r="CT559" s="177">
        <f t="shared" si="1567"/>
        <v>8.6213175443376235E-3</v>
      </c>
      <c r="CU559" s="177">
        <f t="shared" si="1575"/>
        <v>8.3537041976477645E-3</v>
      </c>
      <c r="CV559" s="119">
        <f>VLOOKUP($H559,RoR!$E:$F,2,FALSE)</f>
        <v>3.7433333333333339E-2</v>
      </c>
      <c r="CW559" s="177">
        <v>1.9056896421275615E-2</v>
      </c>
      <c r="CX559" s="177">
        <f t="shared" si="1573"/>
        <v>1.8376436912057724E-2</v>
      </c>
      <c r="CY559" s="177">
        <f t="shared" si="1576"/>
        <v>2.2548237410885859E-2</v>
      </c>
      <c r="CZ559" s="177">
        <f t="shared" si="1577"/>
        <v>1.3976271617800498E-2</v>
      </c>
      <c r="DA559" s="187">
        <f t="shared" si="1568"/>
        <v>0.90199375000000004</v>
      </c>
      <c r="DB559" s="188">
        <f t="shared" si="1569"/>
        <v>1.3699568463593395</v>
      </c>
      <c r="DC559" s="188">
        <f t="shared" si="1570"/>
        <v>0.30714603739982199</v>
      </c>
      <c r="DD559" s="188">
        <f t="shared" si="1571"/>
        <v>0.77007188472689425</v>
      </c>
      <c r="DE559" s="188">
        <f t="shared" si="1572"/>
        <v>0.32402839633793828</v>
      </c>
      <c r="DF559" s="189">
        <f>INDEX('State Tax Lookup'!$D$7:$Z$91,MATCH(Calculation!$C559,'State Tax Lookup'!$B$7:$B$91,0),MATCH($H559,'State Tax Lookup'!$D$6:$Z$6,0))</f>
        <v>0.26134999999999997</v>
      </c>
      <c r="DG559" s="189">
        <v>0.375</v>
      </c>
      <c r="DH559" s="190">
        <f t="shared" si="1574"/>
        <v>19.599308288422012</v>
      </c>
      <c r="DI559" s="190">
        <v>19.243515286778578</v>
      </c>
      <c r="DJ559" s="177"/>
      <c r="DK559" s="189">
        <f>VLOOKUP($H559,RoR!$E:$F,2,FALSE)</f>
        <v>3.7433333333333339E-2</v>
      </c>
      <c r="DL559" s="191">
        <f>HLOOKUP($H559,'GDP-PI'!$D$8:$CQ$11,3,FALSE)</f>
        <v>1.9056896421275615E-2</v>
      </c>
      <c r="DM559" s="189">
        <f>VLOOKUP(H559,'HW Dx Data'!$E:$F,2,FALSE)</f>
        <v>712.42858370229726</v>
      </c>
      <c r="DN559" s="183">
        <f>VLOOKUP(H559,'ECI - Input Price'!$G$17:$H$37,2,FALSE)</f>
        <v>129.5</v>
      </c>
      <c r="DO559" s="177">
        <f t="shared" ref="DO559" si="1624">LN(DN559/DN558)</f>
        <v>2.4229399426835413E-2</v>
      </c>
      <c r="DP559" s="183">
        <f>HLOOKUP(H559,'GDP-PI'!$8:$9,2,FALSE)</f>
        <v>107.751</v>
      </c>
      <c r="DQ559" s="177">
        <f t="shared" ref="DQ559" si="1625">LN(DP559/DP558)</f>
        <v>1.8877588227745139E-2</v>
      </c>
    </row>
    <row r="560" spans="1:121" s="167" customFormat="1" ht="21" x14ac:dyDescent="0.35">
      <c r="A560" s="167" t="s">
        <v>66</v>
      </c>
      <c r="B560" s="168" t="s">
        <v>66</v>
      </c>
      <c r="C560" s="168">
        <v>4008754</v>
      </c>
      <c r="D560" s="168" t="s">
        <v>144</v>
      </c>
      <c r="E560" s="168"/>
      <c r="F560" s="168"/>
      <c r="G560" s="168" t="s">
        <v>24</v>
      </c>
      <c r="H560" s="169">
        <v>2018</v>
      </c>
      <c r="I560" s="170"/>
      <c r="J560" s="166">
        <f>IFERROR(INDEX('Labor Expenditures'!$F$7:$X$91,MATCH($C560,'Labor Expenditures'!$D$7:$D$91,0),MATCH($G560,'Labor Expenditures'!$F$5:$X$5,0)),"NA")</f>
        <v>14706.131845461503</v>
      </c>
      <c r="K560" s="166">
        <f t="shared" si="1580"/>
        <v>110.36496694530209</v>
      </c>
      <c r="L560" s="172">
        <f t="shared" si="1587"/>
        <v>-3.2867861703563414E-2</v>
      </c>
      <c r="M560" s="172">
        <f t="shared" si="1591"/>
        <v>-1.3136097676624456E-4</v>
      </c>
      <c r="N560" s="196"/>
      <c r="O560" s="172"/>
      <c r="P560" s="166">
        <f>IFERROR(INDEX('Non-Labor Expenditures'!$F$7:$AB$91,MATCH($C560,'Non-Labor Expenditures'!$D$7:$D$91,0),MATCH($G560,'Non-Labor Expenditures'!$F$5:$AB$5,0)),"NA")</f>
        <v>21297.225638774915</v>
      </c>
      <c r="Q560" s="166">
        <f t="shared" si="1581"/>
        <v>193.04604375169879</v>
      </c>
      <c r="R560" s="172">
        <f t="shared" si="1592"/>
        <v>-2.7902032513710644E-2</v>
      </c>
      <c r="S560" s="172">
        <f t="shared" si="1597"/>
        <v>-1.115143503347275E-4</v>
      </c>
      <c r="T560" s="172"/>
      <c r="U560" s="172"/>
      <c r="V560" s="166">
        <f t="shared" si="1562"/>
        <v>15481.675426313372</v>
      </c>
      <c r="W560" s="170"/>
      <c r="X560" s="174">
        <v>779.97087370371935</v>
      </c>
      <c r="Y560" s="175">
        <v>3.2317950645645174E-2</v>
      </c>
      <c r="Z560" s="175">
        <f t="shared" si="1598"/>
        <v>1.2916318080512587E-4</v>
      </c>
      <c r="AA560" s="175"/>
      <c r="AB560" s="175"/>
      <c r="AC560" s="170">
        <f t="shared" si="1475"/>
        <v>51485.032910549788</v>
      </c>
      <c r="AD560" s="175">
        <f t="shared" si="1593"/>
        <v>1.8650234858044731E-2</v>
      </c>
      <c r="AE560" s="170"/>
      <c r="AF560" s="170"/>
      <c r="AG560" s="121">
        <f t="shared" si="1594"/>
        <v>322.45659919550178</v>
      </c>
      <c r="AH560" s="119">
        <f>+AZ560/$BB$56</f>
        <v>4.2161112089012668E-3</v>
      </c>
      <c r="AI560" s="119"/>
      <c r="AJ560" s="176">
        <f t="shared" si="1599"/>
        <v>1.3595128822523384</v>
      </c>
      <c r="AK560" s="176">
        <f t="shared" si="1600"/>
        <v>0</v>
      </c>
      <c r="AL560" s="120">
        <f t="shared" si="1582"/>
        <v>0.28563897144655553</v>
      </c>
      <c r="AM560" s="120">
        <f t="shared" si="1583"/>
        <v>0.41365858065540645</v>
      </c>
      <c r="AN560" s="120">
        <f t="shared" si="1584"/>
        <v>0.30070244789803807</v>
      </c>
      <c r="AO560" s="120">
        <f t="shared" si="1588"/>
        <v>-1.1717942657336146E-2</v>
      </c>
      <c r="AP560" s="173">
        <f t="shared" si="1604"/>
        <v>118.82805309654849</v>
      </c>
      <c r="AQ560" s="175">
        <f t="shared" si="1605"/>
        <v>-1.1717942657336106E-2</v>
      </c>
      <c r="AR560" s="177">
        <f>+AC560/$AE$56</f>
        <v>3.9966389645604136E-3</v>
      </c>
      <c r="AS560" s="177">
        <f t="shared" si="1601"/>
        <v>-4.6832386208794073E-5</v>
      </c>
      <c r="AT560" s="177"/>
      <c r="AU560" s="177"/>
      <c r="AV560" s="177"/>
      <c r="AW560" s="190"/>
      <c r="AX560" s="120"/>
      <c r="AY560" s="120"/>
      <c r="AZ560" s="118">
        <f>IFERROR(INDEX('Total Customers'!$F$7:$AB$91,MATCH($C560,'Total Customers'!$D$7:$D$91,0),MATCH($G560,'Total Customers'!$F$5:$AB$5,0)),"NA")</f>
        <v>159665</v>
      </c>
      <c r="BA560" s="119">
        <f t="shared" si="1563"/>
        <v>1.9504422303901914E-2</v>
      </c>
      <c r="BB560" s="119"/>
      <c r="BC560" s="121"/>
      <c r="BD560" s="119"/>
      <c r="BE560" s="119"/>
      <c r="BF560" s="119"/>
      <c r="BG560" s="173"/>
      <c r="BH560" s="173"/>
      <c r="BI560" s="173"/>
      <c r="BJ560" s="173"/>
      <c r="BK560" s="173"/>
      <c r="BL560" s="173"/>
      <c r="BM560" s="173"/>
      <c r="BN560" s="173"/>
      <c r="BO560" s="173"/>
      <c r="BP560" s="173"/>
      <c r="BQ560" s="118"/>
      <c r="BR560" s="118"/>
      <c r="BS560" s="118">
        <f>INDEX('Dist. Plant Gas Additions'!$F$7:$AE$91,MATCH($C560,'Dist. Plant Gas Additions'!$D$7:$D$91,0),MATCH(Calculation!$G560,'Dist. Plant Gas Additions'!$F$5:$AE$5,0))</f>
        <v>23442</v>
      </c>
      <c r="BT560" s="118">
        <f>INDEX('Gen. Plant Additions'!$F$7:$AE$91,MATCH($C560,'Gen. Plant Additions'!$D$7:$D$91,0),MATCH(Calculation!$G560,'Gen. Plant Additions'!$F$5:$AE$5,0))</f>
        <v>355</v>
      </c>
      <c r="BU560" s="118"/>
      <c r="BV560" s="118"/>
      <c r="BW560" s="118">
        <f>INDEX('Dist Plant Depreciation'!$E$7:$AD$94,MATCH($C560,'Dist Plant Depreciation'!$D$7:$D$94,0),MATCH(Calculation!$G560,'Dist Plant Depreciation'!$E$5:$AD$5,0))</f>
        <v>170808</v>
      </c>
      <c r="BX560" s="118">
        <f>INDEX('Gen. Plant Depreciation'!$E$7:$AD$94,MATCH($C560,'Gen. Plant Depreciation'!$D$7:$D$94,0),MATCH(Calculation!$G560,'Gen. Plant Depreciation'!$E$5:$AD$5,0))</f>
        <v>1640</v>
      </c>
      <c r="BY560" s="118"/>
      <c r="BZ560" s="118"/>
      <c r="CA560" s="118"/>
      <c r="CB560" s="118"/>
      <c r="CC560" s="118"/>
      <c r="CD560" s="118"/>
      <c r="CE560" s="118">
        <f>INDEX('Gross Dx Plant'!$E$7:$AD$91,MATCH($C560,'Gross Dx Plant'!$D$7:$D$91,0),MATCH(Calculation!$G560,'Gross Dx Plant'!$E$5:$AD$5,0))</f>
        <v>389525</v>
      </c>
      <c r="CF560" s="118">
        <f>INDEX('Gross Gen Plant'!$E$7:$AD$91,MATCH($C560,'Gross Gen Plant'!$D$7:$D$91,0),MATCH(Calculation!$G560,'Gross Gen Plant'!$E$5:$AD$5,0))</f>
        <v>3569</v>
      </c>
      <c r="CG560" s="118">
        <f t="shared" si="1516"/>
        <v>220646</v>
      </c>
      <c r="CH560" s="118"/>
      <c r="CI560" s="121">
        <v>2018</v>
      </c>
      <c r="CJ560" s="118"/>
      <c r="CK560" s="118"/>
      <c r="CL560" s="118"/>
      <c r="CM560" s="183"/>
      <c r="CN560" s="118">
        <f t="shared" si="1564"/>
        <v>23797</v>
      </c>
      <c r="CO560" s="118">
        <f t="shared" si="1565"/>
        <v>31.513498877807592</v>
      </c>
      <c r="CP560" s="186">
        <v>0.86111111111111116</v>
      </c>
      <c r="CQ560" s="118">
        <f>+CQ540*CP560++CO541*CP559+CO542*CP558+CO543*CP557+CO544*CP556+CO545*CP555+CO546*CP554+CO547*CP553+CO548*CP552+CO549*CP551+CO550*CP550+CO551*CP549+CO552*CP548+CO553*CP547+CO554*CP546+CO555*CP545+CO556*CP544+CO557*CP543+CO558*CP542+CO559*CP541+CO560</f>
        <v>779.97087370371935</v>
      </c>
      <c r="CR560" s="119">
        <f t="shared" si="1566"/>
        <v>3.2317950645645174E-2</v>
      </c>
      <c r="CS560" s="119"/>
      <c r="CT560" s="177">
        <f t="shared" si="1567"/>
        <v>8.8846681472581485E-3</v>
      </c>
      <c r="CU560" s="177">
        <f t="shared" si="1575"/>
        <v>8.6189469457886962E-3</v>
      </c>
      <c r="CV560" s="119">
        <f>VLOOKUP($H560,RoR!$E:$F,2,FALSE)</f>
        <v>3.9299999999999995E-2</v>
      </c>
      <c r="CW560" s="177">
        <v>2.386056741932796E-2</v>
      </c>
      <c r="CX560" s="177">
        <f t="shared" si="1573"/>
        <v>1.5439432580672034E-2</v>
      </c>
      <c r="CY560" s="177">
        <f t="shared" si="1576"/>
        <v>2.2282994662744929E-2</v>
      </c>
      <c r="CZ560" s="177">
        <f t="shared" si="1577"/>
        <v>3.8270792163076606E-2</v>
      </c>
      <c r="DA560" s="187">
        <f t="shared" si="1568"/>
        <v>0.90199375000000004</v>
      </c>
      <c r="DB560" s="188">
        <f t="shared" si="1569"/>
        <v>1.3048868010700074</v>
      </c>
      <c r="DC560" s="188">
        <f t="shared" si="1570"/>
        <v>0.33886768447837151</v>
      </c>
      <c r="DD560" s="188">
        <f t="shared" si="1571"/>
        <v>0.78602506232557801</v>
      </c>
      <c r="DE560" s="188">
        <f t="shared" si="1572"/>
        <v>0.34756768162358759</v>
      </c>
      <c r="DF560" s="189">
        <f>INDEX('State Tax Lookup'!$D$7:$Z$91,MATCH(Calculation!$C560,'State Tax Lookup'!$B$7:$B$91,0),MATCH($H560,'State Tax Lookup'!$D$6:$Z$6,0))</f>
        <v>0.26134999999999997</v>
      </c>
      <c r="DG560" s="189">
        <v>0.375</v>
      </c>
      <c r="DH560" s="190">
        <f t="shared" si="1574"/>
        <v>20.501001652039303</v>
      </c>
      <c r="DI560" s="190">
        <v>20.14267695865826</v>
      </c>
      <c r="DJ560" s="177"/>
      <c r="DK560" s="189">
        <f>VLOOKUP($H560,RoR!$E:$F,2,FALSE)</f>
        <v>3.9299999999999995E-2</v>
      </c>
      <c r="DL560" s="191">
        <f>HLOOKUP($H560,'GDP-PI'!$D$8:$CQ$11,3,FALSE)</f>
        <v>2.386056741932796E-2</v>
      </c>
      <c r="DM560" s="189">
        <f>VLOOKUP(H560,'HW Dx Data'!$E:$F,2,FALSE)</f>
        <v>755.13671434174842</v>
      </c>
      <c r="DN560" s="183">
        <f>VLOOKUP(H560,'ECI - Input Price'!$G$17:$H$37,2,FALSE)</f>
        <v>133.25</v>
      </c>
      <c r="DO560" s="177">
        <f t="shared" ref="DO560" si="1626">LN(DN560/DN559)</f>
        <v>2.8546181906361531E-2</v>
      </c>
      <c r="DP560" s="183">
        <f>HLOOKUP(H560,'GDP-PI'!$8:$9,2,FALSE)</f>
        <v>110.322</v>
      </c>
      <c r="DQ560" s="177">
        <f t="shared" ref="DQ560" si="1627">LN(DP560/DP559)</f>
        <v>2.3580352716508712E-2</v>
      </c>
    </row>
    <row r="561" spans="1:121" s="167" customFormat="1" ht="21" x14ac:dyDescent="0.35">
      <c r="A561" s="167" t="s">
        <v>66</v>
      </c>
      <c r="B561" s="168" t="s">
        <v>66</v>
      </c>
      <c r="C561" s="168">
        <v>4008754</v>
      </c>
      <c r="D561" s="168" t="s">
        <v>144</v>
      </c>
      <c r="E561" s="168"/>
      <c r="F561" s="168"/>
      <c r="G561" s="168" t="s">
        <v>25</v>
      </c>
      <c r="H561" s="169">
        <v>2019</v>
      </c>
      <c r="I561" s="170"/>
      <c r="J561" s="166">
        <f>IFERROR(INDEX('Labor Expenditures'!$F$7:$X$91,MATCH($C561,'Labor Expenditures'!$D$7:$D$91,0),MATCH($G561,'Labor Expenditures'!$F$5:$X$5,0)),"NA")</f>
        <v>16335.394915648687</v>
      </c>
      <c r="K561" s="166">
        <f t="shared" si="1580"/>
        <v>119.36715320167109</v>
      </c>
      <c r="L561" s="172">
        <f t="shared" si="1587"/>
        <v>7.8411309208723606E-2</v>
      </c>
      <c r="M561" s="172">
        <f t="shared" si="1591"/>
        <v>3.3151358423440849E-4</v>
      </c>
      <c r="N561" s="196"/>
      <c r="O561" s="172"/>
      <c r="P561" s="166">
        <f>IFERROR(INDEX('Non-Labor Expenditures'!$F$7:$AB$91,MATCH($C561,'Non-Labor Expenditures'!$D$7:$D$91,0),MATCH($G561,'Non-Labor Expenditures'!$F$5:$AB$5,0)),"NA")</f>
        <v>23656.702868771878</v>
      </c>
      <c r="Q561" s="166">
        <f t="shared" si="1581"/>
        <v>210.622543748748</v>
      </c>
      <c r="R561" s="172">
        <f t="shared" si="1592"/>
        <v>8.7138910198055766E-2</v>
      </c>
      <c r="S561" s="172">
        <f t="shared" si="1597"/>
        <v>3.6841283148507647E-4</v>
      </c>
      <c r="T561" s="172"/>
      <c r="U561" s="172"/>
      <c r="V561" s="166">
        <f t="shared" si="1562"/>
        <v>16176.286827496806</v>
      </c>
      <c r="W561" s="170"/>
      <c r="X561" s="174">
        <v>799.84459766346913</v>
      </c>
      <c r="Y561" s="175">
        <v>2.5160878296779616E-2</v>
      </c>
      <c r="Z561" s="175">
        <f t="shared" si="1598"/>
        <v>1.0637716715643305E-4</v>
      </c>
      <c r="AA561" s="175"/>
      <c r="AB561" s="175"/>
      <c r="AC561" s="170">
        <f t="shared" si="1475"/>
        <v>56168.384611917369</v>
      </c>
      <c r="AD561" s="175">
        <f t="shared" si="1593"/>
        <v>8.7062904884380551E-2</v>
      </c>
      <c r="AE561" s="170"/>
      <c r="AF561" s="170"/>
      <c r="AG561" s="121">
        <f t="shared" si="1594"/>
        <v>344.96167426327264</v>
      </c>
      <c r="AH561" s="119">
        <f>+AZ561/$BB$57</f>
        <v>4.2643783077249767E-3</v>
      </c>
      <c r="AI561" s="119"/>
      <c r="AJ561" s="176">
        <f t="shared" si="1599"/>
        <v>1.4710470807247893</v>
      </c>
      <c r="AK561" s="176">
        <f t="shared" si="1600"/>
        <v>0</v>
      </c>
      <c r="AL561" s="120">
        <f t="shared" si="1582"/>
        <v>0.29082899621405117</v>
      </c>
      <c r="AM561" s="120">
        <f t="shared" si="1583"/>
        <v>0.42117470588165329</v>
      </c>
      <c r="AN561" s="120">
        <f t="shared" si="1584"/>
        <v>0.2879962979042956</v>
      </c>
      <c r="AO561" s="120">
        <f t="shared" si="1588"/>
        <v>6.6380124171830118E-2</v>
      </c>
      <c r="AP561" s="173">
        <f t="shared" si="1604"/>
        <v>126.98356141462757</v>
      </c>
      <c r="AQ561" s="175">
        <f t="shared" si="1605"/>
        <v>6.6380124171830104E-2</v>
      </c>
      <c r="AR561" s="177">
        <f>+AC561/$AE$57</f>
        <v>4.2278797227061999E-3</v>
      </c>
      <c r="AS561" s="177">
        <f t="shared" si="1601"/>
        <v>2.8064718097680019E-4</v>
      </c>
      <c r="AT561" s="177"/>
      <c r="AU561" s="177"/>
      <c r="AV561" s="177"/>
      <c r="AW561" s="190"/>
      <c r="AX561" s="120"/>
      <c r="AY561" s="120"/>
      <c r="AZ561" s="118">
        <f>IFERROR(INDEX('Total Customers'!$F$7:$AB$91,MATCH($C561,'Total Customers'!$D$7:$D$91,0),MATCH($G561,'Total Customers'!$F$5:$AB$5,0)),"NA")</f>
        <v>162825</v>
      </c>
      <c r="BA561" s="119">
        <f t="shared" si="1563"/>
        <v>1.9598134157501394E-2</v>
      </c>
      <c r="BB561" s="119"/>
      <c r="BC561" s="121"/>
      <c r="BD561" s="119"/>
      <c r="BE561" s="119"/>
      <c r="BF561" s="119"/>
      <c r="BG561" s="173"/>
      <c r="BH561" s="173"/>
      <c r="BI561" s="173"/>
      <c r="BJ561" s="173"/>
      <c r="BK561" s="173"/>
      <c r="BL561" s="173"/>
      <c r="BM561" s="173"/>
      <c r="BN561" s="173"/>
      <c r="BO561" s="173"/>
      <c r="BP561" s="173"/>
      <c r="BQ561" s="118"/>
      <c r="BR561" s="118"/>
      <c r="BS561" s="118">
        <f>INDEX('Dist. Plant Gas Additions'!$F$7:$AE$91,MATCH($C561,'Dist. Plant Gas Additions'!$D$7:$D$91,0),MATCH(Calculation!$G561,'Dist. Plant Gas Additions'!$F$5:$AE$5,0))</f>
        <v>20698</v>
      </c>
      <c r="BT561" s="118">
        <f>INDEX('Gen. Plant Additions'!$F$7:$AE$91,MATCH($C561,'Gen. Plant Additions'!$D$7:$D$91,0),MATCH(Calculation!$G561,'Gen. Plant Additions'!$F$5:$AE$5,0))</f>
        <v>192</v>
      </c>
      <c r="BU561" s="118"/>
      <c r="BV561" s="118"/>
      <c r="BW561" s="118">
        <f>INDEX('Dist Plant Depreciation'!$E$7:$AD$94,MATCH($C561,'Dist Plant Depreciation'!$D$7:$D$94,0),MATCH(Calculation!$G561,'Dist Plant Depreciation'!$E$5:$AD$5,0))</f>
        <v>175337</v>
      </c>
      <c r="BX561" s="118">
        <f>INDEX('Gen. Plant Depreciation'!$E$7:$AD$94,MATCH($C561,'Gen. Plant Depreciation'!$D$7:$D$94,0),MATCH(Calculation!$G561,'Gen. Plant Depreciation'!$E$5:$AD$5,0))</f>
        <v>2479</v>
      </c>
      <c r="BY561" s="118"/>
      <c r="BZ561" s="118"/>
      <c r="CA561" s="118"/>
      <c r="CB561" s="118"/>
      <c r="CC561" s="118"/>
      <c r="CD561" s="118"/>
      <c r="CE561" s="118">
        <f>INDEX('Gross Dx Plant'!$E$7:$AD$91,MATCH($C561,'Gross Dx Plant'!$D$7:$D$91,0),MATCH(Calculation!$G561,'Gross Dx Plant'!$E$5:$AD$5,0))</f>
        <v>407795</v>
      </c>
      <c r="CF561" s="118">
        <f>INDEX('Gross Gen Plant'!$E$7:$AD$91,MATCH($C561,'Gross Gen Plant'!$D$7:$D$91,0),MATCH(Calculation!$G561,'Gross Gen Plant'!$E$5:$AD$5,0))</f>
        <v>5626</v>
      </c>
      <c r="CG561" s="118">
        <f t="shared" si="1516"/>
        <v>235605</v>
      </c>
      <c r="CH561" s="118"/>
      <c r="CI561" s="121">
        <v>2019</v>
      </c>
      <c r="CJ561" s="118"/>
      <c r="CK561" s="118"/>
      <c r="CL561" s="118"/>
      <c r="CM561" s="183"/>
      <c r="CN561" s="118">
        <f t="shared" si="1564"/>
        <v>20890</v>
      </c>
      <c r="CO561" s="118">
        <f t="shared" si="1565"/>
        <v>27.005738500485197</v>
      </c>
      <c r="CP561" s="186">
        <v>0.85106382978723405</v>
      </c>
      <c r="CQ561" s="118">
        <f>CQ540*CP561+CO541*CP560+CO542*CP559+CO543*CP558+CO544*CP557+CO545*CP556+CO546*CP555+CO547*CP554+CO548*CP553+CO549*CP552+CO550*CP551+CO551*CP550+CO552*CP549+CO553*CP548+CO554*CP547+CO555*CP546+CO556*CP545+CO557*CP544+CO558*CP543+CO559*CP542+CO560*CP541+CO561</f>
        <v>799.84459766346913</v>
      </c>
      <c r="CR561" s="119">
        <f t="shared" si="1566"/>
        <v>2.5160878296779616E-2</v>
      </c>
      <c r="CS561" s="119"/>
      <c r="CT561" s="177">
        <f t="shared" si="1567"/>
        <v>9.1439498334967197E-3</v>
      </c>
      <c r="CU561" s="177">
        <f t="shared" si="1575"/>
        <v>8.8833118416974978E-3</v>
      </c>
      <c r="CV561" s="119">
        <f>VLOOKUP($H561,RoR!$E:$F,2,FALSE)</f>
        <v>3.3875000000000009E-2</v>
      </c>
      <c r="CW561" s="177">
        <v>1.8092492884465461E-2</v>
      </c>
      <c r="CX561" s="177">
        <f t="shared" si="1573"/>
        <v>1.5782507115534548E-2</v>
      </c>
      <c r="CY561" s="177">
        <f t="shared" si="1576"/>
        <v>2.2018629766836127E-2</v>
      </c>
      <c r="CZ561" s="177">
        <f t="shared" si="1577"/>
        <v>4.8445665544254078E-2</v>
      </c>
      <c r="DA561" s="187">
        <f t="shared" si="1568"/>
        <v>0.90199375000000004</v>
      </c>
      <c r="DB561" s="188">
        <f t="shared" si="1569"/>
        <v>1.513861292459078</v>
      </c>
      <c r="DC561" s="188">
        <f t="shared" si="1570"/>
        <v>0.23699261992619944</v>
      </c>
      <c r="DD561" s="188">
        <f t="shared" si="1571"/>
        <v>0.73619765810468829</v>
      </c>
      <c r="DE561" s="188">
        <f t="shared" si="1572"/>
        <v>0.26412854465362851</v>
      </c>
      <c r="DF561" s="189">
        <f>INDEX('State Tax Lookup'!$D$7:$Z$91,MATCH(Calculation!$C561,'State Tax Lookup'!$B$7:$B$91,0),MATCH($H561,'State Tax Lookup'!$D$6:$Z$6,0))</f>
        <v>0.26134999999999997</v>
      </c>
      <c r="DG561" s="189">
        <v>0.375</v>
      </c>
      <c r="DH561" s="190">
        <f t="shared" si="1574"/>
        <v>20.739603711973416</v>
      </c>
      <c r="DI561" s="190">
        <v>20.388539378191542</v>
      </c>
      <c r="DJ561" s="177"/>
      <c r="DK561" s="189">
        <f>VLOOKUP($H561,RoR!$E:$F,2,FALSE)</f>
        <v>3.3875000000000009E-2</v>
      </c>
      <c r="DL561" s="191">
        <f>HLOOKUP($H561,'GDP-PI'!$D$8:$CQ$11,3,FALSE)</f>
        <v>1.8092492884465461E-2</v>
      </c>
      <c r="DM561" s="189">
        <f>VLOOKUP(H561,'HW Dx Data'!$E:$F,2,FALSE)</f>
        <v>773.53929793938721</v>
      </c>
      <c r="DN561" s="183">
        <f>VLOOKUP(H561,'ECI - Input Price'!$G$17:$H$37,2,FALSE)</f>
        <v>136.85</v>
      </c>
      <c r="DO561" s="177">
        <f t="shared" ref="DO561" si="1628">LN(DN561/DN560)</f>
        <v>2.6658372440734168E-2</v>
      </c>
      <c r="DP561" s="183">
        <f>HLOOKUP(H561,'GDP-PI'!$8:$9,2,FALSE)</f>
        <v>112.318</v>
      </c>
      <c r="DQ561" s="177">
        <f t="shared" ref="DQ561" si="1629">LN(DP561/DP560)</f>
        <v>1.7930771451401852E-2</v>
      </c>
    </row>
    <row r="562" spans="1:121" s="167" customFormat="1" ht="21" x14ac:dyDescent="0.35">
      <c r="A562" s="167" t="s">
        <v>66</v>
      </c>
      <c r="B562" s="167" t="s">
        <v>66</v>
      </c>
      <c r="C562" s="167">
        <v>4008754</v>
      </c>
      <c r="D562" s="167" t="s">
        <v>144</v>
      </c>
      <c r="G562" s="168" t="s">
        <v>26</v>
      </c>
      <c r="H562" s="169">
        <v>2020</v>
      </c>
      <c r="I562" s="170"/>
      <c r="J562" s="166">
        <f>IFERROR(INDEX('Labor Expenditures'!$F$7:$X$91,MATCH($C562,'Labor Expenditures'!$D$7:$D$91,0),MATCH($G562,'Labor Expenditures'!$F$5:$X$5,0)),"NA")</f>
        <v>16863.034662261791</v>
      </c>
      <c r="K562" s="166">
        <f t="shared" si="1580"/>
        <v>120.06432653799781</v>
      </c>
      <c r="L562" s="172">
        <f t="shared" si="1587"/>
        <v>5.8235893410749362E-3</v>
      </c>
      <c r="M562" s="172">
        <f t="shared" si="1591"/>
        <v>2.487672599418895E-5</v>
      </c>
      <c r="N562" s="196"/>
      <c r="O562" s="172"/>
      <c r="P562" s="166">
        <f>IFERROR(INDEX('Non-Labor Expenditures'!$F$7:$AB$91,MATCH($C562,'Non-Labor Expenditures'!$D$7:$D$91,0),MATCH($G562,'Non-Labor Expenditures'!$F$5:$AB$5,0)),"NA")</f>
        <v>24420.823771378451</v>
      </c>
      <c r="Q562" s="166">
        <f t="shared" si="1581"/>
        <v>214.92852478264479</v>
      </c>
      <c r="R562" s="172">
        <f t="shared" si="1592"/>
        <v>2.0237890673246432E-2</v>
      </c>
      <c r="S562" s="172">
        <f t="shared" si="1597"/>
        <v>8.6450543040140742E-5</v>
      </c>
      <c r="T562" s="172"/>
      <c r="U562" s="172"/>
      <c r="V562" s="166">
        <f t="shared" si="1562"/>
        <v>17224.437260466264</v>
      </c>
      <c r="W562" s="170"/>
      <c r="X562" s="174">
        <v>821.99814735314169</v>
      </c>
      <c r="Y562" s="175">
        <v>2.7320685347623757E-2</v>
      </c>
      <c r="Z562" s="175">
        <f t="shared" si="1598"/>
        <v>1.1670623795063774E-4</v>
      </c>
      <c r="AA562" s="175"/>
      <c r="AB562" s="175"/>
      <c r="AC562" s="170">
        <f t="shared" si="1475"/>
        <v>58508.295694106506</v>
      </c>
      <c r="AD562" s="175">
        <f t="shared" si="1593"/>
        <v>4.0814503702174987E-2</v>
      </c>
      <c r="AE562" s="170"/>
      <c r="AF562" s="170"/>
      <c r="AG562" s="121">
        <f t="shared" si="1594"/>
        <v>352.74435806076292</v>
      </c>
      <c r="AH562" s="119">
        <f>+AZ562/$BB$58</f>
        <v>4.3134807703630223E-3</v>
      </c>
      <c r="AI562" s="119"/>
      <c r="AJ562" s="176">
        <f t="shared" si="1599"/>
        <v>1.5215560053491495</v>
      </c>
      <c r="AK562" s="176">
        <f t="shared" si="1600"/>
        <v>0</v>
      </c>
      <c r="AL562" s="120">
        <f t="shared" si="1582"/>
        <v>0.28821613178454608</v>
      </c>
      <c r="AM562" s="120">
        <f t="shared" si="1583"/>
        <v>0.41739079017197112</v>
      </c>
      <c r="AN562" s="120">
        <f t="shared" si="1584"/>
        <v>0.2943930780434828</v>
      </c>
      <c r="AO562" s="120">
        <f t="shared" si="1588"/>
        <v>1.8127097378486064E-2</v>
      </c>
      <c r="AP562" s="173">
        <f t="shared" si="1604"/>
        <v>129.3063943018837</v>
      </c>
      <c r="AQ562" s="175">
        <f t="shared" si="1605"/>
        <v>1.8127097378486095E-2</v>
      </c>
      <c r="AR562" s="177">
        <f>+AC562/$AE$58</f>
        <v>4.2717170695276271E-3</v>
      </c>
      <c r="AS562" s="177">
        <f t="shared" si="1601"/>
        <v>7.7433831292668547E-5</v>
      </c>
      <c r="AT562" s="177"/>
      <c r="AU562" s="177"/>
      <c r="AV562" s="177"/>
      <c r="AW562" s="190"/>
      <c r="AX562" s="120"/>
      <c r="AY562" s="120"/>
      <c r="AZ562" s="118">
        <f>IFERROR(INDEX('Total Customers'!$F$7:$AB$91,MATCH($C562,'Total Customers'!$D$7:$D$91,0),MATCH($G562,'Total Customers'!$F$5:$AB$5,0)),"NA")</f>
        <v>165866</v>
      </c>
      <c r="BA562" s="119">
        <f t="shared" si="1563"/>
        <v>1.8504229023712938E-2</v>
      </c>
      <c r="BB562" s="119"/>
      <c r="BC562" s="121"/>
      <c r="BD562" s="119"/>
      <c r="BE562" s="119"/>
      <c r="BF562" s="119"/>
      <c r="BG562" s="173"/>
      <c r="BH562" s="173"/>
      <c r="BI562" s="173"/>
      <c r="BJ562" s="173"/>
      <c r="BK562" s="173"/>
      <c r="BL562" s="173"/>
      <c r="BM562" s="173"/>
      <c r="BN562" s="173"/>
      <c r="BO562" s="173"/>
      <c r="BP562" s="173"/>
      <c r="BQ562" s="118"/>
      <c r="BR562" s="118"/>
      <c r="BS562" s="118">
        <f>INDEX('Dist. Plant Gas Additions'!$F$7:$AE$91,MATCH($C562,'Dist. Plant Gas Additions'!$D$7:$D$91,0),MATCH(Calculation!$G562,'Dist. Plant Gas Additions'!$F$5:$AE$5,0))</f>
        <v>23919</v>
      </c>
      <c r="BT562" s="118">
        <f>INDEX('Gen. Plant Additions'!$F$7:$AE$91,MATCH($C562,'Gen. Plant Additions'!$D$7:$D$91,0),MATCH(Calculation!$G562,'Gen. Plant Additions'!$F$5:$AE$5,0))</f>
        <v>235</v>
      </c>
      <c r="BU562" s="118"/>
      <c r="BV562" s="118"/>
      <c r="BW562" s="118">
        <f>INDEX('Dist Plant Depreciation'!$E$7:$AD$94,MATCH($C562,'Dist Plant Depreciation'!$D$7:$D$94,0),MATCH(Calculation!$G562,'Dist Plant Depreciation'!$E$5:$AD$5,0))</f>
        <v>179298</v>
      </c>
      <c r="BX562" s="118">
        <f>INDEX('Gen. Plant Depreciation'!$E$7:$AD$94,MATCH($C562,'Gen. Plant Depreciation'!$D$7:$D$94,0),MATCH(Calculation!$G562,'Gen. Plant Depreciation'!$E$5:$AD$5,0))</f>
        <v>2851</v>
      </c>
      <c r="BY562" s="118"/>
      <c r="BZ562" s="118"/>
      <c r="CA562" s="118"/>
      <c r="CB562" s="118"/>
      <c r="CC562" s="118"/>
      <c r="CD562" s="118"/>
      <c r="CE562" s="118">
        <f>INDEX('Gross Dx Plant'!$E$7:$AD$91,MATCH($C562,'Gross Dx Plant'!$D$7:$D$91,0),MATCH(Calculation!$G562,'Gross Dx Plant'!$E$5:$AD$5,0))</f>
        <v>428405</v>
      </c>
      <c r="CF562" s="118">
        <f>INDEX('Gross Gen Plant'!$E$7:$AD$91,MATCH($C562,'Gross Gen Plant'!$D$7:$D$91,0),MATCH(Calculation!$G562,'Gross Gen Plant'!$E$5:$AD$5,0))</f>
        <v>6091</v>
      </c>
      <c r="CG562" s="118">
        <f t="shared" si="1516"/>
        <v>252347</v>
      </c>
      <c r="CH562" s="118"/>
      <c r="CI562" s="121">
        <v>2020</v>
      </c>
      <c r="CJ562" s="118"/>
      <c r="CK562" s="118"/>
      <c r="CL562" s="118"/>
      <c r="CM562" s="183"/>
      <c r="CN562" s="118">
        <f t="shared" si="1564"/>
        <v>24154</v>
      </c>
      <c r="CO562" s="118">
        <f t="shared" si="1565"/>
        <v>29.706787983802197</v>
      </c>
      <c r="CP562" s="186">
        <v>0.84057971014492749</v>
      </c>
      <c r="CQ562" s="118">
        <f>CQ540*CP562+CO541*CP561+CO542*CP560+CO543*CP559+CO544*CP558+CO545*CP557+CO546*CP556+CO547*CP555+CO548*CP554+CO549*CP553+CO550*CP552+CO551*CP551+CO552*CP550+CO553*CP549+CO554*CP548+CO555*CP547+CO556*CP546+CO557*CP545+CO558*CP544+CO559*CP543+CO560*CP542+CO561*CP541+CO562</f>
        <v>821.99814735314169</v>
      </c>
      <c r="CR562" s="119">
        <f t="shared" si="1566"/>
        <v>2.7320685347623757E-2</v>
      </c>
      <c r="CS562" s="119"/>
      <c r="CT562" s="177">
        <f t="shared" si="1567"/>
        <v>9.4433822722493743E-3</v>
      </c>
      <c r="CU562" s="177">
        <f t="shared" si="1575"/>
        <v>9.1573334176680808E-3</v>
      </c>
      <c r="CV562" s="119">
        <f>VLOOKUP($H562,RoR!$E:$F,2,FALSE)</f>
        <v>2.4766666666666666E-2</v>
      </c>
      <c r="CW562" s="177">
        <v>1.1618796630994188E-2</v>
      </c>
      <c r="CX562" s="177">
        <f t="shared" si="1573"/>
        <v>1.3147870035672478E-2</v>
      </c>
      <c r="CY562" s="177">
        <f t="shared" si="1576"/>
        <v>2.1744608190865544E-2</v>
      </c>
      <c r="CZ562" s="177">
        <f t="shared" si="1577"/>
        <v>4.5144642961987357E-2</v>
      </c>
      <c r="DA562" s="187">
        <f t="shared" si="1568"/>
        <v>0.90199375000000004</v>
      </c>
      <c r="DB562" s="188">
        <f t="shared" si="1569"/>
        <v>2.0706077233668081</v>
      </c>
      <c r="DC562" s="188">
        <f t="shared" si="1570"/>
        <v>-3.4421265141318998E-2</v>
      </c>
      <c r="DD562" s="188">
        <f t="shared" si="1571"/>
        <v>0.62416226176410472</v>
      </c>
      <c r="DE562" s="188">
        <f t="shared" si="1572"/>
        <v>-4.4485877841158712E-2</v>
      </c>
      <c r="DF562" s="189">
        <f>INDEX('State Tax Lookup'!$D$7:$Z$91,MATCH(Calculation!$C562,'State Tax Lookup'!$B$7:$B$91,0),MATCH($H562,'State Tax Lookup'!$D$6:$Z$6,0))</f>
        <v>0.26134999999999997</v>
      </c>
      <c r="DG562" s="189">
        <v>0.375</v>
      </c>
      <c r="DH562" s="190">
        <f t="shared" si="1574"/>
        <v>21.534729759734358</v>
      </c>
      <c r="DI562" s="190">
        <v>21.180174848608722</v>
      </c>
      <c r="DJ562" s="177"/>
      <c r="DK562" s="189">
        <f>VLOOKUP($H562,RoR!$E:$F,2,FALSE)</f>
        <v>2.4766666666666666E-2</v>
      </c>
      <c r="DL562" s="191">
        <f>HLOOKUP($H562,'GDP-PI'!$D$8:$CQ$11,3,FALSE)</f>
        <v>1.1618796630994188E-2</v>
      </c>
      <c r="DM562" s="189">
        <f>VLOOKUP(H562,'HW Dx Data'!$E:$F,2,FALSE)</f>
        <v>813.080162458833</v>
      </c>
      <c r="DN562" s="183">
        <f>VLOOKUP(H562,'ECI - Input Price'!$G$17:$H$37,2,FALSE)</f>
        <v>140.44999999999999</v>
      </c>
      <c r="DO562" s="177">
        <f t="shared" ref="DO562" si="1630">LN(DN562/DN561)</f>
        <v>2.5966118063564539E-2</v>
      </c>
      <c r="DP562" s="183">
        <f>HLOOKUP(H562,'GDP-PI'!$8:$9,2,FALSE)</f>
        <v>113.623</v>
      </c>
      <c r="DQ562" s="177">
        <f t="shared" ref="DQ562" si="1631">LN(DP562/DP561)</f>
        <v>1.1551816731392881E-2</v>
      </c>
    </row>
    <row r="563" spans="1:121" s="167" customFormat="1" ht="21" x14ac:dyDescent="0.35">
      <c r="A563" s="167" t="s">
        <v>66</v>
      </c>
      <c r="B563" s="167" t="s">
        <v>66</v>
      </c>
      <c r="C563" s="167">
        <v>4008754</v>
      </c>
      <c r="D563" s="167" t="s">
        <v>144</v>
      </c>
      <c r="G563" s="168" t="s">
        <v>462</v>
      </c>
      <c r="H563" s="169">
        <v>2021</v>
      </c>
      <c r="I563" s="170"/>
      <c r="J563" s="166">
        <f>IFERROR(INDEX('Labor Expenditures'!$E$7:$X$91,MATCH($C563,'Labor Expenditures'!$D$7:$D$91,0),MATCH($G563,'Labor Expenditures'!$E$5:$X$5,0)),"NA")</f>
        <v>17923.407695417431</v>
      </c>
      <c r="K563" s="166">
        <f t="shared" si="1580"/>
        <v>123.20610204789433</v>
      </c>
      <c r="L563" s="171">
        <f t="shared" si="1587"/>
        <v>2.583092584291893E-2</v>
      </c>
      <c r="M563" s="172">
        <f t="shared" si="1591"/>
        <v>1.1255667654845716E-4</v>
      </c>
      <c r="N563" s="196"/>
      <c r="O563" s="172"/>
      <c r="P563" s="166">
        <f>IFERROR(INDEX('Non-Labor Expenditures'!$E$7:$AB$91,MATCH($C563,'Non-Labor Expenditures'!$D$7:$D$91,0),MATCH($G563,'Non-Labor Expenditures'!$E$5:$AB$5,0)),"NA")</f>
        <v>25265.526510407704</v>
      </c>
      <c r="Q563" s="166">
        <f t="shared" si="1581"/>
        <v>213.22918820497685</v>
      </c>
      <c r="R563" s="172">
        <f t="shared" si="1592"/>
        <v>-7.9379417872175451E-3</v>
      </c>
      <c r="S563" s="172">
        <f t="shared" si="1597"/>
        <v>-3.4589094933631848E-5</v>
      </c>
      <c r="T563" s="172"/>
      <c r="U563" s="172"/>
      <c r="V563" s="166">
        <f t="shared" si="1562"/>
        <v>21076.433639860352</v>
      </c>
      <c r="W563" s="170"/>
      <c r="X563" s="174">
        <v>842.30168079361761</v>
      </c>
      <c r="Y563" s="175"/>
      <c r="Z563" s="175">
        <f t="shared" si="1598"/>
        <v>0</v>
      </c>
      <c r="AA563" s="175"/>
      <c r="AB563" s="175"/>
      <c r="AC563" s="170">
        <f t="shared" si="1475"/>
        <v>64265.367845685483</v>
      </c>
      <c r="AD563" s="175">
        <f t="shared" si="1593"/>
        <v>9.385233251302498E-2</v>
      </c>
      <c r="AE563" s="118"/>
      <c r="AF563" s="119"/>
      <c r="AG563" s="121">
        <f t="shared" si="1594"/>
        <v>383.04724120355644</v>
      </c>
      <c r="AH563" s="119">
        <f>+AZ563/$BB$59</f>
        <v>4.304527105673253E-3</v>
      </c>
      <c r="AI563" s="119"/>
      <c r="AJ563" s="176">
        <f t="shared" si="1599"/>
        <v>1.6488372325140692</v>
      </c>
      <c r="AK563" s="176">
        <f t="shared" si="1600"/>
        <v>0</v>
      </c>
      <c r="AL563" s="120">
        <f t="shared" si="1582"/>
        <v>0.27889683504893742</v>
      </c>
      <c r="AM563" s="120">
        <f t="shared" si="1583"/>
        <v>0.39314373133404434</v>
      </c>
      <c r="AN563" s="120">
        <f t="shared" si="1584"/>
        <v>0.32795943361701829</v>
      </c>
      <c r="AO563" s="120">
        <f t="shared" si="1588"/>
        <v>4.1075385712942385E-3</v>
      </c>
      <c r="AP563" s="173">
        <f t="shared" si="1604"/>
        <v>129.83861761959653</v>
      </c>
      <c r="AQ563" s="175">
        <f t="shared" si="1605"/>
        <v>4.107538571294196E-3</v>
      </c>
      <c r="AR563" s="177">
        <f>+AC563/$AE$59</f>
        <v>4.35743872414517E-3</v>
      </c>
      <c r="AS563" s="177">
        <f t="shared" si="1601"/>
        <v>1.7898347631477255E-5</v>
      </c>
      <c r="AT563" s="177"/>
      <c r="AU563" s="177"/>
      <c r="AV563" s="177"/>
      <c r="AW563" s="190"/>
      <c r="AX563" s="120"/>
      <c r="AY563" s="120"/>
      <c r="AZ563" s="118">
        <f>INDEX('Total Customers'!$E$7:$E$91,MATCH(Calculation!$C563,'Total Customers'!$D$7:$D$91,0))</f>
        <v>167774</v>
      </c>
      <c r="BA563" s="119">
        <f t="shared" si="1563"/>
        <v>1.1437602206779748E-2</v>
      </c>
      <c r="BB563" s="118"/>
      <c r="BC563" s="121"/>
      <c r="BD563" s="118"/>
      <c r="BE563" s="119"/>
      <c r="BF563" s="119"/>
      <c r="BG563" s="173"/>
      <c r="BH563" s="173"/>
      <c r="BI563" s="173"/>
      <c r="BJ563" s="173"/>
      <c r="BK563" s="173"/>
      <c r="BL563" s="173"/>
      <c r="BM563" s="173"/>
      <c r="BN563" s="173"/>
      <c r="BO563" s="173"/>
      <c r="BP563" s="173"/>
      <c r="BQ563" s="118"/>
      <c r="BR563" s="118"/>
      <c r="BS563" s="118">
        <f>INDEX('Dist. Plant Gas Additions'!$E$7:$AE$91,MATCH($C563,'Dist. Plant Gas Additions'!$D$7:$D$91,0),MATCH(Calculation!$G563,'Dist. Plant Gas Additions'!$E$5:$AE$5,0))</f>
        <v>23646</v>
      </c>
      <c r="BT563" s="118">
        <f>INDEX('Gen. Plant Additions'!$E$7:$AE$91,MATCH($C563,'Gen. Plant Additions'!$D$7:$D$91,0),MATCH(Calculation!$G563,'Gen. Plant Additions'!$E$5:$AE$5,0))</f>
        <v>180</v>
      </c>
      <c r="BU563" s="118"/>
      <c r="BV563" s="118"/>
      <c r="BW563" s="118"/>
      <c r="BX563" s="118"/>
      <c r="BY563" s="183"/>
      <c r="BZ563" s="183"/>
      <c r="CA563" s="178"/>
      <c r="CB563" s="184"/>
      <c r="CC563" s="185"/>
      <c r="CD563" s="185"/>
      <c r="CE563" s="118"/>
      <c r="CF563" s="118"/>
      <c r="CG563" s="118"/>
      <c r="CH563" s="118"/>
      <c r="CI563" s="121">
        <v>2021</v>
      </c>
      <c r="CJ563" s="118"/>
      <c r="CK563" s="118"/>
      <c r="CL563" s="118"/>
      <c r="CM563" s="183"/>
      <c r="CN563" s="118">
        <f t="shared" si="1564"/>
        <v>23826</v>
      </c>
      <c r="CO563" s="118">
        <f t="shared" si="1565"/>
        <v>25.536361684744502</v>
      </c>
      <c r="CP563" s="186">
        <f>+(51-23)/(51-23*0.75)</f>
        <v>0.82962962962962961</v>
      </c>
      <c r="CQ563" s="118">
        <f>CQ540*CP563+CO541*CP562+CO542*CP561+CO543*CP560+CO544*CP559+CO545*CP558+CO546*CP557+CO547*CP556+CO548*CP555+CO549*CP554+CO550*CP553+CO551*CP552+CO552*CP551+CO553*CP550+CO554*CP549+CO545*CP548+CO556*CP547+CO557*CP546+CO558*CP545+CO559*CP544+CO560*CP543+CO561*CP542+CO563+CO562*CP541</f>
        <v>842.30168079361761</v>
      </c>
      <c r="CR563" s="119"/>
      <c r="CS563" s="118"/>
      <c r="CT563" s="177">
        <f t="shared" si="1567"/>
        <v>6.3659854479215638E-3</v>
      </c>
      <c r="CU563" s="177">
        <f t="shared" si="1575"/>
        <v>8.3177725178892187E-3</v>
      </c>
      <c r="CV563" s="119">
        <f>VLOOKUP($H563,RoR!$E:$F,2,FALSE)</f>
        <v>2.7033333333333336E-2</v>
      </c>
      <c r="CW563" s="177"/>
      <c r="CX563" s="177"/>
      <c r="CY563" s="177">
        <f t="shared" si="1576"/>
        <v>2.2584169090644406E-2</v>
      </c>
      <c r="CZ563" s="177">
        <f t="shared" si="1577"/>
        <v>7.433422950153494E-2</v>
      </c>
      <c r="DA563" s="187">
        <f t="shared" si="1568"/>
        <v>0.90199375000000004</v>
      </c>
      <c r="DB563" s="188">
        <f t="shared" si="1569"/>
        <v>1.8969932656739068</v>
      </c>
      <c r="DC563" s="188">
        <f t="shared" si="1570"/>
        <v>5.0215782983970621E-2</v>
      </c>
      <c r="DD563" s="188">
        <f t="shared" si="1571"/>
        <v>0.655952481704143</v>
      </c>
      <c r="DE563" s="188">
        <f t="shared" si="1572"/>
        <v>6.2485378865697057E-2</v>
      </c>
      <c r="DF563" s="189">
        <f>DF562</f>
        <v>0.26134999999999997</v>
      </c>
      <c r="DG563" s="189">
        <v>0.375</v>
      </c>
      <c r="DH563" s="190">
        <f t="shared" si="1574"/>
        <v>25.640488008065578</v>
      </c>
      <c r="DI563" s="190"/>
      <c r="DJ563" s="177">
        <f t="shared" ref="DJ563" si="1632">LN(DH563/DH562)</f>
        <v>0.17450569540614883</v>
      </c>
      <c r="DK563" s="189">
        <f>VLOOKUP($H563,RoR!$E:$F,2,FALSE)</f>
        <v>2.7033333333333336E-2</v>
      </c>
      <c r="DL563" s="191">
        <f>HLOOKUP($H563,'GDP-PI'!$D$8:$CR$11,3,FALSE)</f>
        <v>4.2834637353352578E-2</v>
      </c>
      <c r="DM563" s="189">
        <f>VLOOKUP(H563,'HW Dx Data'!$E:$F,2,FALSE)</f>
        <v>933.02249921662576</v>
      </c>
      <c r="DN563" s="183">
        <f>VLOOKUP(H563,'ECI - Input Price'!$G$17:$H$37,2,FALSE)</f>
        <v>145.47500000000002</v>
      </c>
      <c r="DO563" s="177">
        <f t="shared" ref="DO563" si="1633">LN(DN563/DN562)</f>
        <v>3.5152696992481205E-2</v>
      </c>
      <c r="DP563" s="183">
        <f>HLOOKUP(H563,'GDP-PI'!$8:$9,2,FALSE)</f>
        <v>118.49</v>
      </c>
      <c r="DQ563" s="177">
        <f t="shared" ref="DQ563" si="1634">LN(DP563/DP562)</f>
        <v>4.194261824609434E-2</v>
      </c>
    </row>
    <row r="564" spans="1:121" s="167" customFormat="1" ht="21" x14ac:dyDescent="0.35">
      <c r="A564" s="167" t="s">
        <v>69</v>
      </c>
      <c r="B564" s="168" t="s">
        <v>69</v>
      </c>
      <c r="C564" s="168">
        <v>4061634</v>
      </c>
      <c r="D564" s="168" t="s">
        <v>135</v>
      </c>
      <c r="E564" s="168"/>
      <c r="F564" s="168"/>
      <c r="G564" s="168" t="s">
        <v>4</v>
      </c>
      <c r="H564" s="169">
        <v>1998</v>
      </c>
      <c r="I564" s="170"/>
      <c r="J564" s="166"/>
      <c r="K564" s="166"/>
      <c r="L564" s="166"/>
      <c r="M564" s="166"/>
      <c r="N564" s="196"/>
      <c r="O564" s="166"/>
      <c r="P564" s="172"/>
      <c r="Q564" s="172"/>
      <c r="R564" s="172"/>
      <c r="S564" s="166"/>
      <c r="T564" s="172"/>
      <c r="U564" s="172"/>
      <c r="V564" s="166"/>
      <c r="W564" s="170"/>
      <c r="X564" s="174">
        <v>642.2385509428475</v>
      </c>
      <c r="Y564" s="175"/>
      <c r="Z564" s="166"/>
      <c r="AA564" s="175"/>
      <c r="AB564" s="175"/>
      <c r="AC564" s="170">
        <f t="shared" si="1475"/>
        <v>0</v>
      </c>
      <c r="AD564" s="170"/>
      <c r="AE564" s="170"/>
      <c r="AF564" s="119"/>
      <c r="AG564" s="174"/>
      <c r="AH564" s="175"/>
      <c r="AI564" s="175"/>
      <c r="AJ564" s="174"/>
      <c r="AK564" s="174"/>
      <c r="AL564" s="120"/>
      <c r="AM564" s="120"/>
      <c r="AN564" s="120"/>
      <c r="AO564" s="120"/>
      <c r="AP564" s="120"/>
      <c r="AQ564" s="175">
        <f>AVERAGE(AQ573:AQ587)</f>
        <v>-1.223231071570254E-3</v>
      </c>
      <c r="AR564" s="120"/>
      <c r="AS564" s="120"/>
      <c r="AT564" s="120"/>
      <c r="AU564" s="120"/>
      <c r="AV564" s="120"/>
      <c r="AW564" s="120"/>
      <c r="AX564" s="120"/>
      <c r="AY564" s="120"/>
      <c r="AZ564" s="118">
        <f>IFERROR(INDEX('Total Customers'!$F$7:$AB$91,MATCH($C564,'Total Customers'!$D$7:$D$91,0),MATCH($G564,'Total Customers'!$F$5:$AB$5,0)),"NA")</f>
        <v>203573</v>
      </c>
      <c r="BA564" s="119"/>
      <c r="BB564" s="119"/>
      <c r="BC564" s="121"/>
      <c r="BD564" s="119"/>
      <c r="BE564" s="119"/>
      <c r="BF564" s="119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18">
        <f>INDEX('Gross Dx Plant'!$E$7:$AD$91,MATCH($C564,'Gross Dx Plant'!$D$7:$D$91,0),MATCH(Calculation!$G564,'Gross Dx Plant'!$E$5:$AD$5,0))</f>
        <v>217438</v>
      </c>
      <c r="BR564" s="118">
        <f>INDEX('Gross Gen Plant'!$E$7:$AD$91,MATCH($C564,'Gross Gen Plant'!$D$7:$D$91,0),MATCH(Calculation!$G564,'Gross Gen Plant'!$E$5:$AD$5,0))</f>
        <v>24710</v>
      </c>
      <c r="BS564" s="118">
        <f>INDEX('Dist. Plant Gas Additions'!$F$7:$AE$91,MATCH($C564,'Dist. Plant Gas Additions'!$D$7:$D$91,0),MATCH(Calculation!$G564,'Dist. Plant Gas Additions'!$F$5:$AE$5,0))</f>
        <v>6695</v>
      </c>
      <c r="BT564" s="118">
        <f>INDEX('Gen. Plant Additions'!$F$7:$AE$91,MATCH($C564,'Gen. Plant Additions'!$D$7:$D$91,0),MATCH(Calculation!$G564,'Gen. Plant Additions'!$F$5:$AE$5,0))</f>
        <v>4018</v>
      </c>
      <c r="BU564" s="118" t="e">
        <f>INDEX('Dist Plant Depreciation'!$E$7:$AA$94,MATCH($C564,'Dist Plant Depreciation'!$D$7:$D$94,0),MATCH(#REF!,'Dist Plant Depreciation'!$E$5:$AA$5,0))</f>
        <v>#REF!</v>
      </c>
      <c r="BV564" s="118" t="e">
        <f>INDEX('Gen. Plant Depreciation'!$E$7:$AA$94,MATCH($C564,'Gen. Plant Depreciation'!$D$7:$D$94,0),MATCH(#REF!,'Gen. Plant Depreciation'!$E$5:$AA$5,0))</f>
        <v>#REF!</v>
      </c>
      <c r="BW564" s="118">
        <f>INDEX('Dist Plant Depreciation'!$E$7:$AD$94,MATCH($C564,'Dist Plant Depreciation'!$D$7:$D$94,0),MATCH(Calculation!$G564,'Dist Plant Depreciation'!$E$5:$AD$5,0))</f>
        <v>97658</v>
      </c>
      <c r="BX564" s="118">
        <f>INDEX('Gen. Plant Depreciation'!$E$7:$AD$94,MATCH($C564,'Gen. Plant Depreciation'!$D$7:$D$94,0),MATCH(Calculation!$G564,'Gen. Plant Depreciation'!$E$5:$AD$5,0))</f>
        <v>14938</v>
      </c>
      <c r="BY564" s="118"/>
      <c r="BZ564" s="118"/>
      <c r="CA564" s="118"/>
      <c r="CB564" s="118"/>
      <c r="CC564" s="118"/>
      <c r="CD564" s="118"/>
      <c r="CE564" s="118">
        <f>INDEX('Gross Dx Plant'!$E$7:$AD$91,MATCH($C564,'Gross Dx Plant'!$D$7:$D$91,0),MATCH(Calculation!$G564,'Gross Dx Plant'!$E$5:$AD$5,0))</f>
        <v>217438</v>
      </c>
      <c r="CF564" s="118">
        <f>INDEX('Gross Gen Plant'!$E$7:$AD$91,MATCH($C564,'Gross Gen Plant'!$D$7:$D$91,0),MATCH(Calculation!$G564,'Gross Gen Plant'!$E$5:$AD$5,0))</f>
        <v>24710</v>
      </c>
      <c r="CG564" s="118">
        <f t="shared" si="1516"/>
        <v>129552</v>
      </c>
      <c r="CH564" s="118"/>
      <c r="CI564" s="121">
        <v>1998</v>
      </c>
      <c r="CJ564" s="118">
        <f>BQ564+BR564</f>
        <v>242148</v>
      </c>
      <c r="CK564" s="118">
        <f>97658+14938</f>
        <v>112596</v>
      </c>
      <c r="CL564" s="118">
        <f>+CJ564-CK564</f>
        <v>129552</v>
      </c>
      <c r="CM564" s="118">
        <f>CL564/$CD$36</f>
        <v>642.2385509428475</v>
      </c>
      <c r="CN564" s="183"/>
      <c r="CO564" s="183"/>
      <c r="CP564" s="186">
        <v>1</v>
      </c>
      <c r="CQ564" s="118">
        <f>+CM564</f>
        <v>642.2385509428475</v>
      </c>
      <c r="CR564" s="119"/>
      <c r="CS564" s="119"/>
      <c r="CT564" s="177"/>
      <c r="CU564" s="177"/>
      <c r="CV564" s="119" t="e">
        <f>VLOOKUP($H564,RoR!$E:$F,2,FALSE)</f>
        <v>#N/A</v>
      </c>
      <c r="CW564" s="177">
        <v>1.1028127770464469E-2</v>
      </c>
      <c r="CX564" s="177"/>
      <c r="CY564" s="177"/>
      <c r="CZ564" s="177"/>
      <c r="DA564" s="187"/>
      <c r="DB564" s="190" t="e">
        <f>2/(DK564*39)</f>
        <v>#N/A</v>
      </c>
      <c r="DC564" s="188" t="e">
        <f>+(DK564*40-(1+DK564))/(DK564*40)</f>
        <v>#N/A</v>
      </c>
      <c r="DD564" s="188" t="e">
        <f>+(1-(1/(1+DK564)^40))</f>
        <v>#N/A</v>
      </c>
      <c r="DE564" s="188" t="e">
        <f>+DD564*DC564*DB564</f>
        <v>#N/A</v>
      </c>
      <c r="DF564" s="189">
        <f>INDEX('State Tax Lookup'!$D$7:$Z$91,MATCH(Calculation!$C564,'State Tax Lookup'!$B$7:$B$91,0),MATCH($H564,'State Tax Lookup'!$D$6:$Z$6,0))</f>
        <v>0.40200000000000002</v>
      </c>
      <c r="DG564" s="189">
        <v>0.375</v>
      </c>
      <c r="DH564" s="183"/>
      <c r="DI564" s="183"/>
      <c r="DJ564" s="177"/>
      <c r="DK564" s="189" t="e">
        <f>VLOOKUP($H564,RoR!$E:$F,2,FALSE)</f>
        <v>#N/A</v>
      </c>
      <c r="DL564" s="191">
        <f>HLOOKUP($H564,'GDP-PI'!$D$8:$CQ$11,3,FALSE)</f>
        <v>1.1028127770464469E-2</v>
      </c>
      <c r="DM564" s="189">
        <f>VLOOKUP(H564,'HW Dx Data'!$E:$F,2,FALSE)</f>
        <v>329.24564746449528</v>
      </c>
      <c r="DN564" s="183" t="e">
        <f>VLOOKUP(H564,'ECI - Input Price'!$G$17:$H$37,2,FALSE)</f>
        <v>#N/A</v>
      </c>
      <c r="DO564" s="177"/>
      <c r="DP564" s="183">
        <f>HLOOKUP(H564,'GDP-PI'!$8:$9,2,FALSE)</f>
        <v>75.266999999999996</v>
      </c>
    </row>
    <row r="565" spans="1:121" s="167" customFormat="1" ht="21" x14ac:dyDescent="0.35">
      <c r="A565" s="167" t="s">
        <v>69</v>
      </c>
      <c r="B565" s="168" t="s">
        <v>69</v>
      </c>
      <c r="C565" s="168">
        <v>4061634</v>
      </c>
      <c r="D565" s="168" t="s">
        <v>135</v>
      </c>
      <c r="E565" s="168"/>
      <c r="F565" s="168"/>
      <c r="G565" s="168" t="s">
        <v>5</v>
      </c>
      <c r="H565" s="169">
        <v>1999</v>
      </c>
      <c r="I565" s="170"/>
      <c r="J565" s="166"/>
      <c r="K565" s="170"/>
      <c r="L565" s="170"/>
      <c r="M565" s="166"/>
      <c r="N565" s="173"/>
      <c r="O565" s="170"/>
      <c r="P565" s="177"/>
      <c r="Q565" s="177"/>
      <c r="R565" s="177"/>
      <c r="S565" s="195"/>
      <c r="T565" s="177"/>
      <c r="U565" s="177"/>
      <c r="V565" s="166">
        <f t="shared" ref="V565:V587" si="1635">+CQ564*DH565</f>
        <v>0</v>
      </c>
      <c r="W565" s="170"/>
      <c r="X565" s="174">
        <v>674.75197605098106</v>
      </c>
      <c r="Y565" s="175">
        <v>4.9385371110895915E-2</v>
      </c>
      <c r="Z565" s="175"/>
      <c r="AA565" s="175"/>
      <c r="AB565" s="175"/>
      <c r="AC565" s="170">
        <f t="shared" si="1475"/>
        <v>0</v>
      </c>
      <c r="AD565" s="175"/>
      <c r="AE565" s="170"/>
      <c r="AF565" s="119"/>
      <c r="AG565" s="174"/>
      <c r="AH565" s="175"/>
      <c r="AI565" s="175"/>
      <c r="AJ565" s="174"/>
      <c r="AK565" s="174"/>
      <c r="AL565" s="120"/>
      <c r="AM565" s="120"/>
      <c r="AN565" s="120"/>
      <c r="AO565" s="120"/>
      <c r="AP565" s="120"/>
      <c r="AQ565" s="175"/>
      <c r="AR565" s="120"/>
      <c r="AS565" s="120"/>
      <c r="AT565" s="120"/>
      <c r="AU565" s="120"/>
      <c r="AV565" s="120"/>
      <c r="AW565" s="120"/>
      <c r="AX565" s="120"/>
      <c r="AY565" s="120"/>
      <c r="AZ565" s="118">
        <f>IFERROR(INDEX('Total Customers'!$F$7:$AB$91,MATCH($C565,'Total Customers'!$D$7:$D$91,0),MATCH($G565,'Total Customers'!$F$5:$AB$5,0)),"NA")</f>
        <v>201549</v>
      </c>
      <c r="BA565" s="119">
        <f t="shared" ref="BA565:BA587" si="1636">LN(AZ565/AZ564)</f>
        <v>-9.992134913026236E-3</v>
      </c>
      <c r="BB565" s="119"/>
      <c r="BC565" s="121"/>
      <c r="BD565" s="119"/>
      <c r="BE565" s="119"/>
      <c r="BF565" s="119"/>
      <c r="BG565" s="173"/>
      <c r="BH565" s="173"/>
      <c r="BI565" s="173"/>
      <c r="BJ565" s="173"/>
      <c r="BK565" s="173"/>
      <c r="BL565" s="173"/>
      <c r="BM565" s="173"/>
      <c r="BN565" s="173"/>
      <c r="BO565" s="173"/>
      <c r="BP565" s="173"/>
      <c r="BQ565" s="118"/>
      <c r="BR565" s="118"/>
      <c r="BS565" s="118">
        <f>INDEX('Dist. Plant Gas Additions'!$F$7:$AE$91,MATCH($C565,'Dist. Plant Gas Additions'!$D$7:$D$91,0),MATCH(Calculation!$G565,'Dist. Plant Gas Additions'!$F$5:$AE$5,0))</f>
        <v>7613</v>
      </c>
      <c r="BT565" s="118">
        <f>INDEX('Gen. Plant Additions'!$F$7:$AE$91,MATCH($C565,'Gen. Plant Additions'!$D$7:$D$91,0),MATCH(Calculation!$G565,'Gen. Plant Additions'!$F$5:$AE$5,0))</f>
        <v>4361</v>
      </c>
      <c r="BU565" s="118"/>
      <c r="BV565" s="118"/>
      <c r="BW565" s="118">
        <f>INDEX('Dist Plant Depreciation'!$E$7:$AD$94,MATCH($C565,'Dist Plant Depreciation'!$D$7:$D$94,0),MATCH(Calculation!$G565,'Dist Plant Depreciation'!$E$5:$AD$5,0))</f>
        <v>103705</v>
      </c>
      <c r="BX565" s="118">
        <f>INDEX('Gen. Plant Depreciation'!$E$7:$AD$94,MATCH($C565,'Gen. Plant Depreciation'!$D$7:$D$94,0),MATCH(Calculation!$G565,'Gen. Plant Depreciation'!$E$5:$AD$5,0))</f>
        <v>18124</v>
      </c>
      <c r="BY565" s="118"/>
      <c r="BZ565" s="118"/>
      <c r="CA565" s="118"/>
      <c r="CB565" s="118"/>
      <c r="CC565" s="118"/>
      <c r="CD565" s="118"/>
      <c r="CE565" s="118">
        <f>INDEX('Gross Dx Plant'!$E$7:$AD$91,MATCH($C565,'Gross Dx Plant'!$D$7:$D$91,0),MATCH(Calculation!$G565,'Gross Dx Plant'!$E$5:$AD$5,0))</f>
        <v>225020</v>
      </c>
      <c r="CF565" s="118">
        <f>INDEX('Gross Gen Plant'!$E$7:$AD$91,MATCH($C565,'Gross Gen Plant'!$D$7:$D$91,0),MATCH(Calculation!$G565,'Gross Gen Plant'!$E$5:$AD$5,0))</f>
        <v>28814</v>
      </c>
      <c r="CG565" s="118">
        <f t="shared" si="1516"/>
        <v>132005</v>
      </c>
      <c r="CH565" s="118"/>
      <c r="CI565" s="121">
        <v>1999</v>
      </c>
      <c r="CJ565" s="118"/>
      <c r="CK565" s="118"/>
      <c r="CL565" s="118"/>
      <c r="CM565" s="183"/>
      <c r="CN565" s="118">
        <f t="shared" ref="CN565:CN587" si="1637">+BT565+BS565</f>
        <v>11974</v>
      </c>
      <c r="CO565" s="118">
        <f t="shared" ref="CO565:CO587" si="1638">+CN565/$DM565</f>
        <v>35.708641779491018</v>
      </c>
      <c r="CP565" s="186">
        <v>0.99502487562189057</v>
      </c>
      <c r="CQ565" s="118">
        <f>+CQ564*CP565+CO565</f>
        <v>674.75197605098106</v>
      </c>
      <c r="CR565" s="119">
        <f t="shared" ref="CR565:CR586" si="1639">LN(CQ565/CQ564)</f>
        <v>4.9385371110895915E-2</v>
      </c>
      <c r="CS565" s="119"/>
      <c r="CT565" s="177">
        <f t="shared" ref="CT565:CT587" si="1640">+(CQ564-CQ565+CO565)/CQ564</f>
        <v>4.975124378109463E-3</v>
      </c>
      <c r="CU565" s="177"/>
      <c r="CV565" s="119">
        <f>VLOOKUP($H565,RoR!$E:$F,2,FALSE)</f>
        <v>7.0416666666666669E-2</v>
      </c>
      <c r="CW565" s="177">
        <v>1.4335631817396832E-2</v>
      </c>
      <c r="CX565" s="177">
        <f>+CV565-CW565</f>
        <v>5.6081034849269837E-2</v>
      </c>
      <c r="CY565" s="177"/>
      <c r="CZ565" s="177"/>
      <c r="DA565" s="187">
        <f t="shared" ref="DA565:DA587" si="1641">1-DF565*DG565</f>
        <v>0.84925000000000006</v>
      </c>
      <c r="DB565" s="188">
        <f t="shared" ref="DB565:DB587" si="1642">2/(DK565*39)</f>
        <v>0.72826581702321336</v>
      </c>
      <c r="DC565" s="188">
        <f t="shared" ref="DC565:DC587" si="1643">+(DK565*40-(1+DK565))/(DK565*40)</f>
        <v>0.61997041420118348</v>
      </c>
      <c r="DD565" s="188">
        <f t="shared" ref="DD565:DD587" si="1644">+(1-(1/(1+DK565)^40))</f>
        <v>0.93425155319585029</v>
      </c>
      <c r="DE565" s="188">
        <f t="shared" ref="DE565:DE587" si="1645">+DD565*DC565*DB565</f>
        <v>0.42181762214141483</v>
      </c>
      <c r="DF565" s="189">
        <f>INDEX('State Tax Lookup'!$D$7:$Z$91,MATCH(Calculation!$C565,'State Tax Lookup'!$B$7:$B$91,0),MATCH($H565,'State Tax Lookup'!$D$6:$Z$6,0))</f>
        <v>0.40200000000000002</v>
      </c>
      <c r="DG565" s="189">
        <v>0.375</v>
      </c>
      <c r="DH565" s="190"/>
      <c r="DI565" s="190"/>
      <c r="DJ565" s="177"/>
      <c r="DK565" s="189">
        <f>VLOOKUP($H565,RoR!$E:$F,2,FALSE)</f>
        <v>7.0416666666666669E-2</v>
      </c>
      <c r="DL565" s="191">
        <f>HLOOKUP($H565,'GDP-PI'!$D$8:$CQ$11,3,FALSE)</f>
        <v>1.4335631817396832E-2</v>
      </c>
      <c r="DM565" s="189">
        <f>VLOOKUP(H565,'HW Dx Data'!$E:$F,2,FALSE)</f>
        <v>335.32499146683239</v>
      </c>
      <c r="DN565" s="183" t="e">
        <f>VLOOKUP(H565,'ECI - Input Price'!$G$17:$H$37,2,FALSE)</f>
        <v>#N/A</v>
      </c>
      <c r="DO565" s="177"/>
      <c r="DP565" s="183">
        <f>HLOOKUP(H565,'GDP-PI'!$8:$9,2,FALSE)</f>
        <v>76.346000000000004</v>
      </c>
    </row>
    <row r="566" spans="1:121" s="167" customFormat="1" ht="21" x14ac:dyDescent="0.35">
      <c r="A566" s="167" t="s">
        <v>69</v>
      </c>
      <c r="B566" s="168" t="s">
        <v>69</v>
      </c>
      <c r="C566" s="168">
        <v>4061634</v>
      </c>
      <c r="D566" s="168" t="s">
        <v>135</v>
      </c>
      <c r="E566" s="168"/>
      <c r="F566" s="168"/>
      <c r="G566" s="168" t="s">
        <v>6</v>
      </c>
      <c r="H566" s="169">
        <v>2000</v>
      </c>
      <c r="I566" s="170"/>
      <c r="J566" s="166"/>
      <c r="K566" s="166"/>
      <c r="L566" s="166"/>
      <c r="M566" s="166"/>
      <c r="N566" s="196"/>
      <c r="O566" s="166"/>
      <c r="P566" s="166"/>
      <c r="Q566" s="166"/>
      <c r="R566" s="166"/>
      <c r="S566" s="166"/>
      <c r="T566" s="166"/>
      <c r="U566" s="166"/>
      <c r="V566" s="166">
        <f t="shared" si="1635"/>
        <v>0</v>
      </c>
      <c r="W566" s="170"/>
      <c r="X566" s="174">
        <v>705.43768620311971</v>
      </c>
      <c r="Y566" s="175">
        <v>4.4473261208493944E-2</v>
      </c>
      <c r="Z566" s="175"/>
      <c r="AA566" s="175"/>
      <c r="AB566" s="175"/>
      <c r="AC566" s="170">
        <f t="shared" si="1475"/>
        <v>0</v>
      </c>
      <c r="AD566" s="175"/>
      <c r="AE566" s="170"/>
      <c r="AF566" s="170"/>
      <c r="AG566" s="174"/>
      <c r="AH566" s="175"/>
      <c r="AI566" s="175"/>
      <c r="AJ566" s="174"/>
      <c r="AK566" s="174"/>
      <c r="AL566" s="120"/>
      <c r="AM566" s="120"/>
      <c r="AN566" s="120"/>
      <c r="AO566" s="120"/>
      <c r="AP566" s="120"/>
      <c r="AQ566" s="175"/>
      <c r="AR566" s="120"/>
      <c r="AS566" s="120"/>
      <c r="AT566" s="120"/>
      <c r="AU566" s="120"/>
      <c r="AV566" s="120"/>
      <c r="AW566" s="120"/>
      <c r="AX566" s="120"/>
      <c r="AY566" s="120"/>
      <c r="AZ566" s="118">
        <f>IFERROR(INDEX('Total Customers'!$F$7:$AB$91,MATCH($C566,'Total Customers'!$D$7:$D$91,0),MATCH($G566,'Total Customers'!$F$5:$AB$5,0)),"NA")</f>
        <v>211411</v>
      </c>
      <c r="BA566" s="119">
        <f t="shared" si="1636"/>
        <v>4.7771578138205893E-2</v>
      </c>
      <c r="BB566" s="119"/>
      <c r="BC566" s="121"/>
      <c r="BD566" s="119"/>
      <c r="BE566" s="119"/>
      <c r="BF566" s="119"/>
      <c r="BG566" s="173"/>
      <c r="BH566" s="173"/>
      <c r="BI566" s="173"/>
      <c r="BJ566" s="173"/>
      <c r="BK566" s="173"/>
      <c r="BL566" s="173"/>
      <c r="BM566" s="173"/>
      <c r="BN566" s="173"/>
      <c r="BO566" s="173"/>
      <c r="BP566" s="173"/>
      <c r="BQ566" s="118"/>
      <c r="BR566" s="118"/>
      <c r="BS566" s="118">
        <f>INDEX('Dist. Plant Gas Additions'!$F$7:$AE$91,MATCH($C566,'Dist. Plant Gas Additions'!$D$7:$D$91,0),MATCH(Calculation!$G566,'Dist. Plant Gas Additions'!$F$5:$AE$5,0))</f>
        <v>9021</v>
      </c>
      <c r="BT566" s="118">
        <f>INDEX('Gen. Plant Additions'!$F$7:$AE$91,MATCH($C566,'Gen. Plant Additions'!$D$7:$D$91,0),MATCH(Calculation!$G566,'Gen. Plant Additions'!$F$5:$AE$5,0))</f>
        <v>2815</v>
      </c>
      <c r="BU566" s="118"/>
      <c r="BV566" s="118"/>
      <c r="BW566" s="118" t="str">
        <f>INDEX('Dist Plant Depreciation'!$E$7:$AD$94,MATCH($C566,'Dist Plant Depreciation'!$D$7:$D$94,0),MATCH(Calculation!$G566,'Dist Plant Depreciation'!$E$5:$AD$5,0))</f>
        <v>NA</v>
      </c>
      <c r="BX566" s="118" t="str">
        <f>INDEX('Gen. Plant Depreciation'!$E$7:$AD$94,MATCH($C566,'Gen. Plant Depreciation'!$D$7:$D$94,0),MATCH(Calculation!$G566,'Gen. Plant Depreciation'!$E$5:$AD$5,0))</f>
        <v>NA</v>
      </c>
      <c r="BY566" s="118"/>
      <c r="BZ566" s="118"/>
      <c r="CA566" s="118"/>
      <c r="CB566" s="118"/>
      <c r="CC566" s="118"/>
      <c r="CD566" s="118"/>
      <c r="CE566" s="118">
        <f>INDEX('Gross Dx Plant'!$E$7:$AD$91,MATCH($C566,'Gross Dx Plant'!$D$7:$D$91,0),MATCH(Calculation!$G566,'Gross Dx Plant'!$E$5:$AD$5,0))</f>
        <v>248801</v>
      </c>
      <c r="CF566" s="118">
        <f>INDEX('Gross Gen Plant'!$E$7:$AD$91,MATCH($C566,'Gross Gen Plant'!$D$7:$D$91,0),MATCH(Calculation!$G566,'Gross Gen Plant'!$E$5:$AD$5,0))</f>
        <v>31778</v>
      </c>
      <c r="CG566" s="118" t="str">
        <f t="shared" si="1516"/>
        <v>NA</v>
      </c>
      <c r="CH566" s="118"/>
      <c r="CI566" s="121">
        <v>2000</v>
      </c>
      <c r="CJ566" s="118"/>
      <c r="CK566" s="118"/>
      <c r="CL566" s="118"/>
      <c r="CM566" s="183"/>
      <c r="CN566" s="118">
        <f t="shared" si="1637"/>
        <v>11836</v>
      </c>
      <c r="CO566" s="118">
        <f t="shared" si="1638"/>
        <v>34.155406505339329</v>
      </c>
      <c r="CP566" s="186">
        <v>0.98989898989898994</v>
      </c>
      <c r="CQ566" s="118">
        <f>+CQ564*CP566+CO565*CP565+CO566</f>
        <v>705.43768620311971</v>
      </c>
      <c r="CR566" s="119">
        <f t="shared" si="1639"/>
        <v>4.4473261208493944E-2</v>
      </c>
      <c r="CS566" s="119"/>
      <c r="CT566" s="177">
        <f t="shared" si="1640"/>
        <v>5.1421803512265978E-3</v>
      </c>
      <c r="CU566" s="177"/>
      <c r="CV566" s="119">
        <f>VLOOKUP($H566,RoR!$E:$F,2,FALSE)</f>
        <v>7.6225000000000001E-2</v>
      </c>
      <c r="CW566" s="177">
        <v>2.2568307442433211E-2</v>
      </c>
      <c r="CX566" s="177">
        <f t="shared" ref="CX566:CX586" si="1646">+CV566-CW566</f>
        <v>5.365669255756679E-2</v>
      </c>
      <c r="CY566" s="177"/>
      <c r="CZ566" s="177"/>
      <c r="DA566" s="187">
        <f t="shared" si="1641"/>
        <v>0.84925000000000006</v>
      </c>
      <c r="DB566" s="188">
        <f t="shared" si="1642"/>
        <v>0.67277207323124022</v>
      </c>
      <c r="DC566" s="188">
        <f t="shared" si="1643"/>
        <v>0.6470236142997704</v>
      </c>
      <c r="DD566" s="188">
        <f t="shared" si="1644"/>
        <v>0.94704866037543145</v>
      </c>
      <c r="DE566" s="188">
        <f t="shared" si="1645"/>
        <v>0.41224973107878493</v>
      </c>
      <c r="DF566" s="189">
        <f>INDEX('State Tax Lookup'!$D$7:$Z$91,MATCH(Calculation!$C566,'State Tax Lookup'!$B$7:$B$91,0),MATCH($H566,'State Tax Lookup'!$D$6:$Z$6,0))</f>
        <v>0.40200000000000002</v>
      </c>
      <c r="DG566" s="189">
        <v>0.375</v>
      </c>
      <c r="DH566" s="190"/>
      <c r="DI566" s="190"/>
      <c r="DJ566" s="177"/>
      <c r="DK566" s="189">
        <f>VLOOKUP($H566,RoR!$E:$F,2,FALSE)</f>
        <v>7.6225000000000001E-2</v>
      </c>
      <c r="DL566" s="191">
        <f>HLOOKUP($H566,'GDP-PI'!$D$8:$CQ$11,3,FALSE)</f>
        <v>2.2568307442433211E-2</v>
      </c>
      <c r="DM566" s="189">
        <f>VLOOKUP(H566,'HW Dx Data'!$E:$F,2,FALSE)</f>
        <v>346.53371782150339</v>
      </c>
      <c r="DN566" s="183" t="e">
        <f>VLOOKUP(H566,'ECI - Input Price'!$G$17:$H$37,2,FALSE)</f>
        <v>#N/A</v>
      </c>
      <c r="DO566" s="177"/>
      <c r="DP566" s="183">
        <f>HLOOKUP(H566,'GDP-PI'!$8:$9,2,FALSE)</f>
        <v>78.069000000000003</v>
      </c>
    </row>
    <row r="567" spans="1:121" s="167" customFormat="1" ht="21" x14ac:dyDescent="0.35">
      <c r="A567" s="167" t="s">
        <v>69</v>
      </c>
      <c r="B567" s="168" t="s">
        <v>69</v>
      </c>
      <c r="C567" s="168">
        <v>4061634</v>
      </c>
      <c r="D567" s="168" t="s">
        <v>135</v>
      </c>
      <c r="E567" s="168"/>
      <c r="F567" s="168"/>
      <c r="G567" s="168" t="s">
        <v>7</v>
      </c>
      <c r="H567" s="169">
        <v>2001</v>
      </c>
      <c r="I567" s="170"/>
      <c r="J567" s="166"/>
      <c r="K567" s="166"/>
      <c r="L567" s="166"/>
      <c r="M567" s="166"/>
      <c r="N567" s="196"/>
      <c r="O567" s="166"/>
      <c r="P567" s="166"/>
      <c r="Q567" s="166"/>
      <c r="R567" s="166"/>
      <c r="S567" s="166"/>
      <c r="T567" s="166"/>
      <c r="U567" s="166"/>
      <c r="V567" s="166">
        <f t="shared" si="1635"/>
        <v>9125.6397049909647</v>
      </c>
      <c r="W567" s="170"/>
      <c r="X567" s="174">
        <v>737.81574536190396</v>
      </c>
      <c r="Y567" s="175">
        <v>4.487568422714111E-2</v>
      </c>
      <c r="Z567" s="175"/>
      <c r="AA567" s="175"/>
      <c r="AB567" s="175"/>
      <c r="AC567" s="170">
        <f t="shared" si="1475"/>
        <v>9125.6397049909647</v>
      </c>
      <c r="AD567" s="175"/>
      <c r="AE567" s="170"/>
      <c r="AF567" s="170"/>
      <c r="AG567" s="174"/>
      <c r="AH567" s="175"/>
      <c r="AI567" s="175"/>
      <c r="AJ567" s="174"/>
      <c r="AK567" s="174"/>
      <c r="AL567" s="120"/>
      <c r="AM567" s="120"/>
      <c r="AN567" s="120"/>
      <c r="AO567" s="120"/>
      <c r="AP567" s="120"/>
      <c r="AQ567" s="175"/>
      <c r="AR567" s="120"/>
      <c r="AS567" s="120"/>
      <c r="AT567" s="120"/>
      <c r="AU567" s="120"/>
      <c r="AV567" s="120"/>
      <c r="AW567" s="120"/>
      <c r="AX567" s="120"/>
      <c r="AY567" s="120"/>
      <c r="AZ567" s="118">
        <f>IFERROR(INDEX('Total Customers'!$F$7:$AB$91,MATCH($C567,'Total Customers'!$D$7:$D$91,0),MATCH($G567,'Total Customers'!$F$5:$AB$5,0)),"NA")</f>
        <v>206630</v>
      </c>
      <c r="BA567" s="119">
        <f t="shared" si="1636"/>
        <v>-2.2874351865555885E-2</v>
      </c>
      <c r="BB567" s="119"/>
      <c r="BC567" s="121"/>
      <c r="BD567" s="119"/>
      <c r="BE567" s="119"/>
      <c r="BF567" s="119"/>
      <c r="BG567" s="173"/>
      <c r="BH567" s="173"/>
      <c r="BI567" s="173"/>
      <c r="BJ567" s="173"/>
      <c r="BK567" s="173"/>
      <c r="BL567" s="173"/>
      <c r="BM567" s="173"/>
      <c r="BN567" s="173"/>
      <c r="BO567" s="173"/>
      <c r="BP567" s="173"/>
      <c r="BQ567" s="118"/>
      <c r="BR567" s="118"/>
      <c r="BS567" s="118">
        <f>INDEX('Dist. Plant Gas Additions'!$F$7:$AE$91,MATCH($C567,'Dist. Plant Gas Additions'!$D$7:$D$91,0),MATCH(Calculation!$G567,'Dist. Plant Gas Additions'!$F$5:$AE$5,0))</f>
        <v>5359</v>
      </c>
      <c r="BT567" s="118">
        <f>INDEX('Gen. Plant Additions'!$F$7:$AE$91,MATCH($C567,'Gen. Plant Additions'!$D$7:$D$91,0),MATCH(Calculation!$G567,'Gen. Plant Additions'!$F$5:$AE$5,0))</f>
        <v>7349</v>
      </c>
      <c r="BU567" s="118"/>
      <c r="BV567" s="118"/>
      <c r="BW567" s="118" t="str">
        <f>INDEX('Dist Plant Depreciation'!$E$7:$AD$94,MATCH($C567,'Dist Plant Depreciation'!$D$7:$D$94,0),MATCH(Calculation!$G567,'Dist Plant Depreciation'!$E$5:$AD$5,0))</f>
        <v>NA</v>
      </c>
      <c r="BX567" s="118" t="str">
        <f>INDEX('Gen. Plant Depreciation'!$E$7:$AD$94,MATCH($C567,'Gen. Plant Depreciation'!$D$7:$D$94,0),MATCH(Calculation!$G567,'Gen. Plant Depreciation'!$E$5:$AD$5,0))</f>
        <v>NA</v>
      </c>
      <c r="BY567" s="118"/>
      <c r="BZ567" s="118"/>
      <c r="CA567" s="118"/>
      <c r="CB567" s="118"/>
      <c r="CC567" s="118"/>
      <c r="CD567" s="118"/>
      <c r="CE567" s="118">
        <f>INDEX('Gross Dx Plant'!$E$7:$AD$91,MATCH($C567,'Gross Dx Plant'!$D$7:$D$91,0),MATCH(Calculation!$G567,'Gross Dx Plant'!$E$5:$AD$5,0))</f>
        <v>258042</v>
      </c>
      <c r="CF567" s="118">
        <f>INDEX('Gross Gen Plant'!$E$7:$AD$91,MATCH($C567,'Gross Gen Plant'!$D$7:$D$91,0),MATCH(Calculation!$G567,'Gross Gen Plant'!$E$5:$AD$5,0))</f>
        <v>38525</v>
      </c>
      <c r="CG567" s="118" t="str">
        <f t="shared" si="1516"/>
        <v>NA</v>
      </c>
      <c r="CH567" s="118"/>
      <c r="CI567" s="121">
        <v>2001</v>
      </c>
      <c r="CJ567" s="118"/>
      <c r="CK567" s="118"/>
      <c r="CL567" s="118"/>
      <c r="CM567" s="183"/>
      <c r="CN567" s="118">
        <f t="shared" si="1637"/>
        <v>12708</v>
      </c>
      <c r="CO567" s="118">
        <f t="shared" si="1638"/>
        <v>35.954432576962482</v>
      </c>
      <c r="CP567" s="186">
        <v>0.98461538461538467</v>
      </c>
      <c r="CQ567" s="118">
        <f>+CQ564*CP567+CO565*CP566+CO566*CP564+CO567</f>
        <v>737.81574536190396</v>
      </c>
      <c r="CR567" s="119">
        <f t="shared" si="1639"/>
        <v>4.487568422714111E-2</v>
      </c>
      <c r="CS567" s="119"/>
      <c r="CT567" s="177">
        <f t="shared" si="1640"/>
        <v>5.0697226532188241E-3</v>
      </c>
      <c r="CU567" s="177">
        <f>+(CT567+CT566+CT565)/3</f>
        <v>5.0623424608516277E-3</v>
      </c>
      <c r="CV567" s="119">
        <f>VLOOKUP($H567,RoR!$E:$F,2,FALSE)</f>
        <v>7.0824999999999999E-2</v>
      </c>
      <c r="CW567" s="177">
        <v>2.2454495382290052E-2</v>
      </c>
      <c r="CX567" s="177">
        <f t="shared" si="1646"/>
        <v>4.8370504617709947E-2</v>
      </c>
      <c r="CY567" s="177">
        <f>+$CX$35-CU567</f>
        <v>2.5839599147681996E-2</v>
      </c>
      <c r="CZ567" s="177">
        <f>+((DM565/DM564-1)+(DM566/DM565-1)+(DM567/DM566-1))/3</f>
        <v>2.3947275901631187E-2</v>
      </c>
      <c r="DA567" s="187">
        <f t="shared" si="1641"/>
        <v>0.84925000000000006</v>
      </c>
      <c r="DB567" s="188">
        <f t="shared" si="1642"/>
        <v>0.72406708481540816</v>
      </c>
      <c r="DC567" s="188">
        <f t="shared" si="1643"/>
        <v>0.62201729615248857</v>
      </c>
      <c r="DD567" s="188">
        <f t="shared" si="1644"/>
        <v>0.9352469954311422</v>
      </c>
      <c r="DE567" s="188">
        <f t="shared" si="1645"/>
        <v>0.42121864641655071</v>
      </c>
      <c r="DF567" s="189">
        <f>INDEX('State Tax Lookup'!$D$7:$Z$91,MATCH(Calculation!$C567,'State Tax Lookup'!$B$7:$B$91,0),MATCH($H567,'State Tax Lookup'!$D$6:$Z$6,0))</f>
        <v>0.40200000000000002</v>
      </c>
      <c r="DG567" s="189">
        <v>0.375</v>
      </c>
      <c r="DH567" s="190">
        <f t="shared" ref="DH567:DH587" si="1647">+(DM567*CY567-CZ567)*DA567/(1-DF567)</f>
        <v>12.93613863204266</v>
      </c>
      <c r="DI567" s="190"/>
      <c r="DJ567" s="177"/>
      <c r="DK567" s="189">
        <f>VLOOKUP($H567,RoR!$E:$F,2,FALSE)</f>
        <v>7.0824999999999999E-2</v>
      </c>
      <c r="DL567" s="191">
        <f>HLOOKUP($H567,'GDP-PI'!$D$8:$CQ$11,3,FALSE)</f>
        <v>2.2454495382290052E-2</v>
      </c>
      <c r="DM567" s="189">
        <f>VLOOKUP(H567,'HW Dx Data'!$E:$F,2,FALSE)</f>
        <v>353.44738017483138</v>
      </c>
      <c r="DN567" s="183">
        <f>VLOOKUP(H567,'ECI - Input Price'!$G$17:$H$37,2,FALSE)</f>
        <v>86.2</v>
      </c>
      <c r="DO567" s="177"/>
      <c r="DP567" s="183">
        <f>HLOOKUP(H567,'GDP-PI'!$8:$9,2,FALSE)</f>
        <v>79.822000000000003</v>
      </c>
    </row>
    <row r="568" spans="1:121" s="167" customFormat="1" ht="21" x14ac:dyDescent="0.35">
      <c r="A568" s="167" t="s">
        <v>69</v>
      </c>
      <c r="B568" s="168" t="s">
        <v>69</v>
      </c>
      <c r="C568" s="168">
        <v>4061634</v>
      </c>
      <c r="D568" s="168" t="s">
        <v>135</v>
      </c>
      <c r="E568" s="168"/>
      <c r="F568" s="168"/>
      <c r="G568" s="168" t="s">
        <v>8</v>
      </c>
      <c r="H568" s="169">
        <v>2002</v>
      </c>
      <c r="I568" s="170"/>
      <c r="J568" s="166"/>
      <c r="K568" s="166"/>
      <c r="L568" s="166"/>
      <c r="M568" s="166"/>
      <c r="N568" s="196"/>
      <c r="O568" s="166"/>
      <c r="P568" s="166"/>
      <c r="Q568" s="166"/>
      <c r="R568" s="166"/>
      <c r="S568" s="166"/>
      <c r="T568" s="166"/>
      <c r="U568" s="166"/>
      <c r="V568" s="166">
        <f t="shared" si="1635"/>
        <v>9664.4657056381056</v>
      </c>
      <c r="W568" s="170"/>
      <c r="X568" s="174">
        <v>764.45771592099663</v>
      </c>
      <c r="Y568" s="175">
        <v>3.5472588486584286E-2</v>
      </c>
      <c r="Z568" s="175"/>
      <c r="AA568" s="175"/>
      <c r="AB568" s="175"/>
      <c r="AC568" s="170">
        <f t="shared" si="1475"/>
        <v>9664.4657056381056</v>
      </c>
      <c r="AD568" s="175"/>
      <c r="AE568" s="170"/>
      <c r="AF568" s="170"/>
      <c r="AG568" s="174"/>
      <c r="AH568" s="175"/>
      <c r="AI568" s="175"/>
      <c r="AJ568" s="174"/>
      <c r="AK568" s="174"/>
      <c r="AL568" s="120"/>
      <c r="AM568" s="120"/>
      <c r="AN568" s="120"/>
      <c r="AO568" s="120"/>
      <c r="AP568" s="120"/>
      <c r="AQ568" s="175"/>
      <c r="AR568" s="120"/>
      <c r="AS568" s="120"/>
      <c r="AT568" s="120"/>
      <c r="AU568" s="120"/>
      <c r="AV568" s="120"/>
      <c r="AW568" s="120"/>
      <c r="AX568" s="120"/>
      <c r="AY568" s="120"/>
      <c r="AZ568" s="118">
        <f>IFERROR(INDEX('Total Customers'!$F$7:$AB$91,MATCH($C568,'Total Customers'!$D$7:$D$91,0),MATCH($G568,'Total Customers'!$F$5:$AB$5,0)),"NA")</f>
        <v>205740</v>
      </c>
      <c r="BA568" s="119">
        <f t="shared" si="1636"/>
        <v>-4.3165185726292896E-3</v>
      </c>
      <c r="BB568" s="119"/>
      <c r="BC568" s="121"/>
      <c r="BD568" s="119"/>
      <c r="BE568" s="119"/>
      <c r="BF568" s="119"/>
      <c r="BG568" s="173"/>
      <c r="BH568" s="173"/>
      <c r="BI568" s="173"/>
      <c r="BJ568" s="173"/>
      <c r="BK568" s="173"/>
      <c r="BL568" s="173"/>
      <c r="BM568" s="173"/>
      <c r="BN568" s="173"/>
      <c r="BO568" s="173"/>
      <c r="BP568" s="173"/>
      <c r="BQ568" s="118"/>
      <c r="BR568" s="118"/>
      <c r="BS568" s="118">
        <f>INDEX('Dist. Plant Gas Additions'!$F$7:$AE$91,MATCH($C568,'Dist. Plant Gas Additions'!$D$7:$D$91,0),MATCH(Calculation!$G568,'Dist. Plant Gas Additions'!$F$5:$AE$5,0))</f>
        <v>10629</v>
      </c>
      <c r="BT568" s="118">
        <f>INDEX('Gen. Plant Additions'!$F$7:$AE$91,MATCH($C568,'Gen. Plant Additions'!$D$7:$D$91,0),MATCH(Calculation!$G568,'Gen. Plant Additions'!$F$5:$AE$5,0))</f>
        <v>520</v>
      </c>
      <c r="BU568" s="118"/>
      <c r="BV568" s="118"/>
      <c r="BW568" s="118" t="str">
        <f>INDEX('Dist Plant Depreciation'!$E$7:$AD$94,MATCH($C568,'Dist Plant Depreciation'!$D$7:$D$94,0),MATCH(Calculation!$G568,'Dist Plant Depreciation'!$E$5:$AD$5,0))</f>
        <v>NA</v>
      </c>
      <c r="BX568" s="118" t="str">
        <f>INDEX('Gen. Plant Depreciation'!$E$7:$AD$94,MATCH($C568,'Gen. Plant Depreciation'!$D$7:$D$94,0),MATCH(Calculation!$G568,'Gen. Plant Depreciation'!$E$5:$AD$5,0))</f>
        <v>NA</v>
      </c>
      <c r="BY568" s="118"/>
      <c r="BZ568" s="118"/>
      <c r="CA568" s="118"/>
      <c r="CB568" s="118"/>
      <c r="CC568" s="118"/>
      <c r="CD568" s="118"/>
      <c r="CE568" s="118">
        <f>INDEX('Gross Dx Plant'!$E$7:$AD$91,MATCH($C568,'Gross Dx Plant'!$D$7:$D$91,0),MATCH(Calculation!$G568,'Gross Dx Plant'!$E$5:$AD$5,0))</f>
        <v>268403</v>
      </c>
      <c r="CF568" s="118">
        <f>INDEX('Gross Gen Plant'!$E$7:$AD$91,MATCH($C568,'Gross Gen Plant'!$D$7:$D$91,0),MATCH(Calculation!$G568,'Gross Gen Plant'!$E$5:$AD$5,0))</f>
        <v>37202</v>
      </c>
      <c r="CG568" s="118" t="str">
        <f t="shared" si="1516"/>
        <v>NA</v>
      </c>
      <c r="CH568" s="118"/>
      <c r="CI568" s="121">
        <v>2002</v>
      </c>
      <c r="CJ568" s="118"/>
      <c r="CK568" s="118"/>
      <c r="CL568" s="118"/>
      <c r="CM568" s="183"/>
      <c r="CN568" s="118">
        <f t="shared" si="1637"/>
        <v>11149</v>
      </c>
      <c r="CO568" s="118">
        <f t="shared" si="1638"/>
        <v>30.853899527479381</v>
      </c>
      <c r="CP568" s="186">
        <v>0.97916666666666663</v>
      </c>
      <c r="CQ568" s="118">
        <f>+CQ564*CP568+CO565*CP567+CO566*CP566+CO567*CP565+CO568</f>
        <v>764.45771592099663</v>
      </c>
      <c r="CR568" s="119">
        <f t="shared" si="1639"/>
        <v>3.5472588486584286E-2</v>
      </c>
      <c r="CS568" s="119"/>
      <c r="CT568" s="177">
        <f t="shared" si="1640"/>
        <v>5.7086460879480555E-3</v>
      </c>
      <c r="CU568" s="177">
        <f t="shared" ref="CU568:CU587" si="1648">+(CT568+CT567+CT566)/3</f>
        <v>5.3068496974644922E-3</v>
      </c>
      <c r="CV568" s="119">
        <f>VLOOKUP($H568,RoR!$E:$F,2,FALSE)</f>
        <v>6.4916666666666664E-2</v>
      </c>
      <c r="CW568" s="177">
        <v>1.5246423291824351E-2</v>
      </c>
      <c r="CX568" s="177">
        <f t="shared" si="1646"/>
        <v>4.9670243374842313E-2</v>
      </c>
      <c r="CY568" s="177">
        <f t="shared" ref="CY568:CY587" si="1649">+$CX$35-CU568</f>
        <v>2.5595091911069134E-2</v>
      </c>
      <c r="CZ568" s="177">
        <f t="shared" ref="CZ568:CZ587" si="1650">+((DM566/DM565-1)+(DM567/DM566-1)+(DM568/DM567-1))/3</f>
        <v>2.5243621214759093E-2</v>
      </c>
      <c r="DA568" s="187">
        <f t="shared" si="1641"/>
        <v>0.84925000000000006</v>
      </c>
      <c r="DB568" s="188">
        <f t="shared" si="1642"/>
        <v>0.78996741384417901</v>
      </c>
      <c r="DC568" s="188">
        <f t="shared" si="1643"/>
        <v>0.58989088575096271</v>
      </c>
      <c r="DD568" s="188">
        <f t="shared" si="1644"/>
        <v>0.91920675783645744</v>
      </c>
      <c r="DE568" s="188">
        <f t="shared" si="1645"/>
        <v>0.42834536472275586</v>
      </c>
      <c r="DF568" s="189">
        <f>INDEX('State Tax Lookup'!$D$7:$Z$91,MATCH(Calculation!$C568,'State Tax Lookup'!$B$7:$B$91,0),MATCH($H568,'State Tax Lookup'!$D$6:$Z$6,0))</f>
        <v>0.40200000000000002</v>
      </c>
      <c r="DG568" s="189">
        <v>0.375</v>
      </c>
      <c r="DH568" s="190">
        <f t="shared" si="1647"/>
        <v>13.098752319114055</v>
      </c>
      <c r="DI568" s="190"/>
      <c r="DJ568" s="177"/>
      <c r="DK568" s="189">
        <f>VLOOKUP($H568,RoR!$E:$F,2,FALSE)</f>
        <v>6.4916666666666664E-2</v>
      </c>
      <c r="DL568" s="191">
        <f>HLOOKUP($H568,'GDP-PI'!$D$8:$CQ$11,3,FALSE)</f>
        <v>1.5246423291824351E-2</v>
      </c>
      <c r="DM568" s="189">
        <f>VLOOKUP(H568,'HW Dx Data'!$E:$F,2,FALSE)</f>
        <v>361.34816573413599</v>
      </c>
      <c r="DN568" s="183">
        <f>VLOOKUP(H568,'ECI - Input Price'!$G$17:$H$37,2,FALSE)</f>
        <v>89.275000000000006</v>
      </c>
      <c r="DO568" s="177">
        <f>LN(DN568/DN567)</f>
        <v>3.5051315810864674E-2</v>
      </c>
      <c r="DP568" s="183">
        <f>HLOOKUP(H568,'GDP-PI'!$8:$9,2,FALSE)</f>
        <v>81.039000000000001</v>
      </c>
      <c r="DQ568" s="177">
        <f>LN(DP568/DP567)</f>
        <v>1.513136459537477E-2</v>
      </c>
    </row>
    <row r="569" spans="1:121" s="167" customFormat="1" ht="21" x14ac:dyDescent="0.35">
      <c r="A569" s="167" t="s">
        <v>69</v>
      </c>
      <c r="B569" s="168" t="s">
        <v>69</v>
      </c>
      <c r="C569" s="168">
        <v>4061634</v>
      </c>
      <c r="D569" s="168" t="s">
        <v>135</v>
      </c>
      <c r="E569" s="168"/>
      <c r="F569" s="168"/>
      <c r="G569" s="168" t="s">
        <v>9</v>
      </c>
      <c r="H569" s="169">
        <v>2003</v>
      </c>
      <c r="I569" s="170"/>
      <c r="J569" s="166"/>
      <c r="K569" s="166"/>
      <c r="L569" s="166"/>
      <c r="M569" s="172"/>
      <c r="N569" s="196"/>
      <c r="O569" s="172"/>
      <c r="P569" s="166"/>
      <c r="Q569" s="166"/>
      <c r="R569" s="166"/>
      <c r="S569" s="166"/>
      <c r="T569" s="166"/>
      <c r="U569" s="166"/>
      <c r="V569" s="166">
        <f t="shared" si="1635"/>
        <v>10168.166901839542</v>
      </c>
      <c r="W569" s="170"/>
      <c r="X569" s="174">
        <v>785.25405672953605</v>
      </c>
      <c r="Y569" s="175">
        <v>2.6840590184827977E-2</v>
      </c>
      <c r="Z569" s="175"/>
      <c r="AA569" s="175"/>
      <c r="AB569" s="175"/>
      <c r="AC569" s="170">
        <f t="shared" si="1475"/>
        <v>10168.166901839542</v>
      </c>
      <c r="AD569" s="175"/>
      <c r="AE569" s="170"/>
      <c r="AF569" s="170"/>
      <c r="AG569" s="174"/>
      <c r="AH569" s="175"/>
      <c r="AI569" s="175"/>
      <c r="AJ569" s="174"/>
      <c r="AK569" s="174"/>
      <c r="AL569" s="120"/>
      <c r="AM569" s="120"/>
      <c r="AN569" s="120"/>
      <c r="AO569" s="120"/>
      <c r="AP569" s="120"/>
      <c r="AQ569" s="175"/>
      <c r="AR569" s="120"/>
      <c r="AS569" s="120"/>
      <c r="AT569" s="120"/>
      <c r="AU569" s="120"/>
      <c r="AV569" s="120"/>
      <c r="AW569" s="120"/>
      <c r="AX569" s="120"/>
      <c r="AY569" s="120"/>
      <c r="AZ569" s="118">
        <f>IFERROR(INDEX('Total Customers'!$F$7:$AB$91,MATCH($C569,'Total Customers'!$D$7:$D$91,0),MATCH($G569,'Total Customers'!$F$5:$AB$5,0)),"NA")</f>
        <v>204788</v>
      </c>
      <c r="BA569" s="119">
        <f t="shared" si="1636"/>
        <v>-4.6379380042120373E-3</v>
      </c>
      <c r="BB569" s="119"/>
      <c r="BC569" s="121"/>
      <c r="BD569" s="119"/>
      <c r="BE569" s="119"/>
      <c r="BF569" s="119"/>
      <c r="BG569" s="173"/>
      <c r="BH569" s="173"/>
      <c r="BI569" s="173"/>
      <c r="BJ569" s="173"/>
      <c r="BK569" s="173"/>
      <c r="BL569" s="173"/>
      <c r="BM569" s="173"/>
      <c r="BN569" s="173"/>
      <c r="BO569" s="173"/>
      <c r="BP569" s="173"/>
      <c r="BQ569" s="118"/>
      <c r="BR569" s="118"/>
      <c r="BS569" s="118">
        <f>INDEX('Dist. Plant Gas Additions'!$F$7:$AE$91,MATCH($C569,'Dist. Plant Gas Additions'!$D$7:$D$91,0),MATCH(Calculation!$G569,'Dist. Plant Gas Additions'!$F$5:$AE$5,0))</f>
        <v>9272</v>
      </c>
      <c r="BT569" s="118">
        <f>INDEX('Gen. Plant Additions'!$F$7:$AE$91,MATCH($C569,'Gen. Plant Additions'!$D$7:$D$91,0),MATCH(Calculation!$G569,'Gen. Plant Additions'!$F$5:$AE$5,0))</f>
        <v>3</v>
      </c>
      <c r="BU569" s="118"/>
      <c r="BV569" s="118"/>
      <c r="BW569" s="118" t="str">
        <f>INDEX('Dist Plant Depreciation'!$E$7:$AD$94,MATCH($C569,'Dist Plant Depreciation'!$D$7:$D$94,0),MATCH(Calculation!$G569,'Dist Plant Depreciation'!$E$5:$AD$5,0))</f>
        <v>NA</v>
      </c>
      <c r="BX569" s="118" t="str">
        <f>INDEX('Gen. Plant Depreciation'!$E$7:$AD$94,MATCH($C569,'Gen. Plant Depreciation'!$D$7:$D$94,0),MATCH(Calculation!$G569,'Gen. Plant Depreciation'!$E$5:$AD$5,0))</f>
        <v>NA</v>
      </c>
      <c r="BY569" s="118"/>
      <c r="BZ569" s="118"/>
      <c r="CA569" s="118"/>
      <c r="CB569" s="118"/>
      <c r="CC569" s="118"/>
      <c r="CD569" s="118"/>
      <c r="CE569" s="118">
        <f>INDEX('Gross Dx Plant'!$E$7:$AD$91,MATCH($C569,'Gross Dx Plant'!$D$7:$D$91,0),MATCH(Calculation!$G569,'Gross Dx Plant'!$E$5:$AD$5,0))</f>
        <v>276696</v>
      </c>
      <c r="CF569" s="118">
        <f>INDEX('Gross Gen Plant'!$E$7:$AD$91,MATCH($C569,'Gross Gen Plant'!$D$7:$D$91,0),MATCH(Calculation!$G569,'Gross Gen Plant'!$E$5:$AD$5,0))</f>
        <v>36312</v>
      </c>
      <c r="CG569" s="118" t="str">
        <f t="shared" si="1516"/>
        <v>NA</v>
      </c>
      <c r="CH569" s="118"/>
      <c r="CI569" s="121">
        <v>2003</v>
      </c>
      <c r="CJ569" s="118"/>
      <c r="CK569" s="118"/>
      <c r="CL569" s="118"/>
      <c r="CM569" s="183"/>
      <c r="CN569" s="118">
        <f t="shared" si="1637"/>
        <v>9275</v>
      </c>
      <c r="CO569" s="118">
        <f t="shared" si="1638"/>
        <v>25.119639156844684</v>
      </c>
      <c r="CP569" s="186">
        <v>0.97354497354497349</v>
      </c>
      <c r="CQ569" s="118">
        <f>+CQ564*CP569+CO565*CP568+CO566*CP567+CO567*CP566+CO568*CP565+CO569</f>
        <v>785.25405672953605</v>
      </c>
      <c r="CR569" s="119">
        <f t="shared" si="1639"/>
        <v>2.6840590184827977E-2</v>
      </c>
      <c r="CS569" s="119"/>
      <c r="CT569" s="177">
        <f t="shared" si="1640"/>
        <v>5.6553793077968829E-3</v>
      </c>
      <c r="CU569" s="177">
        <f t="shared" si="1648"/>
        <v>5.4779160163212536E-3</v>
      </c>
      <c r="CV569" s="119">
        <f>VLOOKUP($H569,RoR!$E:$F,2,FALSE)</f>
        <v>5.6666666666666671E-2</v>
      </c>
      <c r="CW569" s="177">
        <v>1.8855119140166909E-2</v>
      </c>
      <c r="CX569" s="177">
        <f t="shared" si="1646"/>
        <v>3.7811547526499761E-2</v>
      </c>
      <c r="CY569" s="177">
        <f t="shared" si="1649"/>
        <v>2.5424025592212372E-2</v>
      </c>
      <c r="CZ569" s="177">
        <f t="shared" si="1650"/>
        <v>2.1375012817671957E-2</v>
      </c>
      <c r="DA569" s="187">
        <f t="shared" si="1641"/>
        <v>0.84925000000000006</v>
      </c>
      <c r="DB569" s="188">
        <f t="shared" si="1642"/>
        <v>0.90497737556561086</v>
      </c>
      <c r="DC569" s="188">
        <f t="shared" si="1643"/>
        <v>0.5338235294117647</v>
      </c>
      <c r="DD569" s="188">
        <f t="shared" si="1644"/>
        <v>0.88972433127405692</v>
      </c>
      <c r="DE569" s="188">
        <f t="shared" si="1645"/>
        <v>0.42982423775949252</v>
      </c>
      <c r="DF569" s="189">
        <f>INDEX('State Tax Lookup'!$D$7:$Z$91,MATCH(Calculation!$C569,'State Tax Lookup'!$B$7:$B$91,0),MATCH($H569,'State Tax Lookup'!$D$6:$Z$6,0))</f>
        <v>0.40200000000000002</v>
      </c>
      <c r="DG569" s="189">
        <v>0.375</v>
      </c>
      <c r="DH569" s="190">
        <f t="shared" si="1647"/>
        <v>13.301150201079766</v>
      </c>
      <c r="DI569" s="190"/>
      <c r="DJ569" s="177"/>
      <c r="DK569" s="189">
        <f>VLOOKUP($H569,RoR!$E:$F,2,FALSE)</f>
        <v>5.6666666666666671E-2</v>
      </c>
      <c r="DL569" s="191">
        <f>HLOOKUP($H569,'GDP-PI'!$D$8:$CQ$11,3,FALSE)</f>
        <v>1.8855119140166909E-2</v>
      </c>
      <c r="DM569" s="189">
        <f>VLOOKUP(H569,'HW Dx Data'!$E:$F,2,FALSE)</f>
        <v>369.23301095560191</v>
      </c>
      <c r="DN569" s="183">
        <f>VLOOKUP(H569,'ECI - Input Price'!$G$17:$H$37,2,FALSE)</f>
        <v>92.625</v>
      </c>
      <c r="DO569" s="177">
        <f t="shared" ref="DO569" si="1651">LN(DN569/DN568)</f>
        <v>3.6837590135738785E-2</v>
      </c>
      <c r="DP569" s="183">
        <f>HLOOKUP(H569,'GDP-PI'!$8:$9,2,FALSE)</f>
        <v>82.566999999999993</v>
      </c>
      <c r="DQ569" s="177">
        <f t="shared" ref="DQ569" si="1652">LN(DP569/DP568)</f>
        <v>1.8679564681853753E-2</v>
      </c>
    </row>
    <row r="570" spans="1:121" s="167" customFormat="1" ht="21" x14ac:dyDescent="0.35">
      <c r="A570" s="167" t="s">
        <v>69</v>
      </c>
      <c r="B570" s="168" t="s">
        <v>69</v>
      </c>
      <c r="C570" s="168">
        <v>4061634</v>
      </c>
      <c r="D570" s="168" t="s">
        <v>135</v>
      </c>
      <c r="E570" s="168"/>
      <c r="F570" s="168"/>
      <c r="G570" s="168" t="s">
        <v>10</v>
      </c>
      <c r="H570" s="169">
        <v>2004</v>
      </c>
      <c r="I570" s="170"/>
      <c r="J570" s="166">
        <f>IFERROR(INDEX('Labor Expenditures'!$F$7:$X$91,MATCH($C570,'Labor Expenditures'!$D$7:$D$91,0),MATCH($G570,'Labor Expenditures'!$F$5:$X$5,0)),"NA")</f>
        <v>18736.705090680451</v>
      </c>
      <c r="K570" s="166">
        <f t="shared" ref="K570:K587" si="1653">+J570/DN570</f>
        <v>194.81887279106266</v>
      </c>
      <c r="L570" s="172"/>
      <c r="M570" s="172"/>
      <c r="N570" s="196"/>
      <c r="O570" s="172"/>
      <c r="P570" s="166">
        <f>IFERROR(INDEX('Non-Labor Expenditures'!$F$7:$AB$91,MATCH($C570,'Non-Labor Expenditures'!$D$7:$D$91,0),MATCH($G570,'Non-Labor Expenditures'!$F$5:$AB$5,0)),"NA")</f>
        <v>27134.248505092306</v>
      </c>
      <c r="Q570" s="166">
        <f t="shared" ref="Q570:Q587" si="1654">+P570/DP570</f>
        <v>320.06238063049733</v>
      </c>
      <c r="R570" s="166"/>
      <c r="S570" s="166"/>
      <c r="T570" s="166"/>
      <c r="U570" s="166"/>
      <c r="V570" s="166">
        <f t="shared" si="1635"/>
        <v>11581.648026185163</v>
      </c>
      <c r="W570" s="170"/>
      <c r="X570" s="174">
        <v>817.01199915060886</v>
      </c>
      <c r="Y570" s="175">
        <v>3.9646477026540054E-2</v>
      </c>
      <c r="Z570" s="175"/>
      <c r="AA570" s="175"/>
      <c r="AB570" s="175"/>
      <c r="AC570" s="170">
        <f t="shared" si="1475"/>
        <v>57452.601621957918</v>
      </c>
      <c r="AD570" s="175"/>
      <c r="AE570" s="170"/>
      <c r="AF570" s="170"/>
      <c r="AG570" s="174"/>
      <c r="AH570" s="175"/>
      <c r="AI570" s="175"/>
      <c r="AJ570" s="174"/>
      <c r="AK570" s="174"/>
      <c r="AL570" s="120">
        <f t="shared" ref="AL570:AL587" si="1655">+J570/AC570</f>
        <v>0.32612457158979957</v>
      </c>
      <c r="AM570" s="120">
        <f t="shared" ref="AM570:AM587" si="1656">+P570/AC570</f>
        <v>0.47228929132987801</v>
      </c>
      <c r="AN570" s="120">
        <f t="shared" ref="AN570:AN587" si="1657">+V570/AC570</f>
        <v>0.20158613708032241</v>
      </c>
      <c r="AO570" s="120"/>
      <c r="AP570" s="120"/>
      <c r="AQ570" s="175"/>
      <c r="AR570" s="120"/>
      <c r="AS570" s="120"/>
      <c r="AT570" s="120"/>
      <c r="AU570" s="120"/>
      <c r="AV570" s="120"/>
      <c r="AW570" s="120"/>
      <c r="AX570" s="120"/>
      <c r="AY570" s="120"/>
      <c r="AZ570" s="118">
        <f>IFERROR(INDEX('Total Customers'!$F$7:$AB$91,MATCH($C570,'Total Customers'!$D$7:$D$91,0),MATCH($G570,'Total Customers'!$F$5:$AB$5,0)),"NA")</f>
        <v>202850</v>
      </c>
      <c r="BA570" s="119">
        <f t="shared" si="1636"/>
        <v>-9.5085080462156898E-3</v>
      </c>
      <c r="BB570" s="119"/>
      <c r="BC570" s="121"/>
      <c r="BD570" s="119"/>
      <c r="BE570" s="119"/>
      <c r="BF570" s="119"/>
      <c r="BG570" s="173"/>
      <c r="BH570" s="173"/>
      <c r="BI570" s="173"/>
      <c r="BJ570" s="173"/>
      <c r="BK570" s="173"/>
      <c r="BL570" s="173"/>
      <c r="BM570" s="173"/>
      <c r="BN570" s="173"/>
      <c r="BO570" s="173"/>
      <c r="BP570" s="173"/>
      <c r="BQ570" s="118"/>
      <c r="BR570" s="118"/>
      <c r="BS570" s="118">
        <f>INDEX('Dist. Plant Gas Additions'!$F$7:$AE$91,MATCH($C570,'Dist. Plant Gas Additions'!$D$7:$D$91,0),MATCH(Calculation!$G570,'Dist. Plant Gas Additions'!$F$5:$AE$5,0))</f>
        <v>14431</v>
      </c>
      <c r="BT570" s="118">
        <f>INDEX('Gen. Plant Additions'!$F$7:$AE$91,MATCH($C570,'Gen. Plant Additions'!$D$7:$D$91,0),MATCH(Calculation!$G570,'Gen. Plant Additions'!$F$5:$AE$5,0))</f>
        <v>648</v>
      </c>
      <c r="BU570" s="118"/>
      <c r="BV570" s="118"/>
      <c r="BW570" s="118">
        <f>INDEX('Dist Plant Depreciation'!$E$7:$AD$94,MATCH($C570,'Dist Plant Depreciation'!$D$7:$D$94,0),MATCH(Calculation!$G570,'Dist Plant Depreciation'!$E$5:$AD$5,0))</f>
        <v>143255</v>
      </c>
      <c r="BX570" s="118">
        <f>INDEX('Gen. Plant Depreciation'!$E$7:$AD$94,MATCH($C570,'Gen. Plant Depreciation'!$D$7:$D$94,0),MATCH(Calculation!$G570,'Gen. Plant Depreciation'!$E$5:$AD$5,0))</f>
        <v>30024</v>
      </c>
      <c r="BY570" s="118"/>
      <c r="BZ570" s="118"/>
      <c r="CA570" s="118"/>
      <c r="CB570" s="118"/>
      <c r="CC570" s="118"/>
      <c r="CD570" s="118"/>
      <c r="CE570" s="118">
        <f>INDEX('Gross Dx Plant'!$E$7:$AD$91,MATCH($C570,'Gross Dx Plant'!$D$7:$D$91,0),MATCH(Calculation!$G570,'Gross Dx Plant'!$E$5:$AD$5,0))</f>
        <v>289703</v>
      </c>
      <c r="CF570" s="118">
        <f>INDEX('Gross Gen Plant'!$E$7:$AD$91,MATCH($C570,'Gross Gen Plant'!$D$7:$D$91,0),MATCH(Calculation!$G570,'Gross Gen Plant'!$E$5:$AD$5,0))</f>
        <v>35516</v>
      </c>
      <c r="CG570" s="118">
        <f t="shared" si="1516"/>
        <v>151940</v>
      </c>
      <c r="CH570" s="118"/>
      <c r="CI570" s="121">
        <v>2004</v>
      </c>
      <c r="CJ570" s="118"/>
      <c r="CK570" s="118"/>
      <c r="CL570" s="118"/>
      <c r="CM570" s="183"/>
      <c r="CN570" s="118">
        <f t="shared" si="1637"/>
        <v>15079</v>
      </c>
      <c r="CO570" s="118">
        <f t="shared" si="1638"/>
        <v>36.344819301004435</v>
      </c>
      <c r="CP570" s="186">
        <v>0.967741935483871</v>
      </c>
      <c r="CQ570" s="118">
        <f>+CQ564*CP570+CO565*CP569+CO566*CP568+CO567*CP567+CO568*CP566+CO569*CP565+CO570</f>
        <v>817.01199915060886</v>
      </c>
      <c r="CR570" s="119">
        <f t="shared" si="1639"/>
        <v>3.9646477026540054E-2</v>
      </c>
      <c r="CS570" s="119"/>
      <c r="CT570" s="177">
        <f t="shared" si="1640"/>
        <v>5.8412647991087988E-3</v>
      </c>
      <c r="CU570" s="177">
        <f t="shared" si="1648"/>
        <v>5.7350967316179132E-3</v>
      </c>
      <c r="CV570" s="119">
        <f>VLOOKUP($H570,RoR!$E:$F,2,FALSE)</f>
        <v>5.6283333333333331E-2</v>
      </c>
      <c r="CW570" s="177">
        <v>2.6778252812867276E-2</v>
      </c>
      <c r="CX570" s="177">
        <f t="shared" si="1646"/>
        <v>2.9505080520466055E-2</v>
      </c>
      <c r="CY570" s="177">
        <f t="shared" si="1649"/>
        <v>2.5166844876915711E-2</v>
      </c>
      <c r="CZ570" s="177">
        <f t="shared" si="1650"/>
        <v>5.5940039414565046E-2</v>
      </c>
      <c r="DA570" s="187">
        <f t="shared" si="1641"/>
        <v>0.84925000000000006</v>
      </c>
      <c r="DB570" s="188">
        <f t="shared" si="1642"/>
        <v>0.91114097628755619</v>
      </c>
      <c r="DC570" s="188">
        <f t="shared" si="1643"/>
        <v>0.53081877405981637</v>
      </c>
      <c r="DD570" s="188">
        <f t="shared" si="1644"/>
        <v>0.88811215519385678</v>
      </c>
      <c r="DE570" s="188">
        <f t="shared" si="1645"/>
        <v>0.42953609753547711</v>
      </c>
      <c r="DF570" s="189">
        <f>INDEX('State Tax Lookup'!$D$7:$Z$91,MATCH(Calculation!$C570,'State Tax Lookup'!$B$7:$B$91,0),MATCH($H570,'State Tax Lookup'!$D$6:$Z$6,0))</f>
        <v>0.40200000000000002</v>
      </c>
      <c r="DG570" s="189">
        <v>0.375</v>
      </c>
      <c r="DH570" s="190">
        <f t="shared" si="1647"/>
        <v>14.748918425739777</v>
      </c>
      <c r="DI570" s="190"/>
      <c r="DJ570" s="177"/>
      <c r="DK570" s="189">
        <f>VLOOKUP($H570,RoR!$E:$F,2,FALSE)</f>
        <v>5.6283333333333331E-2</v>
      </c>
      <c r="DL570" s="191">
        <f>HLOOKUP($H570,'GDP-PI'!$D$8:$CQ$11,3,FALSE)</f>
        <v>2.6778252812867276E-2</v>
      </c>
      <c r="DM570" s="189">
        <f>VLOOKUP(H570,'HW Dx Data'!$E:$F,2,FALSE)</f>
        <v>414.88719135228365</v>
      </c>
      <c r="DN570" s="183">
        <f>VLOOKUP(H570,'ECI - Input Price'!$G$17:$H$37,2,FALSE)</f>
        <v>96.174999999999997</v>
      </c>
      <c r="DO570" s="177">
        <f t="shared" ref="DO570" si="1658">LN(DN570/DN569)</f>
        <v>3.7610365022107912E-2</v>
      </c>
      <c r="DP570" s="183">
        <f>HLOOKUP(H570,'GDP-PI'!$8:$9,2,FALSE)</f>
        <v>84.778000000000006</v>
      </c>
      <c r="DQ570" s="177">
        <f t="shared" ref="DQ570" si="1659">LN(DP570/DP569)</f>
        <v>2.6425990216022755E-2</v>
      </c>
    </row>
    <row r="571" spans="1:121" s="167" customFormat="1" ht="21" x14ac:dyDescent="0.35">
      <c r="A571" s="167" t="s">
        <v>69</v>
      </c>
      <c r="B571" s="168" t="s">
        <v>69</v>
      </c>
      <c r="C571" s="168">
        <v>4061634</v>
      </c>
      <c r="D571" s="168" t="s">
        <v>135</v>
      </c>
      <c r="E571" s="168"/>
      <c r="F571" s="168"/>
      <c r="G571" s="168" t="s">
        <v>11</v>
      </c>
      <c r="H571" s="169">
        <v>2005</v>
      </c>
      <c r="I571" s="170"/>
      <c r="J571" s="166">
        <f>IFERROR(INDEX('Labor Expenditures'!$F$7:$X$91,MATCH($C571,'Labor Expenditures'!$D$7:$D$91,0),MATCH($G571,'Labor Expenditures'!$F$5:$X$5,0)),"NA")</f>
        <v>18769.828791956479</v>
      </c>
      <c r="K571" s="166">
        <f t="shared" si="1653"/>
        <v>189.30740082659079</v>
      </c>
      <c r="L571" s="172">
        <f t="shared" ref="L571:L587" si="1660">LN(K571/K570)</f>
        <v>-2.8698116219635503E-2</v>
      </c>
      <c r="M571" s="172"/>
      <c r="N571" s="196"/>
      <c r="O571" s="172"/>
      <c r="P571" s="166">
        <f>IFERROR(INDEX('Non-Labor Expenditures'!$F$7:$AB$91,MATCH($C571,'Non-Labor Expenditures'!$D$7:$D$91,0),MATCH($G571,'Non-Labor Expenditures'!$F$5:$AB$5,0)),"NA")</f>
        <v>27182.217811194012</v>
      </c>
      <c r="Q571" s="166">
        <f t="shared" si="1654"/>
        <v>310.98444988609623</v>
      </c>
      <c r="R571" s="172">
        <f>LN(Q571/Q570)</f>
        <v>-2.8773005702922693E-2</v>
      </c>
      <c r="S571" s="172"/>
      <c r="T571" s="172"/>
      <c r="U571" s="172"/>
      <c r="V571" s="166">
        <f t="shared" si="1635"/>
        <v>13538.011625320994</v>
      </c>
      <c r="W571" s="170"/>
      <c r="X571" s="174">
        <v>829.23049635154837</v>
      </c>
      <c r="Y571" s="175">
        <v>1.484437633126736E-2</v>
      </c>
      <c r="Z571" s="175"/>
      <c r="AA571" s="175"/>
      <c r="AB571" s="175"/>
      <c r="AC571" s="170">
        <f t="shared" si="1475"/>
        <v>59490.058228471484</v>
      </c>
      <c r="AD571" s="175">
        <f>LN(AC571/AC570)</f>
        <v>3.4848921746670924E-2</v>
      </c>
      <c r="AE571" s="170"/>
      <c r="AF571" s="170"/>
      <c r="AG571" s="121"/>
      <c r="AH571" s="119"/>
      <c r="AI571" s="119"/>
      <c r="AJ571" s="121"/>
      <c r="AK571" s="121"/>
      <c r="AL571" s="120">
        <f t="shared" si="1655"/>
        <v>0.31551202588961974</v>
      </c>
      <c r="AM571" s="120">
        <f t="shared" si="1656"/>
        <v>0.45692034300589762</v>
      </c>
      <c r="AN571" s="120">
        <f t="shared" si="1657"/>
        <v>0.22756763110448269</v>
      </c>
      <c r="AO571" s="120">
        <f t="shared" ref="AO571:AO587" si="1661">+(((AL571+AL570)/2)*L571+((AM570+AM571)/2)*R571+((AN570+AN571)/2)*Y571)</f>
        <v>-1.9389697857136561E-2</v>
      </c>
      <c r="AP571" s="173">
        <v>100</v>
      </c>
      <c r="AQ571" s="175"/>
      <c r="AR571" s="120"/>
      <c r="AS571" s="120"/>
      <c r="AT571" s="120"/>
      <c r="AU571" s="120"/>
      <c r="AV571" s="120"/>
      <c r="AW571" s="120"/>
      <c r="AX571" s="120"/>
      <c r="AY571" s="120"/>
      <c r="AZ571" s="118">
        <f>IFERROR(INDEX('Total Customers'!$F$7:$AB$91,MATCH($C571,'Total Customers'!$D$7:$D$91,0),MATCH($G571,'Total Customers'!$F$5:$AB$5,0)),"NA")</f>
        <v>221844</v>
      </c>
      <c r="BA571" s="119">
        <f t="shared" si="1636"/>
        <v>8.9507642505852553E-2</v>
      </c>
      <c r="BB571" s="119"/>
      <c r="BC571" s="121"/>
      <c r="BD571" s="119"/>
      <c r="BE571" s="119"/>
      <c r="BF571" s="119"/>
      <c r="BG571" s="173"/>
      <c r="BH571" s="173"/>
      <c r="BI571" s="173"/>
      <c r="BJ571" s="173"/>
      <c r="BK571" s="173"/>
      <c r="BL571" s="173"/>
      <c r="BM571" s="173"/>
      <c r="BN571" s="173"/>
      <c r="BO571" s="173"/>
      <c r="BP571" s="173"/>
      <c r="BQ571" s="118"/>
      <c r="BR571" s="118"/>
      <c r="BS571" s="118">
        <f>INDEX('Dist. Plant Gas Additions'!$F$7:$AE$91,MATCH($C571,'Dist. Plant Gas Additions'!$D$7:$D$91,0),MATCH(Calculation!$G571,'Dist. Plant Gas Additions'!$F$5:$AE$5,0))</f>
        <v>8032</v>
      </c>
      <c r="BT571" s="118">
        <f>INDEX('Gen. Plant Additions'!$F$7:$AE$91,MATCH($C571,'Gen. Plant Additions'!$D$7:$D$91,0),MATCH(Calculation!$G571,'Gen. Plant Additions'!$F$5:$AE$5,0))</f>
        <v>8</v>
      </c>
      <c r="BU571" s="118"/>
      <c r="BV571" s="118"/>
      <c r="BW571" s="118" t="str">
        <f>INDEX('Dist Plant Depreciation'!$E$7:$AD$94,MATCH($C571,'Dist Plant Depreciation'!$D$7:$D$94,0),MATCH(Calculation!$G571,'Dist Plant Depreciation'!$E$5:$AD$5,0))</f>
        <v>NA</v>
      </c>
      <c r="BX571" s="118" t="str">
        <f>INDEX('Gen. Plant Depreciation'!$E$7:$AD$94,MATCH($C571,'Gen. Plant Depreciation'!$D$7:$D$94,0),MATCH(Calculation!$G571,'Gen. Plant Depreciation'!$E$5:$AD$5,0))</f>
        <v>NA</v>
      </c>
      <c r="BY571" s="118"/>
      <c r="BZ571" s="118"/>
      <c r="CA571" s="118"/>
      <c r="CB571" s="118"/>
      <c r="CC571" s="118"/>
      <c r="CD571" s="118"/>
      <c r="CE571" s="118">
        <f>INDEX('Gross Dx Plant'!$E$7:$AD$91,MATCH($C571,'Gross Dx Plant'!$D$7:$D$91,0),MATCH(Calculation!$G571,'Gross Dx Plant'!$E$5:$AD$5,0))</f>
        <v>338990</v>
      </c>
      <c r="CF571" s="118">
        <f>INDEX('Gross Gen Plant'!$E$7:$AD$91,MATCH($C571,'Gross Gen Plant'!$D$7:$D$91,0),MATCH(Calculation!$G571,'Gross Gen Plant'!$E$5:$AD$5,0))</f>
        <v>36431</v>
      </c>
      <c r="CG571" s="118" t="str">
        <f t="shared" si="1516"/>
        <v>NA</v>
      </c>
      <c r="CH571" s="118"/>
      <c r="CI571" s="121">
        <v>2005</v>
      </c>
      <c r="CJ571" s="118"/>
      <c r="CK571" s="118"/>
      <c r="CL571" s="118"/>
      <c r="CM571" s="183"/>
      <c r="CN571" s="118">
        <f t="shared" si="1637"/>
        <v>8040</v>
      </c>
      <c r="CO571" s="118">
        <f t="shared" si="1638"/>
        <v>17.135362144612365</v>
      </c>
      <c r="CP571" s="186">
        <v>0.96174863387978138</v>
      </c>
      <c r="CQ571" s="118">
        <f>+CQ564*CP571+CO565*CP570+CO566*CP569+CO567*CP568+CO568*CP567+CO569*CP566+CO570*CP565+CO571</f>
        <v>829.23049635154837</v>
      </c>
      <c r="CR571" s="119">
        <f t="shared" si="1639"/>
        <v>1.484437633126736E-2</v>
      </c>
      <c r="CS571" s="119"/>
      <c r="CT571" s="177">
        <f t="shared" si="1640"/>
        <v>6.0181061585198037E-3</v>
      </c>
      <c r="CU571" s="177">
        <f t="shared" si="1648"/>
        <v>5.8382500884751618E-3</v>
      </c>
      <c r="CV571" s="119">
        <f>VLOOKUP($H571,RoR!$E:$F,2,FALSE)</f>
        <v>5.2350000000000001E-2</v>
      </c>
      <c r="CW571" s="177">
        <v>3.1010403642454332E-2</v>
      </c>
      <c r="CX571" s="177">
        <f t="shared" si="1646"/>
        <v>2.1339596357545669E-2</v>
      </c>
      <c r="CY571" s="177">
        <f t="shared" si="1649"/>
        <v>2.5063691520058464E-2</v>
      </c>
      <c r="CZ571" s="177">
        <f t="shared" si="1650"/>
        <v>9.2129610649277341E-2</v>
      </c>
      <c r="DA571" s="187">
        <f t="shared" si="1641"/>
        <v>0.84925000000000006</v>
      </c>
      <c r="DB571" s="188">
        <f t="shared" si="1642"/>
        <v>0.97959983346802826</v>
      </c>
      <c r="DC571" s="188">
        <f t="shared" si="1643"/>
        <v>0.49744508118433622</v>
      </c>
      <c r="DD571" s="188">
        <f t="shared" si="1644"/>
        <v>0.87010519444335932</v>
      </c>
      <c r="DE571" s="188">
        <f t="shared" si="1645"/>
        <v>0.42399975420741998</v>
      </c>
      <c r="DF571" s="189">
        <f>INDEX('State Tax Lookup'!$D$7:$Z$91,MATCH(Calculation!$C571,'State Tax Lookup'!$B$7:$B$91,0),MATCH($H571,'State Tax Lookup'!$D$6:$Z$6,0))</f>
        <v>0.40200000000000002</v>
      </c>
      <c r="DG571" s="189">
        <v>0.375</v>
      </c>
      <c r="DH571" s="190">
        <f t="shared" si="1647"/>
        <v>16.570150303050056</v>
      </c>
      <c r="DI571" s="190"/>
      <c r="DJ571" s="177"/>
      <c r="DK571" s="189">
        <f>VLOOKUP($H571,RoR!$E:$F,2,FALSE)</f>
        <v>5.2350000000000001E-2</v>
      </c>
      <c r="DL571" s="191">
        <f>HLOOKUP($H571,'GDP-PI'!$D$8:$CQ$11,3,FALSE)</f>
        <v>3.1010403642454332E-2</v>
      </c>
      <c r="DM571" s="189">
        <f>VLOOKUP(H571,'HW Dx Data'!$E:$F,2,FALSE)</f>
        <v>469.20514034936258</v>
      </c>
      <c r="DN571" s="183">
        <f>VLOOKUP(H571,'ECI - Input Price'!$G$17:$H$37,2,FALSE)</f>
        <v>99.15</v>
      </c>
      <c r="DO571" s="177">
        <f t="shared" ref="DO571" si="1662">LN(DN571/DN570)</f>
        <v>3.046440632744625E-2</v>
      </c>
      <c r="DP571" s="183">
        <f>HLOOKUP(H571,'GDP-PI'!$8:$9,2,FALSE)</f>
        <v>87.406999999999996</v>
      </c>
      <c r="DQ571" s="177">
        <f t="shared" ref="DQ571" si="1663">LN(DP571/DP570)</f>
        <v>3.0539295810733648E-2</v>
      </c>
    </row>
    <row r="572" spans="1:121" s="167" customFormat="1" ht="21" x14ac:dyDescent="0.35">
      <c r="A572" s="167" t="s">
        <v>69</v>
      </c>
      <c r="B572" s="168" t="s">
        <v>69</v>
      </c>
      <c r="C572" s="168">
        <v>4061634</v>
      </c>
      <c r="D572" s="168" t="s">
        <v>135</v>
      </c>
      <c r="E572" s="168"/>
      <c r="F572" s="168"/>
      <c r="G572" s="168" t="s">
        <v>12</v>
      </c>
      <c r="H572" s="169">
        <v>2006</v>
      </c>
      <c r="I572" s="170"/>
      <c r="J572" s="166">
        <f>IFERROR(INDEX('Labor Expenditures'!$F$7:$X$91,MATCH($C572,'Labor Expenditures'!$D$7:$D$91,0),MATCH($G572,'Labor Expenditures'!$F$5:$X$5,0)),"NA")</f>
        <v>19578.568464778393</v>
      </c>
      <c r="K572" s="166">
        <f t="shared" si="1653"/>
        <v>191.85270421144924</v>
      </c>
      <c r="L572" s="172">
        <f t="shared" si="1660"/>
        <v>1.3355758833368276E-2</v>
      </c>
      <c r="M572" s="172">
        <f t="shared" ref="M572:M587" si="1664">+L572*AR572</f>
        <v>1.0299825616897924E-4</v>
      </c>
      <c r="N572" s="196"/>
      <c r="O572" s="172"/>
      <c r="P572" s="166">
        <f>IFERROR(INDEX('Non-Labor Expenditures'!$F$7:$AB$91,MATCH($C572,'Non-Labor Expenditures'!$D$7:$D$91,0),MATCH($G572,'Non-Labor Expenditures'!$F$5:$AB$5,0)),"NA")</f>
        <v>28353.423909175021</v>
      </c>
      <c r="Q572" s="166">
        <f t="shared" si="1654"/>
        <v>314.77922496142082</v>
      </c>
      <c r="R572" s="172">
        <f t="shared" ref="R572:R587" si="1665">LN(Q572/Q571)</f>
        <v>1.2128609397962281E-2</v>
      </c>
      <c r="S572" s="172">
        <f>+R572*AR572</f>
        <v>9.3534604310443187E-5</v>
      </c>
      <c r="T572" s="172"/>
      <c r="U572" s="172"/>
      <c r="V572" s="166">
        <f t="shared" si="1635"/>
        <v>13412.599627377625</v>
      </c>
      <c r="W572" s="170"/>
      <c r="X572" s="174">
        <v>850.28488857760829</v>
      </c>
      <c r="Y572" s="175">
        <v>2.5073298435990182E-2</v>
      </c>
      <c r="Z572" s="175">
        <f>+Y572*AR572</f>
        <v>1.9336273195194289E-4</v>
      </c>
      <c r="AA572" s="175"/>
      <c r="AB572" s="175"/>
      <c r="AC572" s="170">
        <f t="shared" si="1475"/>
        <v>61344.592001331039</v>
      </c>
      <c r="AD572" s="175">
        <f t="shared" ref="AD572:AD587" si="1666">LN(AC572/AC571)</f>
        <v>3.0697807340320703E-2</v>
      </c>
      <c r="AE572" s="170"/>
      <c r="AF572" s="170"/>
      <c r="AG572" s="121">
        <f t="shared" ref="AG572:AG587" si="1667">+(AC572*1000)/AZ572</f>
        <v>276.45401040717377</v>
      </c>
      <c r="AH572" s="119">
        <f>+AZ572/$BB$44</f>
        <v>6.3120955148416513E-3</v>
      </c>
      <c r="AI572" s="119"/>
      <c r="AJ572" s="176">
        <f>+AH572*AG572</f>
        <v>1.7450041191511088</v>
      </c>
      <c r="AK572" s="176">
        <f>+AI572*AG572</f>
        <v>0</v>
      </c>
      <c r="AL572" s="120">
        <f t="shared" si="1655"/>
        <v>0.31915720401814041</v>
      </c>
      <c r="AM572" s="120">
        <f t="shared" si="1656"/>
        <v>0.46219924176135713</v>
      </c>
      <c r="AN572" s="120">
        <f t="shared" si="1657"/>
        <v>0.21864355422050247</v>
      </c>
      <c r="AO572" s="120">
        <f t="shared" si="1661"/>
        <v>1.5406058911198599E-2</v>
      </c>
      <c r="AP572" s="173">
        <f>+AP571*EXP(AO572)</f>
        <v>101.55253440206786</v>
      </c>
      <c r="AQ572" s="175">
        <f>LN(AP572/AP571)</f>
        <v>1.5406058911198617E-2</v>
      </c>
      <c r="AR572" s="177">
        <f>+AC572/$AE$44</f>
        <v>7.7118984742107263E-3</v>
      </c>
      <c r="AS572" s="177">
        <f>+AR572*AQ572</f>
        <v>1.1880996221087317E-4</v>
      </c>
      <c r="AT572" s="177"/>
      <c r="AU572" s="177"/>
      <c r="AV572" s="177"/>
      <c r="AW572" s="190"/>
      <c r="AX572" s="120"/>
      <c r="AY572" s="120"/>
      <c r="AZ572" s="118">
        <f>IFERROR(INDEX('Total Customers'!$F$7:$AB$91,MATCH($C572,'Total Customers'!$D$7:$D$91,0),MATCH($G572,'Total Customers'!$F$5:$AB$5,0)),"NA")</f>
        <v>221898</v>
      </c>
      <c r="BA572" s="119">
        <f t="shared" si="1636"/>
        <v>2.4338467067143568E-4</v>
      </c>
      <c r="BB572" s="119"/>
      <c r="BC572" s="121"/>
      <c r="BD572" s="119"/>
      <c r="BE572" s="119"/>
      <c r="BF572" s="119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18"/>
      <c r="BR572" s="118"/>
      <c r="BS572" s="118">
        <f>INDEX('Dist. Plant Gas Additions'!$F$7:$AE$91,MATCH($C572,'Dist. Plant Gas Additions'!$D$7:$D$91,0),MATCH(Calculation!$G572,'Dist. Plant Gas Additions'!$F$5:$AE$5,0))</f>
        <v>11302</v>
      </c>
      <c r="BT572" s="118">
        <f>INDEX('Gen. Plant Additions'!$F$7:$AE$91,MATCH($C572,'Gen. Plant Additions'!$D$7:$D$91,0),MATCH(Calculation!$G572,'Gen. Plant Additions'!$F$5:$AE$5,0))</f>
        <v>787</v>
      </c>
      <c r="BU572" s="118"/>
      <c r="BV572" s="118"/>
      <c r="BW572" s="118" t="str">
        <f>INDEX('Dist Plant Depreciation'!$E$7:$AD$94,MATCH($C572,'Dist Plant Depreciation'!$D$7:$D$94,0),MATCH(Calculation!$G572,'Dist Plant Depreciation'!$E$5:$AD$5,0))</f>
        <v>NA</v>
      </c>
      <c r="BX572" s="118" t="str">
        <f>INDEX('Gen. Plant Depreciation'!$E$7:$AD$94,MATCH($C572,'Gen. Plant Depreciation'!$D$7:$D$94,0),MATCH(Calculation!$G572,'Gen. Plant Depreciation'!$E$5:$AD$5,0))</f>
        <v>NA</v>
      </c>
      <c r="BY572" s="118"/>
      <c r="BZ572" s="118"/>
      <c r="CA572" s="118"/>
      <c r="CB572" s="118"/>
      <c r="CC572" s="118"/>
      <c r="CD572" s="118"/>
      <c r="CE572" s="118">
        <f>INDEX('Gross Dx Plant'!$E$7:$AD$91,MATCH($C572,'Gross Dx Plant'!$D$7:$D$91,0),MATCH(Calculation!$G572,'Gross Dx Plant'!$E$5:$AD$5,0))</f>
        <v>348788</v>
      </c>
      <c r="CF572" s="118">
        <f>INDEX('Gross Gen Plant'!$E$7:$AD$91,MATCH($C572,'Gross Gen Plant'!$D$7:$D$91,0),MATCH(Calculation!$G572,'Gross Gen Plant'!$E$5:$AD$5,0))</f>
        <v>37218</v>
      </c>
      <c r="CG572" s="118" t="str">
        <f t="shared" si="1516"/>
        <v>NA</v>
      </c>
      <c r="CH572" s="119" t="e">
        <f>SUM(#REF!)/15</f>
        <v>#REF!</v>
      </c>
      <c r="CI572" s="121">
        <v>2006</v>
      </c>
      <c r="CJ572" s="118"/>
      <c r="CK572" s="118"/>
      <c r="CL572" s="118"/>
      <c r="CM572" s="183"/>
      <c r="CN572" s="118">
        <f t="shared" si="1637"/>
        <v>12089</v>
      </c>
      <c r="CO572" s="118">
        <f t="shared" si="1638"/>
        <v>26.218554847802434</v>
      </c>
      <c r="CP572" s="186">
        <v>0.9555555555555556</v>
      </c>
      <c r="CQ572" s="118">
        <f>+CQ564*CP572+CO565*CP571+CO566*CP570+CO567*CP569+CO568*CP568+CO569*CP567+CO570*CP566+CO571*CP565+CO572</f>
        <v>850.28488857760829</v>
      </c>
      <c r="CR572" s="119">
        <f t="shared" si="1639"/>
        <v>2.5073298435990182E-2</v>
      </c>
      <c r="CS572" s="119"/>
      <c r="CT572" s="177">
        <f t="shared" si="1640"/>
        <v>6.2276564169598432E-3</v>
      </c>
      <c r="CU572" s="177">
        <f t="shared" si="1648"/>
        <v>6.0290091248628155E-3</v>
      </c>
      <c r="CV572" s="119">
        <f>VLOOKUP($H572,RoR!$E:$F,2,FALSE)</f>
        <v>5.5874999999999994E-2</v>
      </c>
      <c r="CW572" s="177">
        <v>3.0512430354548314E-2</v>
      </c>
      <c r="CX572" s="177">
        <f t="shared" si="1646"/>
        <v>2.536256964545168E-2</v>
      </c>
      <c r="CY572" s="177">
        <f t="shared" si="1649"/>
        <v>2.4872932483670809E-2</v>
      </c>
      <c r="CZ572" s="177">
        <f t="shared" si="1650"/>
        <v>7.9087823893859641E-2</v>
      </c>
      <c r="DA572" s="187">
        <f t="shared" si="1641"/>
        <v>0.84925000000000006</v>
      </c>
      <c r="DB572" s="188">
        <f t="shared" si="1642"/>
        <v>0.91779957551769631</v>
      </c>
      <c r="DC572" s="188">
        <f t="shared" si="1643"/>
        <v>0.52757270693512304</v>
      </c>
      <c r="DD572" s="188">
        <f t="shared" si="1644"/>
        <v>0.88636824549024895</v>
      </c>
      <c r="DE572" s="188">
        <f t="shared" si="1645"/>
        <v>0.42918482841932087</v>
      </c>
      <c r="DF572" s="189">
        <f>INDEX('State Tax Lookup'!$D$7:$Z$91,MATCH(Calculation!$C572,'State Tax Lookup'!$B$7:$B$91,0),MATCH($H572,'State Tax Lookup'!$D$6:$Z$6,0))</f>
        <v>0.40200000000000002</v>
      </c>
      <c r="DG572" s="189">
        <v>0.375</v>
      </c>
      <c r="DH572" s="190">
        <f t="shared" si="1647"/>
        <v>16.174754409528393</v>
      </c>
      <c r="DI572" s="190">
        <v>15.701814346722433</v>
      </c>
      <c r="DJ572" s="177"/>
      <c r="DK572" s="189">
        <f>VLOOKUP($H572,RoR!$E:$F,2,FALSE)</f>
        <v>5.5874999999999994E-2</v>
      </c>
      <c r="DL572" s="191">
        <f>HLOOKUP($H572,'GDP-PI'!$D$8:$CQ$11,3,FALSE)</f>
        <v>3.0512430354548314E-2</v>
      </c>
      <c r="DM572" s="189">
        <f>VLOOKUP(H572,'HW Dx Data'!$E:$F,2,FALSE)</f>
        <v>461.08567272971823</v>
      </c>
      <c r="DN572" s="183">
        <f>VLOOKUP(H572,'ECI - Input Price'!$G$17:$H$37,2,FALSE)</f>
        <v>102.05</v>
      </c>
      <c r="DO572" s="177">
        <f t="shared" ref="DO572" si="1668">LN(DN572/DN571)</f>
        <v>2.8829034290048662E-2</v>
      </c>
      <c r="DP572" s="183">
        <f>HLOOKUP(H572,'GDP-PI'!$8:$9,2,FALSE)</f>
        <v>90.073999999999998</v>
      </c>
      <c r="DQ572" s="177">
        <f t="shared" ref="DQ572" si="1669">LN(DP572/DP571)</f>
        <v>3.005618372545445E-2</v>
      </c>
    </row>
    <row r="573" spans="1:121" s="167" customFormat="1" ht="21" x14ac:dyDescent="0.35">
      <c r="A573" s="167" t="s">
        <v>69</v>
      </c>
      <c r="B573" s="168" t="s">
        <v>69</v>
      </c>
      <c r="C573" s="168">
        <v>4061634</v>
      </c>
      <c r="D573" s="168" t="s">
        <v>135</v>
      </c>
      <c r="E573" s="168"/>
      <c r="F573" s="168"/>
      <c r="G573" s="168" t="s">
        <v>13</v>
      </c>
      <c r="H573" s="169">
        <v>2007</v>
      </c>
      <c r="I573" s="170"/>
      <c r="J573" s="166">
        <f>IFERROR(INDEX('Labor Expenditures'!$F$7:$X$91,MATCH($C573,'Labor Expenditures'!$D$7:$D$91,0),MATCH($G573,'Labor Expenditures'!$F$5:$X$5,0)),"NA")</f>
        <v>21279.504651490384</v>
      </c>
      <c r="K573" s="166">
        <f t="shared" si="1653"/>
        <v>202.22860205740443</v>
      </c>
      <c r="L573" s="172">
        <f t="shared" si="1660"/>
        <v>5.2670838832169713E-2</v>
      </c>
      <c r="M573" s="172">
        <f t="shared" si="1664"/>
        <v>4.1912596159932427E-4</v>
      </c>
      <c r="N573" s="196"/>
      <c r="O573" s="172"/>
      <c r="P573" s="166">
        <f>IFERROR(INDEX('Non-Labor Expenditures'!$F$7:$AB$91,MATCH($C573,'Non-Labor Expenditures'!$D$7:$D$91,0),MATCH($G573,'Non-Labor Expenditures'!$F$5:$AB$5,0)),"NA")</f>
        <v>30816.697198591519</v>
      </c>
      <c r="Q573" s="166">
        <f t="shared" si="1654"/>
        <v>333.16068670232346</v>
      </c>
      <c r="R573" s="172">
        <f t="shared" si="1665"/>
        <v>5.6753396282912566E-2</v>
      </c>
      <c r="S573" s="172">
        <f t="shared" ref="S573:S587" si="1670">+R573*AR573</f>
        <v>4.5161273901290127E-4</v>
      </c>
      <c r="T573" s="172"/>
      <c r="U573" s="172"/>
      <c r="V573" s="166">
        <f t="shared" si="1635"/>
        <v>14762.031398612864</v>
      </c>
      <c r="W573" s="170"/>
      <c r="X573" s="174">
        <v>864.81660835471587</v>
      </c>
      <c r="Y573" s="175">
        <v>1.6946014628831482E-2</v>
      </c>
      <c r="Z573" s="175">
        <f t="shared" ref="Z573:Z587" si="1671">+Y573*AR573</f>
        <v>1.3484719123643834E-4</v>
      </c>
      <c r="AA573" s="175"/>
      <c r="AB573" s="175"/>
      <c r="AC573" s="170">
        <f t="shared" si="1475"/>
        <v>66858.233248694771</v>
      </c>
      <c r="AD573" s="175">
        <f t="shared" si="1666"/>
        <v>8.6067438670755725E-2</v>
      </c>
      <c r="AE573" s="170"/>
      <c r="AF573" s="170"/>
      <c r="AG573" s="121">
        <f t="shared" si="1667"/>
        <v>305.31522483089753</v>
      </c>
      <c r="AH573" s="119">
        <f>+AZ573/$BB$45</f>
        <v>6.1824141284594122E-3</v>
      </c>
      <c r="AI573" s="119"/>
      <c r="AJ573" s="176">
        <f t="shared" ref="AJ573:AJ587" si="1672">+AH573*AG573</f>
        <v>1.8875851596283029</v>
      </c>
      <c r="AK573" s="176">
        <f t="shared" ref="AK573:AK587" si="1673">+AI573*AG573</f>
        <v>0</v>
      </c>
      <c r="AL573" s="120">
        <f t="shared" si="1655"/>
        <v>0.31827799834818116</v>
      </c>
      <c r="AM573" s="120">
        <f t="shared" si="1656"/>
        <v>0.46092598773828852</v>
      </c>
      <c r="AN573" s="120">
        <f t="shared" si="1657"/>
        <v>0.22079601391353029</v>
      </c>
      <c r="AO573" s="120">
        <f t="shared" si="1661"/>
        <v>4.6705744064211366E-2</v>
      </c>
      <c r="AP573" s="173">
        <f>+AP572*EXP(AO573)</f>
        <v>106.40813055338606</v>
      </c>
      <c r="AQ573" s="175">
        <f>LN(AP573/AP572)</f>
        <v>4.6705744064211428E-2</v>
      </c>
      <c r="AR573" s="177">
        <f>+AC573/$AE$45</f>
        <v>7.9574575019552406E-3</v>
      </c>
      <c r="AS573" s="177">
        <f t="shared" ref="AS573:AS587" si="1674">+AR573*AQ573</f>
        <v>3.7165897348816066E-4</v>
      </c>
      <c r="AT573" s="177"/>
      <c r="AU573" s="177"/>
      <c r="AV573" s="177"/>
      <c r="AW573" s="190"/>
      <c r="AX573" s="120"/>
      <c r="AY573" s="120"/>
      <c r="AZ573" s="118">
        <f>IFERROR(INDEX('Total Customers'!$F$7:$AB$91,MATCH($C573,'Total Customers'!$D$7:$D$91,0),MATCH($G573,'Total Customers'!$F$5:$AB$5,0)),"NA")</f>
        <v>218981</v>
      </c>
      <c r="BA573" s="119">
        <f t="shared" si="1636"/>
        <v>-1.3232848767039252E-2</v>
      </c>
      <c r="BB573" s="119"/>
      <c r="BC573" s="121"/>
      <c r="BD573" s="119"/>
      <c r="BE573" s="119"/>
      <c r="BF573" s="119"/>
      <c r="BG573" s="173"/>
      <c r="BH573" s="173"/>
      <c r="BI573" s="173"/>
      <c r="BJ573" s="173"/>
      <c r="BK573" s="173"/>
      <c r="BL573" s="173"/>
      <c r="BM573" s="173"/>
      <c r="BN573" s="173"/>
      <c r="BO573" s="173"/>
      <c r="BP573" s="173"/>
      <c r="BQ573" s="118"/>
      <c r="BR573" s="118"/>
      <c r="BS573" s="118">
        <f>INDEX('Dist. Plant Gas Additions'!$F$7:$AE$91,MATCH($C573,'Dist. Plant Gas Additions'!$D$7:$D$91,0),MATCH(Calculation!$G573,'Dist. Plant Gas Additions'!$F$5:$AE$5,0))</f>
        <v>9453</v>
      </c>
      <c r="BT573" s="118">
        <f>INDEX('Gen. Plant Additions'!$F$7:$AE$91,MATCH($C573,'Gen. Plant Additions'!$D$7:$D$91,0),MATCH(Calculation!$G573,'Gen. Plant Additions'!$F$5:$AE$5,0))</f>
        <v>507</v>
      </c>
      <c r="BU573" s="118"/>
      <c r="BV573" s="118"/>
      <c r="BW573" s="118" t="str">
        <f>INDEX('Dist Plant Depreciation'!$E$7:$AD$94,MATCH($C573,'Dist Plant Depreciation'!$D$7:$D$94,0),MATCH(Calculation!$G573,'Dist Plant Depreciation'!$E$5:$AD$5,0))</f>
        <v>NA</v>
      </c>
      <c r="BX573" s="118" t="str">
        <f>INDEX('Gen. Plant Depreciation'!$E$7:$AD$94,MATCH($C573,'Gen. Plant Depreciation'!$D$7:$D$94,0),MATCH(Calculation!$G573,'Gen. Plant Depreciation'!$E$5:$AD$5,0))</f>
        <v>NA</v>
      </c>
      <c r="BY573" s="118"/>
      <c r="BZ573" s="118"/>
      <c r="CA573" s="118"/>
      <c r="CB573" s="118"/>
      <c r="CC573" s="118"/>
      <c r="CD573" s="118"/>
      <c r="CE573" s="118">
        <f>INDEX('Gross Dx Plant'!$E$7:$AD$91,MATCH($C573,'Gross Dx Plant'!$D$7:$D$91,0),MATCH(Calculation!$G573,'Gross Dx Plant'!$E$5:$AD$5,0))</f>
        <v>358718</v>
      </c>
      <c r="CF573" s="118">
        <f>INDEX('Gross Gen Plant'!$E$7:$AD$91,MATCH($C573,'Gross Gen Plant'!$D$7:$D$91,0),MATCH(Calculation!$G573,'Gross Gen Plant'!$E$5:$AD$5,0))</f>
        <v>21545</v>
      </c>
      <c r="CG573" s="118" t="str">
        <f t="shared" si="1516"/>
        <v>NA</v>
      </c>
      <c r="CH573" s="118"/>
      <c r="CI573" s="121">
        <v>2007</v>
      </c>
      <c r="CJ573" s="118"/>
      <c r="CK573" s="118"/>
      <c r="CL573" s="118"/>
      <c r="CM573" s="183"/>
      <c r="CN573" s="118">
        <f t="shared" si="1637"/>
        <v>9960</v>
      </c>
      <c r="CO573" s="118">
        <f t="shared" si="1638"/>
        <v>19.999103836251098</v>
      </c>
      <c r="CP573" s="186">
        <v>0.94915254237288138</v>
      </c>
      <c r="CQ573" s="118">
        <f>+CQ564*CP573+CO565*CP572+CO566*CP571+CO567*CP570+CO568*CP569+CO569*CP568+CO570*CP567+CO571*CP566+CO572*CP565+CO573</f>
        <v>864.81660835471587</v>
      </c>
      <c r="CR573" s="119">
        <f t="shared" si="1639"/>
        <v>1.6946014628831482E-2</v>
      </c>
      <c r="CS573" s="119"/>
      <c r="CT573" s="177">
        <f t="shared" si="1640"/>
        <v>6.4300614212838498E-3</v>
      </c>
      <c r="CU573" s="177">
        <f t="shared" si="1648"/>
        <v>6.2252746655878316E-3</v>
      </c>
      <c r="CV573" s="119">
        <f>VLOOKUP($H573,RoR!$E:$F,2,FALSE)</f>
        <v>5.5558333333333321E-2</v>
      </c>
      <c r="CW573" s="177">
        <v>2.691120634145272E-2</v>
      </c>
      <c r="CX573" s="177">
        <f t="shared" si="1646"/>
        <v>2.86471269918806E-2</v>
      </c>
      <c r="CY573" s="177">
        <f t="shared" si="1649"/>
        <v>2.4676666942945794E-2</v>
      </c>
      <c r="CZ573" s="177">
        <f t="shared" si="1650"/>
        <v>6.4575155250632399E-2</v>
      </c>
      <c r="DA573" s="187">
        <f t="shared" si="1641"/>
        <v>0.84925000000000006</v>
      </c>
      <c r="DB573" s="188">
        <f t="shared" si="1642"/>
        <v>0.92303077153834634</v>
      </c>
      <c r="DC573" s="188">
        <f t="shared" si="1643"/>
        <v>0.52502249887505614</v>
      </c>
      <c r="DD573" s="188">
        <f t="shared" si="1644"/>
        <v>0.88499666072084604</v>
      </c>
      <c r="DE573" s="188">
        <f t="shared" si="1645"/>
        <v>0.42887993290280618</v>
      </c>
      <c r="DF573" s="189">
        <f>INDEX('State Tax Lookup'!$D$7:$Z$91,MATCH(Calculation!$C573,'State Tax Lookup'!$B$7:$B$91,0),MATCH($H573,'State Tax Lookup'!$D$6:$Z$6,0))</f>
        <v>0.40200000000000002</v>
      </c>
      <c r="DG573" s="189">
        <v>0.375</v>
      </c>
      <c r="DH573" s="190">
        <f t="shared" si="1647"/>
        <v>17.361276904858794</v>
      </c>
      <c r="DI573" s="190">
        <v>17.105448149818695</v>
      </c>
      <c r="DJ573" s="177"/>
      <c r="DK573" s="189">
        <f>VLOOKUP($H573,RoR!$E:$F,2,FALSE)</f>
        <v>5.5558333333333321E-2</v>
      </c>
      <c r="DL573" s="191">
        <f>HLOOKUP($H573,'GDP-PI'!$D$8:$CQ$11,3,FALSE)</f>
        <v>2.691120634145272E-2</v>
      </c>
      <c r="DM573" s="189">
        <f>VLOOKUP(H573,'HW Dx Data'!$E:$F,2,FALSE)</f>
        <v>498.0223154772637</v>
      </c>
      <c r="DN573" s="183">
        <f>VLOOKUP(H573,'ECI - Input Price'!$G$17:$H$37,2,FALSE)</f>
        <v>105.22500000000001</v>
      </c>
      <c r="DO573" s="177">
        <f t="shared" ref="DO573" si="1675">LN(DN573/DN572)</f>
        <v>3.0638025400780679E-2</v>
      </c>
      <c r="DP573" s="183">
        <f>HLOOKUP(H573,'GDP-PI'!$8:$9,2,FALSE)</f>
        <v>92.498000000000005</v>
      </c>
      <c r="DQ573" s="177">
        <f t="shared" ref="DQ573" si="1676">LN(DP573/DP572)</f>
        <v>2.6555467950038037E-2</v>
      </c>
    </row>
    <row r="574" spans="1:121" s="167" customFormat="1" ht="21" x14ac:dyDescent="0.35">
      <c r="A574" s="167" t="s">
        <v>69</v>
      </c>
      <c r="B574" s="168" t="s">
        <v>69</v>
      </c>
      <c r="C574" s="168">
        <v>4061634</v>
      </c>
      <c r="D574" s="168" t="s">
        <v>135</v>
      </c>
      <c r="E574" s="168"/>
      <c r="F574" s="168"/>
      <c r="G574" s="168" t="s">
        <v>14</v>
      </c>
      <c r="H574" s="169">
        <v>2008</v>
      </c>
      <c r="I574" s="170"/>
      <c r="J574" s="166">
        <f>IFERROR(INDEX('Labor Expenditures'!$F$7:$X$91,MATCH($C574,'Labor Expenditures'!$D$7:$D$91,0),MATCH($G574,'Labor Expenditures'!$F$5:$X$5,0)),"NA")</f>
        <v>21696.453749073775</v>
      </c>
      <c r="K574" s="166">
        <f t="shared" si="1653"/>
        <v>200.4754331168748</v>
      </c>
      <c r="L574" s="172">
        <f t="shared" si="1660"/>
        <v>-8.707039728434323E-3</v>
      </c>
      <c r="M574" s="172">
        <f t="shared" si="1664"/>
        <v>-6.8007871814183523E-5</v>
      </c>
      <c r="N574" s="196"/>
      <c r="O574" s="172"/>
      <c r="P574" s="166">
        <f>IFERROR(INDEX('Non-Labor Expenditures'!$F$7:$AB$91,MATCH($C574,'Non-Labor Expenditures'!$D$7:$D$91,0),MATCH($G574,'Non-Labor Expenditures'!$F$5:$AB$5,0)),"NA")</f>
        <v>31420.517367241609</v>
      </c>
      <c r="Q574" s="166">
        <f t="shared" si="1654"/>
        <v>333.32467715396768</v>
      </c>
      <c r="R574" s="172">
        <f t="shared" si="1665"/>
        <v>4.9210519494328239E-4</v>
      </c>
      <c r="S574" s="172">
        <f t="shared" si="1670"/>
        <v>3.8436745507780628E-6</v>
      </c>
      <c r="T574" s="172"/>
      <c r="U574" s="172"/>
      <c r="V574" s="166">
        <f t="shared" si="1635"/>
        <v>17038.881849102239</v>
      </c>
      <c r="W574" s="170"/>
      <c r="X574" s="174">
        <v>887.0103420664235</v>
      </c>
      <c r="Y574" s="175">
        <v>2.5339170851894393E-2</v>
      </c>
      <c r="Z574" s="175">
        <f t="shared" si="1671"/>
        <v>1.9791606986077252E-4</v>
      </c>
      <c r="AA574" s="175"/>
      <c r="AB574" s="175"/>
      <c r="AC574" s="170">
        <f t="shared" ref="AC574:AC637" si="1677">+J574+P574+V574</f>
        <v>70155.852965417624</v>
      </c>
      <c r="AD574" s="175">
        <f t="shared" si="1666"/>
        <v>4.8144782065665477E-2</v>
      </c>
      <c r="AE574" s="170"/>
      <c r="AF574" s="170"/>
      <c r="AG574" s="121">
        <f t="shared" si="1667"/>
        <v>319.33149882299915</v>
      </c>
      <c r="AH574" s="119">
        <f>+AZ574/$BB$46</f>
        <v>6.1695289498433477E-3</v>
      </c>
      <c r="AI574" s="119"/>
      <c r="AJ574" s="176">
        <f t="shared" si="1672"/>
        <v>1.9701249265853602</v>
      </c>
      <c r="AK574" s="176">
        <f t="shared" si="1673"/>
        <v>0</v>
      </c>
      <c r="AL574" s="120">
        <f t="shared" si="1655"/>
        <v>0.3092607791365426</v>
      </c>
      <c r="AM574" s="120">
        <f t="shared" si="1656"/>
        <v>0.44786737013560263</v>
      </c>
      <c r="AN574" s="120">
        <f t="shared" si="1657"/>
        <v>0.2428718507278548</v>
      </c>
      <c r="AO574" s="120">
        <f t="shared" si="1661"/>
        <v>3.3660880532640977E-3</v>
      </c>
      <c r="AP574" s="173">
        <f t="shared" ref="AP574:AP587" si="1678">+AP573*EXP(AO574)</f>
        <v>106.76691319863298</v>
      </c>
      <c r="AQ574" s="175">
        <f t="shared" ref="AQ574:AQ587" si="1679">LN(AP574/AP573)</f>
        <v>3.3660880532642031E-3</v>
      </c>
      <c r="AR574" s="177">
        <f>+AC574/$AE$46</f>
        <v>7.8106766404306407E-3</v>
      </c>
      <c r="AS574" s="177">
        <f t="shared" si="1674"/>
        <v>2.6291425327263362E-5</v>
      </c>
      <c r="AT574" s="177"/>
      <c r="AU574" s="177"/>
      <c r="AV574" s="177"/>
      <c r="AW574" s="190"/>
      <c r="AX574" s="120"/>
      <c r="AY574" s="120"/>
      <c r="AZ574" s="118">
        <f>IFERROR(INDEX('Total Customers'!$F$7:$AB$91,MATCH($C574,'Total Customers'!$D$7:$D$91,0),MATCH($G574,'Total Customers'!$F$5:$AB$5,0)),"NA")</f>
        <v>219696</v>
      </c>
      <c r="BA574" s="119">
        <f t="shared" si="1636"/>
        <v>3.2598045174548462E-3</v>
      </c>
      <c r="BB574" s="119"/>
      <c r="BC574" s="121"/>
      <c r="BD574" s="119"/>
      <c r="BE574" s="119"/>
      <c r="BF574" s="119"/>
      <c r="BG574" s="173"/>
      <c r="BH574" s="173"/>
      <c r="BI574" s="173"/>
      <c r="BJ574" s="173"/>
      <c r="BK574" s="173"/>
      <c r="BL574" s="173"/>
      <c r="BM574" s="173"/>
      <c r="BN574" s="173"/>
      <c r="BO574" s="173"/>
      <c r="BP574" s="173"/>
      <c r="BQ574" s="118"/>
      <c r="BR574" s="118"/>
      <c r="BS574" s="118">
        <f>INDEX('Dist. Plant Gas Additions'!$F$7:$AE$91,MATCH($C574,'Dist. Plant Gas Additions'!$D$7:$D$91,0),MATCH(Calculation!$G574,'Dist. Plant Gas Additions'!$F$5:$AE$5,0))</f>
        <v>15381</v>
      </c>
      <c r="BT574" s="118">
        <f>INDEX('Gen. Plant Additions'!$F$7:$AE$91,MATCH($C574,'Gen. Plant Additions'!$D$7:$D$91,0),MATCH(Calculation!$G574,'Gen. Plant Additions'!$F$5:$AE$5,0))</f>
        <v>545</v>
      </c>
      <c r="BU574" s="118"/>
      <c r="BV574" s="118"/>
      <c r="BW574" s="118">
        <f>INDEX('Dist Plant Depreciation'!$E$7:$AD$94,MATCH($C574,'Dist Plant Depreciation'!$D$7:$D$94,0),MATCH(Calculation!$G574,'Dist Plant Depreciation'!$E$5:$AD$5,0))</f>
        <v>191857</v>
      </c>
      <c r="BX574" s="118">
        <f>INDEX('Gen. Plant Depreciation'!$E$7:$AD$94,MATCH($C574,'Gen. Plant Depreciation'!$D$7:$D$94,0),MATCH(Calculation!$G574,'Gen. Plant Depreciation'!$E$5:$AD$5,0))</f>
        <v>20162</v>
      </c>
      <c r="BY574" s="118"/>
      <c r="BZ574" s="118"/>
      <c r="CA574" s="118"/>
      <c r="CB574" s="118"/>
      <c r="CC574" s="118"/>
      <c r="CD574" s="118"/>
      <c r="CE574" s="118">
        <f>INDEX('Gross Dx Plant'!$E$7:$AD$91,MATCH($C574,'Gross Dx Plant'!$D$7:$D$91,0),MATCH(Calculation!$G574,'Gross Dx Plant'!$E$5:$AD$5,0))</f>
        <v>369712</v>
      </c>
      <c r="CF574" s="118">
        <f>INDEX('Gross Gen Plant'!$E$7:$AD$91,MATCH($C574,'Gross Gen Plant'!$D$7:$D$91,0),MATCH(Calculation!$G574,'Gross Gen Plant'!$E$5:$AD$5,0))</f>
        <v>21130</v>
      </c>
      <c r="CG574" s="118">
        <f t="shared" si="1516"/>
        <v>178823</v>
      </c>
      <c r="CH574" s="118"/>
      <c r="CI574" s="121">
        <v>2008</v>
      </c>
      <c r="CJ574" s="118"/>
      <c r="CK574" s="118"/>
      <c r="CL574" s="118"/>
      <c r="CM574" s="183"/>
      <c r="CN574" s="118">
        <f t="shared" si="1637"/>
        <v>15926</v>
      </c>
      <c r="CO574" s="118">
        <f t="shared" si="1638"/>
        <v>27.946175284945866</v>
      </c>
      <c r="CP574" s="186">
        <v>0.94252873563218387</v>
      </c>
      <c r="CQ574" s="118">
        <f>+CQ564*CP574+CO565*CP573+CO566*CP572+CO567*CP571+CO568*CP570+CO569*CP569+CO570*CP568+CO571*CP567+CO572*CP566+CO573*CP565+CO574</f>
        <v>887.0103420664235</v>
      </c>
      <c r="CR574" s="119">
        <f t="shared" si="1639"/>
        <v>2.5339170851894393E-2</v>
      </c>
      <c r="CS574" s="119"/>
      <c r="CT574" s="177">
        <f t="shared" si="1640"/>
        <v>6.6516317074229803E-3</v>
      </c>
      <c r="CU574" s="177">
        <f t="shared" si="1648"/>
        <v>6.4364498485555586E-3</v>
      </c>
      <c r="CV574" s="119">
        <f>VLOOKUP($H574,RoR!$E:$F,2,FALSE)</f>
        <v>5.6316666666666668E-2</v>
      </c>
      <c r="CW574" s="177">
        <v>1.9092304698479889E-2</v>
      </c>
      <c r="CX574" s="177">
        <f t="shared" si="1646"/>
        <v>3.7224361968186778E-2</v>
      </c>
      <c r="CY574" s="177">
        <f t="shared" si="1649"/>
        <v>2.4465491759978066E-2</v>
      </c>
      <c r="CZ574" s="177">
        <f t="shared" si="1650"/>
        <v>6.9030581091053131E-2</v>
      </c>
      <c r="DA574" s="187">
        <f t="shared" si="1641"/>
        <v>0.84925000000000006</v>
      </c>
      <c r="DB574" s="188">
        <f t="shared" si="1642"/>
        <v>0.91060168006009956</v>
      </c>
      <c r="DC574" s="188">
        <f t="shared" si="1643"/>
        <v>0.53108168097070152</v>
      </c>
      <c r="DD574" s="188">
        <f t="shared" si="1644"/>
        <v>0.88825329850328805</v>
      </c>
      <c r="DE574" s="188">
        <f t="shared" si="1645"/>
        <v>0.4295627335323573</v>
      </c>
      <c r="DF574" s="189">
        <f>INDEX('State Tax Lookup'!$D$7:$Z$91,MATCH(Calculation!$C574,'State Tax Lookup'!$B$7:$B$91,0),MATCH($H574,'State Tax Lookup'!$D$6:$Z$6,0))</f>
        <v>0.40200000000000002</v>
      </c>
      <c r="DG574" s="189">
        <v>0.375</v>
      </c>
      <c r="DH574" s="190">
        <f t="shared" si="1647"/>
        <v>19.702306459537279</v>
      </c>
      <c r="DI574" s="190">
        <v>19.416637461353684</v>
      </c>
      <c r="DJ574" s="177"/>
      <c r="DK574" s="189">
        <f>VLOOKUP($H574,RoR!$E:$F,2,FALSE)</f>
        <v>5.6316666666666668E-2</v>
      </c>
      <c r="DL574" s="191">
        <f>HLOOKUP($H574,'GDP-PI'!$D$8:$CQ$11,3,FALSE)</f>
        <v>1.9092304698479889E-2</v>
      </c>
      <c r="DM574" s="189">
        <f>VLOOKUP(H574,'HW Dx Data'!$E:$F,2,FALSE)</f>
        <v>569.88120333515076</v>
      </c>
      <c r="DN574" s="183">
        <f>VLOOKUP(H574,'ECI - Input Price'!$G$17:$H$37,2,FALSE)</f>
        <v>108.22499999999999</v>
      </c>
      <c r="DO574" s="177">
        <f t="shared" ref="DO574" si="1680">LN(DN574/DN573)</f>
        <v>2.8111478671409691E-2</v>
      </c>
      <c r="DP574" s="183">
        <f>HLOOKUP(H574,'GDP-PI'!$8:$9,2,FALSE)</f>
        <v>94.263999999999996</v>
      </c>
      <c r="DQ574" s="177">
        <f t="shared" ref="DQ574" si="1681">LN(DP574/DP573)</f>
        <v>1.8912333748032254E-2</v>
      </c>
    </row>
    <row r="575" spans="1:121" s="167" customFormat="1" ht="21" x14ac:dyDescent="0.35">
      <c r="A575" s="167" t="s">
        <v>69</v>
      </c>
      <c r="B575" s="168" t="s">
        <v>69</v>
      </c>
      <c r="C575" s="168">
        <v>4061634</v>
      </c>
      <c r="D575" s="168" t="s">
        <v>135</v>
      </c>
      <c r="E575" s="168"/>
      <c r="F575" s="168"/>
      <c r="G575" s="168" t="s">
        <v>15</v>
      </c>
      <c r="H575" s="169">
        <v>2009</v>
      </c>
      <c r="I575" s="170"/>
      <c r="J575" s="166">
        <f>IFERROR(INDEX('Labor Expenditures'!$F$7:$X$91,MATCH($C575,'Labor Expenditures'!$D$7:$D$91,0),MATCH($G575,'Labor Expenditures'!$F$5:$X$5,0)),"NA")</f>
        <v>21723.059065277001</v>
      </c>
      <c r="K575" s="166">
        <f t="shared" si="1653"/>
        <v>197.88712425667958</v>
      </c>
      <c r="L575" s="172">
        <f t="shared" si="1660"/>
        <v>-1.2994922518348143E-2</v>
      </c>
      <c r="M575" s="172">
        <f t="shared" si="1664"/>
        <v>-9.7000099975749331E-5</v>
      </c>
      <c r="N575" s="196"/>
      <c r="O575" s="172"/>
      <c r="P575" s="166">
        <f>IFERROR(INDEX('Non-Labor Expenditures'!$F$7:$AB$91,MATCH($C575,'Non-Labor Expenditures'!$D$7:$D$91,0),MATCH($G575,'Non-Labor Expenditures'!$F$5:$AB$5,0)),"NA")</f>
        <v>31459.046834291501</v>
      </c>
      <c r="Q575" s="166">
        <f t="shared" si="1654"/>
        <v>331.15134721724968</v>
      </c>
      <c r="R575" s="172">
        <f t="shared" si="1665"/>
        <v>-6.5415082169209063E-3</v>
      </c>
      <c r="S575" s="172">
        <f t="shared" si="1670"/>
        <v>-4.8828836812039103E-5</v>
      </c>
      <c r="T575" s="172"/>
      <c r="U575" s="172"/>
      <c r="V575" s="166">
        <f t="shared" si="1635"/>
        <v>16751.579867745102</v>
      </c>
      <c r="W575" s="170"/>
      <c r="X575" s="174">
        <v>903.71622928224258</v>
      </c>
      <c r="Y575" s="175">
        <v>1.8658763609259332E-2</v>
      </c>
      <c r="Z575" s="175">
        <f t="shared" si="1671"/>
        <v>1.3927762423873963E-4</v>
      </c>
      <c r="AA575" s="175"/>
      <c r="AB575" s="175"/>
      <c r="AC575" s="170">
        <f t="shared" si="1677"/>
        <v>69933.685767313611</v>
      </c>
      <c r="AD575" s="175">
        <f t="shared" si="1666"/>
        <v>-3.1717912182267606E-3</v>
      </c>
      <c r="AE575" s="170"/>
      <c r="AF575" s="170"/>
      <c r="AG575" s="121">
        <f t="shared" si="1667"/>
        <v>322.55449775526085</v>
      </c>
      <c r="AH575" s="119">
        <f>+AZ575/$BB$47</f>
        <v>6.0797551783757717E-3</v>
      </c>
      <c r="AI575" s="119"/>
      <c r="AJ575" s="176">
        <f t="shared" si="1672"/>
        <v>1.9610523780359435</v>
      </c>
      <c r="AK575" s="176">
        <f t="shared" si="1673"/>
        <v>0</v>
      </c>
      <c r="AL575" s="120">
        <f t="shared" si="1655"/>
        <v>0.31062368337849233</v>
      </c>
      <c r="AM575" s="120">
        <f t="shared" si="1656"/>
        <v>0.44984111003334509</v>
      </c>
      <c r="AN575" s="120">
        <f t="shared" si="1657"/>
        <v>0.23953520658816246</v>
      </c>
      <c r="AO575" s="120">
        <f t="shared" si="1661"/>
        <v>-2.4632993571187638E-3</v>
      </c>
      <c r="AP575" s="173">
        <f t="shared" si="1678"/>
        <v>106.5042379866523</v>
      </c>
      <c r="AQ575" s="175">
        <f t="shared" si="1679"/>
        <v>-2.4632993571186831E-3</v>
      </c>
      <c r="AR575" s="177">
        <f>+AC575/$AE$47</f>
        <v>7.4644615878848315E-3</v>
      </c>
      <c r="AS575" s="177">
        <f t="shared" si="1674"/>
        <v>-1.8387203430673811E-5</v>
      </c>
      <c r="AT575" s="177"/>
      <c r="AU575" s="177"/>
      <c r="AV575" s="177"/>
      <c r="AW575" s="190"/>
      <c r="AX575" s="120"/>
      <c r="AY575" s="120"/>
      <c r="AZ575" s="118">
        <f>IFERROR(INDEX('Total Customers'!$F$7:$AB$91,MATCH($C575,'Total Customers'!$D$7:$D$91,0),MATCH($G575,'Total Customers'!$F$5:$AB$5,0)),"NA")</f>
        <v>216812</v>
      </c>
      <c r="BA575" s="119">
        <f t="shared" si="1636"/>
        <v>-1.3214153992184629E-2</v>
      </c>
      <c r="BB575" s="119"/>
      <c r="BC575" s="121"/>
      <c r="BD575" s="119"/>
      <c r="BE575" s="119"/>
      <c r="BF575" s="119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18"/>
      <c r="BR575" s="118"/>
      <c r="BS575" s="118">
        <f>INDEX('Dist. Plant Gas Additions'!$F$7:$AE$91,MATCH($C575,'Dist. Plant Gas Additions'!$D$7:$D$91,0),MATCH(Calculation!$G575,'Dist. Plant Gas Additions'!$F$5:$AE$5,0))</f>
        <v>11861</v>
      </c>
      <c r="BT575" s="118">
        <f>INDEX('Gen. Plant Additions'!$F$7:$AE$91,MATCH($C575,'Gen. Plant Additions'!$D$7:$D$91,0),MATCH(Calculation!$G575,'Gen. Plant Additions'!$F$5:$AE$5,0))</f>
        <v>698</v>
      </c>
      <c r="BU575" s="118"/>
      <c r="BV575" s="118"/>
      <c r="BW575" s="118">
        <f>INDEX('Dist Plant Depreciation'!$E$7:$AD$94,MATCH($C575,'Dist Plant Depreciation'!$D$7:$D$94,0),MATCH(Calculation!$G575,'Dist Plant Depreciation'!$E$5:$AD$5,0))</f>
        <v>194603</v>
      </c>
      <c r="BX575" s="118">
        <f>INDEX('Gen. Plant Depreciation'!$E$7:$AD$94,MATCH($C575,'Gen. Plant Depreciation'!$D$7:$D$94,0),MATCH(Calculation!$G575,'Gen. Plant Depreciation'!$E$5:$AD$5,0))</f>
        <v>19848</v>
      </c>
      <c r="BY575" s="118"/>
      <c r="BZ575" s="118"/>
      <c r="CA575" s="118"/>
      <c r="CB575" s="118"/>
      <c r="CC575" s="118"/>
      <c r="CD575" s="118"/>
      <c r="CE575" s="118">
        <f>INDEX('Gross Dx Plant'!$E$7:$AD$91,MATCH($C575,'Gross Dx Plant'!$D$7:$D$91,0),MATCH(Calculation!$G575,'Gross Dx Plant'!$E$5:$AD$5,0))</f>
        <v>374867</v>
      </c>
      <c r="CF575" s="118">
        <f>INDEX('Gross Gen Plant'!$E$7:$AD$91,MATCH($C575,'Gross Gen Plant'!$D$7:$D$91,0),MATCH(Calculation!$G575,'Gross Gen Plant'!$E$5:$AD$5,0))</f>
        <v>21132</v>
      </c>
      <c r="CG575" s="118">
        <f t="shared" si="1516"/>
        <v>181548</v>
      </c>
      <c r="CH575" s="118"/>
      <c r="CI575" s="121">
        <v>2009</v>
      </c>
      <c r="CJ575" s="118"/>
      <c r="CK575" s="118"/>
      <c r="CL575" s="118"/>
      <c r="CM575" s="183"/>
      <c r="CN575" s="118">
        <f t="shared" si="1637"/>
        <v>12559</v>
      </c>
      <c r="CO575" s="118">
        <f t="shared" si="1638"/>
        <v>22.795559378258638</v>
      </c>
      <c r="CP575" s="186">
        <v>0.93567251461988299</v>
      </c>
      <c r="CQ575" s="118">
        <f>+CQ564*CP575+CO565*CP574+CO566*CP573+CO567*CP572+CO568*CP571+CO569*CP570+CO570*CP569+CO571*CP568+CO572*CP567+CO573*CP566+CO574*CP565+CO575</f>
        <v>903.71622928224258</v>
      </c>
      <c r="CR575" s="119">
        <f t="shared" si="1639"/>
        <v>1.8658763609259332E-2</v>
      </c>
      <c r="CS575" s="119"/>
      <c r="CT575" s="177">
        <f t="shared" si="1640"/>
        <v>6.8653902594334563E-3</v>
      </c>
      <c r="CU575" s="177">
        <f t="shared" si="1648"/>
        <v>6.6490277960467616E-3</v>
      </c>
      <c r="CV575" s="119">
        <f>VLOOKUP($H575,RoR!$E:$F,2,FALSE)</f>
        <v>5.3133333333333324E-2</v>
      </c>
      <c r="CW575" s="177">
        <v>7.7972502758210105E-3</v>
      </c>
      <c r="CX575" s="177">
        <f t="shared" si="1646"/>
        <v>4.5336083057512314E-2</v>
      </c>
      <c r="CY575" s="177">
        <f t="shared" si="1649"/>
        <v>2.4252913812486863E-2</v>
      </c>
      <c r="CZ575" s="177">
        <f t="shared" si="1650"/>
        <v>6.3720160300892073E-2</v>
      </c>
      <c r="DA575" s="187">
        <f t="shared" si="1641"/>
        <v>0.84925000000000006</v>
      </c>
      <c r="DB575" s="188">
        <f t="shared" si="1642"/>
        <v>0.96515780330083989</v>
      </c>
      <c r="DC575" s="188">
        <f t="shared" si="1643"/>
        <v>0.50448557089084056</v>
      </c>
      <c r="DD575" s="188">
        <f t="shared" si="1644"/>
        <v>0.87391435735465484</v>
      </c>
      <c r="DE575" s="188">
        <f t="shared" si="1645"/>
        <v>0.42551605393279146</v>
      </c>
      <c r="DF575" s="189">
        <f>INDEX('State Tax Lookup'!$D$7:$Z$91,MATCH(Calculation!$C575,'State Tax Lookup'!$B$7:$B$91,0),MATCH($H575,'State Tax Lookup'!$D$6:$Z$6,0))</f>
        <v>0.40200000000000002</v>
      </c>
      <c r="DG575" s="189">
        <v>0.375</v>
      </c>
      <c r="DH575" s="190">
        <f t="shared" si="1647"/>
        <v>18.885439180697475</v>
      </c>
      <c r="DI575" s="190">
        <v>18.545725969685535</v>
      </c>
      <c r="DJ575" s="177"/>
      <c r="DK575" s="189">
        <f>VLOOKUP($H575,RoR!$E:$F,2,FALSE)</f>
        <v>5.3133333333333324E-2</v>
      </c>
      <c r="DL575" s="191">
        <f>HLOOKUP($H575,'GDP-PI'!$D$8:$CQ$11,3,FALSE)</f>
        <v>7.7972502758210105E-3</v>
      </c>
      <c r="DM575" s="189">
        <f>VLOOKUP(H575,'HW Dx Data'!$E:$F,2,FALSE)</f>
        <v>550.94063679692806</v>
      </c>
      <c r="DN575" s="183">
        <f>VLOOKUP(H575,'ECI - Input Price'!$G$17:$H$37,2,FALSE)</f>
        <v>109.77499999999999</v>
      </c>
      <c r="DO575" s="177">
        <f t="shared" ref="DO575" si="1682">LN(DN575/DN574)</f>
        <v>1.4220423119736749E-2</v>
      </c>
      <c r="DP575" s="183">
        <f>HLOOKUP(H575,'GDP-PI'!$8:$9,2,FALSE)</f>
        <v>94.998999999999995</v>
      </c>
      <c r="DQ575" s="177">
        <f t="shared" ref="DQ575" si="1683">LN(DP575/DP574)</f>
        <v>7.7670088183096342E-3</v>
      </c>
    </row>
    <row r="576" spans="1:121" s="167" customFormat="1" ht="21" x14ac:dyDescent="0.35">
      <c r="A576" s="167" t="s">
        <v>69</v>
      </c>
      <c r="B576" s="168" t="s">
        <v>69</v>
      </c>
      <c r="C576" s="168">
        <v>4061634</v>
      </c>
      <c r="D576" s="168" t="s">
        <v>135</v>
      </c>
      <c r="E576" s="168"/>
      <c r="F576" s="168"/>
      <c r="G576" s="168" t="s">
        <v>16</v>
      </c>
      <c r="H576" s="169">
        <v>2010</v>
      </c>
      <c r="I576" s="170"/>
      <c r="J576" s="166">
        <f>IFERROR(INDEX('Labor Expenditures'!$F$7:$X$91,MATCH($C576,'Labor Expenditures'!$D$7:$D$91,0),MATCH($G576,'Labor Expenditures'!$F$5:$X$5,0)),"NA")</f>
        <v>22388.331472164828</v>
      </c>
      <c r="K576" s="166">
        <f t="shared" si="1653"/>
        <v>200.11916399700405</v>
      </c>
      <c r="L576" s="172">
        <f t="shared" si="1660"/>
        <v>1.1216220477096018E-2</v>
      </c>
      <c r="M576" s="172">
        <f t="shared" si="1664"/>
        <v>8.3501783640406172E-5</v>
      </c>
      <c r="N576" s="196"/>
      <c r="O576" s="172"/>
      <c r="P576" s="166">
        <f>IFERROR(INDEX('Non-Labor Expenditures'!$F$7:$AB$91,MATCH($C576,'Non-Labor Expenditures'!$D$7:$D$91,0),MATCH($G576,'Non-Labor Expenditures'!$F$5:$AB$5,0)),"NA")</f>
        <v>32422.485535210908</v>
      </c>
      <c r="Q576" s="166">
        <f t="shared" si="1654"/>
        <v>337.35119016128471</v>
      </c>
      <c r="R576" s="172">
        <f t="shared" si="1665"/>
        <v>1.8548981817183934E-2</v>
      </c>
      <c r="S576" s="172">
        <f t="shared" si="1670"/>
        <v>1.3809224503130829E-4</v>
      </c>
      <c r="T576" s="172"/>
      <c r="U576" s="172"/>
      <c r="V576" s="166">
        <f t="shared" si="1635"/>
        <v>17486.180940128397</v>
      </c>
      <c r="W576" s="170"/>
      <c r="X576" s="174">
        <v>924.79289997223736</v>
      </c>
      <c r="Y576" s="175">
        <v>2.3054415070736196E-2</v>
      </c>
      <c r="Z576" s="175">
        <f t="shared" si="1671"/>
        <v>1.7163399944962164E-4</v>
      </c>
      <c r="AA576" s="175"/>
      <c r="AB576" s="175"/>
      <c r="AC576" s="170">
        <f t="shared" si="1677"/>
        <v>72296.997947504133</v>
      </c>
      <c r="AD576" s="175">
        <f t="shared" si="1666"/>
        <v>3.323515928598874E-2</v>
      </c>
      <c r="AE576" s="170"/>
      <c r="AF576" s="170"/>
      <c r="AG576" s="121">
        <f t="shared" si="1667"/>
        <v>332.43055889049168</v>
      </c>
      <c r="AH576" s="119">
        <f>+AZ576/$BB$48</f>
        <v>6.0649140715923582E-3</v>
      </c>
      <c r="AI576" s="119"/>
      <c r="AJ576" s="176">
        <f t="shared" si="1672"/>
        <v>2.0161627744422552</v>
      </c>
      <c r="AK576" s="176">
        <f t="shared" si="1673"/>
        <v>0</v>
      </c>
      <c r="AL576" s="120">
        <f t="shared" si="1655"/>
        <v>0.3096716614488102</v>
      </c>
      <c r="AM576" s="120">
        <f t="shared" si="1656"/>
        <v>0.44846240446599639</v>
      </c>
      <c r="AN576" s="120">
        <f t="shared" si="1657"/>
        <v>0.24186593408519341</v>
      </c>
      <c r="AO576" s="120">
        <f t="shared" si="1661"/>
        <v>1.7359203308934725E-2</v>
      </c>
      <c r="AP576" s="173">
        <f t="shared" si="1678"/>
        <v>108.36920706326062</v>
      </c>
      <c r="AQ576" s="175">
        <f t="shared" si="1679"/>
        <v>1.7359203308934763E-2</v>
      </c>
      <c r="AR576" s="177">
        <f>+AC576/$AE$48</f>
        <v>7.4447345084665759E-3</v>
      </c>
      <c r="AS576" s="177">
        <f t="shared" si="1674"/>
        <v>1.292346599135138E-4</v>
      </c>
      <c r="AT576" s="177"/>
      <c r="AU576" s="177"/>
      <c r="AV576" s="177"/>
      <c r="AW576" s="190"/>
      <c r="AX576" s="120"/>
      <c r="AY576" s="120"/>
      <c r="AZ576" s="118">
        <f>IFERROR(INDEX('Total Customers'!$F$7:$AB$91,MATCH($C576,'Total Customers'!$D$7:$D$91,0),MATCH($G576,'Total Customers'!$F$5:$AB$5,0)),"NA")</f>
        <v>217480</v>
      </c>
      <c r="BA576" s="119">
        <f t="shared" si="1636"/>
        <v>3.0762736905086386E-3</v>
      </c>
      <c r="BB576" s="119"/>
      <c r="BC576" s="121"/>
      <c r="BD576" s="119"/>
      <c r="BE576" s="119"/>
      <c r="BF576" s="119"/>
      <c r="BG576" s="173"/>
      <c r="BH576" s="173"/>
      <c r="BI576" s="173"/>
      <c r="BJ576" s="173"/>
      <c r="BK576" s="173"/>
      <c r="BL576" s="173"/>
      <c r="BM576" s="173"/>
      <c r="BN576" s="173"/>
      <c r="BO576" s="173"/>
      <c r="BP576" s="173"/>
      <c r="BQ576" s="118"/>
      <c r="BR576" s="118"/>
      <c r="BS576" s="118">
        <f>INDEX('Dist. Plant Gas Additions'!$F$7:$AE$91,MATCH($C576,'Dist. Plant Gas Additions'!$D$7:$D$91,0),MATCH(Calculation!$G576,'Dist. Plant Gas Additions'!$F$5:$AE$5,0))</f>
        <v>11418</v>
      </c>
      <c r="BT576" s="118">
        <f>INDEX('Gen. Plant Additions'!$F$7:$AE$91,MATCH($C576,'Gen. Plant Additions'!$D$7:$D$91,0),MATCH(Calculation!$G576,'Gen. Plant Additions'!$F$5:$AE$5,0))</f>
        <v>4225</v>
      </c>
      <c r="BU576" s="118"/>
      <c r="BV576" s="118"/>
      <c r="BW576" s="118">
        <f>INDEX('Dist Plant Depreciation'!$E$7:$AD$94,MATCH($C576,'Dist Plant Depreciation'!$D$7:$D$94,0),MATCH(Calculation!$G576,'Dist Plant Depreciation'!$E$5:$AD$5,0))</f>
        <v>201782</v>
      </c>
      <c r="BX576" s="118">
        <f>INDEX('Gen. Plant Depreciation'!$E$7:$AD$94,MATCH($C576,'Gen. Plant Depreciation'!$D$7:$D$94,0),MATCH(Calculation!$G576,'Gen. Plant Depreciation'!$E$5:$AD$5,0))</f>
        <v>20724</v>
      </c>
      <c r="BY576" s="118"/>
      <c r="BZ576" s="118"/>
      <c r="CA576" s="118"/>
      <c r="CB576" s="118"/>
      <c r="CC576" s="118"/>
      <c r="CD576" s="118"/>
      <c r="CE576" s="118">
        <f>INDEX('Gross Dx Plant'!$E$7:$AD$91,MATCH($C576,'Gross Dx Plant'!$D$7:$D$91,0),MATCH(Calculation!$G576,'Gross Dx Plant'!$E$5:$AD$5,0))</f>
        <v>389071</v>
      </c>
      <c r="CF576" s="118">
        <f>INDEX('Gross Gen Plant'!$E$7:$AD$91,MATCH($C576,'Gross Gen Plant'!$D$7:$D$91,0),MATCH(Calculation!$G576,'Gross Gen Plant'!$E$5:$AD$5,0))</f>
        <v>26230</v>
      </c>
      <c r="CG576" s="118">
        <f t="shared" si="1516"/>
        <v>192795</v>
      </c>
      <c r="CH576" s="118"/>
      <c r="CI576" s="121">
        <v>2010</v>
      </c>
      <c r="CJ576" s="118"/>
      <c r="CK576" s="118"/>
      <c r="CL576" s="118"/>
      <c r="CM576" s="183"/>
      <c r="CN576" s="118">
        <f t="shared" si="1637"/>
        <v>15643</v>
      </c>
      <c r="CO576" s="118">
        <f t="shared" si="1638"/>
        <v>27.492598594002587</v>
      </c>
      <c r="CP576" s="186">
        <v>0.9285714285714286</v>
      </c>
      <c r="CQ576" s="118">
        <f>+CQ564*CP576+CO565*CP575+CO566*CP574+CO567*CP573+CO568*CP572+CO569*CP571+CO570*CP570+CO571*CP569+CO572*CP568+CO573*CP567+CO574*CP566+CO575*CP565+CO576</f>
        <v>924.79289997223736</v>
      </c>
      <c r="CR576" s="119">
        <f t="shared" si="1639"/>
        <v>2.3054415070736196E-2</v>
      </c>
      <c r="CS576" s="119"/>
      <c r="CT576" s="177">
        <f t="shared" si="1640"/>
        <v>7.0994939518830109E-3</v>
      </c>
      <c r="CU576" s="177">
        <f t="shared" si="1648"/>
        <v>6.8721719729131492E-3</v>
      </c>
      <c r="CV576" s="119">
        <f>VLOOKUP($H576,RoR!$E:$F,2,FALSE)</f>
        <v>4.9433333333333322E-2</v>
      </c>
      <c r="CW576" s="177">
        <v>1.1684333519300205E-2</v>
      </c>
      <c r="CX576" s="177">
        <f t="shared" si="1646"/>
        <v>3.7748999814033117E-2</v>
      </c>
      <c r="CY576" s="177">
        <f t="shared" si="1649"/>
        <v>2.4029769635620476E-2</v>
      </c>
      <c r="CZ576" s="177">
        <f t="shared" si="1650"/>
        <v>4.7937530248493419E-2</v>
      </c>
      <c r="DA576" s="187">
        <f t="shared" si="1641"/>
        <v>0.84925000000000006</v>
      </c>
      <c r="DB576" s="188">
        <f t="shared" si="1642"/>
        <v>1.037398205301105</v>
      </c>
      <c r="DC576" s="188">
        <f t="shared" si="1643"/>
        <v>0.46926837491571133</v>
      </c>
      <c r="DD576" s="188">
        <f t="shared" si="1644"/>
        <v>0.8548537519972772</v>
      </c>
      <c r="DE576" s="188">
        <f t="shared" si="1645"/>
        <v>0.41615833911547367</v>
      </c>
      <c r="DF576" s="189">
        <f>INDEX('State Tax Lookup'!$D$7:$Z$91,MATCH(Calculation!$C576,'State Tax Lookup'!$B$7:$B$91,0),MATCH($H576,'State Tax Lookup'!$D$6:$Z$6,0))</f>
        <v>0.40200000000000002</v>
      </c>
      <c r="DG576" s="189">
        <v>0.375</v>
      </c>
      <c r="DH576" s="190">
        <f t="shared" si="1647"/>
        <v>19.349194330632333</v>
      </c>
      <c r="DI576" s="190">
        <v>19.022038374529849</v>
      </c>
      <c r="DJ576" s="177"/>
      <c r="DK576" s="189">
        <f>VLOOKUP($H576,RoR!$E:$F,2,FALSE)</f>
        <v>4.9433333333333322E-2</v>
      </c>
      <c r="DL576" s="191">
        <f>HLOOKUP($H576,'GDP-PI'!$D$8:$CQ$11,3,FALSE)</f>
        <v>1.1684333519300205E-2</v>
      </c>
      <c r="DM576" s="189">
        <f>VLOOKUP(H576,'HW Dx Data'!$E:$F,2,FALSE)</f>
        <v>568.98950262971744</v>
      </c>
      <c r="DN576" s="183">
        <f>VLOOKUP(H576,'ECI - Input Price'!$G$17:$H$37,2,FALSE)</f>
        <v>111.875</v>
      </c>
      <c r="DO576" s="177">
        <f t="shared" ref="DO576" si="1684">LN(DN576/DN575)</f>
        <v>1.8949360147238387E-2</v>
      </c>
      <c r="DP576" s="183">
        <f>HLOOKUP(H576,'GDP-PI'!$8:$9,2,FALSE)</f>
        <v>96.108999999999995</v>
      </c>
      <c r="DQ576" s="177">
        <f t="shared" ref="DQ576" si="1685">LN(DP576/DP575)</f>
        <v>1.1616598807150427E-2</v>
      </c>
    </row>
    <row r="577" spans="1:121" s="167" customFormat="1" ht="21" x14ac:dyDescent="0.35">
      <c r="A577" s="167" t="s">
        <v>69</v>
      </c>
      <c r="B577" s="168" t="s">
        <v>69</v>
      </c>
      <c r="C577" s="168">
        <v>4061634</v>
      </c>
      <c r="D577" s="168" t="s">
        <v>135</v>
      </c>
      <c r="E577" s="168"/>
      <c r="F577" s="168"/>
      <c r="G577" s="168" t="s">
        <v>17</v>
      </c>
      <c r="H577" s="169">
        <v>2011</v>
      </c>
      <c r="I577" s="170"/>
      <c r="J577" s="166">
        <f>IFERROR(INDEX('Labor Expenditures'!$F$7:$X$91,MATCH($C577,'Labor Expenditures'!$D$7:$D$91,0),MATCH($G577,'Labor Expenditures'!$F$5:$X$5,0)),"NA")</f>
        <v>23572.922745313786</v>
      </c>
      <c r="K577" s="166">
        <f t="shared" si="1653"/>
        <v>206.23729435970068</v>
      </c>
      <c r="L577" s="172">
        <f t="shared" si="1660"/>
        <v>3.0114411109955885E-2</v>
      </c>
      <c r="M577" s="172">
        <f t="shared" si="1664"/>
        <v>2.2676431050780535E-4</v>
      </c>
      <c r="N577" s="196"/>
      <c r="O577" s="172"/>
      <c r="P577" s="166">
        <f>IFERROR(INDEX('Non-Labor Expenditures'!$F$7:$AB$91,MATCH($C577,'Non-Labor Expenditures'!$D$7:$D$91,0),MATCH($G577,'Non-Labor Expenditures'!$F$5:$AB$5,0)),"NA")</f>
        <v>34137.994949861153</v>
      </c>
      <c r="Q577" s="166">
        <f t="shared" si="1654"/>
        <v>347.94923097950459</v>
      </c>
      <c r="R577" s="172">
        <f t="shared" si="1665"/>
        <v>3.0932086102852047E-2</v>
      </c>
      <c r="S577" s="172">
        <f t="shared" si="1670"/>
        <v>2.3292147909086534E-4</v>
      </c>
      <c r="T577" s="172"/>
      <c r="U577" s="172"/>
      <c r="V577" s="166">
        <f t="shared" si="1635"/>
        <v>19087.374394355236</v>
      </c>
      <c r="W577" s="170"/>
      <c r="X577" s="174">
        <v>936.84312664836568</v>
      </c>
      <c r="Y577" s="175">
        <v>1.2946026832797669E-2</v>
      </c>
      <c r="Z577" s="175">
        <f t="shared" si="1671"/>
        <v>9.7484783542201272E-5</v>
      </c>
      <c r="AA577" s="175"/>
      <c r="AB577" s="175"/>
      <c r="AC577" s="170">
        <f t="shared" si="1677"/>
        <v>76798.29208953018</v>
      </c>
      <c r="AD577" s="175">
        <f t="shared" si="1666"/>
        <v>6.0399795350658203E-2</v>
      </c>
      <c r="AE577" s="170"/>
      <c r="AF577" s="170"/>
      <c r="AG577" s="121">
        <f t="shared" si="1667"/>
        <v>348.17314786140849</v>
      </c>
      <c r="AH577" s="119">
        <f>+AZ577/$BB$49</f>
        <v>6.1213215870705162E-3</v>
      </c>
      <c r="AI577" s="119"/>
      <c r="AJ577" s="176">
        <f t="shared" si="1672"/>
        <v>2.1312798060423344</v>
      </c>
      <c r="AK577" s="176">
        <f t="shared" si="1673"/>
        <v>0</v>
      </c>
      <c r="AL577" s="120">
        <f t="shared" si="1655"/>
        <v>0.30694592423790967</v>
      </c>
      <c r="AM577" s="120">
        <f t="shared" si="1656"/>
        <v>0.44451502788712599</v>
      </c>
      <c r="AN577" s="120">
        <f t="shared" si="1657"/>
        <v>0.24853904787496434</v>
      </c>
      <c r="AO577" s="120">
        <f t="shared" si="1661"/>
        <v>2.6269763176921354E-2</v>
      </c>
      <c r="AP577" s="173">
        <f t="shared" si="1678"/>
        <v>111.25376288341664</v>
      </c>
      <c r="AQ577" s="175">
        <f t="shared" si="1679"/>
        <v>2.6269763176921292E-2</v>
      </c>
      <c r="AR577" s="177">
        <f>+AC577/$AE$49</f>
        <v>7.5300928077201091E-3</v>
      </c>
      <c r="AS577" s="177">
        <f t="shared" si="1674"/>
        <v>1.9781375475904557E-4</v>
      </c>
      <c r="AT577" s="177"/>
      <c r="AU577" s="177"/>
      <c r="AV577" s="177"/>
      <c r="AW577" s="190"/>
      <c r="AX577" s="120"/>
      <c r="AY577" s="120"/>
      <c r="AZ577" s="118">
        <f>IFERROR(INDEX('Total Customers'!$F$7:$AB$91,MATCH($C577,'Total Customers'!$D$7:$D$91,0),MATCH($G577,'Total Customers'!$F$5:$AB$5,0)),"NA")</f>
        <v>220575</v>
      </c>
      <c r="BA577" s="119">
        <f t="shared" si="1636"/>
        <v>1.4130880830448393E-2</v>
      </c>
      <c r="BB577" s="119"/>
      <c r="BC577" s="121"/>
      <c r="BD577" s="119"/>
      <c r="BE577" s="119"/>
      <c r="BF577" s="119"/>
      <c r="BG577" s="173"/>
      <c r="BH577" s="173"/>
      <c r="BI577" s="173"/>
      <c r="BJ577" s="173"/>
      <c r="BK577" s="173"/>
      <c r="BL577" s="173"/>
      <c r="BM577" s="173"/>
      <c r="BN577" s="173"/>
      <c r="BO577" s="173"/>
      <c r="BP577" s="173"/>
      <c r="BQ577" s="118"/>
      <c r="BR577" s="118"/>
      <c r="BS577" s="118">
        <f>INDEX('Dist. Plant Gas Additions'!$F$7:$AE$91,MATCH($C577,'Dist. Plant Gas Additions'!$D$7:$D$91,0),MATCH(Calculation!$G577,'Dist. Plant Gas Additions'!$F$5:$AE$5,0))</f>
        <v>10551</v>
      </c>
      <c r="BT577" s="118">
        <f>INDEX('Gen. Plant Additions'!$F$7:$AE$91,MATCH($C577,'Gen. Plant Additions'!$D$7:$D$91,0),MATCH(Calculation!$G577,'Gen. Plant Additions'!$F$5:$AE$5,0))</f>
        <v>966</v>
      </c>
      <c r="BU577" s="118"/>
      <c r="BV577" s="118"/>
      <c r="BW577" s="118">
        <f>INDEX('Dist Plant Depreciation'!$E$7:$AD$94,MATCH($C577,'Dist Plant Depreciation'!$D$7:$D$94,0),MATCH(Calculation!$G577,'Dist Plant Depreciation'!$E$5:$AD$5,0))</f>
        <v>210720</v>
      </c>
      <c r="BX577" s="118">
        <f>INDEX('Gen. Plant Depreciation'!$E$7:$AD$94,MATCH($C577,'Gen. Plant Depreciation'!$D$7:$D$94,0),MATCH(Calculation!$G577,'Gen. Plant Depreciation'!$E$5:$AD$5,0))</f>
        <v>19613</v>
      </c>
      <c r="BY577" s="118"/>
      <c r="BZ577" s="118"/>
      <c r="CA577" s="118"/>
      <c r="CB577" s="118"/>
      <c r="CC577" s="118"/>
      <c r="CD577" s="118"/>
      <c r="CE577" s="118">
        <f>INDEX('Gross Dx Plant'!$E$7:$AD$91,MATCH($C577,'Gross Dx Plant'!$D$7:$D$91,0),MATCH(Calculation!$G577,'Gross Dx Plant'!$E$5:$AD$5,0))</f>
        <v>398567</v>
      </c>
      <c r="CF577" s="118">
        <f>INDEX('Gross Gen Plant'!$E$7:$AD$91,MATCH($C577,'Gross Gen Plant'!$D$7:$D$91,0),MATCH(Calculation!$G577,'Gross Gen Plant'!$E$5:$AD$5,0))</f>
        <v>25300</v>
      </c>
      <c r="CG577" s="118">
        <f t="shared" si="1516"/>
        <v>193534</v>
      </c>
      <c r="CH577" s="118"/>
      <c r="CI577" s="121">
        <v>2011</v>
      </c>
      <c r="CJ577" s="118"/>
      <c r="CK577" s="118"/>
      <c r="CL577" s="118"/>
      <c r="CM577" s="183"/>
      <c r="CN577" s="118">
        <f t="shared" si="1637"/>
        <v>11517</v>
      </c>
      <c r="CO577" s="118">
        <f t="shared" si="1638"/>
        <v>18.830593612524975</v>
      </c>
      <c r="CP577" s="186">
        <v>0.92121212121212126</v>
      </c>
      <c r="CQ577" s="118">
        <f>+CQ564*CP577+CO565*CP576+CO566*CP575+CO567*CP574+CO568*CP573+CO569*CP572+CO570*CP571+CO571*CP570+CO572*CP569+CO573*CP568+CO574*CP567+CO575*CP566+CO576*CP565+CO577</f>
        <v>936.84312664836568</v>
      </c>
      <c r="CR577" s="119">
        <f t="shared" si="1639"/>
        <v>1.2946026832797669E-2</v>
      </c>
      <c r="CS577" s="119"/>
      <c r="CT577" s="177">
        <f t="shared" si="1640"/>
        <v>7.3317679413414678E-3</v>
      </c>
      <c r="CU577" s="177">
        <f t="shared" si="1648"/>
        <v>7.0988840508859783E-3</v>
      </c>
      <c r="CV577" s="119">
        <f>VLOOKUP($H577,RoR!$E:$F,2,FALSE)</f>
        <v>4.6391666666666664E-2</v>
      </c>
      <c r="CW577" s="177">
        <v>2.0840920205183799E-2</v>
      </c>
      <c r="CX577" s="177">
        <f t="shared" si="1646"/>
        <v>2.5550746461482865E-2</v>
      </c>
      <c r="CY577" s="177">
        <f t="shared" si="1649"/>
        <v>2.3803057557647646E-2</v>
      </c>
      <c r="CZ577" s="177">
        <f t="shared" si="1650"/>
        <v>2.4810540821321614E-2</v>
      </c>
      <c r="DA577" s="187">
        <f t="shared" si="1641"/>
        <v>0.84925000000000006</v>
      </c>
      <c r="DB577" s="188">
        <f t="shared" si="1642"/>
        <v>1.1054151524782025</v>
      </c>
      <c r="DC577" s="188">
        <f t="shared" si="1643"/>
        <v>0.43611011316687626</v>
      </c>
      <c r="DD577" s="188">
        <f t="shared" si="1644"/>
        <v>0.83698442246886229</v>
      </c>
      <c r="DE577" s="188">
        <f t="shared" si="1645"/>
        <v>0.40349573304423936</v>
      </c>
      <c r="DF577" s="189">
        <f>INDEX('State Tax Lookup'!$D$7:$Z$91,MATCH(Calculation!$C577,'State Tax Lookup'!$B$7:$B$91,0),MATCH($H577,'State Tax Lookup'!$D$6:$Z$6,0))</f>
        <v>0.40200000000000002</v>
      </c>
      <c r="DG577" s="189">
        <v>0.375</v>
      </c>
      <c r="DH577" s="190">
        <f t="shared" si="1647"/>
        <v>20.639620389525316</v>
      </c>
      <c r="DI577" s="190">
        <v>20.290103806580756</v>
      </c>
      <c r="DJ577" s="177"/>
      <c r="DK577" s="189">
        <f>VLOOKUP($H577,RoR!$E:$F,2,FALSE)</f>
        <v>4.6391666666666664E-2</v>
      </c>
      <c r="DL577" s="191">
        <f>HLOOKUP($H577,'GDP-PI'!$D$8:$CQ$11,3,FALSE)</f>
        <v>2.0840920205183799E-2</v>
      </c>
      <c r="DM577" s="189">
        <f>VLOOKUP(H577,'HW Dx Data'!$E:$F,2,FALSE)</f>
        <v>611.61109612283201</v>
      </c>
      <c r="DN577" s="183">
        <f>VLOOKUP(H577,'ECI - Input Price'!$G$17:$H$37,2,FALSE)</f>
        <v>114.3</v>
      </c>
      <c r="DO577" s="177">
        <f t="shared" ref="DO577" si="1686">LN(DN577/DN576)</f>
        <v>2.1444394205745516E-2</v>
      </c>
      <c r="DP577" s="183">
        <f>HLOOKUP(H577,'GDP-PI'!$8:$9,2,FALSE)</f>
        <v>98.111999999999995</v>
      </c>
      <c r="DQ577" s="177">
        <f t="shared" ref="DQ577" si="1687">LN(DP577/DP576)</f>
        <v>2.0626719212849295E-2</v>
      </c>
    </row>
    <row r="578" spans="1:121" s="167" customFormat="1" ht="21" x14ac:dyDescent="0.35">
      <c r="A578" s="167" t="s">
        <v>69</v>
      </c>
      <c r="B578" s="168" t="s">
        <v>69</v>
      </c>
      <c r="C578" s="168">
        <v>4061634</v>
      </c>
      <c r="D578" s="168" t="s">
        <v>135</v>
      </c>
      <c r="E578" s="168"/>
      <c r="F578" s="168"/>
      <c r="G578" s="168" t="s">
        <v>18</v>
      </c>
      <c r="H578" s="169">
        <v>2012</v>
      </c>
      <c r="I578" s="170"/>
      <c r="J578" s="166">
        <f>IFERROR(INDEX('Labor Expenditures'!$F$7:$X$91,MATCH($C578,'Labor Expenditures'!$D$7:$D$91,0),MATCH($G578,'Labor Expenditures'!$F$5:$X$5,0)),"NA")</f>
        <v>23333.752708710697</v>
      </c>
      <c r="K578" s="166">
        <f t="shared" si="1653"/>
        <v>200.28972282155104</v>
      </c>
      <c r="L578" s="172">
        <f t="shared" si="1660"/>
        <v>-2.9262487786186772E-2</v>
      </c>
      <c r="M578" s="172">
        <f t="shared" si="1664"/>
        <v>-2.1359368805976827E-4</v>
      </c>
      <c r="N578" s="196"/>
      <c r="O578" s="172"/>
      <c r="P578" s="166">
        <f>IFERROR(INDEX('Non-Labor Expenditures'!$F$7:$AB$91,MATCH($C578,'Non-Labor Expenditures'!$D$7:$D$91,0),MATCH($G578,'Non-Labor Expenditures'!$F$5:$AB$5,0)),"NA")</f>
        <v>33791.632066058912</v>
      </c>
      <c r="Q578" s="166">
        <f t="shared" si="1654"/>
        <v>337.91632066058912</v>
      </c>
      <c r="R578" s="172">
        <f t="shared" si="1665"/>
        <v>-2.9258288319938798E-2</v>
      </c>
      <c r="S578" s="172">
        <f t="shared" si="1670"/>
        <v>-2.1356303518123174E-4</v>
      </c>
      <c r="T578" s="172"/>
      <c r="U578" s="172"/>
      <c r="V578" s="166">
        <f t="shared" si="1635"/>
        <v>20877.324015075719</v>
      </c>
      <c r="W578" s="170"/>
      <c r="X578" s="174">
        <v>948.96788469178591</v>
      </c>
      <c r="Y578" s="175">
        <v>1.2859109471601824E-2</v>
      </c>
      <c r="Z578" s="175">
        <f t="shared" si="1671"/>
        <v>9.3861623703103732E-5</v>
      </c>
      <c r="AA578" s="175"/>
      <c r="AB578" s="175"/>
      <c r="AC578" s="170">
        <f t="shared" si="1677"/>
        <v>78002.708789845332</v>
      </c>
      <c r="AD578" s="175">
        <f t="shared" si="1666"/>
        <v>1.55611526727528E-2</v>
      </c>
      <c r="AE578" s="170"/>
      <c r="AF578" s="170"/>
      <c r="AG578" s="121">
        <f t="shared" si="1667"/>
        <v>356.45670933265092</v>
      </c>
      <c r="AH578" s="119">
        <f>+AZ578/$BB$50</f>
        <v>6.0436161065588667E-3</v>
      </c>
      <c r="AI578" s="119"/>
      <c r="AJ578" s="176">
        <f t="shared" si="1672"/>
        <v>2.1542875098137815</v>
      </c>
      <c r="AK578" s="176">
        <f t="shared" si="1673"/>
        <v>0</v>
      </c>
      <c r="AL578" s="120">
        <f t="shared" si="1655"/>
        <v>0.29914028718639024</v>
      </c>
      <c r="AM578" s="120">
        <f t="shared" si="1656"/>
        <v>0.43321100754462549</v>
      </c>
      <c r="AN578" s="120">
        <f t="shared" si="1657"/>
        <v>0.26764870526898421</v>
      </c>
      <c r="AO578" s="120">
        <f t="shared" si="1661"/>
        <v>-1.8389318472090292E-2</v>
      </c>
      <c r="AP578" s="173">
        <f t="shared" si="1678"/>
        <v>109.22657840395721</v>
      </c>
      <c r="AQ578" s="175">
        <f t="shared" si="1679"/>
        <v>-1.8389318472090271E-2</v>
      </c>
      <c r="AR578" s="177">
        <f>+AC578/$AE$50</f>
        <v>7.2992320277223402E-3</v>
      </c>
      <c r="AS578" s="177">
        <f t="shared" si="1674"/>
        <v>-1.3422790235946737E-4</v>
      </c>
      <c r="AT578" s="177"/>
      <c r="AU578" s="177"/>
      <c r="AV578" s="177"/>
      <c r="AW578" s="190"/>
      <c r="AX578" s="120"/>
      <c r="AY578" s="120"/>
      <c r="AZ578" s="118">
        <f>IFERROR(INDEX('Total Customers'!$F$7:$AB$91,MATCH($C578,'Total Customers'!$D$7:$D$91,0),MATCH($G578,'Total Customers'!$F$5:$AB$5,0)),"NA")</f>
        <v>218828</v>
      </c>
      <c r="BA578" s="119">
        <f t="shared" si="1636"/>
        <v>-7.9517399983571688E-3</v>
      </c>
      <c r="BB578" s="119"/>
      <c r="BC578" s="121"/>
      <c r="BD578" s="119"/>
      <c r="BE578" s="119"/>
      <c r="BF578" s="119"/>
      <c r="BG578" s="173"/>
      <c r="BH578" s="173"/>
      <c r="BI578" s="173"/>
      <c r="BJ578" s="173"/>
      <c r="BK578" s="173"/>
      <c r="BL578" s="173"/>
      <c r="BM578" s="173"/>
      <c r="BN578" s="173"/>
      <c r="BO578" s="173"/>
      <c r="BP578" s="173"/>
      <c r="BQ578" s="118"/>
      <c r="BR578" s="118"/>
      <c r="BS578" s="118">
        <f>INDEX('Dist. Plant Gas Additions'!$F$7:$AE$91,MATCH($C578,'Dist. Plant Gas Additions'!$D$7:$D$91,0),MATCH(Calculation!$G578,'Dist. Plant Gas Additions'!$F$5:$AE$5,0))</f>
        <v>10956</v>
      </c>
      <c r="BT578" s="118">
        <f>INDEX('Gen. Plant Additions'!$F$7:$AE$91,MATCH($C578,'Gen. Plant Additions'!$D$7:$D$91,0),MATCH(Calculation!$G578,'Gen. Plant Additions'!$F$5:$AE$5,0))</f>
        <v>1916</v>
      </c>
      <c r="BU578" s="118"/>
      <c r="BV578" s="118"/>
      <c r="BW578" s="118">
        <f>INDEX('Dist Plant Depreciation'!$E$7:$AD$94,MATCH($C578,'Dist Plant Depreciation'!$D$7:$D$94,0),MATCH(Calculation!$G578,'Dist Plant Depreciation'!$E$5:$AD$5,0))</f>
        <v>219839</v>
      </c>
      <c r="BX578" s="118">
        <f>INDEX('Gen. Plant Depreciation'!$E$7:$AD$94,MATCH($C578,'Gen. Plant Depreciation'!$D$7:$D$94,0),MATCH(Calculation!$G578,'Gen. Plant Depreciation'!$E$5:$AD$5,0))</f>
        <v>18099</v>
      </c>
      <c r="BY578" s="118"/>
      <c r="BZ578" s="118"/>
      <c r="CA578" s="118"/>
      <c r="CB578" s="118"/>
      <c r="CC578" s="118"/>
      <c r="CD578" s="118"/>
      <c r="CE578" s="118">
        <f>INDEX('Gross Dx Plant'!$E$7:$AD$91,MATCH($C578,'Gross Dx Plant'!$D$7:$D$91,0),MATCH(Calculation!$G578,'Gross Dx Plant'!$E$5:$AD$5,0))</f>
        <v>408195</v>
      </c>
      <c r="CF578" s="118">
        <f>INDEX('Gross Gen Plant'!$E$7:$AD$91,MATCH($C578,'Gross Gen Plant'!$D$7:$D$91,0),MATCH(Calculation!$G578,'Gross Gen Plant'!$E$5:$AD$5,0))</f>
        <v>24804</v>
      </c>
      <c r="CG578" s="118">
        <f t="shared" si="1516"/>
        <v>195061</v>
      </c>
      <c r="CH578" s="118"/>
      <c r="CI578" s="121">
        <v>2012</v>
      </c>
      <c r="CJ578" s="118"/>
      <c r="CK578" s="118"/>
      <c r="CL578" s="118"/>
      <c r="CM578" s="183"/>
      <c r="CN578" s="118">
        <f t="shared" si="1637"/>
        <v>12872</v>
      </c>
      <c r="CO578" s="118">
        <f t="shared" si="1638"/>
        <v>19.242978300203479</v>
      </c>
      <c r="CP578" s="186">
        <v>0.9135802469135802</v>
      </c>
      <c r="CQ578" s="118">
        <f>+CQ564*CP578+CO565*CP577+CO566*CP576+CO567*CP575+CO568*CP574+CO569*CP573+CO570*CP572+CO571*CP571+CO572*CP570+CO573*CP569+CO574*CP568+CO575*CP567+CO576*CP566+CO577*CP565+CO578</f>
        <v>948.96788469178591</v>
      </c>
      <c r="CR578" s="119">
        <f t="shared" si="1639"/>
        <v>1.2859109471601824E-2</v>
      </c>
      <c r="CS578" s="119"/>
      <c r="CT578" s="177">
        <f t="shared" si="1640"/>
        <v>7.5980919903306287E-3</v>
      </c>
      <c r="CU578" s="177">
        <f t="shared" si="1648"/>
        <v>7.3431179611850366E-3</v>
      </c>
      <c r="CV578" s="119">
        <f>VLOOKUP($H578,RoR!$E:$F,2,FALSE)</f>
        <v>3.6733333333333333E-2</v>
      </c>
      <c r="CW578" s="177">
        <v>1.924331376386168E-2</v>
      </c>
      <c r="CX578" s="177">
        <f t="shared" si="1646"/>
        <v>1.7490019569471653E-2</v>
      </c>
      <c r="CY578" s="177">
        <f t="shared" si="1649"/>
        <v>2.3558823647348587E-2</v>
      </c>
      <c r="CZ578" s="177">
        <f t="shared" si="1650"/>
        <v>6.7122682943869583E-2</v>
      </c>
      <c r="DA578" s="187">
        <f t="shared" si="1641"/>
        <v>0.84925000000000006</v>
      </c>
      <c r="DB578" s="188">
        <f t="shared" si="1642"/>
        <v>1.3960631020522127</v>
      </c>
      <c r="DC578" s="188">
        <f t="shared" si="1643"/>
        <v>0.29441923774954631</v>
      </c>
      <c r="DD578" s="188">
        <f t="shared" si="1644"/>
        <v>0.76377954189366437</v>
      </c>
      <c r="DE578" s="188">
        <f t="shared" si="1645"/>
        <v>0.31393465103033691</v>
      </c>
      <c r="DF578" s="189">
        <f>INDEX('State Tax Lookup'!$D$7:$Z$91,MATCH(Calculation!$C578,'State Tax Lookup'!$B$7:$B$91,0),MATCH($H578,'State Tax Lookup'!$D$6:$Z$6,0))</f>
        <v>0.40200000000000002</v>
      </c>
      <c r="DG578" s="189">
        <v>0.375</v>
      </c>
      <c r="DH578" s="190">
        <f t="shared" si="1647"/>
        <v>22.284759765240619</v>
      </c>
      <c r="DI578" s="190">
        <v>21.933169391318152</v>
      </c>
      <c r="DJ578" s="177"/>
      <c r="DK578" s="189">
        <f>VLOOKUP($H578,RoR!$E:$F,2,FALSE)</f>
        <v>3.6733333333333333E-2</v>
      </c>
      <c r="DL578" s="191">
        <f>HLOOKUP($H578,'GDP-PI'!$D$8:$CQ$11,3,FALSE)</f>
        <v>1.924331376386168E-2</v>
      </c>
      <c r="DM578" s="189">
        <f>VLOOKUP(H578,'HW Dx Data'!$E:$F,2,FALSE)</f>
        <v>668.91932211262167</v>
      </c>
      <c r="DN578" s="183">
        <f>VLOOKUP(H578,'ECI - Input Price'!$G$17:$H$37,2,FALSE)</f>
        <v>116.5</v>
      </c>
      <c r="DO578" s="177">
        <f t="shared" ref="DO578" si="1688">LN(DN578/DN577)</f>
        <v>1.9064702204990347E-2</v>
      </c>
      <c r="DP578" s="183">
        <f>HLOOKUP(H578,'GDP-PI'!$8:$9,2,FALSE)</f>
        <v>100</v>
      </c>
      <c r="DQ578" s="177">
        <f t="shared" ref="DQ578" si="1689">LN(DP578/DP577)</f>
        <v>1.9060502738742411E-2</v>
      </c>
    </row>
    <row r="579" spans="1:121" s="167" customFormat="1" ht="21" x14ac:dyDescent="0.35">
      <c r="A579" s="167" t="s">
        <v>69</v>
      </c>
      <c r="B579" s="168" t="s">
        <v>69</v>
      </c>
      <c r="C579" s="168">
        <v>4061634</v>
      </c>
      <c r="D579" s="168" t="s">
        <v>135</v>
      </c>
      <c r="E579" s="168"/>
      <c r="F579" s="168"/>
      <c r="G579" s="168" t="s">
        <v>19</v>
      </c>
      <c r="H579" s="169">
        <v>2013</v>
      </c>
      <c r="I579" s="170"/>
      <c r="J579" s="166">
        <f>IFERROR(INDEX('Labor Expenditures'!$F$7:$X$91,MATCH($C579,'Labor Expenditures'!$D$7:$D$91,0),MATCH($G579,'Labor Expenditures'!$F$5:$X$5,0)),"NA")</f>
        <v>24167.487427380493</v>
      </c>
      <c r="K579" s="166">
        <f t="shared" si="1653"/>
        <v>203.55853802805217</v>
      </c>
      <c r="L579" s="172">
        <f t="shared" si="1660"/>
        <v>1.6188687248481128E-2</v>
      </c>
      <c r="M579" s="172">
        <f t="shared" si="1664"/>
        <v>1.1671917749041533E-4</v>
      </c>
      <c r="N579" s="196"/>
      <c r="O579" s="172"/>
      <c r="P579" s="166">
        <f>IFERROR(INDEX('Non-Labor Expenditures'!$F$7:$AB$91,MATCH($C579,'Non-Labor Expenditures'!$D$7:$D$91,0),MATCH($G579,'Non-Labor Expenditures'!$F$5:$AB$5,0)),"NA")</f>
        <v>34999.035658858265</v>
      </c>
      <c r="Q579" s="166">
        <f t="shared" si="1654"/>
        <v>343.89313136940314</v>
      </c>
      <c r="R579" s="172">
        <f t="shared" si="1665"/>
        <v>1.753265166140092E-2</v>
      </c>
      <c r="S579" s="172">
        <f t="shared" si="1670"/>
        <v>1.2640905650559641E-4</v>
      </c>
      <c r="T579" s="172"/>
      <c r="U579" s="172"/>
      <c r="V579" s="166">
        <f t="shared" si="1635"/>
        <v>20754.524246613404</v>
      </c>
      <c r="W579" s="170"/>
      <c r="X579" s="174">
        <v>965.56286476781077</v>
      </c>
      <c r="Y579" s="175">
        <v>1.7336254022340236E-2</v>
      </c>
      <c r="Z579" s="175">
        <f t="shared" si="1671"/>
        <v>1.2499304478454887E-4</v>
      </c>
      <c r="AA579" s="175"/>
      <c r="AB579" s="175"/>
      <c r="AC579" s="170">
        <f t="shared" si="1677"/>
        <v>79921.047332852162</v>
      </c>
      <c r="AD579" s="175">
        <f t="shared" si="1666"/>
        <v>2.4295684858322571E-2</v>
      </c>
      <c r="AE579" s="170"/>
      <c r="AF579" s="170"/>
      <c r="AG579" s="121">
        <f t="shared" si="1667"/>
        <v>365.28823356225473</v>
      </c>
      <c r="AH579" s="119">
        <f>+AZ579/$BB$51</f>
        <v>6.0039071433837486E-3</v>
      </c>
      <c r="AI579" s="119"/>
      <c r="AJ579" s="176">
        <f t="shared" si="1672"/>
        <v>2.1931566348784526</v>
      </c>
      <c r="AK579" s="176">
        <f t="shared" si="1673"/>
        <v>0</v>
      </c>
      <c r="AL579" s="120">
        <f t="shared" si="1655"/>
        <v>0.3023920260545217</v>
      </c>
      <c r="AM579" s="120">
        <f t="shared" si="1656"/>
        <v>0.43792013276672415</v>
      </c>
      <c r="AN579" s="120">
        <f t="shared" si="1657"/>
        <v>0.25968784117875415</v>
      </c>
      <c r="AO579" s="120">
        <f t="shared" si="1661"/>
        <v>1.7076648823935992E-2</v>
      </c>
      <c r="AP579" s="173">
        <f t="shared" si="1678"/>
        <v>111.10781925447895</v>
      </c>
      <c r="AQ579" s="175">
        <f t="shared" si="1679"/>
        <v>1.7076648823935944E-2</v>
      </c>
      <c r="AR579" s="177">
        <f>+AC579/$AE$51</f>
        <v>7.2099223179054421E-3</v>
      </c>
      <c r="AS579" s="177">
        <f t="shared" si="1674"/>
        <v>1.2312131147072949E-4</v>
      </c>
      <c r="AT579" s="177"/>
      <c r="AU579" s="177"/>
      <c r="AV579" s="177"/>
      <c r="AW579" s="190"/>
      <c r="AX579" s="120"/>
      <c r="AY579" s="120"/>
      <c r="AZ579" s="118">
        <f>IFERROR(INDEX('Total Customers'!$F$7:$AB$91,MATCH($C579,'Total Customers'!$D$7:$D$91,0),MATCH($G579,'Total Customers'!$F$5:$AB$5,0)),"NA")</f>
        <v>218789</v>
      </c>
      <c r="BA579" s="119">
        <f t="shared" si="1636"/>
        <v>-1.7823804881089895E-4</v>
      </c>
      <c r="BB579" s="119"/>
      <c r="BC579" s="121"/>
      <c r="BD579" s="119"/>
      <c r="BE579" s="119"/>
      <c r="BF579" s="119"/>
      <c r="BG579" s="173"/>
      <c r="BH579" s="173"/>
      <c r="BI579" s="173"/>
      <c r="BJ579" s="173"/>
      <c r="BK579" s="173"/>
      <c r="BL579" s="173"/>
      <c r="BM579" s="173"/>
      <c r="BN579" s="173"/>
      <c r="BO579" s="173"/>
      <c r="BP579" s="173"/>
      <c r="BQ579" s="118"/>
      <c r="BR579" s="118"/>
      <c r="BS579" s="118">
        <f>INDEX('Dist. Plant Gas Additions'!$F$7:$AE$91,MATCH($C579,'Dist. Plant Gas Additions'!$D$7:$D$91,0),MATCH(Calculation!$G579,'Dist. Plant Gas Additions'!$F$5:$AE$5,0))</f>
        <v>11404</v>
      </c>
      <c r="BT579" s="118">
        <f>INDEX('Gen. Plant Additions'!$F$7:$AE$91,MATCH($C579,'Gen. Plant Additions'!$D$7:$D$91,0),MATCH(Calculation!$G579,'Gen. Plant Additions'!$F$5:$AE$5,0))</f>
        <v>4560</v>
      </c>
      <c r="BU579" s="118"/>
      <c r="BV579" s="118"/>
      <c r="BW579" s="118">
        <f>INDEX('Dist Plant Depreciation'!$E$7:$AD$94,MATCH($C579,'Dist Plant Depreciation'!$D$7:$D$94,0),MATCH(Calculation!$G579,'Dist Plant Depreciation'!$E$5:$AD$5,0))</f>
        <v>229840</v>
      </c>
      <c r="BX579" s="118">
        <f>INDEX('Gen. Plant Depreciation'!$E$7:$AD$94,MATCH($C579,'Gen. Plant Depreciation'!$D$7:$D$94,0),MATCH(Calculation!$G579,'Gen. Plant Depreciation'!$E$5:$AD$5,0))</f>
        <v>17835</v>
      </c>
      <c r="BY579" s="118"/>
      <c r="BZ579" s="118"/>
      <c r="CA579" s="118"/>
      <c r="CB579" s="118"/>
      <c r="CC579" s="118"/>
      <c r="CD579" s="118"/>
      <c r="CE579" s="118">
        <f>INDEX('Gross Dx Plant'!$E$7:$AD$91,MATCH($C579,'Gross Dx Plant'!$D$7:$D$91,0),MATCH(Calculation!$G579,'Gross Dx Plant'!$E$5:$AD$5,0))</f>
        <v>418827</v>
      </c>
      <c r="CF579" s="118">
        <f>INDEX('Gross Gen Plant'!$E$7:$AD$91,MATCH($C579,'Gross Gen Plant'!$D$7:$D$91,0),MATCH(Calculation!$G579,'Gross Gen Plant'!$E$5:$AD$5,0))</f>
        <v>28250</v>
      </c>
      <c r="CG579" s="118">
        <f t="shared" si="1516"/>
        <v>199402</v>
      </c>
      <c r="CH579" s="118"/>
      <c r="CI579" s="121">
        <v>2013</v>
      </c>
      <c r="CJ579" s="118"/>
      <c r="CK579" s="118"/>
      <c r="CL579" s="118"/>
      <c r="CM579" s="183"/>
      <c r="CN579" s="118">
        <f t="shared" si="1637"/>
        <v>15964</v>
      </c>
      <c r="CO579" s="118">
        <f t="shared" si="1638"/>
        <v>24.069413311667105</v>
      </c>
      <c r="CP579" s="186">
        <v>0.90566037735849059</v>
      </c>
      <c r="CQ579" s="118">
        <f>+CQ564*CP579+CO565*CP578+CO566*CP577+CO567*CP576+CO568*CP575+CO569*CP574+CO570*CP573+CO571*CP572+CO572*CP571+CO573*CP570+CO574*CP569+CO575*CP568+CO576*CP567+CO577*CP566+CO578*CP565+CO579</f>
        <v>965.56286476781077</v>
      </c>
      <c r="CR579" s="119">
        <f t="shared" si="1639"/>
        <v>1.7336254022340236E-2</v>
      </c>
      <c r="CS579" s="119"/>
      <c r="CT579" s="177">
        <f t="shared" si="1640"/>
        <v>7.8763816523357514E-3</v>
      </c>
      <c r="CU579" s="177">
        <f t="shared" si="1648"/>
        <v>7.6020805280026154E-3</v>
      </c>
      <c r="CV579" s="119">
        <f>VLOOKUP($H579,RoR!$E:$F,2,FALSE)</f>
        <v>4.2350000000000006E-2</v>
      </c>
      <c r="CW579" s="177">
        <v>1.7730000000000024E-2</v>
      </c>
      <c r="CX579" s="177">
        <f t="shared" si="1646"/>
        <v>2.4619999999999982E-2</v>
      </c>
      <c r="CY579" s="177">
        <f t="shared" si="1649"/>
        <v>2.3299861080531011E-2</v>
      </c>
      <c r="CZ579" s="177">
        <f t="shared" si="1650"/>
        <v>5.3376742735721204E-2</v>
      </c>
      <c r="DA579" s="187">
        <f t="shared" si="1641"/>
        <v>0.84925000000000006</v>
      </c>
      <c r="DB579" s="188">
        <f t="shared" si="1642"/>
        <v>1.2109103018193925</v>
      </c>
      <c r="DC579" s="188">
        <f t="shared" si="1643"/>
        <v>0.38468122786304604</v>
      </c>
      <c r="DD579" s="188">
        <f t="shared" si="1644"/>
        <v>0.80969194503422559</v>
      </c>
      <c r="DE579" s="188">
        <f t="shared" si="1645"/>
        <v>0.37716621754800816</v>
      </c>
      <c r="DF579" s="189">
        <f>INDEX('State Tax Lookup'!$D$7:$Z$91,MATCH(Calculation!$C579,'State Tax Lookup'!$B$7:$B$91,0),MATCH($H579,'State Tax Lookup'!$D$6:$Z$6,0))</f>
        <v>0.40200000000000002</v>
      </c>
      <c r="DG579" s="189">
        <v>0.375</v>
      </c>
      <c r="DH579" s="190">
        <f t="shared" si="1647"/>
        <v>21.87062869188059</v>
      </c>
      <c r="DI579" s="190">
        <v>21.502005939131688</v>
      </c>
      <c r="DJ579" s="177"/>
      <c r="DK579" s="189">
        <f>VLOOKUP($H579,RoR!$E:$F,2,FALSE)</f>
        <v>4.2350000000000006E-2</v>
      </c>
      <c r="DL579" s="191">
        <f>HLOOKUP($H579,'GDP-PI'!$D$8:$CQ$11,3,FALSE)</f>
        <v>1.7730000000000024E-2</v>
      </c>
      <c r="DM579" s="189">
        <f>VLOOKUP(H579,'HW Dx Data'!$E:$F,2,FALSE)</f>
        <v>663.24840548821396</v>
      </c>
      <c r="DN579" s="183">
        <f>VLOOKUP(H579,'ECI - Input Price'!$G$17:$H$37,2,FALSE)</f>
        <v>118.72499999999999</v>
      </c>
      <c r="DO579" s="177">
        <f t="shared" ref="DO579" si="1690">LN(DN579/DN578)</f>
        <v>1.8918621429430321E-2</v>
      </c>
      <c r="DP579" s="183">
        <f>HLOOKUP(H579,'GDP-PI'!$8:$9,2,FALSE)</f>
        <v>101.773</v>
      </c>
      <c r="DQ579" s="177">
        <f t="shared" ref="DQ579" si="1691">LN(DP579/DP578)</f>
        <v>1.7574657016510519E-2</v>
      </c>
    </row>
    <row r="580" spans="1:121" s="167" customFormat="1" ht="21" x14ac:dyDescent="0.35">
      <c r="A580" s="167" t="s">
        <v>69</v>
      </c>
      <c r="B580" s="168" t="s">
        <v>69</v>
      </c>
      <c r="C580" s="168">
        <v>4061634</v>
      </c>
      <c r="D580" s="168" t="s">
        <v>135</v>
      </c>
      <c r="E580" s="168"/>
      <c r="F580" s="168"/>
      <c r="G580" s="168" t="s">
        <v>20</v>
      </c>
      <c r="H580" s="169">
        <v>2014</v>
      </c>
      <c r="I580" s="170"/>
      <c r="J580" s="166">
        <f>IFERROR(INDEX('Labor Expenditures'!$F$7:$X$91,MATCH($C580,'Labor Expenditures'!$D$7:$D$91,0),MATCH($G580,'Labor Expenditures'!$F$5:$X$5,0)),"NA")</f>
        <v>24070.297402937969</v>
      </c>
      <c r="K580" s="166">
        <f t="shared" si="1653"/>
        <v>198.59981355559381</v>
      </c>
      <c r="L580" s="172">
        <f t="shared" si="1660"/>
        <v>-2.4661806858008652E-2</v>
      </c>
      <c r="M580" s="172">
        <f t="shared" si="1664"/>
        <v>-1.7442730593084733E-4</v>
      </c>
      <c r="N580" s="196"/>
      <c r="O580" s="172"/>
      <c r="P580" s="166">
        <f>IFERROR(INDEX('Non-Labor Expenditures'!$F$7:$AB$91,MATCH($C580,'Non-Labor Expenditures'!$D$7:$D$91,0),MATCH($G580,'Non-Labor Expenditures'!$F$5:$AB$5,0)),"NA")</f>
        <v>34858.286350872884</v>
      </c>
      <c r="Q580" s="166">
        <f t="shared" si="1654"/>
        <v>336.31736905914192</v>
      </c>
      <c r="R580" s="172">
        <f t="shared" si="1665"/>
        <v>-2.2275679556236116E-2</v>
      </c>
      <c r="S580" s="172">
        <f t="shared" si="1670"/>
        <v>-1.5755077456992367E-4</v>
      </c>
      <c r="T580" s="172"/>
      <c r="U580" s="172"/>
      <c r="V580" s="166">
        <f t="shared" si="1635"/>
        <v>21558.17094530282</v>
      </c>
      <c r="W580" s="170"/>
      <c r="X580" s="174">
        <v>988.40062415172724</v>
      </c>
      <c r="Y580" s="175">
        <v>2.3376894741393012E-2</v>
      </c>
      <c r="Z580" s="175">
        <f t="shared" si="1671"/>
        <v>1.6533941710949817E-4</v>
      </c>
      <c r="AA580" s="175"/>
      <c r="AB580" s="175"/>
      <c r="AC580" s="170">
        <f t="shared" si="1677"/>
        <v>80486.754699113677</v>
      </c>
      <c r="AD580" s="175">
        <f t="shared" si="1666"/>
        <v>7.0533939676148171E-3</v>
      </c>
      <c r="AE580" s="170"/>
      <c r="AF580" s="170"/>
      <c r="AG580" s="121">
        <f t="shared" si="1667"/>
        <v>368.7029812554166</v>
      </c>
      <c r="AH580" s="119">
        <f>+AZ580/$BB$52</f>
        <v>5.9582489372938321E-3</v>
      </c>
      <c r="AI580" s="119"/>
      <c r="AJ580" s="176">
        <f t="shared" si="1672"/>
        <v>2.1968241462421538</v>
      </c>
      <c r="AK580" s="176">
        <f t="shared" si="1673"/>
        <v>0</v>
      </c>
      <c r="AL580" s="120">
        <f t="shared" si="1655"/>
        <v>0.29905911218461678</v>
      </c>
      <c r="AM580" s="120">
        <f t="shared" si="1656"/>
        <v>0.4330934509806586</v>
      </c>
      <c r="AN580" s="120">
        <f t="shared" si="1657"/>
        <v>0.26784743683472456</v>
      </c>
      <c r="AO580" s="120">
        <f t="shared" si="1661"/>
        <v>-1.0951577309988015E-2</v>
      </c>
      <c r="AP580" s="173">
        <f t="shared" si="1678"/>
        <v>109.89765209705922</v>
      </c>
      <c r="AQ580" s="175">
        <f t="shared" si="1679"/>
        <v>-1.0951577309987994E-2</v>
      </c>
      <c r="AR580" s="177">
        <f>+AC580/$AE$52</f>
        <v>7.072770739594207E-3</v>
      </c>
      <c r="AS580" s="177">
        <f t="shared" si="1674"/>
        <v>-7.7457995550486925E-5</v>
      </c>
      <c r="AT580" s="177"/>
      <c r="AU580" s="177"/>
      <c r="AV580" s="177"/>
      <c r="AW580" s="190"/>
      <c r="AX580" s="120"/>
      <c r="AY580" s="120"/>
      <c r="AZ580" s="118">
        <f>IFERROR(INDEX('Total Customers'!$F$7:$AB$91,MATCH($C580,'Total Customers'!$D$7:$D$91,0),MATCH($G580,'Total Customers'!$F$5:$AB$5,0)),"NA")</f>
        <v>218297</v>
      </c>
      <c r="BA580" s="119">
        <f t="shared" si="1636"/>
        <v>-2.2512741556472652E-3</v>
      </c>
      <c r="BB580" s="119"/>
      <c r="BC580" s="121"/>
      <c r="BD580" s="119"/>
      <c r="BE580" s="119"/>
      <c r="BF580" s="119"/>
      <c r="BG580" s="173"/>
      <c r="BH580" s="173"/>
      <c r="BI580" s="173"/>
      <c r="BJ580" s="173"/>
      <c r="BK580" s="173"/>
      <c r="BL580" s="173"/>
      <c r="BM580" s="173"/>
      <c r="BN580" s="173"/>
      <c r="BO580" s="173"/>
      <c r="BP580" s="173"/>
      <c r="BQ580" s="118"/>
      <c r="BR580" s="118"/>
      <c r="BS580" s="118">
        <f>INDEX('Dist. Plant Gas Additions'!$F$7:$AE$91,MATCH($C580,'Dist. Plant Gas Additions'!$D$7:$D$91,0),MATCH(Calculation!$G580,'Dist. Plant Gas Additions'!$F$5:$AE$5,0))</f>
        <v>14265</v>
      </c>
      <c r="BT580" s="118">
        <f>INDEX('Gen. Plant Additions'!$F$7:$AE$91,MATCH($C580,'Gen. Plant Additions'!$D$7:$D$91,0),MATCH(Calculation!$G580,'Gen. Plant Additions'!$F$5:$AE$5,0))</f>
        <v>6755</v>
      </c>
      <c r="BU580" s="118"/>
      <c r="BV580" s="118"/>
      <c r="BW580" s="118">
        <f>INDEX('Dist Plant Depreciation'!$E$7:$AD$94,MATCH($C580,'Dist Plant Depreciation'!$D$7:$D$94,0),MATCH(Calculation!$G580,'Dist Plant Depreciation'!$E$5:$AD$5,0))</f>
        <v>240343</v>
      </c>
      <c r="BX580" s="118">
        <f>INDEX('Gen. Plant Depreciation'!$E$7:$AD$94,MATCH($C580,'Gen. Plant Depreciation'!$D$7:$D$94,0),MATCH(Calculation!$G580,'Gen. Plant Depreciation'!$E$5:$AD$5,0))</f>
        <v>18360</v>
      </c>
      <c r="BY580" s="118"/>
      <c r="BZ580" s="118"/>
      <c r="CA580" s="118"/>
      <c r="CB580" s="118"/>
      <c r="CC580" s="118"/>
      <c r="CD580" s="118"/>
      <c r="CE580" s="118">
        <f>INDEX('Gross Dx Plant'!$E$7:$AD$91,MATCH($C580,'Gross Dx Plant'!$D$7:$D$91,0),MATCH(Calculation!$G580,'Gross Dx Plant'!$E$5:$AD$5,0))</f>
        <v>432514</v>
      </c>
      <c r="CF580" s="118">
        <f>INDEX('Gross Gen Plant'!$E$7:$AD$91,MATCH($C580,'Gross Gen Plant'!$D$7:$D$91,0),MATCH(Calculation!$G580,'Gross Gen Plant'!$E$5:$AD$5,0))</f>
        <v>34405</v>
      </c>
      <c r="CG580" s="118">
        <f t="shared" si="1516"/>
        <v>208216</v>
      </c>
      <c r="CH580" s="118"/>
      <c r="CI580" s="121">
        <v>2014</v>
      </c>
      <c r="CJ580" s="118"/>
      <c r="CK580" s="118"/>
      <c r="CL580" s="118"/>
      <c r="CM580" s="183"/>
      <c r="CN580" s="118">
        <f t="shared" si="1637"/>
        <v>21020</v>
      </c>
      <c r="CO580" s="118">
        <f t="shared" si="1638"/>
        <v>30.709930782947392</v>
      </c>
      <c r="CP580" s="186">
        <v>0.89743589743589747</v>
      </c>
      <c r="CQ580" s="118">
        <f>+CQ564*CP580+CO565*CP579+CO566*CP578+CO567*CP577+CO568*CP576+CO569*CP575+CO570*CP574+CO571*CP573+CO572*CP572+CO573*CP571+CO574*CP570+CO575*CP569+CO576*CP568+CO577*CP567+CO578*CP566+CO579*CP565+CO580</f>
        <v>988.40062415172724</v>
      </c>
      <c r="CR580" s="119">
        <f t="shared" si="1639"/>
        <v>2.3376894741393012E-2</v>
      </c>
      <c r="CS580" s="119"/>
      <c r="CT580" s="177">
        <f t="shared" si="1640"/>
        <v>8.1529351285935577E-3</v>
      </c>
      <c r="CU580" s="177">
        <f t="shared" si="1648"/>
        <v>7.8758029237533129E-3</v>
      </c>
      <c r="CV580" s="119">
        <f>VLOOKUP($H580,RoR!$E:$F,2,FALSE)</f>
        <v>4.1625000000000002E-2</v>
      </c>
      <c r="CW580" s="177">
        <v>1.841352814597208E-2</v>
      </c>
      <c r="CX580" s="177">
        <f t="shared" si="1646"/>
        <v>2.3211471854027922E-2</v>
      </c>
      <c r="CY580" s="177">
        <f t="shared" si="1649"/>
        <v>2.302613868478031E-2</v>
      </c>
      <c r="CZ580" s="177">
        <f t="shared" si="1650"/>
        <v>3.9072621432650924E-2</v>
      </c>
      <c r="DA580" s="187">
        <f t="shared" si="1641"/>
        <v>0.84925000000000006</v>
      </c>
      <c r="DB580" s="188">
        <f t="shared" si="1642"/>
        <v>1.2320012320012319</v>
      </c>
      <c r="DC580" s="188">
        <f t="shared" si="1643"/>
        <v>0.37439939939939942</v>
      </c>
      <c r="DD580" s="188">
        <f t="shared" si="1644"/>
        <v>0.80432100613819935</v>
      </c>
      <c r="DE580" s="188">
        <f t="shared" si="1645"/>
        <v>0.37100152660040037</v>
      </c>
      <c r="DF580" s="189">
        <f>INDEX('State Tax Lookup'!$D$7:$Z$91,MATCH(Calculation!$C580,'State Tax Lookup'!$B$7:$B$91,0),MATCH($H580,'State Tax Lookup'!$D$6:$Z$6,0))</f>
        <v>0.40200000000000002</v>
      </c>
      <c r="DG580" s="189">
        <v>0.375</v>
      </c>
      <c r="DH580" s="190">
        <f t="shared" si="1647"/>
        <v>22.327050606370328</v>
      </c>
      <c r="DI580" s="190">
        <v>21.932947146374207</v>
      </c>
      <c r="DJ580" s="177"/>
      <c r="DK580" s="189">
        <f>VLOOKUP($H580,RoR!$E:$F,2,FALSE)</f>
        <v>4.1625000000000002E-2</v>
      </c>
      <c r="DL580" s="191">
        <f>HLOOKUP($H580,'GDP-PI'!$D$8:$CQ$11,3,FALSE)</f>
        <v>1.841352814597208E-2</v>
      </c>
      <c r="DM580" s="189">
        <f>VLOOKUP(H580,'HW Dx Data'!$E:$F,2,FALSE)</f>
        <v>684.46914285042885</v>
      </c>
      <c r="DN580" s="183">
        <f>VLOOKUP(H580,'ECI - Input Price'!$G$17:$H$37,2,FALSE)</f>
        <v>121.2</v>
      </c>
      <c r="DO580" s="177">
        <f t="shared" ref="DO580" si="1692">LN(DN580/DN579)</f>
        <v>2.0632179200028689E-2</v>
      </c>
      <c r="DP580" s="183">
        <f>HLOOKUP(H580,'GDP-PI'!$8:$9,2,FALSE)</f>
        <v>103.64700000000001</v>
      </c>
      <c r="DQ580" s="177">
        <f t="shared" ref="DQ580" si="1693">LN(DP580/DP579)</f>
        <v>1.8246051898256087E-2</v>
      </c>
    </row>
    <row r="581" spans="1:121" s="167" customFormat="1" ht="21" x14ac:dyDescent="0.35">
      <c r="A581" s="167" t="s">
        <v>69</v>
      </c>
      <c r="B581" s="168" t="s">
        <v>69</v>
      </c>
      <c r="C581" s="168">
        <v>4061634</v>
      </c>
      <c r="D581" s="168" t="s">
        <v>135</v>
      </c>
      <c r="E581" s="168"/>
      <c r="F581" s="168"/>
      <c r="G581" s="168" t="s">
        <v>21</v>
      </c>
      <c r="H581" s="169">
        <v>2015</v>
      </c>
      <c r="I581" s="170"/>
      <c r="J581" s="166">
        <f>IFERROR(INDEX('Labor Expenditures'!$F$7:$X$91,MATCH($C581,'Labor Expenditures'!$D$7:$D$91,0),MATCH($G581,'Labor Expenditures'!$F$5:$X$5,0)),"NA")</f>
        <v>26525.671827148006</v>
      </c>
      <c r="K581" s="166">
        <f t="shared" si="1653"/>
        <v>214.34886324968085</v>
      </c>
      <c r="L581" s="172">
        <f t="shared" si="1660"/>
        <v>7.6313076969028878E-2</v>
      </c>
      <c r="M581" s="172">
        <f t="shared" si="1664"/>
        <v>5.7434765170145529E-4</v>
      </c>
      <c r="N581" s="196"/>
      <c r="O581" s="172"/>
      <c r="P581" s="166">
        <f>IFERROR(INDEX('Non-Labor Expenditures'!$F$7:$AB$91,MATCH($C581,'Non-Labor Expenditures'!$D$7:$D$91,0),MATCH($G581,'Non-Labor Expenditures'!$F$5:$AB$5,0)),"NA")</f>
        <v>38414.127117812313</v>
      </c>
      <c r="Q581" s="166">
        <f t="shared" si="1654"/>
        <v>367.11099224775</v>
      </c>
      <c r="R581" s="172">
        <f t="shared" si="1665"/>
        <v>8.7608968597171585E-2</v>
      </c>
      <c r="S581" s="172">
        <f t="shared" si="1670"/>
        <v>6.5936281670562504E-4</v>
      </c>
      <c r="T581" s="172"/>
      <c r="U581" s="172"/>
      <c r="V581" s="166">
        <f t="shared" si="1635"/>
        <v>21571.925020358191</v>
      </c>
      <c r="W581" s="170"/>
      <c r="X581" s="174">
        <v>1013.0437236431599</v>
      </c>
      <c r="Y581" s="175">
        <v>2.462656025636014E-2</v>
      </c>
      <c r="Z581" s="175">
        <f t="shared" si="1671"/>
        <v>1.8534447324755575E-4</v>
      </c>
      <c r="AA581" s="175"/>
      <c r="AB581" s="175"/>
      <c r="AC581" s="170">
        <f t="shared" si="1677"/>
        <v>86511.72396531851</v>
      </c>
      <c r="AD581" s="175">
        <f t="shared" si="1666"/>
        <v>7.2187308937349801E-2</v>
      </c>
      <c r="AE581" s="170"/>
      <c r="AF581" s="170"/>
      <c r="AG581" s="121">
        <f t="shared" si="1667"/>
        <v>397.314809637682</v>
      </c>
      <c r="AH581" s="119">
        <f>+AZ581/$BB$53</f>
        <v>5.8948859295288617E-3</v>
      </c>
      <c r="AI581" s="119"/>
      <c r="AJ581" s="176">
        <f t="shared" si="1672"/>
        <v>2.3421254809266099</v>
      </c>
      <c r="AK581" s="176">
        <f t="shared" si="1673"/>
        <v>0</v>
      </c>
      <c r="AL581" s="120">
        <f t="shared" si="1655"/>
        <v>0.30661360809064242</v>
      </c>
      <c r="AM581" s="120">
        <f t="shared" si="1656"/>
        <v>0.44403377203778838</v>
      </c>
      <c r="AN581" s="120">
        <f t="shared" si="1657"/>
        <v>0.2493526198715692</v>
      </c>
      <c r="AO581" s="120">
        <f t="shared" si="1661"/>
        <v>6.7900909309312404E-2</v>
      </c>
      <c r="AP581" s="173">
        <f t="shared" si="1678"/>
        <v>117.61897876465066</v>
      </c>
      <c r="AQ581" s="175">
        <f t="shared" si="1679"/>
        <v>6.7900909309312335E-2</v>
      </c>
      <c r="AR581" s="177">
        <f>+AC581/$AE$53</f>
        <v>7.5262022514771647E-3</v>
      </c>
      <c r="AS581" s="177">
        <f t="shared" si="1674"/>
        <v>5.1103597652109322E-4</v>
      </c>
      <c r="AT581" s="177"/>
      <c r="AU581" s="177"/>
      <c r="AV581" s="177"/>
      <c r="AW581" s="190"/>
      <c r="AX581" s="120"/>
      <c r="AY581" s="120"/>
      <c r="AZ581" s="118">
        <f>IFERROR(INDEX('Total Customers'!$F$7:$AB$91,MATCH($C581,'Total Customers'!$D$7:$D$91,0),MATCH($G581,'Total Customers'!$F$5:$AB$5,0)),"NA")</f>
        <v>217741</v>
      </c>
      <c r="BA581" s="119">
        <f t="shared" si="1636"/>
        <v>-2.5502378294491451E-3</v>
      </c>
      <c r="BB581" s="119"/>
      <c r="BC581" s="121"/>
      <c r="BD581" s="119"/>
      <c r="BE581" s="119"/>
      <c r="BF581" s="119"/>
      <c r="BG581" s="173"/>
      <c r="BH581" s="173"/>
      <c r="BI581" s="173"/>
      <c r="BJ581" s="173"/>
      <c r="BK581" s="173"/>
      <c r="BL581" s="173"/>
      <c r="BM581" s="173"/>
      <c r="BN581" s="173"/>
      <c r="BO581" s="173"/>
      <c r="BP581" s="173"/>
      <c r="BQ581" s="118"/>
      <c r="BR581" s="118"/>
      <c r="BS581" s="118">
        <f>INDEX('Dist. Plant Gas Additions'!$F$7:$AE$91,MATCH($C581,'Dist. Plant Gas Additions'!$D$7:$D$91,0),MATCH(Calculation!$G581,'Dist. Plant Gas Additions'!$F$5:$AE$5,0))</f>
        <v>18247</v>
      </c>
      <c r="BT581" s="118">
        <f>INDEX('Gen. Plant Additions'!$F$7:$AE$91,MATCH($C581,'Gen. Plant Additions'!$D$7:$D$91,0),MATCH(Calculation!$G581,'Gen. Plant Additions'!$F$5:$AE$5,0))</f>
        <v>4025</v>
      </c>
      <c r="BU581" s="118"/>
      <c r="BV581" s="118"/>
      <c r="BW581" s="118">
        <f>INDEX('Dist Plant Depreciation'!$E$7:$AD$94,MATCH($C581,'Dist Plant Depreciation'!$D$7:$D$94,0),MATCH(Calculation!$G581,'Dist Plant Depreciation'!$E$5:$AD$5,0))</f>
        <v>250736</v>
      </c>
      <c r="BX581" s="118">
        <f>INDEX('Gen. Plant Depreciation'!$E$7:$AD$94,MATCH($C581,'Gen. Plant Depreciation'!$D$7:$D$94,0),MATCH(Calculation!$G581,'Gen. Plant Depreciation'!$E$5:$AD$5,0))</f>
        <v>17518</v>
      </c>
      <c r="BY581" s="118"/>
      <c r="BZ581" s="118"/>
      <c r="CA581" s="118"/>
      <c r="CB581" s="118"/>
      <c r="CC581" s="118"/>
      <c r="CD581" s="118"/>
      <c r="CE581" s="118">
        <f>INDEX('Gross Dx Plant'!$E$7:$AD$91,MATCH($C581,'Gross Dx Plant'!$D$7:$D$91,0),MATCH(Calculation!$G581,'Gross Dx Plant'!$E$5:$AD$5,0))</f>
        <v>450016</v>
      </c>
      <c r="CF581" s="118">
        <f>INDEX('Gross Gen Plant'!$E$7:$AD$91,MATCH($C581,'Gross Gen Plant'!$D$7:$D$91,0),MATCH(Calculation!$G581,'Gross Gen Plant'!$E$5:$AD$5,0))</f>
        <v>34910</v>
      </c>
      <c r="CG581" s="118">
        <f t="shared" si="1516"/>
        <v>216672</v>
      </c>
      <c r="CH581" s="118"/>
      <c r="CI581" s="121">
        <v>2015</v>
      </c>
      <c r="CJ581" s="118"/>
      <c r="CK581" s="118"/>
      <c r="CL581" s="118"/>
      <c r="CM581" s="183"/>
      <c r="CN581" s="118">
        <f t="shared" si="1637"/>
        <v>22272</v>
      </c>
      <c r="CO581" s="118">
        <f t="shared" si="1638"/>
        <v>32.965538206664746</v>
      </c>
      <c r="CP581" s="186">
        <v>0.88888888888888884</v>
      </c>
      <c r="CQ581" s="118">
        <f>+CQ564*CP581+CO565*CP580+CO566*CP579+CO567*CP578+CO568*CP577+CO569*CP576+CO570*CP575+CO571*CP574+CO572*CP573+CO573*CP572+CO574*CP571+CO575*CP570+CO576*CP569+CO577*CP568+CO578*CP567+CO579*CP566+CO580*CP565+CO581</f>
        <v>1013.0437236431599</v>
      </c>
      <c r="CR581" s="119">
        <f t="shared" si="1639"/>
        <v>2.462656025636014E-2</v>
      </c>
      <c r="CS581" s="119"/>
      <c r="CT581" s="177">
        <f t="shared" si="1640"/>
        <v>8.4201066974989736E-3</v>
      </c>
      <c r="CU581" s="177">
        <f t="shared" si="1648"/>
        <v>8.1498078261427603E-3</v>
      </c>
      <c r="CV581" s="119">
        <f>VLOOKUP($H581,RoR!$E:$F,2,FALSE)</f>
        <v>3.8866666666666674E-2</v>
      </c>
      <c r="CW581" s="177">
        <v>9.5709475431029478E-3</v>
      </c>
      <c r="CX581" s="177">
        <f t="shared" si="1646"/>
        <v>2.9295719123563727E-2</v>
      </c>
      <c r="CY581" s="177">
        <f t="shared" si="1649"/>
        <v>2.2752133782390865E-2</v>
      </c>
      <c r="CZ581" s="177">
        <f t="shared" si="1650"/>
        <v>3.5270373279175926E-3</v>
      </c>
      <c r="DA581" s="187">
        <f t="shared" si="1641"/>
        <v>0.84925000000000006</v>
      </c>
      <c r="DB581" s="188">
        <f t="shared" si="1642"/>
        <v>1.3194352816994324</v>
      </c>
      <c r="DC581" s="188">
        <f t="shared" si="1643"/>
        <v>0.33177530017152673</v>
      </c>
      <c r="DD581" s="188">
        <f t="shared" si="1644"/>
        <v>0.78242572977668579</v>
      </c>
      <c r="DE581" s="188">
        <f t="shared" si="1645"/>
        <v>0.34251158643433932</v>
      </c>
      <c r="DF581" s="189">
        <f>INDEX('State Tax Lookup'!$D$7:$Z$91,MATCH(Calculation!$C581,'State Tax Lookup'!$B$7:$B$91,0),MATCH($H581,'State Tax Lookup'!$D$6:$Z$6,0))</f>
        <v>0.40200000000000002</v>
      </c>
      <c r="DG581" s="189">
        <v>0.375</v>
      </c>
      <c r="DH581" s="190">
        <f t="shared" si="1647"/>
        <v>21.825082353495894</v>
      </c>
      <c r="DI581" s="190">
        <v>21.416559773155203</v>
      </c>
      <c r="DJ581" s="177"/>
      <c r="DK581" s="189">
        <f>VLOOKUP($H581,RoR!$E:$F,2,FALSE)</f>
        <v>3.8866666666666674E-2</v>
      </c>
      <c r="DL581" s="191">
        <f>HLOOKUP($H581,'GDP-PI'!$D$8:$CQ$11,3,FALSE)</f>
        <v>9.5709475431029478E-3</v>
      </c>
      <c r="DM581" s="189">
        <f>VLOOKUP(H581,'HW Dx Data'!$E:$F,2,FALSE)</f>
        <v>675.61463308665782</v>
      </c>
      <c r="DN581" s="183">
        <f>VLOOKUP(H581,'ECI - Input Price'!$G$17:$H$37,2,FALSE)</f>
        <v>123.75</v>
      </c>
      <c r="DO581" s="177">
        <f t="shared" ref="DO581" si="1694">LN(DN581/DN580)</f>
        <v>2.0821327813585516E-2</v>
      </c>
      <c r="DP581" s="183">
        <f>HLOOKUP(H581,'GDP-PI'!$8:$9,2,FALSE)</f>
        <v>104.639</v>
      </c>
      <c r="DQ581" s="177">
        <f t="shared" ref="DQ581" si="1695">LN(DP581/DP580)</f>
        <v>9.5254361854427965E-3</v>
      </c>
    </row>
    <row r="582" spans="1:121" s="167" customFormat="1" ht="21" x14ac:dyDescent="0.35">
      <c r="A582" s="167" t="s">
        <v>69</v>
      </c>
      <c r="B582" s="168" t="s">
        <v>69</v>
      </c>
      <c r="C582" s="168">
        <v>4061634</v>
      </c>
      <c r="D582" s="168" t="s">
        <v>135</v>
      </c>
      <c r="E582" s="168"/>
      <c r="F582" s="168"/>
      <c r="G582" s="168" t="s">
        <v>22</v>
      </c>
      <c r="H582" s="169">
        <v>2016</v>
      </c>
      <c r="I582" s="170"/>
      <c r="J582" s="166">
        <f>IFERROR(INDEX('Labor Expenditures'!$F$7:$X$91,MATCH($C582,'Labor Expenditures'!$D$7:$D$91,0),MATCH($G582,'Labor Expenditures'!$F$5:$X$5,0)),"NA")</f>
        <v>24930.057352994634</v>
      </c>
      <c r="K582" s="166">
        <f t="shared" si="1653"/>
        <v>197.231466400274</v>
      </c>
      <c r="L582" s="172">
        <f t="shared" si="1660"/>
        <v>-8.3226894422516948E-2</v>
      </c>
      <c r="M582" s="172">
        <f t="shared" si="1664"/>
        <v>-5.7879691081785356E-4</v>
      </c>
      <c r="N582" s="196"/>
      <c r="O582" s="172"/>
      <c r="P582" s="166">
        <f>IFERROR(INDEX('Non-Labor Expenditures'!$F$7:$AB$91,MATCH($C582,'Non-Labor Expenditures'!$D$7:$D$91,0),MATCH($G582,'Non-Labor Expenditures'!$F$5:$AB$5,0)),"NA")</f>
        <v>36103.379339563144</v>
      </c>
      <c r="Q582" s="166">
        <f t="shared" si="1654"/>
        <v>341.44831788192425</v>
      </c>
      <c r="R582" s="172">
        <f t="shared" si="1665"/>
        <v>-7.2467904525764432E-2</v>
      </c>
      <c r="S582" s="172">
        <f t="shared" si="1670"/>
        <v>-5.039741007278008E-4</v>
      </c>
      <c r="T582" s="172"/>
      <c r="U582" s="172"/>
      <c r="V582" s="166">
        <f t="shared" si="1635"/>
        <v>21709.764261471024</v>
      </c>
      <c r="W582" s="170"/>
      <c r="X582" s="174">
        <v>1034.9025874280685</v>
      </c>
      <c r="Y582" s="175">
        <v>2.1347916995590795E-2</v>
      </c>
      <c r="Z582" s="175">
        <f t="shared" si="1671"/>
        <v>1.4846292770118036E-4</v>
      </c>
      <c r="AA582" s="175"/>
      <c r="AB582" s="175"/>
      <c r="AC582" s="170">
        <f t="shared" si="1677"/>
        <v>82743.200954028798</v>
      </c>
      <c r="AD582" s="175">
        <f t="shared" si="1666"/>
        <v>-4.4538094740799769E-2</v>
      </c>
      <c r="AE582" s="170"/>
      <c r="AF582" s="170"/>
      <c r="AG582" s="121">
        <f t="shared" si="1667"/>
        <v>381.38416240247426</v>
      </c>
      <c r="AH582" s="119">
        <f>+AZ582/$BB$54</f>
        <v>5.8228573899176024E-3</v>
      </c>
      <c r="AI582" s="119"/>
      <c r="AJ582" s="176">
        <f t="shared" si="1672"/>
        <v>2.2207455884427825</v>
      </c>
      <c r="AK582" s="176">
        <f t="shared" si="1673"/>
        <v>0</v>
      </c>
      <c r="AL582" s="120">
        <f t="shared" si="1655"/>
        <v>0.30129433071903389</v>
      </c>
      <c r="AM582" s="120">
        <f t="shared" si="1656"/>
        <v>0.43633046489972971</v>
      </c>
      <c r="AN582" s="120">
        <f t="shared" si="1657"/>
        <v>0.26237520438123646</v>
      </c>
      <c r="AO582" s="120">
        <f t="shared" si="1661"/>
        <v>-5.1734059097862585E-2</v>
      </c>
      <c r="AP582" s="173">
        <f t="shared" si="1678"/>
        <v>111.68879049834709</v>
      </c>
      <c r="AQ582" s="175">
        <f t="shared" si="1679"/>
        <v>-5.1734059097862585E-2</v>
      </c>
      <c r="AR582" s="177">
        <f>+AC582/$AE$54</f>
        <v>6.9544456132110662E-3</v>
      </c>
      <c r="AS582" s="177">
        <f t="shared" si="1674"/>
        <v>-3.5978170034673253E-4</v>
      </c>
      <c r="AT582" s="177"/>
      <c r="AU582" s="177"/>
      <c r="AV582" s="177"/>
      <c r="AW582" s="190"/>
      <c r="AX582" s="120"/>
      <c r="AY582" s="120"/>
      <c r="AZ582" s="118">
        <f>IFERROR(INDEX('Total Customers'!$F$7:$AB$91,MATCH($C582,'Total Customers'!$D$7:$D$91,0),MATCH($G582,'Total Customers'!$F$5:$AB$5,0)),"NA")</f>
        <v>216955</v>
      </c>
      <c r="BA582" s="119">
        <f t="shared" si="1636"/>
        <v>-3.6163243121437524E-3</v>
      </c>
      <c r="BB582" s="119"/>
      <c r="BC582" s="121"/>
      <c r="BD582" s="119"/>
      <c r="BE582" s="119"/>
      <c r="BF582" s="119"/>
      <c r="BG582" s="173"/>
      <c r="BH582" s="173"/>
      <c r="BI582" s="173"/>
      <c r="BJ582" s="173"/>
      <c r="BK582" s="173"/>
      <c r="BL582" s="173"/>
      <c r="BM582" s="173"/>
      <c r="BN582" s="173"/>
      <c r="BO582" s="173"/>
      <c r="BP582" s="173"/>
      <c r="BQ582" s="118"/>
      <c r="BR582" s="118"/>
      <c r="BS582" s="118">
        <f>INDEX('Dist. Plant Gas Additions'!$F$7:$AE$91,MATCH($C582,'Dist. Plant Gas Additions'!$D$7:$D$91,0),MATCH(Calculation!$G582,'Dist. Plant Gas Additions'!$F$5:$AE$5,0))</f>
        <v>18926</v>
      </c>
      <c r="BT582" s="118">
        <f>INDEX('Gen. Plant Additions'!$F$7:$AE$91,MATCH($C582,'Gen. Plant Additions'!$D$7:$D$91,0),MATCH(Calculation!$G582,'Gen. Plant Additions'!$F$5:$AE$5,0))</f>
        <v>1664</v>
      </c>
      <c r="BU582" s="118"/>
      <c r="BV582" s="118"/>
      <c r="BW582" s="118">
        <f>INDEX('Dist Plant Depreciation'!$E$7:$AD$94,MATCH($C582,'Dist Plant Depreciation'!$D$7:$D$94,0),MATCH(Calculation!$G582,'Dist Plant Depreciation'!$E$5:$AD$5,0))</f>
        <v>259270</v>
      </c>
      <c r="BX582" s="118">
        <f>INDEX('Gen. Plant Depreciation'!$E$7:$AD$94,MATCH($C582,'Gen. Plant Depreciation'!$D$7:$D$94,0),MATCH(Calculation!$G582,'Gen. Plant Depreciation'!$E$5:$AD$5,0))</f>
        <v>14706</v>
      </c>
      <c r="BY582" s="118"/>
      <c r="BZ582" s="118"/>
      <c r="CA582" s="118"/>
      <c r="CB582" s="118"/>
      <c r="CC582" s="118"/>
      <c r="CD582" s="118"/>
      <c r="CE582" s="118">
        <f>INDEX('Gross Dx Plant'!$E$7:$AD$91,MATCH($C582,'Gross Dx Plant'!$D$7:$D$91,0),MATCH(Calculation!$G582,'Gross Dx Plant'!$E$5:$AD$5,0))</f>
        <v>467665</v>
      </c>
      <c r="CF582" s="118">
        <f>INDEX('Gross Gen Plant'!$E$7:$AD$91,MATCH($C582,'Gross Gen Plant'!$D$7:$D$91,0),MATCH(Calculation!$G582,'Gross Gen Plant'!$E$5:$AD$5,0))</f>
        <v>32078</v>
      </c>
      <c r="CG582" s="118">
        <f t="shared" si="1516"/>
        <v>225767</v>
      </c>
      <c r="CH582" s="118"/>
      <c r="CI582" s="121">
        <v>2016</v>
      </c>
      <c r="CJ582" s="118"/>
      <c r="CK582" s="118"/>
      <c r="CL582" s="118"/>
      <c r="CM582" s="183"/>
      <c r="CN582" s="118">
        <f t="shared" si="1637"/>
        <v>20590</v>
      </c>
      <c r="CO582" s="118">
        <f t="shared" si="1638"/>
        <v>30.664686773839676</v>
      </c>
      <c r="CP582" s="186">
        <v>0.88</v>
      </c>
      <c r="CQ582" s="118">
        <f>+CQ564*CP582+CO565*CP581+CO566*CP580+CO567*CP579+CO568*CP578+CO569*CP577+CO570*CP576+CO571*CP575+CO572*CP574+CO573*CP573+CO574*CP572+CO575*CP571+CO576*CP570+CO577*CP569+CO578*CP568+CO579*CP567+CO580*CP566+CO581*CP565+CO582</f>
        <v>1034.9025874280685</v>
      </c>
      <c r="CR582" s="119">
        <f t="shared" si="1639"/>
        <v>2.1347916995590795E-2</v>
      </c>
      <c r="CS582" s="119"/>
      <c r="CT582" s="177">
        <f t="shared" si="1640"/>
        <v>8.6924411882866107E-3</v>
      </c>
      <c r="CU582" s="177">
        <f t="shared" si="1648"/>
        <v>8.421827671459714E-3</v>
      </c>
      <c r="CV582" s="119">
        <f>VLOOKUP($H582,RoR!$E:$F,2,FALSE)</f>
        <v>3.6658333333333334E-2</v>
      </c>
      <c r="CW582" s="177">
        <v>1.0483662879041455E-2</v>
      </c>
      <c r="CX582" s="177">
        <f t="shared" si="1646"/>
        <v>2.6174670454291879E-2</v>
      </c>
      <c r="CY582" s="177">
        <f t="shared" si="1649"/>
        <v>2.2480113937073911E-2</v>
      </c>
      <c r="CZ582" s="177">
        <f t="shared" si="1650"/>
        <v>4.301363574220729E-3</v>
      </c>
      <c r="DA582" s="187">
        <f t="shared" si="1641"/>
        <v>0.84925000000000006</v>
      </c>
      <c r="DB582" s="188">
        <f t="shared" si="1642"/>
        <v>1.3989193348138562</v>
      </c>
      <c r="DC582" s="188">
        <f t="shared" si="1643"/>
        <v>0.29302682427824522</v>
      </c>
      <c r="DD582" s="188">
        <f t="shared" si="1644"/>
        <v>0.76309497491941802</v>
      </c>
      <c r="DE582" s="188">
        <f t="shared" si="1645"/>
        <v>0.31280857135128509</v>
      </c>
      <c r="DF582" s="189">
        <f>INDEX('State Tax Lookup'!$D$7:$Z$91,MATCH(Calculation!$C582,'State Tax Lookup'!$B$7:$B$91,0),MATCH($H582,'State Tax Lookup'!$D$6:$Z$6,0))</f>
        <v>0.40200000000000002</v>
      </c>
      <c r="DG582" s="189">
        <v>0.375</v>
      </c>
      <c r="DH582" s="190">
        <f t="shared" si="1647"/>
        <v>21.430234208842688</v>
      </c>
      <c r="DI582" s="190">
        <v>21.000719345260595</v>
      </c>
      <c r="DJ582" s="177"/>
      <c r="DK582" s="189">
        <f>VLOOKUP($H582,RoR!$E:$F,2,FALSE)</f>
        <v>3.6658333333333334E-2</v>
      </c>
      <c r="DL582" s="191">
        <f>HLOOKUP($H582,'GDP-PI'!$D$8:$CQ$11,3,FALSE)</f>
        <v>1.0483662879041455E-2</v>
      </c>
      <c r="DM582" s="189">
        <f>VLOOKUP(H582,'HW Dx Data'!$E:$F,2,FALSE)</f>
        <v>671.45639385971219</v>
      </c>
      <c r="DN582" s="183">
        <f>VLOOKUP(H582,'ECI - Input Price'!$G$17:$H$37,2,FALSE)</f>
        <v>126.4</v>
      </c>
      <c r="DO582" s="177">
        <f t="shared" ref="DO582" si="1696">LN(DN582/DN581)</f>
        <v>2.11880802639575E-2</v>
      </c>
      <c r="DP582" s="183">
        <f>HLOOKUP(H582,'GDP-PI'!$8:$9,2,FALSE)</f>
        <v>105.736</v>
      </c>
      <c r="DQ582" s="177">
        <f t="shared" ref="DQ582" si="1697">LN(DP582/DP581)</f>
        <v>1.0429090367205095E-2</v>
      </c>
    </row>
    <row r="583" spans="1:121" s="167" customFormat="1" ht="21" x14ac:dyDescent="0.35">
      <c r="A583" s="167" t="s">
        <v>69</v>
      </c>
      <c r="B583" s="168" t="s">
        <v>69</v>
      </c>
      <c r="C583" s="168">
        <v>4061634</v>
      </c>
      <c r="D583" s="168" t="s">
        <v>135</v>
      </c>
      <c r="E583" s="168"/>
      <c r="F583" s="168"/>
      <c r="G583" s="168" t="s">
        <v>23</v>
      </c>
      <c r="H583" s="169">
        <v>2017</v>
      </c>
      <c r="I583" s="170"/>
      <c r="J583" s="166">
        <f>IFERROR(INDEX('Labor Expenditures'!$F$7:$X$91,MATCH($C583,'Labor Expenditures'!$D$7:$D$91,0),MATCH($G583,'Labor Expenditures'!$F$5:$X$5,0)),"NA")</f>
        <v>25427.765915720975</v>
      </c>
      <c r="K583" s="166">
        <f t="shared" si="1653"/>
        <v>196.35340475460211</v>
      </c>
      <c r="L583" s="172">
        <f t="shared" si="1660"/>
        <v>-4.4618742576297988E-3</v>
      </c>
      <c r="M583" s="172">
        <f t="shared" si="1664"/>
        <v>-3.0970986624932174E-5</v>
      </c>
      <c r="N583" s="196"/>
      <c r="O583" s="172"/>
      <c r="P583" s="166">
        <f>IFERROR(INDEX('Non-Labor Expenditures'!$F$7:$AB$91,MATCH($C583,'Non-Labor Expenditures'!$D$7:$D$91,0),MATCH($G583,'Non-Labor Expenditures'!$F$5:$AB$5,0)),"NA")</f>
        <v>36824.154297527668</v>
      </c>
      <c r="Q583" s="166">
        <f t="shared" si="1654"/>
        <v>341.75232060516993</v>
      </c>
      <c r="R583" s="172">
        <f t="shared" si="1665"/>
        <v>8.8993694146058963E-4</v>
      </c>
      <c r="S583" s="172">
        <f t="shared" si="1670"/>
        <v>6.1772751806883848E-6</v>
      </c>
      <c r="T583" s="172"/>
      <c r="U583" s="172"/>
      <c r="V583" s="166">
        <f t="shared" si="1635"/>
        <v>19983.652377688548</v>
      </c>
      <c r="W583" s="170"/>
      <c r="X583" s="174">
        <v>1064.4048998270864</v>
      </c>
      <c r="Y583" s="175">
        <v>2.81085596199281E-2</v>
      </c>
      <c r="Z583" s="175">
        <f t="shared" si="1671"/>
        <v>1.9510855164648865E-4</v>
      </c>
      <c r="AA583" s="175"/>
      <c r="AB583" s="175"/>
      <c r="AC583" s="170">
        <f t="shared" si="1677"/>
        <v>82235.572590937183</v>
      </c>
      <c r="AD583" s="175">
        <f t="shared" si="1666"/>
        <v>-6.1538821532575727E-3</v>
      </c>
      <c r="AE583" s="170"/>
      <c r="AF583" s="170"/>
      <c r="AG583" s="121">
        <f t="shared" si="1667"/>
        <v>379.66912248006531</v>
      </c>
      <c r="AH583" s="119">
        <f>+AZ583/$BB$55</f>
        <v>5.7695993262927596E-3</v>
      </c>
      <c r="AI583" s="119"/>
      <c r="AJ583" s="176">
        <f t="shared" si="1672"/>
        <v>2.1905387132751479</v>
      </c>
      <c r="AK583" s="176">
        <f t="shared" si="1673"/>
        <v>0</v>
      </c>
      <c r="AL583" s="120">
        <f t="shared" si="1655"/>
        <v>0.30920640684543926</v>
      </c>
      <c r="AM583" s="120">
        <f t="shared" si="1656"/>
        <v>0.44778862890274196</v>
      </c>
      <c r="AN583" s="120">
        <f t="shared" si="1657"/>
        <v>0.24300496425181889</v>
      </c>
      <c r="AO583" s="120">
        <f t="shared" si="1661"/>
        <v>6.1341706588870521E-3</v>
      </c>
      <c r="AP583" s="173">
        <f t="shared" si="1678"/>
        <v>112.37601421883377</v>
      </c>
      <c r="AQ583" s="175">
        <f t="shared" si="1679"/>
        <v>6.1341706588870365E-3</v>
      </c>
      <c r="AR583" s="177">
        <f>+AC583/$AE$55</f>
        <v>6.9412504334858448E-3</v>
      </c>
      <c r="AS583" s="177">
        <f t="shared" si="1674"/>
        <v>4.2578814745075793E-5</v>
      </c>
      <c r="AT583" s="177"/>
      <c r="AU583" s="177"/>
      <c r="AV583" s="177"/>
      <c r="AW583" s="190"/>
      <c r="AX583" s="120"/>
      <c r="AY583" s="120"/>
      <c r="AZ583" s="118">
        <f>IFERROR(INDEX('Total Customers'!$F$7:$AB$91,MATCH($C583,'Total Customers'!$D$7:$D$91,0),MATCH($G583,'Total Customers'!$F$5:$AB$5,0)),"NA")</f>
        <v>216598</v>
      </c>
      <c r="BA583" s="119">
        <f t="shared" si="1636"/>
        <v>-1.6468578498415589E-3</v>
      </c>
      <c r="BB583" s="119"/>
      <c r="BC583" s="121"/>
      <c r="BD583" s="119"/>
      <c r="BE583" s="119"/>
      <c r="BF583" s="119"/>
      <c r="BG583" s="173"/>
      <c r="BH583" s="173"/>
      <c r="BI583" s="173"/>
      <c r="BJ583" s="173"/>
      <c r="BK583" s="173"/>
      <c r="BL583" s="173"/>
      <c r="BM583" s="173"/>
      <c r="BN583" s="173"/>
      <c r="BO583" s="173"/>
      <c r="BP583" s="173"/>
      <c r="BQ583" s="118"/>
      <c r="BR583" s="118"/>
      <c r="BS583" s="118">
        <f>INDEX('Dist. Plant Gas Additions'!$F$7:$AE$91,MATCH($C583,'Dist. Plant Gas Additions'!$D$7:$D$91,0),MATCH(Calculation!$G583,'Dist. Plant Gas Additions'!$F$5:$AE$5,0))</f>
        <v>25315</v>
      </c>
      <c r="BT583" s="118">
        <f>INDEX('Gen. Plant Additions'!$F$7:$AE$91,MATCH($C583,'Gen. Plant Additions'!$D$7:$D$91,0),MATCH(Calculation!$G583,'Gen. Plant Additions'!$F$5:$AE$5,0))</f>
        <v>2330</v>
      </c>
      <c r="BU583" s="118"/>
      <c r="BV583" s="118"/>
      <c r="BW583" s="118">
        <f>INDEX('Dist Plant Depreciation'!$E$7:$AD$94,MATCH($C583,'Dist Plant Depreciation'!$D$7:$D$94,0),MATCH(Calculation!$G583,'Dist Plant Depreciation'!$E$5:$AD$5,0))</f>
        <v>268482</v>
      </c>
      <c r="BX583" s="118">
        <f>INDEX('Gen. Plant Depreciation'!$E$7:$AD$94,MATCH($C583,'Gen. Plant Depreciation'!$D$7:$D$94,0),MATCH(Calculation!$G583,'Gen. Plant Depreciation'!$E$5:$AD$5,0))</f>
        <v>15161</v>
      </c>
      <c r="BY583" s="118"/>
      <c r="BZ583" s="118"/>
      <c r="CA583" s="118"/>
      <c r="CB583" s="118"/>
      <c r="CC583" s="118"/>
      <c r="CD583" s="118"/>
      <c r="CE583" s="118">
        <f>INDEX('Gross Dx Plant'!$E$7:$AD$91,MATCH($C583,'Gross Dx Plant'!$D$7:$D$91,0),MATCH(Calculation!$G583,'Gross Dx Plant'!$E$5:$AD$5,0))</f>
        <v>491817</v>
      </c>
      <c r="CF583" s="118">
        <f>INDEX('Gross Gen Plant'!$E$7:$AD$91,MATCH($C583,'Gross Gen Plant'!$D$7:$D$91,0),MATCH(Calculation!$G583,'Gross Gen Plant'!$E$5:$AD$5,0))</f>
        <v>33370</v>
      </c>
      <c r="CG583" s="118">
        <f t="shared" si="1516"/>
        <v>241544</v>
      </c>
      <c r="CH583" s="118"/>
      <c r="CI583" s="121">
        <v>2017</v>
      </c>
      <c r="CJ583" s="118"/>
      <c r="CK583" s="118"/>
      <c r="CL583" s="118"/>
      <c r="CM583" s="183"/>
      <c r="CN583" s="118">
        <f t="shared" si="1637"/>
        <v>27645</v>
      </c>
      <c r="CO583" s="118">
        <f t="shared" si="1638"/>
        <v>38.803889445783419</v>
      </c>
      <c r="CP583" s="186">
        <v>0.87074829931972786</v>
      </c>
      <c r="CQ583" s="118">
        <f>+CQ564*CP583+CO565*CP582+CO566*CP581+CO567*CP580+CO568*CP579+CO569*CP578+CO570*CP577+CO571*CP576+CO572*CP575+CO573*CP574+CO574*CP573+CO575*CP572+CO576*CP571+CO577*CP570+CO578*CP569+CO579*CP568+CO580*CP567+CO581*CP566+CO582*CP565+CO583</f>
        <v>1064.4048998270864</v>
      </c>
      <c r="CR583" s="119">
        <f t="shared" si="1639"/>
        <v>2.81085596199281E-2</v>
      </c>
      <c r="CS583" s="119"/>
      <c r="CT583" s="177">
        <f t="shared" si="1640"/>
        <v>8.9878768878931033E-3</v>
      </c>
      <c r="CU583" s="177">
        <f t="shared" si="1648"/>
        <v>8.7001415912262292E-3</v>
      </c>
      <c r="CV583" s="119">
        <f>VLOOKUP($H583,RoR!$E:$F,2,FALSE)</f>
        <v>3.7433333333333339E-2</v>
      </c>
      <c r="CW583" s="177">
        <v>1.9056896421275615E-2</v>
      </c>
      <c r="CX583" s="177">
        <f t="shared" si="1646"/>
        <v>1.8376436912057724E-2</v>
      </c>
      <c r="CY583" s="177">
        <f t="shared" si="1649"/>
        <v>2.2201800017307396E-2</v>
      </c>
      <c r="CZ583" s="177">
        <f t="shared" si="1650"/>
        <v>1.3976271617800498E-2</v>
      </c>
      <c r="DA583" s="187">
        <f t="shared" si="1641"/>
        <v>0.90175000000000005</v>
      </c>
      <c r="DB583" s="188">
        <f t="shared" si="1642"/>
        <v>1.3699568463593395</v>
      </c>
      <c r="DC583" s="188">
        <f t="shared" si="1643"/>
        <v>0.30714603739982199</v>
      </c>
      <c r="DD583" s="188">
        <f t="shared" si="1644"/>
        <v>0.77007188472689425</v>
      </c>
      <c r="DE583" s="188">
        <f t="shared" si="1645"/>
        <v>0.32402839633793828</v>
      </c>
      <c r="DF583" s="189">
        <f>INDEX('State Tax Lookup'!$D$7:$Z$91,MATCH(Calculation!$C583,'State Tax Lookup'!$B$7:$B$91,0),MATCH($H583,'State Tax Lookup'!$D$6:$Z$6,0))</f>
        <v>0.26200000000000001</v>
      </c>
      <c r="DG583" s="189">
        <v>0.375</v>
      </c>
      <c r="DH583" s="190">
        <f t="shared" si="1647"/>
        <v>19.309694091452375</v>
      </c>
      <c r="DI583" s="190">
        <v>18.939386335032392</v>
      </c>
      <c r="DJ583" s="177"/>
      <c r="DK583" s="189">
        <f>VLOOKUP($H583,RoR!$E:$F,2,FALSE)</f>
        <v>3.7433333333333339E-2</v>
      </c>
      <c r="DL583" s="191">
        <f>HLOOKUP($H583,'GDP-PI'!$D$8:$CQ$11,3,FALSE)</f>
        <v>1.9056896421275615E-2</v>
      </c>
      <c r="DM583" s="189">
        <f>VLOOKUP(H583,'HW Dx Data'!$E:$F,2,FALSE)</f>
        <v>712.42858370229726</v>
      </c>
      <c r="DN583" s="183">
        <f>VLOOKUP(H583,'ECI - Input Price'!$G$17:$H$37,2,FALSE)</f>
        <v>129.5</v>
      </c>
      <c r="DO583" s="177">
        <f t="shared" ref="DO583" si="1698">LN(DN583/DN582)</f>
        <v>2.4229399426835413E-2</v>
      </c>
      <c r="DP583" s="183">
        <f>HLOOKUP(H583,'GDP-PI'!$8:$9,2,FALSE)</f>
        <v>107.751</v>
      </c>
      <c r="DQ583" s="177">
        <f t="shared" ref="DQ583" si="1699">LN(DP583/DP582)</f>
        <v>1.8877588227745139E-2</v>
      </c>
    </row>
    <row r="584" spans="1:121" s="167" customFormat="1" ht="21" x14ac:dyDescent="0.35">
      <c r="A584" s="167" t="s">
        <v>69</v>
      </c>
      <c r="B584" s="168" t="s">
        <v>69</v>
      </c>
      <c r="C584" s="168">
        <v>4061634</v>
      </c>
      <c r="D584" s="168" t="s">
        <v>135</v>
      </c>
      <c r="E584" s="168"/>
      <c r="F584" s="168"/>
      <c r="G584" s="168" t="s">
        <v>24</v>
      </c>
      <c r="H584" s="169">
        <v>2018</v>
      </c>
      <c r="I584" s="170"/>
      <c r="J584" s="166">
        <f>IFERROR(INDEX('Labor Expenditures'!$F$7:$X$91,MATCH($C584,'Labor Expenditures'!$D$7:$D$91,0),MATCH($G584,'Labor Expenditures'!$F$5:$X$5,0)),"NA")</f>
        <v>28321.855585047429</v>
      </c>
      <c r="K584" s="166">
        <f t="shared" si="1653"/>
        <v>212.54675861198822</v>
      </c>
      <c r="L584" s="172">
        <f t="shared" si="1660"/>
        <v>7.9245883580181142E-2</v>
      </c>
      <c r="M584" s="172">
        <f t="shared" si="1664"/>
        <v>5.5866162883127873E-4</v>
      </c>
      <c r="N584" s="196"/>
      <c r="O584" s="172"/>
      <c r="P584" s="166">
        <f>IFERROR(INDEX('Non-Labor Expenditures'!$F$7:$AB$91,MATCH($C584,'Non-Labor Expenditures'!$D$7:$D$91,0),MATCH($G584,'Non-Labor Expenditures'!$F$5:$AB$5,0)),"NA")</f>
        <v>41015.336680100598</v>
      </c>
      <c r="Q584" s="166">
        <f t="shared" si="1654"/>
        <v>371.77840031997783</v>
      </c>
      <c r="R584" s="172">
        <f t="shared" si="1665"/>
        <v>8.4211712770034017E-2</v>
      </c>
      <c r="S584" s="172">
        <f t="shared" si="1670"/>
        <v>5.9366935539532364E-4</v>
      </c>
      <c r="T584" s="172"/>
      <c r="U584" s="172"/>
      <c r="V584" s="166">
        <f t="shared" si="1635"/>
        <v>21477.937474539944</v>
      </c>
      <c r="W584" s="170"/>
      <c r="X584" s="174">
        <v>1136.8594001145098</v>
      </c>
      <c r="Y584" s="175">
        <v>6.5853684990793984E-2</v>
      </c>
      <c r="Z584" s="175">
        <f t="shared" si="1671"/>
        <v>4.6425032139713328E-4</v>
      </c>
      <c r="AA584" s="175"/>
      <c r="AB584" s="175"/>
      <c r="AC584" s="170">
        <f t="shared" si="1677"/>
        <v>90815.129739687967</v>
      </c>
      <c r="AD584" s="175">
        <f t="shared" si="1666"/>
        <v>9.9237933784814672E-2</v>
      </c>
      <c r="AE584" s="170"/>
      <c r="AF584" s="170"/>
      <c r="AG584" s="121">
        <f t="shared" si="1667"/>
        <v>419.7912937387926</v>
      </c>
      <c r="AH584" s="119">
        <f>+AZ584/$BB$56</f>
        <v>5.712511835821543E-3</v>
      </c>
      <c r="AI584" s="119"/>
      <c r="AJ584" s="176">
        <f t="shared" si="1672"/>
        <v>2.3980627340576905</v>
      </c>
      <c r="AK584" s="176">
        <f t="shared" si="1673"/>
        <v>0</v>
      </c>
      <c r="AL584" s="120">
        <f t="shared" si="1655"/>
        <v>0.3118627443051511</v>
      </c>
      <c r="AM584" s="120">
        <f t="shared" si="1656"/>
        <v>0.45163550167980548</v>
      </c>
      <c r="AN584" s="120">
        <f t="shared" si="1657"/>
        <v>0.23650175401504347</v>
      </c>
      <c r="AO584" s="120">
        <f t="shared" si="1661"/>
        <v>7.8268252283046014E-2</v>
      </c>
      <c r="AP584" s="173">
        <f t="shared" si="1678"/>
        <v>121.5248502094983</v>
      </c>
      <c r="AQ584" s="175">
        <f t="shared" si="1679"/>
        <v>7.8268252283046041E-2</v>
      </c>
      <c r="AR584" s="177">
        <f>+AC584/$AE$56</f>
        <v>7.0497242707379722E-3</v>
      </c>
      <c r="AS584" s="177">
        <f t="shared" si="1674"/>
        <v>5.5176959774803241E-4</v>
      </c>
      <c r="AT584" s="177"/>
      <c r="AU584" s="177"/>
      <c r="AV584" s="177"/>
      <c r="AW584" s="190"/>
      <c r="AX584" s="120"/>
      <c r="AY584" s="120"/>
      <c r="AZ584" s="118">
        <f>IFERROR(INDEX('Total Customers'!$F$7:$AB$91,MATCH($C584,'Total Customers'!$D$7:$D$91,0),MATCH($G584,'Total Customers'!$F$5:$AB$5,0)),"NA")</f>
        <v>216334</v>
      </c>
      <c r="BA584" s="119">
        <f t="shared" si="1636"/>
        <v>-1.219591218587966E-3</v>
      </c>
      <c r="BB584" s="119"/>
      <c r="BC584" s="121"/>
      <c r="BD584" s="119"/>
      <c r="BE584" s="119"/>
      <c r="BF584" s="119"/>
      <c r="BG584" s="173"/>
      <c r="BH584" s="173"/>
      <c r="BI584" s="173"/>
      <c r="BJ584" s="173"/>
      <c r="BK584" s="173"/>
      <c r="BL584" s="173"/>
      <c r="BM584" s="173"/>
      <c r="BN584" s="173"/>
      <c r="BO584" s="173"/>
      <c r="BP584" s="173"/>
      <c r="BQ584" s="118"/>
      <c r="BR584" s="118"/>
      <c r="BS584" s="118">
        <f>INDEX('Dist. Plant Gas Additions'!$F$7:$AE$91,MATCH($C584,'Dist. Plant Gas Additions'!$D$7:$D$91,0),MATCH(Calculation!$G584,'Dist. Plant Gas Additions'!$F$5:$AE$5,0))</f>
        <v>59885</v>
      </c>
      <c r="BT584" s="118">
        <f>INDEX('Gen. Plant Additions'!$F$7:$AE$91,MATCH($C584,'Gen. Plant Additions'!$D$7:$D$91,0),MATCH(Calculation!$G584,'Gen. Plant Additions'!$F$5:$AE$5,0))</f>
        <v>2276</v>
      </c>
      <c r="BU584" s="118"/>
      <c r="BV584" s="118"/>
      <c r="BW584" s="118">
        <f>INDEX('Dist Plant Depreciation'!$E$7:$AD$94,MATCH($C584,'Dist Plant Depreciation'!$D$7:$D$94,0),MATCH(Calculation!$G584,'Dist Plant Depreciation'!$E$5:$AD$5,0))</f>
        <v>274798</v>
      </c>
      <c r="BX584" s="118">
        <f>INDEX('Gen. Plant Depreciation'!$E$7:$AD$94,MATCH($C584,'Gen. Plant Depreciation'!$D$7:$D$94,0),MATCH(Calculation!$G584,'Gen. Plant Depreciation'!$E$5:$AD$5,0))</f>
        <v>15621</v>
      </c>
      <c r="BY584" s="118"/>
      <c r="BZ584" s="118"/>
      <c r="CA584" s="118"/>
      <c r="CB584" s="118"/>
      <c r="CC584" s="118"/>
      <c r="CD584" s="118"/>
      <c r="CE584" s="118">
        <f>INDEX('Gross Dx Plant'!$E$7:$AD$91,MATCH($C584,'Gross Dx Plant'!$D$7:$D$91,0),MATCH(Calculation!$G584,'Gross Dx Plant'!$E$5:$AD$5,0))</f>
        <v>546427</v>
      </c>
      <c r="CF584" s="118">
        <f>INDEX('Gross Gen Plant'!$E$7:$AD$91,MATCH($C584,'Gross Gen Plant'!$D$7:$D$91,0),MATCH(Calculation!$G584,'Gross Gen Plant'!$E$5:$AD$5,0))</f>
        <v>34711</v>
      </c>
      <c r="CG584" s="118">
        <f t="shared" si="1516"/>
        <v>290719</v>
      </c>
      <c r="CH584" s="118"/>
      <c r="CI584" s="121">
        <v>2018</v>
      </c>
      <c r="CJ584" s="118"/>
      <c r="CK584" s="118"/>
      <c r="CL584" s="118"/>
      <c r="CM584" s="183"/>
      <c r="CN584" s="118">
        <f t="shared" si="1637"/>
        <v>62161</v>
      </c>
      <c r="CO584" s="118">
        <f t="shared" si="1638"/>
        <v>82.317544385569505</v>
      </c>
      <c r="CP584" s="186">
        <v>0.86111111111111116</v>
      </c>
      <c r="CQ584" s="118">
        <f>+CQ564*CP584++CO565*CP583+CO566*CP582+CO567*CP581+CO568*CP580+CO569*CP579+CO570*CP578+CO571*CP577+CO572*CP576+CO573*CP575+CO574*CP574+CO575*CP573+CO576*CP572+CO577*CP571+CO578*CP570+CO579*CP569+CO580*CP568+CO581*CP567+CO582*CP566+CO583*CP565+CO584</f>
        <v>1136.8594001145098</v>
      </c>
      <c r="CR584" s="119">
        <f t="shared" si="1639"/>
        <v>6.5853684990793984E-2</v>
      </c>
      <c r="CS584" s="119"/>
      <c r="CT584" s="177">
        <f t="shared" si="1640"/>
        <v>9.2662520623011252E-3</v>
      </c>
      <c r="CU584" s="177">
        <f t="shared" si="1648"/>
        <v>8.9821900461602797E-3</v>
      </c>
      <c r="CV584" s="119">
        <f>VLOOKUP($H584,RoR!$E:$F,2,FALSE)</f>
        <v>3.9299999999999995E-2</v>
      </c>
      <c r="CW584" s="177">
        <v>2.386056741932796E-2</v>
      </c>
      <c r="CX584" s="177">
        <f t="shared" si="1646"/>
        <v>1.5439432580672034E-2</v>
      </c>
      <c r="CY584" s="177">
        <f t="shared" si="1649"/>
        <v>2.1919751562373344E-2</v>
      </c>
      <c r="CZ584" s="177">
        <f t="shared" si="1650"/>
        <v>3.8270792163076606E-2</v>
      </c>
      <c r="DA584" s="187">
        <f t="shared" si="1641"/>
        <v>0.90175000000000005</v>
      </c>
      <c r="DB584" s="188">
        <f t="shared" si="1642"/>
        <v>1.3048868010700074</v>
      </c>
      <c r="DC584" s="188">
        <f t="shared" si="1643"/>
        <v>0.33886768447837151</v>
      </c>
      <c r="DD584" s="188">
        <f t="shared" si="1644"/>
        <v>0.78602506232557801</v>
      </c>
      <c r="DE584" s="188">
        <f t="shared" si="1645"/>
        <v>0.34756768162358759</v>
      </c>
      <c r="DF584" s="189">
        <f>INDEX('State Tax Lookup'!$D$7:$Z$91,MATCH(Calculation!$C584,'State Tax Lookup'!$B$7:$B$91,0),MATCH($H584,'State Tax Lookup'!$D$6:$Z$6,0))</f>
        <v>0.26200000000000001</v>
      </c>
      <c r="DG584" s="189">
        <v>0.375</v>
      </c>
      <c r="DH584" s="190">
        <f t="shared" si="1647"/>
        <v>20.178352690812542</v>
      </c>
      <c r="DI584" s="190">
        <v>19.806367030995574</v>
      </c>
      <c r="DJ584" s="177"/>
      <c r="DK584" s="189">
        <f>VLOOKUP($H584,RoR!$E:$F,2,FALSE)</f>
        <v>3.9299999999999995E-2</v>
      </c>
      <c r="DL584" s="191">
        <f>HLOOKUP($H584,'GDP-PI'!$D$8:$CQ$11,3,FALSE)</f>
        <v>2.386056741932796E-2</v>
      </c>
      <c r="DM584" s="189">
        <f>VLOOKUP(H584,'HW Dx Data'!$E:$F,2,FALSE)</f>
        <v>755.13671434174842</v>
      </c>
      <c r="DN584" s="183">
        <f>VLOOKUP(H584,'ECI - Input Price'!$G$17:$H$37,2,FALSE)</f>
        <v>133.25</v>
      </c>
      <c r="DO584" s="177">
        <f t="shared" ref="DO584" si="1700">LN(DN584/DN583)</f>
        <v>2.8546181906361531E-2</v>
      </c>
      <c r="DP584" s="183">
        <f>HLOOKUP(H584,'GDP-PI'!$8:$9,2,FALSE)</f>
        <v>110.322</v>
      </c>
      <c r="DQ584" s="177">
        <f t="shared" ref="DQ584" si="1701">LN(DP584/DP583)</f>
        <v>2.3580352716508712E-2</v>
      </c>
    </row>
    <row r="585" spans="1:121" s="167" customFormat="1" ht="21" x14ac:dyDescent="0.35">
      <c r="A585" s="167" t="s">
        <v>69</v>
      </c>
      <c r="B585" s="168" t="s">
        <v>69</v>
      </c>
      <c r="C585" s="168">
        <v>4061634</v>
      </c>
      <c r="D585" s="168" t="s">
        <v>135</v>
      </c>
      <c r="E585" s="168"/>
      <c r="F585" s="168"/>
      <c r="G585" s="168" t="s">
        <v>25</v>
      </c>
      <c r="H585" s="169">
        <v>2019</v>
      </c>
      <c r="I585" s="170"/>
      <c r="J585" s="166">
        <f>IFERROR(INDEX('Labor Expenditures'!$F$7:$X$91,MATCH($C585,'Labor Expenditures'!$D$7:$D$91,0),MATCH($G585,'Labor Expenditures'!$F$5:$X$5,0)),"NA")</f>
        <v>28404.912946926677</v>
      </c>
      <c r="K585" s="166">
        <f t="shared" si="1653"/>
        <v>207.562389089709</v>
      </c>
      <c r="L585" s="172">
        <f t="shared" si="1660"/>
        <v>-2.3730039895765099E-2</v>
      </c>
      <c r="M585" s="172">
        <f t="shared" si="1664"/>
        <v>-1.6572087617942747E-4</v>
      </c>
      <c r="N585" s="196"/>
      <c r="O585" s="172"/>
      <c r="P585" s="166">
        <f>IFERROR(INDEX('Non-Labor Expenditures'!$F$7:$AB$91,MATCH($C585,'Non-Labor Expenditures'!$D$7:$D$91,0),MATCH($G585,'Non-Labor Expenditures'!$F$5:$AB$5,0)),"NA")</f>
        <v>41135.619253077093</v>
      </c>
      <c r="Q585" s="166">
        <f t="shared" si="1654"/>
        <v>366.24244780958611</v>
      </c>
      <c r="R585" s="172">
        <f t="shared" si="1665"/>
        <v>-1.5002438906432755E-2</v>
      </c>
      <c r="S585" s="172">
        <f t="shared" si="1670"/>
        <v>-1.047708866619336E-4</v>
      </c>
      <c r="T585" s="172"/>
      <c r="U585" s="172"/>
      <c r="V585" s="166">
        <f t="shared" si="1635"/>
        <v>23238.120710019426</v>
      </c>
      <c r="W585" s="170"/>
      <c r="X585" s="174">
        <v>1197.2995610667167</v>
      </c>
      <c r="Y585" s="175">
        <v>5.1799106666351256E-2</v>
      </c>
      <c r="Z585" s="175">
        <f t="shared" si="1671"/>
        <v>3.6174373830662215E-4</v>
      </c>
      <c r="AA585" s="175"/>
      <c r="AB585" s="175"/>
      <c r="AC585" s="170">
        <f t="shared" si="1677"/>
        <v>92778.6529100232</v>
      </c>
      <c r="AD585" s="175">
        <f t="shared" si="1666"/>
        <v>2.1390681217703461E-2</v>
      </c>
      <c r="AE585" s="170"/>
      <c r="AF585" s="170"/>
      <c r="AG585" s="121">
        <f t="shared" si="1667"/>
        <v>430.48743926328507</v>
      </c>
      <c r="AH585" s="119">
        <f>+AZ585/$BB$57</f>
        <v>5.6444576255543499E-3</v>
      </c>
      <c r="AI585" s="119"/>
      <c r="AJ585" s="176">
        <f t="shared" si="1672"/>
        <v>2.4298681092550143</v>
      </c>
      <c r="AK585" s="176">
        <f t="shared" si="1673"/>
        <v>0</v>
      </c>
      <c r="AL585" s="120">
        <f t="shared" si="1655"/>
        <v>0.30615785049685706</v>
      </c>
      <c r="AM585" s="120">
        <f t="shared" si="1656"/>
        <v>0.44337374991821066</v>
      </c>
      <c r="AN585" s="120">
        <f t="shared" si="1657"/>
        <v>0.25046839958493222</v>
      </c>
      <c r="AO585" s="120">
        <f t="shared" si="1661"/>
        <v>-1.4341780295964359E-3</v>
      </c>
      <c r="AP585" s="173">
        <f t="shared" si="1678"/>
        <v>121.35068685975527</v>
      </c>
      <c r="AQ585" s="175">
        <f t="shared" si="1679"/>
        <v>-1.4341780295964895E-3</v>
      </c>
      <c r="AR585" s="177">
        <f>+AC585/$AE$57</f>
        <v>6.9835902892435627E-3</v>
      </c>
      <c r="AS585" s="177">
        <f t="shared" si="1674"/>
        <v>-1.0015711760536511E-5</v>
      </c>
      <c r="AT585" s="177"/>
      <c r="AU585" s="177"/>
      <c r="AV585" s="177"/>
      <c r="AW585" s="190"/>
      <c r="AX585" s="120"/>
      <c r="AY585" s="120"/>
      <c r="AZ585" s="118">
        <f>IFERROR(INDEX('Total Customers'!$F$7:$AB$91,MATCH($C585,'Total Customers'!$D$7:$D$91,0),MATCH($G585,'Total Customers'!$F$5:$AB$5,0)),"NA")</f>
        <v>215520</v>
      </c>
      <c r="BA585" s="119">
        <f t="shared" si="1636"/>
        <v>-3.7697970332767725E-3</v>
      </c>
      <c r="BB585" s="119"/>
      <c r="BC585" s="121"/>
      <c r="BD585" s="119"/>
      <c r="BE585" s="119"/>
      <c r="BF585" s="119"/>
      <c r="BG585" s="173"/>
      <c r="BH585" s="173"/>
      <c r="BI585" s="173"/>
      <c r="BJ585" s="173"/>
      <c r="BK585" s="173"/>
      <c r="BL585" s="173"/>
      <c r="BM585" s="173"/>
      <c r="BN585" s="173"/>
      <c r="BO585" s="173"/>
      <c r="BP585" s="173"/>
      <c r="BQ585" s="118"/>
      <c r="BR585" s="118"/>
      <c r="BS585" s="118">
        <f>INDEX('Dist. Plant Gas Additions'!$F$7:$AE$91,MATCH($C585,'Dist. Plant Gas Additions'!$D$7:$D$91,0),MATCH(Calculation!$G585,'Dist. Plant Gas Additions'!$F$5:$AE$5,0))</f>
        <v>53712</v>
      </c>
      <c r="BT585" s="118">
        <f>INDEX('Gen. Plant Additions'!$F$7:$AE$91,MATCH($C585,'Gen. Plant Additions'!$D$7:$D$91,0),MATCH(Calculation!$G585,'Gen. Plant Additions'!$F$5:$AE$5,0))</f>
        <v>1294</v>
      </c>
      <c r="BU585" s="118"/>
      <c r="BV585" s="118"/>
      <c r="BW585" s="118">
        <f>INDEX('Dist Plant Depreciation'!$E$7:$AD$94,MATCH($C585,'Dist Plant Depreciation'!$D$7:$D$94,0),MATCH(Calculation!$G585,'Dist Plant Depreciation'!$E$5:$AD$5,0))</f>
        <v>285654</v>
      </c>
      <c r="BX585" s="118">
        <f>INDEX('Gen. Plant Depreciation'!$E$7:$AD$94,MATCH($C585,'Gen. Plant Depreciation'!$D$7:$D$94,0),MATCH(Calculation!$G585,'Gen. Plant Depreciation'!$E$5:$AD$5,0))</f>
        <v>16057</v>
      </c>
      <c r="BY585" s="118"/>
      <c r="BZ585" s="118"/>
      <c r="CA585" s="118"/>
      <c r="CB585" s="118"/>
      <c r="CC585" s="118"/>
      <c r="CD585" s="118"/>
      <c r="CE585" s="118">
        <f>INDEX('Gross Dx Plant'!$E$7:$AD$91,MATCH($C585,'Gross Dx Plant'!$D$7:$D$91,0),MATCH(Calculation!$G585,'Gross Dx Plant'!$E$5:$AD$5,0))</f>
        <v>598152</v>
      </c>
      <c r="CF585" s="118">
        <f>INDEX('Gross Gen Plant'!$E$7:$AD$91,MATCH($C585,'Gross Gen Plant'!$D$7:$D$91,0),MATCH(Calculation!$G585,'Gross Gen Plant'!$E$5:$AD$5,0))</f>
        <v>34782</v>
      </c>
      <c r="CG585" s="118">
        <f t="shared" si="1516"/>
        <v>331223</v>
      </c>
      <c r="CH585" s="118"/>
      <c r="CI585" s="121">
        <v>2019</v>
      </c>
      <c r="CJ585" s="118"/>
      <c r="CK585" s="118"/>
      <c r="CL585" s="118"/>
      <c r="CM585" s="183"/>
      <c r="CN585" s="118">
        <f t="shared" si="1637"/>
        <v>55006</v>
      </c>
      <c r="CO585" s="118">
        <f t="shared" si="1638"/>
        <v>71.109509428324017</v>
      </c>
      <c r="CP585" s="186">
        <v>0.85106382978723405</v>
      </c>
      <c r="CQ585" s="118">
        <f>CQ564*CP585+CO565*CP584+CO566*CP583+CO567*CP582+CO568*CP581+CO569*CP580+CO570*CP579+CO571*CP578+CO572*CP577+CO573*CP576+CO574*CP575+CO575*CP574+CO576*CP573+CO577*CP572+CO578*CP571+CO579*CP570+CO580*CP569+CO581*CP568+CO582*CP567+CO583*CP566+CO584*CP565+CO585</f>
        <v>1197.2995610667167</v>
      </c>
      <c r="CR585" s="119">
        <f t="shared" si="1639"/>
        <v>5.1799106666351256E-2</v>
      </c>
      <c r="CS585" s="119"/>
      <c r="CT585" s="177">
        <f t="shared" si="1640"/>
        <v>9.3849322748638924E-3</v>
      </c>
      <c r="CU585" s="177">
        <f t="shared" si="1648"/>
        <v>9.2130204083527081E-3</v>
      </c>
      <c r="CV585" s="119">
        <f>VLOOKUP($H585,RoR!$E:$F,2,FALSE)</f>
        <v>3.3875000000000009E-2</v>
      </c>
      <c r="CW585" s="177">
        <v>1.8092492884465461E-2</v>
      </c>
      <c r="CX585" s="177">
        <f t="shared" si="1646"/>
        <v>1.5782507115534548E-2</v>
      </c>
      <c r="CY585" s="177">
        <f t="shared" si="1649"/>
        <v>2.1688921200180917E-2</v>
      </c>
      <c r="CZ585" s="177">
        <f t="shared" si="1650"/>
        <v>4.8445665544254078E-2</v>
      </c>
      <c r="DA585" s="187">
        <f t="shared" si="1641"/>
        <v>0.90175000000000005</v>
      </c>
      <c r="DB585" s="188">
        <f t="shared" si="1642"/>
        <v>1.513861292459078</v>
      </c>
      <c r="DC585" s="188">
        <f t="shared" si="1643"/>
        <v>0.23699261992619944</v>
      </c>
      <c r="DD585" s="188">
        <f t="shared" si="1644"/>
        <v>0.73619765810468829</v>
      </c>
      <c r="DE585" s="188">
        <f t="shared" si="1645"/>
        <v>0.26412854465362851</v>
      </c>
      <c r="DF585" s="189">
        <f>INDEX('State Tax Lookup'!$D$7:$Z$91,MATCH(Calculation!$C585,'State Tax Lookup'!$B$7:$B$91,0),MATCH($H585,'State Tax Lookup'!$D$6:$Z$6,0))</f>
        <v>0.26200000000000001</v>
      </c>
      <c r="DG585" s="189">
        <v>0.375</v>
      </c>
      <c r="DH585" s="190">
        <f t="shared" si="1647"/>
        <v>20.440628548859053</v>
      </c>
      <c r="DI585" s="190">
        <v>20.175729055974728</v>
      </c>
      <c r="DJ585" s="177"/>
      <c r="DK585" s="189">
        <f>VLOOKUP($H585,RoR!$E:$F,2,FALSE)</f>
        <v>3.3875000000000009E-2</v>
      </c>
      <c r="DL585" s="191">
        <f>HLOOKUP($H585,'GDP-PI'!$D$8:$CQ$11,3,FALSE)</f>
        <v>1.8092492884465461E-2</v>
      </c>
      <c r="DM585" s="189">
        <f>VLOOKUP(H585,'HW Dx Data'!$E:$F,2,FALSE)</f>
        <v>773.53929793938721</v>
      </c>
      <c r="DN585" s="183">
        <f>VLOOKUP(H585,'ECI - Input Price'!$G$17:$H$37,2,FALSE)</f>
        <v>136.85</v>
      </c>
      <c r="DO585" s="177">
        <f t="shared" ref="DO585" si="1702">LN(DN585/DN584)</f>
        <v>2.6658372440734168E-2</v>
      </c>
      <c r="DP585" s="183">
        <f>HLOOKUP(H585,'GDP-PI'!$8:$9,2,FALSE)</f>
        <v>112.318</v>
      </c>
      <c r="DQ585" s="177">
        <f t="shared" ref="DQ585" si="1703">LN(DP585/DP584)</f>
        <v>1.7930771451401852E-2</v>
      </c>
    </row>
    <row r="586" spans="1:121" s="167" customFormat="1" ht="21" x14ac:dyDescent="0.35">
      <c r="A586" s="167" t="s">
        <v>69</v>
      </c>
      <c r="B586" s="167" t="s">
        <v>69</v>
      </c>
      <c r="C586" s="167">
        <v>4061634</v>
      </c>
      <c r="D586" s="167" t="s">
        <v>135</v>
      </c>
      <c r="G586" s="168" t="s">
        <v>26</v>
      </c>
      <c r="H586" s="169">
        <v>2020</v>
      </c>
      <c r="I586" s="170"/>
      <c r="J586" s="166">
        <f>IFERROR(INDEX('Labor Expenditures'!$F$7:$X$91,MATCH($C586,'Labor Expenditures'!$D$7:$D$91,0),MATCH($G586,'Labor Expenditures'!$F$5:$X$5,0)),"NA")</f>
        <v>28622.795985642188</v>
      </c>
      <c r="K586" s="166">
        <f t="shared" si="1653"/>
        <v>203.79349224380343</v>
      </c>
      <c r="L586" s="172">
        <f t="shared" si="1660"/>
        <v>-1.8324776583180807E-2</v>
      </c>
      <c r="M586" s="172">
        <f t="shared" si="1664"/>
        <v>-1.2787189060771436E-4</v>
      </c>
      <c r="N586" s="196"/>
      <c r="O586" s="172"/>
      <c r="P586" s="166">
        <f>IFERROR(INDEX('Non-Labor Expenditures'!$F$7:$AB$91,MATCH($C586,'Non-Labor Expenditures'!$D$7:$D$91,0),MATCH($G586,'Non-Labor Expenditures'!$F$5:$AB$5,0)),"NA")</f>
        <v>41451.154588075347</v>
      </c>
      <c r="Q586" s="166">
        <f t="shared" si="1654"/>
        <v>364.81306239120022</v>
      </c>
      <c r="R586" s="172">
        <f t="shared" si="1665"/>
        <v>-3.9104752510093124E-3</v>
      </c>
      <c r="S586" s="172">
        <f t="shared" si="1670"/>
        <v>-2.7287637655576834E-5</v>
      </c>
      <c r="T586" s="172"/>
      <c r="U586" s="172"/>
      <c r="V586" s="166">
        <f t="shared" si="1635"/>
        <v>25502.602841877189</v>
      </c>
      <c r="W586" s="170"/>
      <c r="X586" s="174">
        <v>1246.9399015660283</v>
      </c>
      <c r="Y586" s="175">
        <v>4.0623815984739235E-2</v>
      </c>
      <c r="Z586" s="175">
        <f t="shared" si="1671"/>
        <v>2.8347653408425946E-4</v>
      </c>
      <c r="AA586" s="175"/>
      <c r="AB586" s="175"/>
      <c r="AC586" s="170">
        <f t="shared" si="1677"/>
        <v>95576.553415594724</v>
      </c>
      <c r="AD586" s="175">
        <f t="shared" si="1666"/>
        <v>2.9710952784575174E-2</v>
      </c>
      <c r="AE586" s="170"/>
      <c r="AF586" s="170"/>
      <c r="AG586" s="121">
        <f t="shared" si="1667"/>
        <v>443.46953143835714</v>
      </c>
      <c r="AH586" s="119">
        <f>+AZ586/$BB$58</f>
        <v>5.6047735860793564E-3</v>
      </c>
      <c r="AI586" s="119"/>
      <c r="AJ586" s="176">
        <f t="shared" si="1672"/>
        <v>2.4855463160366926</v>
      </c>
      <c r="AK586" s="176">
        <f t="shared" si="1673"/>
        <v>0</v>
      </c>
      <c r="AL586" s="120">
        <f t="shared" si="1655"/>
        <v>0.29947508005631807</v>
      </c>
      <c r="AM586" s="120">
        <f t="shared" si="1656"/>
        <v>0.43369585015096368</v>
      </c>
      <c r="AN586" s="120">
        <f t="shared" si="1657"/>
        <v>0.26682906979271825</v>
      </c>
      <c r="AO586" s="120">
        <f t="shared" si="1661"/>
        <v>3.2433750485409089E-3</v>
      </c>
      <c r="AP586" s="173">
        <f t="shared" si="1678"/>
        <v>121.74491161341766</v>
      </c>
      <c r="AQ586" s="175">
        <f t="shared" si="1679"/>
        <v>3.2433750485408516E-3</v>
      </c>
      <c r="AR586" s="177">
        <f>+AC586/$AE$58</f>
        <v>6.9780872922118008E-3</v>
      </c>
      <c r="AS586" s="177">
        <f t="shared" si="1674"/>
        <v>2.2632554210099748E-5</v>
      </c>
      <c r="AT586" s="177"/>
      <c r="AU586" s="177"/>
      <c r="AV586" s="177"/>
      <c r="AW586" s="190"/>
      <c r="AX586" s="120"/>
      <c r="AY586" s="120"/>
      <c r="AZ586" s="118">
        <v>215520</v>
      </c>
      <c r="BA586" s="119">
        <f t="shared" si="1636"/>
        <v>0</v>
      </c>
      <c r="BB586" s="119"/>
      <c r="BC586" s="121"/>
      <c r="BD586" s="119"/>
      <c r="BE586" s="119"/>
      <c r="BF586" s="119"/>
      <c r="BG586" s="173"/>
      <c r="BH586" s="173"/>
      <c r="BI586" s="173"/>
      <c r="BJ586" s="173"/>
      <c r="BK586" s="173"/>
      <c r="BL586" s="173"/>
      <c r="BM586" s="173"/>
      <c r="BN586" s="173"/>
      <c r="BO586" s="173"/>
      <c r="BP586" s="173"/>
      <c r="BQ586" s="118"/>
      <c r="BR586" s="118"/>
      <c r="BS586" s="118">
        <f>INDEX('Dist. Plant Gas Additions'!$F$7:$AE$91,MATCH($C586,'Dist. Plant Gas Additions'!$D$7:$D$91,0),MATCH(Calculation!$G586,'Dist. Plant Gas Additions'!$F$5:$AE$5,0))</f>
        <v>47499</v>
      </c>
      <c r="BT586" s="118">
        <f>INDEX('Gen. Plant Additions'!$F$7:$AE$91,MATCH($C586,'Gen. Plant Additions'!$D$7:$D$91,0),MATCH(Calculation!$G586,'Gen. Plant Additions'!$F$5:$AE$5,0))</f>
        <v>2178</v>
      </c>
      <c r="BU586" s="118"/>
      <c r="BV586" s="118"/>
      <c r="BW586" s="118">
        <f>INDEX('Dist Plant Depreciation'!$E$7:$AD$94,MATCH($C586,'Dist Plant Depreciation'!$D$7:$D$94,0),MATCH(Calculation!$G586,'Dist Plant Depreciation'!$E$5:$AD$5,0))</f>
        <v>296436</v>
      </c>
      <c r="BX586" s="118">
        <f>INDEX('Gen. Plant Depreciation'!$E$7:$AD$94,MATCH($C586,'Gen. Plant Depreciation'!$D$7:$D$94,0),MATCH(Calculation!$G586,'Gen. Plant Depreciation'!$E$5:$AD$5,0))</f>
        <v>16969</v>
      </c>
      <c r="BY586" s="118"/>
      <c r="BZ586" s="118"/>
      <c r="CA586" s="118"/>
      <c r="CB586" s="118"/>
      <c r="CC586" s="118"/>
      <c r="CD586" s="118"/>
      <c r="CE586" s="118">
        <f>INDEX('Gross Dx Plant'!$E$7:$AD$91,MATCH($C586,'Gross Dx Plant'!$D$7:$D$91,0),MATCH(Calculation!$G586,'Gross Dx Plant'!$E$5:$AD$5,0))</f>
        <v>642798</v>
      </c>
      <c r="CF586" s="118">
        <f>INDEX('Gross Gen Plant'!$E$7:$AD$91,MATCH($C586,'Gross Gen Plant'!$D$7:$D$91,0),MATCH(Calculation!$G586,'Gross Gen Plant'!$E$5:$AD$5,0))</f>
        <v>36377</v>
      </c>
      <c r="CG586" s="118">
        <f t="shared" si="1516"/>
        <v>365770</v>
      </c>
      <c r="CH586" s="118"/>
      <c r="CI586" s="121">
        <v>2020</v>
      </c>
      <c r="CJ586" s="118"/>
      <c r="CK586" s="118"/>
      <c r="CL586" s="118"/>
      <c r="CM586" s="183"/>
      <c r="CN586" s="118">
        <f t="shared" si="1637"/>
        <v>49677</v>
      </c>
      <c r="CO586" s="118">
        <f t="shared" si="1638"/>
        <v>61.097296790235234</v>
      </c>
      <c r="CP586" s="186">
        <v>0.84057971014492749</v>
      </c>
      <c r="CQ586" s="118">
        <f>CQ564*CP586+CO565*CP585+CO566*CP584+CO567*CP583+CO568*CP582+CO569*CP581+CO570*CP580+CO571*CP579+CO572*CP578+CO573*CP577+CO574*CP576+CO575*CP575+CO576*CP574+CO577*CP573+CO578*CP572+CO579*CP571+CO580*CP570+CO581*CP569+CO582*CP568+CO583*CP567+CO584*CP566+CO585*CP565+CO586</f>
        <v>1246.9399015660283</v>
      </c>
      <c r="CR586" s="119">
        <f t="shared" si="1639"/>
        <v>4.0623815984739235E-2</v>
      </c>
      <c r="CS586" s="119"/>
      <c r="CT586" s="177">
        <f t="shared" si="1640"/>
        <v>9.5689973198655638E-3</v>
      </c>
      <c r="CU586" s="177">
        <f t="shared" si="1648"/>
        <v>9.4067272190101938E-3</v>
      </c>
      <c r="CV586" s="119">
        <f>VLOOKUP($H586,RoR!$E:$F,2,FALSE)</f>
        <v>2.4766666666666666E-2</v>
      </c>
      <c r="CW586" s="177">
        <v>1.1618796630994188E-2</v>
      </c>
      <c r="CX586" s="177">
        <f t="shared" si="1646"/>
        <v>1.3147870035672478E-2</v>
      </c>
      <c r="CY586" s="177">
        <f t="shared" si="1649"/>
        <v>2.1495214389523433E-2</v>
      </c>
      <c r="CZ586" s="177">
        <f t="shared" si="1650"/>
        <v>4.5144642961987357E-2</v>
      </c>
      <c r="DA586" s="187">
        <f t="shared" si="1641"/>
        <v>0.90175000000000005</v>
      </c>
      <c r="DB586" s="188">
        <f t="shared" si="1642"/>
        <v>2.0706077233668081</v>
      </c>
      <c r="DC586" s="188">
        <f t="shared" si="1643"/>
        <v>-3.4421265141318998E-2</v>
      </c>
      <c r="DD586" s="188">
        <f t="shared" si="1644"/>
        <v>0.62416226176410472</v>
      </c>
      <c r="DE586" s="188">
        <f t="shared" si="1645"/>
        <v>-4.4485877841158712E-2</v>
      </c>
      <c r="DF586" s="189">
        <f>INDEX('State Tax Lookup'!$D$7:$Z$91,MATCH(Calculation!$C586,'State Tax Lookup'!$B$7:$B$91,0),MATCH($H586,'State Tax Lookup'!$D$6:$Z$6,0))</f>
        <v>0.26200000000000001</v>
      </c>
      <c r="DG586" s="189">
        <v>0.375</v>
      </c>
      <c r="DH586" s="190">
        <f t="shared" si="1647"/>
        <v>21.300102055625924</v>
      </c>
      <c r="DI586" s="190">
        <v>21.069829476321257</v>
      </c>
      <c r="DJ586" s="177"/>
      <c r="DK586" s="189">
        <f>VLOOKUP($H586,RoR!$E:$F,2,FALSE)</f>
        <v>2.4766666666666666E-2</v>
      </c>
      <c r="DL586" s="191">
        <f>HLOOKUP($H586,'GDP-PI'!$D$8:$CQ$11,3,FALSE)</f>
        <v>1.1618796630994188E-2</v>
      </c>
      <c r="DM586" s="189">
        <f>VLOOKUP(H586,'HW Dx Data'!$E:$F,2,FALSE)</f>
        <v>813.080162458833</v>
      </c>
      <c r="DN586" s="183">
        <f>VLOOKUP(H586,'ECI - Input Price'!$G$17:$H$37,2,FALSE)</f>
        <v>140.44999999999999</v>
      </c>
      <c r="DO586" s="177">
        <f t="shared" ref="DO586" si="1704">LN(DN586/DN585)</f>
        <v>2.5966118063564539E-2</v>
      </c>
      <c r="DP586" s="183">
        <f>HLOOKUP(H586,'GDP-PI'!$8:$9,2,FALSE)</f>
        <v>113.623</v>
      </c>
      <c r="DQ586" s="177">
        <f t="shared" ref="DQ586" si="1705">LN(DP586/DP585)</f>
        <v>1.1551816731392881E-2</v>
      </c>
    </row>
    <row r="587" spans="1:121" s="167" customFormat="1" ht="21" x14ac:dyDescent="0.35">
      <c r="A587" s="167" t="s">
        <v>69</v>
      </c>
      <c r="B587" s="167" t="s">
        <v>69</v>
      </c>
      <c r="C587" s="167">
        <v>4061634</v>
      </c>
      <c r="D587" s="167" t="s">
        <v>135</v>
      </c>
      <c r="G587" s="168" t="s">
        <v>462</v>
      </c>
      <c r="H587" s="169">
        <v>2021</v>
      </c>
      <c r="I587" s="170"/>
      <c r="J587" s="166">
        <f>IFERROR(INDEX('Labor Expenditures'!$E$7:$X$91,MATCH($C587,'Labor Expenditures'!$D$7:$D$91,0),MATCH($G587,'Labor Expenditures'!$E$5:$X$5,0)),"NA")</f>
        <v>22612.428286168732</v>
      </c>
      <c r="K587" s="166">
        <f t="shared" si="1653"/>
        <v>155.43858591626554</v>
      </c>
      <c r="L587" s="171">
        <f t="shared" si="1660"/>
        <v>-0.27085648047564342</v>
      </c>
      <c r="M587" s="172">
        <f t="shared" si="1664"/>
        <v>-1.5620443793169865E-3</v>
      </c>
      <c r="N587" s="196"/>
      <c r="O587" s="172"/>
      <c r="P587" s="166">
        <f>IFERROR(INDEX('Non-Labor Expenditures'!$E$7:$AB$91,MATCH($C587,'Non-Labor Expenditures'!$D$7:$D$91,0),MATCH($G587,'Non-Labor Expenditures'!$E$5:$AB$5,0)),"NA")</f>
        <v>31875.350716647496</v>
      </c>
      <c r="Q587" s="166">
        <f t="shared" si="1654"/>
        <v>269.0130029255422</v>
      </c>
      <c r="R587" s="172">
        <f t="shared" si="1665"/>
        <v>-0.30462534810577985</v>
      </c>
      <c r="S587" s="172">
        <f t="shared" si="1670"/>
        <v>-1.7567913160892721E-3</v>
      </c>
      <c r="T587" s="172"/>
      <c r="U587" s="172"/>
      <c r="V587" s="166">
        <f t="shared" si="1635"/>
        <v>30567.220556004406</v>
      </c>
      <c r="W587" s="170"/>
      <c r="X587" s="174">
        <v>1277.1866042047593</v>
      </c>
      <c r="Y587" s="175"/>
      <c r="Z587" s="175">
        <f t="shared" si="1671"/>
        <v>0</v>
      </c>
      <c r="AA587" s="175"/>
      <c r="AB587" s="175"/>
      <c r="AC587" s="170">
        <f t="shared" si="1677"/>
        <v>85054.999558820637</v>
      </c>
      <c r="AD587" s="175">
        <f t="shared" si="1666"/>
        <v>-0.11662943194329224</v>
      </c>
      <c r="AE587" s="118"/>
      <c r="AF587" s="119"/>
      <c r="AG587" s="121">
        <f t="shared" si="1667"/>
        <v>393.71117305063387</v>
      </c>
      <c r="AH587" s="119">
        <f>+AZ587/$BB$59</f>
        <v>5.5427194246248845E-3</v>
      </c>
      <c r="AI587" s="119"/>
      <c r="AJ587" s="176">
        <f t="shared" si="1672"/>
        <v>2.1822305665595976</v>
      </c>
      <c r="AK587" s="176">
        <f t="shared" si="1673"/>
        <v>0</v>
      </c>
      <c r="AL587" s="120">
        <f t="shared" si="1655"/>
        <v>0.26585654462946506</v>
      </c>
      <c r="AM587" s="120">
        <f t="shared" si="1656"/>
        <v>0.37476163520057132</v>
      </c>
      <c r="AN587" s="120">
        <f t="shared" si="1657"/>
        <v>0.35938182016996356</v>
      </c>
      <c r="AO587" s="120">
        <f t="shared" si="1661"/>
        <v>-0.19970018853395166</v>
      </c>
      <c r="AP587" s="173">
        <f t="shared" si="1678"/>
        <v>99.706191747494486</v>
      </c>
      <c r="AQ587" s="175">
        <f t="shared" si="1679"/>
        <v>-0.19970018853395166</v>
      </c>
      <c r="AR587" s="177">
        <f>+AC587/$AE$59</f>
        <v>5.7670555881621311E-3</v>
      </c>
      <c r="AS587" s="177">
        <f t="shared" si="1674"/>
        <v>-1.151682088241757E-3</v>
      </c>
      <c r="AT587" s="177"/>
      <c r="AU587" s="177"/>
      <c r="AV587" s="177"/>
      <c r="AW587" s="190"/>
      <c r="AX587" s="120"/>
      <c r="AY587" s="120"/>
      <c r="AZ587" s="118">
        <f>INDEX('Total Customers'!$E$7:$E$91,MATCH(Calculation!$C587,'Total Customers'!$D$7:$D$91,0))</f>
        <v>216034</v>
      </c>
      <c r="BA587" s="119">
        <f t="shared" si="1636"/>
        <v>2.3820900422725426E-3</v>
      </c>
      <c r="BB587" s="118"/>
      <c r="BC587" s="121"/>
      <c r="BD587" s="118"/>
      <c r="BE587" s="119"/>
      <c r="BF587" s="119"/>
      <c r="BG587" s="173"/>
      <c r="BH587" s="173"/>
      <c r="BI587" s="173"/>
      <c r="BJ587" s="173"/>
      <c r="BK587" s="173"/>
      <c r="BL587" s="173"/>
      <c r="BM587" s="173"/>
      <c r="BN587" s="173"/>
      <c r="BO587" s="173"/>
      <c r="BP587" s="173"/>
      <c r="BQ587" s="118"/>
      <c r="BR587" s="118"/>
      <c r="BS587" s="118">
        <f>INDEX('Dist. Plant Gas Additions'!$E$7:$AE$91,MATCH($C587,'Dist. Plant Gas Additions'!$D$7:$D$91,0),MATCH(Calculation!$G587,'Dist. Plant Gas Additions'!$E$5:$AE$5,0))</f>
        <v>34726</v>
      </c>
      <c r="BT587" s="118">
        <f>INDEX('Gen. Plant Additions'!$E$7:$AE$91,MATCH($C587,'Gen. Plant Additions'!$D$7:$D$91,0),MATCH(Calculation!$G587,'Gen. Plant Additions'!$E$5:$AE$5,0))</f>
        <v>3972</v>
      </c>
      <c r="BU587" s="118"/>
      <c r="BV587" s="118"/>
      <c r="BW587" s="118"/>
      <c r="BX587" s="118"/>
      <c r="BY587" s="183"/>
      <c r="BZ587" s="183"/>
      <c r="CA587" s="178"/>
      <c r="CB587" s="184"/>
      <c r="CC587" s="185"/>
      <c r="CD587" s="185"/>
      <c r="CE587" s="118"/>
      <c r="CF587" s="118"/>
      <c r="CG587" s="118"/>
      <c r="CH587" s="118"/>
      <c r="CI587" s="121">
        <v>2021</v>
      </c>
      <c r="CJ587" s="118"/>
      <c r="CK587" s="118"/>
      <c r="CL587" s="118"/>
      <c r="CM587" s="183"/>
      <c r="CN587" s="118">
        <f t="shared" si="1637"/>
        <v>38698</v>
      </c>
      <c r="CO587" s="118">
        <f t="shared" si="1638"/>
        <v>41.475955866542549</v>
      </c>
      <c r="CP587" s="186">
        <f>+(51-23)/(51-23*0.75)</f>
        <v>0.82962962962962961</v>
      </c>
      <c r="CQ587" s="118">
        <f>CQ564*CP587+CO565*CP586+CO566*CP585+CO567*CP584+CO568*CP583+CO569*CP582+CO570*CP581+CO571*CP580+CO572*CP579+CO573*CP578+CO574*CP577+CO575*CP576+CO576*CP575+CO577*CP574+CO578*CP573+CO569*CP572+CO580*CP571+CO581*CP570+CO582*CP569+CO583*CP568+CO584*CP567+CO585*CP566+CO587+CO586*CP565</f>
        <v>1277.1866042047593</v>
      </c>
      <c r="CR587" s="119"/>
      <c r="CS587" s="118"/>
      <c r="CT587" s="177">
        <f t="shared" si="1640"/>
        <v>9.0054486296482824E-3</v>
      </c>
      <c r="CU587" s="177">
        <f t="shared" si="1648"/>
        <v>9.3197927414592468E-3</v>
      </c>
      <c r="CV587" s="119">
        <f>VLOOKUP($H587,RoR!$E:$F,2,FALSE)</f>
        <v>2.7033333333333336E-2</v>
      </c>
      <c r="CW587" s="177"/>
      <c r="CX587" s="177"/>
      <c r="CY587" s="177">
        <f t="shared" si="1649"/>
        <v>2.158214886707438E-2</v>
      </c>
      <c r="CZ587" s="177">
        <f t="shared" si="1650"/>
        <v>7.433422950153494E-2</v>
      </c>
      <c r="DA587" s="187">
        <f t="shared" si="1641"/>
        <v>0.90175000000000005</v>
      </c>
      <c r="DB587" s="188">
        <f t="shared" si="1642"/>
        <v>1.8969932656739068</v>
      </c>
      <c r="DC587" s="188">
        <f t="shared" si="1643"/>
        <v>5.0215782983970621E-2</v>
      </c>
      <c r="DD587" s="188">
        <f t="shared" si="1644"/>
        <v>0.655952481704143</v>
      </c>
      <c r="DE587" s="188">
        <f t="shared" si="1645"/>
        <v>6.2485378865697057E-2</v>
      </c>
      <c r="DF587" s="189">
        <f>DF586</f>
        <v>0.26200000000000001</v>
      </c>
      <c r="DG587" s="189">
        <v>0.375</v>
      </c>
      <c r="DH587" s="190">
        <f t="shared" si="1647"/>
        <v>24.513788128533797</v>
      </c>
      <c r="DI587" s="190"/>
      <c r="DJ587" s="177">
        <f t="shared" ref="DJ587" si="1706">LN(DH587/DH586)</f>
        <v>0.1405238759576217</v>
      </c>
      <c r="DK587" s="189">
        <f>VLOOKUP($H587,RoR!$E:$F,2,FALSE)</f>
        <v>2.7033333333333336E-2</v>
      </c>
      <c r="DL587" s="191">
        <f>HLOOKUP($H587,'GDP-PI'!$D$8:$CR$11,3,FALSE)</f>
        <v>4.2834637353352578E-2</v>
      </c>
      <c r="DM587" s="189">
        <f>VLOOKUP(H587,'HW Dx Data'!$E:$F,2,FALSE)</f>
        <v>933.02249921662576</v>
      </c>
      <c r="DN587" s="183">
        <f>VLOOKUP(H587,'ECI - Input Price'!$G$17:$H$37,2,FALSE)</f>
        <v>145.47500000000002</v>
      </c>
      <c r="DO587" s="177">
        <f t="shared" ref="DO587" si="1707">LN(DN587/DN586)</f>
        <v>3.5152696992481205E-2</v>
      </c>
      <c r="DP587" s="183">
        <f>HLOOKUP(H587,'GDP-PI'!$8:$9,2,FALSE)</f>
        <v>118.49</v>
      </c>
      <c r="DQ587" s="177">
        <f t="shared" ref="DQ587" si="1708">LN(DP587/DP586)</f>
        <v>4.194261824609434E-2</v>
      </c>
    </row>
    <row r="588" spans="1:121" s="167" customFormat="1" ht="21" x14ac:dyDescent="0.35">
      <c r="A588" s="167" t="s">
        <v>70</v>
      </c>
      <c r="B588" s="168" t="s">
        <v>70</v>
      </c>
      <c r="C588" s="168">
        <v>4061687</v>
      </c>
      <c r="D588" s="168" t="s">
        <v>136</v>
      </c>
      <c r="E588" s="168" t="s">
        <v>126</v>
      </c>
      <c r="F588" s="168"/>
      <c r="G588" s="168" t="s">
        <v>4</v>
      </c>
      <c r="H588" s="169">
        <v>1998</v>
      </c>
      <c r="I588" s="170"/>
      <c r="J588" s="166"/>
      <c r="K588" s="166"/>
      <c r="L588" s="166"/>
      <c r="M588" s="166"/>
      <c r="N588" s="196"/>
      <c r="O588" s="166"/>
      <c r="P588" s="172"/>
      <c r="Q588" s="172"/>
      <c r="R588" s="172"/>
      <c r="S588" s="166"/>
      <c r="T588" s="172"/>
      <c r="U588" s="172"/>
      <c r="V588" s="166"/>
      <c r="W588" s="170"/>
      <c r="X588" s="174">
        <v>4286.1412148641784</v>
      </c>
      <c r="Y588" s="175"/>
      <c r="Z588" s="166"/>
      <c r="AA588" s="175"/>
      <c r="AB588" s="175"/>
      <c r="AC588" s="170">
        <f t="shared" si="1677"/>
        <v>0</v>
      </c>
      <c r="AD588" s="170"/>
      <c r="AE588" s="170"/>
      <c r="AF588" s="119"/>
      <c r="AG588" s="174"/>
      <c r="AH588" s="175"/>
      <c r="AI588" s="175"/>
      <c r="AJ588" s="174"/>
      <c r="AK588" s="174"/>
      <c r="AL588" s="120"/>
      <c r="AM588" s="120"/>
      <c r="AN588" s="120"/>
      <c r="AO588" s="120"/>
      <c r="AP588" s="120"/>
      <c r="AQ588" s="175">
        <f>AVERAGE(AQ597:AQ611)</f>
        <v>-1.7050156181913547E-2</v>
      </c>
      <c r="AR588" s="120"/>
      <c r="AS588" s="120"/>
      <c r="AT588" s="120"/>
      <c r="AU588" s="120"/>
      <c r="AV588" s="120"/>
      <c r="AW588" s="120"/>
      <c r="AX588" s="120"/>
      <c r="AY588" s="120"/>
      <c r="AZ588" s="118">
        <f>IFERROR(INDEX('Total Customers'!$F$7:$AB$91,MATCH($C588,'Total Customers'!$D$7:$D$91,0),MATCH($G588,'Total Customers'!$F$5:$AB$5,0)),"NA")</f>
        <v>735546</v>
      </c>
      <c r="BA588" s="119"/>
      <c r="BB588" s="119"/>
      <c r="BC588" s="121"/>
      <c r="BD588" s="119"/>
      <c r="BE588" s="119"/>
      <c r="BF588" s="119"/>
      <c r="BG588" s="173"/>
      <c r="BH588" s="173"/>
      <c r="BI588" s="173"/>
      <c r="BJ588" s="173"/>
      <c r="BK588" s="173"/>
      <c r="BL588" s="173"/>
      <c r="BM588" s="173"/>
      <c r="BN588" s="173"/>
      <c r="BO588" s="173"/>
      <c r="BP588" s="173"/>
      <c r="BQ588" s="118">
        <f>INDEX('Gross Dx Plant'!$E$7:$AD$91,MATCH($C588,'Gross Dx Plant'!$D$7:$D$91,0),MATCH(Calculation!$G588,'Gross Dx Plant'!$E$5:$AD$5,0))</f>
        <v>1102672</v>
      </c>
      <c r="BR588" s="118">
        <f>INDEX('Gross Gen Plant'!$E$7:$AD$91,MATCH($C588,'Gross Gen Plant'!$D$7:$D$91,0),MATCH(Calculation!$G588,'Gross Gen Plant'!$E$5:$AD$5,0))</f>
        <v>53228</v>
      </c>
      <c r="BS588" s="118">
        <f>INDEX('Dist. Plant Gas Additions'!$F$7:$AE$91,MATCH($C588,'Dist. Plant Gas Additions'!$D$7:$D$91,0),MATCH(Calculation!$G588,'Dist. Plant Gas Additions'!$F$5:$AE$5,0))</f>
        <v>43375</v>
      </c>
      <c r="BT588" s="118">
        <f>INDEX('Gen. Plant Additions'!$F$7:$AE$91,MATCH($C588,'Gen. Plant Additions'!$D$7:$D$91,0),MATCH(Calculation!$G588,'Gen. Plant Additions'!$F$5:$AE$5,0))</f>
        <v>2718</v>
      </c>
      <c r="BU588" s="118" t="e">
        <f>INDEX('Dist Plant Depreciation'!$E$7:$AA$94,MATCH($C588,'Dist Plant Depreciation'!$D$7:$D$94,0),MATCH(#REF!,'Dist Plant Depreciation'!$E$5:$AA$5,0))</f>
        <v>#REF!</v>
      </c>
      <c r="BV588" s="118" t="e">
        <f>INDEX('Gen. Plant Depreciation'!$E$7:$AA$94,MATCH($C588,'Gen. Plant Depreciation'!$D$7:$D$94,0),MATCH(#REF!,'Gen. Plant Depreciation'!$E$5:$AA$5,0))</f>
        <v>#REF!</v>
      </c>
      <c r="BW588" s="118">
        <f>INDEX('Dist Plant Depreciation'!$E$7:$AD$94,MATCH($C588,'Dist Plant Depreciation'!$D$7:$D$94,0),MATCH(Calculation!$G588,'Dist Plant Depreciation'!$E$5:$AD$5,0))</f>
        <v>283296</v>
      </c>
      <c r="BX588" s="118">
        <f>INDEX('Gen. Plant Depreciation'!$E$7:$AD$94,MATCH($C588,'Gen. Plant Depreciation'!$D$7:$D$94,0),MATCH(Calculation!$G588,'Gen. Plant Depreciation'!$E$5:$AD$5,0))</f>
        <v>8006</v>
      </c>
      <c r="BY588" s="118"/>
      <c r="BZ588" s="118"/>
      <c r="CA588" s="118"/>
      <c r="CB588" s="118"/>
      <c r="CC588" s="118"/>
      <c r="CD588" s="118"/>
      <c r="CE588" s="118">
        <f>INDEX('Gross Dx Plant'!$E$7:$AD$91,MATCH($C588,'Gross Dx Plant'!$D$7:$D$91,0),MATCH(Calculation!$G588,'Gross Dx Plant'!$E$5:$AD$5,0))</f>
        <v>1102672</v>
      </c>
      <c r="CF588" s="118">
        <f>INDEX('Gross Gen Plant'!$E$7:$AD$91,MATCH($C588,'Gross Gen Plant'!$D$7:$D$91,0),MATCH(Calculation!$G588,'Gross Gen Plant'!$E$5:$AD$5,0))</f>
        <v>53228</v>
      </c>
      <c r="CG588" s="118">
        <f t="shared" si="1516"/>
        <v>864598</v>
      </c>
      <c r="CH588" s="118"/>
      <c r="CI588" s="121">
        <v>1998</v>
      </c>
      <c r="CJ588" s="118">
        <f>BQ588+BR588</f>
        <v>1155900</v>
      </c>
      <c r="CK588" s="118">
        <f>283296+8006</f>
        <v>291302</v>
      </c>
      <c r="CL588" s="118">
        <f>+CJ588-CK588</f>
        <v>864598</v>
      </c>
      <c r="CM588" s="118">
        <f>CL588/$CD$36</f>
        <v>4286.1412148641784</v>
      </c>
      <c r="CN588" s="183"/>
      <c r="CO588" s="183"/>
      <c r="CP588" s="186">
        <v>1</v>
      </c>
      <c r="CQ588" s="118">
        <f>+CM588</f>
        <v>4286.1412148641784</v>
      </c>
      <c r="CR588" s="119"/>
      <c r="CS588" s="119"/>
      <c r="CT588" s="177"/>
      <c r="CU588" s="177"/>
      <c r="CV588" s="119" t="e">
        <f>VLOOKUP($H588,RoR!$E:$F,2,FALSE)</f>
        <v>#N/A</v>
      </c>
      <c r="CW588" s="177">
        <v>1.1028127770464469E-2</v>
      </c>
      <c r="CX588" s="177"/>
      <c r="CY588" s="177"/>
      <c r="CZ588" s="177"/>
      <c r="DA588" s="187"/>
      <c r="DB588" s="190" t="e">
        <f>2/(DK588*39)</f>
        <v>#N/A</v>
      </c>
      <c r="DC588" s="188" t="e">
        <f>+(DK588*40-(1+DK588))/(DK588*40)</f>
        <v>#N/A</v>
      </c>
      <c r="DD588" s="188" t="e">
        <f>+(1-(1/(1+DK588)^40))</f>
        <v>#N/A</v>
      </c>
      <c r="DE588" s="188" t="e">
        <f>+DD588*DC588*DB588</f>
        <v>#N/A</v>
      </c>
      <c r="DF588" s="189">
        <f>INDEX('State Tax Lookup'!$D$7:$Z$91,MATCH(Calculation!$C588,'State Tax Lookup'!$B$7:$B$91,0),MATCH($H588,'State Tax Lookup'!$D$6:$Z$6,0))</f>
        <v>0.39649667</v>
      </c>
      <c r="DG588" s="189">
        <v>0.375</v>
      </c>
      <c r="DH588" s="183"/>
      <c r="DI588" s="183"/>
      <c r="DJ588" s="177"/>
      <c r="DK588" s="189" t="e">
        <f>VLOOKUP($H588,RoR!$E:$F,2,FALSE)</f>
        <v>#N/A</v>
      </c>
      <c r="DL588" s="191">
        <f>HLOOKUP($H588,'GDP-PI'!$D$8:$CQ$11,3,FALSE)</f>
        <v>1.1028127770464469E-2</v>
      </c>
      <c r="DM588" s="189">
        <f>VLOOKUP(H588,'HW Dx Data'!$E:$F,2,FALSE)</f>
        <v>329.24564746449528</v>
      </c>
      <c r="DN588" s="183" t="e">
        <f>VLOOKUP(H588,'ECI - Input Price'!$G$17:$H$37,2,FALSE)</f>
        <v>#N/A</v>
      </c>
      <c r="DO588" s="177"/>
      <c r="DP588" s="183">
        <f>HLOOKUP(H588,'GDP-PI'!$8:$9,2,FALSE)</f>
        <v>75.266999999999996</v>
      </c>
    </row>
    <row r="589" spans="1:121" s="167" customFormat="1" ht="21" x14ac:dyDescent="0.35">
      <c r="A589" s="167" t="s">
        <v>70</v>
      </c>
      <c r="B589" s="168" t="s">
        <v>70</v>
      </c>
      <c r="C589" s="168">
        <v>4061687</v>
      </c>
      <c r="D589" s="168" t="s">
        <v>136</v>
      </c>
      <c r="E589" s="168" t="s">
        <v>126</v>
      </c>
      <c r="F589" s="168"/>
      <c r="G589" s="168" t="s">
        <v>5</v>
      </c>
      <c r="H589" s="169">
        <v>1999</v>
      </c>
      <c r="I589" s="170"/>
      <c r="J589" s="166"/>
      <c r="K589" s="170"/>
      <c r="L589" s="170"/>
      <c r="M589" s="166"/>
      <c r="N589" s="173"/>
      <c r="O589" s="170"/>
      <c r="P589" s="177"/>
      <c r="Q589" s="177"/>
      <c r="R589" s="177"/>
      <c r="S589" s="195"/>
      <c r="T589" s="177"/>
      <c r="U589" s="177"/>
      <c r="V589" s="166">
        <f t="shared" ref="V589:V611" si="1709">+CQ588*DH589</f>
        <v>0</v>
      </c>
      <c r="W589" s="170"/>
      <c r="X589" s="174">
        <v>4405.1973609272891</v>
      </c>
      <c r="Y589" s="175">
        <v>2.7398217780165494E-2</v>
      </c>
      <c r="Z589" s="175"/>
      <c r="AA589" s="175"/>
      <c r="AB589" s="175"/>
      <c r="AC589" s="170">
        <f t="shared" si="1677"/>
        <v>0</v>
      </c>
      <c r="AD589" s="175"/>
      <c r="AE589" s="170"/>
      <c r="AF589" s="119"/>
      <c r="AG589" s="174"/>
      <c r="AH589" s="175"/>
      <c r="AI589" s="175"/>
      <c r="AJ589" s="174"/>
      <c r="AK589" s="174"/>
      <c r="AL589" s="120"/>
      <c r="AM589" s="120"/>
      <c r="AN589" s="120"/>
      <c r="AO589" s="120"/>
      <c r="AP589" s="120"/>
      <c r="AQ589" s="175"/>
      <c r="AR589" s="120"/>
      <c r="AS589" s="120"/>
      <c r="AT589" s="120"/>
      <c r="AU589" s="120"/>
      <c r="AV589" s="120"/>
      <c r="AW589" s="120"/>
      <c r="AX589" s="120"/>
      <c r="AY589" s="120"/>
      <c r="AZ589" s="118">
        <f>IFERROR(INDEX('Total Customers'!$F$7:$AB$91,MATCH($C589,'Total Customers'!$D$7:$D$91,0),MATCH($G589,'Total Customers'!$F$5:$AB$5,0)),"NA")</f>
        <v>745094</v>
      </c>
      <c r="BA589" s="119">
        <f t="shared" ref="BA589:BA611" si="1710">LN(AZ589/AZ588)</f>
        <v>1.2897304342975931E-2</v>
      </c>
      <c r="BB589" s="119"/>
      <c r="BC589" s="121"/>
      <c r="BD589" s="119"/>
      <c r="BE589" s="119"/>
      <c r="BF589" s="119"/>
      <c r="BG589" s="173"/>
      <c r="BH589" s="173"/>
      <c r="BI589" s="173"/>
      <c r="BJ589" s="173"/>
      <c r="BK589" s="173"/>
      <c r="BL589" s="173"/>
      <c r="BM589" s="173"/>
      <c r="BN589" s="173"/>
      <c r="BO589" s="173"/>
      <c r="BP589" s="173"/>
      <c r="BQ589" s="118"/>
      <c r="BR589" s="118"/>
      <c r="BS589" s="118">
        <f>INDEX('Dist. Plant Gas Additions'!$F$7:$AE$91,MATCH($C589,'Dist. Plant Gas Additions'!$D$7:$D$91,0),MATCH(Calculation!$G589,'Dist. Plant Gas Additions'!$F$5:$AE$5,0))</f>
        <v>45387</v>
      </c>
      <c r="BT589" s="118">
        <f>INDEX('Gen. Plant Additions'!$F$7:$AE$91,MATCH($C589,'Gen. Plant Additions'!$D$7:$D$91,0),MATCH(Calculation!$G589,'Gen. Plant Additions'!$F$5:$AE$5,0))</f>
        <v>1686</v>
      </c>
      <c r="BU589" s="118"/>
      <c r="BV589" s="118"/>
      <c r="BW589" s="118">
        <f>INDEX('Dist Plant Depreciation'!$E$7:$AD$94,MATCH($C589,'Dist Plant Depreciation'!$D$7:$D$94,0),MATCH(Calculation!$G589,'Dist Plant Depreciation'!$E$5:$AD$5,0))</f>
        <v>302879</v>
      </c>
      <c r="BX589" s="118">
        <f>INDEX('Gen. Plant Depreciation'!$E$7:$AD$94,MATCH($C589,'Gen. Plant Depreciation'!$D$7:$D$94,0),MATCH(Calculation!$G589,'Gen. Plant Depreciation'!$E$5:$AD$5,0))</f>
        <v>9189</v>
      </c>
      <c r="BY589" s="118"/>
      <c r="BZ589" s="118"/>
      <c r="CA589" s="118"/>
      <c r="CB589" s="118"/>
      <c r="CC589" s="118"/>
      <c r="CD589" s="118"/>
      <c r="CE589" s="118">
        <f>INDEX('Gross Dx Plant'!$E$7:$AD$91,MATCH($C589,'Gross Dx Plant'!$D$7:$D$91,0),MATCH(Calculation!$G589,'Gross Dx Plant'!$E$5:$AD$5,0))</f>
        <v>1138954</v>
      </c>
      <c r="CF589" s="118">
        <f>INDEX('Gross Gen Plant'!$E$7:$AD$91,MATCH($C589,'Gross Gen Plant'!$D$7:$D$91,0),MATCH(Calculation!$G589,'Gross Gen Plant'!$E$5:$AD$5,0))</f>
        <v>54069</v>
      </c>
      <c r="CG589" s="118">
        <f t="shared" si="1516"/>
        <v>880955</v>
      </c>
      <c r="CH589" s="118"/>
      <c r="CI589" s="121">
        <v>1999</v>
      </c>
      <c r="CJ589" s="118"/>
      <c r="CK589" s="118"/>
      <c r="CL589" s="118"/>
      <c r="CM589" s="183"/>
      <c r="CN589" s="118">
        <f t="shared" ref="CN589:CN611" si="1711">+BT589+BS589</f>
        <v>47073</v>
      </c>
      <c r="CO589" s="118">
        <f t="shared" ref="CO589:CO611" si="1712">+CN589/$DM589</f>
        <v>140.38023170920167</v>
      </c>
      <c r="CP589" s="186">
        <v>0.99502487562189057</v>
      </c>
      <c r="CQ589" s="118">
        <f>+CQ588*CP589+CO589</f>
        <v>4405.1973609272891</v>
      </c>
      <c r="CR589" s="119">
        <f t="shared" ref="CR589:CR610" si="1713">LN(CQ589/CQ588)</f>
        <v>2.7398217780165494E-2</v>
      </c>
      <c r="CS589" s="119"/>
      <c r="CT589" s="177">
        <f t="shared" ref="CT589:CT611" si="1714">+(CQ588-CQ589+CO589)/CQ588</f>
        <v>4.9751243781095879E-3</v>
      </c>
      <c r="CU589" s="177"/>
      <c r="CV589" s="119">
        <f>VLOOKUP($H589,RoR!$E:$F,2,FALSE)</f>
        <v>7.0416666666666669E-2</v>
      </c>
      <c r="CW589" s="177">
        <v>1.4335631817396832E-2</v>
      </c>
      <c r="CX589" s="177">
        <f>+CV589-CW589</f>
        <v>5.6081034849269837E-2</v>
      </c>
      <c r="CY589" s="177"/>
      <c r="CZ589" s="177"/>
      <c r="DA589" s="187">
        <f t="shared" ref="DA589:DA611" si="1715">1-DF589*DG589</f>
        <v>0.85131374874999999</v>
      </c>
      <c r="DB589" s="188">
        <f t="shared" ref="DB589:DB611" si="1716">2/(DK589*39)</f>
        <v>0.72826581702321336</v>
      </c>
      <c r="DC589" s="188">
        <f t="shared" ref="DC589:DC611" si="1717">+(DK589*40-(1+DK589))/(DK589*40)</f>
        <v>0.61997041420118348</v>
      </c>
      <c r="DD589" s="188">
        <f t="shared" ref="DD589:DD611" si="1718">+(1-(1/(1+DK589)^40))</f>
        <v>0.93425155319585029</v>
      </c>
      <c r="DE589" s="188">
        <f t="shared" ref="DE589:DE611" si="1719">+DD589*DC589*DB589</f>
        <v>0.42181762214141483</v>
      </c>
      <c r="DF589" s="189">
        <f>INDEX('State Tax Lookup'!$D$7:$Z$91,MATCH(Calculation!$C589,'State Tax Lookup'!$B$7:$B$91,0),MATCH($H589,'State Tax Lookup'!$D$6:$Z$6,0))</f>
        <v>0.39649667</v>
      </c>
      <c r="DG589" s="189">
        <v>0.375</v>
      </c>
      <c r="DH589" s="190"/>
      <c r="DI589" s="190"/>
      <c r="DJ589" s="177"/>
      <c r="DK589" s="189">
        <f>VLOOKUP($H589,RoR!$E:$F,2,FALSE)</f>
        <v>7.0416666666666669E-2</v>
      </c>
      <c r="DL589" s="191">
        <f>HLOOKUP($H589,'GDP-PI'!$D$8:$CQ$11,3,FALSE)</f>
        <v>1.4335631817396832E-2</v>
      </c>
      <c r="DM589" s="189">
        <f>VLOOKUP(H589,'HW Dx Data'!$E:$F,2,FALSE)</f>
        <v>335.32499146683239</v>
      </c>
      <c r="DN589" s="183" t="e">
        <f>VLOOKUP(H589,'ECI - Input Price'!$G$17:$H$37,2,FALSE)</f>
        <v>#N/A</v>
      </c>
      <c r="DO589" s="177"/>
      <c r="DP589" s="183">
        <f>HLOOKUP(H589,'GDP-PI'!$8:$9,2,FALSE)</f>
        <v>76.346000000000004</v>
      </c>
    </row>
    <row r="590" spans="1:121" s="167" customFormat="1" ht="21" x14ac:dyDescent="0.35">
      <c r="A590" s="167" t="s">
        <v>70</v>
      </c>
      <c r="B590" s="168" t="s">
        <v>70</v>
      </c>
      <c r="C590" s="168">
        <v>4061687</v>
      </c>
      <c r="D590" s="168" t="s">
        <v>136</v>
      </c>
      <c r="E590" s="168" t="s">
        <v>126</v>
      </c>
      <c r="F590" s="168"/>
      <c r="G590" s="168" t="s">
        <v>6</v>
      </c>
      <c r="H590" s="169">
        <v>2000</v>
      </c>
      <c r="I590" s="170"/>
      <c r="J590" s="166"/>
      <c r="K590" s="166"/>
      <c r="L590" s="166"/>
      <c r="M590" s="166"/>
      <c r="N590" s="196"/>
      <c r="O590" s="166"/>
      <c r="P590" s="166"/>
      <c r="Q590" s="166"/>
      <c r="R590" s="166"/>
      <c r="S590" s="166"/>
      <c r="T590" s="166"/>
      <c r="U590" s="166"/>
      <c r="V590" s="166">
        <f t="shared" si="1709"/>
        <v>0</v>
      </c>
      <c r="W590" s="170"/>
      <c r="X590" s="174">
        <v>4521.6810860377327</v>
      </c>
      <c r="Y590" s="175">
        <v>2.6098784160951093E-2</v>
      </c>
      <c r="Z590" s="175"/>
      <c r="AA590" s="175"/>
      <c r="AB590" s="175"/>
      <c r="AC590" s="170">
        <f t="shared" si="1677"/>
        <v>0</v>
      </c>
      <c r="AD590" s="175"/>
      <c r="AE590" s="170"/>
      <c r="AF590" s="170"/>
      <c r="AG590" s="174"/>
      <c r="AH590" s="175"/>
      <c r="AI590" s="175"/>
      <c r="AJ590" s="174"/>
      <c r="AK590" s="174"/>
      <c r="AL590" s="120"/>
      <c r="AM590" s="120"/>
      <c r="AN590" s="120"/>
      <c r="AO590" s="120"/>
      <c r="AP590" s="120"/>
      <c r="AQ590" s="175"/>
      <c r="AR590" s="120"/>
      <c r="AS590" s="120"/>
      <c r="AT590" s="120"/>
      <c r="AU590" s="120"/>
      <c r="AV590" s="120"/>
      <c r="AW590" s="120"/>
      <c r="AX590" s="120"/>
      <c r="AY590" s="120"/>
      <c r="AZ590" s="118">
        <f>IFERROR(INDEX('Total Customers'!$F$7:$AB$91,MATCH($C590,'Total Customers'!$D$7:$D$91,0),MATCH($G590,'Total Customers'!$F$5:$AB$5,0)),"NA")</f>
        <v>736113</v>
      </c>
      <c r="BA590" s="119">
        <f t="shared" si="1710"/>
        <v>-1.2126745364224353E-2</v>
      </c>
      <c r="BB590" s="119"/>
      <c r="BC590" s="121"/>
      <c r="BD590" s="119"/>
      <c r="BE590" s="119"/>
      <c r="BF590" s="119"/>
      <c r="BG590" s="173"/>
      <c r="BH590" s="173"/>
      <c r="BI590" s="173"/>
      <c r="BJ590" s="173"/>
      <c r="BK590" s="173"/>
      <c r="BL590" s="173"/>
      <c r="BM590" s="173"/>
      <c r="BN590" s="173"/>
      <c r="BO590" s="173"/>
      <c r="BP590" s="173"/>
      <c r="BQ590" s="118"/>
      <c r="BR590" s="118"/>
      <c r="BS590" s="118">
        <f>INDEX('Dist. Plant Gas Additions'!$F$7:$AE$91,MATCH($C590,'Dist. Plant Gas Additions'!$D$7:$D$91,0),MATCH(Calculation!$G590,'Dist. Plant Gas Additions'!$F$5:$AE$5,0))</f>
        <v>45762</v>
      </c>
      <c r="BT590" s="118">
        <f>INDEX('Gen. Plant Additions'!$F$7:$AE$91,MATCH($C590,'Gen. Plant Additions'!$D$7:$D$91,0),MATCH(Calculation!$G590,'Gen. Plant Additions'!$F$5:$AE$5,0))</f>
        <v>2459</v>
      </c>
      <c r="BU590" s="118"/>
      <c r="BV590" s="118"/>
      <c r="BW590" s="118" t="str">
        <f>INDEX('Dist Plant Depreciation'!$E$7:$AD$94,MATCH($C590,'Dist Plant Depreciation'!$D$7:$D$94,0),MATCH(Calculation!$G590,'Dist Plant Depreciation'!$E$5:$AD$5,0))</f>
        <v>NA</v>
      </c>
      <c r="BX590" s="118" t="str">
        <f>INDEX('Gen. Plant Depreciation'!$E$7:$AD$94,MATCH($C590,'Gen. Plant Depreciation'!$D$7:$D$94,0),MATCH(Calculation!$G590,'Gen. Plant Depreciation'!$E$5:$AD$5,0))</f>
        <v>NA</v>
      </c>
      <c r="BY590" s="118"/>
      <c r="BZ590" s="118"/>
      <c r="CA590" s="118"/>
      <c r="CB590" s="118"/>
      <c r="CC590" s="118"/>
      <c r="CD590" s="118"/>
      <c r="CE590" s="118">
        <f>INDEX('Gross Dx Plant'!$E$7:$AD$91,MATCH($C590,'Gross Dx Plant'!$D$7:$D$91,0),MATCH(Calculation!$G590,'Gross Dx Plant'!$E$5:$AD$5,0))</f>
        <v>1215470</v>
      </c>
      <c r="CF590" s="118">
        <f>INDEX('Gross Gen Plant'!$E$7:$AD$91,MATCH($C590,'Gross Gen Plant'!$D$7:$D$91,0),MATCH(Calculation!$G590,'Gross Gen Plant'!$E$5:$AD$5,0))</f>
        <v>64706</v>
      </c>
      <c r="CG590" s="118" t="str">
        <f t="shared" ref="CG590:CG655" si="1720">IF(OR(BW590="NA",BX590="NA"),"NA",(SUM(CE590:CF590)-SUM(BW590:BX590)))</f>
        <v>NA</v>
      </c>
      <c r="CH590" s="118"/>
      <c r="CI590" s="121">
        <v>2000</v>
      </c>
      <c r="CJ590" s="118"/>
      <c r="CK590" s="118"/>
      <c r="CL590" s="118"/>
      <c r="CM590" s="183"/>
      <c r="CN590" s="118">
        <f t="shared" si="1711"/>
        <v>48221</v>
      </c>
      <c r="CO590" s="118">
        <f t="shared" si="1712"/>
        <v>139.1524042830321</v>
      </c>
      <c r="CP590" s="186">
        <v>0.98989898989898994</v>
      </c>
      <c r="CQ590" s="118">
        <f>+CQ588*CP590+CO589*CP589+CO590</f>
        <v>4521.6810860377327</v>
      </c>
      <c r="CR590" s="119">
        <f t="shared" si="1713"/>
        <v>2.6098784160951093E-2</v>
      </c>
      <c r="CS590" s="119"/>
      <c r="CT590" s="177">
        <f t="shared" si="1714"/>
        <v>5.1458941144504671E-3</v>
      </c>
      <c r="CU590" s="177"/>
      <c r="CV590" s="119">
        <f>VLOOKUP($H590,RoR!$E:$F,2,FALSE)</f>
        <v>7.6225000000000001E-2</v>
      </c>
      <c r="CW590" s="177">
        <v>2.2568307442433211E-2</v>
      </c>
      <c r="CX590" s="177">
        <f t="shared" ref="CX590:CX610" si="1721">+CV590-CW590</f>
        <v>5.365669255756679E-2</v>
      </c>
      <c r="CY590" s="177"/>
      <c r="CZ590" s="177"/>
      <c r="DA590" s="187">
        <f t="shared" si="1715"/>
        <v>0.85131374874999999</v>
      </c>
      <c r="DB590" s="188">
        <f t="shared" si="1716"/>
        <v>0.67277207323124022</v>
      </c>
      <c r="DC590" s="188">
        <f t="shared" si="1717"/>
        <v>0.6470236142997704</v>
      </c>
      <c r="DD590" s="188">
        <f t="shared" si="1718"/>
        <v>0.94704866037543145</v>
      </c>
      <c r="DE590" s="188">
        <f t="shared" si="1719"/>
        <v>0.41224973107878493</v>
      </c>
      <c r="DF590" s="189">
        <f>INDEX('State Tax Lookup'!$D$7:$Z$91,MATCH(Calculation!$C590,'State Tax Lookup'!$B$7:$B$91,0),MATCH($H590,'State Tax Lookup'!$D$6:$Z$6,0))</f>
        <v>0.39649667</v>
      </c>
      <c r="DG590" s="189">
        <v>0.375</v>
      </c>
      <c r="DH590" s="190"/>
      <c r="DI590" s="190"/>
      <c r="DJ590" s="177"/>
      <c r="DK590" s="189">
        <f>VLOOKUP($H590,RoR!$E:$F,2,FALSE)</f>
        <v>7.6225000000000001E-2</v>
      </c>
      <c r="DL590" s="191">
        <f>HLOOKUP($H590,'GDP-PI'!$D$8:$CQ$11,3,FALSE)</f>
        <v>2.2568307442433211E-2</v>
      </c>
      <c r="DM590" s="189">
        <f>VLOOKUP(H590,'HW Dx Data'!$E:$F,2,FALSE)</f>
        <v>346.53371782150339</v>
      </c>
      <c r="DN590" s="183" t="e">
        <f>VLOOKUP(H590,'ECI - Input Price'!$G$17:$H$37,2,FALSE)</f>
        <v>#N/A</v>
      </c>
      <c r="DO590" s="177"/>
      <c r="DP590" s="183">
        <f>HLOOKUP(H590,'GDP-PI'!$8:$9,2,FALSE)</f>
        <v>78.069000000000003</v>
      </c>
    </row>
    <row r="591" spans="1:121" s="167" customFormat="1" ht="21" x14ac:dyDescent="0.35">
      <c r="A591" s="167" t="s">
        <v>70</v>
      </c>
      <c r="B591" s="168" t="s">
        <v>70</v>
      </c>
      <c r="C591" s="168">
        <v>4061687</v>
      </c>
      <c r="D591" s="168" t="s">
        <v>136</v>
      </c>
      <c r="E591" s="168" t="s">
        <v>126</v>
      </c>
      <c r="F591" s="168"/>
      <c r="G591" s="168" t="s">
        <v>7</v>
      </c>
      <c r="H591" s="169">
        <v>2001</v>
      </c>
      <c r="I591" s="170"/>
      <c r="J591" s="166"/>
      <c r="K591" s="166"/>
      <c r="L591" s="166"/>
      <c r="M591" s="166"/>
      <c r="N591" s="196"/>
      <c r="O591" s="166"/>
      <c r="P591" s="166"/>
      <c r="Q591" s="166"/>
      <c r="R591" s="166"/>
      <c r="S591" s="166"/>
      <c r="T591" s="166"/>
      <c r="U591" s="166"/>
      <c r="V591" s="166">
        <f t="shared" si="1709"/>
        <v>58024.264885085511</v>
      </c>
      <c r="W591" s="170"/>
      <c r="X591" s="174">
        <v>4535.820110173493</v>
      </c>
      <c r="Y591" s="175">
        <v>3.1220609998721927E-3</v>
      </c>
      <c r="Z591" s="175"/>
      <c r="AA591" s="175"/>
      <c r="AB591" s="175"/>
      <c r="AC591" s="170">
        <f t="shared" si="1677"/>
        <v>58024.264885085511</v>
      </c>
      <c r="AD591" s="175"/>
      <c r="AE591" s="170"/>
      <c r="AF591" s="170"/>
      <c r="AG591" s="174"/>
      <c r="AH591" s="175"/>
      <c r="AI591" s="175"/>
      <c r="AJ591" s="174"/>
      <c r="AK591" s="174"/>
      <c r="AL591" s="120"/>
      <c r="AM591" s="120"/>
      <c r="AN591" s="120"/>
      <c r="AO591" s="120"/>
      <c r="AP591" s="120"/>
      <c r="AQ591" s="175"/>
      <c r="AR591" s="120"/>
      <c r="AS591" s="120"/>
      <c r="AT591" s="120"/>
      <c r="AU591" s="120"/>
      <c r="AV591" s="120"/>
      <c r="AW591" s="120"/>
      <c r="AX591" s="120"/>
      <c r="AY591" s="120"/>
      <c r="AZ591" s="118">
        <f>IFERROR(INDEX('Total Customers'!$F$7:$AB$91,MATCH($C591,'Total Customers'!$D$7:$D$91,0),MATCH($G591,'Total Customers'!$F$5:$AB$5,0)),"NA")</f>
        <v>732604</v>
      </c>
      <c r="BA591" s="119">
        <f t="shared" si="1710"/>
        <v>-4.778329217378972E-3</v>
      </c>
      <c r="BB591" s="119"/>
      <c r="BC591" s="121"/>
      <c r="BD591" s="119"/>
      <c r="BE591" s="119"/>
      <c r="BF591" s="119"/>
      <c r="BG591" s="173"/>
      <c r="BH591" s="173"/>
      <c r="BI591" s="173"/>
      <c r="BJ591" s="173"/>
      <c r="BK591" s="173"/>
      <c r="BL591" s="173"/>
      <c r="BM591" s="173"/>
      <c r="BN591" s="173"/>
      <c r="BO591" s="173"/>
      <c r="BP591" s="173"/>
      <c r="BQ591" s="118"/>
      <c r="BR591" s="118"/>
      <c r="BS591" s="118">
        <f>INDEX('Dist. Plant Gas Additions'!$F$7:$AE$91,MATCH($C591,'Dist. Plant Gas Additions'!$D$7:$D$91,0),MATCH(Calculation!$G591,'Dist. Plant Gas Additions'!$F$5:$AE$5,0))</f>
        <v>12458</v>
      </c>
      <c r="BT591" s="118">
        <f>INDEX('Gen. Plant Additions'!$F$7:$AE$91,MATCH($C591,'Gen. Plant Additions'!$D$7:$D$91,0),MATCH(Calculation!$G591,'Gen. Plant Additions'!$F$5:$AE$5,0))</f>
        <v>798</v>
      </c>
      <c r="BU591" s="118"/>
      <c r="BV591" s="118"/>
      <c r="BW591" s="118">
        <f>INDEX('Dist Plant Depreciation'!$E$7:$AD$94,MATCH($C591,'Dist Plant Depreciation'!$D$7:$D$94,0),MATCH(Calculation!$G591,'Dist Plant Depreciation'!$E$5:$AD$5,0))</f>
        <v>245661</v>
      </c>
      <c r="BX591" s="118">
        <f>INDEX('Gen. Plant Depreciation'!$E$7:$AD$94,MATCH($C591,'Gen. Plant Depreciation'!$D$7:$D$94,0),MATCH(Calculation!$G591,'Gen. Plant Depreciation'!$E$5:$AD$5,0))</f>
        <v>7116</v>
      </c>
      <c r="BY591" s="118"/>
      <c r="BZ591" s="118"/>
      <c r="CA591" s="118"/>
      <c r="CB591" s="118"/>
      <c r="CC591" s="118"/>
      <c r="CD591" s="118"/>
      <c r="CE591" s="118">
        <f>INDEX('Gross Dx Plant'!$E$7:$AD$91,MATCH($C591,'Gross Dx Plant'!$D$7:$D$91,0),MATCH(Calculation!$G591,'Gross Dx Plant'!$E$5:$AD$5,0))</f>
        <v>1196417</v>
      </c>
      <c r="CF591" s="118">
        <f>INDEX('Gross Gen Plant'!$E$7:$AD$91,MATCH($C591,'Gross Gen Plant'!$D$7:$D$91,0),MATCH(Calculation!$G591,'Gross Gen Plant'!$E$5:$AD$5,0))</f>
        <v>53276</v>
      </c>
      <c r="CG591" s="118">
        <f t="shared" si="1720"/>
        <v>996916</v>
      </c>
      <c r="CH591" s="118"/>
      <c r="CI591" s="121">
        <v>2001</v>
      </c>
      <c r="CJ591" s="118"/>
      <c r="CK591" s="118"/>
      <c r="CL591" s="118"/>
      <c r="CM591" s="183"/>
      <c r="CN591" s="118">
        <f t="shared" si="1711"/>
        <v>13256</v>
      </c>
      <c r="CO591" s="118">
        <f t="shared" si="1712"/>
        <v>37.504875530391459</v>
      </c>
      <c r="CP591" s="186">
        <v>0.98461538461538467</v>
      </c>
      <c r="CQ591" s="118">
        <f>+CQ588*CP591+CO589*CP590+CO590*CP588+CO591</f>
        <v>4535.820110173493</v>
      </c>
      <c r="CR591" s="119">
        <f t="shared" si="1713"/>
        <v>3.1220609998721927E-3</v>
      </c>
      <c r="CS591" s="119"/>
      <c r="CT591" s="177">
        <f t="shared" si="1714"/>
        <v>5.1675142386271638E-3</v>
      </c>
      <c r="CU591" s="177">
        <f>+(CT591+CT590+CT589)/3</f>
        <v>5.096177577062406E-3</v>
      </c>
      <c r="CV591" s="119">
        <f>VLOOKUP($H591,RoR!$E:$F,2,FALSE)</f>
        <v>7.0824999999999999E-2</v>
      </c>
      <c r="CW591" s="177">
        <v>2.2454495382290052E-2</v>
      </c>
      <c r="CX591" s="177">
        <f t="shared" si="1721"/>
        <v>4.8370504617709947E-2</v>
      </c>
      <c r="CY591" s="177">
        <f>+$CX$35-CU591</f>
        <v>2.580576403147122E-2</v>
      </c>
      <c r="CZ591" s="177">
        <f>+((DM589/DM588-1)+(DM590/DM589-1)+(DM591/DM590-1))/3</f>
        <v>2.3947275901631187E-2</v>
      </c>
      <c r="DA591" s="187">
        <f t="shared" si="1715"/>
        <v>0.85131374874999999</v>
      </c>
      <c r="DB591" s="188">
        <f t="shared" si="1716"/>
        <v>0.72406708481540816</v>
      </c>
      <c r="DC591" s="188">
        <f t="shared" si="1717"/>
        <v>0.62201729615248857</v>
      </c>
      <c r="DD591" s="188">
        <f t="shared" si="1718"/>
        <v>0.9352469954311422</v>
      </c>
      <c r="DE591" s="188">
        <f t="shared" si="1719"/>
        <v>0.42121864641655071</v>
      </c>
      <c r="DF591" s="189">
        <f>INDEX('State Tax Lookup'!$D$7:$Z$91,MATCH(Calculation!$C591,'State Tax Lookup'!$B$7:$B$91,0),MATCH($H591,'State Tax Lookup'!$D$6:$Z$6,0))</f>
        <v>0.39649667</v>
      </c>
      <c r="DG591" s="189">
        <v>0.375</v>
      </c>
      <c r="DH591" s="190">
        <f t="shared" ref="DH591:DH611" si="1722">+(DM591*CY591-CZ591)*DA591/(1-DF591)</f>
        <v>12.832454076484002</v>
      </c>
      <c r="DI591" s="190"/>
      <c r="DJ591" s="177"/>
      <c r="DK591" s="189">
        <f>VLOOKUP($H591,RoR!$E:$F,2,FALSE)</f>
        <v>7.0824999999999999E-2</v>
      </c>
      <c r="DL591" s="191">
        <f>HLOOKUP($H591,'GDP-PI'!$D$8:$CQ$11,3,FALSE)</f>
        <v>2.2454495382290052E-2</v>
      </c>
      <c r="DM591" s="189">
        <f>VLOOKUP(H591,'HW Dx Data'!$E:$F,2,FALSE)</f>
        <v>353.44738017483138</v>
      </c>
      <c r="DN591" s="183">
        <f>VLOOKUP(H591,'ECI - Input Price'!$G$17:$H$37,2,FALSE)</f>
        <v>86.2</v>
      </c>
      <c r="DO591" s="177"/>
      <c r="DP591" s="183">
        <f>HLOOKUP(H591,'GDP-PI'!$8:$9,2,FALSE)</f>
        <v>79.822000000000003</v>
      </c>
    </row>
    <row r="592" spans="1:121" s="167" customFormat="1" ht="21" x14ac:dyDescent="0.35">
      <c r="A592" s="167" t="s">
        <v>70</v>
      </c>
      <c r="B592" s="168" t="s">
        <v>70</v>
      </c>
      <c r="C592" s="168">
        <v>4061687</v>
      </c>
      <c r="D592" s="168" t="s">
        <v>136</v>
      </c>
      <c r="E592" s="168" t="s">
        <v>126</v>
      </c>
      <c r="F592" s="168"/>
      <c r="G592" s="168" t="s">
        <v>8</v>
      </c>
      <c r="H592" s="169">
        <v>2002</v>
      </c>
      <c r="I592" s="170"/>
      <c r="J592" s="166"/>
      <c r="K592" s="166"/>
      <c r="L592" s="166"/>
      <c r="M592" s="166"/>
      <c r="N592" s="196"/>
      <c r="O592" s="166"/>
      <c r="P592" s="166"/>
      <c r="Q592" s="166"/>
      <c r="R592" s="166"/>
      <c r="S592" s="166"/>
      <c r="T592" s="166"/>
      <c r="U592" s="166"/>
      <c r="V592" s="166">
        <f t="shared" si="1709"/>
        <v>58971.550912227336</v>
      </c>
      <c r="W592" s="170"/>
      <c r="X592" s="174">
        <v>4637.8677820912944</v>
      </c>
      <c r="Y592" s="175">
        <v>2.224882351227226E-2</v>
      </c>
      <c r="Z592" s="175"/>
      <c r="AA592" s="175"/>
      <c r="AB592" s="175"/>
      <c r="AC592" s="170">
        <f t="shared" si="1677"/>
        <v>58971.550912227336</v>
      </c>
      <c r="AD592" s="175"/>
      <c r="AE592" s="170"/>
      <c r="AF592" s="170"/>
      <c r="AG592" s="174"/>
      <c r="AH592" s="175"/>
      <c r="AI592" s="175"/>
      <c r="AJ592" s="174"/>
      <c r="AK592" s="174"/>
      <c r="AL592" s="120"/>
      <c r="AM592" s="120"/>
      <c r="AN592" s="120"/>
      <c r="AO592" s="120"/>
      <c r="AP592" s="120"/>
      <c r="AQ592" s="175"/>
      <c r="AR592" s="120"/>
      <c r="AS592" s="120"/>
      <c r="AT592" s="120"/>
      <c r="AU592" s="120"/>
      <c r="AV592" s="120"/>
      <c r="AW592" s="120"/>
      <c r="AX592" s="120"/>
      <c r="AY592" s="120"/>
      <c r="AZ592" s="118">
        <f>IFERROR(INDEX('Total Customers'!$F$7:$AB$91,MATCH($C592,'Total Customers'!$D$7:$D$91,0),MATCH($G592,'Total Customers'!$F$5:$AB$5,0)),"NA")</f>
        <v>736698</v>
      </c>
      <c r="BA592" s="119">
        <f t="shared" si="1710"/>
        <v>5.5727285405299054E-3</v>
      </c>
      <c r="BB592" s="119"/>
      <c r="BC592" s="121"/>
      <c r="BD592" s="119"/>
      <c r="BE592" s="119"/>
      <c r="BF592" s="119"/>
      <c r="BG592" s="173"/>
      <c r="BH592" s="173"/>
      <c r="BI592" s="173"/>
      <c r="BJ592" s="173"/>
      <c r="BK592" s="173"/>
      <c r="BL592" s="173"/>
      <c r="BM592" s="173"/>
      <c r="BN592" s="173"/>
      <c r="BO592" s="173"/>
      <c r="BP592" s="173"/>
      <c r="BQ592" s="118"/>
      <c r="BR592" s="118"/>
      <c r="BS592" s="118">
        <f>INDEX('Dist. Plant Gas Additions'!$F$7:$AE$91,MATCH($C592,'Dist. Plant Gas Additions'!$D$7:$D$91,0),MATCH(Calculation!$G592,'Dist. Plant Gas Additions'!$F$5:$AE$5,0))</f>
        <v>45547</v>
      </c>
      <c r="BT592" s="118">
        <f>INDEX('Gen. Plant Additions'!$F$7:$AE$91,MATCH($C592,'Gen. Plant Additions'!$D$7:$D$91,0),MATCH(Calculation!$G592,'Gen. Plant Additions'!$F$5:$AE$5,0))</f>
        <v>610</v>
      </c>
      <c r="BU592" s="118"/>
      <c r="BV592" s="118"/>
      <c r="BW592" s="118">
        <f>INDEX('Dist Plant Depreciation'!$E$7:$AD$94,MATCH($C592,'Dist Plant Depreciation'!$D$7:$D$94,0),MATCH(Calculation!$G592,'Dist Plant Depreciation'!$E$5:$AD$5,0))</f>
        <v>364851</v>
      </c>
      <c r="BX592" s="118">
        <f>INDEX('Gen. Plant Depreciation'!$E$7:$AD$94,MATCH($C592,'Gen. Plant Depreciation'!$D$7:$D$94,0),MATCH(Calculation!$G592,'Gen. Plant Depreciation'!$E$5:$AD$5,0))</f>
        <v>12062</v>
      </c>
      <c r="BY592" s="118"/>
      <c r="BZ592" s="118"/>
      <c r="CA592" s="118"/>
      <c r="CB592" s="118"/>
      <c r="CC592" s="118"/>
      <c r="CD592" s="118"/>
      <c r="CE592" s="118">
        <f>INDEX('Gross Dx Plant'!$E$7:$AD$91,MATCH($C592,'Gross Dx Plant'!$D$7:$D$91,0),MATCH(Calculation!$G592,'Gross Dx Plant'!$E$5:$AD$5,0))</f>
        <v>1232024</v>
      </c>
      <c r="CF592" s="118">
        <f>INDEX('Gross Gen Plant'!$E$7:$AD$91,MATCH($C592,'Gross Gen Plant'!$D$7:$D$91,0),MATCH(Calculation!$G592,'Gross Gen Plant'!$E$5:$AD$5,0))</f>
        <v>53332</v>
      </c>
      <c r="CG592" s="118">
        <f t="shared" si="1720"/>
        <v>908443</v>
      </c>
      <c r="CH592" s="118"/>
      <c r="CI592" s="121">
        <v>2002</v>
      </c>
      <c r="CJ592" s="118"/>
      <c r="CK592" s="118"/>
      <c r="CL592" s="118"/>
      <c r="CM592" s="183"/>
      <c r="CN592" s="118">
        <f t="shared" si="1711"/>
        <v>46157</v>
      </c>
      <c r="CO592" s="118">
        <f t="shared" si="1712"/>
        <v>127.73553148173521</v>
      </c>
      <c r="CP592" s="186">
        <v>0.97916666666666663</v>
      </c>
      <c r="CQ592" s="118">
        <f>+CQ588*CP592+CO589*CP591+CO590*CP590+CO591*CP589+CO592</f>
        <v>4637.8677820912944</v>
      </c>
      <c r="CR592" s="119">
        <f t="shared" si="1713"/>
        <v>2.224882351227226E-2</v>
      </c>
      <c r="CS592" s="119"/>
      <c r="CT592" s="177">
        <f t="shared" si="1714"/>
        <v>5.6633329673542272E-3</v>
      </c>
      <c r="CU592" s="177">
        <f t="shared" ref="CU592:CU611" si="1723">+(CT592+CT591+CT590)/3</f>
        <v>5.3255804401439524E-3</v>
      </c>
      <c r="CV592" s="119">
        <f>VLOOKUP($H592,RoR!$E:$F,2,FALSE)</f>
        <v>6.4916666666666664E-2</v>
      </c>
      <c r="CW592" s="177">
        <v>1.5246423291824351E-2</v>
      </c>
      <c r="CX592" s="177">
        <f t="shared" si="1721"/>
        <v>4.9670243374842313E-2</v>
      </c>
      <c r="CY592" s="177">
        <f t="shared" ref="CY592:CY611" si="1724">+$CX$35-CU592</f>
        <v>2.5576361168389673E-2</v>
      </c>
      <c r="CZ592" s="177">
        <f t="shared" ref="CZ592:CZ611" si="1725">+((DM590/DM589-1)+(DM591/DM590-1)+(DM592/DM591-1))/3</f>
        <v>2.5243621214759093E-2</v>
      </c>
      <c r="DA592" s="187">
        <f t="shared" si="1715"/>
        <v>0.85131374874999999</v>
      </c>
      <c r="DB592" s="188">
        <f t="shared" si="1716"/>
        <v>0.78996741384417901</v>
      </c>
      <c r="DC592" s="188">
        <f t="shared" si="1717"/>
        <v>0.58989088575096271</v>
      </c>
      <c r="DD592" s="188">
        <f t="shared" si="1718"/>
        <v>0.91920675783645744</v>
      </c>
      <c r="DE592" s="188">
        <f t="shared" si="1719"/>
        <v>0.42834536472275586</v>
      </c>
      <c r="DF592" s="189">
        <f>INDEX('State Tax Lookup'!$D$7:$Z$91,MATCH(Calculation!$C592,'State Tax Lookup'!$B$7:$B$91,0),MATCH($H592,'State Tax Lookup'!$D$6:$Z$6,0))</f>
        <v>0.39649667</v>
      </c>
      <c r="DG592" s="189">
        <v>0.375</v>
      </c>
      <c r="DH592" s="190">
        <f t="shared" si="1722"/>
        <v>13.001298437730966</v>
      </c>
      <c r="DI592" s="190"/>
      <c r="DJ592" s="177"/>
      <c r="DK592" s="189">
        <f>VLOOKUP($H592,RoR!$E:$F,2,FALSE)</f>
        <v>6.4916666666666664E-2</v>
      </c>
      <c r="DL592" s="191">
        <f>HLOOKUP($H592,'GDP-PI'!$D$8:$CQ$11,3,FALSE)</f>
        <v>1.5246423291824351E-2</v>
      </c>
      <c r="DM592" s="189">
        <f>VLOOKUP(H592,'HW Dx Data'!$E:$F,2,FALSE)</f>
        <v>361.34816573413599</v>
      </c>
      <c r="DN592" s="183">
        <f>VLOOKUP(H592,'ECI - Input Price'!$G$17:$H$37,2,FALSE)</f>
        <v>89.275000000000006</v>
      </c>
      <c r="DO592" s="177">
        <f>LN(DN592/DN591)</f>
        <v>3.5051315810864674E-2</v>
      </c>
      <c r="DP592" s="183">
        <f>HLOOKUP(H592,'GDP-PI'!$8:$9,2,FALSE)</f>
        <v>81.039000000000001</v>
      </c>
      <c r="DQ592" s="177">
        <f>LN(DP592/DP591)</f>
        <v>1.513136459537477E-2</v>
      </c>
    </row>
    <row r="593" spans="1:121" s="167" customFormat="1" ht="21" x14ac:dyDescent="0.35">
      <c r="A593" s="167" t="s">
        <v>70</v>
      </c>
      <c r="B593" s="168" t="s">
        <v>70</v>
      </c>
      <c r="C593" s="168">
        <v>4061687</v>
      </c>
      <c r="D593" s="168" t="s">
        <v>136</v>
      </c>
      <c r="E593" s="168" t="s">
        <v>126</v>
      </c>
      <c r="F593" s="168"/>
      <c r="G593" s="168" t="s">
        <v>9</v>
      </c>
      <c r="H593" s="169">
        <v>2003</v>
      </c>
      <c r="I593" s="170"/>
      <c r="J593" s="166"/>
      <c r="K593" s="166"/>
      <c r="L593" s="166"/>
      <c r="M593" s="172"/>
      <c r="N593" s="196"/>
      <c r="O593" s="172"/>
      <c r="P593" s="166"/>
      <c r="Q593" s="166"/>
      <c r="R593" s="166"/>
      <c r="S593" s="166"/>
      <c r="T593" s="166"/>
      <c r="U593" s="166"/>
      <c r="V593" s="166">
        <f t="shared" si="1709"/>
        <v>61198.982880317883</v>
      </c>
      <c r="W593" s="170"/>
      <c r="X593" s="174">
        <v>4742.1777115838768</v>
      </c>
      <c r="Y593" s="175">
        <v>2.2241732123322047E-2</v>
      </c>
      <c r="Z593" s="175"/>
      <c r="AA593" s="175"/>
      <c r="AB593" s="175"/>
      <c r="AC593" s="170">
        <f t="shared" si="1677"/>
        <v>61198.982880317883</v>
      </c>
      <c r="AD593" s="175"/>
      <c r="AE593" s="170"/>
      <c r="AF593" s="170"/>
      <c r="AG593" s="174"/>
      <c r="AH593" s="175"/>
      <c r="AI593" s="175"/>
      <c r="AJ593" s="174"/>
      <c r="AK593" s="174"/>
      <c r="AL593" s="120"/>
      <c r="AM593" s="120"/>
      <c r="AN593" s="120"/>
      <c r="AO593" s="120"/>
      <c r="AP593" s="120"/>
      <c r="AQ593" s="175"/>
      <c r="AR593" s="120"/>
      <c r="AS593" s="120"/>
      <c r="AT593" s="120"/>
      <c r="AU593" s="120"/>
      <c r="AV593" s="120"/>
      <c r="AW593" s="120"/>
      <c r="AX593" s="120"/>
      <c r="AY593" s="120"/>
      <c r="AZ593" s="118">
        <f>IFERROR(INDEX('Total Customers'!$F$7:$AB$91,MATCH($C593,'Total Customers'!$D$7:$D$91,0),MATCH($G593,'Total Customers'!$F$5:$AB$5,0)),"NA")</f>
        <v>735360</v>
      </c>
      <c r="BA593" s="119">
        <f t="shared" si="1710"/>
        <v>-1.8178636554620111E-3</v>
      </c>
      <c r="BB593" s="119"/>
      <c r="BC593" s="121"/>
      <c r="BD593" s="119"/>
      <c r="BE593" s="119"/>
      <c r="BF593" s="119"/>
      <c r="BG593" s="173"/>
      <c r="BH593" s="173"/>
      <c r="BI593" s="173"/>
      <c r="BJ593" s="173"/>
      <c r="BK593" s="173"/>
      <c r="BL593" s="173"/>
      <c r="BM593" s="173"/>
      <c r="BN593" s="173"/>
      <c r="BO593" s="173"/>
      <c r="BP593" s="173"/>
      <c r="BQ593" s="118"/>
      <c r="BR593" s="118"/>
      <c r="BS593" s="118">
        <f>INDEX('Dist. Plant Gas Additions'!$F$7:$AE$91,MATCH($C593,'Dist. Plant Gas Additions'!$D$7:$D$91,0),MATCH(Calculation!$G593,'Dist. Plant Gas Additions'!$F$5:$AE$5,0))</f>
        <v>46370</v>
      </c>
      <c r="BT593" s="118">
        <f>INDEX('Gen. Plant Additions'!$F$7:$AE$91,MATCH($C593,'Gen. Plant Additions'!$D$7:$D$91,0),MATCH(Calculation!$G593,'Gen. Plant Additions'!$F$5:$AE$5,0))</f>
        <v>1901</v>
      </c>
      <c r="BU593" s="118"/>
      <c r="BV593" s="118"/>
      <c r="BW593" s="118">
        <f>INDEX('Dist Plant Depreciation'!$E$7:$AD$94,MATCH($C593,'Dist Plant Depreciation'!$D$7:$D$94,0),MATCH(Calculation!$G593,'Dist Plant Depreciation'!$E$5:$AD$5,0))</f>
        <v>385956</v>
      </c>
      <c r="BX593" s="118">
        <f>INDEX('Gen. Plant Depreciation'!$E$7:$AD$94,MATCH($C593,'Gen. Plant Depreciation'!$D$7:$D$94,0),MATCH(Calculation!$G593,'Gen. Plant Depreciation'!$E$5:$AD$5,0))</f>
        <v>12420</v>
      </c>
      <c r="BY593" s="118"/>
      <c r="BZ593" s="118"/>
      <c r="CA593" s="118"/>
      <c r="CB593" s="118"/>
      <c r="CC593" s="118"/>
      <c r="CD593" s="118"/>
      <c r="CE593" s="118">
        <f>INDEX('Gross Dx Plant'!$E$7:$AD$91,MATCH($C593,'Gross Dx Plant'!$D$7:$D$91,0),MATCH(Calculation!$G593,'Gross Dx Plant'!$E$5:$AD$5,0))</f>
        <v>1274674</v>
      </c>
      <c r="CF593" s="118">
        <f>INDEX('Gross Gen Plant'!$E$7:$AD$91,MATCH($C593,'Gross Gen Plant'!$D$7:$D$91,0),MATCH(Calculation!$G593,'Gross Gen Plant'!$E$5:$AD$5,0))</f>
        <v>52459</v>
      </c>
      <c r="CG593" s="118">
        <f t="shared" si="1720"/>
        <v>928757</v>
      </c>
      <c r="CH593" s="118"/>
      <c r="CI593" s="121">
        <v>2003</v>
      </c>
      <c r="CJ593" s="118"/>
      <c r="CK593" s="118"/>
      <c r="CL593" s="118"/>
      <c r="CM593" s="183"/>
      <c r="CN593" s="118">
        <f t="shared" si="1711"/>
        <v>48271</v>
      </c>
      <c r="CO593" s="118">
        <f t="shared" si="1712"/>
        <v>130.73316460809161</v>
      </c>
      <c r="CP593" s="186">
        <v>0.97354497354497349</v>
      </c>
      <c r="CQ593" s="118">
        <f>+CQ588*CP593+CO589*CP592+CO590*CP591+CO591*CP590+CO592*CP589+CO593</f>
        <v>4742.1777115838768</v>
      </c>
      <c r="CR593" s="119">
        <f t="shared" si="1713"/>
        <v>2.2241732123322047E-2</v>
      </c>
      <c r="CS593" s="119"/>
      <c r="CT593" s="177">
        <f t="shared" si="1714"/>
        <v>5.6972808102766954E-3</v>
      </c>
      <c r="CU593" s="177">
        <f t="shared" si="1723"/>
        <v>5.5093760054193627E-3</v>
      </c>
      <c r="CV593" s="119">
        <f>VLOOKUP($H593,RoR!$E:$F,2,FALSE)</f>
        <v>5.6666666666666671E-2</v>
      </c>
      <c r="CW593" s="177">
        <v>1.8855119140166909E-2</v>
      </c>
      <c r="CX593" s="177">
        <f t="shared" si="1721"/>
        <v>3.7811547526499761E-2</v>
      </c>
      <c r="CY593" s="177">
        <f t="shared" si="1724"/>
        <v>2.5392565603114262E-2</v>
      </c>
      <c r="CZ593" s="177">
        <f t="shared" si="1725"/>
        <v>2.1375012817671957E-2</v>
      </c>
      <c r="DA593" s="187">
        <f t="shared" si="1715"/>
        <v>0.85131374874999999</v>
      </c>
      <c r="DB593" s="188">
        <f t="shared" si="1716"/>
        <v>0.90497737556561086</v>
      </c>
      <c r="DC593" s="188">
        <f t="shared" si="1717"/>
        <v>0.5338235294117647</v>
      </c>
      <c r="DD593" s="188">
        <f t="shared" si="1718"/>
        <v>0.88972433127405692</v>
      </c>
      <c r="DE593" s="188">
        <f t="shared" si="1719"/>
        <v>0.42982423775949252</v>
      </c>
      <c r="DF593" s="189">
        <f>INDEX('State Tax Lookup'!$D$7:$Z$91,MATCH(Calculation!$C593,'State Tax Lookup'!$B$7:$B$91,0),MATCH($H593,'State Tax Lookup'!$D$6:$Z$6,0))</f>
        <v>0.39649667</v>
      </c>
      <c r="DG593" s="189">
        <v>0.375</v>
      </c>
      <c r="DH593" s="190">
        <f t="shared" si="1722"/>
        <v>13.195499689885986</v>
      </c>
      <c r="DI593" s="190"/>
      <c r="DJ593" s="177"/>
      <c r="DK593" s="189">
        <f>VLOOKUP($H593,RoR!$E:$F,2,FALSE)</f>
        <v>5.6666666666666671E-2</v>
      </c>
      <c r="DL593" s="191">
        <f>HLOOKUP($H593,'GDP-PI'!$D$8:$CQ$11,3,FALSE)</f>
        <v>1.8855119140166909E-2</v>
      </c>
      <c r="DM593" s="189">
        <f>VLOOKUP(H593,'HW Dx Data'!$E:$F,2,FALSE)</f>
        <v>369.23301095560191</v>
      </c>
      <c r="DN593" s="183">
        <f>VLOOKUP(H593,'ECI - Input Price'!$G$17:$H$37,2,FALSE)</f>
        <v>92.625</v>
      </c>
      <c r="DO593" s="177">
        <f t="shared" ref="DO593" si="1726">LN(DN593/DN592)</f>
        <v>3.6837590135738785E-2</v>
      </c>
      <c r="DP593" s="183">
        <f>HLOOKUP(H593,'GDP-PI'!$8:$9,2,FALSE)</f>
        <v>82.566999999999993</v>
      </c>
      <c r="DQ593" s="177">
        <f t="shared" ref="DQ593" si="1727">LN(DP593/DP592)</f>
        <v>1.8679564681853753E-2</v>
      </c>
    </row>
    <row r="594" spans="1:121" s="167" customFormat="1" ht="21" x14ac:dyDescent="0.35">
      <c r="A594" s="167" t="s">
        <v>70</v>
      </c>
      <c r="B594" s="168" t="s">
        <v>70</v>
      </c>
      <c r="C594" s="168">
        <v>4061687</v>
      </c>
      <c r="D594" s="168" t="s">
        <v>136</v>
      </c>
      <c r="E594" s="168" t="s">
        <v>126</v>
      </c>
      <c r="F594" s="168"/>
      <c r="G594" s="168" t="s">
        <v>10</v>
      </c>
      <c r="H594" s="169">
        <v>2004</v>
      </c>
      <c r="I594" s="170"/>
      <c r="J594" s="166">
        <f>IFERROR(INDEX('Labor Expenditures'!$F$7:$X$91,MATCH($C594,'Labor Expenditures'!$D$7:$D$91,0),MATCH($G594,'Labor Expenditures'!$F$5:$X$5,0)),"NA")</f>
        <v>78635.857707008021</v>
      </c>
      <c r="K594" s="166">
        <f t="shared" ref="K594:K611" si="1728">+J594/DN594</f>
        <v>817.63304088388895</v>
      </c>
      <c r="L594" s="172"/>
      <c r="M594" s="172"/>
      <c r="N594" s="196"/>
      <c r="O594" s="172"/>
      <c r="P594" s="166">
        <f>IFERROR(INDEX('Non-Labor Expenditures'!$F$7:$AB$91,MATCH($C594,'Non-Labor Expenditures'!$D$7:$D$91,0),MATCH($G594,'Non-Labor Expenditures'!$F$5:$AB$5,0)),"NA")</f>
        <v>113879.40911202892</v>
      </c>
      <c r="Q594" s="166">
        <f t="shared" ref="Q594:Q611" si="1729">+P594/DP594</f>
        <v>1343.2660491168572</v>
      </c>
      <c r="R594" s="166"/>
      <c r="S594" s="166"/>
      <c r="T594" s="166"/>
      <c r="U594" s="166"/>
      <c r="V594" s="166">
        <f t="shared" si="1709"/>
        <v>69432.254211014893</v>
      </c>
      <c r="W594" s="170"/>
      <c r="X594" s="174">
        <v>4837.4179615481644</v>
      </c>
      <c r="Y594" s="175">
        <v>1.9884636335362072E-2</v>
      </c>
      <c r="Z594" s="175"/>
      <c r="AA594" s="175"/>
      <c r="AB594" s="175"/>
      <c r="AC594" s="170">
        <f t="shared" si="1677"/>
        <v>261947.52103005184</v>
      </c>
      <c r="AD594" s="175"/>
      <c r="AE594" s="170"/>
      <c r="AF594" s="170"/>
      <c r="AG594" s="174"/>
      <c r="AH594" s="175"/>
      <c r="AI594" s="175"/>
      <c r="AJ594" s="174"/>
      <c r="AK594" s="174"/>
      <c r="AL594" s="120">
        <f t="shared" ref="AL594:AL611" si="1730">+J594/AC594</f>
        <v>0.30019699135838185</v>
      </c>
      <c r="AM594" s="120">
        <f t="shared" ref="AM594:AM611" si="1731">+P594/AC594</f>
        <v>0.43474131255078435</v>
      </c>
      <c r="AN594" s="120">
        <f t="shared" ref="AN594:AN611" si="1732">+V594/AC594</f>
        <v>0.2650616960908338</v>
      </c>
      <c r="AO594" s="120"/>
      <c r="AP594" s="120"/>
      <c r="AQ594" s="175"/>
      <c r="AR594" s="120"/>
      <c r="AS594" s="120"/>
      <c r="AT594" s="120"/>
      <c r="AU594" s="120"/>
      <c r="AV594" s="120"/>
      <c r="AW594" s="120"/>
      <c r="AX594" s="120"/>
      <c r="AY594" s="120"/>
      <c r="AZ594" s="118">
        <f>IFERROR(INDEX('Total Customers'!$F$7:$AB$91,MATCH($C594,'Total Customers'!$D$7:$D$91,0),MATCH($G594,'Total Customers'!$F$5:$AB$5,0)),"NA")</f>
        <v>734567</v>
      </c>
      <c r="BA594" s="119">
        <f t="shared" si="1710"/>
        <v>-1.0789652505627078E-3</v>
      </c>
      <c r="BB594" s="119"/>
      <c r="BC594" s="121"/>
      <c r="BD594" s="119"/>
      <c r="BE594" s="119"/>
      <c r="BF594" s="119"/>
      <c r="BG594" s="173"/>
      <c r="BH594" s="173"/>
      <c r="BI594" s="173"/>
      <c r="BJ594" s="173"/>
      <c r="BK594" s="173"/>
      <c r="BL594" s="173"/>
      <c r="BM594" s="173"/>
      <c r="BN594" s="173"/>
      <c r="BO594" s="173"/>
      <c r="BP594" s="173"/>
      <c r="BQ594" s="118"/>
      <c r="BR594" s="118"/>
      <c r="BS594" s="118">
        <f>INDEX('Dist. Plant Gas Additions'!$F$7:$AE$91,MATCH($C594,'Dist. Plant Gas Additions'!$D$7:$D$91,0),MATCH(Calculation!$G594,'Dist. Plant Gas Additions'!$F$5:$AE$5,0))</f>
        <v>43937</v>
      </c>
      <c r="BT594" s="118">
        <f>INDEX('Gen. Plant Additions'!$F$7:$AE$91,MATCH($C594,'Gen. Plant Additions'!$D$7:$D$91,0),MATCH(Calculation!$G594,'Gen. Plant Additions'!$F$5:$AE$5,0))</f>
        <v>7162</v>
      </c>
      <c r="BU594" s="118"/>
      <c r="BV594" s="118"/>
      <c r="BW594" s="118">
        <f>INDEX('Dist Plant Depreciation'!$E$7:$AD$94,MATCH($C594,'Dist Plant Depreciation'!$D$7:$D$94,0),MATCH(Calculation!$G594,'Dist Plant Depreciation'!$E$5:$AD$5,0))</f>
        <v>409857</v>
      </c>
      <c r="BX594" s="118">
        <f>INDEX('Gen. Plant Depreciation'!$E$7:$AD$94,MATCH($C594,'Gen. Plant Depreciation'!$D$7:$D$94,0),MATCH(Calculation!$G594,'Gen. Plant Depreciation'!$E$5:$AD$5,0))</f>
        <v>12120</v>
      </c>
      <c r="BY594" s="118"/>
      <c r="BZ594" s="118"/>
      <c r="CA594" s="118"/>
      <c r="CB594" s="118"/>
      <c r="CC594" s="118"/>
      <c r="CD594" s="118"/>
      <c r="CE594" s="118">
        <f>INDEX('Gross Dx Plant'!$E$7:$AD$91,MATCH($C594,'Gross Dx Plant'!$D$7:$D$91,0),MATCH(Calculation!$G594,'Gross Dx Plant'!$E$5:$AD$5,0))</f>
        <v>1311186</v>
      </c>
      <c r="CF594" s="118">
        <f>INDEX('Gross Gen Plant'!$E$7:$AD$91,MATCH($C594,'Gross Gen Plant'!$D$7:$D$91,0),MATCH(Calculation!$G594,'Gross Gen Plant'!$E$5:$AD$5,0))</f>
        <v>56139</v>
      </c>
      <c r="CG594" s="118">
        <f t="shared" si="1720"/>
        <v>945348</v>
      </c>
      <c r="CH594" s="118"/>
      <c r="CI594" s="121">
        <v>2004</v>
      </c>
      <c r="CJ594" s="118"/>
      <c r="CK594" s="118"/>
      <c r="CL594" s="118"/>
      <c r="CM594" s="183"/>
      <c r="CN594" s="118">
        <f t="shared" si="1711"/>
        <v>51099</v>
      </c>
      <c r="CO594" s="118">
        <f t="shared" si="1712"/>
        <v>123.1635998051612</v>
      </c>
      <c r="CP594" s="186">
        <v>0.967741935483871</v>
      </c>
      <c r="CQ594" s="118">
        <f>+CQ588*CP594+CO589*CP593+CO590*CP592+CO591*CP591+CO592*CP590+CO593*CP589+CO594</f>
        <v>4837.4179615481644</v>
      </c>
      <c r="CR594" s="119">
        <f t="shared" si="1713"/>
        <v>1.9884636335362072E-2</v>
      </c>
      <c r="CS594" s="119"/>
      <c r="CT594" s="177">
        <f t="shared" si="1714"/>
        <v>5.8882967993089501E-3</v>
      </c>
      <c r="CU594" s="177">
        <f t="shared" si="1723"/>
        <v>5.7496368589799582E-3</v>
      </c>
      <c r="CV594" s="119">
        <f>VLOOKUP($H594,RoR!$E:$F,2,FALSE)</f>
        <v>5.6283333333333331E-2</v>
      </c>
      <c r="CW594" s="177">
        <v>2.6778252812867276E-2</v>
      </c>
      <c r="CX594" s="177">
        <f t="shared" si="1721"/>
        <v>2.9505080520466055E-2</v>
      </c>
      <c r="CY594" s="177">
        <f t="shared" si="1724"/>
        <v>2.5152304749553666E-2</v>
      </c>
      <c r="CZ594" s="177">
        <f t="shared" si="1725"/>
        <v>5.5940039414565046E-2</v>
      </c>
      <c r="DA594" s="187">
        <f t="shared" si="1715"/>
        <v>0.85131374874999999</v>
      </c>
      <c r="DB594" s="188">
        <f t="shared" si="1716"/>
        <v>0.91114097628755619</v>
      </c>
      <c r="DC594" s="188">
        <f t="shared" si="1717"/>
        <v>0.53081877405981637</v>
      </c>
      <c r="DD594" s="188">
        <f t="shared" si="1718"/>
        <v>0.88811215519385678</v>
      </c>
      <c r="DE594" s="188">
        <f t="shared" si="1719"/>
        <v>0.42953609753547711</v>
      </c>
      <c r="DF594" s="189">
        <f>INDEX('State Tax Lookup'!$D$7:$Z$91,MATCH(Calculation!$C594,'State Tax Lookup'!$B$7:$B$91,0),MATCH($H594,'State Tax Lookup'!$D$6:$Z$6,0))</f>
        <v>0.39649667</v>
      </c>
      <c r="DG594" s="189">
        <v>0.375</v>
      </c>
      <c r="DH594" s="190">
        <f t="shared" si="1722"/>
        <v>14.641428144164736</v>
      </c>
      <c r="DI594" s="190"/>
      <c r="DJ594" s="177"/>
      <c r="DK594" s="189">
        <f>VLOOKUP($H594,RoR!$E:$F,2,FALSE)</f>
        <v>5.6283333333333331E-2</v>
      </c>
      <c r="DL594" s="191">
        <f>HLOOKUP($H594,'GDP-PI'!$D$8:$CQ$11,3,FALSE)</f>
        <v>2.6778252812867276E-2</v>
      </c>
      <c r="DM594" s="189">
        <f>VLOOKUP(H594,'HW Dx Data'!$E:$F,2,FALSE)</f>
        <v>414.88719135228365</v>
      </c>
      <c r="DN594" s="183">
        <f>VLOOKUP(H594,'ECI - Input Price'!$G$17:$H$37,2,FALSE)</f>
        <v>96.174999999999997</v>
      </c>
      <c r="DO594" s="177">
        <f t="shared" ref="DO594" si="1733">LN(DN594/DN593)</f>
        <v>3.7610365022107912E-2</v>
      </c>
      <c r="DP594" s="183">
        <f>HLOOKUP(H594,'GDP-PI'!$8:$9,2,FALSE)</f>
        <v>84.778000000000006</v>
      </c>
      <c r="DQ594" s="177">
        <f t="shared" ref="DQ594" si="1734">LN(DP594/DP593)</f>
        <v>2.6425990216022755E-2</v>
      </c>
    </row>
    <row r="595" spans="1:121" s="167" customFormat="1" ht="21" x14ac:dyDescent="0.35">
      <c r="A595" s="167" t="s">
        <v>70</v>
      </c>
      <c r="B595" s="168" t="s">
        <v>70</v>
      </c>
      <c r="C595" s="168">
        <v>4061687</v>
      </c>
      <c r="D595" s="168" t="s">
        <v>136</v>
      </c>
      <c r="E595" s="168" t="s">
        <v>126</v>
      </c>
      <c r="F595" s="168"/>
      <c r="G595" s="168" t="s">
        <v>11</v>
      </c>
      <c r="H595" s="169">
        <v>2005</v>
      </c>
      <c r="I595" s="170"/>
      <c r="J595" s="166">
        <f>IFERROR(INDEX('Labor Expenditures'!$F$7:$X$91,MATCH($C595,'Labor Expenditures'!$D$7:$D$91,0),MATCH($G595,'Labor Expenditures'!$F$5:$X$5,0)),"NA")</f>
        <v>81900.523692741204</v>
      </c>
      <c r="K595" s="166">
        <f t="shared" si="1728"/>
        <v>826.02646185316394</v>
      </c>
      <c r="L595" s="172">
        <f t="shared" ref="L595:L611" si="1735">LN(K595/K594)</f>
        <v>1.0213178476799705E-2</v>
      </c>
      <c r="M595" s="172"/>
      <c r="N595" s="196"/>
      <c r="O595" s="172"/>
      <c r="P595" s="166">
        <f>IFERROR(INDEX('Non-Labor Expenditures'!$F$7:$AB$91,MATCH($C595,'Non-Labor Expenditures'!$D$7:$D$91,0),MATCH($G595,'Non-Labor Expenditures'!$F$5:$AB$5,0)),"NA")</f>
        <v>118607.25521486733</v>
      </c>
      <c r="Q595" s="166">
        <f t="shared" si="1729"/>
        <v>1356.9537361408964</v>
      </c>
      <c r="R595" s="172">
        <f>LN(Q595/Q594)</f>
        <v>1.0138288993511962E-2</v>
      </c>
      <c r="S595" s="172"/>
      <c r="T595" s="172"/>
      <c r="U595" s="172"/>
      <c r="V595" s="166">
        <f t="shared" si="1709"/>
        <v>79449.966156999682</v>
      </c>
      <c r="W595" s="170"/>
      <c r="X595" s="174">
        <v>4903.8307753489407</v>
      </c>
      <c r="Y595" s="175">
        <v>1.3635591205802123E-2</v>
      </c>
      <c r="Z595" s="175"/>
      <c r="AA595" s="175"/>
      <c r="AB595" s="175"/>
      <c r="AC595" s="170">
        <f t="shared" si="1677"/>
        <v>279957.74506460823</v>
      </c>
      <c r="AD595" s="175">
        <f>LN(AC595/AC594)</f>
        <v>6.649449901150091E-2</v>
      </c>
      <c r="AE595" s="170"/>
      <c r="AF595" s="170"/>
      <c r="AG595" s="121"/>
      <c r="AH595" s="119"/>
      <c r="AI595" s="119"/>
      <c r="AJ595" s="121"/>
      <c r="AK595" s="121"/>
      <c r="AL595" s="120">
        <f t="shared" si="1730"/>
        <v>0.29254601859234264</v>
      </c>
      <c r="AM595" s="120">
        <f t="shared" si="1731"/>
        <v>0.42366127498096301</v>
      </c>
      <c r="AN595" s="120">
        <f t="shared" si="1732"/>
        <v>0.2837927064266943</v>
      </c>
      <c r="AO595" s="120">
        <f t="shared" ref="AO595:AO611" si="1736">+(((AL595+AL594)/2)*L595+((AM594+AM595)/2)*R595+((AN594+AN595)/2)*Y595)</f>
        <v>1.112023896045565E-2</v>
      </c>
      <c r="AP595" s="173">
        <v>100</v>
      </c>
      <c r="AQ595" s="175"/>
      <c r="AR595" s="120"/>
      <c r="AS595" s="120"/>
      <c r="AT595" s="120"/>
      <c r="AU595" s="120"/>
      <c r="AV595" s="120"/>
      <c r="AW595" s="120"/>
      <c r="AX595" s="120"/>
      <c r="AY595" s="120"/>
      <c r="AZ595" s="118">
        <f>IFERROR(INDEX('Total Customers'!$F$7:$AB$91,MATCH($C595,'Total Customers'!$D$7:$D$91,0),MATCH($G595,'Total Customers'!$F$5:$AB$5,0)),"NA")</f>
        <v>733212</v>
      </c>
      <c r="BA595" s="119">
        <f t="shared" si="1710"/>
        <v>-1.8463275260437444E-3</v>
      </c>
      <c r="BB595" s="119"/>
      <c r="BC595" s="121"/>
      <c r="BD595" s="119"/>
      <c r="BE595" s="119"/>
      <c r="BF595" s="119"/>
      <c r="BG595" s="173"/>
      <c r="BH595" s="173"/>
      <c r="BI595" s="173"/>
      <c r="BJ595" s="173"/>
      <c r="BK595" s="173"/>
      <c r="BL595" s="173"/>
      <c r="BM595" s="173"/>
      <c r="BN595" s="173"/>
      <c r="BO595" s="173"/>
      <c r="BP595" s="173"/>
      <c r="BQ595" s="118"/>
      <c r="BR595" s="118"/>
      <c r="BS595" s="118">
        <f>INDEX('Dist. Plant Gas Additions'!$F$7:$AE$91,MATCH($C595,'Dist. Plant Gas Additions'!$D$7:$D$91,0),MATCH(Calculation!$G595,'Dist. Plant Gas Additions'!$F$5:$AE$5,0))</f>
        <v>40851</v>
      </c>
      <c r="BT595" s="118">
        <f>INDEX('Gen. Plant Additions'!$F$7:$AE$91,MATCH($C595,'Gen. Plant Additions'!$D$7:$D$91,0),MATCH(Calculation!$G595,'Gen. Plant Additions'!$F$5:$AE$5,0))</f>
        <v>4127</v>
      </c>
      <c r="BU595" s="118"/>
      <c r="BV595" s="118"/>
      <c r="BW595" s="118">
        <f>INDEX('Dist Plant Depreciation'!$E$7:$AD$94,MATCH($C595,'Dist Plant Depreciation'!$D$7:$D$94,0),MATCH(Calculation!$G595,'Dist Plant Depreciation'!$E$5:$AD$5,0))</f>
        <v>433559</v>
      </c>
      <c r="BX595" s="118">
        <f>INDEX('Gen. Plant Depreciation'!$E$7:$AD$94,MATCH($C595,'Gen. Plant Depreciation'!$D$7:$D$94,0),MATCH(Calculation!$G595,'Gen. Plant Depreciation'!$E$5:$AD$5,0))</f>
        <v>14008</v>
      </c>
      <c r="BY595" s="118"/>
      <c r="BZ595" s="118"/>
      <c r="CA595" s="118"/>
      <c r="CB595" s="118"/>
      <c r="CC595" s="118"/>
      <c r="CD595" s="118"/>
      <c r="CE595" s="118">
        <f>INDEX('Gross Dx Plant'!$E$7:$AD$91,MATCH($C595,'Gross Dx Plant'!$D$7:$D$91,0),MATCH(Calculation!$G595,'Gross Dx Plant'!$E$5:$AD$5,0))</f>
        <v>1344377</v>
      </c>
      <c r="CF595" s="118">
        <f>INDEX('Gross Gen Plant'!$E$7:$AD$91,MATCH($C595,'Gross Gen Plant'!$D$7:$D$91,0),MATCH(Calculation!$G595,'Gross Gen Plant'!$E$5:$AD$5,0))</f>
        <v>56937</v>
      </c>
      <c r="CG595" s="118">
        <f t="shared" si="1720"/>
        <v>953747</v>
      </c>
      <c r="CH595" s="118"/>
      <c r="CI595" s="121">
        <v>2005</v>
      </c>
      <c r="CJ595" s="118"/>
      <c r="CK595" s="118"/>
      <c r="CL595" s="118"/>
      <c r="CM595" s="183"/>
      <c r="CN595" s="118">
        <f t="shared" si="1711"/>
        <v>44978</v>
      </c>
      <c r="CO595" s="118">
        <f t="shared" si="1712"/>
        <v>95.859989868205844</v>
      </c>
      <c r="CP595" s="186">
        <v>0.96174863387978138</v>
      </c>
      <c r="CQ595" s="118">
        <f>+CQ588*CP595+CO589*CP594+CO590*CP593+CO591*CP592+CO592*CP591+CO593*CP590+CO594*CP589+CO595</f>
        <v>4903.8307753489407</v>
      </c>
      <c r="CR595" s="119">
        <f t="shared" si="1713"/>
        <v>1.3635591205802123E-2</v>
      </c>
      <c r="CS595" s="119"/>
      <c r="CT595" s="177">
        <f t="shared" si="1714"/>
        <v>6.0873747733812189E-3</v>
      </c>
      <c r="CU595" s="177">
        <f t="shared" si="1723"/>
        <v>5.8909841276556215E-3</v>
      </c>
      <c r="CV595" s="119">
        <f>VLOOKUP($H595,RoR!$E:$F,2,FALSE)</f>
        <v>5.2350000000000001E-2</v>
      </c>
      <c r="CW595" s="177">
        <v>3.1010403642454332E-2</v>
      </c>
      <c r="CX595" s="177">
        <f t="shared" si="1721"/>
        <v>2.1339596357545669E-2</v>
      </c>
      <c r="CY595" s="177">
        <f t="shared" si="1724"/>
        <v>2.5010957480878004E-2</v>
      </c>
      <c r="CZ595" s="177">
        <f t="shared" si="1725"/>
        <v>9.2129610649277341E-2</v>
      </c>
      <c r="DA595" s="187">
        <f t="shared" si="1715"/>
        <v>0.85131374874999999</v>
      </c>
      <c r="DB595" s="188">
        <f t="shared" si="1716"/>
        <v>0.97959983346802826</v>
      </c>
      <c r="DC595" s="188">
        <f t="shared" si="1717"/>
        <v>0.49744508118433622</v>
      </c>
      <c r="DD595" s="188">
        <f t="shared" si="1718"/>
        <v>0.87010519444335932</v>
      </c>
      <c r="DE595" s="188">
        <f t="shared" si="1719"/>
        <v>0.42399975420741998</v>
      </c>
      <c r="DF595" s="189">
        <f>INDEX('State Tax Lookup'!$D$7:$Z$91,MATCH(Calculation!$C595,'State Tax Lookup'!$B$7:$B$91,0),MATCH($H595,'State Tax Lookup'!$D$6:$Z$6,0))</f>
        <v>0.39649667</v>
      </c>
      <c r="DG595" s="189">
        <v>0.375</v>
      </c>
      <c r="DH595" s="190">
        <f t="shared" si="1722"/>
        <v>16.424044146801936</v>
      </c>
      <c r="DI595" s="190"/>
      <c r="DJ595" s="177"/>
      <c r="DK595" s="189">
        <f>VLOOKUP($H595,RoR!$E:$F,2,FALSE)</f>
        <v>5.2350000000000001E-2</v>
      </c>
      <c r="DL595" s="191">
        <f>HLOOKUP($H595,'GDP-PI'!$D$8:$CQ$11,3,FALSE)</f>
        <v>3.1010403642454332E-2</v>
      </c>
      <c r="DM595" s="189">
        <f>VLOOKUP(H595,'HW Dx Data'!$E:$F,2,FALSE)</f>
        <v>469.20514034936258</v>
      </c>
      <c r="DN595" s="183">
        <f>VLOOKUP(H595,'ECI - Input Price'!$G$17:$H$37,2,FALSE)</f>
        <v>99.15</v>
      </c>
      <c r="DO595" s="177">
        <f t="shared" ref="DO595" si="1737">LN(DN595/DN594)</f>
        <v>3.046440632744625E-2</v>
      </c>
      <c r="DP595" s="183">
        <f>HLOOKUP(H595,'GDP-PI'!$8:$9,2,FALSE)</f>
        <v>87.406999999999996</v>
      </c>
      <c r="DQ595" s="177">
        <f t="shared" ref="DQ595" si="1738">LN(DP595/DP594)</f>
        <v>3.0539295810733648E-2</v>
      </c>
    </row>
    <row r="596" spans="1:121" s="167" customFormat="1" ht="21" x14ac:dyDescent="0.35">
      <c r="A596" s="167" t="s">
        <v>70</v>
      </c>
      <c r="B596" s="168" t="s">
        <v>70</v>
      </c>
      <c r="C596" s="168">
        <v>4061687</v>
      </c>
      <c r="D596" s="168" t="s">
        <v>136</v>
      </c>
      <c r="E596" s="168" t="s">
        <v>126</v>
      </c>
      <c r="F596" s="168"/>
      <c r="G596" s="168" t="s">
        <v>12</v>
      </c>
      <c r="H596" s="169">
        <v>2006</v>
      </c>
      <c r="I596" s="170"/>
      <c r="J596" s="166">
        <f>IFERROR(INDEX('Labor Expenditures'!$F$7:$X$91,MATCH($C596,'Labor Expenditures'!$D$7:$D$91,0),MATCH($G596,'Labor Expenditures'!$F$5:$X$5,0)),"NA")</f>
        <v>79587.267063006031</v>
      </c>
      <c r="K596" s="166">
        <f t="shared" si="1728"/>
        <v>779.88502756497826</v>
      </c>
      <c r="L596" s="172">
        <f t="shared" si="1735"/>
        <v>-5.7480300888289378E-2</v>
      </c>
      <c r="M596" s="172">
        <f t="shared" ref="M596:M611" si="1739">+L596*AR596</f>
        <v>-1.9758243290873569E-3</v>
      </c>
      <c r="N596" s="196"/>
      <c r="O596" s="172"/>
      <c r="P596" s="166">
        <f>IFERROR(INDEX('Non-Labor Expenditures'!$F$7:$AB$91,MATCH($C596,'Non-Labor Expenditures'!$D$7:$D$91,0),MATCH($G596,'Non-Labor Expenditures'!$F$5:$AB$5,0)),"NA")</f>
        <v>115257.22755827004</v>
      </c>
      <c r="Q596" s="166">
        <f t="shared" si="1729"/>
        <v>1279.5837595562541</v>
      </c>
      <c r="R596" s="172">
        <f t="shared" ref="R596:R611" si="1740">LN(Q596/Q595)</f>
        <v>-5.8707450323695148E-2</v>
      </c>
      <c r="S596" s="172">
        <f>+R596*AR596</f>
        <v>-2.0180062883400182E-3</v>
      </c>
      <c r="T596" s="172"/>
      <c r="U596" s="172"/>
      <c r="V596" s="166">
        <f t="shared" si="1709"/>
        <v>78584.31688321229</v>
      </c>
      <c r="W596" s="170"/>
      <c r="X596" s="174">
        <v>4985.0236701713447</v>
      </c>
      <c r="Y596" s="175">
        <v>1.642146111682825E-2</v>
      </c>
      <c r="Z596" s="175">
        <f>+Y596*AR596</f>
        <v>5.644702949076175E-4</v>
      </c>
      <c r="AA596" s="175"/>
      <c r="AB596" s="175"/>
      <c r="AC596" s="170">
        <f t="shared" si="1677"/>
        <v>273428.81150448835</v>
      </c>
      <c r="AD596" s="175">
        <f t="shared" ref="AD596:AD611" si="1741">LN(AC596/AC595)</f>
        <v>-2.3597380319779194E-2</v>
      </c>
      <c r="AE596" s="170"/>
      <c r="AF596" s="170"/>
      <c r="AG596" s="121">
        <f t="shared" ref="AG596:AG611" si="1742">+(AC596*1000)/AZ596</f>
        <v>380.16140767874094</v>
      </c>
      <c r="AH596" s="119">
        <f>+AZ596/$BB$44</f>
        <v>2.0459566226269585E-2</v>
      </c>
      <c r="AI596" s="119">
        <f>+AZ596/$BC$44</f>
        <v>8.7208818027840848E-2</v>
      </c>
      <c r="AJ596" s="176">
        <f>+AH596*AG596</f>
        <v>7.7779374970750714</v>
      </c>
      <c r="AK596" s="176">
        <f>+AI596*AG596</f>
        <v>33.153427023463138</v>
      </c>
      <c r="AL596" s="120">
        <f t="shared" si="1730"/>
        <v>0.29107125406826267</v>
      </c>
      <c r="AM596" s="120">
        <f t="shared" si="1731"/>
        <v>0.42152554050207719</v>
      </c>
      <c r="AN596" s="120">
        <f t="shared" si="1732"/>
        <v>0.28740320542966014</v>
      </c>
      <c r="AO596" s="120">
        <f t="shared" si="1736"/>
        <v>-3.689269398185336E-2</v>
      </c>
      <c r="AP596" s="173">
        <f>+AP595*EXP(AO596)</f>
        <v>96.377954914628276</v>
      </c>
      <c r="AQ596" s="175">
        <f>LN(AP596/AP595)</f>
        <v>-3.6892693981853519E-2</v>
      </c>
      <c r="AR596" s="177">
        <f>+AC596/$AE$44</f>
        <v>3.4373938524213554E-2</v>
      </c>
      <c r="AS596" s="177">
        <f>+AR596*AQ596</f>
        <v>-1.2681471949248563E-3</v>
      </c>
      <c r="AT596" s="177"/>
      <c r="AU596" s="177"/>
      <c r="AV596" s="177"/>
      <c r="AW596" s="190"/>
      <c r="AX596" s="120"/>
      <c r="AY596" s="120"/>
      <c r="AZ596" s="118">
        <f>IFERROR(INDEX('Total Customers'!$F$7:$AB$91,MATCH($C596,'Total Customers'!$D$7:$D$91,0),MATCH($G596,'Total Customers'!$F$5:$AB$5,0)),"NA")</f>
        <v>719244</v>
      </c>
      <c r="BA596" s="119">
        <f t="shared" si="1710"/>
        <v>-1.9234222069807884E-2</v>
      </c>
      <c r="BB596" s="119"/>
      <c r="BC596" s="121">
        <v>8247377</v>
      </c>
      <c r="BD596" s="119"/>
      <c r="BE596" s="119"/>
      <c r="BF596" s="119"/>
      <c r="BG596" s="173"/>
      <c r="BH596" s="173"/>
      <c r="BI596" s="173"/>
      <c r="BJ596" s="173"/>
      <c r="BK596" s="173"/>
      <c r="BL596" s="173"/>
      <c r="BM596" s="173"/>
      <c r="BN596" s="173"/>
      <c r="BO596" s="173"/>
      <c r="BP596" s="173"/>
      <c r="BQ596" s="118"/>
      <c r="BR596" s="118"/>
      <c r="BS596" s="118">
        <f>INDEX('Dist. Plant Gas Additions'!$F$7:$AE$91,MATCH($C596,'Dist. Plant Gas Additions'!$D$7:$D$91,0),MATCH(Calculation!$G596,'Dist. Plant Gas Additions'!$F$5:$AE$5,0))</f>
        <v>46149</v>
      </c>
      <c r="BT596" s="118">
        <f>INDEX('Gen. Plant Additions'!$F$7:$AE$91,MATCH($C596,'Gen. Plant Additions'!$D$7:$D$91,0),MATCH(Calculation!$G596,'Gen. Plant Additions'!$F$5:$AE$5,0))</f>
        <v>5535</v>
      </c>
      <c r="BU596" s="118"/>
      <c r="BV596" s="118"/>
      <c r="BW596" s="118">
        <f>INDEX('Dist Plant Depreciation'!$E$7:$AD$94,MATCH($C596,'Dist Plant Depreciation'!$D$7:$D$94,0),MATCH(Calculation!$G596,'Dist Plant Depreciation'!$E$5:$AD$5,0))</f>
        <v>452594</v>
      </c>
      <c r="BX596" s="118">
        <f>INDEX('Gen. Plant Depreciation'!$E$7:$AD$94,MATCH($C596,'Gen. Plant Depreciation'!$D$7:$D$94,0),MATCH(Calculation!$G596,'Gen. Plant Depreciation'!$E$5:$AD$5,0))</f>
        <v>7734</v>
      </c>
      <c r="BY596" s="118"/>
      <c r="BZ596" s="118"/>
      <c r="CA596" s="118"/>
      <c r="CB596" s="118"/>
      <c r="CC596" s="118"/>
      <c r="CD596" s="118"/>
      <c r="CE596" s="118">
        <f>INDEX('Gross Dx Plant'!$E$7:$AD$91,MATCH($C596,'Gross Dx Plant'!$D$7:$D$91,0),MATCH(Calculation!$G596,'Gross Dx Plant'!$E$5:$AD$5,0))</f>
        <v>1383510</v>
      </c>
      <c r="CF596" s="118">
        <f>INDEX('Gross Gen Plant'!$E$7:$AD$91,MATCH($C596,'Gross Gen Plant'!$D$7:$D$91,0),MATCH(Calculation!$G596,'Gross Gen Plant'!$E$5:$AD$5,0))</f>
        <v>49221</v>
      </c>
      <c r="CG596" s="118">
        <f t="shared" si="1720"/>
        <v>972403</v>
      </c>
      <c r="CH596" s="119" t="e">
        <f>SUM(#REF!)/15</f>
        <v>#REF!</v>
      </c>
      <c r="CI596" s="121">
        <v>2006</v>
      </c>
      <c r="CJ596" s="118"/>
      <c r="CK596" s="118"/>
      <c r="CL596" s="118"/>
      <c r="CM596" s="183"/>
      <c r="CN596" s="118">
        <f t="shared" si="1711"/>
        <v>51684</v>
      </c>
      <c r="CO596" s="118">
        <f t="shared" si="1712"/>
        <v>112.09196697442476</v>
      </c>
      <c r="CP596" s="186">
        <v>0.9555555555555556</v>
      </c>
      <c r="CQ596" s="118">
        <f>+CQ588*CP596+CO589*CP595+CO590*CP594+CO591*CP593+CO592*CP592+CO593*CP591+CO594*CP590+CO595*CP589+CO596</f>
        <v>4985.0236701713447</v>
      </c>
      <c r="CR596" s="119">
        <f t="shared" si="1713"/>
        <v>1.642146111682825E-2</v>
      </c>
      <c r="CS596" s="119"/>
      <c r="CT596" s="177">
        <f t="shared" si="1714"/>
        <v>6.3010070223767194E-3</v>
      </c>
      <c r="CU596" s="177">
        <f t="shared" si="1723"/>
        <v>6.0922261983556297E-3</v>
      </c>
      <c r="CV596" s="119">
        <f>VLOOKUP($H596,RoR!$E:$F,2,FALSE)</f>
        <v>5.5874999999999994E-2</v>
      </c>
      <c r="CW596" s="177">
        <v>3.0512430354548314E-2</v>
      </c>
      <c r="CX596" s="177">
        <f t="shared" si="1721"/>
        <v>2.536256964545168E-2</v>
      </c>
      <c r="CY596" s="177">
        <f t="shared" si="1724"/>
        <v>2.4809715410177995E-2</v>
      </c>
      <c r="CZ596" s="177">
        <f t="shared" si="1725"/>
        <v>7.9087823893859641E-2</v>
      </c>
      <c r="DA596" s="187">
        <f t="shared" si="1715"/>
        <v>0.85131374874999999</v>
      </c>
      <c r="DB596" s="188">
        <f t="shared" si="1716"/>
        <v>0.91779957551769631</v>
      </c>
      <c r="DC596" s="188">
        <f t="shared" si="1717"/>
        <v>0.52757270693512304</v>
      </c>
      <c r="DD596" s="188">
        <f t="shared" si="1718"/>
        <v>0.88636824549024895</v>
      </c>
      <c r="DE596" s="188">
        <f t="shared" si="1719"/>
        <v>0.42918482841932087</v>
      </c>
      <c r="DF596" s="189">
        <f>INDEX('State Tax Lookup'!$D$7:$Z$91,MATCH(Calculation!$C596,'State Tax Lookup'!$B$7:$B$91,0),MATCH($H596,'State Tax Lookup'!$D$6:$Z$6,0))</f>
        <v>0.39649667</v>
      </c>
      <c r="DG596" s="189">
        <v>0.375</v>
      </c>
      <c r="DH596" s="190">
        <f t="shared" si="1722"/>
        <v>16.025087423132067</v>
      </c>
      <c r="DI596" s="190">
        <v>15.549609524015715</v>
      </c>
      <c r="DJ596" s="177"/>
      <c r="DK596" s="189">
        <f>VLOOKUP($H596,RoR!$E:$F,2,FALSE)</f>
        <v>5.5874999999999994E-2</v>
      </c>
      <c r="DL596" s="191">
        <f>HLOOKUP($H596,'GDP-PI'!$D$8:$CQ$11,3,FALSE)</f>
        <v>3.0512430354548314E-2</v>
      </c>
      <c r="DM596" s="189">
        <f>VLOOKUP(H596,'HW Dx Data'!$E:$F,2,FALSE)</f>
        <v>461.08567272971823</v>
      </c>
      <c r="DN596" s="183">
        <f>VLOOKUP(H596,'ECI - Input Price'!$G$17:$H$37,2,FALSE)</f>
        <v>102.05</v>
      </c>
      <c r="DO596" s="177">
        <f t="shared" ref="DO596" si="1743">LN(DN596/DN595)</f>
        <v>2.8829034290048662E-2</v>
      </c>
      <c r="DP596" s="183">
        <f>HLOOKUP(H596,'GDP-PI'!$8:$9,2,FALSE)</f>
        <v>90.073999999999998</v>
      </c>
      <c r="DQ596" s="177">
        <f t="shared" ref="DQ596" si="1744">LN(DP596/DP595)</f>
        <v>3.005618372545445E-2</v>
      </c>
    </row>
    <row r="597" spans="1:121" s="167" customFormat="1" ht="21" x14ac:dyDescent="0.35">
      <c r="A597" s="167" t="s">
        <v>70</v>
      </c>
      <c r="B597" s="168" t="s">
        <v>70</v>
      </c>
      <c r="C597" s="168">
        <v>4061687</v>
      </c>
      <c r="D597" s="168" t="s">
        <v>136</v>
      </c>
      <c r="E597" s="168" t="s">
        <v>126</v>
      </c>
      <c r="F597" s="168"/>
      <c r="G597" s="168" t="s">
        <v>13</v>
      </c>
      <c r="H597" s="169">
        <v>2007</v>
      </c>
      <c r="I597" s="170"/>
      <c r="J597" s="166">
        <f>IFERROR(INDEX('Labor Expenditures'!$F$7:$X$91,MATCH($C597,'Labor Expenditures'!$D$7:$D$91,0),MATCH($G597,'Labor Expenditures'!$F$5:$X$5,0)),"NA")</f>
        <v>79049.444214847972</v>
      </c>
      <c r="K597" s="166">
        <f t="shared" si="1728"/>
        <v>751.2420452824706</v>
      </c>
      <c r="L597" s="172">
        <f t="shared" si="1735"/>
        <v>-3.7418611110332178E-2</v>
      </c>
      <c r="M597" s="172">
        <f t="shared" si="1739"/>
        <v>-1.2435380259991382E-3</v>
      </c>
      <c r="N597" s="196"/>
      <c r="O597" s="172"/>
      <c r="P597" s="166">
        <f>IFERROR(INDEX('Non-Labor Expenditures'!$F$7:$AB$91,MATCH($C597,'Non-Labor Expenditures'!$D$7:$D$91,0),MATCH($G597,'Non-Labor Expenditures'!$F$5:$AB$5,0)),"NA")</f>
        <v>114478.35962268537</v>
      </c>
      <c r="Q597" s="166">
        <f t="shared" si="1729"/>
        <v>1237.63064739438</v>
      </c>
      <c r="R597" s="172">
        <f t="shared" si="1740"/>
        <v>-3.333605365958936E-2</v>
      </c>
      <c r="S597" s="172">
        <f t="shared" ref="S597:S611" si="1745">+R597*AR597</f>
        <v>-1.1078618134760345E-3</v>
      </c>
      <c r="T597" s="172"/>
      <c r="U597" s="172"/>
      <c r="V597" s="166">
        <f t="shared" si="1709"/>
        <v>85695.701396267308</v>
      </c>
      <c r="W597" s="170"/>
      <c r="X597" s="174">
        <v>5054.0116406908537</v>
      </c>
      <c r="Y597" s="175">
        <v>1.3744160544646108E-2</v>
      </c>
      <c r="Z597" s="175">
        <f t="shared" ref="Z597:Z611" si="1746">+Y597*AR597</f>
        <v>4.5676164255025267E-4</v>
      </c>
      <c r="AA597" s="175"/>
      <c r="AB597" s="175"/>
      <c r="AC597" s="170">
        <f t="shared" si="1677"/>
        <v>279223.50523380062</v>
      </c>
      <c r="AD597" s="175">
        <f t="shared" si="1741"/>
        <v>2.097125416697326E-2</v>
      </c>
      <c r="AE597" s="170"/>
      <c r="AF597" s="170"/>
      <c r="AG597" s="121">
        <f t="shared" si="1742"/>
        <v>384.93888676801339</v>
      </c>
      <c r="AH597" s="119">
        <f>+AZ597/$BB$45</f>
        <v>2.0479146221702944E-2</v>
      </c>
      <c r="AI597" s="119">
        <f>+AZ597/$BC$45</f>
        <v>8.8592150450972101E-2</v>
      </c>
      <c r="AJ597" s="176">
        <f t="shared" ref="AJ597:AJ611" si="1747">+AH597*AG597</f>
        <v>7.8832197485416993</v>
      </c>
      <c r="AK597" s="176">
        <f t="shared" ref="AK597:AK611" si="1748">+AI597*AG597</f>
        <v>34.102563770981554</v>
      </c>
      <c r="AL597" s="120">
        <f t="shared" si="1730"/>
        <v>0.28310454790923834</v>
      </c>
      <c r="AM597" s="120">
        <f t="shared" si="1731"/>
        <v>0.40998826200835015</v>
      </c>
      <c r="AN597" s="120">
        <f t="shared" si="1732"/>
        <v>0.30690719008241163</v>
      </c>
      <c r="AO597" s="120">
        <f t="shared" si="1736"/>
        <v>-2.0517976146532984E-2</v>
      </c>
      <c r="AP597" s="173">
        <f>+AP596*EXP(AO597)</f>
        <v>94.420623244075429</v>
      </c>
      <c r="AQ597" s="175">
        <f>LN(AP597/AP596)</f>
        <v>-2.0517976146532939E-2</v>
      </c>
      <c r="AR597" s="177">
        <f>+AC597/$AE$45</f>
        <v>3.323314225459767E-2</v>
      </c>
      <c r="AS597" s="177">
        <f t="shared" ref="AS597:AS611" si="1749">+AR597*AQ597</f>
        <v>-6.8187682005417082E-4</v>
      </c>
      <c r="AT597" s="177"/>
      <c r="AU597" s="177"/>
      <c r="AV597" s="177"/>
      <c r="AW597" s="190"/>
      <c r="AX597" s="120"/>
      <c r="AY597" s="120"/>
      <c r="AZ597" s="118">
        <f>IFERROR(INDEX('Total Customers'!$F$7:$AB$91,MATCH($C597,'Total Customers'!$D$7:$D$91,0),MATCH($G597,'Total Customers'!$F$5:$AB$5,0)),"NA")</f>
        <v>725371</v>
      </c>
      <c r="BA597" s="119">
        <f t="shared" si="1710"/>
        <v>8.4825877325371592E-3</v>
      </c>
      <c r="BB597" s="119"/>
      <c r="BC597" s="121">
        <v>8187757</v>
      </c>
      <c r="BD597" s="119"/>
      <c r="BE597" s="119"/>
      <c r="BF597" s="119"/>
      <c r="BG597" s="173"/>
      <c r="BH597" s="173"/>
      <c r="BI597" s="173"/>
      <c r="BJ597" s="173"/>
      <c r="BK597" s="173"/>
      <c r="BL597" s="173"/>
      <c r="BM597" s="173"/>
      <c r="BN597" s="173"/>
      <c r="BO597" s="173"/>
      <c r="BP597" s="173"/>
      <c r="BQ597" s="118"/>
      <c r="BR597" s="118"/>
      <c r="BS597" s="118">
        <f>INDEX('Dist. Plant Gas Additions'!$F$7:$AE$91,MATCH($C597,'Dist. Plant Gas Additions'!$D$7:$D$91,0),MATCH(Calculation!$G597,'Dist. Plant Gas Additions'!$F$5:$AE$5,0))</f>
        <v>45253</v>
      </c>
      <c r="BT597" s="118">
        <f>INDEX('Gen. Plant Additions'!$F$7:$AE$91,MATCH($C597,'Gen. Plant Additions'!$D$7:$D$91,0),MATCH(Calculation!$G597,'Gen. Plant Additions'!$F$5:$AE$5,0))</f>
        <v>5288</v>
      </c>
      <c r="BU597" s="118"/>
      <c r="BV597" s="118"/>
      <c r="BW597" s="118">
        <f>INDEX('Dist Plant Depreciation'!$E$7:$AD$94,MATCH($C597,'Dist Plant Depreciation'!$D$7:$D$94,0),MATCH(Calculation!$G597,'Dist Plant Depreciation'!$E$5:$AD$5,0))</f>
        <v>473629</v>
      </c>
      <c r="BX597" s="118">
        <f>INDEX('Gen. Plant Depreciation'!$E$7:$AD$94,MATCH($C597,'Gen. Plant Depreciation'!$D$7:$D$94,0),MATCH(Calculation!$G597,'Gen. Plant Depreciation'!$E$5:$AD$5,0))</f>
        <v>20454</v>
      </c>
      <c r="BY597" s="118"/>
      <c r="BZ597" s="118"/>
      <c r="CA597" s="118"/>
      <c r="CB597" s="118"/>
      <c r="CC597" s="118"/>
      <c r="CD597" s="118"/>
      <c r="CE597" s="118">
        <f>INDEX('Gross Dx Plant'!$E$7:$AD$91,MATCH($C597,'Gross Dx Plant'!$D$7:$D$91,0),MATCH(Calculation!$G597,'Gross Dx Plant'!$E$5:$AD$5,0))</f>
        <v>1419719</v>
      </c>
      <c r="CF597" s="118">
        <f>INDEX('Gross Gen Plant'!$E$7:$AD$91,MATCH($C597,'Gross Gen Plant'!$D$7:$D$91,0),MATCH(Calculation!$G597,'Gross Gen Plant'!$E$5:$AD$5,0))</f>
        <v>60226</v>
      </c>
      <c r="CG597" s="118">
        <f t="shared" si="1720"/>
        <v>985862</v>
      </c>
      <c r="CH597" s="118"/>
      <c r="CI597" s="121">
        <v>2007</v>
      </c>
      <c r="CJ597" s="118"/>
      <c r="CK597" s="118"/>
      <c r="CL597" s="118"/>
      <c r="CM597" s="183"/>
      <c r="CN597" s="118">
        <f t="shared" si="1711"/>
        <v>50541</v>
      </c>
      <c r="CO597" s="118">
        <f t="shared" si="1712"/>
        <v>101.48340431606093</v>
      </c>
      <c r="CP597" s="186">
        <v>0.94915254237288138</v>
      </c>
      <c r="CQ597" s="118">
        <f>+CQ588*CP597+CO589*CP596+CO590*CP595+CO591*CP594+CO592*CP593+CO593*CP592+CO594*CP591+CO595*CP590+CO596*CP589+CO597</f>
        <v>5054.0116406908537</v>
      </c>
      <c r="CR597" s="119">
        <f t="shared" si="1713"/>
        <v>1.3744160544646108E-2</v>
      </c>
      <c r="CS597" s="119"/>
      <c r="CT597" s="177">
        <f t="shared" si="1714"/>
        <v>6.5186117351846064E-3</v>
      </c>
      <c r="CU597" s="177">
        <f t="shared" si="1723"/>
        <v>6.3023311769808479E-3</v>
      </c>
      <c r="CV597" s="119">
        <f>VLOOKUP($H597,RoR!$E:$F,2,FALSE)</f>
        <v>5.5558333333333321E-2</v>
      </c>
      <c r="CW597" s="177">
        <v>2.691120634145272E-2</v>
      </c>
      <c r="CX597" s="177">
        <f t="shared" si="1721"/>
        <v>2.86471269918806E-2</v>
      </c>
      <c r="CY597" s="177">
        <f t="shared" si="1724"/>
        <v>2.4599610431552777E-2</v>
      </c>
      <c r="CZ597" s="177">
        <f t="shared" si="1725"/>
        <v>6.4575155250632399E-2</v>
      </c>
      <c r="DA597" s="187">
        <f t="shared" si="1715"/>
        <v>0.85131374874999999</v>
      </c>
      <c r="DB597" s="188">
        <f t="shared" si="1716"/>
        <v>0.92303077153834634</v>
      </c>
      <c r="DC597" s="188">
        <f t="shared" si="1717"/>
        <v>0.52502249887505614</v>
      </c>
      <c r="DD597" s="188">
        <f t="shared" si="1718"/>
        <v>0.88499666072084604</v>
      </c>
      <c r="DE597" s="188">
        <f t="shared" si="1719"/>
        <v>0.42887993290280618</v>
      </c>
      <c r="DF597" s="189">
        <f>INDEX('State Tax Lookup'!$D$7:$Z$91,MATCH(Calculation!$C597,'State Tax Lookup'!$B$7:$B$91,0),MATCH($H597,'State Tax Lookup'!$D$6:$Z$6,0))</f>
        <v>0.39649667</v>
      </c>
      <c r="DG597" s="189">
        <v>0.375</v>
      </c>
      <c r="DH597" s="190">
        <f t="shared" si="1722"/>
        <v>17.190630790589964</v>
      </c>
      <c r="DI597" s="190">
        <v>16.928586074669315</v>
      </c>
      <c r="DJ597" s="177"/>
      <c r="DK597" s="189">
        <f>VLOOKUP($H597,RoR!$E:$F,2,FALSE)</f>
        <v>5.5558333333333321E-2</v>
      </c>
      <c r="DL597" s="191">
        <f>HLOOKUP($H597,'GDP-PI'!$D$8:$CQ$11,3,FALSE)</f>
        <v>2.691120634145272E-2</v>
      </c>
      <c r="DM597" s="189">
        <f>VLOOKUP(H597,'HW Dx Data'!$E:$F,2,FALSE)</f>
        <v>498.0223154772637</v>
      </c>
      <c r="DN597" s="183">
        <f>VLOOKUP(H597,'ECI - Input Price'!$G$17:$H$37,2,FALSE)</f>
        <v>105.22500000000001</v>
      </c>
      <c r="DO597" s="177">
        <f t="shared" ref="DO597" si="1750">LN(DN597/DN596)</f>
        <v>3.0638025400780679E-2</v>
      </c>
      <c r="DP597" s="183">
        <f>HLOOKUP(H597,'GDP-PI'!$8:$9,2,FALSE)</f>
        <v>92.498000000000005</v>
      </c>
      <c r="DQ597" s="177">
        <f t="shared" ref="DQ597" si="1751">LN(DP597/DP596)</f>
        <v>2.6555467950038037E-2</v>
      </c>
    </row>
    <row r="598" spans="1:121" s="167" customFormat="1" ht="21" x14ac:dyDescent="0.35">
      <c r="A598" s="167" t="s">
        <v>70</v>
      </c>
      <c r="B598" s="168" t="s">
        <v>70</v>
      </c>
      <c r="C598" s="168">
        <v>4061687</v>
      </c>
      <c r="D598" s="168" t="s">
        <v>136</v>
      </c>
      <c r="E598" s="168" t="s">
        <v>126</v>
      </c>
      <c r="F598" s="168"/>
      <c r="G598" s="168" t="s">
        <v>14</v>
      </c>
      <c r="H598" s="169">
        <v>2008</v>
      </c>
      <c r="I598" s="170"/>
      <c r="J598" s="166">
        <f>IFERROR(INDEX('Labor Expenditures'!$F$7:$X$91,MATCH($C598,'Labor Expenditures'!$D$7:$D$91,0),MATCH($G598,'Labor Expenditures'!$F$5:$X$5,0)),"NA")</f>
        <v>78282.179322125361</v>
      </c>
      <c r="K598" s="166">
        <f t="shared" si="1728"/>
        <v>723.32806026449862</v>
      </c>
      <c r="L598" s="172">
        <f t="shared" si="1735"/>
        <v>-3.7865029268145861E-2</v>
      </c>
      <c r="M598" s="172">
        <f t="shared" si="1739"/>
        <v>-1.2234017852496629E-3</v>
      </c>
      <c r="N598" s="196"/>
      <c r="O598" s="172"/>
      <c r="P598" s="166">
        <f>IFERROR(INDEX('Non-Labor Expenditures'!$F$7:$AB$91,MATCH($C598,'Non-Labor Expenditures'!$D$7:$D$91,0),MATCH($G598,'Non-Labor Expenditures'!$F$5:$AB$5,0)),"NA")</f>
        <v>113367.21675270851</v>
      </c>
      <c r="Q598" s="166">
        <f t="shared" si="1729"/>
        <v>1202.656547066839</v>
      </c>
      <c r="R598" s="172">
        <f t="shared" si="1740"/>
        <v>-2.8665884344768522E-2</v>
      </c>
      <c r="S598" s="172">
        <f t="shared" si="1745"/>
        <v>-9.2618161826307874E-4</v>
      </c>
      <c r="T598" s="172"/>
      <c r="U598" s="172"/>
      <c r="V598" s="166">
        <f t="shared" si="1709"/>
        <v>98556.387772243164</v>
      </c>
      <c r="W598" s="170"/>
      <c r="X598" s="174">
        <v>5115.5521836809212</v>
      </c>
      <c r="Y598" s="175">
        <v>1.210303514952827E-2</v>
      </c>
      <c r="Z598" s="175">
        <f t="shared" si="1746"/>
        <v>3.9104353264896751E-4</v>
      </c>
      <c r="AA598" s="175"/>
      <c r="AB598" s="175"/>
      <c r="AC598" s="170">
        <f t="shared" si="1677"/>
        <v>290205.78384707705</v>
      </c>
      <c r="AD598" s="175">
        <f t="shared" si="1741"/>
        <v>3.8577715661762942E-2</v>
      </c>
      <c r="AE598" s="170"/>
      <c r="AF598" s="170"/>
      <c r="AG598" s="121">
        <f t="shared" si="1742"/>
        <v>398.77947858365621</v>
      </c>
      <c r="AH598" s="119">
        <f>+AZ598/$BB$46</f>
        <v>2.0436339989413774E-2</v>
      </c>
      <c r="AI598" s="119">
        <f>+AZ598/$BC$46</f>
        <v>8.8273356956672197E-2</v>
      </c>
      <c r="AJ598" s="176">
        <f t="shared" si="1747"/>
        <v>8.1495930051367473</v>
      </c>
      <c r="AK598" s="176">
        <f t="shared" si="1748"/>
        <v>35.2016032600107</v>
      </c>
      <c r="AL598" s="120">
        <f t="shared" si="1730"/>
        <v>0.26974713696049518</v>
      </c>
      <c r="AM598" s="120">
        <f t="shared" si="1731"/>
        <v>0.39064423613433902</v>
      </c>
      <c r="AN598" s="120">
        <f t="shared" si="1732"/>
        <v>0.33960862690516574</v>
      </c>
      <c r="AO598" s="120">
        <f t="shared" si="1736"/>
        <v>-1.8029890082615501E-2</v>
      </c>
      <c r="AP598" s="173">
        <f t="shared" ref="AP598:AP611" si="1752">+AP597*EXP(AO598)</f>
        <v>92.73348494836371</v>
      </c>
      <c r="AQ598" s="175">
        <f t="shared" ref="AQ598:AQ611" si="1753">LN(AP598/AP597)</f>
        <v>-1.8029890082615463E-2</v>
      </c>
      <c r="AR598" s="177">
        <f>+AC598/$AE$46</f>
        <v>3.2309542839277706E-2</v>
      </c>
      <c r="AS598" s="177">
        <f t="shared" si="1749"/>
        <v>-5.8253750601173257E-4</v>
      </c>
      <c r="AT598" s="177"/>
      <c r="AU598" s="177"/>
      <c r="AV598" s="177"/>
      <c r="AW598" s="190"/>
      <c r="AX598" s="120"/>
      <c r="AY598" s="120"/>
      <c r="AZ598" s="118">
        <f>IFERROR(INDEX('Total Customers'!$F$7:$AB$91,MATCH($C598,'Total Customers'!$D$7:$D$91,0),MATCH($G598,'Total Customers'!$F$5:$AB$5,0)),"NA")</f>
        <v>727735</v>
      </c>
      <c r="BA598" s="119">
        <f t="shared" si="1710"/>
        <v>3.2537228331338611E-3</v>
      </c>
      <c r="BB598" s="119"/>
      <c r="BC598" s="121">
        <v>8244107</v>
      </c>
      <c r="BD598" s="119"/>
      <c r="BE598" s="119"/>
      <c r="BF598" s="119"/>
      <c r="BG598" s="173"/>
      <c r="BH598" s="173"/>
      <c r="BI598" s="173"/>
      <c r="BJ598" s="173"/>
      <c r="BK598" s="173"/>
      <c r="BL598" s="173"/>
      <c r="BM598" s="173"/>
      <c r="BN598" s="173"/>
      <c r="BO598" s="173"/>
      <c r="BP598" s="173"/>
      <c r="BQ598" s="118"/>
      <c r="BR598" s="118"/>
      <c r="BS598" s="118">
        <f>INDEX('Dist. Plant Gas Additions'!$F$7:$AE$91,MATCH($C598,'Dist. Plant Gas Additions'!$D$7:$D$91,0),MATCH(Calculation!$G598,'Dist. Plant Gas Additions'!$F$5:$AE$5,0))</f>
        <v>50025</v>
      </c>
      <c r="BT598" s="118">
        <f>INDEX('Gen. Plant Additions'!$F$7:$AE$91,MATCH($C598,'Gen. Plant Additions'!$D$7:$D$91,0),MATCH(Calculation!$G598,'Gen. Plant Additions'!$F$5:$AE$5,0))</f>
        <v>4484</v>
      </c>
      <c r="BU598" s="118"/>
      <c r="BV598" s="118"/>
      <c r="BW598" s="118">
        <f>INDEX('Dist Plant Depreciation'!$E$7:$AD$94,MATCH($C598,'Dist Plant Depreciation'!$D$7:$D$94,0),MATCH(Calculation!$G598,'Dist Plant Depreciation'!$E$5:$AD$5,0))</f>
        <v>495063</v>
      </c>
      <c r="BX598" s="118">
        <f>INDEX('Gen. Plant Depreciation'!$E$7:$AD$94,MATCH($C598,'Gen. Plant Depreciation'!$D$7:$D$94,0),MATCH(Calculation!$G598,'Gen. Plant Depreciation'!$E$5:$AD$5,0))</f>
        <v>24536</v>
      </c>
      <c r="BY598" s="118"/>
      <c r="BZ598" s="118"/>
      <c r="CA598" s="118"/>
      <c r="CB598" s="118"/>
      <c r="CC598" s="118"/>
      <c r="CD598" s="118"/>
      <c r="CE598" s="118">
        <f>INDEX('Gross Dx Plant'!$E$7:$AD$91,MATCH($C598,'Gross Dx Plant'!$D$7:$D$91,0),MATCH(Calculation!$G598,'Gross Dx Plant'!$E$5:$AD$5,0))</f>
        <v>1460827</v>
      </c>
      <c r="CF598" s="118">
        <f>INDEX('Gross Gen Plant'!$E$7:$AD$91,MATCH($C598,'Gross Gen Plant'!$D$7:$D$91,0),MATCH(Calculation!$G598,'Gross Gen Plant'!$E$5:$AD$5,0))</f>
        <v>63133</v>
      </c>
      <c r="CG598" s="118">
        <f t="shared" si="1720"/>
        <v>1004361</v>
      </c>
      <c r="CH598" s="118"/>
      <c r="CI598" s="121">
        <v>2008</v>
      </c>
      <c r="CJ598" s="118"/>
      <c r="CK598" s="118"/>
      <c r="CL598" s="118"/>
      <c r="CM598" s="183"/>
      <c r="CN598" s="118">
        <f t="shared" si="1711"/>
        <v>54509</v>
      </c>
      <c r="CO598" s="118">
        <f t="shared" si="1712"/>
        <v>95.649759425286589</v>
      </c>
      <c r="CP598" s="186">
        <v>0.94252873563218387</v>
      </c>
      <c r="CQ598" s="118">
        <f>+CQ588*CP598+CO589*CP597+CO590*CP596+CO591*CP595+CO592*CP594+CO593*CP593+CO594*CP592+CO595*CP591+CO596*CP590+CO597*CP589+CO598</f>
        <v>5115.5521836809212</v>
      </c>
      <c r="CR598" s="119">
        <f t="shared" si="1713"/>
        <v>1.210303514952827E-2</v>
      </c>
      <c r="CS598" s="119"/>
      <c r="CT598" s="177">
        <f t="shared" si="1714"/>
        <v>6.748939033024582E-3</v>
      </c>
      <c r="CU598" s="177">
        <f t="shared" si="1723"/>
        <v>6.5228525968619696E-3</v>
      </c>
      <c r="CV598" s="119">
        <f>VLOOKUP($H598,RoR!$E:$F,2,FALSE)</f>
        <v>5.6316666666666668E-2</v>
      </c>
      <c r="CW598" s="177">
        <v>1.9092304698479889E-2</v>
      </c>
      <c r="CX598" s="177">
        <f t="shared" si="1721"/>
        <v>3.7224361968186778E-2</v>
      </c>
      <c r="CY598" s="177">
        <f t="shared" si="1724"/>
        <v>2.4379089011671656E-2</v>
      </c>
      <c r="CZ598" s="177">
        <f t="shared" si="1725"/>
        <v>6.9030581091053131E-2</v>
      </c>
      <c r="DA598" s="187">
        <f t="shared" si="1715"/>
        <v>0.85131374874999999</v>
      </c>
      <c r="DB598" s="188">
        <f t="shared" si="1716"/>
        <v>0.91060168006009956</v>
      </c>
      <c r="DC598" s="188">
        <f t="shared" si="1717"/>
        <v>0.53108168097070152</v>
      </c>
      <c r="DD598" s="188">
        <f t="shared" si="1718"/>
        <v>0.88825329850328805</v>
      </c>
      <c r="DE598" s="188">
        <f t="shared" si="1719"/>
        <v>0.4295627335323573</v>
      </c>
      <c r="DF598" s="189">
        <f>INDEX('State Tax Lookup'!$D$7:$Z$91,MATCH(Calculation!$C598,'State Tax Lookup'!$B$7:$B$91,0),MATCH($H598,'State Tax Lookup'!$D$6:$Z$6,0))</f>
        <v>0.39649667</v>
      </c>
      <c r="DG598" s="189">
        <v>0.375</v>
      </c>
      <c r="DH598" s="190">
        <f t="shared" si="1722"/>
        <v>19.500625399978517</v>
      </c>
      <c r="DI598" s="190">
        <v>19.208302905473218</v>
      </c>
      <c r="DJ598" s="177"/>
      <c r="DK598" s="189">
        <f>VLOOKUP($H598,RoR!$E:$F,2,FALSE)</f>
        <v>5.6316666666666668E-2</v>
      </c>
      <c r="DL598" s="191">
        <f>HLOOKUP($H598,'GDP-PI'!$D$8:$CQ$11,3,FALSE)</f>
        <v>1.9092304698479889E-2</v>
      </c>
      <c r="DM598" s="189">
        <f>VLOOKUP(H598,'HW Dx Data'!$E:$F,2,FALSE)</f>
        <v>569.88120333515076</v>
      </c>
      <c r="DN598" s="183">
        <f>VLOOKUP(H598,'ECI - Input Price'!$G$17:$H$37,2,FALSE)</f>
        <v>108.22499999999999</v>
      </c>
      <c r="DO598" s="177">
        <f t="shared" ref="DO598" si="1754">LN(DN598/DN597)</f>
        <v>2.8111478671409691E-2</v>
      </c>
      <c r="DP598" s="183">
        <f>HLOOKUP(H598,'GDP-PI'!$8:$9,2,FALSE)</f>
        <v>94.263999999999996</v>
      </c>
      <c r="DQ598" s="177">
        <f t="shared" ref="DQ598" si="1755">LN(DP598/DP597)</f>
        <v>1.8912333748032254E-2</v>
      </c>
    </row>
    <row r="599" spans="1:121" s="167" customFormat="1" ht="21" x14ac:dyDescent="0.35">
      <c r="A599" s="167" t="s">
        <v>70</v>
      </c>
      <c r="B599" s="168" t="s">
        <v>70</v>
      </c>
      <c r="C599" s="168">
        <v>4061687</v>
      </c>
      <c r="D599" s="168" t="s">
        <v>136</v>
      </c>
      <c r="E599" s="168" t="s">
        <v>126</v>
      </c>
      <c r="F599" s="168"/>
      <c r="G599" s="168" t="s">
        <v>15</v>
      </c>
      <c r="H599" s="169">
        <v>2009</v>
      </c>
      <c r="I599" s="170"/>
      <c r="J599" s="166">
        <f>IFERROR(INDEX('Labor Expenditures'!$F$7:$X$91,MATCH($C599,'Labor Expenditures'!$D$7:$D$91,0),MATCH($G599,'Labor Expenditures'!$F$5:$X$5,0)),"NA")</f>
        <v>73179.388002868116</v>
      </c>
      <c r="K599" s="166">
        <f t="shared" si="1728"/>
        <v>666.63072651212133</v>
      </c>
      <c r="L599" s="172">
        <f t="shared" si="1735"/>
        <v>-8.1626608693963404E-2</v>
      </c>
      <c r="M599" s="172">
        <f t="shared" si="1739"/>
        <v>-2.3933647104543089E-3</v>
      </c>
      <c r="N599" s="196"/>
      <c r="O599" s="172"/>
      <c r="P599" s="166">
        <f>IFERROR(INDEX('Non-Labor Expenditures'!$F$7:$AB$91,MATCH($C599,'Non-Labor Expenditures'!$D$7:$D$91,0),MATCH($G599,'Non-Labor Expenditures'!$F$5:$AB$5,0)),"NA")</f>
        <v>105977.42185247158</v>
      </c>
      <c r="Q599" s="166">
        <f t="shared" si="1729"/>
        <v>1115.5635517476142</v>
      </c>
      <c r="R599" s="172">
        <f t="shared" si="1740"/>
        <v>-7.5173194392536086E-2</v>
      </c>
      <c r="S599" s="172">
        <f t="shared" si="1745"/>
        <v>-2.2041448678306189E-3</v>
      </c>
      <c r="T599" s="172"/>
      <c r="U599" s="172"/>
      <c r="V599" s="166">
        <f t="shared" si="1709"/>
        <v>95547.238697708381</v>
      </c>
      <c r="W599" s="170"/>
      <c r="X599" s="174">
        <v>5162.8521404236335</v>
      </c>
      <c r="Y599" s="175">
        <v>9.203819805136574E-3</v>
      </c>
      <c r="Z599" s="175">
        <f t="shared" si="1746"/>
        <v>2.6986417634453791E-4</v>
      </c>
      <c r="AA599" s="175"/>
      <c r="AB599" s="175"/>
      <c r="AC599" s="170">
        <f t="shared" si="1677"/>
        <v>274704.04855304805</v>
      </c>
      <c r="AD599" s="175">
        <f t="shared" si="1741"/>
        <v>-5.4895939724909221E-2</v>
      </c>
      <c r="AE599" s="170"/>
      <c r="AF599" s="170"/>
      <c r="AG599" s="121">
        <f t="shared" si="1742"/>
        <v>377.63121158177728</v>
      </c>
      <c r="AH599" s="119">
        <f>+AZ599/$BB$47</f>
        <v>2.0398580830201612E-2</v>
      </c>
      <c r="AI599" s="119">
        <f>+AZ599/$BC$47</f>
        <v>8.7256375698528413E-2</v>
      </c>
      <c r="AJ599" s="176">
        <f t="shared" si="1747"/>
        <v>7.7031407934578509</v>
      </c>
      <c r="AK599" s="176">
        <f t="shared" si="1748"/>
        <v>32.950730873270032</v>
      </c>
      <c r="AL599" s="120">
        <f t="shared" si="1730"/>
        <v>0.26639355476676368</v>
      </c>
      <c r="AM599" s="120">
        <f t="shared" si="1731"/>
        <v>0.38578762275506218</v>
      </c>
      <c r="AN599" s="120">
        <f t="shared" si="1732"/>
        <v>0.34781882247817425</v>
      </c>
      <c r="AO599" s="120">
        <f t="shared" si="1736"/>
        <v>-4.7901625568077012E-2</v>
      </c>
      <c r="AP599" s="173">
        <f t="shared" si="1752"/>
        <v>88.39611318743377</v>
      </c>
      <c r="AQ599" s="175">
        <f t="shared" si="1753"/>
        <v>-4.7901625568076853E-2</v>
      </c>
      <c r="AR599" s="177">
        <f>+AC599/$AE$47</f>
        <v>2.9320888724258701E-2</v>
      </c>
      <c r="AS599" s="177">
        <f t="shared" si="1749"/>
        <v>-1.404518232992687E-3</v>
      </c>
      <c r="AT599" s="177"/>
      <c r="AU599" s="177"/>
      <c r="AV599" s="177"/>
      <c r="AW599" s="190"/>
      <c r="AX599" s="120"/>
      <c r="AY599" s="120"/>
      <c r="AZ599" s="118">
        <f>IFERROR(INDEX('Total Customers'!$F$7:$AB$91,MATCH($C599,'Total Customers'!$D$7:$D$91,0),MATCH($G599,'Total Customers'!$F$5:$AB$5,0)),"NA")</f>
        <v>727440</v>
      </c>
      <c r="BA599" s="119">
        <f t="shared" si="1710"/>
        <v>-4.0544952193553705E-4</v>
      </c>
      <c r="BB599" s="119"/>
      <c r="BC599" s="121">
        <v>8336812</v>
      </c>
      <c r="BD599" s="119"/>
      <c r="BE599" s="119"/>
      <c r="BF599" s="119"/>
      <c r="BG599" s="173"/>
      <c r="BH599" s="173"/>
      <c r="BI599" s="173"/>
      <c r="BJ599" s="173"/>
      <c r="BK599" s="173"/>
      <c r="BL599" s="173"/>
      <c r="BM599" s="173"/>
      <c r="BN599" s="173"/>
      <c r="BO599" s="173"/>
      <c r="BP599" s="173"/>
      <c r="BQ599" s="118"/>
      <c r="BR599" s="118"/>
      <c r="BS599" s="118">
        <f>INDEX('Dist. Plant Gas Additions'!$F$7:$AE$91,MATCH($C599,'Dist. Plant Gas Additions'!$D$7:$D$91,0),MATCH(Calculation!$G599,'Dist. Plant Gas Additions'!$F$5:$AE$5,0))</f>
        <v>41216</v>
      </c>
      <c r="BT599" s="118">
        <f>INDEX('Gen. Plant Additions'!$F$7:$AE$91,MATCH($C599,'Gen. Plant Additions'!$D$7:$D$91,0),MATCH(Calculation!$G599,'Gen. Plant Additions'!$F$5:$AE$5,0))</f>
        <v>4549</v>
      </c>
      <c r="BU599" s="118"/>
      <c r="BV599" s="118"/>
      <c r="BW599" s="118">
        <f>INDEX('Dist Plant Depreciation'!$E$7:$AD$94,MATCH($C599,'Dist Plant Depreciation'!$D$7:$D$94,0),MATCH(Calculation!$G599,'Dist Plant Depreciation'!$E$5:$AD$5,0))</f>
        <v>517248</v>
      </c>
      <c r="BX599" s="118">
        <f>INDEX('Gen. Plant Depreciation'!$E$7:$AD$94,MATCH($C599,'Gen. Plant Depreciation'!$D$7:$D$94,0),MATCH(Calculation!$G599,'Gen. Plant Depreciation'!$E$5:$AD$5,0))</f>
        <v>26368</v>
      </c>
      <c r="BY599" s="118"/>
      <c r="BZ599" s="118"/>
      <c r="CA599" s="118"/>
      <c r="CB599" s="118"/>
      <c r="CC599" s="118"/>
      <c r="CD599" s="118"/>
      <c r="CE599" s="118">
        <f>INDEX('Gross Dx Plant'!$E$7:$AD$91,MATCH($C599,'Gross Dx Plant'!$D$7:$D$91,0),MATCH(Calculation!$G599,'Gross Dx Plant'!$E$5:$AD$5,0))</f>
        <v>1492815</v>
      </c>
      <c r="CF599" s="118">
        <f>INDEX('Gross Gen Plant'!$E$7:$AD$91,MATCH($C599,'Gross Gen Plant'!$D$7:$D$91,0),MATCH(Calculation!$G599,'Gross Gen Plant'!$E$5:$AD$5,0))</f>
        <v>63872</v>
      </c>
      <c r="CG599" s="118">
        <f t="shared" si="1720"/>
        <v>1013071</v>
      </c>
      <c r="CH599" s="118"/>
      <c r="CI599" s="121">
        <v>2009</v>
      </c>
      <c r="CJ599" s="118"/>
      <c r="CK599" s="118"/>
      <c r="CL599" s="118"/>
      <c r="CM599" s="183"/>
      <c r="CN599" s="118">
        <f t="shared" si="1711"/>
        <v>45765</v>
      </c>
      <c r="CO599" s="118">
        <f t="shared" si="1712"/>
        <v>83.067025634684811</v>
      </c>
      <c r="CP599" s="186">
        <v>0.93567251461988299</v>
      </c>
      <c r="CQ599" s="118">
        <f>+CQ588*CP599+CO589*CP598+CO590*CP597+CO591*CP596+CO592*CP595+CO593*CP594+CO594*CP593+CO595*CP592+CO596*CP591+CO597*CP590+CO598*CP589+CO599</f>
        <v>5162.8521404236335</v>
      </c>
      <c r="CR599" s="119">
        <f t="shared" si="1713"/>
        <v>9.203819805136574E-3</v>
      </c>
      <c r="CS599" s="119"/>
      <c r="CT599" s="177">
        <f t="shared" si="1714"/>
        <v>6.9918295440466261E-3</v>
      </c>
      <c r="CU599" s="177">
        <f t="shared" si="1723"/>
        <v>6.753126770751937E-3</v>
      </c>
      <c r="CV599" s="119">
        <f>VLOOKUP($H599,RoR!$E:$F,2,FALSE)</f>
        <v>5.3133333333333324E-2</v>
      </c>
      <c r="CW599" s="177">
        <v>7.7972502758210105E-3</v>
      </c>
      <c r="CX599" s="177">
        <f t="shared" si="1721"/>
        <v>4.5336083057512314E-2</v>
      </c>
      <c r="CY599" s="177">
        <f t="shared" si="1724"/>
        <v>2.4148814837781689E-2</v>
      </c>
      <c r="CZ599" s="177">
        <f t="shared" si="1725"/>
        <v>6.3720160300892073E-2</v>
      </c>
      <c r="DA599" s="187">
        <f t="shared" si="1715"/>
        <v>0.85131374874999999</v>
      </c>
      <c r="DB599" s="188">
        <f t="shared" si="1716"/>
        <v>0.96515780330083989</v>
      </c>
      <c r="DC599" s="188">
        <f t="shared" si="1717"/>
        <v>0.50448557089084056</v>
      </c>
      <c r="DD599" s="188">
        <f t="shared" si="1718"/>
        <v>0.87391435735465484</v>
      </c>
      <c r="DE599" s="188">
        <f t="shared" si="1719"/>
        <v>0.42551605393279146</v>
      </c>
      <c r="DF599" s="189">
        <f>INDEX('State Tax Lookup'!$D$7:$Z$91,MATCH(Calculation!$C599,'State Tax Lookup'!$B$7:$B$91,0),MATCH($H599,'State Tax Lookup'!$D$6:$Z$6,0))</f>
        <v>0.39649667</v>
      </c>
      <c r="DG599" s="189">
        <v>0.375</v>
      </c>
      <c r="DH599" s="190">
        <f t="shared" si="1722"/>
        <v>18.677795723111338</v>
      </c>
      <c r="DI599" s="190">
        <v>18.323668009770007</v>
      </c>
      <c r="DJ599" s="177"/>
      <c r="DK599" s="189">
        <f>VLOOKUP($H599,RoR!$E:$F,2,FALSE)</f>
        <v>5.3133333333333324E-2</v>
      </c>
      <c r="DL599" s="191">
        <f>HLOOKUP($H599,'GDP-PI'!$D$8:$CQ$11,3,FALSE)</f>
        <v>7.7972502758210105E-3</v>
      </c>
      <c r="DM599" s="189">
        <f>VLOOKUP(H599,'HW Dx Data'!$E:$F,2,FALSE)</f>
        <v>550.94063679692806</v>
      </c>
      <c r="DN599" s="183">
        <f>VLOOKUP(H599,'ECI - Input Price'!$G$17:$H$37,2,FALSE)</f>
        <v>109.77499999999999</v>
      </c>
      <c r="DO599" s="177">
        <f t="shared" ref="DO599" si="1756">LN(DN599/DN598)</f>
        <v>1.4220423119736749E-2</v>
      </c>
      <c r="DP599" s="183">
        <f>HLOOKUP(H599,'GDP-PI'!$8:$9,2,FALSE)</f>
        <v>94.998999999999995</v>
      </c>
      <c r="DQ599" s="177">
        <f t="shared" ref="DQ599" si="1757">LN(DP599/DP598)</f>
        <v>7.7670088183096342E-3</v>
      </c>
    </row>
    <row r="600" spans="1:121" s="167" customFormat="1" ht="21" x14ac:dyDescent="0.35">
      <c r="A600" s="167" t="s">
        <v>70</v>
      </c>
      <c r="B600" s="168" t="s">
        <v>70</v>
      </c>
      <c r="C600" s="168">
        <v>4061687</v>
      </c>
      <c r="D600" s="168" t="s">
        <v>136</v>
      </c>
      <c r="E600" s="168" t="s">
        <v>126</v>
      </c>
      <c r="F600" s="168"/>
      <c r="G600" s="168" t="s">
        <v>16</v>
      </c>
      <c r="H600" s="169">
        <v>2010</v>
      </c>
      <c r="I600" s="170"/>
      <c r="J600" s="166">
        <f>IFERROR(INDEX('Labor Expenditures'!$F$7:$X$91,MATCH($C600,'Labor Expenditures'!$D$7:$D$91,0),MATCH($G600,'Labor Expenditures'!$F$5:$X$5,0)),"NA")</f>
        <v>74609.391093335405</v>
      </c>
      <c r="K600" s="166">
        <f t="shared" si="1728"/>
        <v>666.89958519182483</v>
      </c>
      <c r="L600" s="172">
        <f t="shared" si="1735"/>
        <v>4.032284545565023E-4</v>
      </c>
      <c r="M600" s="172">
        <f t="shared" si="1739"/>
        <v>1.1682890677789707E-5</v>
      </c>
      <c r="N600" s="196"/>
      <c r="O600" s="172"/>
      <c r="P600" s="166">
        <f>IFERROR(INDEX('Non-Labor Expenditures'!$F$7:$AB$91,MATCH($C600,'Non-Labor Expenditures'!$D$7:$D$91,0),MATCH($G600,'Non-Labor Expenditures'!$F$5:$AB$5,0)),"NA")</f>
        <v>108048.33341520358</v>
      </c>
      <c r="Q600" s="166">
        <f t="shared" si="1729"/>
        <v>1124.2270069941794</v>
      </c>
      <c r="R600" s="172">
        <f t="shared" si="1740"/>
        <v>7.7359897946446847E-3</v>
      </c>
      <c r="S600" s="172">
        <f t="shared" si="1745"/>
        <v>2.2413776119727284E-4</v>
      </c>
      <c r="T600" s="172"/>
      <c r="U600" s="172"/>
      <c r="V600" s="166">
        <f t="shared" si="1709"/>
        <v>98707.351853383763</v>
      </c>
      <c r="W600" s="170"/>
      <c r="X600" s="174">
        <v>5219.0929212916344</v>
      </c>
      <c r="Y600" s="175">
        <v>1.0834449746365793E-2</v>
      </c>
      <c r="Z600" s="175">
        <f t="shared" si="1746"/>
        <v>3.1391061446796114E-4</v>
      </c>
      <c r="AA600" s="175"/>
      <c r="AB600" s="175"/>
      <c r="AC600" s="170">
        <f t="shared" si="1677"/>
        <v>281365.07636192278</v>
      </c>
      <c r="AD600" s="175">
        <f t="shared" si="1741"/>
        <v>2.3958699151664983E-2</v>
      </c>
      <c r="AE600" s="170"/>
      <c r="AF600" s="170"/>
      <c r="AG600" s="121">
        <f t="shared" si="1742"/>
        <v>385.78939147938951</v>
      </c>
      <c r="AH600" s="119">
        <f>+AZ600/$BB$48</f>
        <v>2.0338795868291123E-2</v>
      </c>
      <c r="AI600" s="119">
        <f>+AZ600/$BC$48</f>
        <v>8.6788614330724753E-2</v>
      </c>
      <c r="AJ600" s="176">
        <f t="shared" si="1747"/>
        <v>7.8464916814515542</v>
      </c>
      <c r="AK600" s="176">
        <f t="shared" si="1748"/>
        <v>33.482126709989728</v>
      </c>
      <c r="AL600" s="120">
        <f t="shared" si="1730"/>
        <v>0.26516933820658178</v>
      </c>
      <c r="AM600" s="120">
        <f t="shared" si="1731"/>
        <v>0.38401472852380553</v>
      </c>
      <c r="AN600" s="120">
        <f t="shared" si="1732"/>
        <v>0.35081593326961263</v>
      </c>
      <c r="AO600" s="120">
        <f t="shared" si="1736"/>
        <v>6.8694237847169836E-3</v>
      </c>
      <c r="AP600" s="173">
        <f t="shared" si="1752"/>
        <v>89.005433995164069</v>
      </c>
      <c r="AQ600" s="175">
        <f t="shared" si="1753"/>
        <v>6.8694237847169212E-3</v>
      </c>
      <c r="AR600" s="177">
        <f>+AC600/$AE$48</f>
        <v>2.8973378604045526E-2</v>
      </c>
      <c r="AS600" s="177">
        <f t="shared" si="1749"/>
        <v>1.9903041610623868E-4</v>
      </c>
      <c r="AT600" s="177"/>
      <c r="AU600" s="177"/>
      <c r="AV600" s="177"/>
      <c r="AW600" s="190"/>
      <c r="AX600" s="120"/>
      <c r="AY600" s="120"/>
      <c r="AZ600" s="118">
        <f>IFERROR(INDEX('Total Customers'!$F$7:$AB$91,MATCH($C600,'Total Customers'!$D$7:$D$91,0),MATCH($G600,'Total Customers'!$F$5:$AB$5,0)),"NA")</f>
        <v>729323</v>
      </c>
      <c r="BA600" s="119">
        <f t="shared" si="1710"/>
        <v>2.5851851656069108E-3</v>
      </c>
      <c r="BB600" s="119"/>
      <c r="BC600" s="121">
        <v>8403441</v>
      </c>
      <c r="BD600" s="119"/>
      <c r="BE600" s="119"/>
      <c r="BF600" s="119"/>
      <c r="BG600" s="173"/>
      <c r="BH600" s="173"/>
      <c r="BI600" s="173"/>
      <c r="BJ600" s="173"/>
      <c r="BK600" s="173"/>
      <c r="BL600" s="173"/>
      <c r="BM600" s="173"/>
      <c r="BN600" s="173"/>
      <c r="BO600" s="173"/>
      <c r="BP600" s="173"/>
      <c r="BQ600" s="118"/>
      <c r="BR600" s="118"/>
      <c r="BS600" s="118">
        <f>INDEX('Dist. Plant Gas Additions'!$F$7:$AE$91,MATCH($C600,'Dist. Plant Gas Additions'!$D$7:$D$91,0),MATCH(Calculation!$G600,'Dist. Plant Gas Additions'!$F$5:$AE$5,0))</f>
        <v>48215</v>
      </c>
      <c r="BT600" s="118">
        <f>INDEX('Gen. Plant Additions'!$F$7:$AE$91,MATCH($C600,'Gen. Plant Additions'!$D$7:$D$91,0),MATCH(Calculation!$G600,'Gen. Plant Additions'!$F$5:$AE$5,0))</f>
        <v>5088</v>
      </c>
      <c r="BU600" s="118"/>
      <c r="BV600" s="118"/>
      <c r="BW600" s="118">
        <f>INDEX('Dist Plant Depreciation'!$E$7:$AD$94,MATCH($C600,'Dist Plant Depreciation'!$D$7:$D$94,0),MATCH(Calculation!$G600,'Dist Plant Depreciation'!$E$5:$AD$5,0))</f>
        <v>539014</v>
      </c>
      <c r="BX600" s="118">
        <f>INDEX('Gen. Plant Depreciation'!$E$7:$AD$94,MATCH($C600,'Gen. Plant Depreciation'!$D$7:$D$94,0),MATCH(Calculation!$G600,'Gen. Plant Depreciation'!$E$5:$AD$5,0))</f>
        <v>29457</v>
      </c>
      <c r="BY600" s="118"/>
      <c r="BZ600" s="118"/>
      <c r="CA600" s="118"/>
      <c r="CB600" s="118"/>
      <c r="CC600" s="118"/>
      <c r="CD600" s="118"/>
      <c r="CE600" s="118">
        <f>INDEX('Gross Dx Plant'!$E$7:$AD$91,MATCH($C600,'Gross Dx Plant'!$D$7:$D$91,0),MATCH(Calculation!$G600,'Gross Dx Plant'!$E$5:$AD$5,0))</f>
        <v>1531841</v>
      </c>
      <c r="CF600" s="118">
        <f>INDEX('Gross Gen Plant'!$E$7:$AD$91,MATCH($C600,'Gross Gen Plant'!$D$7:$D$91,0),MATCH(Calculation!$G600,'Gross Gen Plant'!$E$5:$AD$5,0))</f>
        <v>66186</v>
      </c>
      <c r="CG600" s="118">
        <f t="shared" si="1720"/>
        <v>1029556</v>
      </c>
      <c r="CH600" s="118"/>
      <c r="CI600" s="121">
        <v>2010</v>
      </c>
      <c r="CJ600" s="118"/>
      <c r="CK600" s="118"/>
      <c r="CL600" s="118"/>
      <c r="CM600" s="183"/>
      <c r="CN600" s="118">
        <f t="shared" si="1711"/>
        <v>53303</v>
      </c>
      <c r="CO600" s="118">
        <f t="shared" si="1712"/>
        <v>93.680111414442237</v>
      </c>
      <c r="CP600" s="186">
        <v>0.9285714285714286</v>
      </c>
      <c r="CQ600" s="118">
        <f>+CQ588*CP600+CO589*CP599+CO590*CP598+CO591*CP597+CO592*CP596+CO593*CP595+CO594*CP594+CO595*CP593+CO596*CP592+CO597*CP591+CO598*CP590+CO599*CP589+CO600</f>
        <v>5219.0929212916344</v>
      </c>
      <c r="CR600" s="119">
        <f t="shared" si="1713"/>
        <v>1.0834449746365793E-2</v>
      </c>
      <c r="CS600" s="119"/>
      <c r="CT600" s="177">
        <f t="shared" si="1714"/>
        <v>7.2516759202345222E-3</v>
      </c>
      <c r="CU600" s="177">
        <f t="shared" si="1723"/>
        <v>6.9974814991019098E-3</v>
      </c>
      <c r="CV600" s="119">
        <f>VLOOKUP($H600,RoR!$E:$F,2,FALSE)</f>
        <v>4.9433333333333322E-2</v>
      </c>
      <c r="CW600" s="177">
        <v>1.1684333519300205E-2</v>
      </c>
      <c r="CX600" s="177">
        <f t="shared" si="1721"/>
        <v>3.7748999814033117E-2</v>
      </c>
      <c r="CY600" s="177">
        <f t="shared" si="1724"/>
        <v>2.3904460109431716E-2</v>
      </c>
      <c r="CZ600" s="177">
        <f t="shared" si="1725"/>
        <v>4.7937530248493419E-2</v>
      </c>
      <c r="DA600" s="187">
        <f t="shared" si="1715"/>
        <v>0.85131374874999999</v>
      </c>
      <c r="DB600" s="188">
        <f t="shared" si="1716"/>
        <v>1.037398205301105</v>
      </c>
      <c r="DC600" s="188">
        <f t="shared" si="1717"/>
        <v>0.46926837491571133</v>
      </c>
      <c r="DD600" s="188">
        <f t="shared" si="1718"/>
        <v>0.8548537519972772</v>
      </c>
      <c r="DE600" s="188">
        <f t="shared" si="1719"/>
        <v>0.41615833911547367</v>
      </c>
      <c r="DF600" s="189">
        <f>INDEX('State Tax Lookup'!$D$7:$Z$91,MATCH(Calculation!$C600,'State Tax Lookup'!$B$7:$B$91,0),MATCH($H600,'State Tax Lookup'!$D$6:$Z$6,0))</f>
        <v>0.39649667</v>
      </c>
      <c r="DG600" s="189">
        <v>0.375</v>
      </c>
      <c r="DH600" s="190">
        <f t="shared" si="1722"/>
        <v>19.118764041397554</v>
      </c>
      <c r="DI600" s="190">
        <v>18.772974061549302</v>
      </c>
      <c r="DJ600" s="177"/>
      <c r="DK600" s="189">
        <f>VLOOKUP($H600,RoR!$E:$F,2,FALSE)</f>
        <v>4.9433333333333322E-2</v>
      </c>
      <c r="DL600" s="191">
        <f>HLOOKUP($H600,'GDP-PI'!$D$8:$CQ$11,3,FALSE)</f>
        <v>1.1684333519300205E-2</v>
      </c>
      <c r="DM600" s="189">
        <f>VLOOKUP(H600,'HW Dx Data'!$E:$F,2,FALSE)</f>
        <v>568.98950262971744</v>
      </c>
      <c r="DN600" s="183">
        <f>VLOOKUP(H600,'ECI - Input Price'!$G$17:$H$37,2,FALSE)</f>
        <v>111.875</v>
      </c>
      <c r="DO600" s="177">
        <f t="shared" ref="DO600" si="1758">LN(DN600/DN599)</f>
        <v>1.8949360147238387E-2</v>
      </c>
      <c r="DP600" s="183">
        <f>HLOOKUP(H600,'GDP-PI'!$8:$9,2,FALSE)</f>
        <v>96.108999999999995</v>
      </c>
      <c r="DQ600" s="177">
        <f t="shared" ref="DQ600" si="1759">LN(DP600/DP599)</f>
        <v>1.1616598807150427E-2</v>
      </c>
    </row>
    <row r="601" spans="1:121" s="167" customFormat="1" ht="21" x14ac:dyDescent="0.35">
      <c r="A601" s="167" t="s">
        <v>70</v>
      </c>
      <c r="B601" s="168" t="s">
        <v>70</v>
      </c>
      <c r="C601" s="168">
        <v>4061687</v>
      </c>
      <c r="D601" s="168" t="s">
        <v>136</v>
      </c>
      <c r="E601" s="168" t="s">
        <v>126</v>
      </c>
      <c r="F601" s="168"/>
      <c r="G601" s="168" t="s">
        <v>17</v>
      </c>
      <c r="H601" s="169">
        <v>2011</v>
      </c>
      <c r="I601" s="170"/>
      <c r="J601" s="166">
        <f>IFERROR(INDEX('Labor Expenditures'!$F$7:$X$91,MATCH($C601,'Labor Expenditures'!$D$7:$D$91,0),MATCH($G601,'Labor Expenditures'!$F$5:$X$5,0)),"NA")</f>
        <v>75160.351402953835</v>
      </c>
      <c r="K601" s="166">
        <f t="shared" si="1728"/>
        <v>657.57087841604402</v>
      </c>
      <c r="L601" s="172">
        <f t="shared" si="1735"/>
        <v>-1.4086929529261242E-2</v>
      </c>
      <c r="M601" s="172">
        <f t="shared" si="1739"/>
        <v>-4.0097560762908987E-4</v>
      </c>
      <c r="N601" s="196"/>
      <c r="O601" s="172"/>
      <c r="P601" s="166">
        <f>IFERROR(INDEX('Non-Labor Expenditures'!$F$7:$AB$91,MATCH($C601,'Non-Labor Expenditures'!$D$7:$D$91,0),MATCH($G601,'Non-Labor Expenditures'!$F$5:$AB$5,0)),"NA")</f>
        <v>108846.22684872222</v>
      </c>
      <c r="Q601" s="166">
        <f t="shared" si="1729"/>
        <v>1109.4078894398465</v>
      </c>
      <c r="R601" s="172">
        <f t="shared" si="1740"/>
        <v>-1.3269254536364999E-2</v>
      </c>
      <c r="S601" s="172">
        <f t="shared" si="1745"/>
        <v>-3.7770100215607749E-4</v>
      </c>
      <c r="T601" s="172"/>
      <c r="U601" s="172"/>
      <c r="V601" s="166">
        <f t="shared" si="1709"/>
        <v>106297.30498169115</v>
      </c>
      <c r="W601" s="170"/>
      <c r="X601" s="174">
        <v>5265.3453869782097</v>
      </c>
      <c r="Y601" s="175">
        <v>8.8231270726659549E-3</v>
      </c>
      <c r="Z601" s="175">
        <f t="shared" si="1746"/>
        <v>2.5114477443804171E-4</v>
      </c>
      <c r="AA601" s="175"/>
      <c r="AB601" s="175"/>
      <c r="AC601" s="170">
        <f t="shared" si="1677"/>
        <v>290303.88323336723</v>
      </c>
      <c r="AD601" s="175">
        <f t="shared" si="1741"/>
        <v>3.1275217329832398E-2</v>
      </c>
      <c r="AE601" s="170"/>
      <c r="AF601" s="170"/>
      <c r="AG601" s="121">
        <f t="shared" si="1742"/>
        <v>396.565625382821</v>
      </c>
      <c r="AH601" s="119">
        <f>+AZ601/$BB$49</f>
        <v>2.0315461231812472E-2</v>
      </c>
      <c r="AI601" s="119">
        <f>+AZ601/$BC$49</f>
        <v>8.675738260533708E-2</v>
      </c>
      <c r="AJ601" s="176">
        <f t="shared" si="1747"/>
        <v>8.0564135883341681</v>
      </c>
      <c r="AK601" s="176">
        <f t="shared" si="1748"/>
        <v>34.404995689462176</v>
      </c>
      <c r="AL601" s="120">
        <f t="shared" si="1730"/>
        <v>0.25890232871096153</v>
      </c>
      <c r="AM601" s="120">
        <f t="shared" si="1731"/>
        <v>0.37493892825823399</v>
      </c>
      <c r="AN601" s="120">
        <f t="shared" si="1732"/>
        <v>0.36615874303080437</v>
      </c>
      <c r="AO601" s="120">
        <f t="shared" si="1736"/>
        <v>-5.5636756082068327E-3</v>
      </c>
      <c r="AP601" s="173">
        <f t="shared" si="1752"/>
        <v>88.511611640575936</v>
      </c>
      <c r="AQ601" s="175">
        <f t="shared" si="1753"/>
        <v>-5.5636756082067555E-3</v>
      </c>
      <c r="AR601" s="177">
        <f>+AC601/$AE$49</f>
        <v>2.8464372367036191E-2</v>
      </c>
      <c r="AS601" s="177">
        <f t="shared" si="1749"/>
        <v>-1.5836653424139364E-4</v>
      </c>
      <c r="AT601" s="177"/>
      <c r="AU601" s="177"/>
      <c r="AV601" s="177"/>
      <c r="AW601" s="190"/>
      <c r="AX601" s="120"/>
      <c r="AY601" s="120"/>
      <c r="AZ601" s="118">
        <f>IFERROR(INDEX('Total Customers'!$F$7:$AB$91,MATCH($C601,'Total Customers'!$D$7:$D$91,0),MATCH($G601,'Total Customers'!$F$5:$AB$5,0)),"NA")</f>
        <v>732045</v>
      </c>
      <c r="BA601" s="119">
        <f t="shared" si="1710"/>
        <v>3.7252808983477543E-3</v>
      </c>
      <c r="BB601" s="119"/>
      <c r="BC601" s="121">
        <v>8437841</v>
      </c>
      <c r="BD601" s="119"/>
      <c r="BE601" s="119"/>
      <c r="BF601" s="119"/>
      <c r="BG601" s="173"/>
      <c r="BH601" s="173"/>
      <c r="BI601" s="173"/>
      <c r="BJ601" s="173"/>
      <c r="BK601" s="173"/>
      <c r="BL601" s="173"/>
      <c r="BM601" s="173"/>
      <c r="BN601" s="173"/>
      <c r="BO601" s="173"/>
      <c r="BP601" s="173"/>
      <c r="BQ601" s="118"/>
      <c r="BR601" s="118"/>
      <c r="BS601" s="118">
        <f>INDEX('Dist. Plant Gas Additions'!$F$7:$AE$91,MATCH($C601,'Dist. Plant Gas Additions'!$D$7:$D$91,0),MATCH(Calculation!$G601,'Dist. Plant Gas Additions'!$F$5:$AE$5,0))</f>
        <v>45129</v>
      </c>
      <c r="BT601" s="118">
        <f>INDEX('Gen. Plant Additions'!$F$7:$AE$91,MATCH($C601,'Gen. Plant Additions'!$D$7:$D$91,0),MATCH(Calculation!$G601,'Gen. Plant Additions'!$F$5:$AE$5,0))</f>
        <v>7162</v>
      </c>
      <c r="BU601" s="118"/>
      <c r="BV601" s="118"/>
      <c r="BW601" s="118">
        <f>INDEX('Dist Plant Depreciation'!$E$7:$AD$94,MATCH($C601,'Dist Plant Depreciation'!$D$7:$D$94,0),MATCH(Calculation!$G601,'Dist Plant Depreciation'!$E$5:$AD$5,0))</f>
        <v>562862</v>
      </c>
      <c r="BX601" s="118">
        <f>INDEX('Gen. Plant Depreciation'!$E$7:$AD$94,MATCH($C601,'Gen. Plant Depreciation'!$D$7:$D$94,0),MATCH(Calculation!$G601,'Gen. Plant Depreciation'!$E$5:$AD$5,0))</f>
        <v>32935</v>
      </c>
      <c r="BY601" s="118"/>
      <c r="BZ601" s="118"/>
      <c r="CA601" s="118"/>
      <c r="CB601" s="118"/>
      <c r="CC601" s="118"/>
      <c r="CD601" s="118"/>
      <c r="CE601" s="118">
        <f>INDEX('Gross Dx Plant'!$E$7:$AD$91,MATCH($C601,'Gross Dx Plant'!$D$7:$D$91,0),MATCH(Calculation!$G601,'Gross Dx Plant'!$E$5:$AD$5,0))</f>
        <v>1568635</v>
      </c>
      <c r="CF601" s="118">
        <f>INDEX('Gross Gen Plant'!$E$7:$AD$91,MATCH($C601,'Gross Gen Plant'!$D$7:$D$91,0),MATCH(Calculation!$G601,'Gross Gen Plant'!$E$5:$AD$5,0))</f>
        <v>71185</v>
      </c>
      <c r="CG601" s="118">
        <f t="shared" si="1720"/>
        <v>1044023</v>
      </c>
      <c r="CH601" s="118"/>
      <c r="CI601" s="121">
        <v>2011</v>
      </c>
      <c r="CJ601" s="118"/>
      <c r="CK601" s="118"/>
      <c r="CL601" s="118"/>
      <c r="CM601" s="183"/>
      <c r="CN601" s="118">
        <f t="shared" si="1711"/>
        <v>52291</v>
      </c>
      <c r="CO601" s="118">
        <f t="shared" si="1712"/>
        <v>85.497140799908266</v>
      </c>
      <c r="CP601" s="186">
        <v>0.92121212121212126</v>
      </c>
      <c r="CQ601" s="118">
        <f>+CQ588*CP601+CO589*CP600+CO590*CP599+CO591*CP598+CO592*CP597+CO593*CP596+CO594*CP595+CO595*CP594+CO596*CP593+CO597*CP592+CO598*CP591+CO599*CP590+CO600*CP589+CO601</f>
        <v>5265.3453869782097</v>
      </c>
      <c r="CR601" s="119">
        <f t="shared" si="1713"/>
        <v>8.8231270726659549E-3</v>
      </c>
      <c r="CS601" s="119"/>
      <c r="CT601" s="177">
        <f t="shared" si="1714"/>
        <v>7.5194436476177145E-3</v>
      </c>
      <c r="CU601" s="177">
        <f t="shared" si="1723"/>
        <v>7.2543163706329543E-3</v>
      </c>
      <c r="CV601" s="119">
        <f>VLOOKUP($H601,RoR!$E:$F,2,FALSE)</f>
        <v>4.6391666666666664E-2</v>
      </c>
      <c r="CW601" s="177">
        <v>2.0840920205183799E-2</v>
      </c>
      <c r="CX601" s="177">
        <f t="shared" si="1721"/>
        <v>2.5550746461482865E-2</v>
      </c>
      <c r="CY601" s="177">
        <f t="shared" si="1724"/>
        <v>2.364762523790067E-2</v>
      </c>
      <c r="CZ601" s="177">
        <f t="shared" si="1725"/>
        <v>2.4810540821321614E-2</v>
      </c>
      <c r="DA601" s="187">
        <f t="shared" si="1715"/>
        <v>0.85131374874999999</v>
      </c>
      <c r="DB601" s="188">
        <f t="shared" si="1716"/>
        <v>1.1054151524782025</v>
      </c>
      <c r="DC601" s="188">
        <f t="shared" si="1717"/>
        <v>0.43611011316687626</v>
      </c>
      <c r="DD601" s="188">
        <f t="shared" si="1718"/>
        <v>0.83698442246886229</v>
      </c>
      <c r="DE601" s="188">
        <f t="shared" si="1719"/>
        <v>0.40349573304423936</v>
      </c>
      <c r="DF601" s="189">
        <f>INDEX('State Tax Lookup'!$D$7:$Z$91,MATCH(Calculation!$C601,'State Tax Lookup'!$B$7:$B$91,0),MATCH($H601,'State Tax Lookup'!$D$6:$Z$6,0))</f>
        <v>0.39649667</v>
      </c>
      <c r="DG601" s="189">
        <v>0.375</v>
      </c>
      <c r="DH601" s="190">
        <f t="shared" si="1722"/>
        <v>20.367007559502202</v>
      </c>
      <c r="DI601" s="190">
        <v>19.993057824436946</v>
      </c>
      <c r="DJ601" s="177"/>
      <c r="DK601" s="189">
        <f>VLOOKUP($H601,RoR!$E:$F,2,FALSE)</f>
        <v>4.6391666666666664E-2</v>
      </c>
      <c r="DL601" s="191">
        <f>HLOOKUP($H601,'GDP-PI'!$D$8:$CQ$11,3,FALSE)</f>
        <v>2.0840920205183799E-2</v>
      </c>
      <c r="DM601" s="189">
        <f>VLOOKUP(H601,'HW Dx Data'!$E:$F,2,FALSE)</f>
        <v>611.61109612283201</v>
      </c>
      <c r="DN601" s="183">
        <f>VLOOKUP(H601,'ECI - Input Price'!$G$17:$H$37,2,FALSE)</f>
        <v>114.3</v>
      </c>
      <c r="DO601" s="177">
        <f t="shared" ref="DO601" si="1760">LN(DN601/DN600)</f>
        <v>2.1444394205745516E-2</v>
      </c>
      <c r="DP601" s="183">
        <f>HLOOKUP(H601,'GDP-PI'!$8:$9,2,FALSE)</f>
        <v>98.111999999999995</v>
      </c>
      <c r="DQ601" s="177">
        <f t="shared" ref="DQ601" si="1761">LN(DP601/DP600)</f>
        <v>2.0626719212849295E-2</v>
      </c>
    </row>
    <row r="602" spans="1:121" s="167" customFormat="1" ht="21" x14ac:dyDescent="0.35">
      <c r="A602" s="167" t="s">
        <v>70</v>
      </c>
      <c r="B602" s="168" t="s">
        <v>70</v>
      </c>
      <c r="C602" s="168">
        <v>4061687</v>
      </c>
      <c r="D602" s="168" t="s">
        <v>136</v>
      </c>
      <c r="E602" s="168" t="s">
        <v>126</v>
      </c>
      <c r="F602" s="168"/>
      <c r="G602" s="168" t="s">
        <v>18</v>
      </c>
      <c r="H602" s="169">
        <v>2012</v>
      </c>
      <c r="I602" s="170"/>
      <c r="J602" s="166">
        <f>IFERROR(INDEX('Labor Expenditures'!$F$7:$X$91,MATCH($C602,'Labor Expenditures'!$D$7:$D$91,0),MATCH($G602,'Labor Expenditures'!$F$5:$X$5,0)),"NA")</f>
        <v>75270.925039561829</v>
      </c>
      <c r="K602" s="166">
        <f t="shared" si="1728"/>
        <v>646.10236085460792</v>
      </c>
      <c r="L602" s="172">
        <f t="shared" si="1735"/>
        <v>-1.7594613548736773E-2</v>
      </c>
      <c r="M602" s="172">
        <f t="shared" si="1739"/>
        <v>-4.9380351786518825E-4</v>
      </c>
      <c r="N602" s="196"/>
      <c r="O602" s="172"/>
      <c r="P602" s="166">
        <f>IFERROR(INDEX('Non-Labor Expenditures'!$F$7:$AB$91,MATCH($C602,'Non-Labor Expenditures'!$D$7:$D$91,0),MATCH($G602,'Non-Labor Expenditures'!$F$5:$AB$5,0)),"NA")</f>
        <v>109006.35812683713</v>
      </c>
      <c r="Q602" s="166">
        <f t="shared" si="1729"/>
        <v>1090.0635812683713</v>
      </c>
      <c r="R602" s="172">
        <f t="shared" si="1740"/>
        <v>-1.7590414082489032E-2</v>
      </c>
      <c r="S602" s="172">
        <f t="shared" si="1745"/>
        <v>-4.9368565729379535E-4</v>
      </c>
      <c r="T602" s="172"/>
      <c r="U602" s="172"/>
      <c r="V602" s="166">
        <f t="shared" si="1709"/>
        <v>115643.7770273303</v>
      </c>
      <c r="W602" s="170"/>
      <c r="X602" s="174">
        <v>5311.5177807307828</v>
      </c>
      <c r="Y602" s="175">
        <v>8.7308848235734451E-3</v>
      </c>
      <c r="Z602" s="175">
        <f t="shared" si="1746"/>
        <v>2.450375865326061E-4</v>
      </c>
      <c r="AA602" s="175"/>
      <c r="AB602" s="175"/>
      <c r="AC602" s="170">
        <f t="shared" si="1677"/>
        <v>299921.06019372924</v>
      </c>
      <c r="AD602" s="175">
        <f t="shared" si="1741"/>
        <v>3.2591059780031822E-2</v>
      </c>
      <c r="AE602" s="170"/>
      <c r="AF602" s="170"/>
      <c r="AG602" s="121">
        <f t="shared" si="1742"/>
        <v>409.09948534524023</v>
      </c>
      <c r="AH602" s="119">
        <f>+AZ602/$BB$50</f>
        <v>2.024752800428176E-2</v>
      </c>
      <c r="AI602" s="119">
        <f>+AZ602/$BC$50</f>
        <v>8.6401741788402028E-2</v>
      </c>
      <c r="AJ602" s="176">
        <f t="shared" si="1747"/>
        <v>8.2832532860650065</v>
      </c>
      <c r="AK602" s="176">
        <f t="shared" si="1748"/>
        <v>35.346908098567603</v>
      </c>
      <c r="AL602" s="120">
        <f t="shared" si="1730"/>
        <v>0.25096912164468133</v>
      </c>
      <c r="AM602" s="120">
        <f t="shared" si="1731"/>
        <v>0.3634501627075678</v>
      </c>
      <c r="AN602" s="120">
        <f t="shared" si="1732"/>
        <v>0.38558071564775093</v>
      </c>
      <c r="AO602" s="120">
        <f t="shared" si="1736"/>
        <v>-7.6981051807823312E-3</v>
      </c>
      <c r="AP602" s="173">
        <f t="shared" si="1752"/>
        <v>87.832855863095318</v>
      </c>
      <c r="AQ602" s="175">
        <f t="shared" si="1753"/>
        <v>-7.6981051807823537E-3</v>
      </c>
      <c r="AR602" s="177">
        <f>+AC602/$AE$50</f>
        <v>2.8065607493870843E-2</v>
      </c>
      <c r="AS602" s="177">
        <f t="shared" si="1749"/>
        <v>-2.1605199845037119E-4</v>
      </c>
      <c r="AT602" s="177"/>
      <c r="AU602" s="177"/>
      <c r="AV602" s="177"/>
      <c r="AW602" s="190"/>
      <c r="AX602" s="120"/>
      <c r="AY602" s="120"/>
      <c r="AZ602" s="118">
        <f>IFERROR(INDEX('Total Customers'!$F$7:$AB$91,MATCH($C602,'Total Customers'!$D$7:$D$91,0),MATCH($G602,'Total Customers'!$F$5:$AB$5,0)),"NA")</f>
        <v>733125</v>
      </c>
      <c r="BA602" s="119">
        <f t="shared" si="1710"/>
        <v>1.474231926127875E-3</v>
      </c>
      <c r="BB602" s="119"/>
      <c r="BC602" s="121">
        <v>8485072</v>
      </c>
      <c r="BD602" s="119"/>
      <c r="BE602" s="119"/>
      <c r="BF602" s="119"/>
      <c r="BG602" s="173"/>
      <c r="BH602" s="173"/>
      <c r="BI602" s="173"/>
      <c r="BJ602" s="173"/>
      <c r="BK602" s="173"/>
      <c r="BL602" s="173"/>
      <c r="BM602" s="173"/>
      <c r="BN602" s="173"/>
      <c r="BO602" s="173"/>
      <c r="BP602" s="173"/>
      <c r="BQ602" s="118"/>
      <c r="BR602" s="118"/>
      <c r="BS602" s="118">
        <f>INDEX('Dist. Plant Gas Additions'!$F$7:$AE$91,MATCH($C602,'Dist. Plant Gas Additions'!$D$7:$D$91,0),MATCH(Calculation!$G602,'Dist. Plant Gas Additions'!$F$5:$AE$5,0))</f>
        <v>51368</v>
      </c>
      <c r="BT602" s="118">
        <f>INDEX('Gen. Plant Additions'!$F$7:$AE$91,MATCH($C602,'Gen. Plant Additions'!$D$7:$D$91,0),MATCH(Calculation!$G602,'Gen. Plant Additions'!$F$5:$AE$5,0))</f>
        <v>7008</v>
      </c>
      <c r="BU602" s="118"/>
      <c r="BV602" s="118"/>
      <c r="BW602" s="118">
        <f>INDEX('Dist Plant Depreciation'!$E$7:$AD$94,MATCH($C602,'Dist Plant Depreciation'!$D$7:$D$94,0),MATCH(Calculation!$G602,'Dist Plant Depreciation'!$E$5:$AD$5,0))</f>
        <v>578188</v>
      </c>
      <c r="BX602" s="118">
        <f>INDEX('Gen. Plant Depreciation'!$E$7:$AD$94,MATCH($C602,'Gen. Plant Depreciation'!$D$7:$D$94,0),MATCH(Calculation!$G602,'Gen. Plant Depreciation'!$E$5:$AD$5,0))</f>
        <v>33495</v>
      </c>
      <c r="BY602" s="118"/>
      <c r="BZ602" s="118"/>
      <c r="CA602" s="118"/>
      <c r="CB602" s="118"/>
      <c r="CC602" s="118"/>
      <c r="CD602" s="118"/>
      <c r="CE602" s="118">
        <f>INDEX('Gross Dx Plant'!$E$7:$AD$91,MATCH($C602,'Gross Dx Plant'!$D$7:$D$91,0),MATCH(Calculation!$G602,'Gross Dx Plant'!$E$5:$AD$5,0))</f>
        <v>1603993</v>
      </c>
      <c r="CF602" s="118">
        <f>INDEX('Gross Gen Plant'!$E$7:$AD$91,MATCH($C602,'Gross Gen Plant'!$D$7:$D$91,0),MATCH(Calculation!$G602,'Gross Gen Plant'!$E$5:$AD$5,0))</f>
        <v>72464</v>
      </c>
      <c r="CG602" s="118">
        <f t="shared" si="1720"/>
        <v>1064774</v>
      </c>
      <c r="CH602" s="118"/>
      <c r="CI602" s="121">
        <v>2012</v>
      </c>
      <c r="CJ602" s="118"/>
      <c r="CK602" s="118"/>
      <c r="CL602" s="118"/>
      <c r="CM602" s="183"/>
      <c r="CN602" s="118">
        <f t="shared" si="1711"/>
        <v>58376</v>
      </c>
      <c r="CO602" s="118">
        <f t="shared" si="1712"/>
        <v>87.269119115341695</v>
      </c>
      <c r="CP602" s="186">
        <v>0.9135802469135802</v>
      </c>
      <c r="CQ602" s="118">
        <f>+CQ588*CP602+CO589*CP601+CO590*CP600+CO591*CP599+CO592*CP598+CO593*CP597+CO594*CP596+CO595*CP595+CO596*CP594+CO597*CP593+CO598*CP592+CO599*CP591+CO600*CP590+CO601*CP589+CO602</f>
        <v>5311.5177807307828</v>
      </c>
      <c r="CR602" s="119">
        <f t="shared" si="1713"/>
        <v>8.7308848235734451E-3</v>
      </c>
      <c r="CS602" s="119"/>
      <c r="CT602" s="177">
        <f t="shared" si="1714"/>
        <v>7.8051338216872665E-3</v>
      </c>
      <c r="CU602" s="177">
        <f t="shared" si="1723"/>
        <v>7.5254177965131674E-3</v>
      </c>
      <c r="CV602" s="119">
        <f>VLOOKUP($H602,RoR!$E:$F,2,FALSE)</f>
        <v>3.6733333333333333E-2</v>
      </c>
      <c r="CW602" s="177">
        <v>1.924331376386168E-2</v>
      </c>
      <c r="CX602" s="177">
        <f t="shared" si="1721"/>
        <v>1.7490019569471653E-2</v>
      </c>
      <c r="CY602" s="177">
        <f t="shared" si="1724"/>
        <v>2.3376523812020458E-2</v>
      </c>
      <c r="CZ602" s="177">
        <f t="shared" si="1725"/>
        <v>6.7122682943869583E-2</v>
      </c>
      <c r="DA602" s="187">
        <f t="shared" si="1715"/>
        <v>0.85131374874999999</v>
      </c>
      <c r="DB602" s="188">
        <f t="shared" si="1716"/>
        <v>1.3960631020522127</v>
      </c>
      <c r="DC602" s="188">
        <f t="shared" si="1717"/>
        <v>0.29441923774954631</v>
      </c>
      <c r="DD602" s="188">
        <f t="shared" si="1718"/>
        <v>0.76377954189366437</v>
      </c>
      <c r="DE602" s="188">
        <f t="shared" si="1719"/>
        <v>0.31393465103033691</v>
      </c>
      <c r="DF602" s="189">
        <f>INDEX('State Tax Lookup'!$D$7:$Z$91,MATCH(Calculation!$C602,'State Tax Lookup'!$B$7:$B$91,0),MATCH($H602,'State Tax Lookup'!$D$6:$Z$6,0))</f>
        <v>0.39649667</v>
      </c>
      <c r="DG602" s="189">
        <v>0.375</v>
      </c>
      <c r="DH602" s="190">
        <f t="shared" si="1722"/>
        <v>21.963189217051241</v>
      </c>
      <c r="DI602" s="190">
        <v>21.591508405206078</v>
      </c>
      <c r="DJ602" s="177"/>
      <c r="DK602" s="189">
        <f>VLOOKUP($H602,RoR!$E:$F,2,FALSE)</f>
        <v>3.6733333333333333E-2</v>
      </c>
      <c r="DL602" s="191">
        <f>HLOOKUP($H602,'GDP-PI'!$D$8:$CQ$11,3,FALSE)</f>
        <v>1.924331376386168E-2</v>
      </c>
      <c r="DM602" s="189">
        <f>VLOOKUP(H602,'HW Dx Data'!$E:$F,2,FALSE)</f>
        <v>668.91932211262167</v>
      </c>
      <c r="DN602" s="183">
        <f>VLOOKUP(H602,'ECI - Input Price'!$G$17:$H$37,2,FALSE)</f>
        <v>116.5</v>
      </c>
      <c r="DO602" s="177">
        <f t="shared" ref="DO602" si="1762">LN(DN602/DN601)</f>
        <v>1.9064702204990347E-2</v>
      </c>
      <c r="DP602" s="183">
        <f>HLOOKUP(H602,'GDP-PI'!$8:$9,2,FALSE)</f>
        <v>100</v>
      </c>
      <c r="DQ602" s="177">
        <f t="shared" ref="DQ602" si="1763">LN(DP602/DP601)</f>
        <v>1.9060502738742411E-2</v>
      </c>
    </row>
    <row r="603" spans="1:121" s="167" customFormat="1" ht="21" x14ac:dyDescent="0.35">
      <c r="A603" s="167" t="s">
        <v>70</v>
      </c>
      <c r="B603" s="168" t="s">
        <v>70</v>
      </c>
      <c r="C603" s="168">
        <v>4061687</v>
      </c>
      <c r="D603" s="168" t="s">
        <v>136</v>
      </c>
      <c r="E603" s="168" t="s">
        <v>126</v>
      </c>
      <c r="F603" s="168"/>
      <c r="G603" s="168" t="s">
        <v>19</v>
      </c>
      <c r="H603" s="169">
        <v>2013</v>
      </c>
      <c r="I603" s="170"/>
      <c r="J603" s="166">
        <f>IFERROR(INDEX('Labor Expenditures'!$F$7:$X$91,MATCH($C603,'Labor Expenditures'!$D$7:$D$91,0),MATCH($G603,'Labor Expenditures'!$F$5:$X$5,0)),"NA")</f>
        <v>78873.083559726889</v>
      </c>
      <c r="K603" s="166">
        <f t="shared" si="1728"/>
        <v>664.33424771300815</v>
      </c>
      <c r="L603" s="172">
        <f t="shared" si="1735"/>
        <v>2.7827463365099558E-2</v>
      </c>
      <c r="M603" s="172">
        <f t="shared" si="1739"/>
        <v>7.7182300410937087E-4</v>
      </c>
      <c r="N603" s="196"/>
      <c r="O603" s="172"/>
      <c r="P603" s="166">
        <f>IFERROR(INDEX('Non-Labor Expenditures'!$F$7:$AB$91,MATCH($C603,'Non-Labor Expenditures'!$D$7:$D$91,0),MATCH($G603,'Non-Labor Expenditures'!$F$5:$AB$5,0)),"NA")</f>
        <v>114222.95645444334</v>
      </c>
      <c r="Q603" s="166">
        <f t="shared" si="1729"/>
        <v>1122.330642257213</v>
      </c>
      <c r="R603" s="172">
        <f t="shared" si="1740"/>
        <v>2.9171427778019364E-2</v>
      </c>
      <c r="S603" s="172">
        <f t="shared" si="1745"/>
        <v>8.0909922425873634E-4</v>
      </c>
      <c r="T603" s="172"/>
      <c r="U603" s="172"/>
      <c r="V603" s="166">
        <f t="shared" si="1709"/>
        <v>114354.08916492372</v>
      </c>
      <c r="W603" s="170"/>
      <c r="X603" s="174">
        <v>5341.8551835645367</v>
      </c>
      <c r="Y603" s="175">
        <v>5.6953764672850737E-3</v>
      </c>
      <c r="Z603" s="175">
        <f t="shared" si="1746"/>
        <v>1.579670599810007E-4</v>
      </c>
      <c r="AA603" s="175"/>
      <c r="AB603" s="175"/>
      <c r="AC603" s="170">
        <f t="shared" si="1677"/>
        <v>307450.12917909393</v>
      </c>
      <c r="AD603" s="175">
        <f t="shared" si="1741"/>
        <v>2.4793585219171896E-2</v>
      </c>
      <c r="AE603" s="170"/>
      <c r="AF603" s="170"/>
      <c r="AG603" s="121">
        <f t="shared" si="1742"/>
        <v>417.92535278498156</v>
      </c>
      <c r="AH603" s="119">
        <f>+AZ603/$BB$51</f>
        <v>2.0187588595804187E-2</v>
      </c>
      <c r="AI603" s="119">
        <f>+AZ603/$BC$51</f>
        <v>8.6193885098643563E-2</v>
      </c>
      <c r="AJ603" s="176">
        <f t="shared" si="1747"/>
        <v>8.4369050857795358</v>
      </c>
      <c r="AK603" s="176">
        <f t="shared" si="1748"/>
        <v>36.022609837758779</v>
      </c>
      <c r="AL603" s="120">
        <f t="shared" si="1730"/>
        <v>0.25653943867358803</v>
      </c>
      <c r="AM603" s="120">
        <f t="shared" si="1731"/>
        <v>0.37151702215713461</v>
      </c>
      <c r="AN603" s="120">
        <f t="shared" si="1732"/>
        <v>0.37194353916927742</v>
      </c>
      <c r="AO603" s="120">
        <f t="shared" si="1736"/>
        <v>1.9938551918254246E-2</v>
      </c>
      <c r="AP603" s="173">
        <f t="shared" si="1752"/>
        <v>89.601691228694065</v>
      </c>
      <c r="AQ603" s="175">
        <f t="shared" si="1753"/>
        <v>1.9938551918254218E-2</v>
      </c>
      <c r="AR603" s="177">
        <f>+AC603/$AE$51</f>
        <v>2.7736017256871862E-2</v>
      </c>
      <c r="AS603" s="177">
        <f t="shared" si="1749"/>
        <v>5.5301602008173459E-4</v>
      </c>
      <c r="AT603" s="177"/>
      <c r="AU603" s="177"/>
      <c r="AV603" s="177"/>
      <c r="AW603" s="190"/>
      <c r="AX603" s="120"/>
      <c r="AY603" s="120"/>
      <c r="AZ603" s="118">
        <f>IFERROR(INDEX('Total Customers'!$F$7:$AB$91,MATCH($C603,'Total Customers'!$D$7:$D$91,0),MATCH($G603,'Total Customers'!$F$5:$AB$5,0)),"NA")</f>
        <v>735658</v>
      </c>
      <c r="BA603" s="119">
        <f t="shared" si="1710"/>
        <v>3.4491174137140103E-3</v>
      </c>
      <c r="BB603" s="119"/>
      <c r="BC603" s="121">
        <v>8534921</v>
      </c>
      <c r="BD603" s="119"/>
      <c r="BE603" s="119"/>
      <c r="BF603" s="119"/>
      <c r="BG603" s="173"/>
      <c r="BH603" s="173"/>
      <c r="BI603" s="173"/>
      <c r="BJ603" s="173"/>
      <c r="BK603" s="173"/>
      <c r="BL603" s="173"/>
      <c r="BM603" s="173"/>
      <c r="BN603" s="173"/>
      <c r="BO603" s="173"/>
      <c r="BP603" s="173"/>
      <c r="BQ603" s="118"/>
      <c r="BR603" s="118"/>
      <c r="BS603" s="118">
        <f>INDEX('Dist. Plant Gas Additions'!$F$7:$AE$91,MATCH($C603,'Dist. Plant Gas Additions'!$D$7:$D$91,0),MATCH(Calculation!$G603,'Dist. Plant Gas Additions'!$F$5:$AE$5,0))</f>
        <v>43554</v>
      </c>
      <c r="BT603" s="118">
        <f>INDEX('Gen. Plant Additions'!$F$7:$AE$91,MATCH($C603,'Gen. Plant Additions'!$D$7:$D$91,0),MATCH(Calculation!$G603,'Gen. Plant Additions'!$F$5:$AE$5,0))</f>
        <v>5120</v>
      </c>
      <c r="BU603" s="118"/>
      <c r="BV603" s="118"/>
      <c r="BW603" s="118">
        <f>INDEX('Dist Plant Depreciation'!$E$7:$AD$94,MATCH($C603,'Dist Plant Depreciation'!$D$7:$D$94,0),MATCH(Calculation!$G603,'Dist Plant Depreciation'!$E$5:$AD$5,0))</f>
        <v>609331</v>
      </c>
      <c r="BX603" s="118">
        <f>INDEX('Gen. Plant Depreciation'!$E$7:$AD$94,MATCH($C603,'Gen. Plant Depreciation'!$D$7:$D$94,0),MATCH(Calculation!$G603,'Gen. Plant Depreciation'!$E$5:$AD$5,0))</f>
        <v>35772</v>
      </c>
      <c r="BY603" s="118"/>
      <c r="BZ603" s="118"/>
      <c r="CA603" s="118"/>
      <c r="CB603" s="118"/>
      <c r="CC603" s="118"/>
      <c r="CD603" s="118"/>
      <c r="CE603" s="118">
        <f>INDEX('Gross Dx Plant'!$E$7:$AD$91,MATCH($C603,'Gross Dx Plant'!$D$7:$D$91,0),MATCH(Calculation!$G603,'Gross Dx Plant'!$E$5:$AD$5,0))</f>
        <v>1636440</v>
      </c>
      <c r="CF603" s="118">
        <f>INDEX('Gross Gen Plant'!$E$7:$AD$91,MATCH($C603,'Gross Gen Plant'!$D$7:$D$91,0),MATCH(Calculation!$G603,'Gross Gen Plant'!$E$5:$AD$5,0))</f>
        <v>73357</v>
      </c>
      <c r="CG603" s="118">
        <f t="shared" si="1720"/>
        <v>1064694</v>
      </c>
      <c r="CH603" s="118"/>
      <c r="CI603" s="121">
        <v>2013</v>
      </c>
      <c r="CJ603" s="118"/>
      <c r="CK603" s="118"/>
      <c r="CL603" s="118"/>
      <c r="CM603" s="183"/>
      <c r="CN603" s="118">
        <f t="shared" si="1711"/>
        <v>48674</v>
      </c>
      <c r="CO603" s="118">
        <f t="shared" si="1712"/>
        <v>73.387285362821643</v>
      </c>
      <c r="CP603" s="186">
        <v>0.90566037735849059</v>
      </c>
      <c r="CQ603" s="118">
        <f>+CQ588*CP603+CO589*CP602+CO590*CP601+CO591*CP600+CO592*CP599+CO593*CP598+CO594*CP597+CO595*CP596+CO596*CP595+CO597*CP594+CO598*CP593+CO599*CP592+CO600*CP591+CO601*CP590+CO602*CP589+CO603</f>
        <v>5341.8551835645367</v>
      </c>
      <c r="CR603" s="119">
        <f t="shared" si="1713"/>
        <v>5.6953764672850737E-3</v>
      </c>
      <c r="CS603" s="119"/>
      <c r="CT603" s="177">
        <f t="shared" si="1714"/>
        <v>8.1050058206045827E-3</v>
      </c>
      <c r="CU603" s="177">
        <f t="shared" si="1723"/>
        <v>7.8098610966365204E-3</v>
      </c>
      <c r="CV603" s="119">
        <f>VLOOKUP($H603,RoR!$E:$F,2,FALSE)</f>
        <v>4.2350000000000006E-2</v>
      </c>
      <c r="CW603" s="177">
        <v>1.7730000000000024E-2</v>
      </c>
      <c r="CX603" s="177">
        <f t="shared" si="1721"/>
        <v>2.4619999999999982E-2</v>
      </c>
      <c r="CY603" s="177">
        <f t="shared" si="1724"/>
        <v>2.3092080511897106E-2</v>
      </c>
      <c r="CZ603" s="177">
        <f t="shared" si="1725"/>
        <v>5.3376742735721204E-2</v>
      </c>
      <c r="DA603" s="187">
        <f t="shared" si="1715"/>
        <v>0.85131374874999999</v>
      </c>
      <c r="DB603" s="188">
        <f t="shared" si="1716"/>
        <v>1.2109103018193925</v>
      </c>
      <c r="DC603" s="188">
        <f t="shared" si="1717"/>
        <v>0.38468122786304604</v>
      </c>
      <c r="DD603" s="188">
        <f t="shared" si="1718"/>
        <v>0.80969194503422559</v>
      </c>
      <c r="DE603" s="188">
        <f t="shared" si="1719"/>
        <v>0.37716621754800816</v>
      </c>
      <c r="DF603" s="189">
        <f>INDEX('State Tax Lookup'!$D$7:$Z$91,MATCH(Calculation!$C603,'State Tax Lookup'!$B$7:$B$91,0),MATCH($H603,'State Tax Lookup'!$D$6:$Z$6,0))</f>
        <v>0.39649667</v>
      </c>
      <c r="DG603" s="189">
        <v>0.375</v>
      </c>
      <c r="DH603" s="190">
        <f t="shared" si="1722"/>
        <v>21.529456152774163</v>
      </c>
      <c r="DI603" s="190">
        <v>21.144954538887422</v>
      </c>
      <c r="DJ603" s="177"/>
      <c r="DK603" s="189">
        <f>VLOOKUP($H603,RoR!$E:$F,2,FALSE)</f>
        <v>4.2350000000000006E-2</v>
      </c>
      <c r="DL603" s="191">
        <f>HLOOKUP($H603,'GDP-PI'!$D$8:$CQ$11,3,FALSE)</f>
        <v>1.7730000000000024E-2</v>
      </c>
      <c r="DM603" s="189">
        <f>VLOOKUP(H603,'HW Dx Data'!$E:$F,2,FALSE)</f>
        <v>663.24840548821396</v>
      </c>
      <c r="DN603" s="183">
        <f>VLOOKUP(H603,'ECI - Input Price'!$G$17:$H$37,2,FALSE)</f>
        <v>118.72499999999999</v>
      </c>
      <c r="DO603" s="177">
        <f t="shared" ref="DO603" si="1764">LN(DN603/DN602)</f>
        <v>1.8918621429430321E-2</v>
      </c>
      <c r="DP603" s="183">
        <f>HLOOKUP(H603,'GDP-PI'!$8:$9,2,FALSE)</f>
        <v>101.773</v>
      </c>
      <c r="DQ603" s="177">
        <f t="shared" ref="DQ603" si="1765">LN(DP603/DP602)</f>
        <v>1.7574657016510519E-2</v>
      </c>
    </row>
    <row r="604" spans="1:121" s="167" customFormat="1" ht="21" x14ac:dyDescent="0.35">
      <c r="A604" s="167" t="s">
        <v>70</v>
      </c>
      <c r="B604" s="168" t="s">
        <v>70</v>
      </c>
      <c r="C604" s="168">
        <v>4061687</v>
      </c>
      <c r="D604" s="168" t="s">
        <v>136</v>
      </c>
      <c r="E604" s="168" t="s">
        <v>126</v>
      </c>
      <c r="F604" s="168"/>
      <c r="G604" s="168" t="s">
        <v>20</v>
      </c>
      <c r="H604" s="169">
        <v>2014</v>
      </c>
      <c r="I604" s="170"/>
      <c r="J604" s="166">
        <f>IFERROR(INDEX('Labor Expenditures'!$F$7:$X$91,MATCH($C604,'Labor Expenditures'!$D$7:$D$91,0),MATCH($G604,'Labor Expenditures'!$F$5:$X$5,0)),"NA")</f>
        <v>82248.839151750057</v>
      </c>
      <c r="K604" s="166">
        <f t="shared" si="1728"/>
        <v>678.62078508044601</v>
      </c>
      <c r="L604" s="172">
        <f t="shared" si="1735"/>
        <v>2.1277073305667315E-2</v>
      </c>
      <c r="M604" s="172">
        <f t="shared" si="1739"/>
        <v>5.9569758058836922E-4</v>
      </c>
      <c r="N604" s="196"/>
      <c r="O604" s="172"/>
      <c r="P604" s="166">
        <f>IFERROR(INDEX('Non-Labor Expenditures'!$F$7:$AB$91,MATCH($C604,'Non-Labor Expenditures'!$D$7:$D$91,0),MATCH($G604,'Non-Labor Expenditures'!$F$5:$AB$5,0)),"NA")</f>
        <v>119111.68105586604</v>
      </c>
      <c r="Q604" s="166">
        <f t="shared" si="1729"/>
        <v>1149.2052935045494</v>
      </c>
      <c r="R604" s="172">
        <f t="shared" si="1740"/>
        <v>2.3663200607439851E-2</v>
      </c>
      <c r="S604" s="172">
        <f t="shared" si="1745"/>
        <v>6.6250236338070696E-4</v>
      </c>
      <c r="T604" s="172"/>
      <c r="U604" s="172"/>
      <c r="V604" s="166">
        <f t="shared" si="1709"/>
        <v>117241.68840642805</v>
      </c>
      <c r="W604" s="170"/>
      <c r="X604" s="174">
        <v>5395.7527231223321</v>
      </c>
      <c r="Y604" s="175">
        <v>1.0039106045093549E-2</v>
      </c>
      <c r="Z604" s="175">
        <f t="shared" si="1746"/>
        <v>2.8106643693046859E-4</v>
      </c>
      <c r="AA604" s="175"/>
      <c r="AB604" s="175"/>
      <c r="AC604" s="170">
        <f t="shared" si="1677"/>
        <v>318602.20861404412</v>
      </c>
      <c r="AD604" s="175">
        <f t="shared" si="1741"/>
        <v>3.5630437137066692E-2</v>
      </c>
      <c r="AE604" s="170"/>
      <c r="AF604" s="170"/>
      <c r="AG604" s="121">
        <f t="shared" si="1742"/>
        <v>431.47235686287388</v>
      </c>
      <c r="AH604" s="119">
        <f>+AZ604/$BB$52</f>
        <v>2.0154251881795565E-2</v>
      </c>
      <c r="AI604" s="119">
        <f>+AZ604/$BC$52</f>
        <v>8.5863735171959568E-2</v>
      </c>
      <c r="AJ604" s="176">
        <f t="shared" si="1747"/>
        <v>8.6960025602463435</v>
      </c>
      <c r="AK604" s="176">
        <f t="shared" si="1748"/>
        <v>37.047828183695032</v>
      </c>
      <c r="AL604" s="120">
        <f t="shared" si="1730"/>
        <v>0.25815526988824677</v>
      </c>
      <c r="AM604" s="120">
        <f t="shared" si="1731"/>
        <v>0.37385704755160176</v>
      </c>
      <c r="AN604" s="120">
        <f t="shared" si="1732"/>
        <v>0.36798768256015152</v>
      </c>
      <c r="AO604" s="120">
        <f t="shared" si="1736"/>
        <v>1.800869059211414E-2</v>
      </c>
      <c r="AP604" s="173">
        <f t="shared" si="1752"/>
        <v>91.229917469522647</v>
      </c>
      <c r="AQ604" s="175">
        <f t="shared" si="1753"/>
        <v>1.800869059211422E-2</v>
      </c>
      <c r="AR604" s="177">
        <f>+AC604/$AE$52</f>
        <v>2.7997157881187566E-2</v>
      </c>
      <c r="AS604" s="177">
        <f t="shared" si="1749"/>
        <v>5.0419215374087896E-4</v>
      </c>
      <c r="AT604" s="177"/>
      <c r="AU604" s="177"/>
      <c r="AV604" s="177"/>
      <c r="AW604" s="190"/>
      <c r="AX604" s="120"/>
      <c r="AY604" s="120"/>
      <c r="AZ604" s="118">
        <f>IFERROR(INDEX('Total Customers'!$F$7:$AB$91,MATCH($C604,'Total Customers'!$D$7:$D$91,0),MATCH($G604,'Total Customers'!$F$5:$AB$5,0)),"NA")</f>
        <v>738407</v>
      </c>
      <c r="BA604" s="119">
        <f t="shared" si="1710"/>
        <v>3.7298262789169884E-3</v>
      </c>
      <c r="BB604" s="119"/>
      <c r="BC604" s="121">
        <v>8599754</v>
      </c>
      <c r="BD604" s="119"/>
      <c r="BE604" s="119"/>
      <c r="BF604" s="119"/>
      <c r="BG604" s="173"/>
      <c r="BH604" s="173"/>
      <c r="BI604" s="173"/>
      <c r="BJ604" s="173"/>
      <c r="BK604" s="173"/>
      <c r="BL604" s="173"/>
      <c r="BM604" s="173"/>
      <c r="BN604" s="173"/>
      <c r="BO604" s="173"/>
      <c r="BP604" s="173"/>
      <c r="BQ604" s="118"/>
      <c r="BR604" s="118"/>
      <c r="BS604" s="118">
        <f>INDEX('Dist. Plant Gas Additions'!$F$7:$AE$91,MATCH($C604,'Dist. Plant Gas Additions'!$D$7:$D$91,0),MATCH(Calculation!$G604,'Dist. Plant Gas Additions'!$F$5:$AE$5,0))</f>
        <v>53890</v>
      </c>
      <c r="BT604" s="118">
        <f>INDEX('Gen. Plant Additions'!$F$7:$AE$91,MATCH($C604,'Gen. Plant Additions'!$D$7:$D$91,0),MATCH(Calculation!$G604,'Gen. Plant Additions'!$F$5:$AE$5,0))</f>
        <v>13825</v>
      </c>
      <c r="BU604" s="118"/>
      <c r="BV604" s="118"/>
      <c r="BW604" s="118">
        <f>INDEX('Dist Plant Depreciation'!$E$7:$AD$94,MATCH($C604,'Dist Plant Depreciation'!$D$7:$D$94,0),MATCH(Calculation!$G604,'Dist Plant Depreciation'!$E$5:$AD$5,0))</f>
        <v>634858</v>
      </c>
      <c r="BX604" s="118">
        <f>INDEX('Gen. Plant Depreciation'!$E$7:$AD$94,MATCH($C604,'Gen. Plant Depreciation'!$D$7:$D$94,0),MATCH(Calculation!$G604,'Gen. Plant Depreciation'!$E$5:$AD$5,0))</f>
        <v>38572</v>
      </c>
      <c r="BY604" s="118"/>
      <c r="BZ604" s="118"/>
      <c r="CA604" s="118"/>
      <c r="CB604" s="118"/>
      <c r="CC604" s="118"/>
      <c r="CD604" s="118"/>
      <c r="CE604" s="118">
        <f>INDEX('Gross Dx Plant'!$E$7:$AD$91,MATCH($C604,'Gross Dx Plant'!$D$7:$D$91,0),MATCH(Calculation!$G604,'Gross Dx Plant'!$E$5:$AD$5,0))</f>
        <v>1681269</v>
      </c>
      <c r="CF604" s="118">
        <f>INDEX('Gross Gen Plant'!$E$7:$AD$91,MATCH($C604,'Gross Gen Plant'!$D$7:$D$91,0),MATCH(Calculation!$G604,'Gross Gen Plant'!$E$5:$AD$5,0))</f>
        <v>82922</v>
      </c>
      <c r="CG604" s="118">
        <f t="shared" si="1720"/>
        <v>1090761</v>
      </c>
      <c r="CH604" s="118"/>
      <c r="CI604" s="121">
        <v>2014</v>
      </c>
      <c r="CJ604" s="118"/>
      <c r="CK604" s="118"/>
      <c r="CL604" s="118"/>
      <c r="CM604" s="183"/>
      <c r="CN604" s="118">
        <f t="shared" si="1711"/>
        <v>67715</v>
      </c>
      <c r="CO604" s="118">
        <f t="shared" si="1712"/>
        <v>98.93068330006102</v>
      </c>
      <c r="CP604" s="186">
        <v>0.89743589743589747</v>
      </c>
      <c r="CQ604" s="118">
        <f>+CQ588*CP604+CO589*CP603+CO590*CP602+CO591*CP601+CO592*CP600+CO593*CP599+CO594*CP598+CO595*CP597+CO596*CP596+CO597*CP595+CO598*CP594+CO599*CP593+CO600*CP592+CO601*CP591+CO602*CP590+CO603*CP589+CO604</f>
        <v>5395.7527231223321</v>
      </c>
      <c r="CR604" s="119">
        <f t="shared" si="1713"/>
        <v>1.0039106045093549E-2</v>
      </c>
      <c r="CS604" s="119"/>
      <c r="CT604" s="177">
        <f t="shared" si="1714"/>
        <v>8.4302442119398076E-3</v>
      </c>
      <c r="CU604" s="177">
        <f t="shared" si="1723"/>
        <v>8.1134612847438854E-3</v>
      </c>
      <c r="CV604" s="119">
        <f>VLOOKUP($H604,RoR!$E:$F,2,FALSE)</f>
        <v>4.1625000000000002E-2</v>
      </c>
      <c r="CW604" s="177">
        <v>1.841352814597208E-2</v>
      </c>
      <c r="CX604" s="177">
        <f t="shared" si="1721"/>
        <v>2.3211471854027922E-2</v>
      </c>
      <c r="CY604" s="177">
        <f t="shared" si="1724"/>
        <v>2.2788480323789738E-2</v>
      </c>
      <c r="CZ604" s="177">
        <f t="shared" si="1725"/>
        <v>3.9072621432650924E-2</v>
      </c>
      <c r="DA604" s="187">
        <f t="shared" si="1715"/>
        <v>0.85131374874999999</v>
      </c>
      <c r="DB604" s="188">
        <f t="shared" si="1716"/>
        <v>1.2320012320012319</v>
      </c>
      <c r="DC604" s="188">
        <f t="shared" si="1717"/>
        <v>0.37439939939939942</v>
      </c>
      <c r="DD604" s="188">
        <f t="shared" si="1718"/>
        <v>0.80432100613819935</v>
      </c>
      <c r="DE604" s="188">
        <f t="shared" si="1719"/>
        <v>0.37100152660040037</v>
      </c>
      <c r="DF604" s="189">
        <f>INDEX('State Tax Lookup'!$D$7:$Z$91,MATCH(Calculation!$C604,'State Tax Lookup'!$B$7:$B$91,0),MATCH($H604,'State Tax Lookup'!$D$6:$Z$6,0))</f>
        <v>0.39649667</v>
      </c>
      <c r="DG604" s="189">
        <v>0.375</v>
      </c>
      <c r="DH604" s="190">
        <f t="shared" si="1722"/>
        <v>21.947747435600547</v>
      </c>
      <c r="DI604" s="190">
        <v>21.51976140871944</v>
      </c>
      <c r="DJ604" s="177"/>
      <c r="DK604" s="189">
        <f>VLOOKUP($H604,RoR!$E:$F,2,FALSE)</f>
        <v>4.1625000000000002E-2</v>
      </c>
      <c r="DL604" s="191">
        <f>HLOOKUP($H604,'GDP-PI'!$D$8:$CQ$11,3,FALSE)</f>
        <v>1.841352814597208E-2</v>
      </c>
      <c r="DM604" s="189">
        <f>VLOOKUP(H604,'HW Dx Data'!$E:$F,2,FALSE)</f>
        <v>684.46914285042885</v>
      </c>
      <c r="DN604" s="183">
        <f>VLOOKUP(H604,'ECI - Input Price'!$G$17:$H$37,2,FALSE)</f>
        <v>121.2</v>
      </c>
      <c r="DO604" s="177">
        <f t="shared" ref="DO604" si="1766">LN(DN604/DN603)</f>
        <v>2.0632179200028689E-2</v>
      </c>
      <c r="DP604" s="183">
        <f>HLOOKUP(H604,'GDP-PI'!$8:$9,2,FALSE)</f>
        <v>103.64700000000001</v>
      </c>
      <c r="DQ604" s="177">
        <f t="shared" ref="DQ604" si="1767">LN(DP604/DP603)</f>
        <v>1.8246051898256087E-2</v>
      </c>
    </row>
    <row r="605" spans="1:121" s="167" customFormat="1" ht="21" x14ac:dyDescent="0.35">
      <c r="A605" s="167" t="s">
        <v>70</v>
      </c>
      <c r="B605" s="168" t="s">
        <v>70</v>
      </c>
      <c r="C605" s="168">
        <v>4061687</v>
      </c>
      <c r="D605" s="168" t="s">
        <v>136</v>
      </c>
      <c r="E605" s="168" t="s">
        <v>126</v>
      </c>
      <c r="F605" s="168"/>
      <c r="G605" s="168" t="s">
        <v>21</v>
      </c>
      <c r="H605" s="169">
        <v>2015</v>
      </c>
      <c r="I605" s="170"/>
      <c r="J605" s="166">
        <f>IFERROR(INDEX('Labor Expenditures'!$F$7:$X$91,MATCH($C605,'Labor Expenditures'!$D$7:$D$91,0),MATCH($G605,'Labor Expenditures'!$F$5:$X$5,0)),"NA")</f>
        <v>83719.991389992079</v>
      </c>
      <c r="K605" s="166">
        <f t="shared" si="1728"/>
        <v>676.52518294943093</v>
      </c>
      <c r="L605" s="172">
        <f t="shared" si="1735"/>
        <v>-3.0928089680442796E-3</v>
      </c>
      <c r="M605" s="172">
        <f t="shared" si="1739"/>
        <v>-8.6232223308703638E-5</v>
      </c>
      <c r="N605" s="196"/>
      <c r="O605" s="172"/>
      <c r="P605" s="166">
        <f>IFERROR(INDEX('Non-Labor Expenditures'!$F$7:$AB$91,MATCH($C605,'Non-Labor Expenditures'!$D$7:$D$91,0),MATCH($G605,'Non-Labor Expenditures'!$F$5:$AB$5,0)),"NA")</f>
        <v>121242.1842701765</v>
      </c>
      <c r="Q605" s="166">
        <f t="shared" si="1729"/>
        <v>1158.6710907995728</v>
      </c>
      <c r="R605" s="172">
        <f t="shared" si="1740"/>
        <v>8.203082660098393E-3</v>
      </c>
      <c r="S605" s="172">
        <f t="shared" si="1745"/>
        <v>2.2871443502463096E-4</v>
      </c>
      <c r="T605" s="172"/>
      <c r="U605" s="172"/>
      <c r="V605" s="166">
        <f t="shared" si="1709"/>
        <v>115528.62581268228</v>
      </c>
      <c r="W605" s="170"/>
      <c r="X605" s="174">
        <v>5378.3162940991515</v>
      </c>
      <c r="Y605" s="175">
        <v>-3.2367426304844567E-3</v>
      </c>
      <c r="Z605" s="175">
        <f t="shared" si="1746"/>
        <v>-9.0245312978780941E-5</v>
      </c>
      <c r="AA605" s="175"/>
      <c r="AB605" s="175"/>
      <c r="AC605" s="170">
        <f t="shared" si="1677"/>
        <v>320490.80147285084</v>
      </c>
      <c r="AD605" s="175">
        <f t="shared" si="1741"/>
        <v>5.9102456967376387E-3</v>
      </c>
      <c r="AE605" s="170"/>
      <c r="AF605" s="170"/>
      <c r="AG605" s="121">
        <f t="shared" si="1742"/>
        <v>432.71266847972521</v>
      </c>
      <c r="AH605" s="119">
        <f>+AZ605/$BB$53</f>
        <v>2.0051697834285686E-2</v>
      </c>
      <c r="AI605" s="119">
        <f>+AZ605/$BC$53</f>
        <v>8.5534781927332243E-2</v>
      </c>
      <c r="AJ605" s="176">
        <f t="shared" si="1747"/>
        <v>8.6766236774228869</v>
      </c>
      <c r="AK605" s="176">
        <f t="shared" si="1748"/>
        <v>37.011983735607309</v>
      </c>
      <c r="AL605" s="120">
        <f t="shared" si="1730"/>
        <v>0.26122431909199145</v>
      </c>
      <c r="AM605" s="120">
        <f t="shared" si="1731"/>
        <v>0.37830160401794577</v>
      </c>
      <c r="AN605" s="120">
        <f t="shared" si="1732"/>
        <v>0.36047407689006278</v>
      </c>
      <c r="AO605" s="120">
        <f t="shared" si="1736"/>
        <v>1.1029172551128446E-3</v>
      </c>
      <c r="AP605" s="173">
        <f t="shared" si="1752"/>
        <v>91.330592027330525</v>
      </c>
      <c r="AQ605" s="175">
        <f t="shared" si="1753"/>
        <v>1.1029172551128917E-3</v>
      </c>
      <c r="AR605" s="177">
        <f>+AC605/$AE$53</f>
        <v>2.7881522654544067E-2</v>
      </c>
      <c r="AS605" s="177">
        <f t="shared" si="1749"/>
        <v>3.0751012434517646E-5</v>
      </c>
      <c r="AT605" s="177"/>
      <c r="AU605" s="177"/>
      <c r="AV605" s="177"/>
      <c r="AW605" s="190"/>
      <c r="AX605" s="120"/>
      <c r="AY605" s="120"/>
      <c r="AZ605" s="118">
        <f>IFERROR(INDEX('Total Customers'!$F$7:$AB$91,MATCH($C605,'Total Customers'!$D$7:$D$91,0),MATCH($G605,'Total Customers'!$F$5:$AB$5,0)),"NA")</f>
        <v>740655</v>
      </c>
      <c r="BA605" s="119">
        <f t="shared" si="1710"/>
        <v>3.0397667318798668E-3</v>
      </c>
      <c r="BB605" s="119"/>
      <c r="BC605" s="121">
        <v>8659109</v>
      </c>
      <c r="BD605" s="119"/>
      <c r="BE605" s="119"/>
      <c r="BF605" s="119"/>
      <c r="BG605" s="173"/>
      <c r="BH605" s="173"/>
      <c r="BI605" s="173"/>
      <c r="BJ605" s="173"/>
      <c r="BK605" s="173"/>
      <c r="BL605" s="173"/>
      <c r="BM605" s="173"/>
      <c r="BN605" s="173"/>
      <c r="BO605" s="173"/>
      <c r="BP605" s="173"/>
      <c r="BQ605" s="118"/>
      <c r="BR605" s="118"/>
      <c r="BS605" s="118">
        <f>INDEX('Dist. Plant Gas Additions'!$F$7:$AE$91,MATCH($C605,'Dist. Plant Gas Additions'!$D$7:$D$91,0),MATCH(Calculation!$G605,'Dist. Plant Gas Additions'!$F$5:$AE$5,0))</f>
        <v>13136</v>
      </c>
      <c r="BT605" s="118">
        <f>INDEX('Gen. Plant Additions'!$F$7:$AE$91,MATCH($C605,'Gen. Plant Additions'!$D$7:$D$91,0),MATCH(Calculation!$G605,'Gen. Plant Additions'!$F$5:$AE$5,0))</f>
        <v>7005</v>
      </c>
      <c r="BU605" s="118"/>
      <c r="BV605" s="118"/>
      <c r="BW605" s="118">
        <f>INDEX('Dist Plant Depreciation'!$E$7:$AD$94,MATCH($C605,'Dist Plant Depreciation'!$D$7:$D$94,0),MATCH(Calculation!$G605,'Dist Plant Depreciation'!$E$5:$AD$5,0))</f>
        <v>656825</v>
      </c>
      <c r="BX605" s="118">
        <f>INDEX('Gen. Plant Depreciation'!$E$7:$AD$94,MATCH($C605,'Gen. Plant Depreciation'!$D$7:$D$94,0),MATCH(Calculation!$G605,'Gen. Plant Depreciation'!$E$5:$AD$5,0))</f>
        <v>42604</v>
      </c>
      <c r="BY605" s="118"/>
      <c r="BZ605" s="118"/>
      <c r="CA605" s="118"/>
      <c r="CB605" s="118"/>
      <c r="CC605" s="118"/>
      <c r="CD605" s="118"/>
      <c r="CE605" s="118">
        <f>INDEX('Gross Dx Plant'!$E$7:$AD$91,MATCH($C605,'Gross Dx Plant'!$D$7:$D$91,0),MATCH(Calculation!$G605,'Gross Dx Plant'!$E$5:$AD$5,0))</f>
        <v>1720869</v>
      </c>
      <c r="CF605" s="118">
        <f>INDEX('Gross Gen Plant'!$E$7:$AD$91,MATCH($C605,'Gross Gen Plant'!$D$7:$D$91,0),MATCH(Calculation!$G605,'Gross Gen Plant'!$E$5:$AD$5,0))</f>
        <v>89620</v>
      </c>
      <c r="CG605" s="118">
        <f t="shared" si="1720"/>
        <v>1111060</v>
      </c>
      <c r="CH605" s="118"/>
      <c r="CI605" s="121">
        <v>2015</v>
      </c>
      <c r="CJ605" s="118"/>
      <c r="CK605" s="118"/>
      <c r="CL605" s="118"/>
      <c r="CM605" s="183"/>
      <c r="CN605" s="118">
        <f t="shared" si="1711"/>
        <v>20141</v>
      </c>
      <c r="CO605" s="118">
        <f t="shared" si="1712"/>
        <v>29.811373249839914</v>
      </c>
      <c r="CP605" s="186">
        <v>0.88888888888888884</v>
      </c>
      <c r="CQ605" s="118">
        <f>+CQ588*CP605+CO589*CP604+CO590*CP603+CO591*CP602+CO592*CP601+CO593*CP600+CO594*CP599+CO595*CP598+CO596*CP597+CO597*CP596+CO598*CP595+CO599*CP594+CO600*CP593+CO601*CP592+CO602*CP591+CO603*CP590+CO604*CP589+CO605</f>
        <v>5378.3162940991515</v>
      </c>
      <c r="CR605" s="119">
        <f t="shared" si="1713"/>
        <v>-3.2367426304844567E-3</v>
      </c>
      <c r="CS605" s="119"/>
      <c r="CT605" s="177">
        <f t="shared" si="1714"/>
        <v>8.7564802720759023E-3</v>
      </c>
      <c r="CU605" s="177">
        <f t="shared" si="1723"/>
        <v>8.4305767682067642E-3</v>
      </c>
      <c r="CV605" s="119">
        <f>VLOOKUP($H605,RoR!$E:$F,2,FALSE)</f>
        <v>3.8866666666666674E-2</v>
      </c>
      <c r="CW605" s="177">
        <v>9.5709475431029478E-3</v>
      </c>
      <c r="CX605" s="177">
        <f t="shared" si="1721"/>
        <v>2.9295719123563727E-2</v>
      </c>
      <c r="CY605" s="177">
        <f t="shared" si="1724"/>
        <v>2.2471364840326861E-2</v>
      </c>
      <c r="CZ605" s="177">
        <f t="shared" si="1725"/>
        <v>3.5270373279175926E-3</v>
      </c>
      <c r="DA605" s="187">
        <f t="shared" si="1715"/>
        <v>0.85131374874999999</v>
      </c>
      <c r="DB605" s="188">
        <f t="shared" si="1716"/>
        <v>1.3194352816994324</v>
      </c>
      <c r="DC605" s="188">
        <f t="shared" si="1717"/>
        <v>0.33177530017152673</v>
      </c>
      <c r="DD605" s="188">
        <f t="shared" si="1718"/>
        <v>0.78242572977668579</v>
      </c>
      <c r="DE605" s="188">
        <f t="shared" si="1719"/>
        <v>0.34251158643433932</v>
      </c>
      <c r="DF605" s="189">
        <f>INDEX('State Tax Lookup'!$D$7:$Z$91,MATCH(Calculation!$C605,'State Tax Lookup'!$B$7:$B$91,0),MATCH($H605,'State Tax Lookup'!$D$6:$Z$6,0))</f>
        <v>0.39649667</v>
      </c>
      <c r="DG605" s="189">
        <v>0.375</v>
      </c>
      <c r="DH605" s="190">
        <f t="shared" si="1722"/>
        <v>21.411030442075177</v>
      </c>
      <c r="DI605" s="190">
        <v>20.954982066021568</v>
      </c>
      <c r="DJ605" s="177"/>
      <c r="DK605" s="189">
        <f>VLOOKUP($H605,RoR!$E:$F,2,FALSE)</f>
        <v>3.8866666666666674E-2</v>
      </c>
      <c r="DL605" s="191">
        <f>HLOOKUP($H605,'GDP-PI'!$D$8:$CQ$11,3,FALSE)</f>
        <v>9.5709475431029478E-3</v>
      </c>
      <c r="DM605" s="189">
        <f>VLOOKUP(H605,'HW Dx Data'!$E:$F,2,FALSE)</f>
        <v>675.61463308665782</v>
      </c>
      <c r="DN605" s="183">
        <f>VLOOKUP(H605,'ECI - Input Price'!$G$17:$H$37,2,FALSE)</f>
        <v>123.75</v>
      </c>
      <c r="DO605" s="177">
        <f t="shared" ref="DO605" si="1768">LN(DN605/DN604)</f>
        <v>2.0821327813585516E-2</v>
      </c>
      <c r="DP605" s="183">
        <f>HLOOKUP(H605,'GDP-PI'!$8:$9,2,FALSE)</f>
        <v>104.639</v>
      </c>
      <c r="DQ605" s="177">
        <f t="shared" ref="DQ605" si="1769">LN(DP605/DP604)</f>
        <v>9.5254361854427965E-3</v>
      </c>
    </row>
    <row r="606" spans="1:121" s="167" customFormat="1" ht="21" x14ac:dyDescent="0.35">
      <c r="A606" s="167" t="s">
        <v>70</v>
      </c>
      <c r="B606" s="168" t="s">
        <v>70</v>
      </c>
      <c r="C606" s="168">
        <v>4061687</v>
      </c>
      <c r="D606" s="168" t="s">
        <v>136</v>
      </c>
      <c r="E606" s="168" t="s">
        <v>126</v>
      </c>
      <c r="F606" s="168"/>
      <c r="G606" s="168" t="s">
        <v>22</v>
      </c>
      <c r="H606" s="169">
        <v>2016</v>
      </c>
      <c r="I606" s="170"/>
      <c r="J606" s="166">
        <f>IFERROR(INDEX('Labor Expenditures'!$F$7:$X$91,MATCH($C606,'Labor Expenditures'!$D$7:$D$91,0),MATCH($G606,'Labor Expenditures'!$F$5:$X$5,0)),"NA")</f>
        <v>81311.941241804627</v>
      </c>
      <c r="K606" s="166">
        <f t="shared" si="1728"/>
        <v>643.29067438136565</v>
      </c>
      <c r="L606" s="172">
        <f t="shared" si="1735"/>
        <v>-5.0372990487724346E-2</v>
      </c>
      <c r="M606" s="172">
        <f t="shared" si="1739"/>
        <v>-1.3197765330208399E-3</v>
      </c>
      <c r="N606" s="196"/>
      <c r="O606" s="172"/>
      <c r="P606" s="166">
        <f>IFERROR(INDEX('Non-Labor Expenditures'!$F$7:$AB$91,MATCH($C606,'Non-Labor Expenditures'!$D$7:$D$91,0),MATCH($G606,'Non-Labor Expenditures'!$F$5:$AB$5,0)),"NA")</f>
        <v>117754.87789387329</v>
      </c>
      <c r="Q606" s="166">
        <f t="shared" si="1729"/>
        <v>1113.6687400116639</v>
      </c>
      <c r="R606" s="172">
        <f t="shared" si="1740"/>
        <v>-3.9614000590971851E-2</v>
      </c>
      <c r="S606" s="172">
        <f t="shared" si="1745"/>
        <v>-1.0378901044554643E-3</v>
      </c>
      <c r="T606" s="172"/>
      <c r="U606" s="172"/>
      <c r="V606" s="166">
        <f t="shared" si="1709"/>
        <v>112658.78134533402</v>
      </c>
      <c r="W606" s="170"/>
      <c r="X606" s="174">
        <v>5374.2774951066931</v>
      </c>
      <c r="Y606" s="175">
        <v>-7.5122324186556E-4</v>
      </c>
      <c r="Z606" s="175">
        <f t="shared" si="1746"/>
        <v>-1.9682111307559065E-5</v>
      </c>
      <c r="AA606" s="175"/>
      <c r="AB606" s="175"/>
      <c r="AC606" s="170">
        <f t="shared" si="1677"/>
        <v>311725.6004810119</v>
      </c>
      <c r="AD606" s="175">
        <f t="shared" si="1741"/>
        <v>-2.7730260198831017E-2</v>
      </c>
      <c r="AE606" s="170"/>
      <c r="AF606" s="170"/>
      <c r="AG606" s="121">
        <f t="shared" si="1742"/>
        <v>419.81380016916677</v>
      </c>
      <c r="AH606" s="119">
        <f>+AZ606/$BB$54</f>
        <v>1.9928850528025104E-2</v>
      </c>
      <c r="AI606" s="119">
        <f>+AZ606/$BC$54</f>
        <v>8.4772953868780046E-2</v>
      </c>
      <c r="AJ606" s="176">
        <f t="shared" si="1747"/>
        <v>8.3664064731735248</v>
      </c>
      <c r="AK606" s="176">
        <f t="shared" si="1748"/>
        <v>35.588855915218019</v>
      </c>
      <c r="AL606" s="120">
        <f t="shared" si="1730"/>
        <v>0.26084460537195298</v>
      </c>
      <c r="AM606" s="120">
        <f t="shared" si="1731"/>
        <v>0.37775170763058991</v>
      </c>
      <c r="AN606" s="120">
        <f t="shared" si="1732"/>
        <v>0.36140368699745717</v>
      </c>
      <c r="AO606" s="120">
        <f t="shared" si="1736"/>
        <v>-2.839538032721416E-2</v>
      </c>
      <c r="AP606" s="173">
        <f t="shared" si="1752"/>
        <v>88.77369890660961</v>
      </c>
      <c r="AQ606" s="175">
        <f t="shared" si="1753"/>
        <v>-2.8395380327214174E-2</v>
      </c>
      <c r="AR606" s="177">
        <f>+AC606/$AE$54</f>
        <v>2.6200083025494845E-2</v>
      </c>
      <c r="AS606" s="177">
        <f t="shared" si="1749"/>
        <v>-7.4396132211351437E-4</v>
      </c>
      <c r="AT606" s="177"/>
      <c r="AU606" s="177"/>
      <c r="AV606" s="177"/>
      <c r="AW606" s="190"/>
      <c r="AX606" s="120"/>
      <c r="AY606" s="120"/>
      <c r="AZ606" s="118">
        <f>IFERROR(INDEX('Total Customers'!$F$7:$AB$91,MATCH($C606,'Total Customers'!$D$7:$D$91,0),MATCH($G606,'Total Customers'!$F$5:$AB$5,0)),"NA")</f>
        <v>742533</v>
      </c>
      <c r="BA606" s="119">
        <f t="shared" si="1710"/>
        <v>2.5323843014234365E-3</v>
      </c>
      <c r="BB606" s="119"/>
      <c r="BC606" s="121">
        <v>8759079</v>
      </c>
      <c r="BD606" s="119"/>
      <c r="BE606" s="119"/>
      <c r="BF606" s="119"/>
      <c r="BG606" s="173"/>
      <c r="BH606" s="173"/>
      <c r="BI606" s="173"/>
      <c r="BJ606" s="173"/>
      <c r="BK606" s="173"/>
      <c r="BL606" s="173"/>
      <c r="BM606" s="173"/>
      <c r="BN606" s="173"/>
      <c r="BO606" s="173"/>
      <c r="BP606" s="173"/>
      <c r="BQ606" s="118"/>
      <c r="BR606" s="118"/>
      <c r="BS606" s="118">
        <f>INDEX('Dist. Plant Gas Additions'!$F$7:$AE$91,MATCH($C606,'Dist. Plant Gas Additions'!$D$7:$D$91,0),MATCH(Calculation!$G606,'Dist. Plant Gas Additions'!$F$5:$AE$5,0))</f>
        <v>22866</v>
      </c>
      <c r="BT606" s="118">
        <f>INDEX('Gen. Plant Additions'!$F$7:$AE$91,MATCH($C606,'Gen. Plant Additions'!$D$7:$D$91,0),MATCH(Calculation!$G606,'Gen. Plant Additions'!$F$5:$AE$5,0))</f>
        <v>7481</v>
      </c>
      <c r="BU606" s="118"/>
      <c r="BV606" s="118"/>
      <c r="BW606" s="118">
        <f>INDEX('Dist Plant Depreciation'!$E$7:$AD$94,MATCH($C606,'Dist Plant Depreciation'!$D$7:$D$94,0),MATCH(Calculation!$G606,'Dist Plant Depreciation'!$E$5:$AD$5,0))</f>
        <v>679083</v>
      </c>
      <c r="BX606" s="118">
        <f>INDEX('Gen. Plant Depreciation'!$E$7:$AD$94,MATCH($C606,'Gen. Plant Depreciation'!$D$7:$D$94,0),MATCH(Calculation!$G606,'Gen. Plant Depreciation'!$E$5:$AD$5,0))</f>
        <v>46294</v>
      </c>
      <c r="BY606" s="118"/>
      <c r="BZ606" s="118"/>
      <c r="CA606" s="118"/>
      <c r="CB606" s="118"/>
      <c r="CC606" s="118"/>
      <c r="CD606" s="118"/>
      <c r="CE606" s="118">
        <f>INDEX('Gross Dx Plant'!$E$7:$AD$91,MATCH($C606,'Gross Dx Plant'!$D$7:$D$91,0),MATCH(Calculation!$G606,'Gross Dx Plant'!$E$5:$AD$5,0))</f>
        <v>1774038</v>
      </c>
      <c r="CF606" s="118">
        <f>INDEX('Gross Gen Plant'!$E$7:$AD$91,MATCH($C606,'Gross Gen Plant'!$D$7:$D$91,0),MATCH(Calculation!$G606,'Gross Gen Plant'!$E$5:$AD$5,0))</f>
        <v>93775</v>
      </c>
      <c r="CG606" s="118">
        <f t="shared" si="1720"/>
        <v>1142436</v>
      </c>
      <c r="CH606" s="118"/>
      <c r="CI606" s="121">
        <v>2016</v>
      </c>
      <c r="CJ606" s="118"/>
      <c r="CK606" s="118"/>
      <c r="CL606" s="118"/>
      <c r="CM606" s="183"/>
      <c r="CN606" s="118">
        <f t="shared" si="1711"/>
        <v>30347</v>
      </c>
      <c r="CO606" s="118">
        <f t="shared" si="1712"/>
        <v>45.195786766668895</v>
      </c>
      <c r="CP606" s="186">
        <v>0.88</v>
      </c>
      <c r="CQ606" s="118">
        <f>+CQ588*CP606+CO589*CP605+CO590*CP604+CO591*CP603+CO592*CP602+CO593*CP601+CO594*CP600+CO595*CP599+CO596*CP598+CO597*CP597+CO598*CP596+CO599*CP595+CO600*CP594+CO601*CP593+CO602*CP592+CO603*CP591+CO604*CP590+CO605*CP589+CO606</f>
        <v>5374.2774951066931</v>
      </c>
      <c r="CR606" s="119">
        <f t="shared" si="1713"/>
        <v>-7.5122324186556E-4</v>
      </c>
      <c r="CS606" s="119"/>
      <c r="CT606" s="177">
        <f t="shared" si="1714"/>
        <v>9.1542748821123229E-3</v>
      </c>
      <c r="CU606" s="177">
        <f t="shared" si="1723"/>
        <v>8.7803331220426776E-3</v>
      </c>
      <c r="CV606" s="119">
        <f>VLOOKUP($H606,RoR!$E:$F,2,FALSE)</f>
        <v>3.6658333333333334E-2</v>
      </c>
      <c r="CW606" s="177">
        <v>1.0483662879041455E-2</v>
      </c>
      <c r="CX606" s="177">
        <f t="shared" si="1721"/>
        <v>2.6174670454291879E-2</v>
      </c>
      <c r="CY606" s="177">
        <f t="shared" si="1724"/>
        <v>2.2121608486490946E-2</v>
      </c>
      <c r="CZ606" s="177">
        <f t="shared" si="1725"/>
        <v>4.301363574220729E-3</v>
      </c>
      <c r="DA606" s="187">
        <f t="shared" si="1715"/>
        <v>0.85131374874999999</v>
      </c>
      <c r="DB606" s="188">
        <f t="shared" si="1716"/>
        <v>1.3989193348138562</v>
      </c>
      <c r="DC606" s="188">
        <f t="shared" si="1717"/>
        <v>0.29302682427824522</v>
      </c>
      <c r="DD606" s="188">
        <f t="shared" si="1718"/>
        <v>0.76309497491941802</v>
      </c>
      <c r="DE606" s="188">
        <f t="shared" si="1719"/>
        <v>0.31280857135128509</v>
      </c>
      <c r="DF606" s="189">
        <f>INDEX('State Tax Lookup'!$D$7:$Z$91,MATCH(Calculation!$C606,'State Tax Lookup'!$B$7:$B$91,0),MATCH($H606,'State Tax Lookup'!$D$6:$Z$6,0))</f>
        <v>0.39649667</v>
      </c>
      <c r="DG606" s="189">
        <v>0.375</v>
      </c>
      <c r="DH606" s="190">
        <f t="shared" si="1722"/>
        <v>20.946849382759101</v>
      </c>
      <c r="DI606" s="190">
        <v>20.426584477346871</v>
      </c>
      <c r="DJ606" s="177"/>
      <c r="DK606" s="189">
        <f>VLOOKUP($H606,RoR!$E:$F,2,FALSE)</f>
        <v>3.6658333333333334E-2</v>
      </c>
      <c r="DL606" s="191">
        <f>HLOOKUP($H606,'GDP-PI'!$D$8:$CQ$11,3,FALSE)</f>
        <v>1.0483662879041455E-2</v>
      </c>
      <c r="DM606" s="189">
        <f>VLOOKUP(H606,'HW Dx Data'!$E:$F,2,FALSE)</f>
        <v>671.45639385971219</v>
      </c>
      <c r="DN606" s="183">
        <f>VLOOKUP(H606,'ECI - Input Price'!$G$17:$H$37,2,FALSE)</f>
        <v>126.4</v>
      </c>
      <c r="DO606" s="177">
        <f t="shared" ref="DO606" si="1770">LN(DN606/DN605)</f>
        <v>2.11880802639575E-2</v>
      </c>
      <c r="DP606" s="183">
        <f>HLOOKUP(H606,'GDP-PI'!$8:$9,2,FALSE)</f>
        <v>105.736</v>
      </c>
      <c r="DQ606" s="177">
        <f t="shared" ref="DQ606" si="1771">LN(DP606/DP605)</f>
        <v>1.0429090367205095E-2</v>
      </c>
    </row>
    <row r="607" spans="1:121" s="167" customFormat="1" ht="21" x14ac:dyDescent="0.35">
      <c r="A607" s="167" t="s">
        <v>70</v>
      </c>
      <c r="B607" s="168" t="s">
        <v>70</v>
      </c>
      <c r="C607" s="168">
        <v>4061687</v>
      </c>
      <c r="D607" s="168" t="s">
        <v>136</v>
      </c>
      <c r="E607" s="168" t="s">
        <v>126</v>
      </c>
      <c r="F607" s="168"/>
      <c r="G607" s="168" t="s">
        <v>23</v>
      </c>
      <c r="H607" s="169">
        <v>2017</v>
      </c>
      <c r="I607" s="170"/>
      <c r="J607" s="166">
        <f>IFERROR(INDEX('Labor Expenditures'!$F$7:$X$91,MATCH($C607,'Labor Expenditures'!$D$7:$D$91,0),MATCH($G607,'Labor Expenditures'!$F$5:$X$5,0)),"NA")</f>
        <v>82918.365639424243</v>
      </c>
      <c r="K607" s="166">
        <f t="shared" si="1728"/>
        <v>640.29625976389377</v>
      </c>
      <c r="L607" s="172">
        <f t="shared" si="1735"/>
        <v>-4.6657066535758336E-3</v>
      </c>
      <c r="M607" s="172">
        <f t="shared" si="1739"/>
        <v>-1.1976279186188212E-4</v>
      </c>
      <c r="N607" s="196"/>
      <c r="O607" s="172"/>
      <c r="P607" s="166">
        <f>IFERROR(INDEX('Non-Labor Expenditures'!$F$7:$AB$91,MATCH($C607,'Non-Labor Expenditures'!$D$7:$D$91,0),MATCH($G607,'Non-Labor Expenditures'!$F$5:$AB$5,0)),"NA")</f>
        <v>120081.28046031678</v>
      </c>
      <c r="Q607" s="166">
        <f t="shared" si="1729"/>
        <v>1114.4330953802448</v>
      </c>
      <c r="R607" s="172">
        <f t="shared" si="1740"/>
        <v>6.8610454551407607E-4</v>
      </c>
      <c r="S607" s="172">
        <f t="shared" si="1745"/>
        <v>1.76114363762921E-5</v>
      </c>
      <c r="T607" s="172"/>
      <c r="U607" s="172"/>
      <c r="V607" s="166">
        <f t="shared" si="1709"/>
        <v>101107.40411750785</v>
      </c>
      <c r="W607" s="170"/>
      <c r="X607" s="174">
        <v>5363.8433669571768</v>
      </c>
      <c r="Y607" s="175">
        <v>-1.9433812614805016E-3</v>
      </c>
      <c r="Z607" s="175">
        <f t="shared" si="1746"/>
        <v>-4.9884140347442081E-5</v>
      </c>
      <c r="AA607" s="175"/>
      <c r="AB607" s="175"/>
      <c r="AC607" s="170">
        <f t="shared" si="1677"/>
        <v>304107.05021724885</v>
      </c>
      <c r="AD607" s="175">
        <f t="shared" si="1741"/>
        <v>-2.4743536904888043E-2</v>
      </c>
      <c r="AE607" s="170"/>
      <c r="AF607" s="170"/>
      <c r="AG607" s="121">
        <f t="shared" si="1742"/>
        <v>408.27246113345524</v>
      </c>
      <c r="AH607" s="119">
        <f>+AZ607/$BB$55</f>
        <v>1.9841185343264497E-2</v>
      </c>
      <c r="AI607" s="119">
        <f>+AZ607/$BC$56</f>
        <v>8.3585820160253954E-2</v>
      </c>
      <c r="AJ607" s="176">
        <f t="shared" si="1747"/>
        <v>8.1006095718996356</v>
      </c>
      <c r="AK607" s="176">
        <f t="shared" si="1748"/>
        <v>34.125788512685261</v>
      </c>
      <c r="AL607" s="120">
        <f t="shared" si="1730"/>
        <v>0.27266176690145388</v>
      </c>
      <c r="AM607" s="120">
        <f t="shared" si="1731"/>
        <v>0.39486516466662896</v>
      </c>
      <c r="AN607" s="120">
        <f t="shared" si="1732"/>
        <v>0.33247306843191715</v>
      </c>
      <c r="AO607" s="120">
        <f t="shared" si="1736"/>
        <v>-1.6537776835477422E-3</v>
      </c>
      <c r="AP607" s="173">
        <f t="shared" si="1752"/>
        <v>88.62700827475156</v>
      </c>
      <c r="AQ607" s="175">
        <f t="shared" si="1753"/>
        <v>-1.6537776835475965E-3</v>
      </c>
      <c r="AR607" s="177">
        <f>+AC607/$AE$55</f>
        <v>2.5668735896650294E-2</v>
      </c>
      <c r="AS607" s="177">
        <f t="shared" si="1749"/>
        <v>-4.2450382590757363E-5</v>
      </c>
      <c r="AT607" s="177"/>
      <c r="AU607" s="177"/>
      <c r="AV607" s="177"/>
      <c r="AW607" s="190"/>
      <c r="AX607" s="120"/>
      <c r="AY607" s="120"/>
      <c r="AZ607" s="118">
        <f>IFERROR(INDEX('Total Customers'!$F$7:$AB$91,MATCH($C607,'Total Customers'!$D$7:$D$91,0),MATCH($G607,'Total Customers'!$F$5:$AB$5,0)),"NA")</f>
        <v>744863</v>
      </c>
      <c r="BA607" s="119">
        <f t="shared" si="1710"/>
        <v>3.1329947181152991E-3</v>
      </c>
      <c r="BB607" s="119"/>
      <c r="BC607" s="121">
        <v>8824403</v>
      </c>
      <c r="BD607" s="119"/>
      <c r="BE607" s="119"/>
      <c r="BF607" s="119"/>
      <c r="BG607" s="173"/>
      <c r="BH607" s="173"/>
      <c r="BI607" s="173"/>
      <c r="BJ607" s="173"/>
      <c r="BK607" s="173"/>
      <c r="BL607" s="173"/>
      <c r="BM607" s="173"/>
      <c r="BN607" s="173"/>
      <c r="BO607" s="173"/>
      <c r="BP607" s="173"/>
      <c r="BQ607" s="118"/>
      <c r="BR607" s="118"/>
      <c r="BS607" s="118">
        <f>INDEX('Dist. Plant Gas Additions'!$F$7:$AE$91,MATCH($C607,'Dist. Plant Gas Additions'!$D$7:$D$91,0),MATCH(Calculation!$G607,'Dist. Plant Gas Additions'!$F$5:$AE$5,0))</f>
        <v>23354</v>
      </c>
      <c r="BT607" s="118">
        <f>INDEX('Gen. Plant Additions'!$F$7:$AE$91,MATCH($C607,'Gen. Plant Additions'!$D$7:$D$91,0),MATCH(Calculation!$G607,'Gen. Plant Additions'!$F$5:$AE$5,0))</f>
        <v>5840</v>
      </c>
      <c r="BU607" s="118"/>
      <c r="BV607" s="118"/>
      <c r="BW607" s="118">
        <f>INDEX('Dist Plant Depreciation'!$E$7:$AD$94,MATCH($C607,'Dist Plant Depreciation'!$D$7:$D$94,0),MATCH(Calculation!$G607,'Dist Plant Depreciation'!$E$5:$AD$5,0))</f>
        <v>701909</v>
      </c>
      <c r="BX607" s="118">
        <f>INDEX('Gen. Plant Depreciation'!$E$7:$AD$94,MATCH($C607,'Gen. Plant Depreciation'!$D$7:$D$94,0),MATCH(Calculation!$G607,'Gen. Plant Depreciation'!$E$5:$AD$5,0))</f>
        <v>55721</v>
      </c>
      <c r="BY607" s="118"/>
      <c r="BZ607" s="118"/>
      <c r="CA607" s="118"/>
      <c r="CB607" s="118"/>
      <c r="CC607" s="118"/>
      <c r="CD607" s="118"/>
      <c r="CE607" s="118">
        <f>INDEX('Gross Dx Plant'!$E$7:$AD$91,MATCH($C607,'Gross Dx Plant'!$D$7:$D$91,0),MATCH(Calculation!$G607,'Gross Dx Plant'!$E$5:$AD$5,0))</f>
        <v>1822483</v>
      </c>
      <c r="CF607" s="118">
        <f>INDEX('Gross Gen Plant'!$E$7:$AD$91,MATCH($C607,'Gross Gen Plant'!$D$7:$D$91,0),MATCH(Calculation!$G607,'Gross Gen Plant'!$E$5:$AD$5,0))</f>
        <v>98233</v>
      </c>
      <c r="CG607" s="118">
        <f t="shared" si="1720"/>
        <v>1163086</v>
      </c>
      <c r="CH607" s="118"/>
      <c r="CI607" s="121">
        <v>2017</v>
      </c>
      <c r="CJ607" s="118"/>
      <c r="CK607" s="118"/>
      <c r="CL607" s="118"/>
      <c r="CM607" s="183"/>
      <c r="CN607" s="118">
        <f t="shared" si="1711"/>
        <v>29194</v>
      </c>
      <c r="CO607" s="118">
        <f t="shared" si="1712"/>
        <v>40.97814246627604</v>
      </c>
      <c r="CP607" s="186">
        <v>0.87074829931972786</v>
      </c>
      <c r="CQ607" s="118">
        <f>+CQ588*CP607+CO589*CP606+CO590*CP605+CO591*CP604+CO592*CP603+CO593*CP602+CO594*CP601+CO595*CP600+CO596*CP599+CO597*CP598+CO598*CP597+CO599*CP596+CO600*CP595+CO601*CP594+CO602*CP593+CO603*CP592+CO604*CP591+CO605*CP590+CO606*CP589+CO607</f>
        <v>5363.8433669571768</v>
      </c>
      <c r="CR607" s="119">
        <f t="shared" si="1713"/>
        <v>-1.9433812614805016E-3</v>
      </c>
      <c r="CS607" s="119"/>
      <c r="CT607" s="177">
        <f t="shared" si="1714"/>
        <v>9.5663595083438531E-3</v>
      </c>
      <c r="CU607" s="177">
        <f t="shared" si="1723"/>
        <v>9.1590382208440249E-3</v>
      </c>
      <c r="CV607" s="119">
        <f>VLOOKUP($H607,RoR!$E:$F,2,FALSE)</f>
        <v>3.7433333333333339E-2</v>
      </c>
      <c r="CW607" s="177">
        <v>1.9056896421275615E-2</v>
      </c>
      <c r="CX607" s="177">
        <f t="shared" si="1721"/>
        <v>1.8376436912057724E-2</v>
      </c>
      <c r="CY607" s="177">
        <f t="shared" si="1724"/>
        <v>2.17429033876896E-2</v>
      </c>
      <c r="CZ607" s="177">
        <f t="shared" si="1725"/>
        <v>1.3976271617800498E-2</v>
      </c>
      <c r="DA607" s="187">
        <f t="shared" si="1715"/>
        <v>0.90381374874999998</v>
      </c>
      <c r="DB607" s="188">
        <f t="shared" si="1716"/>
        <v>1.3699568463593395</v>
      </c>
      <c r="DC607" s="188">
        <f t="shared" si="1717"/>
        <v>0.30714603739982199</v>
      </c>
      <c r="DD607" s="188">
        <f t="shared" si="1718"/>
        <v>0.77007188472689425</v>
      </c>
      <c r="DE607" s="188">
        <f t="shared" si="1719"/>
        <v>0.32402839633793828</v>
      </c>
      <c r="DF607" s="189">
        <f>INDEX('State Tax Lookup'!$D$7:$Z$91,MATCH(Calculation!$C607,'State Tax Lookup'!$B$7:$B$91,0),MATCH($H607,'State Tax Lookup'!$D$6:$Z$6,0))</f>
        <v>0.25649666999999998</v>
      </c>
      <c r="DG607" s="189">
        <v>0.375</v>
      </c>
      <c r="DH607" s="190">
        <f t="shared" si="1722"/>
        <v>18.813208698204857</v>
      </c>
      <c r="DI607" s="190">
        <v>18.345159309456854</v>
      </c>
      <c r="DJ607" s="177"/>
      <c r="DK607" s="189">
        <f>VLOOKUP($H607,RoR!$E:$F,2,FALSE)</f>
        <v>3.7433333333333339E-2</v>
      </c>
      <c r="DL607" s="191">
        <f>HLOOKUP($H607,'GDP-PI'!$D$8:$CQ$11,3,FALSE)</f>
        <v>1.9056896421275615E-2</v>
      </c>
      <c r="DM607" s="189">
        <f>VLOOKUP(H607,'HW Dx Data'!$E:$F,2,FALSE)</f>
        <v>712.42858370229726</v>
      </c>
      <c r="DN607" s="183">
        <f>VLOOKUP(H607,'ECI - Input Price'!$G$17:$H$37,2,FALSE)</f>
        <v>129.5</v>
      </c>
      <c r="DO607" s="177">
        <f t="shared" ref="DO607" si="1772">LN(DN607/DN606)</f>
        <v>2.4229399426835413E-2</v>
      </c>
      <c r="DP607" s="183">
        <f>HLOOKUP(H607,'GDP-PI'!$8:$9,2,FALSE)</f>
        <v>107.751</v>
      </c>
      <c r="DQ607" s="177">
        <f t="shared" ref="DQ607" si="1773">LN(DP607/DP606)</f>
        <v>1.8877588227745139E-2</v>
      </c>
    </row>
    <row r="608" spans="1:121" s="167" customFormat="1" ht="21" x14ac:dyDescent="0.35">
      <c r="A608" s="167" t="s">
        <v>70</v>
      </c>
      <c r="B608" s="168" t="s">
        <v>70</v>
      </c>
      <c r="C608" s="168">
        <v>4061687</v>
      </c>
      <c r="D608" s="168" t="s">
        <v>136</v>
      </c>
      <c r="E608" s="168" t="s">
        <v>126</v>
      </c>
      <c r="F608" s="168"/>
      <c r="G608" s="168" t="s">
        <v>24</v>
      </c>
      <c r="H608" s="169">
        <v>2018</v>
      </c>
      <c r="I608" s="170"/>
      <c r="J608" s="166">
        <f>IFERROR(INDEX('Labor Expenditures'!$F$7:$X$91,MATCH($C608,'Labor Expenditures'!$D$7:$D$91,0),MATCH($G608,'Labor Expenditures'!$F$5:$X$5,0)),"NA")</f>
        <v>82065.946569371619</v>
      </c>
      <c r="K608" s="166">
        <f t="shared" si="1728"/>
        <v>615.87952397277013</v>
      </c>
      <c r="L608" s="172">
        <f t="shared" si="1735"/>
        <v>-3.8879608687553802E-2</v>
      </c>
      <c r="M608" s="172">
        <f t="shared" si="1739"/>
        <v>-9.2252335139843625E-4</v>
      </c>
      <c r="N608" s="196"/>
      <c r="O608" s="172"/>
      <c r="P608" s="166">
        <f>IFERROR(INDEX('Non-Labor Expenditures'!$F$7:$AB$91,MATCH($C608,'Non-Labor Expenditures'!$D$7:$D$91,0),MATCH($G608,'Non-Labor Expenditures'!$F$5:$AB$5,0)),"NA")</f>
        <v>118846.81843695964</v>
      </c>
      <c r="Q608" s="166">
        <f t="shared" si="1729"/>
        <v>1077.2721527615493</v>
      </c>
      <c r="R608" s="172">
        <f t="shared" si="1740"/>
        <v>-3.3913779497700754E-2</v>
      </c>
      <c r="S608" s="172">
        <f t="shared" si="1745"/>
        <v>-8.0469568951247903E-4</v>
      </c>
      <c r="T608" s="172"/>
      <c r="U608" s="172"/>
      <c r="V608" s="166">
        <f t="shared" si="1709"/>
        <v>104749.31166468096</v>
      </c>
      <c r="W608" s="170"/>
      <c r="X608" s="174">
        <v>5349.3838219334903</v>
      </c>
      <c r="Y608" s="175">
        <v>-2.6993833975334394E-3</v>
      </c>
      <c r="Z608" s="175">
        <f t="shared" si="1746"/>
        <v>-6.4050135859495581E-5</v>
      </c>
      <c r="AA608" s="175"/>
      <c r="AB608" s="175"/>
      <c r="AC608" s="170">
        <f t="shared" si="1677"/>
        <v>305662.07667101221</v>
      </c>
      <c r="AD608" s="175">
        <f t="shared" si="1741"/>
        <v>5.1003888397278411E-3</v>
      </c>
      <c r="AE608" s="170"/>
      <c r="AF608" s="170"/>
      <c r="AG608" s="121">
        <f t="shared" si="1742"/>
        <v>406.82961835660399</v>
      </c>
      <c r="AH608" s="119">
        <f>+AZ608/$BB$56</f>
        <v>1.9839527675133323E-2</v>
      </c>
      <c r="AI608" s="119">
        <f>+AZ608/$BC$57</f>
        <v>8.3819408186852656E-2</v>
      </c>
      <c r="AJ608" s="176">
        <f t="shared" si="1747"/>
        <v>8.0713074724497726</v>
      </c>
      <c r="AK608" s="176">
        <f t="shared" si="1748"/>
        <v>34.100217843533677</v>
      </c>
      <c r="AL608" s="120">
        <f t="shared" si="1730"/>
        <v>0.26848586341870662</v>
      </c>
      <c r="AM608" s="120">
        <f t="shared" si="1731"/>
        <v>0.38881767647242649</v>
      </c>
      <c r="AN608" s="120">
        <f t="shared" si="1732"/>
        <v>0.34269646010886695</v>
      </c>
      <c r="AO608" s="120">
        <f t="shared" si="1736"/>
        <v>-2.4719898297714957E-2</v>
      </c>
      <c r="AP608" s="173">
        <f t="shared" si="1752"/>
        <v>86.463014689885455</v>
      </c>
      <c r="AQ608" s="175">
        <f t="shared" si="1753"/>
        <v>-2.4719898297714905E-2</v>
      </c>
      <c r="AR608" s="177">
        <f>+AC608/$AE$56</f>
        <v>2.3727691263872103E-2</v>
      </c>
      <c r="AS608" s="177">
        <f t="shared" si="1749"/>
        <v>-5.8654611488249682E-4</v>
      </c>
      <c r="AT608" s="177"/>
      <c r="AU608" s="177"/>
      <c r="AV608" s="177"/>
      <c r="AW608" s="190"/>
      <c r="AX608" s="120"/>
      <c r="AY608" s="120"/>
      <c r="AZ608" s="118">
        <f>IFERROR(INDEX('Total Customers'!$F$7:$AB$91,MATCH($C608,'Total Customers'!$D$7:$D$91,0),MATCH($G608,'Total Customers'!$F$5:$AB$5,0)),"NA")</f>
        <v>751327</v>
      </c>
      <c r="BA608" s="119">
        <f t="shared" si="1710"/>
        <v>8.6406675855545054E-3</v>
      </c>
      <c r="BB608" s="119"/>
      <c r="BC608" s="121">
        <v>8911356</v>
      </c>
      <c r="BD608" s="119"/>
      <c r="BE608" s="119"/>
      <c r="BF608" s="119"/>
      <c r="BG608" s="173"/>
      <c r="BH608" s="173"/>
      <c r="BI608" s="173"/>
      <c r="BJ608" s="173"/>
      <c r="BK608" s="173"/>
      <c r="BL608" s="173"/>
      <c r="BM608" s="173"/>
      <c r="BN608" s="173"/>
      <c r="BO608" s="173"/>
      <c r="BP608" s="173"/>
      <c r="BQ608" s="118"/>
      <c r="BR608" s="118"/>
      <c r="BS608" s="118">
        <f>INDEX('Dist. Plant Gas Additions'!$F$7:$AE$91,MATCH($C608,'Dist. Plant Gas Additions'!$D$7:$D$91,0),MATCH(Calculation!$G608,'Dist. Plant Gas Additions'!$F$5:$AE$5,0))</f>
        <v>24784</v>
      </c>
      <c r="BT608" s="118">
        <f>INDEX('Gen. Plant Additions'!$F$7:$AE$91,MATCH($C608,'Gen. Plant Additions'!$D$7:$D$91,0),MATCH(Calculation!$G608,'Gen. Plant Additions'!$F$5:$AE$5,0))</f>
        <v>4844</v>
      </c>
      <c r="BU608" s="118"/>
      <c r="BV608" s="118"/>
      <c r="BW608" s="118">
        <f>INDEX('Dist Plant Depreciation'!$E$7:$AD$94,MATCH($C608,'Dist Plant Depreciation'!$D$7:$D$94,0),MATCH(Calculation!$G608,'Dist Plant Depreciation'!$E$5:$AD$5,0))</f>
        <v>725939</v>
      </c>
      <c r="BX608" s="118">
        <f>INDEX('Gen. Plant Depreciation'!$E$7:$AD$94,MATCH($C608,'Gen. Plant Depreciation'!$D$7:$D$94,0),MATCH(Calculation!$G608,'Gen. Plant Depreciation'!$E$5:$AD$5,0))</f>
        <v>65899</v>
      </c>
      <c r="BY608" s="118"/>
      <c r="BZ608" s="118"/>
      <c r="CA608" s="118"/>
      <c r="CB608" s="118"/>
      <c r="CC608" s="118"/>
      <c r="CD608" s="118"/>
      <c r="CE608" s="118">
        <f>INDEX('Gross Dx Plant'!$E$7:$AD$91,MATCH($C608,'Gross Dx Plant'!$D$7:$D$91,0),MATCH(Calculation!$G608,'Gross Dx Plant'!$E$5:$AD$5,0))</f>
        <v>1873317</v>
      </c>
      <c r="CF608" s="118">
        <f>INDEX('Gross Gen Plant'!$E$7:$AD$91,MATCH($C608,'Gross Gen Plant'!$D$7:$D$91,0),MATCH(Calculation!$G608,'Gross Gen Plant'!$E$5:$AD$5,0))</f>
        <v>100616</v>
      </c>
      <c r="CG608" s="118">
        <f t="shared" si="1720"/>
        <v>1182095</v>
      </c>
      <c r="CH608" s="118"/>
      <c r="CI608" s="121">
        <v>2018</v>
      </c>
      <c r="CJ608" s="118"/>
      <c r="CK608" s="118"/>
      <c r="CL608" s="118"/>
      <c r="CM608" s="183"/>
      <c r="CN608" s="118">
        <f t="shared" si="1711"/>
        <v>29628</v>
      </c>
      <c r="CO608" s="118">
        <f t="shared" si="1712"/>
        <v>39.235279436554329</v>
      </c>
      <c r="CP608" s="186">
        <v>0.86111111111111116</v>
      </c>
      <c r="CQ608" s="118">
        <f>+CQ588*CP608++CO589*CP607+CO590*CP606+CO591*CP605+CO592*CP604+CO593*CP603+CO594*CP602+CO595*CP601+CO596*CP600+CO597*CP599+CO598*CP598+CO599*CP597+CO600*CP596+CO601*CP595+CO602*CP594+CO603*CP593+CO604*CP592+CO605*CP591+CO606*CP590+CO607*CP589+CO608</f>
        <v>5349.3838219334903</v>
      </c>
      <c r="CR608" s="119">
        <f t="shared" si="1713"/>
        <v>-2.6993833975334394E-3</v>
      </c>
      <c r="CS608" s="119"/>
      <c r="CT608" s="177">
        <f t="shared" si="1714"/>
        <v>1.0010513131501291E-2</v>
      </c>
      <c r="CU608" s="177">
        <f t="shared" si="1723"/>
        <v>9.5770491739858229E-3</v>
      </c>
      <c r="CV608" s="119">
        <f>VLOOKUP($H608,RoR!$E:$F,2,FALSE)</f>
        <v>3.9299999999999995E-2</v>
      </c>
      <c r="CW608" s="177">
        <v>2.386056741932796E-2</v>
      </c>
      <c r="CX608" s="177">
        <f t="shared" si="1721"/>
        <v>1.5439432580672034E-2</v>
      </c>
      <c r="CY608" s="177">
        <f t="shared" si="1724"/>
        <v>2.1324892434547802E-2</v>
      </c>
      <c r="CZ608" s="177">
        <f t="shared" si="1725"/>
        <v>3.8270792163076606E-2</v>
      </c>
      <c r="DA608" s="187">
        <f t="shared" si="1715"/>
        <v>0.90381374874999998</v>
      </c>
      <c r="DB608" s="188">
        <f t="shared" si="1716"/>
        <v>1.3048868010700074</v>
      </c>
      <c r="DC608" s="188">
        <f t="shared" si="1717"/>
        <v>0.33886768447837151</v>
      </c>
      <c r="DD608" s="188">
        <f t="shared" si="1718"/>
        <v>0.78602506232557801</v>
      </c>
      <c r="DE608" s="188">
        <f t="shared" si="1719"/>
        <v>0.34756768162358759</v>
      </c>
      <c r="DF608" s="189">
        <f>INDEX('State Tax Lookup'!$D$7:$Z$91,MATCH(Calculation!$C608,'State Tax Lookup'!$B$7:$B$91,0),MATCH($H608,'State Tax Lookup'!$D$6:$Z$6,0))</f>
        <v>0.25649666999999998</v>
      </c>
      <c r="DG608" s="189">
        <v>0.375</v>
      </c>
      <c r="DH608" s="190">
        <f t="shared" si="1722"/>
        <v>19.528778992684042</v>
      </c>
      <c r="DI608" s="190">
        <v>19.026565737969772</v>
      </c>
      <c r="DJ608" s="177"/>
      <c r="DK608" s="189">
        <f>VLOOKUP($H608,RoR!$E:$F,2,FALSE)</f>
        <v>3.9299999999999995E-2</v>
      </c>
      <c r="DL608" s="191">
        <f>HLOOKUP($H608,'GDP-PI'!$D$8:$CQ$11,3,FALSE)</f>
        <v>2.386056741932796E-2</v>
      </c>
      <c r="DM608" s="189">
        <f>VLOOKUP(H608,'HW Dx Data'!$E:$F,2,FALSE)</f>
        <v>755.13671434174842</v>
      </c>
      <c r="DN608" s="183">
        <f>VLOOKUP(H608,'ECI - Input Price'!$G$17:$H$37,2,FALSE)</f>
        <v>133.25</v>
      </c>
      <c r="DO608" s="177">
        <f t="shared" ref="DO608" si="1774">LN(DN608/DN607)</f>
        <v>2.8546181906361531E-2</v>
      </c>
      <c r="DP608" s="183">
        <f>HLOOKUP(H608,'GDP-PI'!$8:$9,2,FALSE)</f>
        <v>110.322</v>
      </c>
      <c r="DQ608" s="177">
        <f t="shared" ref="DQ608" si="1775">LN(DP608/DP607)</f>
        <v>2.3580352716508712E-2</v>
      </c>
    </row>
    <row r="609" spans="1:121" s="167" customFormat="1" ht="21" x14ac:dyDescent="0.35">
      <c r="A609" s="167" t="s">
        <v>70</v>
      </c>
      <c r="B609" s="168" t="s">
        <v>70</v>
      </c>
      <c r="C609" s="168">
        <v>4061687</v>
      </c>
      <c r="D609" s="168" t="s">
        <v>136</v>
      </c>
      <c r="E609" s="168" t="s">
        <v>126</v>
      </c>
      <c r="F609" s="168"/>
      <c r="G609" s="168" t="s">
        <v>25</v>
      </c>
      <c r="H609" s="169">
        <v>2019</v>
      </c>
      <c r="I609" s="170"/>
      <c r="J609" s="166">
        <f>IFERROR(INDEX('Labor Expenditures'!$F$7:$X$91,MATCH($C609,'Labor Expenditures'!$D$7:$D$91,0),MATCH($G609,'Labor Expenditures'!$F$5:$X$5,0)),"NA")</f>
        <v>81778.789440765991</v>
      </c>
      <c r="K609" s="166">
        <f t="shared" si="1728"/>
        <v>597.5797547735915</v>
      </c>
      <c r="L609" s="172">
        <f t="shared" si="1735"/>
        <v>-3.0163610748853899E-2</v>
      </c>
      <c r="M609" s="172">
        <f t="shared" si="1739"/>
        <v>-6.9232300731194673E-4</v>
      </c>
      <c r="N609" s="196"/>
      <c r="O609" s="172"/>
      <c r="P609" s="166">
        <f>IFERROR(INDEX('Non-Labor Expenditures'!$F$7:$AB$91,MATCH($C609,'Non-Labor Expenditures'!$D$7:$D$91,0),MATCH($G609,'Non-Labor Expenditures'!$F$5:$AB$5,0)),"NA")</f>
        <v>118430.96128118526</v>
      </c>
      <c r="Q609" s="166">
        <f t="shared" si="1729"/>
        <v>1054.4254819457724</v>
      </c>
      <c r="R609" s="172">
        <f t="shared" si="1740"/>
        <v>-2.1436009759521514E-2</v>
      </c>
      <c r="S609" s="172">
        <f t="shared" si="1745"/>
        <v>-4.9200484865838086E-4</v>
      </c>
      <c r="T609" s="172"/>
      <c r="U609" s="172"/>
      <c r="V609" s="166">
        <f t="shared" si="1709"/>
        <v>104716.45288239421</v>
      </c>
      <c r="W609" s="170"/>
      <c r="X609" s="174">
        <v>5335.1133570906459</v>
      </c>
      <c r="Y609" s="175">
        <v>-2.6712484620270032E-3</v>
      </c>
      <c r="Z609" s="175">
        <f t="shared" si="1746"/>
        <v>-6.1311186644928309E-5</v>
      </c>
      <c r="AA609" s="175"/>
      <c r="AB609" s="175"/>
      <c r="AC609" s="170">
        <f t="shared" si="1677"/>
        <v>304926.20360434544</v>
      </c>
      <c r="AD609" s="175">
        <f t="shared" si="1741"/>
        <v>-2.4103751962435047E-3</v>
      </c>
      <c r="AE609" s="170"/>
      <c r="AF609" s="170"/>
      <c r="AG609" s="121">
        <f t="shared" si="1742"/>
        <v>410.03608330768816</v>
      </c>
      <c r="AH609" s="119">
        <f>+AZ609/$BB$57</f>
        <v>1.9476338272303596E-2</v>
      </c>
      <c r="AI609" s="119">
        <f>+AZ609/$BC$58</f>
        <v>8.2079063584544892E-2</v>
      </c>
      <c r="AJ609" s="176">
        <f t="shared" si="1747"/>
        <v>7.9860014623509921</v>
      </c>
      <c r="AK609" s="176">
        <f t="shared" si="1748"/>
        <v>33.655377753769486</v>
      </c>
      <c r="AL609" s="120">
        <f t="shared" si="1730"/>
        <v>0.26819206901246639</v>
      </c>
      <c r="AM609" s="120">
        <f t="shared" si="1731"/>
        <v>0.38839220729896473</v>
      </c>
      <c r="AN609" s="120">
        <f t="shared" si="1732"/>
        <v>0.34341572368856893</v>
      </c>
      <c r="AO609" s="120">
        <f t="shared" si="1736"/>
        <v>-1.7340599510410316E-2</v>
      </c>
      <c r="AP609" s="173">
        <f t="shared" si="1752"/>
        <v>84.976618922510397</v>
      </c>
      <c r="AQ609" s="175">
        <f t="shared" si="1753"/>
        <v>-1.7340599510410275E-2</v>
      </c>
      <c r="AR609" s="177">
        <f>+AC609/$AE$57</f>
        <v>2.2952259034116209E-2</v>
      </c>
      <c r="AS609" s="177">
        <f t="shared" si="1749"/>
        <v>-3.9800593176980535E-4</v>
      </c>
      <c r="AT609" s="177"/>
      <c r="AU609" s="177"/>
      <c r="AV609" s="177"/>
      <c r="AW609" s="190"/>
      <c r="AX609" s="120"/>
      <c r="AY609" s="120"/>
      <c r="AZ609" s="118">
        <f>IFERROR(INDEX('Total Customers'!$F$7:$AB$91,MATCH($C609,'Total Customers'!$D$7:$D$91,0),MATCH($G609,'Total Customers'!$F$5:$AB$5,0)),"NA")</f>
        <v>743657</v>
      </c>
      <c r="BA609" s="119">
        <f t="shared" si="1710"/>
        <v>-1.0261069412715795E-2</v>
      </c>
      <c r="BB609" s="119"/>
      <c r="BC609" s="121">
        <v>8963640</v>
      </c>
      <c r="BD609" s="119"/>
      <c r="BE609" s="119"/>
      <c r="BF609" s="119"/>
      <c r="BG609" s="173"/>
      <c r="BH609" s="173"/>
      <c r="BI609" s="173"/>
      <c r="BJ609" s="173"/>
      <c r="BK609" s="173"/>
      <c r="BL609" s="173"/>
      <c r="BM609" s="173"/>
      <c r="BN609" s="173"/>
      <c r="BO609" s="173"/>
      <c r="BP609" s="173"/>
      <c r="BQ609" s="118"/>
      <c r="BR609" s="118"/>
      <c r="BS609" s="118">
        <f>INDEX('Dist. Plant Gas Additions'!$F$7:$AE$91,MATCH($C609,'Dist. Plant Gas Additions'!$D$7:$D$91,0),MATCH(Calculation!$G609,'Dist. Plant Gas Additions'!$F$5:$AE$5,0))</f>
        <v>26424</v>
      </c>
      <c r="BT609" s="118">
        <f>INDEX('Gen. Plant Additions'!$F$7:$AE$91,MATCH($C609,'Gen. Plant Additions'!$D$7:$D$91,0),MATCH(Calculation!$G609,'Gen. Plant Additions'!$F$5:$AE$5,0))</f>
        <v>5936</v>
      </c>
      <c r="BU609" s="118"/>
      <c r="BV609" s="118"/>
      <c r="BW609" s="118">
        <f>INDEX('Dist Plant Depreciation'!$E$7:$AD$94,MATCH($C609,'Dist Plant Depreciation'!$D$7:$D$94,0),MATCH(Calculation!$G609,'Dist Plant Depreciation'!$E$5:$AD$5,0))</f>
        <v>748514</v>
      </c>
      <c r="BX609" s="118">
        <f>INDEX('Gen. Plant Depreciation'!$E$7:$AD$94,MATCH($C609,'Gen. Plant Depreciation'!$D$7:$D$94,0),MATCH(Calculation!$G609,'Gen. Plant Depreciation'!$E$5:$AD$5,0))</f>
        <v>74445</v>
      </c>
      <c r="BY609" s="118"/>
      <c r="BZ609" s="118"/>
      <c r="CA609" s="118"/>
      <c r="CB609" s="118"/>
      <c r="CC609" s="118"/>
      <c r="CD609" s="118"/>
      <c r="CE609" s="118">
        <f>INDEX('Gross Dx Plant'!$E$7:$AD$91,MATCH($C609,'Gross Dx Plant'!$D$7:$D$91,0),MATCH(Calculation!$G609,'Gross Dx Plant'!$E$5:$AD$5,0))</f>
        <v>1927350</v>
      </c>
      <c r="CF609" s="118">
        <f>INDEX('Gross Gen Plant'!$E$7:$AD$91,MATCH($C609,'Gross Gen Plant'!$D$7:$D$91,0),MATCH(Calculation!$G609,'Gross Gen Plant'!$E$5:$AD$5,0))</f>
        <v>101354</v>
      </c>
      <c r="CG609" s="118">
        <f t="shared" si="1720"/>
        <v>1205745</v>
      </c>
      <c r="CH609" s="118"/>
      <c r="CI609" s="121">
        <v>2019</v>
      </c>
      <c r="CJ609" s="118"/>
      <c r="CK609" s="118"/>
      <c r="CL609" s="118"/>
      <c r="CM609" s="183"/>
      <c r="CN609" s="118">
        <f t="shared" si="1711"/>
        <v>32360</v>
      </c>
      <c r="CO609" s="118">
        <f t="shared" si="1712"/>
        <v>41.833685872460556</v>
      </c>
      <c r="CP609" s="186">
        <v>0.85106382978723405</v>
      </c>
      <c r="CQ609" s="118">
        <f>CQ588*CP609+CO589*CP608+CO590*CP607+CO591*CP606+CO592*CP605+CO593*CP604+CO594*CP603+CO595*CP602+CO596*CP601+CO597*CP600+CO598*CP599+CO599*CP598+CO600*CP597+CO601*CP596+CO602*CP595+CO603*CP594+CO604*CP593+CO605*CP592+CO606*CP591+CO607*CP590+CO608*CP589+CO609</f>
        <v>5335.1133570906459</v>
      </c>
      <c r="CR609" s="119">
        <f t="shared" si="1713"/>
        <v>-2.6712484620270032E-3</v>
      </c>
      <c r="CS609" s="119"/>
      <c r="CT609" s="177">
        <f t="shared" si="1714"/>
        <v>1.0487965078382906E-2</v>
      </c>
      <c r="CU609" s="177">
        <f t="shared" si="1723"/>
        <v>1.0021612572742684E-2</v>
      </c>
      <c r="CV609" s="119">
        <f>VLOOKUP($H609,RoR!$E:$F,2,FALSE)</f>
        <v>3.3875000000000009E-2</v>
      </c>
      <c r="CW609" s="177">
        <v>1.8092492884465461E-2</v>
      </c>
      <c r="CX609" s="177">
        <f t="shared" si="1721"/>
        <v>1.5782507115534548E-2</v>
      </c>
      <c r="CY609" s="177">
        <f t="shared" si="1724"/>
        <v>2.0880329035790943E-2</v>
      </c>
      <c r="CZ609" s="177">
        <f t="shared" si="1725"/>
        <v>4.8445665544254078E-2</v>
      </c>
      <c r="DA609" s="187">
        <f t="shared" si="1715"/>
        <v>0.90381374874999998</v>
      </c>
      <c r="DB609" s="188">
        <f t="shared" si="1716"/>
        <v>1.513861292459078</v>
      </c>
      <c r="DC609" s="188">
        <f t="shared" si="1717"/>
        <v>0.23699261992619944</v>
      </c>
      <c r="DD609" s="188">
        <f t="shared" si="1718"/>
        <v>0.73619765810468829</v>
      </c>
      <c r="DE609" s="188">
        <f t="shared" si="1719"/>
        <v>0.26412854465362851</v>
      </c>
      <c r="DF609" s="189">
        <f>INDEX('State Tax Lookup'!$D$7:$Z$91,MATCH(Calculation!$C609,'State Tax Lookup'!$B$7:$B$91,0),MATCH($H609,'State Tax Lookup'!$D$6:$Z$6,0))</f>
        <v>0.25649666999999998</v>
      </c>
      <c r="DG609" s="189">
        <v>0.375</v>
      </c>
      <c r="DH609" s="190">
        <f t="shared" si="1722"/>
        <v>19.575423332503615</v>
      </c>
      <c r="DI609" s="190">
        <v>19.04268109911899</v>
      </c>
      <c r="DJ609" s="177"/>
      <c r="DK609" s="189">
        <f>VLOOKUP($H609,RoR!$E:$F,2,FALSE)</f>
        <v>3.3875000000000009E-2</v>
      </c>
      <c r="DL609" s="191">
        <f>HLOOKUP($H609,'GDP-PI'!$D$8:$CQ$11,3,FALSE)</f>
        <v>1.8092492884465461E-2</v>
      </c>
      <c r="DM609" s="189">
        <f>VLOOKUP(H609,'HW Dx Data'!$E:$F,2,FALSE)</f>
        <v>773.53929793938721</v>
      </c>
      <c r="DN609" s="183">
        <f>VLOOKUP(H609,'ECI - Input Price'!$G$17:$H$37,2,FALSE)</f>
        <v>136.85</v>
      </c>
      <c r="DO609" s="177">
        <f t="shared" ref="DO609" si="1776">LN(DN609/DN608)</f>
        <v>2.6658372440734168E-2</v>
      </c>
      <c r="DP609" s="183">
        <f>HLOOKUP(H609,'GDP-PI'!$8:$9,2,FALSE)</f>
        <v>112.318</v>
      </c>
      <c r="DQ609" s="177">
        <f t="shared" ref="DQ609" si="1777">LN(DP609/DP608)</f>
        <v>1.7930771451401852E-2</v>
      </c>
    </row>
    <row r="610" spans="1:121" s="167" customFormat="1" ht="21" x14ac:dyDescent="0.35">
      <c r="A610" s="167" t="s">
        <v>70</v>
      </c>
      <c r="B610" s="167" t="s">
        <v>70</v>
      </c>
      <c r="C610" s="167">
        <v>4061687</v>
      </c>
      <c r="D610" s="167" t="s">
        <v>136</v>
      </c>
      <c r="E610" s="167" t="s">
        <v>126</v>
      </c>
      <c r="G610" s="168" t="s">
        <v>26</v>
      </c>
      <c r="H610" s="169">
        <v>2020</v>
      </c>
      <c r="I610" s="170"/>
      <c r="J610" s="166">
        <f>IFERROR(INDEX('Labor Expenditures'!$F$7:$X$91,MATCH($C610,'Labor Expenditures'!$D$7:$D$91,0),MATCH($G610,'Labor Expenditures'!$F$5:$X$5,0)),"NA")</f>
        <v>85772.629881233472</v>
      </c>
      <c r="K610" s="166">
        <f t="shared" si="1728"/>
        <v>610.69868195965455</v>
      </c>
      <c r="L610" s="172">
        <f t="shared" si="1735"/>
        <v>2.1715926291037961E-2</v>
      </c>
      <c r="M610" s="172">
        <f t="shared" si="1739"/>
        <v>5.0305196798301527E-4</v>
      </c>
      <c r="N610" s="196"/>
      <c r="O610" s="172"/>
      <c r="P610" s="166">
        <f>IFERROR(INDEX('Non-Labor Expenditures'!$F$7:$AB$91,MATCH($C610,'Non-Labor Expenditures'!$D$7:$D$91,0),MATCH($G610,'Non-Labor Expenditures'!$F$5:$AB$5,0)),"NA")</f>
        <v>124214.78818548095</v>
      </c>
      <c r="Q610" s="166">
        <f t="shared" si="1729"/>
        <v>1093.2186985511819</v>
      </c>
      <c r="R610" s="172">
        <f t="shared" si="1740"/>
        <v>3.6130227623209457E-2</v>
      </c>
      <c r="S610" s="172">
        <f t="shared" si="1745"/>
        <v>8.369609412899276E-4</v>
      </c>
      <c r="T610" s="172"/>
      <c r="U610" s="172"/>
      <c r="V610" s="166">
        <f t="shared" si="1709"/>
        <v>107297.52352747855</v>
      </c>
      <c r="W610" s="170"/>
      <c r="X610" s="174">
        <v>5323.1542188900721</v>
      </c>
      <c r="Y610" s="175">
        <v>-2.2441063961256701E-3</v>
      </c>
      <c r="Z610" s="175">
        <f t="shared" si="1746"/>
        <v>-5.1984986677735313E-5</v>
      </c>
      <c r="AA610" s="175"/>
      <c r="AB610" s="175"/>
      <c r="AC610" s="170">
        <f t="shared" si="1677"/>
        <v>317284.94159419299</v>
      </c>
      <c r="AD610" s="175">
        <f t="shared" si="1741"/>
        <v>3.9730447582538152E-2</v>
      </c>
      <c r="AE610" s="170"/>
      <c r="AF610" s="170"/>
      <c r="AG610" s="121">
        <f t="shared" si="1742"/>
        <v>423.37173828726191</v>
      </c>
      <c r="AH610" s="119">
        <f>+AZ610/$BB$58</f>
        <v>1.9489383073375725E-2</v>
      </c>
      <c r="AI610" s="119">
        <f>+AZ610/$BC$59</f>
        <v>8.2227050648331954E-2</v>
      </c>
      <c r="AJ610" s="176">
        <f t="shared" si="1747"/>
        <v>8.2512539899214197</v>
      </c>
      <c r="AK610" s="176">
        <f t="shared" si="1748"/>
        <v>34.812609367219025</v>
      </c>
      <c r="AL610" s="120">
        <f t="shared" si="1730"/>
        <v>0.27033312532977549</v>
      </c>
      <c r="AM610" s="120">
        <f t="shared" si="1731"/>
        <v>0.39149285674058715</v>
      </c>
      <c r="AN610" s="120">
        <f t="shared" si="1732"/>
        <v>0.33817401792963731</v>
      </c>
      <c r="AO610" s="120">
        <f t="shared" si="1736"/>
        <v>1.9171219205597126E-2</v>
      </c>
      <c r="AP610" s="173">
        <f t="shared" si="1752"/>
        <v>86.621440551991057</v>
      </c>
      <c r="AQ610" s="175">
        <f t="shared" si="1753"/>
        <v>1.9171219205597202E-2</v>
      </c>
      <c r="AR610" s="177">
        <f>+AC610/$AE$58</f>
        <v>2.3165116755375154E-2</v>
      </c>
      <c r="AS610" s="177">
        <f t="shared" si="1749"/>
        <v>4.4410353124054971E-4</v>
      </c>
      <c r="AT610" s="177"/>
      <c r="AU610" s="177"/>
      <c r="AV610" s="177"/>
      <c r="AW610" s="190"/>
      <c r="AX610" s="120"/>
      <c r="AY610" s="120"/>
      <c r="AZ610" s="118">
        <f>IFERROR(INDEX('Total Customers'!$F$7:$AB$91,MATCH($C610,'Total Customers'!$D$7:$D$91,0),MATCH($G610,'Total Customers'!$F$5:$AB$5,0)),"NA")</f>
        <v>749424</v>
      </c>
      <c r="BA610" s="119">
        <f t="shared" si="1710"/>
        <v>7.7250044426461035E-3</v>
      </c>
      <c r="BB610" s="119"/>
      <c r="BC610" s="121">
        <v>9060252</v>
      </c>
      <c r="BD610" s="119"/>
      <c r="BE610" s="119"/>
      <c r="BF610" s="119"/>
      <c r="BG610" s="173"/>
      <c r="BH610" s="173"/>
      <c r="BI610" s="173"/>
      <c r="BJ610" s="173"/>
      <c r="BK610" s="173"/>
      <c r="BL610" s="173"/>
      <c r="BM610" s="173"/>
      <c r="BN610" s="173"/>
      <c r="BO610" s="173"/>
      <c r="BP610" s="173"/>
      <c r="BQ610" s="118"/>
      <c r="BR610" s="118"/>
      <c r="BS610" s="118">
        <f>INDEX('Dist. Plant Gas Additions'!$F$7:$AE$91,MATCH($C610,'Dist. Plant Gas Additions'!$D$7:$D$91,0),MATCH(Calculation!$G610,'Dist. Plant Gas Additions'!$F$5:$AE$5,0))</f>
        <v>27578</v>
      </c>
      <c r="BT610" s="118">
        <f>INDEX('Gen. Plant Additions'!$F$7:$AE$91,MATCH($C610,'Gen. Plant Additions'!$D$7:$D$91,0),MATCH(Calculation!$G610,'Gen. Plant Additions'!$F$5:$AE$5,0))</f>
        <v>10404</v>
      </c>
      <c r="BU610" s="118"/>
      <c r="BV610" s="118"/>
      <c r="BW610" s="118">
        <f>INDEX('Dist Plant Depreciation'!$E$7:$AD$94,MATCH($C610,'Dist Plant Depreciation'!$D$7:$D$94,0),MATCH(Calculation!$G610,'Dist Plant Depreciation'!$E$5:$AD$5,0))</f>
        <v>773543</v>
      </c>
      <c r="BX610" s="118">
        <f>INDEX('Gen. Plant Depreciation'!$E$7:$AD$94,MATCH($C610,'Gen. Plant Depreciation'!$D$7:$D$94,0),MATCH(Calculation!$G610,'Gen. Plant Depreciation'!$E$5:$AD$5,0))</f>
        <v>83504</v>
      </c>
      <c r="BY610" s="118"/>
      <c r="BZ610" s="118"/>
      <c r="CA610" s="118"/>
      <c r="CB610" s="118"/>
      <c r="CC610" s="118"/>
      <c r="CD610" s="118"/>
      <c r="CE610" s="118">
        <f>INDEX('Gross Dx Plant'!$E$7:$AD$91,MATCH($C610,'Gross Dx Plant'!$D$7:$D$91,0),MATCH(Calculation!$G610,'Gross Dx Plant'!$E$5:$AD$5,0))</f>
        <v>1983301</v>
      </c>
      <c r="CF610" s="118">
        <f>INDEX('Gross Gen Plant'!$E$7:$AD$91,MATCH($C610,'Gross Gen Plant'!$D$7:$D$91,0),MATCH(Calculation!$G610,'Gross Gen Plant'!$E$5:$AD$5,0))</f>
        <v>108712</v>
      </c>
      <c r="CG610" s="118">
        <f t="shared" si="1720"/>
        <v>1234966</v>
      </c>
      <c r="CH610" s="118"/>
      <c r="CI610" s="121">
        <v>2020</v>
      </c>
      <c r="CJ610" s="118"/>
      <c r="CK610" s="118"/>
      <c r="CL610" s="118"/>
      <c r="CM610" s="183"/>
      <c r="CN610" s="118">
        <f t="shared" si="1711"/>
        <v>37982</v>
      </c>
      <c r="CO610" s="118">
        <f t="shared" si="1712"/>
        <v>46.713721172508698</v>
      </c>
      <c r="CP610" s="186">
        <v>0.84057971014492749</v>
      </c>
      <c r="CQ610" s="118">
        <f>CQ588*CP610+CO589*CP609+CO590*CP608+CO591*CP607+CO592*CP606+CO593*CP605+CO594*CP604+CO595*CP603+CO596*CP602+CO597*CP601+CO598*CP600+CO599*CP599+CO600*CP598+CO601*CP597+CO602*CP596+CO603*CP595+CO604*CP594+CO605*CP593+CO606*CP592+CO607*CP591+CO608*CP590+CO609*CP589+CO610</f>
        <v>5323.1542188900721</v>
      </c>
      <c r="CR610" s="119">
        <f t="shared" si="1713"/>
        <v>-2.2441063961256701E-3</v>
      </c>
      <c r="CS610" s="119"/>
      <c r="CT610" s="177">
        <f t="shared" si="1714"/>
        <v>1.0997490670953252E-2</v>
      </c>
      <c r="CU610" s="177">
        <f t="shared" si="1723"/>
        <v>1.0498656293612482E-2</v>
      </c>
      <c r="CV610" s="119">
        <f>VLOOKUP($H610,RoR!$E:$F,2,FALSE)</f>
        <v>2.4766666666666666E-2</v>
      </c>
      <c r="CW610" s="177">
        <v>1.1618796630994188E-2</v>
      </c>
      <c r="CX610" s="177">
        <f t="shared" si="1721"/>
        <v>1.3147870035672478E-2</v>
      </c>
      <c r="CY610" s="177">
        <f t="shared" si="1724"/>
        <v>2.0403285314921145E-2</v>
      </c>
      <c r="CZ610" s="177">
        <f t="shared" si="1725"/>
        <v>4.5144642961987357E-2</v>
      </c>
      <c r="DA610" s="187">
        <f t="shared" si="1715"/>
        <v>0.90381374874999998</v>
      </c>
      <c r="DB610" s="188">
        <f t="shared" si="1716"/>
        <v>2.0706077233668081</v>
      </c>
      <c r="DC610" s="188">
        <f t="shared" si="1717"/>
        <v>-3.4421265141318998E-2</v>
      </c>
      <c r="DD610" s="188">
        <f t="shared" si="1718"/>
        <v>0.62416226176410472</v>
      </c>
      <c r="DE610" s="188">
        <f t="shared" si="1719"/>
        <v>-4.4485877841158712E-2</v>
      </c>
      <c r="DF610" s="189">
        <f>INDEX('State Tax Lookup'!$D$7:$Z$91,MATCH(Calculation!$C610,'State Tax Lookup'!$B$7:$B$91,0),MATCH($H610,'State Tax Lookup'!$D$6:$Z$6,0))</f>
        <v>0.25649666999999998</v>
      </c>
      <c r="DG610" s="189">
        <v>0.375</v>
      </c>
      <c r="DH610" s="190">
        <f t="shared" si="1722"/>
        <v>20.111573334215009</v>
      </c>
      <c r="DI610" s="190">
        <v>19.558498785777495</v>
      </c>
      <c r="DJ610" s="177"/>
      <c r="DK610" s="189">
        <f>VLOOKUP($H610,RoR!$E:$F,2,FALSE)</f>
        <v>2.4766666666666666E-2</v>
      </c>
      <c r="DL610" s="191">
        <f>HLOOKUP($H610,'GDP-PI'!$D$8:$CQ$11,3,FALSE)</f>
        <v>1.1618796630994188E-2</v>
      </c>
      <c r="DM610" s="189">
        <f>VLOOKUP(H610,'HW Dx Data'!$E:$F,2,FALSE)</f>
        <v>813.080162458833</v>
      </c>
      <c r="DN610" s="183">
        <f>VLOOKUP(H610,'ECI - Input Price'!$G$17:$H$37,2,FALSE)</f>
        <v>140.44999999999999</v>
      </c>
      <c r="DO610" s="177">
        <f t="shared" ref="DO610" si="1778">LN(DN610/DN609)</f>
        <v>2.5966118063564539E-2</v>
      </c>
      <c r="DP610" s="183">
        <f>HLOOKUP(H610,'GDP-PI'!$8:$9,2,FALSE)</f>
        <v>113.623</v>
      </c>
      <c r="DQ610" s="177">
        <f t="shared" ref="DQ610" si="1779">LN(DP610/DP609)</f>
        <v>1.1551816731392881E-2</v>
      </c>
    </row>
    <row r="611" spans="1:121" s="167" customFormat="1" ht="21" x14ac:dyDescent="0.35">
      <c r="A611" s="167" t="s">
        <v>70</v>
      </c>
      <c r="B611" s="167" t="s">
        <v>70</v>
      </c>
      <c r="C611" s="167">
        <v>4061687</v>
      </c>
      <c r="D611" s="167" t="s">
        <v>136</v>
      </c>
      <c r="E611" s="167" t="s">
        <v>126</v>
      </c>
      <c r="G611" s="168" t="s">
        <v>462</v>
      </c>
      <c r="H611" s="169">
        <v>2021</v>
      </c>
      <c r="I611" s="170"/>
      <c r="J611" s="166">
        <f>IFERROR(INDEX('Labor Expenditures'!$E$7:$X$91,MATCH($C611,'Labor Expenditures'!$D$7:$D$91,0),MATCH($G611,'Labor Expenditures'!$E$5:$X$5,0)),"NA")</f>
        <v>70848.419922666741</v>
      </c>
      <c r="K611" s="166">
        <f t="shared" si="1728"/>
        <v>487.01440056825385</v>
      </c>
      <c r="L611" s="171">
        <f t="shared" si="1735"/>
        <v>-0.2263099893808031</v>
      </c>
      <c r="M611" s="172">
        <f t="shared" si="1739"/>
        <v>-4.7731682499557778E-3</v>
      </c>
      <c r="N611" s="196"/>
      <c r="O611" s="172"/>
      <c r="P611" s="166">
        <f>IFERROR(INDEX('Non-Labor Expenditures'!$E$7:$AB$91,MATCH($C611,'Non-Labor Expenditures'!$D$7:$D$91,0),MATCH($G611,'Non-Labor Expenditures'!$E$5:$AB$5,0)),"NA")</f>
        <v>99870.664228337468</v>
      </c>
      <c r="Q611" s="166">
        <f t="shared" si="1729"/>
        <v>842.86154298537826</v>
      </c>
      <c r="R611" s="172">
        <f t="shared" si="1740"/>
        <v>-0.26007885701093936</v>
      </c>
      <c r="S611" s="172">
        <f t="shared" si="1745"/>
        <v>-5.4853970262909967E-3</v>
      </c>
      <c r="T611" s="172"/>
      <c r="U611" s="172"/>
      <c r="V611" s="166">
        <f t="shared" si="1709"/>
        <v>140344.18216268014</v>
      </c>
      <c r="W611" s="170"/>
      <c r="X611" s="174">
        <v>5354.6014018279657</v>
      </c>
      <c r="Y611" s="175"/>
      <c r="Z611" s="175">
        <f t="shared" si="1746"/>
        <v>0</v>
      </c>
      <c r="AA611" s="175"/>
      <c r="AB611" s="175"/>
      <c r="AC611" s="170">
        <f t="shared" si="1677"/>
        <v>311063.26631368435</v>
      </c>
      <c r="AD611" s="175">
        <f t="shared" si="1741"/>
        <v>-1.9803919366637706E-2</v>
      </c>
      <c r="AE611" s="118"/>
      <c r="AF611" s="119"/>
      <c r="AG611" s="121">
        <f t="shared" si="1742"/>
        <v>412.32271583710912</v>
      </c>
      <c r="AH611" s="119">
        <f>+AZ611/$BB$59</f>
        <v>1.935585028359995E-2</v>
      </c>
      <c r="AI611" s="119">
        <f t="shared" ref="AI611" si="1780">+AZ611/$BC$44</f>
        <v>9.1473567899224201E-2</v>
      </c>
      <c r="AJ611" s="176">
        <f t="shared" si="1747"/>
        <v>7.98085675627041</v>
      </c>
      <c r="AK611" s="176">
        <f t="shared" si="1748"/>
        <v>37.716629943518328</v>
      </c>
      <c r="AL611" s="120">
        <f t="shared" si="1730"/>
        <v>0.22776209085138757</v>
      </c>
      <c r="AM611" s="120">
        <f t="shared" si="1731"/>
        <v>0.32106222445316085</v>
      </c>
      <c r="AN611" s="120">
        <f t="shared" si="1732"/>
        <v>0.45117568469545161</v>
      </c>
      <c r="AO611" s="120">
        <f t="shared" si="1736"/>
        <v>-0.14902221707939745</v>
      </c>
      <c r="AP611" s="173">
        <f t="shared" si="1752"/>
        <v>74.628699817484048</v>
      </c>
      <c r="AQ611" s="175">
        <f t="shared" si="1753"/>
        <v>-0.14902221707939736</v>
      </c>
      <c r="AR611" s="177">
        <f>+AC611/$AE$59</f>
        <v>2.1091283964156576E-2</v>
      </c>
      <c r="AS611" s="177">
        <f t="shared" si="1749"/>
        <v>-3.1430698973897537E-3</v>
      </c>
      <c r="AT611" s="177"/>
      <c r="AU611" s="177"/>
      <c r="AV611" s="177"/>
      <c r="AW611" s="190"/>
      <c r="AX611" s="120"/>
      <c r="AY611" s="120"/>
      <c r="AZ611" s="118">
        <f>INDEX('Total Customers'!$E$7:$E$91,MATCH(Calculation!$C611,'Total Customers'!$D$7:$D$91,0))</f>
        <v>754417</v>
      </c>
      <c r="BA611" s="119">
        <f t="shared" si="1710"/>
        <v>6.6403540625514582E-3</v>
      </c>
      <c r="BB611" s="118"/>
      <c r="BC611" s="121"/>
      <c r="BD611" s="118"/>
      <c r="BE611" s="119"/>
      <c r="BF611" s="119"/>
      <c r="BG611" s="173"/>
      <c r="BH611" s="173"/>
      <c r="BI611" s="173"/>
      <c r="BJ611" s="173"/>
      <c r="BK611" s="173"/>
      <c r="BL611" s="173"/>
      <c r="BM611" s="173"/>
      <c r="BN611" s="173"/>
      <c r="BO611" s="173"/>
      <c r="BP611" s="173"/>
      <c r="BQ611" s="118"/>
      <c r="BR611" s="118"/>
      <c r="BS611" s="118">
        <f>INDEX('Dist. Plant Gas Additions'!$E$7:$AE$91,MATCH($C611,'Dist. Plant Gas Additions'!$D$7:$D$91,0),MATCH(Calculation!$G611,'Dist. Plant Gas Additions'!$E$5:$AE$5,0))</f>
        <v>30339</v>
      </c>
      <c r="BT611" s="118">
        <f>INDEX('Gen. Plant Additions'!$E$7:$AE$91,MATCH($C611,'Gen. Plant Additions'!$D$7:$D$91,0),MATCH(Calculation!$G611,'Gen. Plant Additions'!$E$5:$AE$5,0))</f>
        <v>5186</v>
      </c>
      <c r="BU611" s="118"/>
      <c r="BV611" s="118"/>
      <c r="BW611" s="118"/>
      <c r="BX611" s="118"/>
      <c r="BY611" s="183"/>
      <c r="BZ611" s="183"/>
      <c r="CA611" s="178"/>
      <c r="CB611" s="184"/>
      <c r="CC611" s="185"/>
      <c r="CD611" s="185"/>
      <c r="CE611" s="118"/>
      <c r="CF611" s="118"/>
      <c r="CG611" s="118"/>
      <c r="CH611" s="118"/>
      <c r="CI611" s="121">
        <v>2021</v>
      </c>
      <c r="CJ611" s="118"/>
      <c r="CK611" s="118"/>
      <c r="CL611" s="118"/>
      <c r="CM611" s="183"/>
      <c r="CN611" s="118">
        <f t="shared" si="1711"/>
        <v>35525</v>
      </c>
      <c r="CO611" s="118">
        <f t="shared" si="1712"/>
        <v>38.075180426867647</v>
      </c>
      <c r="CP611" s="186">
        <f>+(51-23)/(51-23*0.75)</f>
        <v>0.82962962962962961</v>
      </c>
      <c r="CQ611" s="118">
        <f>CQ588*CP611+CO589*CP610+CO590*CP609+CO591*CP608+CO592*CP607+CO593*CP606+CO594*CP605+CO595*CP604+CO596*CP603+CO597*CP602+CO598*CP601+CO599*CP600+CO600*CP599+CO601*CP598+CO602*CP597+CO593*CP596+CO604*CP595+CO605*CP594+CO606*CP593+CO607*CP592+CO608*CP591+CO609*CP590+CO611+CO610*CP589</f>
        <v>5354.6014018279657</v>
      </c>
      <c r="CR611" s="119"/>
      <c r="CS611" s="118"/>
      <c r="CT611" s="177">
        <f t="shared" si="1714"/>
        <v>1.2451259566092542E-3</v>
      </c>
      <c r="CU611" s="177">
        <f t="shared" si="1723"/>
        <v>7.5768605686484707E-3</v>
      </c>
      <c r="CV611" s="119">
        <f>VLOOKUP($H611,RoR!$E:$F,2,FALSE)</f>
        <v>2.7033333333333336E-2</v>
      </c>
      <c r="CW611" s="177"/>
      <c r="CX611" s="177"/>
      <c r="CY611" s="177">
        <f t="shared" si="1724"/>
        <v>2.3325081039885155E-2</v>
      </c>
      <c r="CZ611" s="177">
        <f t="shared" si="1725"/>
        <v>7.433422950153494E-2</v>
      </c>
      <c r="DA611" s="187">
        <f t="shared" si="1715"/>
        <v>0.90381374874999998</v>
      </c>
      <c r="DB611" s="188">
        <f t="shared" si="1716"/>
        <v>1.8969932656739068</v>
      </c>
      <c r="DC611" s="188">
        <f t="shared" si="1717"/>
        <v>5.0215782983970621E-2</v>
      </c>
      <c r="DD611" s="188">
        <f t="shared" si="1718"/>
        <v>0.655952481704143</v>
      </c>
      <c r="DE611" s="188">
        <f t="shared" si="1719"/>
        <v>6.2485378865697057E-2</v>
      </c>
      <c r="DF611" s="189">
        <f>DF610</f>
        <v>0.25649666999999998</v>
      </c>
      <c r="DG611" s="189">
        <v>0.375</v>
      </c>
      <c r="DH611" s="190">
        <f t="shared" si="1722"/>
        <v>26.364853692317642</v>
      </c>
      <c r="DI611" s="190"/>
      <c r="DJ611" s="177">
        <f t="shared" ref="DJ611" si="1781">LN(DH611/DH610)</f>
        <v>0.27073638651757942</v>
      </c>
      <c r="DK611" s="189">
        <f>VLOOKUP($H611,RoR!$E:$F,2,FALSE)</f>
        <v>2.7033333333333336E-2</v>
      </c>
      <c r="DL611" s="191">
        <f>HLOOKUP($H611,'GDP-PI'!$D$8:$CR$11,3,FALSE)</f>
        <v>4.2834637353352578E-2</v>
      </c>
      <c r="DM611" s="189">
        <f>VLOOKUP(H611,'HW Dx Data'!$E:$F,2,FALSE)</f>
        <v>933.02249921662576</v>
      </c>
      <c r="DN611" s="183">
        <f>VLOOKUP(H611,'ECI - Input Price'!$G$17:$H$37,2,FALSE)</f>
        <v>145.47500000000002</v>
      </c>
      <c r="DO611" s="177">
        <f t="shared" ref="DO611" si="1782">LN(DN611/DN610)</f>
        <v>3.5152696992481205E-2</v>
      </c>
      <c r="DP611" s="183">
        <f>HLOOKUP(H611,'GDP-PI'!$8:$9,2,FALSE)</f>
        <v>118.49</v>
      </c>
      <c r="DQ611" s="177">
        <f t="shared" ref="DQ611" si="1783">LN(DP611/DP610)</f>
        <v>4.194261824609434E-2</v>
      </c>
    </row>
    <row r="612" spans="1:121" s="167" customFormat="1" ht="21" x14ac:dyDescent="0.35">
      <c r="A612" s="167" t="s">
        <v>71</v>
      </c>
      <c r="B612" s="168" t="s">
        <v>71</v>
      </c>
      <c r="C612" s="168">
        <v>4061755</v>
      </c>
      <c r="D612" s="168" t="s">
        <v>145</v>
      </c>
      <c r="E612" s="168" t="s">
        <v>126</v>
      </c>
      <c r="F612" s="168"/>
      <c r="G612" s="168" t="s">
        <v>4</v>
      </c>
      <c r="H612" s="169">
        <v>1998</v>
      </c>
      <c r="I612" s="170"/>
      <c r="J612" s="166"/>
      <c r="K612" s="166"/>
      <c r="L612" s="166"/>
      <c r="M612" s="166"/>
      <c r="N612" s="196"/>
      <c r="O612" s="166"/>
      <c r="P612" s="172"/>
      <c r="Q612" s="172"/>
      <c r="R612" s="172"/>
      <c r="S612" s="166"/>
      <c r="T612" s="172"/>
      <c r="U612" s="172"/>
      <c r="V612" s="166"/>
      <c r="W612" s="170"/>
      <c r="X612" s="174">
        <v>2590.2263232453911</v>
      </c>
      <c r="Y612" s="175"/>
      <c r="Z612" s="166"/>
      <c r="AA612" s="175"/>
      <c r="AB612" s="175"/>
      <c r="AC612" s="170">
        <f t="shared" si="1677"/>
        <v>0</v>
      </c>
      <c r="AD612" s="170"/>
      <c r="AE612" s="170"/>
      <c r="AF612" s="119"/>
      <c r="AG612" s="174"/>
      <c r="AH612" s="175"/>
      <c r="AI612" s="175"/>
      <c r="AJ612" s="174"/>
      <c r="AK612" s="174"/>
      <c r="AL612" s="120"/>
      <c r="AM612" s="120"/>
      <c r="AN612" s="120"/>
      <c r="AO612" s="120"/>
      <c r="AP612" s="120"/>
      <c r="AQ612" s="175">
        <f>AVERAGE(AQ621:AQ635)</f>
        <v>1.1275082064765242E-2</v>
      </c>
      <c r="AR612" s="120"/>
      <c r="AS612" s="120"/>
      <c r="AT612" s="120"/>
      <c r="AU612" s="120"/>
      <c r="AV612" s="120"/>
      <c r="AW612" s="120"/>
      <c r="AX612" s="120"/>
      <c r="AY612" s="120"/>
      <c r="AZ612" s="118">
        <f>IFERROR(INDEX('Total Customers'!$F$7:$AB$91,MATCH($C612,'Total Customers'!$D$7:$D$91,0),MATCH($G612,'Total Customers'!$F$5:$AB$5,0)),"NA")</f>
        <v>388074</v>
      </c>
      <c r="BA612" s="119"/>
      <c r="BB612" s="119"/>
      <c r="BC612" s="121"/>
      <c r="BD612" s="119"/>
      <c r="BE612" s="119"/>
      <c r="BF612" s="119"/>
      <c r="BG612" s="173"/>
      <c r="BH612" s="173"/>
      <c r="BI612" s="173"/>
      <c r="BJ612" s="173"/>
      <c r="BK612" s="173"/>
      <c r="BL612" s="173"/>
      <c r="BM612" s="173"/>
      <c r="BN612" s="173"/>
      <c r="BO612" s="173"/>
      <c r="BP612" s="173"/>
      <c r="BQ612" s="118">
        <f>INDEX('Gross Dx Plant'!$E$7:$AD$91,MATCH($C612,'Gross Dx Plant'!$D$7:$D$91,0),MATCH(Calculation!$G612,'Gross Dx Plant'!$E$5:$AD$5,0))</f>
        <v>675001</v>
      </c>
      <c r="BR612" s="118">
        <f>INDEX('Gross Gen Plant'!$E$7:$AD$91,MATCH($C612,'Gross Gen Plant'!$D$7:$D$91,0),MATCH(Calculation!$G612,'Gross Gen Plant'!$E$5:$AD$5,0))</f>
        <v>55873</v>
      </c>
      <c r="BS612" s="118">
        <f>INDEX('Dist. Plant Gas Additions'!$F$7:$AE$91,MATCH($C612,'Dist. Plant Gas Additions'!$D$7:$D$91,0),MATCH(Calculation!$G612,'Dist. Plant Gas Additions'!$F$5:$AE$5,0))</f>
        <v>37147</v>
      </c>
      <c r="BT612" s="118">
        <f>INDEX('Gen. Plant Additions'!$F$7:$AE$91,MATCH($C612,'Gen. Plant Additions'!$D$7:$D$91,0),MATCH(Calculation!$G612,'Gen. Plant Additions'!$F$5:$AE$5,0))</f>
        <v>5070</v>
      </c>
      <c r="BU612" s="118" t="e">
        <f>INDEX('Dist Plant Depreciation'!$E$7:$AA$94,MATCH($C612,'Dist Plant Depreciation'!$D$7:$D$94,0),MATCH(#REF!,'Dist Plant Depreciation'!$E$5:$AA$5,0))</f>
        <v>#REF!</v>
      </c>
      <c r="BV612" s="118" t="e">
        <f>INDEX('Gen. Plant Depreciation'!$E$7:$AA$94,MATCH($C612,'Gen. Plant Depreciation'!$D$7:$D$94,0),MATCH(#REF!,'Gen. Plant Depreciation'!$E$5:$AA$5,0))</f>
        <v>#REF!</v>
      </c>
      <c r="BW612" s="118">
        <f>INDEX('Dist Plant Depreciation'!$E$7:$AD$94,MATCH($C612,'Dist Plant Depreciation'!$D$7:$D$94,0),MATCH(Calculation!$G612,'Dist Plant Depreciation'!$E$5:$AD$5,0))</f>
        <v>180295</v>
      </c>
      <c r="BX612" s="118">
        <f>INDEX('Gen. Plant Depreciation'!$E$7:$AD$94,MATCH($C612,'Gen. Plant Depreciation'!$D$7:$D$94,0),MATCH(Calculation!$G612,'Gen. Plant Depreciation'!$E$5:$AD$5,0))</f>
        <v>28080</v>
      </c>
      <c r="BY612" s="118"/>
      <c r="BZ612" s="118"/>
      <c r="CA612" s="118"/>
      <c r="CB612" s="118"/>
      <c r="CC612" s="118"/>
      <c r="CD612" s="118"/>
      <c r="CE612" s="118">
        <f>INDEX('Gross Dx Plant'!$E$7:$AD$91,MATCH($C612,'Gross Dx Plant'!$D$7:$D$91,0),MATCH(Calculation!$G612,'Gross Dx Plant'!$E$5:$AD$5,0))</f>
        <v>675001</v>
      </c>
      <c r="CF612" s="118">
        <f>INDEX('Gross Gen Plant'!$E$7:$AD$91,MATCH($C612,'Gross Gen Plant'!$D$7:$D$91,0),MATCH(Calculation!$G612,'Gross Gen Plant'!$E$5:$AD$5,0))</f>
        <v>55873</v>
      </c>
      <c r="CG612" s="118">
        <f t="shared" si="1720"/>
        <v>522499</v>
      </c>
      <c r="CH612" s="118"/>
      <c r="CI612" s="121">
        <v>1998</v>
      </c>
      <c r="CJ612" s="118">
        <f>BQ612+BR612</f>
        <v>730874</v>
      </c>
      <c r="CK612" s="118">
        <f>180295+28080</f>
        <v>208375</v>
      </c>
      <c r="CL612" s="118">
        <f>+CJ612-CK612</f>
        <v>522499</v>
      </c>
      <c r="CM612" s="118">
        <f>CL612/$CD$36</f>
        <v>2590.2263232453911</v>
      </c>
      <c r="CN612" s="183"/>
      <c r="CO612" s="183"/>
      <c r="CP612" s="186">
        <v>1</v>
      </c>
      <c r="CQ612" s="118">
        <f>+CM612</f>
        <v>2590.2263232453911</v>
      </c>
      <c r="CR612" s="119"/>
      <c r="CS612" s="119"/>
      <c r="CT612" s="177"/>
      <c r="CU612" s="177"/>
      <c r="CV612" s="119" t="e">
        <f>VLOOKUP($H612,RoR!$E:$F,2,FALSE)</f>
        <v>#N/A</v>
      </c>
      <c r="CW612" s="177">
        <v>1.1028127770464469E-2</v>
      </c>
      <c r="CX612" s="177"/>
      <c r="CY612" s="177"/>
      <c r="CZ612" s="177"/>
      <c r="DA612" s="187"/>
      <c r="DB612" s="190" t="e">
        <f>2/(DK612*39)</f>
        <v>#N/A</v>
      </c>
      <c r="DC612" s="188" t="e">
        <f>+(DK612*40-(1+DK612))/(DK612*40)</f>
        <v>#N/A</v>
      </c>
      <c r="DD612" s="188" t="e">
        <f>+(1-(1/(1+DK612)^40))</f>
        <v>#N/A</v>
      </c>
      <c r="DE612" s="188" t="e">
        <f>+DD612*DC612*DB612</f>
        <v>#N/A</v>
      </c>
      <c r="DF612" s="189">
        <f>INDEX('State Tax Lookup'!$D$7:$Z$91,MATCH(Calculation!$C612,'State Tax Lookup'!$B$7:$B$91,0),MATCH($H612,'State Tax Lookup'!$D$6:$Z$6,0))</f>
        <v>0.40849999999999997</v>
      </c>
      <c r="DG612" s="189">
        <v>0.375</v>
      </c>
      <c r="DH612" s="183"/>
      <c r="DI612" s="183"/>
      <c r="DJ612" s="177"/>
      <c r="DK612" s="189" t="e">
        <f>VLOOKUP($H612,RoR!$E:$F,2,FALSE)</f>
        <v>#N/A</v>
      </c>
      <c r="DL612" s="191">
        <f>HLOOKUP($H612,'GDP-PI'!$D$8:$CQ$11,3,FALSE)</f>
        <v>1.1028127770464469E-2</v>
      </c>
      <c r="DM612" s="189">
        <f>VLOOKUP(H612,'HW Dx Data'!$E:$F,2,FALSE)</f>
        <v>329.24564746449528</v>
      </c>
      <c r="DN612" s="183" t="e">
        <f>VLOOKUP(H612,'ECI - Input Price'!$G$17:$H$37,2,FALSE)</f>
        <v>#N/A</v>
      </c>
      <c r="DO612" s="177"/>
      <c r="DP612" s="183">
        <f>HLOOKUP(H612,'GDP-PI'!$8:$9,2,FALSE)</f>
        <v>75.266999999999996</v>
      </c>
    </row>
    <row r="613" spans="1:121" s="167" customFormat="1" ht="21" x14ac:dyDescent="0.35">
      <c r="A613" s="167" t="s">
        <v>71</v>
      </c>
      <c r="B613" s="168" t="s">
        <v>71</v>
      </c>
      <c r="C613" s="168">
        <v>4061755</v>
      </c>
      <c r="D613" s="168" t="s">
        <v>145</v>
      </c>
      <c r="E613" s="168" t="s">
        <v>126</v>
      </c>
      <c r="F613" s="168"/>
      <c r="G613" s="168" t="s">
        <v>5</v>
      </c>
      <c r="H613" s="169">
        <v>1999</v>
      </c>
      <c r="I613" s="170"/>
      <c r="J613" s="166"/>
      <c r="K613" s="170"/>
      <c r="L613" s="170"/>
      <c r="M613" s="166"/>
      <c r="N613" s="173"/>
      <c r="O613" s="170"/>
      <c r="P613" s="177"/>
      <c r="Q613" s="177"/>
      <c r="R613" s="177"/>
      <c r="S613" s="195"/>
      <c r="T613" s="177"/>
      <c r="U613" s="177"/>
      <c r="V613" s="166">
        <f t="shared" ref="V613:V635" si="1784">+CQ612*DH613</f>
        <v>0</v>
      </c>
      <c r="W613" s="170"/>
      <c r="X613" s="174">
        <v>2704.1926813561554</v>
      </c>
      <c r="Y613" s="175">
        <v>4.3058158153820213E-2</v>
      </c>
      <c r="Z613" s="175"/>
      <c r="AA613" s="175"/>
      <c r="AB613" s="175"/>
      <c r="AC613" s="170">
        <f t="shared" si="1677"/>
        <v>0</v>
      </c>
      <c r="AD613" s="175"/>
      <c r="AE613" s="170"/>
      <c r="AF613" s="119"/>
      <c r="AG613" s="174"/>
      <c r="AH613" s="175"/>
      <c r="AI613" s="175"/>
      <c r="AJ613" s="174"/>
      <c r="AK613" s="174"/>
      <c r="AL613" s="120"/>
      <c r="AM613" s="120"/>
      <c r="AN613" s="120"/>
      <c r="AO613" s="120"/>
      <c r="AP613" s="120"/>
      <c r="AQ613" s="175"/>
      <c r="AR613" s="120"/>
      <c r="AS613" s="120"/>
      <c r="AT613" s="120"/>
      <c r="AU613" s="120"/>
      <c r="AV613" s="120"/>
      <c r="AW613" s="120"/>
      <c r="AX613" s="120"/>
      <c r="AY613" s="120"/>
      <c r="AZ613" s="118">
        <f>IFERROR(INDEX('Total Customers'!$F$7:$AB$91,MATCH($C613,'Total Customers'!$D$7:$D$91,0),MATCH($G613,'Total Customers'!$F$5:$AB$5,0)),"NA")</f>
        <v>399805</v>
      </c>
      <c r="BA613" s="119">
        <f t="shared" ref="BA613:BA635" si="1785">LN(AZ613/AZ612)</f>
        <v>2.9780885153527337E-2</v>
      </c>
      <c r="BB613" s="119"/>
      <c r="BC613" s="121"/>
      <c r="BD613" s="119"/>
      <c r="BE613" s="119"/>
      <c r="BF613" s="119"/>
      <c r="BG613" s="173"/>
      <c r="BH613" s="173"/>
      <c r="BI613" s="173"/>
      <c r="BJ613" s="173"/>
      <c r="BK613" s="173"/>
      <c r="BL613" s="173"/>
      <c r="BM613" s="173"/>
      <c r="BN613" s="173"/>
      <c r="BO613" s="173"/>
      <c r="BP613" s="173"/>
      <c r="BQ613" s="118"/>
      <c r="BR613" s="118"/>
      <c r="BS613" s="118">
        <f>INDEX('Dist. Plant Gas Additions'!$F$7:$AE$91,MATCH($C613,'Dist. Plant Gas Additions'!$D$7:$D$91,0),MATCH(Calculation!$G613,'Dist. Plant Gas Additions'!$F$5:$AE$5,0))</f>
        <v>39322</v>
      </c>
      <c r="BT613" s="118">
        <f>INDEX('Gen. Plant Additions'!$F$7:$AE$91,MATCH($C613,'Gen. Plant Additions'!$D$7:$D$91,0),MATCH(Calculation!$G613,'Gen. Plant Additions'!$F$5:$AE$5,0))</f>
        <v>3215</v>
      </c>
      <c r="BU613" s="118"/>
      <c r="BV613" s="118"/>
      <c r="BW613" s="118">
        <f>INDEX('Dist Plant Depreciation'!$E$7:$AD$94,MATCH($C613,'Dist Plant Depreciation'!$D$7:$D$94,0),MATCH(Calculation!$G613,'Dist Plant Depreciation'!$E$5:$AD$5,0))</f>
        <v>192903</v>
      </c>
      <c r="BX613" s="118">
        <f>INDEX('Gen. Plant Depreciation'!$E$7:$AD$94,MATCH($C613,'Gen. Plant Depreciation'!$D$7:$D$94,0),MATCH(Calculation!$G613,'Gen. Plant Depreciation'!$E$5:$AD$5,0))</f>
        <v>34286</v>
      </c>
      <c r="BY613" s="118"/>
      <c r="BZ613" s="118"/>
      <c r="CA613" s="118"/>
      <c r="CB613" s="118"/>
      <c r="CC613" s="118"/>
      <c r="CD613" s="118"/>
      <c r="CE613" s="118">
        <f>INDEX('Gross Dx Plant'!$E$7:$AD$91,MATCH($C613,'Gross Dx Plant'!$D$7:$D$91,0),MATCH(Calculation!$G613,'Gross Dx Plant'!$E$5:$AD$5,0))</f>
        <v>712620</v>
      </c>
      <c r="CF613" s="118">
        <f>INDEX('Gross Gen Plant'!$E$7:$AD$91,MATCH($C613,'Gross Gen Plant'!$D$7:$D$91,0),MATCH(Calculation!$G613,'Gross Gen Plant'!$E$5:$AD$5,0))</f>
        <v>58276</v>
      </c>
      <c r="CG613" s="118">
        <f t="shared" si="1720"/>
        <v>543707</v>
      </c>
      <c r="CH613" s="118"/>
      <c r="CI613" s="121">
        <v>1999</v>
      </c>
      <c r="CJ613" s="118"/>
      <c r="CK613" s="118"/>
      <c r="CL613" s="118"/>
      <c r="CM613" s="183"/>
      <c r="CN613" s="118">
        <f t="shared" ref="CN613:CN635" si="1786">+BT613+BS613</f>
        <v>42537</v>
      </c>
      <c r="CO613" s="118">
        <f t="shared" ref="CO613:CO635" si="1787">+CN613/$DM613</f>
        <v>126.8530562363629</v>
      </c>
      <c r="CP613" s="186">
        <v>0.99502487562189057</v>
      </c>
      <c r="CQ613" s="118">
        <f>+CQ612*CP613+CO613</f>
        <v>2704.1926813561554</v>
      </c>
      <c r="CR613" s="119">
        <f t="shared" ref="CR613:CR634" si="1788">LN(CQ613/CQ612)</f>
        <v>4.3058158153820213E-2</v>
      </c>
      <c r="CS613" s="119"/>
      <c r="CT613" s="177">
        <f t="shared" ref="CT613:CT635" si="1789">+(CQ612-CQ613+CO613)/CQ612</f>
        <v>4.975124378109313E-3</v>
      </c>
      <c r="CU613" s="177"/>
      <c r="CV613" s="119">
        <f>VLOOKUP($H613,RoR!$E:$F,2,FALSE)</f>
        <v>7.0416666666666669E-2</v>
      </c>
      <c r="CW613" s="177">
        <v>1.4335631817396832E-2</v>
      </c>
      <c r="CX613" s="177">
        <f>+CV613-CW613</f>
        <v>5.6081034849269837E-2</v>
      </c>
      <c r="CY613" s="177"/>
      <c r="CZ613" s="177"/>
      <c r="DA613" s="187">
        <f t="shared" ref="DA613:DA635" si="1790">1-DF613*DG613</f>
        <v>0.84681249999999997</v>
      </c>
      <c r="DB613" s="188">
        <f t="shared" ref="DB613:DB635" si="1791">2/(DK613*39)</f>
        <v>0.72826581702321336</v>
      </c>
      <c r="DC613" s="188">
        <f t="shared" ref="DC613:DC635" si="1792">+(DK613*40-(1+DK613))/(DK613*40)</f>
        <v>0.61997041420118348</v>
      </c>
      <c r="DD613" s="188">
        <f t="shared" ref="DD613:DD635" si="1793">+(1-(1/(1+DK613)^40))</f>
        <v>0.93425155319585029</v>
      </c>
      <c r="DE613" s="188">
        <f t="shared" ref="DE613:DE635" si="1794">+DD613*DC613*DB613</f>
        <v>0.42181762214141483</v>
      </c>
      <c r="DF613" s="189">
        <f>INDEX('State Tax Lookup'!$D$7:$Z$91,MATCH(Calculation!$C613,'State Tax Lookup'!$B$7:$B$91,0),MATCH($H613,'State Tax Lookup'!$D$6:$Z$6,0))</f>
        <v>0.40849999999999997</v>
      </c>
      <c r="DG613" s="189">
        <v>0.375</v>
      </c>
      <c r="DH613" s="190"/>
      <c r="DI613" s="190"/>
      <c r="DJ613" s="177"/>
      <c r="DK613" s="189">
        <f>VLOOKUP($H613,RoR!$E:$F,2,FALSE)</f>
        <v>7.0416666666666669E-2</v>
      </c>
      <c r="DL613" s="191">
        <f>HLOOKUP($H613,'GDP-PI'!$D$8:$CQ$11,3,FALSE)</f>
        <v>1.4335631817396832E-2</v>
      </c>
      <c r="DM613" s="189">
        <f>VLOOKUP(H613,'HW Dx Data'!$E:$F,2,FALSE)</f>
        <v>335.32499146683239</v>
      </c>
      <c r="DN613" s="183" t="e">
        <f>VLOOKUP(H613,'ECI - Input Price'!$G$17:$H$37,2,FALSE)</f>
        <v>#N/A</v>
      </c>
      <c r="DO613" s="177"/>
      <c r="DP613" s="183">
        <f>HLOOKUP(H613,'GDP-PI'!$8:$9,2,FALSE)</f>
        <v>76.346000000000004</v>
      </c>
    </row>
    <row r="614" spans="1:121" s="167" customFormat="1" ht="21" x14ac:dyDescent="0.35">
      <c r="A614" s="167" t="s">
        <v>71</v>
      </c>
      <c r="B614" s="168" t="s">
        <v>71</v>
      </c>
      <c r="C614" s="168">
        <v>4061755</v>
      </c>
      <c r="D614" s="168" t="s">
        <v>145</v>
      </c>
      <c r="E614" s="168" t="s">
        <v>126</v>
      </c>
      <c r="F614" s="168"/>
      <c r="G614" s="168" t="s">
        <v>6</v>
      </c>
      <c r="H614" s="169">
        <v>2000</v>
      </c>
      <c r="I614" s="170"/>
      <c r="J614" s="166"/>
      <c r="K614" s="166"/>
      <c r="L614" s="166"/>
      <c r="M614" s="166"/>
      <c r="N614" s="196"/>
      <c r="O614" s="166"/>
      <c r="P614" s="166"/>
      <c r="Q614" s="166"/>
      <c r="R614" s="166"/>
      <c r="S614" s="166"/>
      <c r="T614" s="166"/>
      <c r="U614" s="166"/>
      <c r="V614" s="166">
        <f t="shared" si="1784"/>
        <v>0</v>
      </c>
      <c r="W614" s="170"/>
      <c r="X614" s="174">
        <v>2825.7603618509534</v>
      </c>
      <c r="Y614" s="175">
        <v>4.397406948031797E-2</v>
      </c>
      <c r="Z614" s="175"/>
      <c r="AA614" s="175"/>
      <c r="AB614" s="175"/>
      <c r="AC614" s="170">
        <f t="shared" si="1677"/>
        <v>0</v>
      </c>
      <c r="AD614" s="175"/>
      <c r="AE614" s="170"/>
      <c r="AF614" s="170"/>
      <c r="AG614" s="174"/>
      <c r="AH614" s="175"/>
      <c r="AI614" s="175"/>
      <c r="AJ614" s="174"/>
      <c r="AK614" s="174"/>
      <c r="AL614" s="120"/>
      <c r="AM614" s="120"/>
      <c r="AN614" s="120"/>
      <c r="AO614" s="120"/>
      <c r="AP614" s="120"/>
      <c r="AQ614" s="175"/>
      <c r="AR614" s="120"/>
      <c r="AS614" s="120"/>
      <c r="AT614" s="120"/>
      <c r="AU614" s="120"/>
      <c r="AV614" s="120"/>
      <c r="AW614" s="120"/>
      <c r="AX614" s="120"/>
      <c r="AY614" s="120"/>
      <c r="AZ614" s="118">
        <f>IFERROR(INDEX('Total Customers'!$F$7:$AB$91,MATCH($C614,'Total Customers'!$D$7:$D$91,0),MATCH($G614,'Total Customers'!$F$5:$AB$5,0)),"NA")</f>
        <v>414353</v>
      </c>
      <c r="BA614" s="119">
        <f t="shared" si="1785"/>
        <v>3.5741339283439602E-2</v>
      </c>
      <c r="BB614" s="119"/>
      <c r="BC614" s="121"/>
      <c r="BD614" s="119"/>
      <c r="BE614" s="119"/>
      <c r="BF614" s="119"/>
      <c r="BG614" s="173"/>
      <c r="BH614" s="173"/>
      <c r="BI614" s="173"/>
      <c r="BJ614" s="173"/>
      <c r="BK614" s="173"/>
      <c r="BL614" s="173"/>
      <c r="BM614" s="173"/>
      <c r="BN614" s="173"/>
      <c r="BO614" s="173"/>
      <c r="BP614" s="173"/>
      <c r="BQ614" s="118"/>
      <c r="BR614" s="118"/>
      <c r="BS614" s="118">
        <f>INDEX('Dist. Plant Gas Additions'!$F$7:$AE$91,MATCH($C614,'Dist. Plant Gas Additions'!$D$7:$D$91,0),MATCH(Calculation!$G614,'Dist. Plant Gas Additions'!$F$5:$AE$5,0))</f>
        <v>38779</v>
      </c>
      <c r="BT614" s="118">
        <f>INDEX('Gen. Plant Additions'!$F$7:$AE$91,MATCH($C614,'Gen. Plant Additions'!$D$7:$D$91,0),MATCH(Calculation!$G614,'Gen. Plant Additions'!$F$5:$AE$5,0))</f>
        <v>8168</v>
      </c>
      <c r="BU614" s="118"/>
      <c r="BV614" s="118"/>
      <c r="BW614" s="118">
        <f>INDEX('Dist Plant Depreciation'!$E$7:$AD$94,MATCH($C614,'Dist Plant Depreciation'!$D$7:$D$94,0),MATCH(Calculation!$G614,'Dist Plant Depreciation'!$E$5:$AD$5,0))</f>
        <v>208441</v>
      </c>
      <c r="BX614" s="118">
        <f>INDEX('Gen. Plant Depreciation'!$E$7:$AD$94,MATCH($C614,'Gen. Plant Depreciation'!$D$7:$D$94,0),MATCH(Calculation!$G614,'Gen. Plant Depreciation'!$E$5:$AD$5,0))</f>
        <v>30882</v>
      </c>
      <c r="BY614" s="118"/>
      <c r="BZ614" s="118"/>
      <c r="CA614" s="118"/>
      <c r="CB614" s="118"/>
      <c r="CC614" s="118"/>
      <c r="CD614" s="118"/>
      <c r="CE614" s="118">
        <f>INDEX('Gross Dx Plant'!$E$7:$AD$91,MATCH($C614,'Gross Dx Plant'!$D$7:$D$91,0),MATCH(Calculation!$G614,'Gross Dx Plant'!$E$5:$AD$5,0))</f>
        <v>750297</v>
      </c>
      <c r="CF614" s="118">
        <f>INDEX('Gross Gen Plant'!$E$7:$AD$91,MATCH($C614,'Gross Gen Plant'!$D$7:$D$91,0),MATCH(Calculation!$G614,'Gross Gen Plant'!$E$5:$AD$5,0))</f>
        <v>52921</v>
      </c>
      <c r="CG614" s="118">
        <f t="shared" si="1720"/>
        <v>563895</v>
      </c>
      <c r="CH614" s="118"/>
      <c r="CI614" s="121">
        <v>2000</v>
      </c>
      <c r="CJ614" s="118"/>
      <c r="CK614" s="118"/>
      <c r="CL614" s="118"/>
      <c r="CM614" s="183"/>
      <c r="CN614" s="118">
        <f t="shared" si="1786"/>
        <v>46947</v>
      </c>
      <c r="CO614" s="118">
        <f t="shared" si="1787"/>
        <v>135.47599435672234</v>
      </c>
      <c r="CP614" s="186">
        <v>0.98989898989898994</v>
      </c>
      <c r="CQ614" s="118">
        <f>+CQ612*CP614+CO613*CP613+CO614</f>
        <v>2825.7603618509534</v>
      </c>
      <c r="CR614" s="119">
        <f t="shared" si="1788"/>
        <v>4.397406948031797E-2</v>
      </c>
      <c r="CS614" s="119"/>
      <c r="CT614" s="177">
        <f t="shared" si="1789"/>
        <v>5.14324070093605E-3</v>
      </c>
      <c r="CU614" s="177"/>
      <c r="CV614" s="119">
        <f>VLOOKUP($H614,RoR!$E:$F,2,FALSE)</f>
        <v>7.6225000000000001E-2</v>
      </c>
      <c r="CW614" s="177">
        <v>2.2568307442433211E-2</v>
      </c>
      <c r="CX614" s="177">
        <f t="shared" ref="CX614:CX634" si="1795">+CV614-CW614</f>
        <v>5.365669255756679E-2</v>
      </c>
      <c r="CY614" s="177"/>
      <c r="CZ614" s="177"/>
      <c r="DA614" s="187">
        <f t="shared" si="1790"/>
        <v>0.84681249999999997</v>
      </c>
      <c r="DB614" s="188">
        <f t="shared" si="1791"/>
        <v>0.67277207323124022</v>
      </c>
      <c r="DC614" s="188">
        <f t="shared" si="1792"/>
        <v>0.6470236142997704</v>
      </c>
      <c r="DD614" s="188">
        <f t="shared" si="1793"/>
        <v>0.94704866037543145</v>
      </c>
      <c r="DE614" s="188">
        <f t="shared" si="1794"/>
        <v>0.41224973107878493</v>
      </c>
      <c r="DF614" s="189">
        <f>INDEX('State Tax Lookup'!$D$7:$Z$91,MATCH(Calculation!$C614,'State Tax Lookup'!$B$7:$B$91,0),MATCH($H614,'State Tax Lookup'!$D$6:$Z$6,0))</f>
        <v>0.40849999999999997</v>
      </c>
      <c r="DG614" s="189">
        <v>0.375</v>
      </c>
      <c r="DH614" s="190"/>
      <c r="DI614" s="190"/>
      <c r="DJ614" s="177"/>
      <c r="DK614" s="189">
        <f>VLOOKUP($H614,RoR!$E:$F,2,FALSE)</f>
        <v>7.6225000000000001E-2</v>
      </c>
      <c r="DL614" s="191">
        <f>HLOOKUP($H614,'GDP-PI'!$D$8:$CQ$11,3,FALSE)</f>
        <v>2.2568307442433211E-2</v>
      </c>
      <c r="DM614" s="189">
        <f>VLOOKUP(H614,'HW Dx Data'!$E:$F,2,FALSE)</f>
        <v>346.53371782150339</v>
      </c>
      <c r="DN614" s="183" t="e">
        <f>VLOOKUP(H614,'ECI - Input Price'!$G$17:$H$37,2,FALSE)</f>
        <v>#N/A</v>
      </c>
      <c r="DO614" s="177"/>
      <c r="DP614" s="183">
        <f>HLOOKUP(H614,'GDP-PI'!$8:$9,2,FALSE)</f>
        <v>78.069000000000003</v>
      </c>
    </row>
    <row r="615" spans="1:121" s="167" customFormat="1" ht="21" x14ac:dyDescent="0.35">
      <c r="A615" s="167" t="s">
        <v>71</v>
      </c>
      <c r="B615" s="168" t="s">
        <v>71</v>
      </c>
      <c r="C615" s="168">
        <v>4061755</v>
      </c>
      <c r="D615" s="168" t="s">
        <v>145</v>
      </c>
      <c r="E615" s="168" t="s">
        <v>126</v>
      </c>
      <c r="F615" s="168"/>
      <c r="G615" s="168" t="s">
        <v>7</v>
      </c>
      <c r="H615" s="169">
        <v>2001</v>
      </c>
      <c r="I615" s="170"/>
      <c r="J615" s="166"/>
      <c r="K615" s="166"/>
      <c r="L615" s="166"/>
      <c r="M615" s="166"/>
      <c r="N615" s="196"/>
      <c r="O615" s="166"/>
      <c r="P615" s="166"/>
      <c r="Q615" s="166"/>
      <c r="R615" s="166"/>
      <c r="S615" s="166"/>
      <c r="T615" s="166"/>
      <c r="U615" s="166"/>
      <c r="V615" s="166">
        <f t="shared" si="1784"/>
        <v>36847.83730071062</v>
      </c>
      <c r="W615" s="170"/>
      <c r="X615" s="174">
        <v>2919.443301975175</v>
      </c>
      <c r="Y615" s="175">
        <v>3.2615465075366931E-2</v>
      </c>
      <c r="Z615" s="175"/>
      <c r="AA615" s="175"/>
      <c r="AB615" s="175"/>
      <c r="AC615" s="170">
        <f t="shared" si="1677"/>
        <v>36847.83730071062</v>
      </c>
      <c r="AD615" s="175"/>
      <c r="AE615" s="170"/>
      <c r="AF615" s="170"/>
      <c r="AG615" s="174"/>
      <c r="AH615" s="175"/>
      <c r="AI615" s="175"/>
      <c r="AJ615" s="174"/>
      <c r="AK615" s="174"/>
      <c r="AL615" s="120"/>
      <c r="AM615" s="120"/>
      <c r="AN615" s="120"/>
      <c r="AO615" s="120"/>
      <c r="AP615" s="120"/>
      <c r="AQ615" s="175"/>
      <c r="AR615" s="120"/>
      <c r="AS615" s="120"/>
      <c r="AT615" s="120"/>
      <c r="AU615" s="120"/>
      <c r="AV615" s="120"/>
      <c r="AW615" s="120"/>
      <c r="AX615" s="120"/>
      <c r="AY615" s="120"/>
      <c r="AZ615" s="118">
        <f>IFERROR(INDEX('Total Customers'!$F$7:$AB$91,MATCH($C615,'Total Customers'!$D$7:$D$91,0),MATCH($G615,'Total Customers'!$F$5:$AB$5,0)),"NA")</f>
        <v>424076</v>
      </c>
      <c r="BA615" s="119">
        <f t="shared" si="1785"/>
        <v>2.319441692779688E-2</v>
      </c>
      <c r="BB615" s="119"/>
      <c r="BC615" s="121"/>
      <c r="BD615" s="119"/>
      <c r="BE615" s="119"/>
      <c r="BF615" s="119"/>
      <c r="BG615" s="173"/>
      <c r="BH615" s="173"/>
      <c r="BI615" s="173"/>
      <c r="BJ615" s="173"/>
      <c r="BK615" s="173"/>
      <c r="BL615" s="173"/>
      <c r="BM615" s="173"/>
      <c r="BN615" s="173"/>
      <c r="BO615" s="173"/>
      <c r="BP615" s="173"/>
      <c r="BQ615" s="118"/>
      <c r="BR615" s="118"/>
      <c r="BS615" s="118">
        <f>INDEX('Dist. Plant Gas Additions'!$F$7:$AE$91,MATCH($C615,'Dist. Plant Gas Additions'!$D$7:$D$91,0),MATCH(Calculation!$G615,'Dist. Plant Gas Additions'!$F$5:$AE$5,0))</f>
        <v>35879</v>
      </c>
      <c r="BT615" s="118">
        <f>INDEX('Gen. Plant Additions'!$F$7:$AE$91,MATCH($C615,'Gen. Plant Additions'!$D$7:$D$91,0),MATCH(Calculation!$G615,'Gen. Plant Additions'!$F$5:$AE$5,0))</f>
        <v>2300</v>
      </c>
      <c r="BU615" s="118"/>
      <c r="BV615" s="118"/>
      <c r="BW615" s="118">
        <f>INDEX('Dist Plant Depreciation'!$E$7:$AD$94,MATCH($C615,'Dist Plant Depreciation'!$D$7:$D$94,0),MATCH(Calculation!$G615,'Dist Plant Depreciation'!$E$5:$AD$5,0))</f>
        <v>223180</v>
      </c>
      <c r="BX615" s="118">
        <f>INDEX('Gen. Plant Depreciation'!$E$7:$AD$94,MATCH($C615,'Gen. Plant Depreciation'!$D$7:$D$94,0),MATCH(Calculation!$G615,'Gen. Plant Depreciation'!$E$5:$AD$5,0))</f>
        <v>36388</v>
      </c>
      <c r="BY615" s="118"/>
      <c r="BZ615" s="118"/>
      <c r="CA615" s="118"/>
      <c r="CB615" s="118"/>
      <c r="CC615" s="118"/>
      <c r="CD615" s="118"/>
      <c r="CE615" s="118">
        <f>INDEX('Gross Dx Plant'!$E$7:$AD$91,MATCH($C615,'Gross Dx Plant'!$D$7:$D$91,0),MATCH(Calculation!$G615,'Gross Dx Plant'!$E$5:$AD$5,0))</f>
        <v>762959</v>
      </c>
      <c r="CF615" s="118">
        <f>INDEX('Gross Gen Plant'!$E$7:$AD$91,MATCH($C615,'Gross Gen Plant'!$D$7:$D$91,0),MATCH(Calculation!$G615,'Gross Gen Plant'!$E$5:$AD$5,0))</f>
        <v>54240</v>
      </c>
      <c r="CG615" s="118">
        <f t="shared" si="1720"/>
        <v>557631</v>
      </c>
      <c r="CH615" s="118"/>
      <c r="CI615" s="121">
        <v>2001</v>
      </c>
      <c r="CJ615" s="118"/>
      <c r="CK615" s="118"/>
      <c r="CL615" s="118"/>
      <c r="CM615" s="183"/>
      <c r="CN615" s="118">
        <f t="shared" si="1786"/>
        <v>38179</v>
      </c>
      <c r="CO615" s="118">
        <f t="shared" si="1787"/>
        <v>108.01890788132283</v>
      </c>
      <c r="CP615" s="186">
        <v>0.98461538461538467</v>
      </c>
      <c r="CQ615" s="118">
        <f>+CQ612*CP615+CO613*CP614+CO614*CP612+CO615</f>
        <v>2919.443301975175</v>
      </c>
      <c r="CR615" s="119">
        <f t="shared" si="1788"/>
        <v>3.2615465075366931E-2</v>
      </c>
      <c r="CS615" s="119"/>
      <c r="CT615" s="177">
        <f t="shared" si="1789"/>
        <v>5.0733133462565472E-3</v>
      </c>
      <c r="CU615" s="177">
        <f>+(CT615+CT614+CT613)/3</f>
        <v>5.0638928084339695E-3</v>
      </c>
      <c r="CV615" s="119">
        <f>VLOOKUP($H615,RoR!$E:$F,2,FALSE)</f>
        <v>7.0824999999999999E-2</v>
      </c>
      <c r="CW615" s="177">
        <v>2.2454495382290052E-2</v>
      </c>
      <c r="CX615" s="177">
        <f t="shared" si="1795"/>
        <v>4.8370504617709947E-2</v>
      </c>
      <c r="CY615" s="177">
        <f>+$CX$35-CU615</f>
        <v>2.5838048800099656E-2</v>
      </c>
      <c r="CZ615" s="177">
        <f>+((DM613/DM612-1)+(DM614/DM613-1)+(DM615/DM614-1))/3</f>
        <v>2.3947275901631187E-2</v>
      </c>
      <c r="DA615" s="187">
        <f t="shared" si="1790"/>
        <v>0.84681249999999997</v>
      </c>
      <c r="DB615" s="188">
        <f t="shared" si="1791"/>
        <v>0.72406708481540816</v>
      </c>
      <c r="DC615" s="188">
        <f t="shared" si="1792"/>
        <v>0.62201729615248857</v>
      </c>
      <c r="DD615" s="188">
        <f t="shared" si="1793"/>
        <v>0.9352469954311422</v>
      </c>
      <c r="DE615" s="188">
        <f t="shared" si="1794"/>
        <v>0.42121864641655071</v>
      </c>
      <c r="DF615" s="189">
        <f>INDEX('State Tax Lookup'!$D$7:$Z$91,MATCH(Calculation!$C615,'State Tax Lookup'!$B$7:$B$91,0),MATCH($H615,'State Tax Lookup'!$D$6:$Z$6,0))</f>
        <v>0.40849999999999997</v>
      </c>
      <c r="DG615" s="189">
        <v>0.375</v>
      </c>
      <c r="DH615" s="190">
        <f t="shared" ref="DH615:DH635" si="1796">+(DM615*CY615-CZ615)*DA615/(1-DF615)</f>
        <v>13.039972461279143</v>
      </c>
      <c r="DI615" s="190"/>
      <c r="DJ615" s="177"/>
      <c r="DK615" s="189">
        <f>VLOOKUP($H615,RoR!$E:$F,2,FALSE)</f>
        <v>7.0824999999999999E-2</v>
      </c>
      <c r="DL615" s="191">
        <f>HLOOKUP($H615,'GDP-PI'!$D$8:$CQ$11,3,FALSE)</f>
        <v>2.2454495382290052E-2</v>
      </c>
      <c r="DM615" s="189">
        <f>VLOOKUP(H615,'HW Dx Data'!$E:$F,2,FALSE)</f>
        <v>353.44738017483138</v>
      </c>
      <c r="DN615" s="183">
        <f>VLOOKUP(H615,'ECI - Input Price'!$G$17:$H$37,2,FALSE)</f>
        <v>86.2</v>
      </c>
      <c r="DO615" s="177"/>
      <c r="DP615" s="183">
        <f>HLOOKUP(H615,'GDP-PI'!$8:$9,2,FALSE)</f>
        <v>79.822000000000003</v>
      </c>
    </row>
    <row r="616" spans="1:121" s="167" customFormat="1" ht="21" x14ac:dyDescent="0.35">
      <c r="A616" s="167" t="s">
        <v>71</v>
      </c>
      <c r="B616" s="168" t="s">
        <v>71</v>
      </c>
      <c r="C616" s="168">
        <v>4061755</v>
      </c>
      <c r="D616" s="168" t="s">
        <v>145</v>
      </c>
      <c r="E616" s="168" t="s">
        <v>126</v>
      </c>
      <c r="F616" s="168"/>
      <c r="G616" s="168" t="s">
        <v>8</v>
      </c>
      <c r="H616" s="169">
        <v>2002</v>
      </c>
      <c r="I616" s="170"/>
      <c r="J616" s="166"/>
      <c r="K616" s="166"/>
      <c r="L616" s="166"/>
      <c r="M616" s="166"/>
      <c r="N616" s="196"/>
      <c r="O616" s="166"/>
      <c r="P616" s="166"/>
      <c r="Q616" s="166"/>
      <c r="R616" s="166"/>
      <c r="S616" s="166"/>
      <c r="T616" s="166"/>
      <c r="U616" s="166"/>
      <c r="V616" s="166">
        <f t="shared" si="1784"/>
        <v>38543.94833221005</v>
      </c>
      <c r="W616" s="170"/>
      <c r="X616" s="174">
        <v>3011.5989589514925</v>
      </c>
      <c r="Y616" s="175">
        <v>3.1078205218563325E-2</v>
      </c>
      <c r="Z616" s="175"/>
      <c r="AA616" s="175"/>
      <c r="AB616" s="175"/>
      <c r="AC616" s="170">
        <f t="shared" si="1677"/>
        <v>38543.94833221005</v>
      </c>
      <c r="AD616" s="175"/>
      <c r="AE616" s="170"/>
      <c r="AF616" s="170"/>
      <c r="AG616" s="174"/>
      <c r="AH616" s="175"/>
      <c r="AI616" s="175"/>
      <c r="AJ616" s="174"/>
      <c r="AK616" s="174"/>
      <c r="AL616" s="120"/>
      <c r="AM616" s="120"/>
      <c r="AN616" s="120"/>
      <c r="AO616" s="120"/>
      <c r="AP616" s="120"/>
      <c r="AQ616" s="175"/>
      <c r="AR616" s="120"/>
      <c r="AS616" s="120"/>
      <c r="AT616" s="120"/>
      <c r="AU616" s="120"/>
      <c r="AV616" s="120"/>
      <c r="AW616" s="120"/>
      <c r="AX616" s="120"/>
      <c r="AY616" s="120"/>
      <c r="AZ616" s="118">
        <f>IFERROR(INDEX('Total Customers'!$F$7:$AB$91,MATCH($C616,'Total Customers'!$D$7:$D$91,0),MATCH($G616,'Total Customers'!$F$5:$AB$5,0)),"NA")</f>
        <v>437308</v>
      </c>
      <c r="BA616" s="119">
        <f t="shared" si="1785"/>
        <v>3.0725067876372563E-2</v>
      </c>
      <c r="BB616" s="119"/>
      <c r="BC616" s="121"/>
      <c r="BD616" s="119"/>
      <c r="BE616" s="119"/>
      <c r="BF616" s="119"/>
      <c r="BG616" s="173"/>
      <c r="BH616" s="173"/>
      <c r="BI616" s="173"/>
      <c r="BJ616" s="173"/>
      <c r="BK616" s="173"/>
      <c r="BL616" s="173"/>
      <c r="BM616" s="173"/>
      <c r="BN616" s="173"/>
      <c r="BO616" s="173"/>
      <c r="BP616" s="173"/>
      <c r="BQ616" s="118"/>
      <c r="BR616" s="118"/>
      <c r="BS616" s="118">
        <f>INDEX('Dist. Plant Gas Additions'!$F$7:$AE$91,MATCH($C616,'Dist. Plant Gas Additions'!$D$7:$D$91,0),MATCH(Calculation!$G616,'Dist. Plant Gas Additions'!$F$5:$AE$5,0))</f>
        <v>36913</v>
      </c>
      <c r="BT616" s="118">
        <f>INDEX('Gen. Plant Additions'!$F$7:$AE$91,MATCH($C616,'Gen. Plant Additions'!$D$7:$D$91,0),MATCH(Calculation!$G616,'Gen. Plant Additions'!$F$5:$AE$5,0))</f>
        <v>2418</v>
      </c>
      <c r="BU616" s="118"/>
      <c r="BV616" s="118"/>
      <c r="BW616" s="118">
        <f>INDEX('Dist Plant Depreciation'!$E$7:$AD$94,MATCH($C616,'Dist Plant Depreciation'!$D$7:$D$94,0),MATCH(Calculation!$G616,'Dist Plant Depreciation'!$E$5:$AD$5,0))</f>
        <v>239388</v>
      </c>
      <c r="BX616" s="118">
        <f>INDEX('Gen. Plant Depreciation'!$E$7:$AD$94,MATCH($C616,'Gen. Plant Depreciation'!$D$7:$D$94,0),MATCH(Calculation!$G616,'Gen. Plant Depreciation'!$E$5:$AD$5,0))</f>
        <v>40463</v>
      </c>
      <c r="BY616" s="118"/>
      <c r="BZ616" s="118"/>
      <c r="CA616" s="118"/>
      <c r="CB616" s="118"/>
      <c r="CC616" s="118"/>
      <c r="CD616" s="118"/>
      <c r="CE616" s="118">
        <f>INDEX('Gross Dx Plant'!$E$7:$AD$91,MATCH($C616,'Gross Dx Plant'!$D$7:$D$91,0),MATCH(Calculation!$G616,'Gross Dx Plant'!$E$5:$AD$5,0))</f>
        <v>793451</v>
      </c>
      <c r="CF616" s="118">
        <f>INDEX('Gross Gen Plant'!$E$7:$AD$91,MATCH($C616,'Gross Gen Plant'!$D$7:$D$91,0),MATCH(Calculation!$G616,'Gross Gen Plant'!$E$5:$AD$5,0))</f>
        <v>53966</v>
      </c>
      <c r="CG616" s="118">
        <f t="shared" si="1720"/>
        <v>567566</v>
      </c>
      <c r="CH616" s="118"/>
      <c r="CI616" s="121">
        <v>2002</v>
      </c>
      <c r="CJ616" s="118"/>
      <c r="CK616" s="118"/>
      <c r="CL616" s="118"/>
      <c r="CM616" s="183"/>
      <c r="CN616" s="118">
        <f t="shared" si="1786"/>
        <v>39331</v>
      </c>
      <c r="CO616" s="118">
        <f t="shared" si="1787"/>
        <v>108.84516300253759</v>
      </c>
      <c r="CP616" s="186">
        <v>0.97916666666666663</v>
      </c>
      <c r="CQ616" s="118">
        <f>+CQ612*CP616+CO613*CP615+CO614*CP614+CO615*CP613+CO616</f>
        <v>3011.5989589514925</v>
      </c>
      <c r="CR616" s="119">
        <f t="shared" si="1788"/>
        <v>3.1078205218563325E-2</v>
      </c>
      <c r="CS616" s="119"/>
      <c r="CT616" s="177">
        <f t="shared" si="1789"/>
        <v>5.7166741395281414E-3</v>
      </c>
      <c r="CU616" s="177">
        <f t="shared" ref="CU616:CU635" si="1797">+(CT616+CT615+CT614)/3</f>
        <v>5.3110760622402456E-3</v>
      </c>
      <c r="CV616" s="119">
        <f>VLOOKUP($H616,RoR!$E:$F,2,FALSE)</f>
        <v>6.4916666666666664E-2</v>
      </c>
      <c r="CW616" s="177">
        <v>1.5246423291824351E-2</v>
      </c>
      <c r="CX616" s="177">
        <f t="shared" si="1795"/>
        <v>4.9670243374842313E-2</v>
      </c>
      <c r="CY616" s="177">
        <f t="shared" ref="CY616:CY635" si="1798">+$CX$35-CU616</f>
        <v>2.5590865546293379E-2</v>
      </c>
      <c r="CZ616" s="177">
        <f t="shared" ref="CZ616:CZ635" si="1799">+((DM614/DM613-1)+(DM615/DM614-1)+(DM616/DM615-1))/3</f>
        <v>2.5243621214759093E-2</v>
      </c>
      <c r="DA616" s="187">
        <f t="shared" si="1790"/>
        <v>0.84681249999999997</v>
      </c>
      <c r="DB616" s="188">
        <f t="shared" si="1791"/>
        <v>0.78996741384417901</v>
      </c>
      <c r="DC616" s="188">
        <f t="shared" si="1792"/>
        <v>0.58989088575096271</v>
      </c>
      <c r="DD616" s="188">
        <f t="shared" si="1793"/>
        <v>0.91920675783645744</v>
      </c>
      <c r="DE616" s="188">
        <f t="shared" si="1794"/>
        <v>0.42834536472275586</v>
      </c>
      <c r="DF616" s="189">
        <f>INDEX('State Tax Lookup'!$D$7:$Z$91,MATCH(Calculation!$C616,'State Tax Lookup'!$B$7:$B$91,0),MATCH($H616,'State Tax Lookup'!$D$6:$Z$6,0))</f>
        <v>0.40849999999999997</v>
      </c>
      <c r="DG616" s="189">
        <v>0.375</v>
      </c>
      <c r="DH616" s="190">
        <f t="shared" si="1796"/>
        <v>13.202499362167028</v>
      </c>
      <c r="DI616" s="190"/>
      <c r="DJ616" s="177"/>
      <c r="DK616" s="189">
        <f>VLOOKUP($H616,RoR!$E:$F,2,FALSE)</f>
        <v>6.4916666666666664E-2</v>
      </c>
      <c r="DL616" s="191">
        <f>HLOOKUP($H616,'GDP-PI'!$D$8:$CQ$11,3,FALSE)</f>
        <v>1.5246423291824351E-2</v>
      </c>
      <c r="DM616" s="189">
        <f>VLOOKUP(H616,'HW Dx Data'!$E:$F,2,FALSE)</f>
        <v>361.34816573413599</v>
      </c>
      <c r="DN616" s="183">
        <f>VLOOKUP(H616,'ECI - Input Price'!$G$17:$H$37,2,FALSE)</f>
        <v>89.275000000000006</v>
      </c>
      <c r="DO616" s="177">
        <f>LN(DN616/DN615)</f>
        <v>3.5051315810864674E-2</v>
      </c>
      <c r="DP616" s="183">
        <f>HLOOKUP(H616,'GDP-PI'!$8:$9,2,FALSE)</f>
        <v>81.039000000000001</v>
      </c>
      <c r="DQ616" s="177">
        <f>LN(DP616/DP615)</f>
        <v>1.513136459537477E-2</v>
      </c>
    </row>
    <row r="617" spans="1:121" s="167" customFormat="1" ht="21" x14ac:dyDescent="0.35">
      <c r="A617" s="167" t="s">
        <v>71</v>
      </c>
      <c r="B617" s="168" t="s">
        <v>71</v>
      </c>
      <c r="C617" s="168">
        <v>4061755</v>
      </c>
      <c r="D617" s="168" t="s">
        <v>145</v>
      </c>
      <c r="E617" s="168" t="s">
        <v>126</v>
      </c>
      <c r="F617" s="168"/>
      <c r="G617" s="168" t="s">
        <v>9</v>
      </c>
      <c r="H617" s="169">
        <v>2003</v>
      </c>
      <c r="I617" s="170"/>
      <c r="J617" s="166"/>
      <c r="K617" s="166"/>
      <c r="L617" s="166"/>
      <c r="M617" s="172"/>
      <c r="N617" s="196"/>
      <c r="O617" s="172"/>
      <c r="P617" s="166"/>
      <c r="Q617" s="166"/>
      <c r="R617" s="166"/>
      <c r="S617" s="166"/>
      <c r="T617" s="166"/>
      <c r="U617" s="166"/>
      <c r="V617" s="166">
        <f t="shared" si="1784"/>
        <v>40369.898374794837</v>
      </c>
      <c r="W617" s="170"/>
      <c r="X617" s="174">
        <v>3095.2142745181764</v>
      </c>
      <c r="Y617" s="175">
        <v>2.7385982903474691E-2</v>
      </c>
      <c r="Z617" s="175"/>
      <c r="AA617" s="175"/>
      <c r="AB617" s="175"/>
      <c r="AC617" s="170">
        <f t="shared" si="1677"/>
        <v>40369.898374794837</v>
      </c>
      <c r="AD617" s="175"/>
      <c r="AE617" s="170"/>
      <c r="AF617" s="170"/>
      <c r="AG617" s="174"/>
      <c r="AH617" s="175"/>
      <c r="AI617" s="175"/>
      <c r="AJ617" s="174"/>
      <c r="AK617" s="174"/>
      <c r="AL617" s="120"/>
      <c r="AM617" s="120"/>
      <c r="AN617" s="120"/>
      <c r="AO617" s="120"/>
      <c r="AP617" s="120"/>
      <c r="AQ617" s="175"/>
      <c r="AR617" s="120"/>
      <c r="AS617" s="120"/>
      <c r="AT617" s="120"/>
      <c r="AU617" s="120"/>
      <c r="AV617" s="120"/>
      <c r="AW617" s="120"/>
      <c r="AX617" s="120"/>
      <c r="AY617" s="120"/>
      <c r="AZ617" s="118">
        <f>IFERROR(INDEX('Total Customers'!$F$7:$AB$91,MATCH($C617,'Total Customers'!$D$7:$D$91,0),MATCH($G617,'Total Customers'!$F$5:$AB$5,0)),"NA")</f>
        <v>446837</v>
      </c>
      <c r="BA617" s="119">
        <f t="shared" si="1785"/>
        <v>2.1556122538726644E-2</v>
      </c>
      <c r="BB617" s="119"/>
      <c r="BC617" s="121"/>
      <c r="BD617" s="119"/>
      <c r="BE617" s="119"/>
      <c r="BF617" s="119"/>
      <c r="BG617" s="173"/>
      <c r="BH617" s="173"/>
      <c r="BI617" s="173"/>
      <c r="BJ617" s="173"/>
      <c r="BK617" s="173"/>
      <c r="BL617" s="173"/>
      <c r="BM617" s="173"/>
      <c r="BN617" s="173"/>
      <c r="BO617" s="173"/>
      <c r="BP617" s="173"/>
      <c r="BQ617" s="118"/>
      <c r="BR617" s="118"/>
      <c r="BS617" s="118">
        <f>INDEX('Dist. Plant Gas Additions'!$F$7:$AE$91,MATCH($C617,'Dist. Plant Gas Additions'!$D$7:$D$91,0),MATCH(Calculation!$G617,'Dist. Plant Gas Additions'!$F$5:$AE$5,0))</f>
        <v>33977</v>
      </c>
      <c r="BT617" s="118">
        <f>INDEX('Gen. Plant Additions'!$F$7:$AE$91,MATCH($C617,'Gen. Plant Additions'!$D$7:$D$91,0),MATCH(Calculation!$G617,'Gen. Plant Additions'!$F$5:$AE$5,0))</f>
        <v>3197</v>
      </c>
      <c r="BU617" s="118"/>
      <c r="BV617" s="118"/>
      <c r="BW617" s="118">
        <f>INDEX('Dist Plant Depreciation'!$E$7:$AD$94,MATCH($C617,'Dist Plant Depreciation'!$D$7:$D$94,0),MATCH(Calculation!$G617,'Dist Plant Depreciation'!$E$5:$AD$5,0))</f>
        <v>184568</v>
      </c>
      <c r="BX617" s="118">
        <f>INDEX('Gen. Plant Depreciation'!$E$7:$AD$94,MATCH($C617,'Gen. Plant Depreciation'!$D$7:$D$94,0),MATCH(Calculation!$G617,'Gen. Plant Depreciation'!$E$5:$AD$5,0))</f>
        <v>44428</v>
      </c>
      <c r="BY617" s="118"/>
      <c r="BZ617" s="118"/>
      <c r="CA617" s="118"/>
      <c r="CB617" s="118"/>
      <c r="CC617" s="118"/>
      <c r="CD617" s="118"/>
      <c r="CE617" s="118">
        <f>INDEX('Gross Dx Plant'!$E$7:$AD$91,MATCH($C617,'Gross Dx Plant'!$D$7:$D$91,0),MATCH(Calculation!$G617,'Gross Dx Plant'!$E$5:$AD$5,0))</f>
        <v>822018</v>
      </c>
      <c r="CF617" s="118">
        <f>INDEX('Gross Gen Plant'!$E$7:$AD$91,MATCH($C617,'Gross Gen Plant'!$D$7:$D$91,0),MATCH(Calculation!$G617,'Gross Gen Plant'!$E$5:$AD$5,0))</f>
        <v>55921</v>
      </c>
      <c r="CG617" s="118">
        <f t="shared" si="1720"/>
        <v>648943</v>
      </c>
      <c r="CH617" s="118"/>
      <c r="CI617" s="121">
        <v>2003</v>
      </c>
      <c r="CJ617" s="118"/>
      <c r="CK617" s="118"/>
      <c r="CL617" s="118"/>
      <c r="CM617" s="183"/>
      <c r="CN617" s="118">
        <f t="shared" si="1786"/>
        <v>37174</v>
      </c>
      <c r="CO617" s="118">
        <f t="shared" si="1787"/>
        <v>100.67897207725545</v>
      </c>
      <c r="CP617" s="186">
        <v>0.97354497354497349</v>
      </c>
      <c r="CQ617" s="118">
        <f>+CQ612*CP617+CO613*CP616+CO614*CP615+CO615*CP614+CO616*CP613+CO617</f>
        <v>3095.2142745181764</v>
      </c>
      <c r="CR617" s="119">
        <f t="shared" si="1788"/>
        <v>2.7385982903474691E-2</v>
      </c>
      <c r="CS617" s="119"/>
      <c r="CT617" s="177">
        <f t="shared" si="1789"/>
        <v>5.6659790175091563E-3</v>
      </c>
      <c r="CU617" s="177">
        <f t="shared" si="1797"/>
        <v>5.4853221677646155E-3</v>
      </c>
      <c r="CV617" s="119">
        <f>VLOOKUP($H617,RoR!$E:$F,2,FALSE)</f>
        <v>5.6666666666666671E-2</v>
      </c>
      <c r="CW617" s="177">
        <v>1.8855119140166909E-2</v>
      </c>
      <c r="CX617" s="177">
        <f t="shared" si="1795"/>
        <v>3.7811547526499761E-2</v>
      </c>
      <c r="CY617" s="177">
        <f t="shared" si="1798"/>
        <v>2.541661944076901E-2</v>
      </c>
      <c r="CZ617" s="177">
        <f t="shared" si="1799"/>
        <v>2.1375012817671957E-2</v>
      </c>
      <c r="DA617" s="187">
        <f t="shared" si="1790"/>
        <v>0.84681249999999997</v>
      </c>
      <c r="DB617" s="188">
        <f t="shared" si="1791"/>
        <v>0.90497737556561086</v>
      </c>
      <c r="DC617" s="188">
        <f t="shared" si="1792"/>
        <v>0.5338235294117647</v>
      </c>
      <c r="DD617" s="188">
        <f t="shared" si="1793"/>
        <v>0.88972433127405692</v>
      </c>
      <c r="DE617" s="188">
        <f t="shared" si="1794"/>
        <v>0.42982423775949252</v>
      </c>
      <c r="DF617" s="189">
        <f>INDEX('State Tax Lookup'!$D$7:$Z$91,MATCH(Calculation!$C617,'State Tax Lookup'!$B$7:$B$91,0),MATCH($H617,'State Tax Lookup'!$D$6:$Z$6,0))</f>
        <v>0.40849999999999997</v>
      </c>
      <c r="DG617" s="189">
        <v>0.375</v>
      </c>
      <c r="DH617" s="190">
        <f t="shared" si="1796"/>
        <v>13.404805528572064</v>
      </c>
      <c r="DI617" s="190"/>
      <c r="DJ617" s="177"/>
      <c r="DK617" s="189">
        <f>VLOOKUP($H617,RoR!$E:$F,2,FALSE)</f>
        <v>5.6666666666666671E-2</v>
      </c>
      <c r="DL617" s="191">
        <f>HLOOKUP($H617,'GDP-PI'!$D$8:$CQ$11,3,FALSE)</f>
        <v>1.8855119140166909E-2</v>
      </c>
      <c r="DM617" s="189">
        <f>VLOOKUP(H617,'HW Dx Data'!$E:$F,2,FALSE)</f>
        <v>369.23301095560191</v>
      </c>
      <c r="DN617" s="183">
        <f>VLOOKUP(H617,'ECI - Input Price'!$G$17:$H$37,2,FALSE)</f>
        <v>92.625</v>
      </c>
      <c r="DO617" s="177">
        <f t="shared" ref="DO617" si="1800">LN(DN617/DN616)</f>
        <v>3.6837590135738785E-2</v>
      </c>
      <c r="DP617" s="183">
        <f>HLOOKUP(H617,'GDP-PI'!$8:$9,2,FALSE)</f>
        <v>82.566999999999993</v>
      </c>
      <c r="DQ617" s="177">
        <f t="shared" ref="DQ617" si="1801">LN(DP617/DP616)</f>
        <v>1.8679564681853753E-2</v>
      </c>
    </row>
    <row r="618" spans="1:121" s="167" customFormat="1" ht="21" x14ac:dyDescent="0.35">
      <c r="A618" s="167" t="s">
        <v>71</v>
      </c>
      <c r="B618" s="168" t="s">
        <v>71</v>
      </c>
      <c r="C618" s="168">
        <v>4061755</v>
      </c>
      <c r="D618" s="168" t="s">
        <v>145</v>
      </c>
      <c r="E618" s="168" t="s">
        <v>126</v>
      </c>
      <c r="F618" s="168"/>
      <c r="G618" s="168" t="s">
        <v>10</v>
      </c>
      <c r="H618" s="169">
        <v>2004</v>
      </c>
      <c r="I618" s="170"/>
      <c r="J618" s="166">
        <f>IFERROR(INDEX('Labor Expenditures'!$F$7:$X$91,MATCH($C618,'Labor Expenditures'!$D$7:$D$91,0),MATCH($G618,'Labor Expenditures'!$F$5:$X$5,0)),"NA")</f>
        <v>29959.626555087398</v>
      </c>
      <c r="K618" s="166">
        <f t="shared" ref="K618:K635" si="1802">+J618/DN618</f>
        <v>311.51158362451156</v>
      </c>
      <c r="L618" s="172"/>
      <c r="M618" s="172"/>
      <c r="N618" s="196"/>
      <c r="O618" s="172"/>
      <c r="P618" s="166">
        <f>IFERROR(INDEX('Non-Labor Expenditures'!$F$7:$AB$91,MATCH($C618,'Non-Labor Expenditures'!$D$7:$D$91,0),MATCH($G618,'Non-Labor Expenditures'!$F$5:$AB$5,0)),"NA")</f>
        <v>43387.134938140895</v>
      </c>
      <c r="Q618" s="166">
        <f t="shared" ref="Q618:Q635" si="1803">+P618/DP618</f>
        <v>511.77351362547938</v>
      </c>
      <c r="R618" s="166"/>
      <c r="S618" s="166"/>
      <c r="T618" s="166"/>
      <c r="U618" s="166"/>
      <c r="V618" s="166">
        <f t="shared" si="1784"/>
        <v>46002.492761271569</v>
      </c>
      <c r="W618" s="170"/>
      <c r="X618" s="174">
        <v>3188.5855619364879</v>
      </c>
      <c r="Y618" s="175">
        <v>2.9720284737232986E-2</v>
      </c>
      <c r="Z618" s="175"/>
      <c r="AA618" s="175"/>
      <c r="AB618" s="175"/>
      <c r="AC618" s="170">
        <f t="shared" si="1677"/>
        <v>119349.25425449986</v>
      </c>
      <c r="AD618" s="175"/>
      <c r="AE618" s="170"/>
      <c r="AF618" s="170"/>
      <c r="AG618" s="174"/>
      <c r="AH618" s="175"/>
      <c r="AI618" s="175"/>
      <c r="AJ618" s="174"/>
      <c r="AK618" s="174"/>
      <c r="AL618" s="120">
        <f t="shared" ref="AL618:AL635" si="1804">+J618/AC618</f>
        <v>0.25102483247362078</v>
      </c>
      <c r="AM618" s="120">
        <f t="shared" ref="AM618:AM635" si="1805">+P618/AC618</f>
        <v>0.3635308423932197</v>
      </c>
      <c r="AN618" s="120">
        <f t="shared" ref="AN618:AN635" si="1806">+V618/AC618</f>
        <v>0.38544432513315957</v>
      </c>
      <c r="AO618" s="120"/>
      <c r="AP618" s="120"/>
      <c r="AQ618" s="175"/>
      <c r="AR618" s="120"/>
      <c r="AS618" s="120"/>
      <c r="AT618" s="120"/>
      <c r="AU618" s="120"/>
      <c r="AV618" s="120"/>
      <c r="AW618" s="120"/>
      <c r="AX618" s="120"/>
      <c r="AY618" s="120"/>
      <c r="AZ618" s="118">
        <f>IFERROR(INDEX('Total Customers'!$F$7:$AB$91,MATCH($C618,'Total Customers'!$D$7:$D$91,0),MATCH($G618,'Total Customers'!$F$5:$AB$5,0)),"NA")</f>
        <v>453983</v>
      </c>
      <c r="BA618" s="119">
        <f t="shared" si="1785"/>
        <v>1.5865877538788768E-2</v>
      </c>
      <c r="BB618" s="119"/>
      <c r="BC618" s="121"/>
      <c r="BD618" s="119"/>
      <c r="BE618" s="119"/>
      <c r="BF618" s="119"/>
      <c r="BG618" s="173"/>
      <c r="BH618" s="173"/>
      <c r="BI618" s="173"/>
      <c r="BJ618" s="173"/>
      <c r="BK618" s="173"/>
      <c r="BL618" s="173"/>
      <c r="BM618" s="173"/>
      <c r="BN618" s="173"/>
      <c r="BO618" s="173"/>
      <c r="BP618" s="173"/>
      <c r="BQ618" s="118"/>
      <c r="BR618" s="118"/>
      <c r="BS618" s="118">
        <f>INDEX('Dist. Plant Gas Additions'!$F$7:$AE$91,MATCH($C618,'Dist. Plant Gas Additions'!$D$7:$D$91,0),MATCH(Calculation!$G618,'Dist. Plant Gas Additions'!$F$5:$AE$5,0))</f>
        <v>45942</v>
      </c>
      <c r="BT618" s="118">
        <f>INDEX('Gen. Plant Additions'!$F$7:$AE$91,MATCH($C618,'Gen. Plant Additions'!$D$7:$D$91,0),MATCH(Calculation!$G618,'Gen. Plant Additions'!$F$5:$AE$5,0))</f>
        <v>311</v>
      </c>
      <c r="BU618" s="118"/>
      <c r="BV618" s="118"/>
      <c r="BW618" s="118">
        <f>INDEX('Dist Plant Depreciation'!$E$7:$AD$94,MATCH($C618,'Dist Plant Depreciation'!$D$7:$D$94,0),MATCH(Calculation!$G618,'Dist Plant Depreciation'!$E$5:$AD$5,0))</f>
        <v>276407</v>
      </c>
      <c r="BX618" s="118">
        <f>INDEX('Gen. Plant Depreciation'!$E$7:$AD$94,MATCH($C618,'Gen. Plant Depreciation'!$D$7:$D$94,0),MATCH(Calculation!$G618,'Gen. Plant Depreciation'!$E$5:$AD$5,0))</f>
        <v>43384</v>
      </c>
      <c r="BY618" s="118"/>
      <c r="BZ618" s="118"/>
      <c r="CA618" s="118"/>
      <c r="CB618" s="118"/>
      <c r="CC618" s="118"/>
      <c r="CD618" s="118"/>
      <c r="CE618" s="118">
        <f>INDEX('Gross Dx Plant'!$E$7:$AD$91,MATCH($C618,'Gross Dx Plant'!$D$7:$D$91,0),MATCH(Calculation!$G618,'Gross Dx Plant'!$E$5:$AD$5,0))</f>
        <v>861044</v>
      </c>
      <c r="CF618" s="118">
        <f>INDEX('Gross Gen Plant'!$E$7:$AD$91,MATCH($C618,'Gross Gen Plant'!$D$7:$D$91,0),MATCH(Calculation!$G618,'Gross Gen Plant'!$E$5:$AD$5,0))</f>
        <v>52167</v>
      </c>
      <c r="CG618" s="118">
        <f t="shared" si="1720"/>
        <v>593420</v>
      </c>
      <c r="CH618" s="118"/>
      <c r="CI618" s="121">
        <v>2004</v>
      </c>
      <c r="CJ618" s="118"/>
      <c r="CK618" s="118"/>
      <c r="CL618" s="118"/>
      <c r="CM618" s="183"/>
      <c r="CN618" s="118">
        <f t="shared" si="1786"/>
        <v>46253</v>
      </c>
      <c r="CO618" s="118">
        <f t="shared" si="1787"/>
        <v>111.4833163425531</v>
      </c>
      <c r="CP618" s="186">
        <v>0.967741935483871</v>
      </c>
      <c r="CQ618" s="118">
        <f>+CQ612*CP618+CO613*CP617+CO614*CP616+CO615*CP615+CO616*CP614+CO617*CP613+CO618</f>
        <v>3188.5855619364879</v>
      </c>
      <c r="CR618" s="119">
        <f t="shared" si="1788"/>
        <v>2.9720284737232986E-2</v>
      </c>
      <c r="CS618" s="119"/>
      <c r="CT618" s="177">
        <f t="shared" si="1789"/>
        <v>5.851623609180007E-3</v>
      </c>
      <c r="CU618" s="177">
        <f t="shared" si="1797"/>
        <v>5.7447589220724349E-3</v>
      </c>
      <c r="CV618" s="119">
        <f>VLOOKUP($H618,RoR!$E:$F,2,FALSE)</f>
        <v>5.6283333333333331E-2</v>
      </c>
      <c r="CW618" s="177">
        <v>2.6778252812867276E-2</v>
      </c>
      <c r="CX618" s="177">
        <f t="shared" si="1795"/>
        <v>2.9505080520466055E-2</v>
      </c>
      <c r="CY618" s="177">
        <f t="shared" si="1798"/>
        <v>2.515718268646119E-2</v>
      </c>
      <c r="CZ618" s="177">
        <f t="shared" si="1799"/>
        <v>5.5940039414565046E-2</v>
      </c>
      <c r="DA618" s="187">
        <f t="shared" si="1790"/>
        <v>0.84681249999999997</v>
      </c>
      <c r="DB618" s="188">
        <f t="shared" si="1791"/>
        <v>0.91114097628755619</v>
      </c>
      <c r="DC618" s="188">
        <f t="shared" si="1792"/>
        <v>0.53081877405981637</v>
      </c>
      <c r="DD618" s="188">
        <f t="shared" si="1793"/>
        <v>0.88811215519385678</v>
      </c>
      <c r="DE618" s="188">
        <f t="shared" si="1794"/>
        <v>0.42953609753547711</v>
      </c>
      <c r="DF618" s="189">
        <f>INDEX('State Tax Lookup'!$D$7:$Z$91,MATCH(Calculation!$C618,'State Tax Lookup'!$B$7:$B$91,0),MATCH($H618,'State Tax Lookup'!$D$6:$Z$6,0))</f>
        <v>0.40849999999999997</v>
      </c>
      <c r="DG618" s="189">
        <v>0.375</v>
      </c>
      <c r="DH618" s="190">
        <f t="shared" si="1796"/>
        <v>14.862458195542102</v>
      </c>
      <c r="DI618" s="190"/>
      <c r="DJ618" s="177"/>
      <c r="DK618" s="189">
        <f>VLOOKUP($H618,RoR!$E:$F,2,FALSE)</f>
        <v>5.6283333333333331E-2</v>
      </c>
      <c r="DL618" s="191">
        <f>HLOOKUP($H618,'GDP-PI'!$D$8:$CQ$11,3,FALSE)</f>
        <v>2.6778252812867276E-2</v>
      </c>
      <c r="DM618" s="189">
        <f>VLOOKUP(H618,'HW Dx Data'!$E:$F,2,FALSE)</f>
        <v>414.88719135228365</v>
      </c>
      <c r="DN618" s="183">
        <f>VLOOKUP(H618,'ECI - Input Price'!$G$17:$H$37,2,FALSE)</f>
        <v>96.174999999999997</v>
      </c>
      <c r="DO618" s="177">
        <f t="shared" ref="DO618" si="1807">LN(DN618/DN617)</f>
        <v>3.7610365022107912E-2</v>
      </c>
      <c r="DP618" s="183">
        <f>HLOOKUP(H618,'GDP-PI'!$8:$9,2,FALSE)</f>
        <v>84.778000000000006</v>
      </c>
      <c r="DQ618" s="177">
        <f t="shared" ref="DQ618" si="1808">LN(DP618/DP617)</f>
        <v>2.6425990216022755E-2</v>
      </c>
    </row>
    <row r="619" spans="1:121" s="167" customFormat="1" ht="21" x14ac:dyDescent="0.35">
      <c r="A619" s="167" t="s">
        <v>71</v>
      </c>
      <c r="B619" s="168" t="s">
        <v>71</v>
      </c>
      <c r="C619" s="168">
        <v>4061755</v>
      </c>
      <c r="D619" s="168" t="s">
        <v>145</v>
      </c>
      <c r="E619" s="168" t="s">
        <v>126</v>
      </c>
      <c r="F619" s="168"/>
      <c r="G619" s="168" t="s">
        <v>11</v>
      </c>
      <c r="H619" s="169">
        <v>2005</v>
      </c>
      <c r="I619" s="170"/>
      <c r="J619" s="166">
        <f>IFERROR(INDEX('Labor Expenditures'!$F$7:$X$91,MATCH($C619,'Labor Expenditures'!$D$7:$D$91,0),MATCH($G619,'Labor Expenditures'!$F$5:$X$5,0)),"NA")</f>
        <v>30125.502698628941</v>
      </c>
      <c r="K619" s="166">
        <f t="shared" si="1802"/>
        <v>303.83764698566756</v>
      </c>
      <c r="L619" s="172">
        <f t="shared" ref="L619:L635" si="1809">LN(K619/K618)</f>
        <v>-2.4943021352306059E-2</v>
      </c>
      <c r="M619" s="172"/>
      <c r="N619" s="196"/>
      <c r="O619" s="172"/>
      <c r="P619" s="166">
        <f>IFERROR(INDEX('Non-Labor Expenditures'!$F$7:$AB$91,MATCH($C619,'Non-Labor Expenditures'!$D$7:$D$91,0),MATCH($G619,'Non-Labor Expenditures'!$F$5:$AB$5,0)),"NA")</f>
        <v>43627.354575379097</v>
      </c>
      <c r="Q619" s="166">
        <f t="shared" si="1803"/>
        <v>499.12884065783174</v>
      </c>
      <c r="R619" s="172">
        <f>LN(Q619/Q618)</f>
        <v>-2.501791083559347E-2</v>
      </c>
      <c r="S619" s="172"/>
      <c r="T619" s="172"/>
      <c r="U619" s="172"/>
      <c r="V619" s="166">
        <f t="shared" si="1784"/>
        <v>53232.700334253714</v>
      </c>
      <c r="W619" s="170"/>
      <c r="X619" s="174">
        <v>3261.4490667072032</v>
      </c>
      <c r="Y619" s="175">
        <v>2.2594174653208305E-2</v>
      </c>
      <c r="Z619" s="175"/>
      <c r="AA619" s="175"/>
      <c r="AB619" s="175"/>
      <c r="AC619" s="170">
        <f t="shared" si="1677"/>
        <v>126985.55760826176</v>
      </c>
      <c r="AD619" s="175">
        <f>LN(AC619/AC618)</f>
        <v>6.2019255998008484E-2</v>
      </c>
      <c r="AE619" s="170"/>
      <c r="AF619" s="170"/>
      <c r="AG619" s="121"/>
      <c r="AH619" s="119"/>
      <c r="AI619" s="119"/>
      <c r="AJ619" s="121"/>
      <c r="AK619" s="121"/>
      <c r="AL619" s="120">
        <f t="shared" si="1804"/>
        <v>0.23723566101558746</v>
      </c>
      <c r="AM619" s="120">
        <f t="shared" si="1805"/>
        <v>0.34356154666001698</v>
      </c>
      <c r="AN619" s="120">
        <f t="shared" si="1806"/>
        <v>0.4192027923243955</v>
      </c>
      <c r="AO619" s="120">
        <f t="shared" ref="AO619:AO635" si="1810">+(((AL619+AL618)/2)*L619+((AM618+AM619)/2)*R619+((AN618+AN619)/2)*Y619)</f>
        <v>-5.8441643752064221E-3</v>
      </c>
      <c r="AP619" s="173">
        <v>100</v>
      </c>
      <c r="AQ619" s="175"/>
      <c r="AR619" s="120"/>
      <c r="AS619" s="120"/>
      <c r="AT619" s="120"/>
      <c r="AU619" s="120"/>
      <c r="AV619" s="120"/>
      <c r="AW619" s="120"/>
      <c r="AX619" s="120"/>
      <c r="AY619" s="120"/>
      <c r="AZ619" s="118">
        <f>IFERROR(INDEX('Total Customers'!$F$7:$AB$91,MATCH($C619,'Total Customers'!$D$7:$D$91,0),MATCH($G619,'Total Customers'!$F$5:$AB$5,0)),"NA")</f>
        <v>465738</v>
      </c>
      <c r="BA619" s="119">
        <f t="shared" si="1785"/>
        <v>2.5563491848098831E-2</v>
      </c>
      <c r="BB619" s="119"/>
      <c r="BC619" s="121"/>
      <c r="BD619" s="119"/>
      <c r="BE619" s="119"/>
      <c r="BF619" s="119"/>
      <c r="BG619" s="173"/>
      <c r="BH619" s="173"/>
      <c r="BI619" s="173"/>
      <c r="BJ619" s="173"/>
      <c r="BK619" s="173"/>
      <c r="BL619" s="173"/>
      <c r="BM619" s="173"/>
      <c r="BN619" s="173"/>
      <c r="BO619" s="173"/>
      <c r="BP619" s="173"/>
      <c r="BQ619" s="118"/>
      <c r="BR619" s="118"/>
      <c r="BS619" s="118">
        <f>INDEX('Dist. Plant Gas Additions'!$F$7:$AE$91,MATCH($C619,'Dist. Plant Gas Additions'!$D$7:$D$91,0),MATCH(Calculation!$G619,'Dist. Plant Gas Additions'!$F$5:$AE$5,0))</f>
        <v>42588</v>
      </c>
      <c r="BT619" s="118">
        <f>INDEX('Gen. Plant Additions'!$F$7:$AE$91,MATCH($C619,'Gen. Plant Additions'!$D$7:$D$91,0),MATCH(Calculation!$G619,'Gen. Plant Additions'!$F$5:$AE$5,0))</f>
        <v>635</v>
      </c>
      <c r="BU619" s="118"/>
      <c r="BV619" s="118"/>
      <c r="BW619" s="118">
        <f>INDEX('Dist Plant Depreciation'!$E$7:$AD$94,MATCH($C619,'Dist Plant Depreciation'!$D$7:$D$94,0),MATCH(Calculation!$G619,'Dist Plant Depreciation'!$E$5:$AD$5,0))</f>
        <v>294231</v>
      </c>
      <c r="BX619" s="118">
        <f>INDEX('Gen. Plant Depreciation'!$E$7:$AD$94,MATCH($C619,'Gen. Plant Depreciation'!$D$7:$D$94,0),MATCH(Calculation!$G619,'Gen. Plant Depreciation'!$E$5:$AD$5,0))</f>
        <v>43574</v>
      </c>
      <c r="BY619" s="118"/>
      <c r="BZ619" s="118"/>
      <c r="CA619" s="118"/>
      <c r="CB619" s="118"/>
      <c r="CC619" s="118"/>
      <c r="CD619" s="118"/>
      <c r="CE619" s="118">
        <f>INDEX('Gross Dx Plant'!$E$7:$AD$91,MATCH($C619,'Gross Dx Plant'!$D$7:$D$91,0),MATCH(Calculation!$G619,'Gross Dx Plant'!$E$5:$AD$5,0))</f>
        <v>896398</v>
      </c>
      <c r="CF619" s="118">
        <f>INDEX('Gross Gen Plant'!$E$7:$AD$91,MATCH($C619,'Gross Gen Plant'!$D$7:$D$91,0),MATCH(Calculation!$G619,'Gross Gen Plant'!$E$5:$AD$5,0))</f>
        <v>49644</v>
      </c>
      <c r="CG619" s="118">
        <f t="shared" si="1720"/>
        <v>608237</v>
      </c>
      <c r="CH619" s="118"/>
      <c r="CI619" s="121">
        <v>2005</v>
      </c>
      <c r="CJ619" s="118"/>
      <c r="CK619" s="118"/>
      <c r="CL619" s="118"/>
      <c r="CM619" s="183"/>
      <c r="CN619" s="118">
        <f t="shared" si="1786"/>
        <v>43223</v>
      </c>
      <c r="CO619" s="118">
        <f t="shared" si="1787"/>
        <v>92.119621638878144</v>
      </c>
      <c r="CP619" s="186">
        <v>0.96174863387978138</v>
      </c>
      <c r="CQ619" s="118">
        <f>+CQ612*CP619+CO613*CP618+CO614*CP617+CO615*CP616+CO616*CP615+CO617*CP614+CO618*CP613+CO619</f>
        <v>3261.4490667072032</v>
      </c>
      <c r="CR619" s="119">
        <f t="shared" si="1788"/>
        <v>2.2594174653208305E-2</v>
      </c>
      <c r="CS619" s="119"/>
      <c r="CT619" s="177">
        <f t="shared" si="1789"/>
        <v>6.039077984304822E-3</v>
      </c>
      <c r="CU619" s="177">
        <f t="shared" si="1797"/>
        <v>5.852226870331329E-3</v>
      </c>
      <c r="CV619" s="119">
        <f>VLOOKUP($H619,RoR!$E:$F,2,FALSE)</f>
        <v>5.2350000000000001E-2</v>
      </c>
      <c r="CW619" s="177">
        <v>3.1010403642454332E-2</v>
      </c>
      <c r="CX619" s="177">
        <f t="shared" si="1795"/>
        <v>2.1339596357545669E-2</v>
      </c>
      <c r="CY619" s="177">
        <f t="shared" si="1798"/>
        <v>2.5049714738202295E-2</v>
      </c>
      <c r="CZ619" s="177">
        <f t="shared" si="1799"/>
        <v>9.2129610649277341E-2</v>
      </c>
      <c r="DA619" s="187">
        <f t="shared" si="1790"/>
        <v>0.84681249999999997</v>
      </c>
      <c r="DB619" s="188">
        <f t="shared" si="1791"/>
        <v>0.97959983346802826</v>
      </c>
      <c r="DC619" s="188">
        <f t="shared" si="1792"/>
        <v>0.49744508118433622</v>
      </c>
      <c r="DD619" s="188">
        <f t="shared" si="1793"/>
        <v>0.87010519444335932</v>
      </c>
      <c r="DE619" s="188">
        <f t="shared" si="1794"/>
        <v>0.42399975420741998</v>
      </c>
      <c r="DF619" s="189">
        <f>INDEX('State Tax Lookup'!$D$7:$Z$91,MATCH(Calculation!$C619,'State Tax Lookup'!$B$7:$B$91,0),MATCH($H619,'State Tax Lookup'!$D$6:$Z$6,0))</f>
        <v>0.40849999999999997</v>
      </c>
      <c r="DG619" s="189">
        <v>0.375</v>
      </c>
      <c r="DH619" s="190">
        <f t="shared" si="1796"/>
        <v>16.694769295111684</v>
      </c>
      <c r="DI619" s="190"/>
      <c r="DJ619" s="177"/>
      <c r="DK619" s="189">
        <f>VLOOKUP($H619,RoR!$E:$F,2,FALSE)</f>
        <v>5.2350000000000001E-2</v>
      </c>
      <c r="DL619" s="191">
        <f>HLOOKUP($H619,'GDP-PI'!$D$8:$CQ$11,3,FALSE)</f>
        <v>3.1010403642454332E-2</v>
      </c>
      <c r="DM619" s="189">
        <f>VLOOKUP(H619,'HW Dx Data'!$E:$F,2,FALSE)</f>
        <v>469.20514034936258</v>
      </c>
      <c r="DN619" s="183">
        <f>VLOOKUP(H619,'ECI - Input Price'!$G$17:$H$37,2,FALSE)</f>
        <v>99.15</v>
      </c>
      <c r="DO619" s="177">
        <f t="shared" ref="DO619" si="1811">LN(DN619/DN618)</f>
        <v>3.046440632744625E-2</v>
      </c>
      <c r="DP619" s="183">
        <f>HLOOKUP(H619,'GDP-PI'!$8:$9,2,FALSE)</f>
        <v>87.406999999999996</v>
      </c>
      <c r="DQ619" s="177">
        <f t="shared" ref="DQ619" si="1812">LN(DP619/DP618)</f>
        <v>3.0539295810733648E-2</v>
      </c>
    </row>
    <row r="620" spans="1:121" s="167" customFormat="1" ht="21" x14ac:dyDescent="0.35">
      <c r="A620" s="167" t="s">
        <v>71</v>
      </c>
      <c r="B620" s="168" t="s">
        <v>71</v>
      </c>
      <c r="C620" s="168">
        <v>4061755</v>
      </c>
      <c r="D620" s="168" t="s">
        <v>145</v>
      </c>
      <c r="E620" s="168" t="s">
        <v>126</v>
      </c>
      <c r="F620" s="168"/>
      <c r="G620" s="168" t="s">
        <v>12</v>
      </c>
      <c r="H620" s="169">
        <v>2006</v>
      </c>
      <c r="I620" s="170"/>
      <c r="J620" s="166">
        <f>IFERROR(INDEX('Labor Expenditures'!$F$7:$X$91,MATCH($C620,'Labor Expenditures'!$D$7:$D$91,0),MATCH($G620,'Labor Expenditures'!$F$5:$X$5,0)),"NA")</f>
        <v>33465.531109782722</v>
      </c>
      <c r="K620" s="166">
        <f t="shared" si="1802"/>
        <v>327.93269093368667</v>
      </c>
      <c r="L620" s="172">
        <f t="shared" si="1809"/>
        <v>7.6314873978205341E-2</v>
      </c>
      <c r="M620" s="172">
        <f t="shared" ref="M620:M635" si="1813">+L620*AR620</f>
        <v>1.2959279352760045E-3</v>
      </c>
      <c r="N620" s="196"/>
      <c r="O620" s="172"/>
      <c r="P620" s="166">
        <f>IFERROR(INDEX('Non-Labor Expenditures'!$F$7:$AB$91,MATCH($C620,'Non-Labor Expenditures'!$D$7:$D$91,0),MATCH($G620,'Non-Labor Expenditures'!$F$5:$AB$5,0)),"NA")</f>
        <v>48464.339545986004</v>
      </c>
      <c r="Q620" s="166">
        <f t="shared" si="1803"/>
        <v>538.05026473772682</v>
      </c>
      <c r="R620" s="172">
        <f t="shared" ref="R620:R635" si="1814">LN(Q620/Q619)</f>
        <v>7.5087724542799578E-2</v>
      </c>
      <c r="S620" s="172">
        <f>+R620*AR620</f>
        <v>1.2750893077424694E-3</v>
      </c>
      <c r="T620" s="172"/>
      <c r="U620" s="172"/>
      <c r="V620" s="166">
        <f t="shared" si="1784"/>
        <v>53148.756815045257</v>
      </c>
      <c r="W620" s="170"/>
      <c r="X620" s="174">
        <v>3323.2075153664919</v>
      </c>
      <c r="Y620" s="175">
        <v>1.875884001387049E-2</v>
      </c>
      <c r="Z620" s="175">
        <f>+Y620*AR620</f>
        <v>3.1855002229697413E-4</v>
      </c>
      <c r="AA620" s="175"/>
      <c r="AB620" s="175"/>
      <c r="AC620" s="170">
        <f t="shared" si="1677"/>
        <v>135078.62747081398</v>
      </c>
      <c r="AD620" s="175">
        <f t="shared" ref="AD620:AD635" si="1815">LN(AC620/AC619)</f>
        <v>6.178367423209806E-2</v>
      </c>
      <c r="AE620" s="170"/>
      <c r="AF620" s="170"/>
      <c r="AG620" s="121">
        <f t="shared" ref="AG620:AG635" si="1816">+(AC620*1000)/AZ620</f>
        <v>284.74052570619654</v>
      </c>
      <c r="AH620" s="119">
        <f>+AZ620/$BB$44</f>
        <v>1.3494522778379077E-2</v>
      </c>
      <c r="AI620" s="119">
        <f>+AZ620/$BC$44</f>
        <v>5.7520348590830758E-2</v>
      </c>
      <c r="AJ620" s="176">
        <f>+AH620*AG620</f>
        <v>3.8424375100699022</v>
      </c>
      <c r="AK620" s="176">
        <f>+AI620*AG620</f>
        <v>16.378374296556832</v>
      </c>
      <c r="AL620" s="120">
        <f t="shared" si="1804"/>
        <v>0.24774852792321653</v>
      </c>
      <c r="AM620" s="120">
        <f t="shared" si="1805"/>
        <v>0.35878614147495347</v>
      </c>
      <c r="AN620" s="120">
        <f t="shared" si="1806"/>
        <v>0.39346533060182998</v>
      </c>
      <c r="AO620" s="120">
        <f t="shared" si="1810"/>
        <v>5.249695415129161E-2</v>
      </c>
      <c r="AP620" s="173">
        <f>+AP619*EXP(AO620)</f>
        <v>105.38993520556686</v>
      </c>
      <c r="AQ620" s="175">
        <f>LN(AP620/AP619)</f>
        <v>5.2496954151291665E-2</v>
      </c>
      <c r="AR620" s="177">
        <f>+AC620/$AE$44</f>
        <v>1.6981328379656459E-2</v>
      </c>
      <c r="AS620" s="177">
        <f>+AR620*AQ620</f>
        <v>8.9146801737485315E-4</v>
      </c>
      <c r="AT620" s="177"/>
      <c r="AU620" s="177"/>
      <c r="AV620" s="177"/>
      <c r="AW620" s="190"/>
      <c r="AX620" s="120"/>
      <c r="AY620" s="120"/>
      <c r="AZ620" s="118">
        <f>IFERROR(INDEX('Total Customers'!$F$7:$AB$91,MATCH($C620,'Total Customers'!$D$7:$D$91,0),MATCH($G620,'Total Customers'!$F$5:$AB$5,0)),"NA")</f>
        <v>474392</v>
      </c>
      <c r="BA620" s="119">
        <f t="shared" si="1785"/>
        <v>1.8410739880471656E-2</v>
      </c>
      <c r="BB620" s="119"/>
      <c r="BC620" s="121">
        <v>8247377</v>
      </c>
      <c r="BD620" s="119"/>
      <c r="BE620" s="119"/>
      <c r="BF620" s="119"/>
      <c r="BG620" s="173"/>
      <c r="BH620" s="173"/>
      <c r="BI620" s="173"/>
      <c r="BJ620" s="173"/>
      <c r="BK620" s="173"/>
      <c r="BL620" s="173"/>
      <c r="BM620" s="173"/>
      <c r="BN620" s="173"/>
      <c r="BO620" s="173"/>
      <c r="BP620" s="173"/>
      <c r="BQ620" s="118"/>
      <c r="BR620" s="118"/>
      <c r="BS620" s="118">
        <f>INDEX('Dist. Plant Gas Additions'!$F$7:$AE$91,MATCH($C620,'Dist. Plant Gas Additions'!$D$7:$D$91,0),MATCH(Calculation!$G620,'Dist. Plant Gas Additions'!$F$5:$AE$5,0))</f>
        <v>36902</v>
      </c>
      <c r="BT620" s="118">
        <f>INDEX('Gen. Plant Additions'!$F$7:$AE$91,MATCH($C620,'Gen. Plant Additions'!$D$7:$D$91,0),MATCH(Calculation!$G620,'Gen. Plant Additions'!$F$5:$AE$5,0))</f>
        <v>957</v>
      </c>
      <c r="BU620" s="118"/>
      <c r="BV620" s="118"/>
      <c r="BW620" s="118">
        <f>INDEX('Dist Plant Depreciation'!$E$7:$AD$94,MATCH($C620,'Dist Plant Depreciation'!$D$7:$D$94,0),MATCH(Calculation!$G620,'Dist Plant Depreciation'!$E$5:$AD$5,0))</f>
        <v>298826</v>
      </c>
      <c r="BX620" s="118">
        <f>INDEX('Gen. Plant Depreciation'!$E$7:$AD$94,MATCH($C620,'Gen. Plant Depreciation'!$D$7:$D$94,0),MATCH(Calculation!$G620,'Gen. Plant Depreciation'!$E$5:$AD$5,0))</f>
        <v>40666</v>
      </c>
      <c r="BY620" s="118"/>
      <c r="BZ620" s="118"/>
      <c r="CA620" s="118"/>
      <c r="CB620" s="118"/>
      <c r="CC620" s="118"/>
      <c r="CD620" s="118"/>
      <c r="CE620" s="118">
        <f>INDEX('Gross Dx Plant'!$E$7:$AD$91,MATCH($C620,'Gross Dx Plant'!$D$7:$D$91,0),MATCH(Calculation!$G620,'Gross Dx Plant'!$E$5:$AD$5,0))</f>
        <v>924650</v>
      </c>
      <c r="CF620" s="118">
        <f>INDEX('Gross Gen Plant'!$E$7:$AD$91,MATCH($C620,'Gross Gen Plant'!$D$7:$D$91,0),MATCH(Calculation!$G620,'Gross Gen Plant'!$E$5:$AD$5,0))</f>
        <v>50098</v>
      </c>
      <c r="CG620" s="118">
        <f t="shared" si="1720"/>
        <v>635256</v>
      </c>
      <c r="CH620" s="119" t="e">
        <f>SUM(#REF!)/15</f>
        <v>#REF!</v>
      </c>
      <c r="CI620" s="121">
        <v>2006</v>
      </c>
      <c r="CJ620" s="118"/>
      <c r="CK620" s="118"/>
      <c r="CL620" s="118"/>
      <c r="CM620" s="183"/>
      <c r="CN620" s="118">
        <f t="shared" si="1786"/>
        <v>37859</v>
      </c>
      <c r="CO620" s="118">
        <f t="shared" si="1787"/>
        <v>82.108385142108716</v>
      </c>
      <c r="CP620" s="186">
        <v>0.9555555555555556</v>
      </c>
      <c r="CQ620" s="118">
        <f>+CQ612*CP620+CO613*CP619+CO614*CP618+CO615*CP617+CO616*CP616+CO617*CP615+CO618*CP614+CO619*CP613+CO620</f>
        <v>3323.2075153664919</v>
      </c>
      <c r="CR620" s="119">
        <f t="shared" si="1788"/>
        <v>1.875884001387049E-2</v>
      </c>
      <c r="CS620" s="119"/>
      <c r="CT620" s="177">
        <f t="shared" si="1789"/>
        <v>6.239538336057962E-3</v>
      </c>
      <c r="CU620" s="177">
        <f t="shared" si="1797"/>
        <v>6.0434133098475964E-3</v>
      </c>
      <c r="CV620" s="119">
        <f>VLOOKUP($H620,RoR!$E:$F,2,FALSE)</f>
        <v>5.5874999999999994E-2</v>
      </c>
      <c r="CW620" s="177">
        <v>3.0512430354548314E-2</v>
      </c>
      <c r="CX620" s="177">
        <f t="shared" si="1795"/>
        <v>2.536256964545168E-2</v>
      </c>
      <c r="CY620" s="177">
        <f t="shared" si="1798"/>
        <v>2.4858528298686029E-2</v>
      </c>
      <c r="CZ620" s="177">
        <f t="shared" si="1799"/>
        <v>7.9087823893859641E-2</v>
      </c>
      <c r="DA620" s="187">
        <f t="shared" si="1790"/>
        <v>0.84681249999999997</v>
      </c>
      <c r="DB620" s="188">
        <f t="shared" si="1791"/>
        <v>0.91779957551769631</v>
      </c>
      <c r="DC620" s="188">
        <f t="shared" si="1792"/>
        <v>0.52757270693512304</v>
      </c>
      <c r="DD620" s="188">
        <f t="shared" si="1793"/>
        <v>0.88636824549024895</v>
      </c>
      <c r="DE620" s="188">
        <f t="shared" si="1794"/>
        <v>0.42918482841932087</v>
      </c>
      <c r="DF620" s="189">
        <f>INDEX('State Tax Lookup'!$D$7:$Z$91,MATCH(Calculation!$C620,'State Tax Lookup'!$B$7:$B$91,0),MATCH($H620,'State Tax Lookup'!$D$6:$Z$6,0))</f>
        <v>0.40849999999999997</v>
      </c>
      <c r="DG620" s="189">
        <v>0.375</v>
      </c>
      <c r="DH620" s="190">
        <f t="shared" si="1796"/>
        <v>16.296056056060031</v>
      </c>
      <c r="DI620" s="190">
        <v>15.821092461819237</v>
      </c>
      <c r="DJ620" s="177"/>
      <c r="DK620" s="189">
        <f>VLOOKUP($H620,RoR!$E:$F,2,FALSE)</f>
        <v>5.5874999999999994E-2</v>
      </c>
      <c r="DL620" s="191">
        <f>HLOOKUP($H620,'GDP-PI'!$D$8:$CQ$11,3,FALSE)</f>
        <v>3.0512430354548314E-2</v>
      </c>
      <c r="DM620" s="189">
        <f>VLOOKUP(H620,'HW Dx Data'!$E:$F,2,FALSE)</f>
        <v>461.08567272971823</v>
      </c>
      <c r="DN620" s="183">
        <f>VLOOKUP(H620,'ECI - Input Price'!$G$17:$H$37,2,FALSE)</f>
        <v>102.05</v>
      </c>
      <c r="DO620" s="177">
        <f t="shared" ref="DO620" si="1817">LN(DN620/DN619)</f>
        <v>2.8829034290048662E-2</v>
      </c>
      <c r="DP620" s="183">
        <f>HLOOKUP(H620,'GDP-PI'!$8:$9,2,FALSE)</f>
        <v>90.073999999999998</v>
      </c>
      <c r="DQ620" s="177">
        <f t="shared" ref="DQ620" si="1818">LN(DP620/DP619)</f>
        <v>3.005618372545445E-2</v>
      </c>
    </row>
    <row r="621" spans="1:121" s="167" customFormat="1" ht="21" x14ac:dyDescent="0.35">
      <c r="A621" s="167" t="s">
        <v>71</v>
      </c>
      <c r="B621" s="168" t="s">
        <v>71</v>
      </c>
      <c r="C621" s="168">
        <v>4061755</v>
      </c>
      <c r="D621" s="168" t="s">
        <v>145</v>
      </c>
      <c r="E621" s="168" t="s">
        <v>126</v>
      </c>
      <c r="F621" s="168"/>
      <c r="G621" s="168" t="s">
        <v>13</v>
      </c>
      <c r="H621" s="169">
        <v>2007</v>
      </c>
      <c r="I621" s="170"/>
      <c r="J621" s="166">
        <f>IFERROR(INDEX('Labor Expenditures'!$F$7:$X$91,MATCH($C621,'Labor Expenditures'!$D$7:$D$91,0),MATCH($G621,'Labor Expenditures'!$F$5:$X$5,0)),"NA")</f>
        <v>40731.88348343064</v>
      </c>
      <c r="K621" s="166">
        <f t="shared" si="1802"/>
        <v>387.09321438280483</v>
      </c>
      <c r="L621" s="172">
        <f t="shared" si="1809"/>
        <v>0.16585715130740614</v>
      </c>
      <c r="M621" s="172">
        <f t="shared" si="1813"/>
        <v>3.1157698505873553E-3</v>
      </c>
      <c r="N621" s="196"/>
      <c r="O621" s="172"/>
      <c r="P621" s="166">
        <f>IFERROR(INDEX('Non-Labor Expenditures'!$F$7:$AB$91,MATCH($C621,'Non-Labor Expenditures'!$D$7:$D$91,0),MATCH($G621,'Non-Labor Expenditures'!$F$5:$AB$5,0)),"NA")</f>
        <v>58987.374950444595</v>
      </c>
      <c r="Q621" s="166">
        <f t="shared" si="1803"/>
        <v>637.71513925106046</v>
      </c>
      <c r="R621" s="172">
        <f t="shared" si="1814"/>
        <v>0.16993970875814882</v>
      </c>
      <c r="S621" s="172">
        <f t="shared" ref="S621:S635" si="1819">+R621*AR621</f>
        <v>3.1924642187110336E-3</v>
      </c>
      <c r="T621" s="172"/>
      <c r="U621" s="172"/>
      <c r="V621" s="166">
        <f t="shared" si="1784"/>
        <v>58118.80249769002</v>
      </c>
      <c r="W621" s="170"/>
      <c r="X621" s="174">
        <v>3392.4764582112443</v>
      </c>
      <c r="Y621" s="175">
        <v>2.0629737717859954E-2</v>
      </c>
      <c r="Z621" s="175">
        <f t="shared" ref="Z621:Z635" si="1820">+Y621*AR621</f>
        <v>3.8754744248379361E-4</v>
      </c>
      <c r="AA621" s="175"/>
      <c r="AB621" s="175"/>
      <c r="AC621" s="170">
        <f t="shared" si="1677"/>
        <v>157838.06093156524</v>
      </c>
      <c r="AD621" s="175">
        <f t="shared" si="1815"/>
        <v>0.15571254200919896</v>
      </c>
      <c r="AE621" s="170"/>
      <c r="AF621" s="170"/>
      <c r="AG621" s="121">
        <f t="shared" si="1816"/>
        <v>330.33921912149538</v>
      </c>
      <c r="AH621" s="119">
        <f>+AZ621/$BB$45</f>
        <v>1.3489729999692567E-2</v>
      </c>
      <c r="AI621" s="119">
        <f>+AZ621/$BC$45</f>
        <v>5.8356152973274608E-2</v>
      </c>
      <c r="AJ621" s="176">
        <f t="shared" ref="AJ621:AJ635" si="1821">+AH621*AG621</f>
        <v>4.4561868742582531</v>
      </c>
      <c r="AK621" s="176">
        <f t="shared" ref="AK621:AK635" si="1822">+AI621*AG621</f>
        <v>19.277326004126063</v>
      </c>
      <c r="AL621" s="120">
        <f t="shared" si="1804"/>
        <v>0.2580612258097304</v>
      </c>
      <c r="AM621" s="120">
        <f t="shared" si="1805"/>
        <v>0.37372085416089906</v>
      </c>
      <c r="AN621" s="120">
        <f t="shared" si="1806"/>
        <v>0.36821792002937065</v>
      </c>
      <c r="AO621" s="120">
        <f t="shared" si="1810"/>
        <v>0.11204375802195961</v>
      </c>
      <c r="AP621" s="173">
        <f>+AP620*EXP(AO621)</f>
        <v>117.88515621836956</v>
      </c>
      <c r="AQ621" s="175">
        <f>LN(AP621/AP620)</f>
        <v>0.11204375802195965</v>
      </c>
      <c r="AR621" s="177">
        <f>+AC621/$AE$45</f>
        <v>1.8785863775101656E-2</v>
      </c>
      <c r="AS621" s="177">
        <f t="shared" ref="AS621:AS635" si="1823">+AR621*AQ621</f>
        <v>2.1048387750509873E-3</v>
      </c>
      <c r="AT621" s="177"/>
      <c r="AU621" s="177"/>
      <c r="AV621" s="177"/>
      <c r="AW621" s="190"/>
      <c r="AX621" s="120"/>
      <c r="AY621" s="120"/>
      <c r="AZ621" s="118">
        <f>IFERROR(INDEX('Total Customers'!$F$7:$AB$91,MATCH($C621,'Total Customers'!$D$7:$D$91,0),MATCH($G621,'Total Customers'!$F$5:$AB$5,0)),"NA")</f>
        <v>477806</v>
      </c>
      <c r="BA621" s="119">
        <f t="shared" si="1785"/>
        <v>7.1708082334074842E-3</v>
      </c>
      <c r="BB621" s="119"/>
      <c r="BC621" s="121">
        <v>8187757</v>
      </c>
      <c r="BD621" s="119"/>
      <c r="BE621" s="119"/>
      <c r="BF621" s="119"/>
      <c r="BG621" s="173"/>
      <c r="BH621" s="173"/>
      <c r="BI621" s="173"/>
      <c r="BJ621" s="173"/>
      <c r="BK621" s="173"/>
      <c r="BL621" s="173"/>
      <c r="BM621" s="173"/>
      <c r="BN621" s="173"/>
      <c r="BO621" s="173"/>
      <c r="BP621" s="173"/>
      <c r="BQ621" s="118"/>
      <c r="BR621" s="118"/>
      <c r="BS621" s="118">
        <f>INDEX('Dist. Plant Gas Additions'!$F$7:$AE$91,MATCH($C621,'Dist. Plant Gas Additions'!$D$7:$D$91,0),MATCH(Calculation!$G621,'Dist. Plant Gas Additions'!$F$5:$AE$5,0))</f>
        <v>41352</v>
      </c>
      <c r="BT621" s="118">
        <f>INDEX('Gen. Plant Additions'!$F$7:$AE$91,MATCH($C621,'Gen. Plant Additions'!$D$7:$D$91,0),MATCH(Calculation!$G621,'Gen. Plant Additions'!$F$5:$AE$5,0))</f>
        <v>3823</v>
      </c>
      <c r="BU621" s="118"/>
      <c r="BV621" s="118"/>
      <c r="BW621" s="118">
        <f>INDEX('Dist Plant Depreciation'!$E$7:$AD$94,MATCH($C621,'Dist Plant Depreciation'!$D$7:$D$94,0),MATCH(Calculation!$G621,'Dist Plant Depreciation'!$E$5:$AD$5,0))</f>
        <v>317443</v>
      </c>
      <c r="BX621" s="118">
        <f>INDEX('Gen. Plant Depreciation'!$E$7:$AD$94,MATCH($C621,'Gen. Plant Depreciation'!$D$7:$D$94,0),MATCH(Calculation!$G621,'Gen. Plant Depreciation'!$E$5:$AD$5,0))</f>
        <v>43212</v>
      </c>
      <c r="BY621" s="118"/>
      <c r="BZ621" s="118"/>
      <c r="CA621" s="118"/>
      <c r="CB621" s="118"/>
      <c r="CC621" s="118"/>
      <c r="CD621" s="118"/>
      <c r="CE621" s="118">
        <f>INDEX('Gross Dx Plant'!$E$7:$AD$91,MATCH($C621,'Gross Dx Plant'!$D$7:$D$91,0),MATCH(Calculation!$G621,'Gross Dx Plant'!$E$5:$AD$5,0))</f>
        <v>954367</v>
      </c>
      <c r="CF621" s="118">
        <f>INDEX('Gross Gen Plant'!$E$7:$AD$91,MATCH($C621,'Gross Gen Plant'!$D$7:$D$91,0),MATCH(Calculation!$G621,'Gross Gen Plant'!$E$5:$AD$5,0))</f>
        <v>53470</v>
      </c>
      <c r="CG621" s="118">
        <f t="shared" si="1720"/>
        <v>647182</v>
      </c>
      <c r="CH621" s="118"/>
      <c r="CI621" s="121">
        <v>2007</v>
      </c>
      <c r="CJ621" s="118"/>
      <c r="CK621" s="118"/>
      <c r="CL621" s="118"/>
      <c r="CM621" s="183"/>
      <c r="CN621" s="118">
        <f t="shared" si="1786"/>
        <v>45175</v>
      </c>
      <c r="CO621" s="118">
        <f t="shared" si="1787"/>
        <v>90.708786727173035</v>
      </c>
      <c r="CP621" s="186">
        <v>0.94915254237288138</v>
      </c>
      <c r="CQ621" s="118">
        <f>+CQ612*CP621+CO613*CP620+CO614*CP619+CO615*CP618+CO616*CP617+CO617*CP616+CO618*CP615+CO619*CP614+CO620*CP613+CO621</f>
        <v>3392.4764582112443</v>
      </c>
      <c r="CR621" s="119">
        <f t="shared" si="1788"/>
        <v>2.0629737717859954E-2</v>
      </c>
      <c r="CS621" s="119"/>
      <c r="CT621" s="177">
        <f t="shared" si="1789"/>
        <v>6.4515513350529123E-3</v>
      </c>
      <c r="CU621" s="177">
        <f t="shared" si="1797"/>
        <v>6.2433892184718988E-3</v>
      </c>
      <c r="CV621" s="119">
        <f>VLOOKUP($H621,RoR!$E:$F,2,FALSE)</f>
        <v>5.5558333333333321E-2</v>
      </c>
      <c r="CW621" s="177">
        <v>2.691120634145272E-2</v>
      </c>
      <c r="CX621" s="177">
        <f t="shared" si="1795"/>
        <v>2.86471269918806E-2</v>
      </c>
      <c r="CY621" s="177">
        <f t="shared" si="1798"/>
        <v>2.4658552390061726E-2</v>
      </c>
      <c r="CZ621" s="177">
        <f t="shared" si="1799"/>
        <v>6.4575155250632399E-2</v>
      </c>
      <c r="DA621" s="187">
        <f t="shared" si="1790"/>
        <v>0.84681249999999997</v>
      </c>
      <c r="DB621" s="188">
        <f t="shared" si="1791"/>
        <v>0.92303077153834634</v>
      </c>
      <c r="DC621" s="188">
        <f t="shared" si="1792"/>
        <v>0.52502249887505614</v>
      </c>
      <c r="DD621" s="188">
        <f t="shared" si="1793"/>
        <v>0.88499666072084604</v>
      </c>
      <c r="DE621" s="188">
        <f t="shared" si="1794"/>
        <v>0.42887993290280618</v>
      </c>
      <c r="DF621" s="189">
        <f>INDEX('State Tax Lookup'!$D$7:$Z$91,MATCH(Calculation!$C621,'State Tax Lookup'!$B$7:$B$91,0),MATCH($H621,'State Tax Lookup'!$D$6:$Z$6,0))</f>
        <v>0.40849999999999997</v>
      </c>
      <c r="DG621" s="189">
        <v>0.375</v>
      </c>
      <c r="DH621" s="190">
        <f t="shared" si="1796"/>
        <v>17.488767171158894</v>
      </c>
      <c r="DI621" s="190">
        <v>17.228429677467542</v>
      </c>
      <c r="DJ621" s="177"/>
      <c r="DK621" s="189">
        <f>VLOOKUP($H621,RoR!$E:$F,2,FALSE)</f>
        <v>5.5558333333333321E-2</v>
      </c>
      <c r="DL621" s="191">
        <f>HLOOKUP($H621,'GDP-PI'!$D$8:$CQ$11,3,FALSE)</f>
        <v>2.691120634145272E-2</v>
      </c>
      <c r="DM621" s="189">
        <f>VLOOKUP(H621,'HW Dx Data'!$E:$F,2,FALSE)</f>
        <v>498.0223154772637</v>
      </c>
      <c r="DN621" s="183">
        <f>VLOOKUP(H621,'ECI - Input Price'!$G$17:$H$37,2,FALSE)</f>
        <v>105.22500000000001</v>
      </c>
      <c r="DO621" s="177">
        <f t="shared" ref="DO621" si="1824">LN(DN621/DN620)</f>
        <v>3.0638025400780679E-2</v>
      </c>
      <c r="DP621" s="183">
        <f>HLOOKUP(H621,'GDP-PI'!$8:$9,2,FALSE)</f>
        <v>92.498000000000005</v>
      </c>
      <c r="DQ621" s="177">
        <f t="shared" ref="DQ621" si="1825">LN(DP621/DP620)</f>
        <v>2.6555467950038037E-2</v>
      </c>
    </row>
    <row r="622" spans="1:121" s="167" customFormat="1" ht="21" x14ac:dyDescent="0.35">
      <c r="A622" s="167" t="s">
        <v>71</v>
      </c>
      <c r="B622" s="168" t="s">
        <v>71</v>
      </c>
      <c r="C622" s="168">
        <v>4061755</v>
      </c>
      <c r="D622" s="168" t="s">
        <v>145</v>
      </c>
      <c r="E622" s="168" t="s">
        <v>126</v>
      </c>
      <c r="F622" s="168"/>
      <c r="G622" s="168" t="s">
        <v>14</v>
      </c>
      <c r="H622" s="169">
        <v>2008</v>
      </c>
      <c r="I622" s="170"/>
      <c r="J622" s="166">
        <f>IFERROR(INDEX('Labor Expenditures'!$F$7:$X$91,MATCH($C622,'Labor Expenditures'!$D$7:$D$91,0),MATCH($G622,'Labor Expenditures'!$F$5:$X$5,0)),"NA")</f>
        <v>39111.738669383827</v>
      </c>
      <c r="K622" s="166">
        <f t="shared" si="1802"/>
        <v>361.39282669793329</v>
      </c>
      <c r="L622" s="172">
        <f t="shared" si="1809"/>
        <v>-6.8699998753690969E-2</v>
      </c>
      <c r="M622" s="172">
        <f t="shared" si="1813"/>
        <v>-1.2473894059758161E-3</v>
      </c>
      <c r="N622" s="196"/>
      <c r="O622" s="172"/>
      <c r="P622" s="166">
        <f>IFERROR(INDEX('Non-Labor Expenditures'!$F$7:$AB$91,MATCH($C622,'Non-Labor Expenditures'!$D$7:$D$91,0),MATCH($G622,'Non-Labor Expenditures'!$F$5:$AB$5,0)),"NA")</f>
        <v>56641.102658394222</v>
      </c>
      <c r="Q622" s="166">
        <f t="shared" si="1803"/>
        <v>600.87735146391231</v>
      </c>
      <c r="R622" s="172">
        <f t="shared" si="1814"/>
        <v>-5.950085383031322E-2</v>
      </c>
      <c r="S622" s="172">
        <f t="shared" si="1819"/>
        <v>-1.0803600591107827E-3</v>
      </c>
      <c r="T622" s="172"/>
      <c r="U622" s="172"/>
      <c r="V622" s="166">
        <f t="shared" si="1784"/>
        <v>67334.620145245586</v>
      </c>
      <c r="W622" s="170"/>
      <c r="X622" s="174">
        <v>3452.7634577437207</v>
      </c>
      <c r="Y622" s="175">
        <v>1.7614739316858263E-2</v>
      </c>
      <c r="Z622" s="175">
        <f t="shared" si="1820"/>
        <v>3.1983172651359318E-4</v>
      </c>
      <c r="AA622" s="175"/>
      <c r="AB622" s="175"/>
      <c r="AC622" s="170">
        <f t="shared" si="1677"/>
        <v>163087.46147302364</v>
      </c>
      <c r="AD622" s="175">
        <f t="shared" si="1815"/>
        <v>3.2717053743497745E-2</v>
      </c>
      <c r="AE622" s="170"/>
      <c r="AF622" s="170"/>
      <c r="AG622" s="121">
        <f t="shared" si="1816"/>
        <v>337.45887273247575</v>
      </c>
      <c r="AH622" s="119">
        <f>+AZ622/$BB$46</f>
        <v>1.357155396734234E-2</v>
      </c>
      <c r="AI622" s="119">
        <f>+AZ622/$BC$46</f>
        <v>5.8621388587023433E-2</v>
      </c>
      <c r="AJ622" s="176">
        <f t="shared" si="1821"/>
        <v>4.5798413030473055</v>
      </c>
      <c r="AK622" s="176">
        <f t="shared" si="1822"/>
        <v>19.782307710589347</v>
      </c>
      <c r="AL622" s="120">
        <f t="shared" si="1804"/>
        <v>0.23982063560326689</v>
      </c>
      <c r="AM622" s="120">
        <f t="shared" si="1805"/>
        <v>0.34730507266963162</v>
      </c>
      <c r="AN622" s="120">
        <f t="shared" si="1806"/>
        <v>0.41287429172710149</v>
      </c>
      <c r="AO622" s="120">
        <f t="shared" si="1810"/>
        <v>-3.167370292312463E-2</v>
      </c>
      <c r="AP622" s="173">
        <f t="shared" ref="AP622:AP635" si="1826">+AP621*EXP(AO622)</f>
        <v>114.20980997478506</v>
      </c>
      <c r="AQ622" s="175">
        <f t="shared" ref="AQ622:AQ635" si="1827">LN(AP622/AP621)</f>
        <v>-3.1673702923124658E-2</v>
      </c>
      <c r="AR622" s="177">
        <f>+AC622/$AE$46</f>
        <v>1.8157051362519844E-2</v>
      </c>
      <c r="AS622" s="177">
        <f t="shared" si="1823"/>
        <v>-5.751010508163694E-4</v>
      </c>
      <c r="AT622" s="177"/>
      <c r="AU622" s="177"/>
      <c r="AV622" s="177"/>
      <c r="AW622" s="190"/>
      <c r="AX622" s="120"/>
      <c r="AY622" s="120"/>
      <c r="AZ622" s="118">
        <f>IFERROR(INDEX('Total Customers'!$F$7:$AB$91,MATCH($C622,'Total Customers'!$D$7:$D$91,0),MATCH($G622,'Total Customers'!$F$5:$AB$5,0)),"NA")</f>
        <v>483281</v>
      </c>
      <c r="BA622" s="119">
        <f t="shared" si="1785"/>
        <v>1.1393472653860761E-2</v>
      </c>
      <c r="BB622" s="119"/>
      <c r="BC622" s="121">
        <v>8244107</v>
      </c>
      <c r="BD622" s="119"/>
      <c r="BE622" s="119"/>
      <c r="BF622" s="119"/>
      <c r="BG622" s="173"/>
      <c r="BH622" s="173"/>
      <c r="BI622" s="173"/>
      <c r="BJ622" s="173"/>
      <c r="BK622" s="173"/>
      <c r="BL622" s="173"/>
      <c r="BM622" s="173"/>
      <c r="BN622" s="173"/>
      <c r="BO622" s="173"/>
      <c r="BP622" s="173"/>
      <c r="BQ622" s="118"/>
      <c r="BR622" s="118"/>
      <c r="BS622" s="118">
        <f>INDEX('Dist. Plant Gas Additions'!$F$7:$AE$91,MATCH($C622,'Dist. Plant Gas Additions'!$D$7:$D$91,0),MATCH(Calculation!$G622,'Dist. Plant Gas Additions'!$F$5:$AE$5,0))</f>
        <v>45068</v>
      </c>
      <c r="BT622" s="118">
        <f>INDEX('Gen. Plant Additions'!$F$7:$AE$91,MATCH($C622,'Gen. Plant Additions'!$D$7:$D$91,0),MATCH(Calculation!$G622,'Gen. Plant Additions'!$F$5:$AE$5,0))</f>
        <v>2179</v>
      </c>
      <c r="BU622" s="118"/>
      <c r="BV622" s="118"/>
      <c r="BW622" s="118">
        <f>INDEX('Dist Plant Depreciation'!$E$7:$AD$94,MATCH($C622,'Dist Plant Depreciation'!$D$7:$D$94,0),MATCH(Calculation!$G622,'Dist Plant Depreciation'!$E$5:$AD$5,0))</f>
        <v>335143</v>
      </c>
      <c r="BX622" s="118">
        <f>INDEX('Gen. Plant Depreciation'!$E$7:$AD$94,MATCH($C622,'Gen. Plant Depreciation'!$D$7:$D$94,0),MATCH(Calculation!$G622,'Gen. Plant Depreciation'!$E$5:$AD$5,0))</f>
        <v>45525</v>
      </c>
      <c r="BY622" s="118"/>
      <c r="BZ622" s="118"/>
      <c r="CA622" s="118"/>
      <c r="CB622" s="118"/>
      <c r="CC622" s="118"/>
      <c r="CD622" s="118"/>
      <c r="CE622" s="118">
        <f>INDEX('Gross Dx Plant'!$E$7:$AD$91,MATCH($C622,'Gross Dx Plant'!$D$7:$D$91,0),MATCH(Calculation!$G622,'Gross Dx Plant'!$E$5:$AD$5,0))</f>
        <v>989721</v>
      </c>
      <c r="CF622" s="118">
        <f>INDEX('Gross Gen Plant'!$E$7:$AD$91,MATCH($C622,'Gross Gen Plant'!$D$7:$D$91,0),MATCH(Calculation!$G622,'Gross Gen Plant'!$E$5:$AD$5,0))</f>
        <v>55177</v>
      </c>
      <c r="CG622" s="118">
        <f t="shared" si="1720"/>
        <v>664230</v>
      </c>
      <c r="CH622" s="118"/>
      <c r="CI622" s="121">
        <v>2008</v>
      </c>
      <c r="CJ622" s="118"/>
      <c r="CK622" s="118"/>
      <c r="CL622" s="118"/>
      <c r="CM622" s="183"/>
      <c r="CN622" s="118">
        <f t="shared" si="1786"/>
        <v>47247</v>
      </c>
      <c r="CO622" s="118">
        <f t="shared" si="1787"/>
        <v>82.90675271178182</v>
      </c>
      <c r="CP622" s="186">
        <v>0.94252873563218387</v>
      </c>
      <c r="CQ622" s="118">
        <f>+CQ612*CP622+CO613*CP621+CO614*CP620+CO615*CP619+CO616*CP618+CO617*CP617+CO618*CP616+CO619*CP615+CO620*CP614+CO621*CP613+CO622</f>
        <v>3452.7634577437207</v>
      </c>
      <c r="CR622" s="119">
        <f t="shared" si="1788"/>
        <v>1.7614739316858263E-2</v>
      </c>
      <c r="CS622" s="119"/>
      <c r="CT622" s="177">
        <f t="shared" si="1789"/>
        <v>6.6676227404779808E-3</v>
      </c>
      <c r="CU622" s="177">
        <f t="shared" si="1797"/>
        <v>6.4529041371962845E-3</v>
      </c>
      <c r="CV622" s="119">
        <f>VLOOKUP($H622,RoR!$E:$F,2,FALSE)</f>
        <v>5.6316666666666668E-2</v>
      </c>
      <c r="CW622" s="177">
        <v>1.9092304698479889E-2</v>
      </c>
      <c r="CX622" s="177">
        <f t="shared" si="1795"/>
        <v>3.7224361968186778E-2</v>
      </c>
      <c r="CY622" s="177">
        <f t="shared" si="1798"/>
        <v>2.4449037471337341E-2</v>
      </c>
      <c r="CZ622" s="177">
        <f t="shared" si="1799"/>
        <v>6.9030581091053131E-2</v>
      </c>
      <c r="DA622" s="187">
        <f t="shared" si="1790"/>
        <v>0.84681249999999997</v>
      </c>
      <c r="DB622" s="188">
        <f t="shared" si="1791"/>
        <v>0.91060168006009956</v>
      </c>
      <c r="DC622" s="188">
        <f t="shared" si="1792"/>
        <v>0.53108168097070152</v>
      </c>
      <c r="DD622" s="188">
        <f t="shared" si="1793"/>
        <v>0.88825329850328805</v>
      </c>
      <c r="DE622" s="188">
        <f t="shared" si="1794"/>
        <v>0.4295627335323573</v>
      </c>
      <c r="DF622" s="189">
        <f>INDEX('State Tax Lookup'!$D$7:$Z$91,MATCH(Calculation!$C622,'State Tax Lookup'!$B$7:$B$91,0),MATCH($H622,'State Tax Lookup'!$D$6:$Z$6,0))</f>
        <v>0.40849999999999997</v>
      </c>
      <c r="DG622" s="189">
        <v>0.375</v>
      </c>
      <c r="DH622" s="190">
        <f t="shared" si="1796"/>
        <v>19.848220311821766</v>
      </c>
      <c r="DI622" s="190">
        <v>19.560559675165912</v>
      </c>
      <c r="DJ622" s="177"/>
      <c r="DK622" s="189">
        <f>VLOOKUP($H622,RoR!$E:$F,2,FALSE)</f>
        <v>5.6316666666666668E-2</v>
      </c>
      <c r="DL622" s="191">
        <f>HLOOKUP($H622,'GDP-PI'!$D$8:$CQ$11,3,FALSE)</f>
        <v>1.9092304698479889E-2</v>
      </c>
      <c r="DM622" s="189">
        <f>VLOOKUP(H622,'HW Dx Data'!$E:$F,2,FALSE)</f>
        <v>569.88120333515076</v>
      </c>
      <c r="DN622" s="183">
        <f>VLOOKUP(H622,'ECI - Input Price'!$G$17:$H$37,2,FALSE)</f>
        <v>108.22499999999999</v>
      </c>
      <c r="DO622" s="177">
        <f t="shared" ref="DO622" si="1828">LN(DN622/DN621)</f>
        <v>2.8111478671409691E-2</v>
      </c>
      <c r="DP622" s="183">
        <f>HLOOKUP(H622,'GDP-PI'!$8:$9,2,FALSE)</f>
        <v>94.263999999999996</v>
      </c>
      <c r="DQ622" s="177">
        <f t="shared" ref="DQ622" si="1829">LN(DP622/DP621)</f>
        <v>1.8912333748032254E-2</v>
      </c>
    </row>
    <row r="623" spans="1:121" s="167" customFormat="1" ht="21" x14ac:dyDescent="0.35">
      <c r="A623" s="167" t="s">
        <v>71</v>
      </c>
      <c r="B623" s="168" t="s">
        <v>71</v>
      </c>
      <c r="C623" s="168">
        <v>4061755</v>
      </c>
      <c r="D623" s="168" t="s">
        <v>145</v>
      </c>
      <c r="E623" s="168" t="s">
        <v>126</v>
      </c>
      <c r="F623" s="168"/>
      <c r="G623" s="168" t="s">
        <v>15</v>
      </c>
      <c r="H623" s="169">
        <v>2009</v>
      </c>
      <c r="I623" s="170"/>
      <c r="J623" s="166">
        <f>IFERROR(INDEX('Labor Expenditures'!$F$7:$X$91,MATCH($C623,'Labor Expenditures'!$D$7:$D$91,0),MATCH($G623,'Labor Expenditures'!$F$5:$X$5,0)),"NA")</f>
        <v>42409.044467067964</v>
      </c>
      <c r="K623" s="166">
        <f t="shared" si="1802"/>
        <v>386.32698216413542</v>
      </c>
      <c r="L623" s="172">
        <f t="shared" si="1809"/>
        <v>6.6718585615591144E-2</v>
      </c>
      <c r="M623" s="172">
        <f t="shared" si="1813"/>
        <v>1.2070393713492422E-3</v>
      </c>
      <c r="N623" s="196"/>
      <c r="O623" s="172"/>
      <c r="P623" s="166">
        <f>IFERROR(INDEX('Non-Labor Expenditures'!$F$7:$AB$91,MATCH($C623,'Non-Labor Expenditures'!$D$7:$D$91,0),MATCH($G623,'Non-Labor Expenditures'!$F$5:$AB$5,0)),"NA")</f>
        <v>61416.217305213584</v>
      </c>
      <c r="Q623" s="166">
        <f t="shared" si="1803"/>
        <v>646.49330314228132</v>
      </c>
      <c r="R623" s="172">
        <f t="shared" si="1814"/>
        <v>7.3171999917018379E-2</v>
      </c>
      <c r="S623" s="172">
        <f t="shared" si="1819"/>
        <v>1.3237913238910934E-3</v>
      </c>
      <c r="T623" s="172"/>
      <c r="U623" s="172"/>
      <c r="V623" s="166">
        <f t="shared" si="1784"/>
        <v>65671.941031674709</v>
      </c>
      <c r="W623" s="170"/>
      <c r="X623" s="174">
        <v>3517.5232680786635</v>
      </c>
      <c r="Y623" s="175">
        <v>1.8582212275531754E-2</v>
      </c>
      <c r="Z623" s="175">
        <f t="shared" si="1820"/>
        <v>3.3618011557628985E-4</v>
      </c>
      <c r="AA623" s="175"/>
      <c r="AB623" s="175"/>
      <c r="AC623" s="170">
        <f t="shared" si="1677"/>
        <v>169497.20280395626</v>
      </c>
      <c r="AD623" s="175">
        <f t="shared" si="1815"/>
        <v>3.8549793695974839E-2</v>
      </c>
      <c r="AE623" s="170"/>
      <c r="AF623" s="170"/>
      <c r="AG623" s="121">
        <f t="shared" si="1816"/>
        <v>347.9028048283472</v>
      </c>
      <c r="AH623" s="119">
        <f>+AZ623/$BB$47</f>
        <v>1.3661782943929031E-2</v>
      </c>
      <c r="AI623" s="119">
        <f>+AZ623/$BC$47</f>
        <v>5.8439245121516471E-2</v>
      </c>
      <c r="AJ623" s="176">
        <f t="shared" si="1821"/>
        <v>4.752972605148984</v>
      </c>
      <c r="AK623" s="176">
        <f t="shared" si="1822"/>
        <v>20.331177289826886</v>
      </c>
      <c r="AL623" s="120">
        <f t="shared" si="1804"/>
        <v>0.25020498135369873</v>
      </c>
      <c r="AM623" s="120">
        <f t="shared" si="1805"/>
        <v>0.36234354484450559</v>
      </c>
      <c r="AN623" s="120">
        <f t="shared" si="1806"/>
        <v>0.38745147380179568</v>
      </c>
      <c r="AO623" s="120">
        <f t="shared" si="1810"/>
        <v>4.9746023962634126E-2</v>
      </c>
      <c r="AP623" s="173">
        <f t="shared" si="1826"/>
        <v>120.03498226826221</v>
      </c>
      <c r="AQ623" s="175">
        <f t="shared" si="1827"/>
        <v>4.9746023962634091E-2</v>
      </c>
      <c r="AR623" s="177">
        <f>+AC623/$AE$47</f>
        <v>1.809150119434149E-2</v>
      </c>
      <c r="AS623" s="177">
        <f t="shared" si="1823"/>
        <v>8.9998025193373504E-4</v>
      </c>
      <c r="AT623" s="177"/>
      <c r="AU623" s="177"/>
      <c r="AV623" s="177"/>
      <c r="AW623" s="190"/>
      <c r="AX623" s="120"/>
      <c r="AY623" s="120"/>
      <c r="AZ623" s="118">
        <f>IFERROR(INDEX('Total Customers'!$F$7:$AB$91,MATCH($C623,'Total Customers'!$D$7:$D$91,0),MATCH($G623,'Total Customers'!$F$5:$AB$5,0)),"NA")</f>
        <v>487197</v>
      </c>
      <c r="BA623" s="119">
        <f t="shared" si="1785"/>
        <v>8.0702937190738327E-3</v>
      </c>
      <c r="BB623" s="119"/>
      <c r="BC623" s="121">
        <v>8336812</v>
      </c>
      <c r="BD623" s="119"/>
      <c r="BE623" s="119"/>
      <c r="BF623" s="119"/>
      <c r="BG623" s="173"/>
      <c r="BH623" s="173"/>
      <c r="BI623" s="173"/>
      <c r="BJ623" s="173"/>
      <c r="BK623" s="173"/>
      <c r="BL623" s="173"/>
      <c r="BM623" s="173"/>
      <c r="BN623" s="173"/>
      <c r="BO623" s="173"/>
      <c r="BP623" s="173"/>
      <c r="BQ623" s="118"/>
      <c r="BR623" s="118"/>
      <c r="BS623" s="118">
        <f>INDEX('Dist. Plant Gas Additions'!$F$7:$AE$91,MATCH($C623,'Dist. Plant Gas Additions'!$D$7:$D$91,0),MATCH(Calculation!$G623,'Dist. Plant Gas Additions'!$F$5:$AE$5,0))</f>
        <v>45492</v>
      </c>
      <c r="BT623" s="118">
        <f>INDEX('Gen. Plant Additions'!$F$7:$AE$91,MATCH($C623,'Gen. Plant Additions'!$D$7:$D$91,0),MATCH(Calculation!$G623,'Gen. Plant Additions'!$F$5:$AE$5,0))</f>
        <v>3306</v>
      </c>
      <c r="BU623" s="118"/>
      <c r="BV623" s="118"/>
      <c r="BW623" s="118">
        <f>INDEX('Dist Plant Depreciation'!$E$7:$AD$94,MATCH($C623,'Dist Plant Depreciation'!$D$7:$D$94,0),MATCH(Calculation!$G623,'Dist Plant Depreciation'!$E$5:$AD$5,0))</f>
        <v>348492</v>
      </c>
      <c r="BX623" s="118">
        <f>INDEX('Gen. Plant Depreciation'!$E$7:$AD$94,MATCH($C623,'Gen. Plant Depreciation'!$D$7:$D$94,0),MATCH(Calculation!$G623,'Gen. Plant Depreciation'!$E$5:$AD$5,0))</f>
        <v>47079</v>
      </c>
      <c r="BY623" s="118"/>
      <c r="BZ623" s="118"/>
      <c r="CA623" s="118"/>
      <c r="CB623" s="118"/>
      <c r="CC623" s="118"/>
      <c r="CD623" s="118"/>
      <c r="CE623" s="118">
        <f>INDEX('Gross Dx Plant'!$E$7:$AD$91,MATCH($C623,'Gross Dx Plant'!$D$7:$D$91,0),MATCH(Calculation!$G623,'Gross Dx Plant'!$E$5:$AD$5,0))</f>
        <v>1026985</v>
      </c>
      <c r="CF623" s="118">
        <f>INDEX('Gross Gen Plant'!$E$7:$AD$91,MATCH($C623,'Gross Gen Plant'!$D$7:$D$91,0),MATCH(Calculation!$G623,'Gross Gen Plant'!$E$5:$AD$5,0))</f>
        <v>58483</v>
      </c>
      <c r="CG623" s="118">
        <f t="shared" si="1720"/>
        <v>689897</v>
      </c>
      <c r="CH623" s="118"/>
      <c r="CI623" s="121">
        <v>2009</v>
      </c>
      <c r="CJ623" s="118"/>
      <c r="CK623" s="118"/>
      <c r="CL623" s="118"/>
      <c r="CM623" s="183"/>
      <c r="CN623" s="118">
        <f t="shared" si="1786"/>
        <v>48798</v>
      </c>
      <c r="CO623" s="118">
        <f t="shared" si="1787"/>
        <v>88.572155947150648</v>
      </c>
      <c r="CP623" s="186">
        <v>0.93567251461988299</v>
      </c>
      <c r="CQ623" s="118">
        <f>+CQ612*CP623+CO613*CP622+CO614*CP621+CO615*CP620+CO616*CP619+CO617*CP618+CO618*CP617+CO619*CP616+CO620*CP615+CO621*CP614+CO622*CP613+CO623</f>
        <v>3517.5232680786635</v>
      </c>
      <c r="CR623" s="119">
        <f t="shared" si="1788"/>
        <v>1.8582212275531754E-2</v>
      </c>
      <c r="CS623" s="119"/>
      <c r="CT623" s="177">
        <f t="shared" si="1789"/>
        <v>6.8966049669004848E-3</v>
      </c>
      <c r="CU623" s="177">
        <f t="shared" si="1797"/>
        <v>6.671926347477126E-3</v>
      </c>
      <c r="CV623" s="119">
        <f>VLOOKUP($H623,RoR!$E:$F,2,FALSE)</f>
        <v>5.3133333333333324E-2</v>
      </c>
      <c r="CW623" s="177">
        <v>7.7972502758210105E-3</v>
      </c>
      <c r="CX623" s="177">
        <f t="shared" si="1795"/>
        <v>4.5336083057512314E-2</v>
      </c>
      <c r="CY623" s="177">
        <f t="shared" si="1798"/>
        <v>2.42300152610565E-2</v>
      </c>
      <c r="CZ623" s="177">
        <f t="shared" si="1799"/>
        <v>6.3720160300892073E-2</v>
      </c>
      <c r="DA623" s="187">
        <f t="shared" si="1790"/>
        <v>0.84681249999999997</v>
      </c>
      <c r="DB623" s="188">
        <f t="shared" si="1791"/>
        <v>0.96515780330083989</v>
      </c>
      <c r="DC623" s="188">
        <f t="shared" si="1792"/>
        <v>0.50448557089084056</v>
      </c>
      <c r="DD623" s="188">
        <f t="shared" si="1793"/>
        <v>0.87391435735465484</v>
      </c>
      <c r="DE623" s="188">
        <f t="shared" si="1794"/>
        <v>0.42551605393279146</v>
      </c>
      <c r="DF623" s="189">
        <f>INDEX('State Tax Lookup'!$D$7:$Z$91,MATCH(Calculation!$C623,'State Tax Lookup'!$B$7:$B$91,0),MATCH($H623,'State Tax Lookup'!$D$6:$Z$6,0))</f>
        <v>0.40849999999999997</v>
      </c>
      <c r="DG623" s="189">
        <v>0.375</v>
      </c>
      <c r="DH623" s="190">
        <f t="shared" si="1796"/>
        <v>19.020110075710019</v>
      </c>
      <c r="DI623" s="190">
        <v>18.671192690123398</v>
      </c>
      <c r="DJ623" s="177"/>
      <c r="DK623" s="189">
        <f>VLOOKUP($H623,RoR!$E:$F,2,FALSE)</f>
        <v>5.3133333333333324E-2</v>
      </c>
      <c r="DL623" s="191">
        <f>HLOOKUP($H623,'GDP-PI'!$D$8:$CQ$11,3,FALSE)</f>
        <v>7.7972502758210105E-3</v>
      </c>
      <c r="DM623" s="189">
        <f>VLOOKUP(H623,'HW Dx Data'!$E:$F,2,FALSE)</f>
        <v>550.94063679692806</v>
      </c>
      <c r="DN623" s="183">
        <f>VLOOKUP(H623,'ECI - Input Price'!$G$17:$H$37,2,FALSE)</f>
        <v>109.77499999999999</v>
      </c>
      <c r="DO623" s="177">
        <f t="shared" ref="DO623" si="1830">LN(DN623/DN622)</f>
        <v>1.4220423119736749E-2</v>
      </c>
      <c r="DP623" s="183">
        <f>HLOOKUP(H623,'GDP-PI'!$8:$9,2,FALSE)</f>
        <v>94.998999999999995</v>
      </c>
      <c r="DQ623" s="177">
        <f t="shared" ref="DQ623" si="1831">LN(DP623/DP622)</f>
        <v>7.7670088183096342E-3</v>
      </c>
    </row>
    <row r="624" spans="1:121" s="167" customFormat="1" ht="21" x14ac:dyDescent="0.35">
      <c r="A624" s="167" t="s">
        <v>71</v>
      </c>
      <c r="B624" s="168" t="s">
        <v>71</v>
      </c>
      <c r="C624" s="168">
        <v>4061755</v>
      </c>
      <c r="D624" s="168" t="s">
        <v>145</v>
      </c>
      <c r="E624" s="168" t="s">
        <v>126</v>
      </c>
      <c r="F624" s="168"/>
      <c r="G624" s="168" t="s">
        <v>16</v>
      </c>
      <c r="H624" s="169">
        <v>2010</v>
      </c>
      <c r="I624" s="170"/>
      <c r="J624" s="166">
        <f>IFERROR(INDEX('Labor Expenditures'!$F$7:$X$91,MATCH($C624,'Labor Expenditures'!$D$7:$D$91,0),MATCH($G624,'Labor Expenditures'!$F$5:$X$5,0)),"NA")</f>
        <v>42327.98517830253</v>
      </c>
      <c r="K624" s="166">
        <f t="shared" si="1802"/>
        <v>378.35070550438013</v>
      </c>
      <c r="L624" s="172">
        <f t="shared" si="1809"/>
        <v>-2.0862557100918149E-2</v>
      </c>
      <c r="M624" s="172">
        <f t="shared" si="1813"/>
        <v>-3.6985784550840078E-4</v>
      </c>
      <c r="N624" s="196"/>
      <c r="O624" s="172"/>
      <c r="P624" s="166">
        <f>IFERROR(INDEX('Non-Labor Expenditures'!$F$7:$AB$91,MATCH($C624,'Non-Labor Expenditures'!$D$7:$D$91,0),MATCH($G624,'Non-Labor Expenditures'!$F$5:$AB$5,0)),"NA")</f>
        <v>61298.828315294471</v>
      </c>
      <c r="Q624" s="166">
        <f t="shared" si="1803"/>
        <v>637.80528686485627</v>
      </c>
      <c r="R624" s="172">
        <f t="shared" si="1814"/>
        <v>-1.3529795760830103E-2</v>
      </c>
      <c r="S624" s="172">
        <f t="shared" si="1819"/>
        <v>-2.3986039132514047E-4</v>
      </c>
      <c r="T624" s="172"/>
      <c r="U624" s="172"/>
      <c r="V624" s="166">
        <f t="shared" si="1784"/>
        <v>68535.601675769503</v>
      </c>
      <c r="W624" s="170"/>
      <c r="X624" s="174">
        <v>3571.852750938298</v>
      </c>
      <c r="Y624" s="175">
        <v>1.5327314090716663E-2</v>
      </c>
      <c r="Z624" s="175">
        <f t="shared" si="1820"/>
        <v>2.7172735056401747E-4</v>
      </c>
      <c r="AA624" s="175"/>
      <c r="AB624" s="175"/>
      <c r="AC624" s="170">
        <f t="shared" si="1677"/>
        <v>172162.41516936652</v>
      </c>
      <c r="AD624" s="175">
        <f t="shared" si="1815"/>
        <v>1.5601881454683568E-2</v>
      </c>
      <c r="AE624" s="170"/>
      <c r="AF624" s="170"/>
      <c r="AG624" s="121">
        <f t="shared" si="1816"/>
        <v>350.76701737993284</v>
      </c>
      <c r="AH624" s="119">
        <f>+AZ624/$BB$48</f>
        <v>1.3687524967246397E-2</v>
      </c>
      <c r="AI624" s="119">
        <f>+AZ624/$BC$48</f>
        <v>5.8406669363181105E-2</v>
      </c>
      <c r="AJ624" s="176">
        <f t="shared" si="1821"/>
        <v>4.801132308074382</v>
      </c>
      <c r="AK624" s="176">
        <f t="shared" si="1822"/>
        <v>20.487133207618939</v>
      </c>
      <c r="AL624" s="120">
        <f t="shared" si="1804"/>
        <v>0.24586077708460319</v>
      </c>
      <c r="AM624" s="120">
        <f t="shared" si="1805"/>
        <v>0.35605232567741996</v>
      </c>
      <c r="AN624" s="120">
        <f t="shared" si="1806"/>
        <v>0.3980868972379768</v>
      </c>
      <c r="AO624" s="120">
        <f t="shared" si="1810"/>
        <v>-4.0143781357891116E-3</v>
      </c>
      <c r="AP624" s="173">
        <f t="shared" si="1826"/>
        <v>119.55408236276534</v>
      </c>
      <c r="AQ624" s="175">
        <f t="shared" si="1827"/>
        <v>-4.0143781357891359E-3</v>
      </c>
      <c r="AR624" s="177">
        <f>+AC624/$AE$48</f>
        <v>1.7728308362167336E-2</v>
      </c>
      <c r="AS624" s="177">
        <f t="shared" si="1823"/>
        <v>-7.1168133473612256E-5</v>
      </c>
      <c r="AT624" s="177"/>
      <c r="AU624" s="177"/>
      <c r="AV624" s="177"/>
      <c r="AW624" s="190"/>
      <c r="AX624" s="120"/>
      <c r="AY624" s="120"/>
      <c r="AZ624" s="118">
        <f>IFERROR(INDEX('Total Customers'!$F$7:$AB$91,MATCH($C624,'Total Customers'!$D$7:$D$91,0),MATCH($G624,'Total Customers'!$F$5:$AB$5,0)),"NA")</f>
        <v>490817</v>
      </c>
      <c r="BA624" s="119">
        <f t="shared" si="1785"/>
        <v>7.4027908224504326E-3</v>
      </c>
      <c r="BB624" s="119"/>
      <c r="BC624" s="121">
        <v>8403441</v>
      </c>
      <c r="BD624" s="119"/>
      <c r="BE624" s="119"/>
      <c r="BF624" s="119"/>
      <c r="BG624" s="173"/>
      <c r="BH624" s="173"/>
      <c r="BI624" s="173"/>
      <c r="BJ624" s="173"/>
      <c r="BK624" s="173"/>
      <c r="BL624" s="173"/>
      <c r="BM624" s="173"/>
      <c r="BN624" s="173"/>
      <c r="BO624" s="173"/>
      <c r="BP624" s="173"/>
      <c r="BQ624" s="118"/>
      <c r="BR624" s="118"/>
      <c r="BS624" s="118">
        <f>INDEX('Dist. Plant Gas Additions'!$F$7:$AE$91,MATCH($C624,'Dist. Plant Gas Additions'!$D$7:$D$91,0),MATCH(Calculation!$G624,'Dist. Plant Gas Additions'!$F$5:$AE$5,0))</f>
        <v>35802</v>
      </c>
      <c r="BT624" s="118">
        <f>INDEX('Gen. Plant Additions'!$F$7:$AE$91,MATCH($C624,'Gen. Plant Additions'!$D$7:$D$91,0),MATCH(Calculation!$G624,'Gen. Plant Additions'!$F$5:$AE$5,0))</f>
        <v>9385</v>
      </c>
      <c r="BU624" s="118"/>
      <c r="BV624" s="118"/>
      <c r="BW624" s="118">
        <f>INDEX('Dist Plant Depreciation'!$E$7:$AD$94,MATCH($C624,'Dist Plant Depreciation'!$D$7:$D$94,0),MATCH(Calculation!$G624,'Dist Plant Depreciation'!$E$5:$AD$5,0))</f>
        <v>348492</v>
      </c>
      <c r="BX624" s="118">
        <f>INDEX('Gen. Plant Depreciation'!$E$7:$AD$94,MATCH($C624,'Gen. Plant Depreciation'!$D$7:$D$94,0),MATCH(Calculation!$G624,'Gen. Plant Depreciation'!$E$5:$AD$5,0))</f>
        <v>47079</v>
      </c>
      <c r="BY624" s="118"/>
      <c r="BZ624" s="118"/>
      <c r="CA624" s="118"/>
      <c r="CB624" s="118"/>
      <c r="CC624" s="118"/>
      <c r="CD624" s="118"/>
      <c r="CE624" s="118">
        <f>INDEX('Gross Dx Plant'!$E$7:$AD$91,MATCH($C624,'Gross Dx Plant'!$D$7:$D$91,0),MATCH(Calculation!$G624,'Gross Dx Plant'!$E$5:$AD$5,0))</f>
        <v>1052012</v>
      </c>
      <c r="CF624" s="118">
        <f>INDEX('Gross Gen Plant'!$E$7:$AD$91,MATCH($C624,'Gross Gen Plant'!$D$7:$D$91,0),MATCH(Calculation!$G624,'Gross Gen Plant'!$E$5:$AD$5,0))</f>
        <v>67839</v>
      </c>
      <c r="CG624" s="118">
        <f t="shared" si="1720"/>
        <v>724280</v>
      </c>
      <c r="CH624" s="118"/>
      <c r="CI624" s="121">
        <v>2010</v>
      </c>
      <c r="CJ624" s="118"/>
      <c r="CK624" s="118"/>
      <c r="CL624" s="118"/>
      <c r="CM624" s="183"/>
      <c r="CN624" s="118">
        <f t="shared" si="1786"/>
        <v>45187</v>
      </c>
      <c r="CO624" s="118">
        <f t="shared" si="1787"/>
        <v>79.416227876187108</v>
      </c>
      <c r="CP624" s="186">
        <v>0.9285714285714286</v>
      </c>
      <c r="CQ624" s="118">
        <f>+CQ612*CP624+CO613*CP623+CO614*CP622+CO615*CP621+CO616*CP620+CO617*CP619+CO618*CP618+CO619*CP617+CO620*CP616+CO621*CP615+CO622*CP614+CO623*CP613+CO624</f>
        <v>3571.852750938298</v>
      </c>
      <c r="CR624" s="119">
        <f t="shared" si="1788"/>
        <v>1.5327314090716663E-2</v>
      </c>
      <c r="CS624" s="119"/>
      <c r="CT624" s="177">
        <f t="shared" si="1789"/>
        <v>7.131934348299414E-3</v>
      </c>
      <c r="CU624" s="177">
        <f t="shared" si="1797"/>
        <v>6.8987206852259599E-3</v>
      </c>
      <c r="CV624" s="119">
        <f>VLOOKUP($H624,RoR!$E:$F,2,FALSE)</f>
        <v>4.9433333333333322E-2</v>
      </c>
      <c r="CW624" s="177">
        <v>1.1684333519300205E-2</v>
      </c>
      <c r="CX624" s="177">
        <f t="shared" si="1795"/>
        <v>3.7748999814033117E-2</v>
      </c>
      <c r="CY624" s="177">
        <f t="shared" si="1798"/>
        <v>2.4003220923307665E-2</v>
      </c>
      <c r="CZ624" s="177">
        <f t="shared" si="1799"/>
        <v>4.7937530248493419E-2</v>
      </c>
      <c r="DA624" s="187">
        <f t="shared" si="1790"/>
        <v>0.84681249999999997</v>
      </c>
      <c r="DB624" s="188">
        <f t="shared" si="1791"/>
        <v>1.037398205301105</v>
      </c>
      <c r="DC624" s="188">
        <f t="shared" si="1792"/>
        <v>0.46926837491571133</v>
      </c>
      <c r="DD624" s="188">
        <f t="shared" si="1793"/>
        <v>0.8548537519972772</v>
      </c>
      <c r="DE624" s="188">
        <f t="shared" si="1794"/>
        <v>0.41615833911547367</v>
      </c>
      <c r="DF624" s="189">
        <f>INDEX('State Tax Lookup'!$D$7:$Z$91,MATCH(Calculation!$C624,'State Tax Lookup'!$B$7:$B$91,0),MATCH($H624,'State Tax Lookup'!$D$6:$Z$6,0))</f>
        <v>0.40849999999999997</v>
      </c>
      <c r="DG624" s="189">
        <v>0.375</v>
      </c>
      <c r="DH624" s="190">
        <f t="shared" si="1796"/>
        <v>19.484050694909808</v>
      </c>
      <c r="DI624" s="190">
        <v>19.149552952875798</v>
      </c>
      <c r="DJ624" s="177"/>
      <c r="DK624" s="189">
        <f>VLOOKUP($H624,RoR!$E:$F,2,FALSE)</f>
        <v>4.9433333333333322E-2</v>
      </c>
      <c r="DL624" s="191">
        <f>HLOOKUP($H624,'GDP-PI'!$D$8:$CQ$11,3,FALSE)</f>
        <v>1.1684333519300205E-2</v>
      </c>
      <c r="DM624" s="189">
        <f>VLOOKUP(H624,'HW Dx Data'!$E:$F,2,FALSE)</f>
        <v>568.98950262971744</v>
      </c>
      <c r="DN624" s="183">
        <f>VLOOKUP(H624,'ECI - Input Price'!$G$17:$H$37,2,FALSE)</f>
        <v>111.875</v>
      </c>
      <c r="DO624" s="177">
        <f t="shared" ref="DO624" si="1832">LN(DN624/DN623)</f>
        <v>1.8949360147238387E-2</v>
      </c>
      <c r="DP624" s="183">
        <f>HLOOKUP(H624,'GDP-PI'!$8:$9,2,FALSE)</f>
        <v>96.108999999999995</v>
      </c>
      <c r="DQ624" s="177">
        <f t="shared" ref="DQ624" si="1833">LN(DP624/DP623)</f>
        <v>1.1616598807150427E-2</v>
      </c>
    </row>
    <row r="625" spans="1:121" s="167" customFormat="1" ht="21" x14ac:dyDescent="0.35">
      <c r="A625" s="167" t="s">
        <v>71</v>
      </c>
      <c r="B625" s="168" t="s">
        <v>71</v>
      </c>
      <c r="C625" s="168">
        <v>4061755</v>
      </c>
      <c r="D625" s="168" t="s">
        <v>145</v>
      </c>
      <c r="E625" s="168" t="s">
        <v>126</v>
      </c>
      <c r="F625" s="168"/>
      <c r="G625" s="168" t="s">
        <v>17</v>
      </c>
      <c r="H625" s="169">
        <v>2011</v>
      </c>
      <c r="I625" s="170"/>
      <c r="J625" s="166">
        <f>IFERROR(INDEX('Labor Expenditures'!$F$7:$X$91,MATCH($C625,'Labor Expenditures'!$D$7:$D$91,0),MATCH($G625,'Labor Expenditures'!$F$5:$X$5,0)),"NA")</f>
        <v>43145.493623284121</v>
      </c>
      <c r="K625" s="166">
        <f t="shared" si="1802"/>
        <v>377.47588471814629</v>
      </c>
      <c r="L625" s="172">
        <f t="shared" si="1809"/>
        <v>-2.314872718701478E-3</v>
      </c>
      <c r="M625" s="172">
        <f t="shared" si="1813"/>
        <v>-4.0815712118275143E-5</v>
      </c>
      <c r="N625" s="196"/>
      <c r="O625" s="172"/>
      <c r="P625" s="166">
        <f>IFERROR(INDEX('Non-Labor Expenditures'!$F$7:$AB$91,MATCH($C625,'Non-Labor Expenditures'!$D$7:$D$91,0),MATCH($G625,'Non-Labor Expenditures'!$F$5:$AB$5,0)),"NA")</f>
        <v>62482.733233143408</v>
      </c>
      <c r="Q625" s="166">
        <f t="shared" si="1803"/>
        <v>636.85108073572462</v>
      </c>
      <c r="R625" s="172">
        <f t="shared" si="1814"/>
        <v>-1.4971977258053089E-3</v>
      </c>
      <c r="S625" s="172">
        <f t="shared" si="1819"/>
        <v>-2.639851032279856E-5</v>
      </c>
      <c r="T625" s="172"/>
      <c r="U625" s="172"/>
      <c r="V625" s="166">
        <f t="shared" si="1784"/>
        <v>74197.363374924753</v>
      </c>
      <c r="W625" s="170"/>
      <c r="X625" s="174">
        <v>3663.0064595887943</v>
      </c>
      <c r="Y625" s="175">
        <v>2.5199808241645034E-2</v>
      </c>
      <c r="Z625" s="175">
        <f t="shared" si="1820"/>
        <v>4.443216727715736E-4</v>
      </c>
      <c r="AA625" s="175"/>
      <c r="AB625" s="175"/>
      <c r="AC625" s="170">
        <f t="shared" si="1677"/>
        <v>179825.59023135228</v>
      </c>
      <c r="AD625" s="175">
        <f t="shared" si="1815"/>
        <v>4.3549132494690022E-2</v>
      </c>
      <c r="AE625" s="170"/>
      <c r="AF625" s="170"/>
      <c r="AG625" s="121">
        <f t="shared" si="1816"/>
        <v>363.00315156424881</v>
      </c>
      <c r="AH625" s="119">
        <f>+AZ625/$BB$49</f>
        <v>1.3747698749938812E-2</v>
      </c>
      <c r="AI625" s="119">
        <f>+AZ625/$BC$49</f>
        <v>5.870968651815079E-2</v>
      </c>
      <c r="AJ625" s="176">
        <f t="shared" si="1821"/>
        <v>4.9904579729836724</v>
      </c>
      <c r="AK625" s="176">
        <f t="shared" si="1822"/>
        <v>21.311801233437826</v>
      </c>
      <c r="AL625" s="120">
        <f t="shared" si="1804"/>
        <v>0.23992966500360624</v>
      </c>
      <c r="AM625" s="120">
        <f t="shared" si="1805"/>
        <v>0.34746296760520601</v>
      </c>
      <c r="AN625" s="120">
        <f t="shared" si="1806"/>
        <v>0.41260736739118775</v>
      </c>
      <c r="AO625" s="120">
        <f t="shared" si="1810"/>
        <v>9.1257477363442269E-3</v>
      </c>
      <c r="AP625" s="173">
        <f t="shared" si="1826"/>
        <v>120.65009612555703</v>
      </c>
      <c r="AQ625" s="175">
        <f t="shared" si="1827"/>
        <v>9.1257477363443102E-3</v>
      </c>
      <c r="AR625" s="177">
        <f>+AC625/$AE$49</f>
        <v>1.76319465811367E-2</v>
      </c>
      <c r="AS625" s="177">
        <f t="shared" si="1823"/>
        <v>1.6090469660015204E-4</v>
      </c>
      <c r="AT625" s="177"/>
      <c r="AU625" s="177"/>
      <c r="AV625" s="177"/>
      <c r="AW625" s="190"/>
      <c r="AX625" s="120"/>
      <c r="AY625" s="120"/>
      <c r="AZ625" s="118">
        <f>IFERROR(INDEX('Total Customers'!$F$7:$AB$91,MATCH($C625,'Total Customers'!$D$7:$D$91,0),MATCH($G625,'Total Customers'!$F$5:$AB$5,0)),"NA")</f>
        <v>495383</v>
      </c>
      <c r="BA625" s="119">
        <f t="shared" si="1785"/>
        <v>9.259851198269305E-3</v>
      </c>
      <c r="BB625" s="119"/>
      <c r="BC625" s="121">
        <v>8437841</v>
      </c>
      <c r="BD625" s="119"/>
      <c r="BE625" s="119"/>
      <c r="BF625" s="119"/>
      <c r="BG625" s="173"/>
      <c r="BH625" s="173"/>
      <c r="BI625" s="173"/>
      <c r="BJ625" s="173"/>
      <c r="BK625" s="173"/>
      <c r="BL625" s="173"/>
      <c r="BM625" s="173"/>
      <c r="BN625" s="173"/>
      <c r="BO625" s="173"/>
      <c r="BP625" s="173"/>
      <c r="BQ625" s="118"/>
      <c r="BR625" s="118"/>
      <c r="BS625" s="118">
        <f>INDEX('Dist. Plant Gas Additions'!$F$7:$AE$91,MATCH($C625,'Dist. Plant Gas Additions'!$D$7:$D$91,0),MATCH(Calculation!$G625,'Dist. Plant Gas Additions'!$F$5:$AE$5,0))</f>
        <v>63151</v>
      </c>
      <c r="BT625" s="118">
        <f>INDEX('Gen. Plant Additions'!$F$7:$AE$91,MATCH($C625,'Gen. Plant Additions'!$D$7:$D$91,0),MATCH(Calculation!$G625,'Gen. Plant Additions'!$F$5:$AE$5,0))</f>
        <v>8730</v>
      </c>
      <c r="BU625" s="118"/>
      <c r="BV625" s="118"/>
      <c r="BW625" s="118">
        <f>INDEX('Dist Plant Depreciation'!$E$7:$AD$94,MATCH($C625,'Dist Plant Depreciation'!$D$7:$D$94,0),MATCH(Calculation!$G625,'Dist Plant Depreciation'!$E$5:$AD$5,0))</f>
        <v>367819</v>
      </c>
      <c r="BX625" s="118">
        <f>INDEX('Gen. Plant Depreciation'!$E$7:$AD$94,MATCH($C625,'Gen. Plant Depreciation'!$D$7:$D$94,0),MATCH(Calculation!$G625,'Gen. Plant Depreciation'!$E$5:$AD$5,0))</f>
        <v>23779</v>
      </c>
      <c r="BY625" s="118"/>
      <c r="BZ625" s="118"/>
      <c r="CA625" s="118"/>
      <c r="CB625" s="118"/>
      <c r="CC625" s="118"/>
      <c r="CD625" s="118"/>
      <c r="CE625" s="118">
        <f>INDEX('Gross Dx Plant'!$E$7:$AD$91,MATCH($C625,'Gross Dx Plant'!$D$7:$D$91,0),MATCH(Calculation!$G625,'Gross Dx Plant'!$E$5:$AD$5,0))</f>
        <v>1128870</v>
      </c>
      <c r="CF625" s="118">
        <f>INDEX('Gross Gen Plant'!$E$7:$AD$91,MATCH($C625,'Gross Gen Plant'!$D$7:$D$91,0),MATCH(Calculation!$G625,'Gross Gen Plant'!$E$5:$AD$5,0))</f>
        <v>47511</v>
      </c>
      <c r="CG625" s="118">
        <f t="shared" si="1720"/>
        <v>784783</v>
      </c>
      <c r="CH625" s="118"/>
      <c r="CI625" s="121">
        <v>2011</v>
      </c>
      <c r="CJ625" s="118"/>
      <c r="CK625" s="118"/>
      <c r="CL625" s="118"/>
      <c r="CM625" s="183"/>
      <c r="CN625" s="118">
        <f t="shared" si="1786"/>
        <v>71881</v>
      </c>
      <c r="CO625" s="118">
        <f t="shared" si="1787"/>
        <v>117.52729872900129</v>
      </c>
      <c r="CP625" s="186">
        <v>0.92121212121212126</v>
      </c>
      <c r="CQ625" s="118">
        <f>+CQ612*CP625+CO613*CP624+CO614*CP623+CO615*CP622+CO616*CP621+CO617*CP620+CO618*CP619+CO619*CP618+CO620*CP617+CO621*CP616+CO622*CP615+CO623*CP614+CO624*CP613+CO625</f>
        <v>3663.0064595887943</v>
      </c>
      <c r="CR625" s="119">
        <f t="shared" si="1788"/>
        <v>2.5199808241645034E-2</v>
      </c>
      <c r="CS625" s="119"/>
      <c r="CT625" s="177">
        <f t="shared" si="1789"/>
        <v>7.3837282546366997E-3</v>
      </c>
      <c r="CU625" s="177">
        <f t="shared" si="1797"/>
        <v>7.1374225232788656E-3</v>
      </c>
      <c r="CV625" s="119">
        <f>VLOOKUP($H625,RoR!$E:$F,2,FALSE)</f>
        <v>4.6391666666666664E-2</v>
      </c>
      <c r="CW625" s="177">
        <v>2.0840920205183799E-2</v>
      </c>
      <c r="CX625" s="177">
        <f t="shared" si="1795"/>
        <v>2.5550746461482865E-2</v>
      </c>
      <c r="CY625" s="177">
        <f t="shared" si="1798"/>
        <v>2.3764519085254759E-2</v>
      </c>
      <c r="CZ625" s="177">
        <f t="shared" si="1799"/>
        <v>2.4810540821321614E-2</v>
      </c>
      <c r="DA625" s="187">
        <f t="shared" si="1790"/>
        <v>0.84681249999999997</v>
      </c>
      <c r="DB625" s="188">
        <f t="shared" si="1791"/>
        <v>1.1054151524782025</v>
      </c>
      <c r="DC625" s="188">
        <f t="shared" si="1792"/>
        <v>0.43611011316687626</v>
      </c>
      <c r="DD625" s="188">
        <f t="shared" si="1793"/>
        <v>0.83698442246886229</v>
      </c>
      <c r="DE625" s="188">
        <f t="shared" si="1794"/>
        <v>0.40349573304423936</v>
      </c>
      <c r="DF625" s="189">
        <f>INDEX('State Tax Lookup'!$D$7:$Z$91,MATCH(Calculation!$C625,'State Tax Lookup'!$B$7:$B$91,0),MATCH($H625,'State Tax Lookup'!$D$6:$Z$6,0))</f>
        <v>0.40849999999999997</v>
      </c>
      <c r="DG625" s="189">
        <v>0.375</v>
      </c>
      <c r="DH625" s="190">
        <f t="shared" si="1796"/>
        <v>20.772794554712167</v>
      </c>
      <c r="DI625" s="190">
        <v>20.40893522338504</v>
      </c>
      <c r="DJ625" s="177"/>
      <c r="DK625" s="189">
        <f>VLOOKUP($H625,RoR!$E:$F,2,FALSE)</f>
        <v>4.6391666666666664E-2</v>
      </c>
      <c r="DL625" s="191">
        <f>HLOOKUP($H625,'GDP-PI'!$D$8:$CQ$11,3,FALSE)</f>
        <v>2.0840920205183799E-2</v>
      </c>
      <c r="DM625" s="189">
        <f>VLOOKUP(H625,'HW Dx Data'!$E:$F,2,FALSE)</f>
        <v>611.61109612283201</v>
      </c>
      <c r="DN625" s="183">
        <f>VLOOKUP(H625,'ECI - Input Price'!$G$17:$H$37,2,FALSE)</f>
        <v>114.3</v>
      </c>
      <c r="DO625" s="177">
        <f t="shared" ref="DO625" si="1834">LN(DN625/DN624)</f>
        <v>2.1444394205745516E-2</v>
      </c>
      <c r="DP625" s="183">
        <f>HLOOKUP(H625,'GDP-PI'!$8:$9,2,FALSE)</f>
        <v>98.111999999999995</v>
      </c>
      <c r="DQ625" s="177">
        <f t="shared" ref="DQ625" si="1835">LN(DP625/DP624)</f>
        <v>2.0626719212849295E-2</v>
      </c>
    </row>
    <row r="626" spans="1:121" s="167" customFormat="1" ht="21" x14ac:dyDescent="0.35">
      <c r="A626" s="167" t="s">
        <v>71</v>
      </c>
      <c r="B626" s="168" t="s">
        <v>71</v>
      </c>
      <c r="C626" s="168">
        <v>4061755</v>
      </c>
      <c r="D626" s="168" t="s">
        <v>145</v>
      </c>
      <c r="E626" s="168" t="s">
        <v>126</v>
      </c>
      <c r="F626" s="168"/>
      <c r="G626" s="168" t="s">
        <v>18</v>
      </c>
      <c r="H626" s="169">
        <v>2012</v>
      </c>
      <c r="I626" s="170"/>
      <c r="J626" s="166">
        <f>IFERROR(INDEX('Labor Expenditures'!$F$7:$X$91,MATCH($C626,'Labor Expenditures'!$D$7:$D$91,0),MATCH($G626,'Labor Expenditures'!$F$5:$X$5,0)),"NA")</f>
        <v>42477.713210836744</v>
      </c>
      <c r="K626" s="166">
        <f t="shared" si="1802"/>
        <v>364.61556404151713</v>
      </c>
      <c r="L626" s="172">
        <f t="shared" si="1809"/>
        <v>-3.4663135782780179E-2</v>
      </c>
      <c r="M626" s="172">
        <f t="shared" si="1813"/>
        <v>-6.0383636108316311E-4</v>
      </c>
      <c r="N626" s="196"/>
      <c r="O626" s="172"/>
      <c r="P626" s="166">
        <f>IFERROR(INDEX('Non-Labor Expenditures'!$F$7:$AB$91,MATCH($C626,'Non-Labor Expenditures'!$D$7:$D$91,0),MATCH($G626,'Non-Labor Expenditures'!$F$5:$AB$5,0)),"NA")</f>
        <v>61515.662471742959</v>
      </c>
      <c r="Q626" s="166">
        <f t="shared" si="1803"/>
        <v>615.15662471742962</v>
      </c>
      <c r="R626" s="172">
        <f t="shared" si="1814"/>
        <v>-3.4658936316532385E-2</v>
      </c>
      <c r="S626" s="172">
        <f t="shared" si="1819"/>
        <v>-6.0376320583161727E-4</v>
      </c>
      <c r="T626" s="172"/>
      <c r="U626" s="172"/>
      <c r="V626" s="166">
        <f t="shared" si="1784"/>
        <v>82165.577585845909</v>
      </c>
      <c r="W626" s="170"/>
      <c r="X626" s="174">
        <v>3701.9171453010249</v>
      </c>
      <c r="Y626" s="175">
        <v>1.0566585572206456E-2</v>
      </c>
      <c r="Z626" s="175">
        <f t="shared" si="1820"/>
        <v>1.8407130332866983E-4</v>
      </c>
      <c r="AA626" s="175"/>
      <c r="AB626" s="175"/>
      <c r="AC626" s="170">
        <f t="shared" si="1677"/>
        <v>186158.9532684256</v>
      </c>
      <c r="AD626" s="175">
        <f t="shared" si="1815"/>
        <v>3.4613458223713131E-2</v>
      </c>
      <c r="AE626" s="170"/>
      <c r="AF626" s="170"/>
      <c r="AG626" s="121">
        <f t="shared" si="1816"/>
        <v>374.51028977318339</v>
      </c>
      <c r="AH626" s="119">
        <f>+AZ626/$BB$50</f>
        <v>1.3728217544992118E-2</v>
      </c>
      <c r="AI626" s="119">
        <f>+AZ626/$BC$50</f>
        <v>5.8582060352581566E-2</v>
      </c>
      <c r="AJ626" s="176">
        <f t="shared" si="1821"/>
        <v>5.1413587308442983</v>
      </c>
      <c r="AK626" s="176">
        <f t="shared" si="1822"/>
        <v>21.939584398155439</v>
      </c>
      <c r="AL626" s="120">
        <f t="shared" si="1804"/>
        <v>0.2281798026098022</v>
      </c>
      <c r="AM626" s="120">
        <f t="shared" si="1805"/>
        <v>0.33044697228740072</v>
      </c>
      <c r="AN626" s="120">
        <f t="shared" si="1806"/>
        <v>0.44137322510279714</v>
      </c>
      <c r="AO626" s="120">
        <f t="shared" si="1810"/>
        <v>-1.5349060232289706E-2</v>
      </c>
      <c r="AP626" s="173">
        <f t="shared" si="1826"/>
        <v>118.81237029489661</v>
      </c>
      <c r="AQ626" s="175">
        <f t="shared" si="1827"/>
        <v>-1.5349060232289694E-2</v>
      </c>
      <c r="AR626" s="177">
        <f>+AC626/$AE$50</f>
        <v>1.7420130852187202E-2</v>
      </c>
      <c r="AS626" s="177">
        <f t="shared" si="1823"/>
        <v>-2.6738263770458937E-4</v>
      </c>
      <c r="AT626" s="177"/>
      <c r="AU626" s="177"/>
      <c r="AV626" s="177"/>
      <c r="AW626" s="190"/>
      <c r="AX626" s="120"/>
      <c r="AY626" s="120"/>
      <c r="AZ626" s="118">
        <f>IFERROR(INDEX('Total Customers'!$F$7:$AB$91,MATCH($C626,'Total Customers'!$D$7:$D$91,0),MATCH($G626,'Total Customers'!$F$5:$AB$5,0)),"NA")</f>
        <v>497073</v>
      </c>
      <c r="BA626" s="119">
        <f t="shared" si="1785"/>
        <v>3.405695836374316E-3</v>
      </c>
      <c r="BB626" s="119"/>
      <c r="BC626" s="121">
        <v>8485072</v>
      </c>
      <c r="BD626" s="119"/>
      <c r="BE626" s="119"/>
      <c r="BF626" s="119"/>
      <c r="BG626" s="173"/>
      <c r="BH626" s="173"/>
      <c r="BI626" s="173"/>
      <c r="BJ626" s="173"/>
      <c r="BK626" s="173"/>
      <c r="BL626" s="173"/>
      <c r="BM626" s="173"/>
      <c r="BN626" s="173"/>
      <c r="BO626" s="173"/>
      <c r="BP626" s="173"/>
      <c r="BQ626" s="118"/>
      <c r="BR626" s="118"/>
      <c r="BS626" s="118">
        <f>INDEX('Dist. Plant Gas Additions'!$F$7:$AE$91,MATCH($C626,'Dist. Plant Gas Additions'!$D$7:$D$91,0),MATCH(Calculation!$G626,'Dist. Plant Gas Additions'!$F$5:$AE$5,0))</f>
        <v>38735</v>
      </c>
      <c r="BT626" s="118">
        <f>INDEX('Gen. Plant Additions'!$F$7:$AE$91,MATCH($C626,'Gen. Plant Additions'!$D$7:$D$91,0),MATCH(Calculation!$G626,'Gen. Plant Additions'!$F$5:$AE$5,0))</f>
        <v>5963</v>
      </c>
      <c r="BU626" s="118"/>
      <c r="BV626" s="118"/>
      <c r="BW626" s="118">
        <f>INDEX('Dist Plant Depreciation'!$E$7:$AD$94,MATCH($C626,'Dist Plant Depreciation'!$D$7:$D$94,0),MATCH(Calculation!$G626,'Dist Plant Depreciation'!$E$5:$AD$5,0))</f>
        <v>366751</v>
      </c>
      <c r="BX626" s="118">
        <f>INDEX('Gen. Plant Depreciation'!$E$7:$AD$94,MATCH($C626,'Gen. Plant Depreciation'!$D$7:$D$94,0),MATCH(Calculation!$G626,'Gen. Plant Depreciation'!$E$5:$AD$5,0))</f>
        <v>26187</v>
      </c>
      <c r="BY626" s="118"/>
      <c r="BZ626" s="118"/>
      <c r="CA626" s="118"/>
      <c r="CB626" s="118"/>
      <c r="CC626" s="118"/>
      <c r="CD626" s="118"/>
      <c r="CE626" s="118">
        <f>INDEX('Gross Dx Plant'!$E$7:$AD$91,MATCH($C626,'Gross Dx Plant'!$D$7:$D$91,0),MATCH(Calculation!$G626,'Gross Dx Plant'!$E$5:$AD$5,0))</f>
        <v>1164165</v>
      </c>
      <c r="CF626" s="118">
        <f>INDEX('Gross Gen Plant'!$E$7:$AD$91,MATCH($C626,'Gross Gen Plant'!$D$7:$D$91,0),MATCH(Calculation!$G626,'Gross Gen Plant'!$E$5:$AD$5,0))</f>
        <v>52438</v>
      </c>
      <c r="CG626" s="118">
        <f t="shared" si="1720"/>
        <v>823665</v>
      </c>
      <c r="CH626" s="118"/>
      <c r="CI626" s="121">
        <v>2012</v>
      </c>
      <c r="CJ626" s="118"/>
      <c r="CK626" s="118"/>
      <c r="CL626" s="118"/>
      <c r="CM626" s="183"/>
      <c r="CN626" s="118">
        <f t="shared" si="1786"/>
        <v>44698</v>
      </c>
      <c r="CO626" s="118">
        <f t="shared" si="1787"/>
        <v>66.821212248484699</v>
      </c>
      <c r="CP626" s="186">
        <v>0.9135802469135802</v>
      </c>
      <c r="CQ626" s="118">
        <f>+CQ612*CP626+CO613*CP625+CO614*CP624+CO615*CP623+CO616*CP622+CO617*CP621+CO618*CP620+CO619*CP619+CO620*CP618+CO621*CP617+CO622*CP616+CO623*CP615+CO624*CP614+CO625*CP613+CO626</f>
        <v>3701.9171453010249</v>
      </c>
      <c r="CR626" s="119">
        <f t="shared" si="1788"/>
        <v>1.0566585572206456E-2</v>
      </c>
      <c r="CS626" s="119"/>
      <c r="CT626" s="177">
        <f t="shared" si="1789"/>
        <v>7.6195679271030608E-3</v>
      </c>
      <c r="CU626" s="177">
        <f t="shared" si="1797"/>
        <v>7.3784101766797248E-3</v>
      </c>
      <c r="CV626" s="119">
        <f>VLOOKUP($H626,RoR!$E:$F,2,FALSE)</f>
        <v>3.6733333333333333E-2</v>
      </c>
      <c r="CW626" s="177">
        <v>1.924331376386168E-2</v>
      </c>
      <c r="CX626" s="177">
        <f t="shared" si="1795"/>
        <v>1.7490019569471653E-2</v>
      </c>
      <c r="CY626" s="177">
        <f t="shared" si="1798"/>
        <v>2.35235314318539E-2</v>
      </c>
      <c r="CZ626" s="177">
        <f t="shared" si="1799"/>
        <v>6.7122682943869583E-2</v>
      </c>
      <c r="DA626" s="187">
        <f t="shared" si="1790"/>
        <v>0.84681249999999997</v>
      </c>
      <c r="DB626" s="188">
        <f t="shared" si="1791"/>
        <v>1.3960631020522127</v>
      </c>
      <c r="DC626" s="188">
        <f t="shared" si="1792"/>
        <v>0.29441923774954631</v>
      </c>
      <c r="DD626" s="188">
        <f t="shared" si="1793"/>
        <v>0.76377954189366437</v>
      </c>
      <c r="DE626" s="188">
        <f t="shared" si="1794"/>
        <v>0.31393465103033691</v>
      </c>
      <c r="DF626" s="189">
        <f>INDEX('State Tax Lookup'!$D$7:$Z$91,MATCH(Calculation!$C626,'State Tax Lookup'!$B$7:$B$91,0),MATCH($H626,'State Tax Lookup'!$D$6:$Z$6,0))</f>
        <v>0.40849999999999997</v>
      </c>
      <c r="DG626" s="189">
        <v>0.375</v>
      </c>
      <c r="DH626" s="190">
        <f t="shared" si="1796"/>
        <v>22.431185555449371</v>
      </c>
      <c r="DI626" s="190">
        <v>22.090035446342554</v>
      </c>
      <c r="DJ626" s="177"/>
      <c r="DK626" s="189">
        <f>VLOOKUP($H626,RoR!$E:$F,2,FALSE)</f>
        <v>3.6733333333333333E-2</v>
      </c>
      <c r="DL626" s="191">
        <f>HLOOKUP($H626,'GDP-PI'!$D$8:$CQ$11,3,FALSE)</f>
        <v>1.924331376386168E-2</v>
      </c>
      <c r="DM626" s="189">
        <f>VLOOKUP(H626,'HW Dx Data'!$E:$F,2,FALSE)</f>
        <v>668.91932211262167</v>
      </c>
      <c r="DN626" s="183">
        <f>VLOOKUP(H626,'ECI - Input Price'!$G$17:$H$37,2,FALSE)</f>
        <v>116.5</v>
      </c>
      <c r="DO626" s="177">
        <f t="shared" ref="DO626" si="1836">LN(DN626/DN625)</f>
        <v>1.9064702204990347E-2</v>
      </c>
      <c r="DP626" s="183">
        <f>HLOOKUP(H626,'GDP-PI'!$8:$9,2,FALSE)</f>
        <v>100</v>
      </c>
      <c r="DQ626" s="177">
        <f t="shared" ref="DQ626" si="1837">LN(DP626/DP625)</f>
        <v>1.9060502738742411E-2</v>
      </c>
    </row>
    <row r="627" spans="1:121" s="167" customFormat="1" ht="21" x14ac:dyDescent="0.35">
      <c r="A627" s="167" t="s">
        <v>71</v>
      </c>
      <c r="B627" s="168" t="s">
        <v>71</v>
      </c>
      <c r="C627" s="168">
        <v>4061755</v>
      </c>
      <c r="D627" s="168" t="s">
        <v>145</v>
      </c>
      <c r="E627" s="168" t="s">
        <v>126</v>
      </c>
      <c r="F627" s="168"/>
      <c r="G627" s="168" t="s">
        <v>19</v>
      </c>
      <c r="H627" s="169">
        <v>2013</v>
      </c>
      <c r="I627" s="170"/>
      <c r="J627" s="166">
        <f>IFERROR(INDEX('Labor Expenditures'!$F$7:$X$91,MATCH($C627,'Labor Expenditures'!$D$7:$D$91,0),MATCH($G627,'Labor Expenditures'!$F$5:$X$5,0)),"NA")</f>
        <v>46363.346695503147</v>
      </c>
      <c r="K627" s="166">
        <f t="shared" si="1802"/>
        <v>390.51039541379782</v>
      </c>
      <c r="L627" s="172">
        <f t="shared" si="1809"/>
        <v>6.8611040378933189E-2</v>
      </c>
      <c r="M627" s="172">
        <f t="shared" si="1813"/>
        <v>1.2069989625664011E-3</v>
      </c>
      <c r="N627" s="196"/>
      <c r="O627" s="172"/>
      <c r="P627" s="166">
        <f>IFERROR(INDEX('Non-Labor Expenditures'!$F$7:$AB$91,MATCH($C627,'Non-Labor Expenditures'!$D$7:$D$91,0),MATCH($G627,'Non-Labor Expenditures'!$F$5:$AB$5,0)),"NA")</f>
        <v>67142.785493767165</v>
      </c>
      <c r="Q627" s="166">
        <f t="shared" si="1803"/>
        <v>659.73082736842946</v>
      </c>
      <c r="R627" s="172">
        <f t="shared" si="1814"/>
        <v>6.9955004791853098E-2</v>
      </c>
      <c r="S627" s="172">
        <f t="shared" si="1819"/>
        <v>1.2306418579832526E-3</v>
      </c>
      <c r="T627" s="172"/>
      <c r="U627" s="172"/>
      <c r="V627" s="166">
        <f t="shared" si="1784"/>
        <v>81497.846780469539</v>
      </c>
      <c r="W627" s="170"/>
      <c r="X627" s="174">
        <v>3803.9824630340781</v>
      </c>
      <c r="Y627" s="175">
        <v>2.7197701697428883E-2</v>
      </c>
      <c r="Z627" s="175">
        <f t="shared" si="1820"/>
        <v>4.784594075775992E-4</v>
      </c>
      <c r="AA627" s="175"/>
      <c r="AB627" s="175"/>
      <c r="AC627" s="170">
        <f t="shared" si="1677"/>
        <v>195003.97896973987</v>
      </c>
      <c r="AD627" s="175">
        <f t="shared" si="1815"/>
        <v>4.641906710269806E-2</v>
      </c>
      <c r="AE627" s="170"/>
      <c r="AF627" s="170"/>
      <c r="AG627" s="121">
        <f t="shared" si="1816"/>
        <v>391.00658876719109</v>
      </c>
      <c r="AH627" s="119">
        <f>+AZ627/$BB$51</f>
        <v>1.3685727263572544E-2</v>
      </c>
      <c r="AI627" s="119">
        <f>+AZ627/$BC$51</f>
        <v>5.8433229786192517E-2</v>
      </c>
      <c r="AJ627" s="176">
        <f t="shared" si="1821"/>
        <v>5.3512095321276449</v>
      </c>
      <c r="AK627" s="176">
        <f t="shared" si="1822"/>
        <v>22.84777784934856</v>
      </c>
      <c r="AL627" s="120">
        <f t="shared" si="1804"/>
        <v>0.2377559008818875</v>
      </c>
      <c r="AM627" s="120">
        <f t="shared" si="1805"/>
        <v>0.34431495115382327</v>
      </c>
      <c r="AN627" s="120">
        <f t="shared" si="1806"/>
        <v>0.41792914796428915</v>
      </c>
      <c r="AO627" s="120">
        <f t="shared" si="1810"/>
        <v>5.1271178282258578E-2</v>
      </c>
      <c r="AP627" s="173">
        <f t="shared" si="1826"/>
        <v>125.06288700743352</v>
      </c>
      <c r="AQ627" s="175">
        <f t="shared" si="1827"/>
        <v>5.1271178282258585E-2</v>
      </c>
      <c r="AR627" s="177">
        <f>+AC627/$AE$51</f>
        <v>1.7591905849266301E-2</v>
      </c>
      <c r="AS627" s="177">
        <f t="shared" si="1823"/>
        <v>9.0195774112244011E-4</v>
      </c>
      <c r="AT627" s="177"/>
      <c r="AU627" s="177"/>
      <c r="AV627" s="177"/>
      <c r="AW627" s="190"/>
      <c r="AX627" s="120"/>
      <c r="AY627" s="120"/>
      <c r="AZ627" s="118">
        <f>IFERROR(INDEX('Total Customers'!$F$7:$AB$91,MATCH($C627,'Total Customers'!$D$7:$D$91,0),MATCH($G627,'Total Customers'!$F$5:$AB$5,0)),"NA")</f>
        <v>498723</v>
      </c>
      <c r="BA627" s="119">
        <f t="shared" si="1785"/>
        <v>3.3139348020020895E-3</v>
      </c>
      <c r="BB627" s="119"/>
      <c r="BC627" s="121">
        <v>8534921</v>
      </c>
      <c r="BD627" s="119"/>
      <c r="BE627" s="119"/>
      <c r="BF627" s="119"/>
      <c r="BG627" s="173"/>
      <c r="BH627" s="173"/>
      <c r="BI627" s="173"/>
      <c r="BJ627" s="173"/>
      <c r="BK627" s="173"/>
      <c r="BL627" s="173"/>
      <c r="BM627" s="173"/>
      <c r="BN627" s="173"/>
      <c r="BO627" s="173"/>
      <c r="BP627" s="173"/>
      <c r="BQ627" s="118"/>
      <c r="BR627" s="118"/>
      <c r="BS627" s="118">
        <f>INDEX('Dist. Plant Gas Additions'!$F$7:$AE$91,MATCH($C627,'Dist. Plant Gas Additions'!$D$7:$D$91,0),MATCH(Calculation!$G627,'Dist. Plant Gas Additions'!$F$5:$AE$5,0))</f>
        <v>81631</v>
      </c>
      <c r="BT627" s="118">
        <f>INDEX('Gen. Plant Additions'!$F$7:$AE$91,MATCH($C627,'Gen. Plant Additions'!$D$7:$D$91,0),MATCH(Calculation!$G627,'Gen. Plant Additions'!$F$5:$AE$5,0))</f>
        <v>5474</v>
      </c>
      <c r="BU627" s="118"/>
      <c r="BV627" s="118"/>
      <c r="BW627" s="118">
        <f>INDEX('Dist Plant Depreciation'!$E$7:$AD$94,MATCH($C627,'Dist Plant Depreciation'!$D$7:$D$94,0),MATCH(Calculation!$G627,'Dist Plant Depreciation'!$E$5:$AD$5,0))</f>
        <v>356226</v>
      </c>
      <c r="BX627" s="118">
        <f>INDEX('Gen. Plant Depreciation'!$E$7:$AD$94,MATCH($C627,'Gen. Plant Depreciation'!$D$7:$D$94,0),MATCH(Calculation!$G627,'Gen. Plant Depreciation'!$E$5:$AD$5,0))</f>
        <v>30468</v>
      </c>
      <c r="BY627" s="118"/>
      <c r="BZ627" s="118"/>
      <c r="CA627" s="118"/>
      <c r="CB627" s="118"/>
      <c r="CC627" s="118"/>
      <c r="CD627" s="118"/>
      <c r="CE627" s="118">
        <f>INDEX('Gross Dx Plant'!$E$7:$AD$91,MATCH($C627,'Gross Dx Plant'!$D$7:$D$91,0),MATCH(Calculation!$G627,'Gross Dx Plant'!$E$5:$AD$5,0))</f>
        <v>1227014</v>
      </c>
      <c r="CF627" s="118">
        <f>INDEX('Gross Gen Plant'!$E$7:$AD$91,MATCH($C627,'Gross Gen Plant'!$D$7:$D$91,0),MATCH(Calculation!$G627,'Gross Gen Plant'!$E$5:$AD$5,0))</f>
        <v>57944</v>
      </c>
      <c r="CG627" s="118">
        <f t="shared" si="1720"/>
        <v>898264</v>
      </c>
      <c r="CH627" s="118"/>
      <c r="CI627" s="121">
        <v>2013</v>
      </c>
      <c r="CJ627" s="118"/>
      <c r="CK627" s="118"/>
      <c r="CL627" s="118"/>
      <c r="CM627" s="183"/>
      <c r="CN627" s="118">
        <f t="shared" si="1786"/>
        <v>87105</v>
      </c>
      <c r="CO627" s="118">
        <f t="shared" si="1787"/>
        <v>131.33088489806835</v>
      </c>
      <c r="CP627" s="186">
        <v>0.90566037735849059</v>
      </c>
      <c r="CQ627" s="118">
        <f>+CQ612*CP627+CO613*CP626+CO614*CP625+CO615*CP624+CO616*CP623+CO617*CP622+CO618*CP621+CO619*CP620+CO620*CP619+CO621*CP618+CO622*CP617+CO623*CP616+CO624*CP615+CO625*CP614+CO626*CP613+CO627</f>
        <v>3803.9824630340781</v>
      </c>
      <c r="CR627" s="119">
        <f t="shared" si="1788"/>
        <v>2.7197701697428883E-2</v>
      </c>
      <c r="CS627" s="119"/>
      <c r="CT627" s="177">
        <f t="shared" si="1789"/>
        <v>7.9055165246372239E-3</v>
      </c>
      <c r="CU627" s="177">
        <f t="shared" si="1797"/>
        <v>7.6362709021256621E-3</v>
      </c>
      <c r="CV627" s="119">
        <f>VLOOKUP($H627,RoR!$E:$F,2,FALSE)</f>
        <v>4.2350000000000006E-2</v>
      </c>
      <c r="CW627" s="177">
        <v>1.7730000000000024E-2</v>
      </c>
      <c r="CX627" s="177">
        <f t="shared" si="1795"/>
        <v>2.4619999999999982E-2</v>
      </c>
      <c r="CY627" s="177">
        <f t="shared" si="1798"/>
        <v>2.3265670706407962E-2</v>
      </c>
      <c r="CZ627" s="177">
        <f t="shared" si="1799"/>
        <v>5.3376742735721204E-2</v>
      </c>
      <c r="DA627" s="187">
        <f t="shared" si="1790"/>
        <v>0.84681249999999997</v>
      </c>
      <c r="DB627" s="188">
        <f t="shared" si="1791"/>
        <v>1.2109103018193925</v>
      </c>
      <c r="DC627" s="188">
        <f t="shared" si="1792"/>
        <v>0.38468122786304604</v>
      </c>
      <c r="DD627" s="188">
        <f t="shared" si="1793"/>
        <v>0.80969194503422559</v>
      </c>
      <c r="DE627" s="188">
        <f t="shared" si="1794"/>
        <v>0.37716621754800816</v>
      </c>
      <c r="DF627" s="189">
        <f>INDEX('State Tax Lookup'!$D$7:$Z$91,MATCH(Calculation!$C627,'State Tax Lookup'!$B$7:$B$91,0),MATCH($H627,'State Tax Lookup'!$D$6:$Z$6,0))</f>
        <v>0.40849999999999997</v>
      </c>
      <c r="DG627" s="189">
        <v>0.375</v>
      </c>
      <c r="DH627" s="190">
        <f t="shared" si="1796"/>
        <v>22.015038041550351</v>
      </c>
      <c r="DI627" s="190">
        <v>21.648358028867325</v>
      </c>
      <c r="DJ627" s="177"/>
      <c r="DK627" s="189">
        <f>VLOOKUP($H627,RoR!$E:$F,2,FALSE)</f>
        <v>4.2350000000000006E-2</v>
      </c>
      <c r="DL627" s="191">
        <f>HLOOKUP($H627,'GDP-PI'!$D$8:$CQ$11,3,FALSE)</f>
        <v>1.7730000000000024E-2</v>
      </c>
      <c r="DM627" s="189">
        <f>VLOOKUP(H627,'HW Dx Data'!$E:$F,2,FALSE)</f>
        <v>663.24840548821396</v>
      </c>
      <c r="DN627" s="183">
        <f>VLOOKUP(H627,'ECI - Input Price'!$G$17:$H$37,2,FALSE)</f>
        <v>118.72499999999999</v>
      </c>
      <c r="DO627" s="177">
        <f t="shared" ref="DO627" si="1838">LN(DN627/DN626)</f>
        <v>1.8918621429430321E-2</v>
      </c>
      <c r="DP627" s="183">
        <f>HLOOKUP(H627,'GDP-PI'!$8:$9,2,FALSE)</f>
        <v>101.773</v>
      </c>
      <c r="DQ627" s="177">
        <f t="shared" ref="DQ627" si="1839">LN(DP627/DP626)</f>
        <v>1.7574657016510519E-2</v>
      </c>
    </row>
    <row r="628" spans="1:121" s="167" customFormat="1" ht="21" x14ac:dyDescent="0.35">
      <c r="A628" s="167" t="s">
        <v>71</v>
      </c>
      <c r="B628" s="168" t="s">
        <v>71</v>
      </c>
      <c r="C628" s="168">
        <v>4061755</v>
      </c>
      <c r="D628" s="168" t="s">
        <v>145</v>
      </c>
      <c r="E628" s="168" t="s">
        <v>126</v>
      </c>
      <c r="F628" s="168"/>
      <c r="G628" s="168" t="s">
        <v>20</v>
      </c>
      <c r="H628" s="169">
        <v>2014</v>
      </c>
      <c r="I628" s="170"/>
      <c r="J628" s="166">
        <f>IFERROR(INDEX('Labor Expenditures'!$F$7:$X$91,MATCH($C628,'Labor Expenditures'!$D$7:$D$91,0),MATCH($G628,'Labor Expenditures'!$F$5:$X$5,0)),"NA")</f>
        <v>53782.709430029819</v>
      </c>
      <c r="K628" s="166">
        <f t="shared" si="1802"/>
        <v>443.75172797054307</v>
      </c>
      <c r="L628" s="172">
        <f t="shared" si="1809"/>
        <v>0.12781064509678378</v>
      </c>
      <c r="M628" s="172">
        <f t="shared" si="1813"/>
        <v>2.4397571125146724E-3</v>
      </c>
      <c r="N628" s="196"/>
      <c r="O628" s="172"/>
      <c r="P628" s="166">
        <f>IFERROR(INDEX('Non-Labor Expenditures'!$F$7:$AB$91,MATCH($C628,'Non-Labor Expenditures'!$D$7:$D$91,0),MATCH($G628,'Non-Labor Expenditures'!$F$5:$AB$5,0)),"NA")</f>
        <v>77887.408479171514</v>
      </c>
      <c r="Q628" s="166">
        <f t="shared" si="1803"/>
        <v>751.46804518385977</v>
      </c>
      <c r="R628" s="172">
        <f t="shared" si="1814"/>
        <v>0.13019677239855618</v>
      </c>
      <c r="S628" s="172">
        <f t="shared" si="1819"/>
        <v>2.4853055177469306E-3</v>
      </c>
      <c r="T628" s="172"/>
      <c r="U628" s="172"/>
      <c r="V628" s="166">
        <f t="shared" si="1784"/>
        <v>85557.180785200733</v>
      </c>
      <c r="W628" s="170"/>
      <c r="X628" s="174">
        <v>3932.8695786148382</v>
      </c>
      <c r="Y628" s="175">
        <v>3.3320797576064438E-2</v>
      </c>
      <c r="Z628" s="175">
        <f t="shared" si="1820"/>
        <v>6.3605541478415207E-4</v>
      </c>
      <c r="AA628" s="175"/>
      <c r="AB628" s="175"/>
      <c r="AC628" s="170">
        <f t="shared" si="1677"/>
        <v>217227.29869440207</v>
      </c>
      <c r="AD628" s="175">
        <f t="shared" si="1815"/>
        <v>0.10792430143023458</v>
      </c>
      <c r="AE628" s="170"/>
      <c r="AF628" s="170"/>
      <c r="AG628" s="121">
        <f t="shared" si="1816"/>
        <v>430.44201690719524</v>
      </c>
      <c r="AH628" s="119">
        <f>+AZ628/$BB$52</f>
        <v>1.3774334356146179E-2</v>
      </c>
      <c r="AI628" s="119">
        <f>+AZ628/$BC$52</f>
        <v>5.8683190240092914E-2</v>
      </c>
      <c r="AJ628" s="176">
        <f t="shared" si="1821"/>
        <v>5.9290522618136343</v>
      </c>
      <c r="AK628" s="176">
        <f t="shared" si="1822"/>
        <v>25.25971076549423</v>
      </c>
      <c r="AL628" s="120">
        <f t="shared" si="1804"/>
        <v>0.24758724963795628</v>
      </c>
      <c r="AM628" s="120">
        <f t="shared" si="1805"/>
        <v>0.35855258039526811</v>
      </c>
      <c r="AN628" s="120">
        <f t="shared" si="1806"/>
        <v>0.39386016996677564</v>
      </c>
      <c r="AO628" s="120">
        <f t="shared" si="1810"/>
        <v>9.0296286364935571E-2</v>
      </c>
      <c r="AP628" s="173">
        <f t="shared" si="1826"/>
        <v>136.88114481878674</v>
      </c>
      <c r="AQ628" s="175">
        <f t="shared" si="1827"/>
        <v>9.029628636493553E-2</v>
      </c>
      <c r="AR628" s="177">
        <f>+AC628/$AE$52</f>
        <v>1.9088841235932907E-2</v>
      </c>
      <c r="AS628" s="177">
        <f t="shared" si="1823"/>
        <v>1.7236514746145877E-3</v>
      </c>
      <c r="AT628" s="177"/>
      <c r="AU628" s="177"/>
      <c r="AV628" s="177"/>
      <c r="AW628" s="190"/>
      <c r="AX628" s="120"/>
      <c r="AY628" s="120"/>
      <c r="AZ628" s="118">
        <f>IFERROR(INDEX('Total Customers'!$F$7:$AB$91,MATCH($C628,'Total Customers'!$D$7:$D$91,0),MATCH($G628,'Total Customers'!$F$5:$AB$5,0)),"NA")</f>
        <v>504661</v>
      </c>
      <c r="BA628" s="119">
        <f t="shared" si="1785"/>
        <v>1.1836085332201219E-2</v>
      </c>
      <c r="BB628" s="119"/>
      <c r="BC628" s="121">
        <v>8599754</v>
      </c>
      <c r="BD628" s="119"/>
      <c r="BE628" s="119"/>
      <c r="BF628" s="119"/>
      <c r="BG628" s="173"/>
      <c r="BH628" s="173"/>
      <c r="BI628" s="173"/>
      <c r="BJ628" s="173"/>
      <c r="BK628" s="173"/>
      <c r="BL628" s="173"/>
      <c r="BM628" s="173"/>
      <c r="BN628" s="173"/>
      <c r="BO628" s="173"/>
      <c r="BP628" s="173"/>
      <c r="BQ628" s="118"/>
      <c r="BR628" s="118"/>
      <c r="BS628" s="118">
        <f>INDEX('Dist. Plant Gas Additions'!$F$7:$AE$91,MATCH($C628,'Dist. Plant Gas Additions'!$D$7:$D$91,0),MATCH(Calculation!$G628,'Dist. Plant Gas Additions'!$F$5:$AE$5,0))</f>
        <v>103472</v>
      </c>
      <c r="BT628" s="118">
        <f>INDEX('Gen. Plant Additions'!$F$7:$AE$91,MATCH($C628,'Gen. Plant Additions'!$D$7:$D$91,0),MATCH(Calculation!$G628,'Gen. Plant Additions'!$F$5:$AE$5,0))</f>
        <v>5972</v>
      </c>
      <c r="BU628" s="118"/>
      <c r="BV628" s="118"/>
      <c r="BW628" s="118">
        <f>INDEX('Dist Plant Depreciation'!$E$7:$AD$94,MATCH($C628,'Dist Plant Depreciation'!$D$7:$D$94,0),MATCH(Calculation!$G628,'Dist Plant Depreciation'!$E$5:$AD$5,0))</f>
        <v>354004</v>
      </c>
      <c r="BX628" s="118">
        <f>INDEX('Gen. Plant Depreciation'!$E$7:$AD$94,MATCH($C628,'Gen. Plant Depreciation'!$D$7:$D$94,0),MATCH(Calculation!$G628,'Gen. Plant Depreciation'!$E$5:$AD$5,0))</f>
        <v>32063</v>
      </c>
      <c r="BY628" s="118"/>
      <c r="BZ628" s="118"/>
      <c r="CA628" s="118"/>
      <c r="CB628" s="118"/>
      <c r="CC628" s="118"/>
      <c r="CD628" s="118"/>
      <c r="CE628" s="118">
        <f>INDEX('Gross Dx Plant'!$E$7:$AD$91,MATCH($C628,'Gross Dx Plant'!$D$7:$D$91,0),MATCH(Calculation!$G628,'Gross Dx Plant'!$E$5:$AD$5,0))</f>
        <v>1316836</v>
      </c>
      <c r="CF628" s="118">
        <f>INDEX('Gross Gen Plant'!$E$7:$AD$91,MATCH($C628,'Gross Gen Plant'!$D$7:$D$91,0),MATCH(Calculation!$G628,'Gross Gen Plant'!$E$5:$AD$5,0))</f>
        <v>61095</v>
      </c>
      <c r="CG628" s="118">
        <f t="shared" si="1720"/>
        <v>991864</v>
      </c>
      <c r="CH628" s="118"/>
      <c r="CI628" s="121">
        <v>2014</v>
      </c>
      <c r="CJ628" s="118"/>
      <c r="CK628" s="118"/>
      <c r="CL628" s="118"/>
      <c r="CM628" s="183"/>
      <c r="CN628" s="118">
        <f t="shared" si="1786"/>
        <v>109444</v>
      </c>
      <c r="CO628" s="118">
        <f t="shared" si="1787"/>
        <v>159.89617814504729</v>
      </c>
      <c r="CP628" s="186">
        <v>0.89743589743589747</v>
      </c>
      <c r="CQ628" s="118">
        <f>+CQ612*CP628+CO613*CP627+CO614*CP626+CO615*CP625+CO616*CP624+CO617*CP623+CO618*CP622+CO619*CP621+CO620*CP620+CO621*CP619+CO622*CP618+CO623*CP617+CO624*CP616+CO625*CP615+CO626*CP614+CO627*CP613+CO628</f>
        <v>3932.8695786148382</v>
      </c>
      <c r="CR628" s="119">
        <f t="shared" si="1788"/>
        <v>3.3320797576064438E-2</v>
      </c>
      <c r="CS628" s="119"/>
      <c r="CT628" s="177">
        <f t="shared" si="1789"/>
        <v>8.151736467142956E-3</v>
      </c>
      <c r="CU628" s="177">
        <f t="shared" si="1797"/>
        <v>7.8922736396277466E-3</v>
      </c>
      <c r="CV628" s="119">
        <f>VLOOKUP($H628,RoR!$E:$F,2,FALSE)</f>
        <v>4.1625000000000002E-2</v>
      </c>
      <c r="CW628" s="177">
        <v>1.841352814597208E-2</v>
      </c>
      <c r="CX628" s="177">
        <f t="shared" si="1795"/>
        <v>2.3211471854027922E-2</v>
      </c>
      <c r="CY628" s="177">
        <f t="shared" si="1798"/>
        <v>2.3009667968905877E-2</v>
      </c>
      <c r="CZ628" s="177">
        <f t="shared" si="1799"/>
        <v>3.9072621432650924E-2</v>
      </c>
      <c r="DA628" s="187">
        <f t="shared" si="1790"/>
        <v>0.84681249999999997</v>
      </c>
      <c r="DB628" s="188">
        <f t="shared" si="1791"/>
        <v>1.2320012320012319</v>
      </c>
      <c r="DC628" s="188">
        <f t="shared" si="1792"/>
        <v>0.37439939939939942</v>
      </c>
      <c r="DD628" s="188">
        <f t="shared" si="1793"/>
        <v>0.80432100613819935</v>
      </c>
      <c r="DE628" s="188">
        <f t="shared" si="1794"/>
        <v>0.37100152660040037</v>
      </c>
      <c r="DF628" s="189">
        <f>INDEX('State Tax Lookup'!$D$7:$Z$91,MATCH(Calculation!$C628,'State Tax Lookup'!$B$7:$B$91,0),MATCH($H628,'State Tax Lookup'!$D$6:$Z$6,0))</f>
        <v>0.40849999999999997</v>
      </c>
      <c r="DG628" s="189">
        <v>0.375</v>
      </c>
      <c r="DH628" s="190">
        <f t="shared" si="1796"/>
        <v>22.491476134976669</v>
      </c>
      <c r="DI628" s="190">
        <v>22.111454654382495</v>
      </c>
      <c r="DJ628" s="177"/>
      <c r="DK628" s="189">
        <f>VLOOKUP($H628,RoR!$E:$F,2,FALSE)</f>
        <v>4.1625000000000002E-2</v>
      </c>
      <c r="DL628" s="191">
        <f>HLOOKUP($H628,'GDP-PI'!$D$8:$CQ$11,3,FALSE)</f>
        <v>1.841352814597208E-2</v>
      </c>
      <c r="DM628" s="189">
        <f>VLOOKUP(H628,'HW Dx Data'!$E:$F,2,FALSE)</f>
        <v>684.46914285042885</v>
      </c>
      <c r="DN628" s="183">
        <f>VLOOKUP(H628,'ECI - Input Price'!$G$17:$H$37,2,FALSE)</f>
        <v>121.2</v>
      </c>
      <c r="DO628" s="177">
        <f t="shared" ref="DO628" si="1840">LN(DN628/DN627)</f>
        <v>2.0632179200028689E-2</v>
      </c>
      <c r="DP628" s="183">
        <f>HLOOKUP(H628,'GDP-PI'!$8:$9,2,FALSE)</f>
        <v>103.64700000000001</v>
      </c>
      <c r="DQ628" s="177">
        <f t="shared" ref="DQ628" si="1841">LN(DP628/DP627)</f>
        <v>1.8246051898256087E-2</v>
      </c>
    </row>
    <row r="629" spans="1:121" s="167" customFormat="1" ht="21" x14ac:dyDescent="0.35">
      <c r="A629" s="167" t="s">
        <v>71</v>
      </c>
      <c r="B629" s="168" t="s">
        <v>71</v>
      </c>
      <c r="C629" s="168">
        <v>4061755</v>
      </c>
      <c r="D629" s="168" t="s">
        <v>145</v>
      </c>
      <c r="E629" s="168" t="s">
        <v>126</v>
      </c>
      <c r="F629" s="168"/>
      <c r="G629" s="168" t="s">
        <v>21</v>
      </c>
      <c r="H629" s="169">
        <v>2015</v>
      </c>
      <c r="I629" s="170"/>
      <c r="J629" s="166">
        <f>IFERROR(INDEX('Labor Expenditures'!$F$7:$X$91,MATCH($C629,'Labor Expenditures'!$D$7:$D$91,0),MATCH($G629,'Labor Expenditures'!$F$5:$X$5,0)),"NA")</f>
        <v>54056.383793694418</v>
      </c>
      <c r="K629" s="166">
        <f t="shared" si="1802"/>
        <v>436.81926297934882</v>
      </c>
      <c r="L629" s="172">
        <f t="shared" si="1809"/>
        <v>-1.574571111441329E-2</v>
      </c>
      <c r="M629" s="172">
        <f t="shared" si="1813"/>
        <v>-2.9982421296101402E-4</v>
      </c>
      <c r="N629" s="196"/>
      <c r="O629" s="172"/>
      <c r="P629" s="166">
        <f>IFERROR(INDEX('Non-Labor Expenditures'!$F$7:$AB$91,MATCH($C629,'Non-Labor Expenditures'!$D$7:$D$91,0),MATCH($G629,'Non-Labor Expenditures'!$F$5:$AB$5,0)),"NA")</f>
        <v>78283.740073078152</v>
      </c>
      <c r="Q629" s="166">
        <f t="shared" si="1803"/>
        <v>748.13157687934859</v>
      </c>
      <c r="R629" s="172">
        <f t="shared" si="1814"/>
        <v>-4.4498194862706529E-3</v>
      </c>
      <c r="S629" s="172">
        <f t="shared" si="1819"/>
        <v>-8.4731874959170138E-5</v>
      </c>
      <c r="T629" s="172"/>
      <c r="U629" s="172"/>
      <c r="V629" s="166">
        <f t="shared" si="1784"/>
        <v>86538.578201946191</v>
      </c>
      <c r="W629" s="170"/>
      <c r="X629" s="174">
        <v>4092.3042692869158</v>
      </c>
      <c r="Y629" s="175">
        <v>3.9738870322940156E-2</v>
      </c>
      <c r="Z629" s="175">
        <f t="shared" si="1820"/>
        <v>7.5669338983546373E-4</v>
      </c>
      <c r="AA629" s="175"/>
      <c r="AB629" s="175"/>
      <c r="AC629" s="170">
        <f t="shared" si="1677"/>
        <v>218878.70206871876</v>
      </c>
      <c r="AD629" s="175">
        <f t="shared" si="1815"/>
        <v>7.5734397816739326E-3</v>
      </c>
      <c r="AE629" s="170"/>
      <c r="AF629" s="170"/>
      <c r="AG629" s="121">
        <f t="shared" si="1816"/>
        <v>426.95126755560517</v>
      </c>
      <c r="AH629" s="119">
        <f>+AZ629/$BB$53</f>
        <v>1.3879070759308623E-2</v>
      </c>
      <c r="AI629" s="119">
        <f>+AZ629/$BC$53</f>
        <v>5.9204128276939348E-2</v>
      </c>
      <c r="AJ629" s="176">
        <f t="shared" si="1821"/>
        <v>5.9256868531807525</v>
      </c>
      <c r="AK629" s="176">
        <f t="shared" si="1822"/>
        <v>25.2772776123639</v>
      </c>
      <c r="AL629" s="120">
        <f t="shared" si="1804"/>
        <v>0.2469695922115025</v>
      </c>
      <c r="AM629" s="120">
        <f t="shared" si="1805"/>
        <v>0.35765809707926871</v>
      </c>
      <c r="AN629" s="120">
        <f t="shared" si="1806"/>
        <v>0.39537231070922879</v>
      </c>
      <c r="AO629" s="120">
        <f t="shared" si="1810"/>
        <v>1.019452490695833E-2</v>
      </c>
      <c r="AP629" s="173">
        <f t="shared" si="1826"/>
        <v>138.28372020654061</v>
      </c>
      <c r="AQ629" s="175">
        <f t="shared" si="1827"/>
        <v>1.0194524906958333E-2</v>
      </c>
      <c r="AR629" s="177">
        <f>+AC629/$AE$53</f>
        <v>1.9041643199370101E-2</v>
      </c>
      <c r="AS629" s="177">
        <f t="shared" si="1823"/>
        <v>1.9412050586539226E-4</v>
      </c>
      <c r="AT629" s="177"/>
      <c r="AU629" s="177"/>
      <c r="AV629" s="177"/>
      <c r="AW629" s="190"/>
      <c r="AX629" s="120"/>
      <c r="AY629" s="120"/>
      <c r="AZ629" s="118">
        <f>IFERROR(INDEX('Total Customers'!$F$7:$AB$91,MATCH($C629,'Total Customers'!$D$7:$D$91,0),MATCH($G629,'Total Customers'!$F$5:$AB$5,0)),"NA")</f>
        <v>512655</v>
      </c>
      <c r="BA629" s="119">
        <f t="shared" si="1785"/>
        <v>1.5716187578932707E-2</v>
      </c>
      <c r="BB629" s="119"/>
      <c r="BC629" s="121">
        <v>8659109</v>
      </c>
      <c r="BD629" s="119"/>
      <c r="BE629" s="119"/>
      <c r="BF629" s="119"/>
      <c r="BG629" s="173"/>
      <c r="BH629" s="173"/>
      <c r="BI629" s="173"/>
      <c r="BJ629" s="173"/>
      <c r="BK629" s="173"/>
      <c r="BL629" s="173"/>
      <c r="BM629" s="173"/>
      <c r="BN629" s="173"/>
      <c r="BO629" s="173"/>
      <c r="BP629" s="173"/>
      <c r="BQ629" s="118"/>
      <c r="BR629" s="118"/>
      <c r="BS629" s="118">
        <f>INDEX('Dist. Plant Gas Additions'!$F$7:$AE$91,MATCH($C629,'Dist. Plant Gas Additions'!$D$7:$D$91,0),MATCH(Calculation!$G629,'Dist. Plant Gas Additions'!$F$5:$AE$5,0))</f>
        <v>120059</v>
      </c>
      <c r="BT629" s="118">
        <f>INDEX('Gen. Plant Additions'!$F$7:$AE$91,MATCH($C629,'Gen. Plant Additions'!$D$7:$D$91,0),MATCH(Calculation!$G629,'Gen. Plant Additions'!$F$5:$AE$5,0))</f>
        <v>9937</v>
      </c>
      <c r="BU629" s="118"/>
      <c r="BV629" s="118"/>
      <c r="BW629" s="118">
        <f>INDEX('Dist Plant Depreciation'!$E$7:$AD$94,MATCH($C629,'Dist Plant Depreciation'!$D$7:$D$94,0),MATCH(Calculation!$G629,'Dist Plant Depreciation'!$E$5:$AD$5,0))</f>
        <v>363585</v>
      </c>
      <c r="BX629" s="118">
        <f>INDEX('Gen. Plant Depreciation'!$E$7:$AD$94,MATCH($C629,'Gen. Plant Depreciation'!$D$7:$D$94,0),MATCH(Calculation!$G629,'Gen. Plant Depreciation'!$E$5:$AD$5,0))</f>
        <v>37325</v>
      </c>
      <c r="BY629" s="118"/>
      <c r="BZ629" s="118"/>
      <c r="CA629" s="118"/>
      <c r="CB629" s="118"/>
      <c r="CC629" s="118"/>
      <c r="CD629" s="118"/>
      <c r="CE629" s="118">
        <f>INDEX('Gross Dx Plant'!$E$7:$AD$91,MATCH($C629,'Gross Dx Plant'!$D$7:$D$91,0),MATCH(Calculation!$G629,'Gross Dx Plant'!$E$5:$AD$5,0))</f>
        <v>1438374</v>
      </c>
      <c r="CF629" s="118">
        <f>INDEX('Gross Gen Plant'!$E$7:$AD$91,MATCH($C629,'Gross Gen Plant'!$D$7:$D$91,0),MATCH(Calculation!$G629,'Gross Gen Plant'!$E$5:$AD$5,0))</f>
        <v>71033</v>
      </c>
      <c r="CG629" s="118">
        <f t="shared" si="1720"/>
        <v>1108497</v>
      </c>
      <c r="CH629" s="118"/>
      <c r="CI629" s="121">
        <v>2015</v>
      </c>
      <c r="CJ629" s="118"/>
      <c r="CK629" s="118"/>
      <c r="CL629" s="118"/>
      <c r="CM629" s="183"/>
      <c r="CN629" s="118">
        <f t="shared" si="1786"/>
        <v>129996</v>
      </c>
      <c r="CO629" s="118">
        <f t="shared" si="1787"/>
        <v>192.41146303491334</v>
      </c>
      <c r="CP629" s="186">
        <v>0.88888888888888884</v>
      </c>
      <c r="CQ629" s="118">
        <f>+CQ612*CP629+CO613*CP628+CO614*CP627+CO615*CP626+CO616*CP625+CO617*CP624+CO618*CP623+CO619*CP622+CO620*CP621+CO621*CP620+CO622*CP619+CO623*CP618+CO624*CP617+CO625*CP616+CO626*CP615+CO627*CP614+CO628*CP613+CO629</f>
        <v>4092.3042692869158</v>
      </c>
      <c r="CR629" s="119">
        <f t="shared" si="1788"/>
        <v>3.9738870322940156E-2</v>
      </c>
      <c r="CS629" s="119"/>
      <c r="CT629" s="177">
        <f t="shared" si="1789"/>
        <v>8.3849137897042281E-3</v>
      </c>
      <c r="CU629" s="177">
        <f t="shared" si="1797"/>
        <v>8.1473889271614693E-3</v>
      </c>
      <c r="CV629" s="119">
        <f>VLOOKUP($H629,RoR!$E:$F,2,FALSE)</f>
        <v>3.8866666666666674E-2</v>
      </c>
      <c r="CW629" s="177">
        <v>9.5709475431029478E-3</v>
      </c>
      <c r="CX629" s="177">
        <f t="shared" si="1795"/>
        <v>2.9295719123563727E-2</v>
      </c>
      <c r="CY629" s="177">
        <f t="shared" si="1798"/>
        <v>2.2754552681372157E-2</v>
      </c>
      <c r="CZ629" s="177">
        <f t="shared" si="1799"/>
        <v>3.5270373279175926E-3</v>
      </c>
      <c r="DA629" s="187">
        <f t="shared" si="1790"/>
        <v>0.84681249999999997</v>
      </c>
      <c r="DB629" s="188">
        <f t="shared" si="1791"/>
        <v>1.3194352816994324</v>
      </c>
      <c r="DC629" s="188">
        <f t="shared" si="1792"/>
        <v>0.33177530017152673</v>
      </c>
      <c r="DD629" s="188">
        <f t="shared" si="1793"/>
        <v>0.78242572977668579</v>
      </c>
      <c r="DE629" s="188">
        <f t="shared" si="1794"/>
        <v>0.34251158643433932</v>
      </c>
      <c r="DF629" s="189">
        <f>INDEX('State Tax Lookup'!$D$7:$Z$91,MATCH(Calculation!$C629,'State Tax Lookup'!$B$7:$B$91,0),MATCH($H629,'State Tax Lookup'!$D$6:$Z$6,0))</f>
        <v>0.40849999999999997</v>
      </c>
      <c r="DG629" s="189">
        <v>0.375</v>
      </c>
      <c r="DH629" s="190">
        <f t="shared" si="1796"/>
        <v>22.003927786597284</v>
      </c>
      <c r="DI629" s="190">
        <v>21.623503200173658</v>
      </c>
      <c r="DJ629" s="177"/>
      <c r="DK629" s="189">
        <f>VLOOKUP($H629,RoR!$E:$F,2,FALSE)</f>
        <v>3.8866666666666674E-2</v>
      </c>
      <c r="DL629" s="191">
        <f>HLOOKUP($H629,'GDP-PI'!$D$8:$CQ$11,3,FALSE)</f>
        <v>9.5709475431029478E-3</v>
      </c>
      <c r="DM629" s="189">
        <f>VLOOKUP(H629,'HW Dx Data'!$E:$F,2,FALSE)</f>
        <v>675.61463308665782</v>
      </c>
      <c r="DN629" s="183">
        <f>VLOOKUP(H629,'ECI - Input Price'!$G$17:$H$37,2,FALSE)</f>
        <v>123.75</v>
      </c>
      <c r="DO629" s="177">
        <f t="shared" ref="DO629" si="1842">LN(DN629/DN628)</f>
        <v>2.0821327813585516E-2</v>
      </c>
      <c r="DP629" s="183">
        <f>HLOOKUP(H629,'GDP-PI'!$8:$9,2,FALSE)</f>
        <v>104.639</v>
      </c>
      <c r="DQ629" s="177">
        <f t="shared" ref="DQ629" si="1843">LN(DP629/DP628)</f>
        <v>9.5254361854427965E-3</v>
      </c>
    </row>
    <row r="630" spans="1:121" s="167" customFormat="1" ht="21" x14ac:dyDescent="0.35">
      <c r="A630" s="167" t="s">
        <v>71</v>
      </c>
      <c r="B630" s="168" t="s">
        <v>71</v>
      </c>
      <c r="C630" s="168">
        <v>4061755</v>
      </c>
      <c r="D630" s="168" t="s">
        <v>145</v>
      </c>
      <c r="E630" s="168" t="s">
        <v>126</v>
      </c>
      <c r="F630" s="168"/>
      <c r="G630" s="168" t="s">
        <v>22</v>
      </c>
      <c r="H630" s="169">
        <v>2016</v>
      </c>
      <c r="I630" s="170"/>
      <c r="J630" s="166">
        <f>IFERROR(INDEX('Labor Expenditures'!$F$7:$X$91,MATCH($C630,'Labor Expenditures'!$D$7:$D$91,0),MATCH($G630,'Labor Expenditures'!$F$5:$X$5,0)),"NA")</f>
        <v>53805.595754100235</v>
      </c>
      <c r="K630" s="166">
        <f t="shared" si="1802"/>
        <v>425.67718159889426</v>
      </c>
      <c r="L630" s="172">
        <f t="shared" si="1809"/>
        <v>-2.5838254358072341E-2</v>
      </c>
      <c r="M630" s="172">
        <f t="shared" si="1813"/>
        <v>-4.7842250237023585E-4</v>
      </c>
      <c r="N630" s="196"/>
      <c r="O630" s="172"/>
      <c r="P630" s="166">
        <f>IFERROR(INDEX('Non-Labor Expenditures'!$F$7:$AB$91,MATCH($C630,'Non-Labor Expenditures'!$D$7:$D$91,0),MATCH($G630,'Non-Labor Expenditures'!$F$5:$AB$5,0)),"NA")</f>
        <v>77920.552151001175</v>
      </c>
      <c r="Q630" s="166">
        <f t="shared" si="1803"/>
        <v>736.93493371227555</v>
      </c>
      <c r="R630" s="172">
        <f t="shared" si="1814"/>
        <v>-1.5079264461319993E-2</v>
      </c>
      <c r="S630" s="172">
        <f t="shared" si="1819"/>
        <v>-2.7920846886598632E-4</v>
      </c>
      <c r="T630" s="172"/>
      <c r="U630" s="172"/>
      <c r="V630" s="166">
        <f t="shared" si="1784"/>
        <v>88575.746494029197</v>
      </c>
      <c r="W630" s="170"/>
      <c r="X630" s="174">
        <v>4293.6826371538255</v>
      </c>
      <c r="Y630" s="175">
        <v>4.8036585850837886E-2</v>
      </c>
      <c r="Z630" s="175">
        <f t="shared" si="1820"/>
        <v>8.8944799790240461E-4</v>
      </c>
      <c r="AA630" s="175"/>
      <c r="AB630" s="175"/>
      <c r="AC630" s="170">
        <f t="shared" si="1677"/>
        <v>220301.8943991306</v>
      </c>
      <c r="AD630" s="175">
        <f t="shared" si="1815"/>
        <v>6.4811484098088552E-3</v>
      </c>
      <c r="AE630" s="170"/>
      <c r="AF630" s="170"/>
      <c r="AG630" s="121">
        <f t="shared" si="1816"/>
        <v>423.15702467107292</v>
      </c>
      <c r="AH630" s="119">
        <f>+AZ630/$BB$54</f>
        <v>1.3972791132040988E-2</v>
      </c>
      <c r="AI630" s="119">
        <f>+AZ630/$BC$54</f>
        <v>5.9437185119577067E-2</v>
      </c>
      <c r="AJ630" s="176">
        <f t="shared" si="1821"/>
        <v>5.9126847217848173</v>
      </c>
      <c r="AK630" s="176">
        <f t="shared" si="1822"/>
        <v>25.151262410024</v>
      </c>
      <c r="AL630" s="120">
        <f t="shared" si="1804"/>
        <v>0.24423573796700213</v>
      </c>
      <c r="AM630" s="120">
        <f t="shared" si="1805"/>
        <v>0.35369896551969315</v>
      </c>
      <c r="AN630" s="120">
        <f t="shared" si="1806"/>
        <v>0.40206529651330475</v>
      </c>
      <c r="AO630" s="120">
        <f t="shared" si="1810"/>
        <v>7.4437752717406783E-3</v>
      </c>
      <c r="AP630" s="173">
        <f t="shared" si="1826"/>
        <v>139.31691380322235</v>
      </c>
      <c r="AQ630" s="175">
        <f t="shared" si="1827"/>
        <v>7.4437752717407216E-3</v>
      </c>
      <c r="AR630" s="177">
        <f>+AC630/$AE$54</f>
        <v>1.851605359015935E-2</v>
      </c>
      <c r="AS630" s="177">
        <f t="shared" si="1823"/>
        <v>1.3782934184465418E-4</v>
      </c>
      <c r="AT630" s="177"/>
      <c r="AU630" s="177"/>
      <c r="AV630" s="177"/>
      <c r="AW630" s="190"/>
      <c r="AX630" s="120"/>
      <c r="AY630" s="120"/>
      <c r="AZ630" s="118">
        <f>IFERROR(INDEX('Total Customers'!$F$7:$AB$91,MATCH($C630,'Total Customers'!$D$7:$D$91,0),MATCH($G630,'Total Customers'!$F$5:$AB$5,0)),"NA")</f>
        <v>520615</v>
      </c>
      <c r="BA630" s="119">
        <f t="shared" si="1785"/>
        <v>1.5407700742073017E-2</v>
      </c>
      <c r="BB630" s="119"/>
      <c r="BC630" s="121">
        <v>8759079</v>
      </c>
      <c r="BD630" s="119"/>
      <c r="BE630" s="119"/>
      <c r="BF630" s="119"/>
      <c r="BG630" s="173"/>
      <c r="BH630" s="173"/>
      <c r="BI630" s="173"/>
      <c r="BJ630" s="173"/>
      <c r="BK630" s="173"/>
      <c r="BL630" s="173"/>
      <c r="BM630" s="173"/>
      <c r="BN630" s="173"/>
      <c r="BO630" s="173"/>
      <c r="BP630" s="173"/>
      <c r="BQ630" s="118"/>
      <c r="BR630" s="118"/>
      <c r="BS630" s="118">
        <f>INDEX('Dist. Plant Gas Additions'!$F$7:$AE$91,MATCH($C630,'Dist. Plant Gas Additions'!$D$7:$D$91,0),MATCH(Calculation!$G630,'Dist. Plant Gas Additions'!$F$5:$AE$5,0))</f>
        <v>127654</v>
      </c>
      <c r="BT630" s="118">
        <f>INDEX('Gen. Plant Additions'!$F$7:$AE$91,MATCH($C630,'Gen. Plant Additions'!$D$7:$D$91,0),MATCH(Calculation!$G630,'Gen. Plant Additions'!$F$5:$AE$5,0))</f>
        <v>31197</v>
      </c>
      <c r="BU630" s="118"/>
      <c r="BV630" s="118"/>
      <c r="BW630" s="118">
        <f>INDEX('Dist Plant Depreciation'!$E$7:$AD$94,MATCH($C630,'Dist Plant Depreciation'!$D$7:$D$94,0),MATCH(Calculation!$G630,'Dist Plant Depreciation'!$E$5:$AD$5,0))</f>
        <v>347931</v>
      </c>
      <c r="BX630" s="118">
        <f>INDEX('Gen. Plant Depreciation'!$E$7:$AD$94,MATCH($C630,'Gen. Plant Depreciation'!$D$7:$D$94,0),MATCH(Calculation!$G630,'Gen. Plant Depreciation'!$E$5:$AD$5,0))</f>
        <v>45913</v>
      </c>
      <c r="BY630" s="118"/>
      <c r="BZ630" s="118"/>
      <c r="CA630" s="118"/>
      <c r="CB630" s="118"/>
      <c r="CC630" s="118"/>
      <c r="CD630" s="118"/>
      <c r="CE630" s="118">
        <f>INDEX('Gross Dx Plant'!$E$7:$AD$91,MATCH($C630,'Gross Dx Plant'!$D$7:$D$91,0),MATCH(Calculation!$G630,'Gross Dx Plant'!$E$5:$AD$5,0))</f>
        <v>1556200</v>
      </c>
      <c r="CF630" s="118">
        <f>INDEX('Gross Gen Plant'!$E$7:$AD$91,MATCH($C630,'Gross Gen Plant'!$D$7:$D$91,0),MATCH(Calculation!$G630,'Gross Gen Plant'!$E$5:$AD$5,0))</f>
        <v>102230</v>
      </c>
      <c r="CG630" s="118">
        <f t="shared" si="1720"/>
        <v>1264586</v>
      </c>
      <c r="CH630" s="118"/>
      <c r="CI630" s="121">
        <v>2016</v>
      </c>
      <c r="CJ630" s="118"/>
      <c r="CK630" s="118"/>
      <c r="CL630" s="118"/>
      <c r="CM630" s="183"/>
      <c r="CN630" s="118">
        <f t="shared" si="1786"/>
        <v>158851</v>
      </c>
      <c r="CO630" s="118">
        <f t="shared" si="1787"/>
        <v>236.57679255518244</v>
      </c>
      <c r="CP630" s="186">
        <v>0.88</v>
      </c>
      <c r="CQ630" s="118">
        <f>+CQ612*CP630+CO613*CP629+CO614*CP628+CO615*CP627+CO616*CP626+CO617*CP625+CO618*CP624+CO619*CP623+CO620*CP622+CO621*CP621+CO622*CP620+CO623*CP619+CO624*CP618+CO625*CP617+CO626*CP616+CO627*CP615+CO628*CP614+CO629*CP613+CO630</f>
        <v>4293.6826371538255</v>
      </c>
      <c r="CR630" s="119">
        <f t="shared" si="1788"/>
        <v>4.8036585850837886E-2</v>
      </c>
      <c r="CS630" s="119"/>
      <c r="CT630" s="177">
        <f t="shared" si="1789"/>
        <v>8.6011260092363762E-3</v>
      </c>
      <c r="CU630" s="177">
        <f t="shared" si="1797"/>
        <v>8.3792587553611856E-3</v>
      </c>
      <c r="CV630" s="119">
        <f>VLOOKUP($H630,RoR!$E:$F,2,FALSE)</f>
        <v>3.6658333333333334E-2</v>
      </c>
      <c r="CW630" s="177">
        <v>1.0483662879041455E-2</v>
      </c>
      <c r="CX630" s="177">
        <f t="shared" si="1795"/>
        <v>2.6174670454291879E-2</v>
      </c>
      <c r="CY630" s="177">
        <f t="shared" si="1798"/>
        <v>2.2522682853172438E-2</v>
      </c>
      <c r="CZ630" s="177">
        <f t="shared" si="1799"/>
        <v>4.301363574220729E-3</v>
      </c>
      <c r="DA630" s="187">
        <f t="shared" si="1790"/>
        <v>0.84681249999999997</v>
      </c>
      <c r="DB630" s="188">
        <f t="shared" si="1791"/>
        <v>1.3989193348138562</v>
      </c>
      <c r="DC630" s="188">
        <f t="shared" si="1792"/>
        <v>0.29302682427824522</v>
      </c>
      <c r="DD630" s="188">
        <f t="shared" si="1793"/>
        <v>0.76309497491941802</v>
      </c>
      <c r="DE630" s="188">
        <f t="shared" si="1794"/>
        <v>0.31280857135128509</v>
      </c>
      <c r="DF630" s="189">
        <f>INDEX('State Tax Lookup'!$D$7:$Z$91,MATCH(Calculation!$C630,'State Tax Lookup'!$B$7:$B$91,0),MATCH($H630,'State Tax Lookup'!$D$6:$Z$6,0))</f>
        <v>0.40849999999999997</v>
      </c>
      <c r="DG630" s="189">
        <v>0.375</v>
      </c>
      <c r="DH630" s="190">
        <f t="shared" si="1796"/>
        <v>21.644467435815454</v>
      </c>
      <c r="DI630" s="190">
        <v>21.25753566163656</v>
      </c>
      <c r="DJ630" s="177"/>
      <c r="DK630" s="189">
        <f>VLOOKUP($H630,RoR!$E:$F,2,FALSE)</f>
        <v>3.6658333333333334E-2</v>
      </c>
      <c r="DL630" s="191">
        <f>HLOOKUP($H630,'GDP-PI'!$D$8:$CQ$11,3,FALSE)</f>
        <v>1.0483662879041455E-2</v>
      </c>
      <c r="DM630" s="189">
        <f>VLOOKUP(H630,'HW Dx Data'!$E:$F,2,FALSE)</f>
        <v>671.45639385971219</v>
      </c>
      <c r="DN630" s="183">
        <f>VLOOKUP(H630,'ECI - Input Price'!$G$17:$H$37,2,FALSE)</f>
        <v>126.4</v>
      </c>
      <c r="DO630" s="177">
        <f t="shared" ref="DO630" si="1844">LN(DN630/DN629)</f>
        <v>2.11880802639575E-2</v>
      </c>
      <c r="DP630" s="183">
        <f>HLOOKUP(H630,'GDP-PI'!$8:$9,2,FALSE)</f>
        <v>105.736</v>
      </c>
      <c r="DQ630" s="177">
        <f t="shared" ref="DQ630" si="1845">LN(DP630/DP629)</f>
        <v>1.0429090367205095E-2</v>
      </c>
    </row>
    <row r="631" spans="1:121" s="167" customFormat="1" ht="21" x14ac:dyDescent="0.35">
      <c r="A631" s="167" t="s">
        <v>71</v>
      </c>
      <c r="B631" s="168" t="s">
        <v>71</v>
      </c>
      <c r="C631" s="168">
        <v>4061755</v>
      </c>
      <c r="D631" s="168" t="s">
        <v>145</v>
      </c>
      <c r="E631" s="168" t="s">
        <v>126</v>
      </c>
      <c r="F631" s="168"/>
      <c r="G631" s="168" t="s">
        <v>23</v>
      </c>
      <c r="H631" s="169">
        <v>2017</v>
      </c>
      <c r="I631" s="170"/>
      <c r="J631" s="166">
        <f>IFERROR(INDEX('Labor Expenditures'!$F$7:$X$91,MATCH($C631,'Labor Expenditures'!$D$7:$D$91,0),MATCH($G631,'Labor Expenditures'!$F$5:$X$5,0)),"NA")</f>
        <v>57278.321985684808</v>
      </c>
      <c r="K631" s="166">
        <f t="shared" si="1802"/>
        <v>442.30364467710274</v>
      </c>
      <c r="L631" s="172">
        <f t="shared" si="1809"/>
        <v>3.8315355795492646E-2</v>
      </c>
      <c r="M631" s="172">
        <f t="shared" si="1813"/>
        <v>7.2461009743651945E-4</v>
      </c>
      <c r="N631" s="196"/>
      <c r="O631" s="172"/>
      <c r="P631" s="166">
        <f>IFERROR(INDEX('Non-Labor Expenditures'!$F$7:$AB$91,MATCH($C631,'Non-Labor Expenditures'!$D$7:$D$91,0),MATCH($G631,'Non-Labor Expenditures'!$F$5:$AB$5,0)),"NA")</f>
        <v>82949.708350125962</v>
      </c>
      <c r="Q631" s="166">
        <f t="shared" si="1803"/>
        <v>769.82773570663812</v>
      </c>
      <c r="R631" s="172">
        <f t="shared" si="1814"/>
        <v>4.3667166994582909E-2</v>
      </c>
      <c r="S631" s="172">
        <f t="shared" si="1819"/>
        <v>8.2582216643395389E-4</v>
      </c>
      <c r="T631" s="172"/>
      <c r="U631" s="172"/>
      <c r="V631" s="166">
        <f t="shared" si="1784"/>
        <v>83826.39489326808</v>
      </c>
      <c r="W631" s="170"/>
      <c r="X631" s="174">
        <v>4481.1028668568324</v>
      </c>
      <c r="Y631" s="175">
        <v>4.2724403484224606E-2</v>
      </c>
      <c r="Z631" s="175">
        <f t="shared" si="1820"/>
        <v>8.0799286679893157E-4</v>
      </c>
      <c r="AA631" s="175"/>
      <c r="AB631" s="175"/>
      <c r="AC631" s="170">
        <f t="shared" si="1677"/>
        <v>224054.42522907886</v>
      </c>
      <c r="AD631" s="175">
        <f t="shared" si="1815"/>
        <v>1.6890139165027743E-2</v>
      </c>
      <c r="AE631" s="170"/>
      <c r="AF631" s="170"/>
      <c r="AG631" s="121">
        <f t="shared" si="1816"/>
        <v>423.10743228446847</v>
      </c>
      <c r="AH631" s="119">
        <f>+AZ631/$BB$55</f>
        <v>1.4105681840283379E-2</v>
      </c>
      <c r="AI631" s="119">
        <f>+AZ631/$BC$56</f>
        <v>5.9423616338523562E-2</v>
      </c>
      <c r="AJ631" s="176">
        <f t="shared" si="1821"/>
        <v>5.9682188240639569</v>
      </c>
      <c r="AK631" s="176">
        <f t="shared" si="1822"/>
        <v>25.142573726050092</v>
      </c>
      <c r="AL631" s="120">
        <f t="shared" si="1804"/>
        <v>0.25564468064900758</v>
      </c>
      <c r="AM631" s="120">
        <f t="shared" si="1805"/>
        <v>0.37022124541979523</v>
      </c>
      <c r="AN631" s="120">
        <f t="shared" si="1806"/>
        <v>0.37413407393119719</v>
      </c>
      <c r="AO631" s="120">
        <f t="shared" si="1810"/>
        <v>4.1963647961696285E-2</v>
      </c>
      <c r="AP631" s="173">
        <f t="shared" si="1826"/>
        <v>145.28755860708327</v>
      </c>
      <c r="AQ631" s="175">
        <f t="shared" si="1827"/>
        <v>4.1963647961696313E-2</v>
      </c>
      <c r="AR631" s="177">
        <f>+AC631/$AE$55</f>
        <v>1.8911741321263192E-2</v>
      </c>
      <c r="AS631" s="177">
        <f t="shared" si="1823"/>
        <v>7.9360565514815411E-4</v>
      </c>
      <c r="AT631" s="177"/>
      <c r="AU631" s="177"/>
      <c r="AV631" s="177"/>
      <c r="AW631" s="190"/>
      <c r="AX631" s="120"/>
      <c r="AY631" s="120"/>
      <c r="AZ631" s="118">
        <f>IFERROR(INDEX('Total Customers'!$F$7:$AB$91,MATCH($C631,'Total Customers'!$D$7:$D$91,0),MATCH($G631,'Total Customers'!$F$5:$AB$5,0)),"NA")</f>
        <v>529545</v>
      </c>
      <c r="BA631" s="119">
        <f t="shared" si="1785"/>
        <v>1.7007342212499714E-2</v>
      </c>
      <c r="BB631" s="119"/>
      <c r="BC631" s="121">
        <v>8824403</v>
      </c>
      <c r="BD631" s="119"/>
      <c r="BE631" s="119"/>
      <c r="BF631" s="119"/>
      <c r="BG631" s="173"/>
      <c r="BH631" s="173"/>
      <c r="BI631" s="173"/>
      <c r="BJ631" s="173"/>
      <c r="BK631" s="173"/>
      <c r="BL631" s="173"/>
      <c r="BM631" s="173"/>
      <c r="BN631" s="173"/>
      <c r="BO631" s="173"/>
      <c r="BP631" s="173"/>
      <c r="BQ631" s="118"/>
      <c r="BR631" s="118"/>
      <c r="BS631" s="118">
        <f>INDEX('Dist. Plant Gas Additions'!$F$7:$AE$91,MATCH($C631,'Dist. Plant Gas Additions'!$D$7:$D$91,0),MATCH(Calculation!$G631,'Dist. Plant Gas Additions'!$F$5:$AE$5,0))</f>
        <v>150679</v>
      </c>
      <c r="BT631" s="118">
        <f>INDEX('Gen. Plant Additions'!$F$7:$AE$91,MATCH($C631,'Gen. Plant Additions'!$D$7:$D$91,0),MATCH(Calculation!$G631,'Gen. Plant Additions'!$F$5:$AE$5,0))</f>
        <v>9734</v>
      </c>
      <c r="BU631" s="118"/>
      <c r="BV631" s="118"/>
      <c r="BW631" s="118">
        <f>INDEX('Dist Plant Depreciation'!$E$7:$AD$94,MATCH($C631,'Dist Plant Depreciation'!$D$7:$D$94,0),MATCH(Calculation!$G631,'Dist Plant Depreciation'!$E$5:$AD$5,0))</f>
        <v>334259</v>
      </c>
      <c r="BX631" s="118">
        <f>INDEX('Gen. Plant Depreciation'!$E$7:$AD$94,MATCH($C631,'Gen. Plant Depreciation'!$D$7:$D$94,0),MATCH(Calculation!$G631,'Gen. Plant Depreciation'!$E$5:$AD$5,0))</f>
        <v>57941</v>
      </c>
      <c r="BY631" s="118"/>
      <c r="BZ631" s="118"/>
      <c r="CA631" s="118"/>
      <c r="CB631" s="118"/>
      <c r="CC631" s="118"/>
      <c r="CD631" s="118"/>
      <c r="CE631" s="118">
        <f>INDEX('Gross Dx Plant'!$E$7:$AD$91,MATCH($C631,'Gross Dx Plant'!$D$7:$D$91,0),MATCH(Calculation!$G631,'Gross Dx Plant'!$E$5:$AD$5,0))</f>
        <v>1699893</v>
      </c>
      <c r="CF631" s="118">
        <f>INDEX('Gross Gen Plant'!$E$7:$AD$91,MATCH($C631,'Gross Gen Plant'!$D$7:$D$91,0),MATCH(Calculation!$G631,'Gross Gen Plant'!$E$5:$AD$5,0))</f>
        <v>111964</v>
      </c>
      <c r="CG631" s="118">
        <f t="shared" si="1720"/>
        <v>1419657</v>
      </c>
      <c r="CH631" s="118"/>
      <c r="CI631" s="121">
        <v>2017</v>
      </c>
      <c r="CJ631" s="118"/>
      <c r="CK631" s="118"/>
      <c r="CL631" s="118"/>
      <c r="CM631" s="183"/>
      <c r="CN631" s="118">
        <f t="shared" si="1786"/>
        <v>160413</v>
      </c>
      <c r="CO631" s="118">
        <f t="shared" si="1787"/>
        <v>225.16362154698697</v>
      </c>
      <c r="CP631" s="186">
        <v>0.87074829931972786</v>
      </c>
      <c r="CQ631" s="118">
        <f>+CQ612*CP631+CO613*CP630+CO614*CP629+CO615*CP628+CO616*CP627+CO617*CP626+CO618*CP625+CO619*CP624+CO620*CP623+CO621*CP622+CO622*CP621+CO623*CP620+CO624*CP619+CO625*CP618+CO626*CP617+CO627*CP616+CO628*CP615+CO629*CP614+CO630*CP613+CO631</f>
        <v>4481.1028668568324</v>
      </c>
      <c r="CR631" s="119">
        <f t="shared" si="1788"/>
        <v>4.2724403484224606E-2</v>
      </c>
      <c r="CS631" s="119"/>
      <c r="CT631" s="177">
        <f t="shared" si="1789"/>
        <v>8.79044750941331E-3</v>
      </c>
      <c r="CU631" s="177">
        <f t="shared" si="1797"/>
        <v>8.5921624361179703E-3</v>
      </c>
      <c r="CV631" s="119">
        <f>VLOOKUP($H631,RoR!$E:$F,2,FALSE)</f>
        <v>3.7433333333333339E-2</v>
      </c>
      <c r="CW631" s="177">
        <v>1.9056896421275615E-2</v>
      </c>
      <c r="CX631" s="177">
        <f t="shared" si="1795"/>
        <v>1.8376436912057724E-2</v>
      </c>
      <c r="CY631" s="177">
        <f t="shared" si="1798"/>
        <v>2.2309779172415653E-2</v>
      </c>
      <c r="CZ631" s="177">
        <f t="shared" si="1799"/>
        <v>1.3976271617800498E-2</v>
      </c>
      <c r="DA631" s="187">
        <f t="shared" si="1790"/>
        <v>0.89931249999999996</v>
      </c>
      <c r="DB631" s="188">
        <f t="shared" si="1791"/>
        <v>1.3699568463593395</v>
      </c>
      <c r="DC631" s="188">
        <f t="shared" si="1792"/>
        <v>0.30714603739982199</v>
      </c>
      <c r="DD631" s="188">
        <f t="shared" si="1793"/>
        <v>0.77007188472689425</v>
      </c>
      <c r="DE631" s="188">
        <f t="shared" si="1794"/>
        <v>0.32402839633793828</v>
      </c>
      <c r="DF631" s="189">
        <f>INDEX('State Tax Lookup'!$D$7:$Z$91,MATCH(Calculation!$C631,'State Tax Lookup'!$B$7:$B$91,0),MATCH($H631,'State Tax Lookup'!$D$6:$Z$6,0))</f>
        <v>0.26849999999999996</v>
      </c>
      <c r="DG631" s="189">
        <v>0.375</v>
      </c>
      <c r="DH631" s="190">
        <f t="shared" si="1796"/>
        <v>19.523193020347328</v>
      </c>
      <c r="DI631" s="190">
        <v>19.227750109116151</v>
      </c>
      <c r="DJ631" s="177"/>
      <c r="DK631" s="189">
        <f>VLOOKUP($H631,RoR!$E:$F,2,FALSE)</f>
        <v>3.7433333333333339E-2</v>
      </c>
      <c r="DL631" s="191">
        <f>HLOOKUP($H631,'GDP-PI'!$D$8:$CQ$11,3,FALSE)</f>
        <v>1.9056896421275615E-2</v>
      </c>
      <c r="DM631" s="189">
        <f>VLOOKUP(H631,'HW Dx Data'!$E:$F,2,FALSE)</f>
        <v>712.42858370229726</v>
      </c>
      <c r="DN631" s="183">
        <f>VLOOKUP(H631,'ECI - Input Price'!$G$17:$H$37,2,FALSE)</f>
        <v>129.5</v>
      </c>
      <c r="DO631" s="177">
        <f t="shared" ref="DO631" si="1846">LN(DN631/DN630)</f>
        <v>2.4229399426835413E-2</v>
      </c>
      <c r="DP631" s="183">
        <f>HLOOKUP(H631,'GDP-PI'!$8:$9,2,FALSE)</f>
        <v>107.751</v>
      </c>
      <c r="DQ631" s="177">
        <f t="shared" ref="DQ631" si="1847">LN(DP631/DP630)</f>
        <v>1.8877588227745139E-2</v>
      </c>
    </row>
    <row r="632" spans="1:121" s="167" customFormat="1" ht="21" x14ac:dyDescent="0.35">
      <c r="A632" s="167" t="s">
        <v>71</v>
      </c>
      <c r="B632" s="168" t="s">
        <v>71</v>
      </c>
      <c r="C632" s="168">
        <v>4061755</v>
      </c>
      <c r="D632" s="168" t="s">
        <v>145</v>
      </c>
      <c r="E632" s="168" t="s">
        <v>126</v>
      </c>
      <c r="F632" s="168"/>
      <c r="G632" s="168" t="s">
        <v>24</v>
      </c>
      <c r="H632" s="169">
        <v>2018</v>
      </c>
      <c r="I632" s="170"/>
      <c r="J632" s="166">
        <f>IFERROR(INDEX('Labor Expenditures'!$F$7:$X$91,MATCH($C632,'Labor Expenditures'!$D$7:$D$91,0),MATCH($G632,'Labor Expenditures'!$F$5:$X$5,0)),"NA")</f>
        <v>64369.223821553016</v>
      </c>
      <c r="K632" s="166">
        <f t="shared" si="1802"/>
        <v>483.07109809795884</v>
      </c>
      <c r="L632" s="172">
        <f t="shared" si="1809"/>
        <v>8.8167218727358596E-2</v>
      </c>
      <c r="M632" s="172">
        <f t="shared" si="1813"/>
        <v>1.7064559453719385E-3</v>
      </c>
      <c r="N632" s="196"/>
      <c r="O632" s="172"/>
      <c r="P632" s="166">
        <f>IFERROR(INDEX('Non-Labor Expenditures'!$F$7:$AB$91,MATCH($C632,'Non-Labor Expenditures'!$D$7:$D$91,0),MATCH($G632,'Non-Labor Expenditures'!$F$5:$AB$5,0)),"NA")</f>
        <v>93218.658606239303</v>
      </c>
      <c r="Q632" s="166">
        <f t="shared" si="1803"/>
        <v>844.96889655951941</v>
      </c>
      <c r="R632" s="172">
        <f t="shared" si="1814"/>
        <v>9.3133047917211359E-2</v>
      </c>
      <c r="S632" s="172">
        <f t="shared" si="1819"/>
        <v>1.8025684106060976E-3</v>
      </c>
      <c r="T632" s="172"/>
      <c r="U632" s="172"/>
      <c r="V632" s="166">
        <f t="shared" si="1784"/>
        <v>91741.818656147545</v>
      </c>
      <c r="W632" s="170"/>
      <c r="X632" s="174">
        <v>4620.9859555374196</v>
      </c>
      <c r="Y632" s="175">
        <v>3.0738900846066373E-2</v>
      </c>
      <c r="Z632" s="175">
        <f t="shared" si="1820"/>
        <v>5.9494425320566035E-4</v>
      </c>
      <c r="AA632" s="175"/>
      <c r="AB632" s="175"/>
      <c r="AC632" s="170">
        <f t="shared" si="1677"/>
        <v>249329.70108393987</v>
      </c>
      <c r="AD632" s="175">
        <f t="shared" si="1815"/>
        <v>0.1068871292397561</v>
      </c>
      <c r="AE632" s="170"/>
      <c r="AF632" s="170"/>
      <c r="AG632" s="121">
        <f t="shared" si="1816"/>
        <v>464.43257883784588</v>
      </c>
      <c r="AH632" s="119">
        <f>+AZ632/$BB$56</f>
        <v>1.4175998937000766E-2</v>
      </c>
      <c r="AI632" s="119">
        <f>+AZ632/$BC$57</f>
        <v>5.989174040903026E-2</v>
      </c>
      <c r="AJ632" s="176">
        <f t="shared" si="1821"/>
        <v>6.5837957439138277</v>
      </c>
      <c r="AK632" s="176">
        <f t="shared" si="1822"/>
        <v>27.815675449252748</v>
      </c>
      <c r="AL632" s="120">
        <f t="shared" si="1804"/>
        <v>0.25816909715013187</v>
      </c>
      <c r="AM632" s="120">
        <f t="shared" si="1805"/>
        <v>0.37387707200938775</v>
      </c>
      <c r="AN632" s="120">
        <f t="shared" si="1806"/>
        <v>0.36795383084048039</v>
      </c>
      <c r="AO632" s="120">
        <f t="shared" si="1810"/>
        <v>6.8706321254218675E-2</v>
      </c>
      <c r="AP632" s="173">
        <f t="shared" si="1826"/>
        <v>155.62064184389732</v>
      </c>
      <c r="AQ632" s="175">
        <f t="shared" si="1827"/>
        <v>6.8706321254218619E-2</v>
      </c>
      <c r="AR632" s="177">
        <f>+AC632/$AE$56</f>
        <v>1.9354766658216237E-2</v>
      </c>
      <c r="AS632" s="177">
        <f t="shared" si="1823"/>
        <v>1.3297948158198442E-3</v>
      </c>
      <c r="AT632" s="177"/>
      <c r="AU632" s="177"/>
      <c r="AV632" s="177"/>
      <c r="AW632" s="190"/>
      <c r="AX632" s="120"/>
      <c r="AY632" s="120"/>
      <c r="AZ632" s="118">
        <f>IFERROR(INDEX('Total Customers'!$F$7:$AB$91,MATCH($C632,'Total Customers'!$D$7:$D$91,0),MATCH($G632,'Total Customers'!$F$5:$AB$5,0)),"NA")</f>
        <v>536848</v>
      </c>
      <c r="BA632" s="119">
        <f t="shared" si="1785"/>
        <v>1.3696853171731135E-2</v>
      </c>
      <c r="BB632" s="119"/>
      <c r="BC632" s="121">
        <v>8911356</v>
      </c>
      <c r="BD632" s="119"/>
      <c r="BE632" s="119"/>
      <c r="BF632" s="119"/>
      <c r="BG632" s="173"/>
      <c r="BH632" s="173"/>
      <c r="BI632" s="173"/>
      <c r="BJ632" s="173"/>
      <c r="BK632" s="173"/>
      <c r="BL632" s="173"/>
      <c r="BM632" s="173"/>
      <c r="BN632" s="173"/>
      <c r="BO632" s="173"/>
      <c r="BP632" s="173"/>
      <c r="BQ632" s="118"/>
      <c r="BR632" s="118"/>
      <c r="BS632" s="118">
        <f>INDEX('Dist. Plant Gas Additions'!$F$7:$AE$91,MATCH($C632,'Dist. Plant Gas Additions'!$D$7:$D$91,0),MATCH(Calculation!$G632,'Dist. Plant Gas Additions'!$F$5:$AE$5,0))</f>
        <v>131089</v>
      </c>
      <c r="BT632" s="118">
        <f>INDEX('Gen. Plant Additions'!$F$7:$AE$91,MATCH($C632,'Gen. Plant Additions'!$D$7:$D$91,0),MATCH(Calculation!$G632,'Gen. Plant Additions'!$F$5:$AE$5,0))</f>
        <v>5011</v>
      </c>
      <c r="BU632" s="118"/>
      <c r="BV632" s="118"/>
      <c r="BW632" s="118">
        <f>INDEX('Dist Plant Depreciation'!$E$7:$AD$94,MATCH($C632,'Dist Plant Depreciation'!$D$7:$D$94,0),MATCH(Calculation!$G632,'Dist Plant Depreciation'!$E$5:$AD$5,0))</f>
        <v>326661</v>
      </c>
      <c r="BX632" s="118">
        <f>INDEX('Gen. Plant Depreciation'!$E$7:$AD$94,MATCH($C632,'Gen. Plant Depreciation'!$D$7:$D$94,0),MATCH(Calculation!$G632,'Gen. Plant Depreciation'!$E$5:$AD$5,0))</f>
        <v>70191</v>
      </c>
      <c r="BY632" s="118"/>
      <c r="BZ632" s="118"/>
      <c r="CA632" s="118"/>
      <c r="CB632" s="118"/>
      <c r="CC632" s="118"/>
      <c r="CD632" s="118"/>
      <c r="CE632" s="118">
        <f>INDEX('Gross Dx Plant'!$E$7:$AD$91,MATCH($C632,'Gross Dx Plant'!$D$7:$D$91,0),MATCH(Calculation!$G632,'Gross Dx Plant'!$E$5:$AD$5,0))</f>
        <v>1824373</v>
      </c>
      <c r="CF632" s="118">
        <f>INDEX('Gross Gen Plant'!$E$7:$AD$91,MATCH($C632,'Gross Gen Plant'!$D$7:$D$91,0),MATCH(Calculation!$G632,'Gross Gen Plant'!$E$5:$AD$5,0))</f>
        <v>116536</v>
      </c>
      <c r="CG632" s="118">
        <f t="shared" si="1720"/>
        <v>1544057</v>
      </c>
      <c r="CH632" s="118"/>
      <c r="CI632" s="121">
        <v>2018</v>
      </c>
      <c r="CJ632" s="118"/>
      <c r="CK632" s="118"/>
      <c r="CL632" s="118"/>
      <c r="CM632" s="183"/>
      <c r="CN632" s="118">
        <f t="shared" si="1786"/>
        <v>136100</v>
      </c>
      <c r="CO632" s="118">
        <f t="shared" si="1787"/>
        <v>180.23226445642783</v>
      </c>
      <c r="CP632" s="186">
        <v>0.86111111111111116</v>
      </c>
      <c r="CQ632" s="118">
        <f>+CQ612*CP632++CO613*CP631+CO614*CP630+CO615*CP629+CO616*CP628+CO617*CP627+CO618*CP626+CO619*CP625+CO620*CP624+CO621*CP623+CO622*CP622+CO623*CP621+CO624*CP620+CO625*CP619+CO626*CP618+CO627*CP617+CO628*CP616+CO629*CP615+CO630*CP614+CO631*CP613+CO632</f>
        <v>4620.9859555374196</v>
      </c>
      <c r="CR632" s="119">
        <f t="shared" si="1788"/>
        <v>3.0738900846066373E-2</v>
      </c>
      <c r="CS632" s="119"/>
      <c r="CT632" s="177">
        <f t="shared" si="1789"/>
        <v>9.0042958117010664E-3</v>
      </c>
      <c r="CU632" s="177">
        <f t="shared" si="1797"/>
        <v>8.7986231101169175E-3</v>
      </c>
      <c r="CV632" s="119">
        <f>VLOOKUP($H632,RoR!$E:$F,2,FALSE)</f>
        <v>3.9299999999999995E-2</v>
      </c>
      <c r="CW632" s="177">
        <v>2.386056741932796E-2</v>
      </c>
      <c r="CX632" s="177">
        <f t="shared" si="1795"/>
        <v>1.5439432580672034E-2</v>
      </c>
      <c r="CY632" s="177">
        <f t="shared" si="1798"/>
        <v>2.2103318498416707E-2</v>
      </c>
      <c r="CZ632" s="177">
        <f t="shared" si="1799"/>
        <v>3.8270792163076606E-2</v>
      </c>
      <c r="DA632" s="187">
        <f t="shared" si="1790"/>
        <v>0.89931249999999996</v>
      </c>
      <c r="DB632" s="188">
        <f t="shared" si="1791"/>
        <v>1.3048868010700074</v>
      </c>
      <c r="DC632" s="188">
        <f t="shared" si="1792"/>
        <v>0.33886768447837151</v>
      </c>
      <c r="DD632" s="188">
        <f t="shared" si="1793"/>
        <v>0.78602506232557801</v>
      </c>
      <c r="DE632" s="188">
        <f t="shared" si="1794"/>
        <v>0.34756768162358759</v>
      </c>
      <c r="DF632" s="189">
        <f>INDEX('State Tax Lookup'!$D$7:$Z$91,MATCH(Calculation!$C632,'State Tax Lookup'!$B$7:$B$91,0),MATCH($H632,'State Tax Lookup'!$D$6:$Z$6,0))</f>
        <v>0.26849999999999996</v>
      </c>
      <c r="DG632" s="189">
        <v>0.375</v>
      </c>
      <c r="DH632" s="190">
        <f t="shared" si="1796"/>
        <v>20.473044556662398</v>
      </c>
      <c r="DI632" s="190">
        <v>20.169872234358753</v>
      </c>
      <c r="DJ632" s="177"/>
      <c r="DK632" s="189">
        <f>VLOOKUP($H632,RoR!$E:$F,2,FALSE)</f>
        <v>3.9299999999999995E-2</v>
      </c>
      <c r="DL632" s="191">
        <f>HLOOKUP($H632,'GDP-PI'!$D$8:$CQ$11,3,FALSE)</f>
        <v>2.386056741932796E-2</v>
      </c>
      <c r="DM632" s="189">
        <f>VLOOKUP(H632,'HW Dx Data'!$E:$F,2,FALSE)</f>
        <v>755.13671434174842</v>
      </c>
      <c r="DN632" s="183">
        <f>VLOOKUP(H632,'ECI - Input Price'!$G$17:$H$37,2,FALSE)</f>
        <v>133.25</v>
      </c>
      <c r="DO632" s="177">
        <f t="shared" ref="DO632" si="1848">LN(DN632/DN631)</f>
        <v>2.8546181906361531E-2</v>
      </c>
      <c r="DP632" s="183">
        <f>HLOOKUP(H632,'GDP-PI'!$8:$9,2,FALSE)</f>
        <v>110.322</v>
      </c>
      <c r="DQ632" s="177">
        <f t="shared" ref="DQ632" si="1849">LN(DP632/DP631)</f>
        <v>2.3580352716508712E-2</v>
      </c>
    </row>
    <row r="633" spans="1:121" s="167" customFormat="1" ht="21" x14ac:dyDescent="0.35">
      <c r="A633" s="167" t="s">
        <v>71</v>
      </c>
      <c r="B633" s="168" t="s">
        <v>71</v>
      </c>
      <c r="C633" s="168">
        <v>4061755</v>
      </c>
      <c r="D633" s="168" t="s">
        <v>145</v>
      </c>
      <c r="E633" s="168" t="s">
        <v>126</v>
      </c>
      <c r="F633" s="168"/>
      <c r="G633" s="168" t="s">
        <v>25</v>
      </c>
      <c r="H633" s="169">
        <v>2019</v>
      </c>
      <c r="I633" s="170"/>
      <c r="J633" s="166">
        <f>IFERROR(INDEX('Labor Expenditures'!$F$7:$X$91,MATCH($C633,'Labor Expenditures'!$D$7:$D$91,0),MATCH($G633,'Labor Expenditures'!$F$5:$X$5,0)),"NA")</f>
        <v>59035.025587897428</v>
      </c>
      <c r="K633" s="166">
        <f t="shared" si="1802"/>
        <v>431.38491478185921</v>
      </c>
      <c r="L633" s="172">
        <f t="shared" si="1809"/>
        <v>-0.11316307856005288</v>
      </c>
      <c r="M633" s="172">
        <f t="shared" si="1813"/>
        <v>-2.0477303363186775E-3</v>
      </c>
      <c r="N633" s="196"/>
      <c r="O633" s="172"/>
      <c r="P633" s="166">
        <f>IFERROR(INDEX('Non-Labor Expenditures'!$F$7:$AB$91,MATCH($C633,'Non-Labor Expenditures'!$D$7:$D$91,0),MATCH($G633,'Non-Labor Expenditures'!$F$5:$AB$5,0)),"NA")</f>
        <v>85493.743273103813</v>
      </c>
      <c r="Q633" s="166">
        <f t="shared" si="1803"/>
        <v>761.17579794070241</v>
      </c>
      <c r="R633" s="172">
        <f t="shared" si="1814"/>
        <v>-0.10443547757072065</v>
      </c>
      <c r="S633" s="172">
        <f t="shared" si="1819"/>
        <v>-1.8898009698101799E-3</v>
      </c>
      <c r="T633" s="172"/>
      <c r="U633" s="172"/>
      <c r="V633" s="166">
        <f t="shared" si="1784"/>
        <v>95872.812756767395</v>
      </c>
      <c r="W633" s="170"/>
      <c r="X633" s="174">
        <v>4880.6617853575881</v>
      </c>
      <c r="Y633" s="175">
        <v>5.467272980982147E-2</v>
      </c>
      <c r="Z633" s="175">
        <f t="shared" si="1820"/>
        <v>9.8932451136449174E-4</v>
      </c>
      <c r="AA633" s="175"/>
      <c r="AB633" s="175"/>
      <c r="AC633" s="170">
        <f t="shared" si="1677"/>
        <v>240401.58161776862</v>
      </c>
      <c r="AD633" s="175">
        <f t="shared" si="1815"/>
        <v>-3.6465339606829739E-2</v>
      </c>
      <c r="AE633" s="170"/>
      <c r="AF633" s="170"/>
      <c r="AG633" s="121">
        <f t="shared" si="1816"/>
        <v>439.15060650933941</v>
      </c>
      <c r="AH633" s="119">
        <f>+AZ633/$BB$57</f>
        <v>1.4337006176742132E-2</v>
      </c>
      <c r="AI633" s="119">
        <f>+AZ633/$BC$58</f>
        <v>6.0420394487923738E-2</v>
      </c>
      <c r="AJ633" s="176">
        <f t="shared" si="1821"/>
        <v>6.2961049580444532</v>
      </c>
      <c r="AK633" s="176">
        <f t="shared" si="1822"/>
        <v>26.533652884905258</v>
      </c>
      <c r="AL633" s="120">
        <f t="shared" si="1804"/>
        <v>0.24556837434522941</v>
      </c>
      <c r="AM633" s="120">
        <f t="shared" si="1805"/>
        <v>0.35562887189750825</v>
      </c>
      <c r="AN633" s="120">
        <f t="shared" si="1806"/>
        <v>0.39880275375726237</v>
      </c>
      <c r="AO633" s="120">
        <f t="shared" si="1810"/>
        <v>-4.5635054561727048E-2</v>
      </c>
      <c r="AP633" s="173">
        <f t="shared" si="1826"/>
        <v>148.67849278200313</v>
      </c>
      <c r="AQ633" s="175">
        <f t="shared" si="1827"/>
        <v>-4.5635054561727201E-2</v>
      </c>
      <c r="AR633" s="177">
        <f>+AC633/$AE$57</f>
        <v>1.8095392617230692E-2</v>
      </c>
      <c r="AS633" s="177">
        <f t="shared" si="1823"/>
        <v>-8.2578422940319824E-4</v>
      </c>
      <c r="AT633" s="177"/>
      <c r="AU633" s="177"/>
      <c r="AV633" s="177"/>
      <c r="AW633" s="190"/>
      <c r="AX633" s="120"/>
      <c r="AY633" s="120"/>
      <c r="AZ633" s="118">
        <f>IFERROR(INDEX('Total Customers'!$F$7:$AB$91,MATCH($C633,'Total Customers'!$D$7:$D$91,0),MATCH($G633,'Total Customers'!$F$5:$AB$5,0)),"NA")</f>
        <v>547424</v>
      </c>
      <c r="BA633" s="119">
        <f t="shared" si="1785"/>
        <v>1.9508638832086676E-2</v>
      </c>
      <c r="BB633" s="119"/>
      <c r="BC633" s="121">
        <v>8963640</v>
      </c>
      <c r="BD633" s="119"/>
      <c r="BE633" s="119"/>
      <c r="BF633" s="119"/>
      <c r="BG633" s="173"/>
      <c r="BH633" s="173"/>
      <c r="BI633" s="173"/>
      <c r="BJ633" s="173"/>
      <c r="BK633" s="173"/>
      <c r="BL633" s="173"/>
      <c r="BM633" s="173"/>
      <c r="BN633" s="173"/>
      <c r="BO633" s="173"/>
      <c r="BP633" s="173"/>
      <c r="BQ633" s="118"/>
      <c r="BR633" s="118"/>
      <c r="BS633" s="118">
        <f>INDEX('Dist. Plant Gas Additions'!$F$7:$AE$91,MATCH($C633,'Dist. Plant Gas Additions'!$D$7:$D$91,0),MATCH(Calculation!$G633,'Dist. Plant Gas Additions'!$F$5:$AE$5,0))</f>
        <v>204775</v>
      </c>
      <c r="BT633" s="118">
        <f>INDEX('Gen. Plant Additions'!$F$7:$AE$91,MATCH($C633,'Gen. Plant Additions'!$D$7:$D$91,0),MATCH(Calculation!$G633,'Gen. Plant Additions'!$F$5:$AE$5,0))</f>
        <v>29245</v>
      </c>
      <c r="BU633" s="118"/>
      <c r="BV633" s="118"/>
      <c r="BW633" s="118">
        <f>INDEX('Dist Plant Depreciation'!$E$7:$AD$94,MATCH($C633,'Dist Plant Depreciation'!$D$7:$D$94,0),MATCH(Calculation!$G633,'Dist Plant Depreciation'!$E$5:$AD$5,0))</f>
        <v>319038</v>
      </c>
      <c r="BX633" s="118">
        <f>INDEX('Gen. Plant Depreciation'!$E$7:$AD$94,MATCH($C633,'Gen. Plant Depreciation'!$D$7:$D$94,0),MATCH(Calculation!$G633,'Gen. Plant Depreciation'!$E$5:$AD$5,0))</f>
        <v>64304</v>
      </c>
      <c r="BY633" s="118"/>
      <c r="BZ633" s="118"/>
      <c r="CA633" s="118"/>
      <c r="CB633" s="118"/>
      <c r="CC633" s="118"/>
      <c r="CD633" s="118"/>
      <c r="CE633" s="118">
        <f>INDEX('Gross Dx Plant'!$E$7:$AD$91,MATCH($C633,'Gross Dx Plant'!$D$7:$D$91,0),MATCH(Calculation!$G633,'Gross Dx Plant'!$E$5:$AD$5,0))</f>
        <v>2020663</v>
      </c>
      <c r="CF633" s="118">
        <f>INDEX('Gross Gen Plant'!$E$7:$AD$91,MATCH($C633,'Gross Gen Plant'!$D$7:$D$91,0),MATCH(Calculation!$G633,'Gross Gen Plant'!$E$5:$AD$5,0))</f>
        <v>126209</v>
      </c>
      <c r="CG633" s="118">
        <f t="shared" si="1720"/>
        <v>1763530</v>
      </c>
      <c r="CH633" s="118"/>
      <c r="CI633" s="121">
        <v>2019</v>
      </c>
      <c r="CJ633" s="118"/>
      <c r="CK633" s="118"/>
      <c r="CL633" s="118"/>
      <c r="CM633" s="183"/>
      <c r="CN633" s="118">
        <f t="shared" si="1786"/>
        <v>234020</v>
      </c>
      <c r="CO633" s="118">
        <f t="shared" si="1787"/>
        <v>302.53149468087821</v>
      </c>
      <c r="CP633" s="186">
        <v>0.85106382978723405</v>
      </c>
      <c r="CQ633" s="118">
        <f>CQ612*CP633+CO613*CP632+CO614*CP631+CO615*CP630+CO616*CP629+CO617*CP628+CO618*CP627+CO619*CP626+CO620*CP625+CO621*CP624+CO622*CP623+CO623*CP622+CO624*CP621+CO625*CP620+CO626*CP619+CO627*CP618+CO628*CP617+CO629*CP616+CO630*CP615+CO631*CP614+CO632*CP613+CO633</f>
        <v>4880.6617853575881</v>
      </c>
      <c r="CR633" s="119">
        <f t="shared" si="1788"/>
        <v>5.467272980982147E-2</v>
      </c>
      <c r="CS633" s="119"/>
      <c r="CT633" s="177">
        <f t="shared" si="1789"/>
        <v>9.2741387385856348E-3</v>
      </c>
      <c r="CU633" s="177">
        <f t="shared" si="1797"/>
        <v>9.0229606865666698E-3</v>
      </c>
      <c r="CV633" s="119">
        <f>VLOOKUP($H633,RoR!$E:$F,2,FALSE)</f>
        <v>3.3875000000000009E-2</v>
      </c>
      <c r="CW633" s="177">
        <v>1.8092492884465461E-2</v>
      </c>
      <c r="CX633" s="177">
        <f t="shared" si="1795"/>
        <v>1.5782507115534548E-2</v>
      </c>
      <c r="CY633" s="177">
        <f t="shared" si="1798"/>
        <v>2.1878980921966953E-2</v>
      </c>
      <c r="CZ633" s="177">
        <f t="shared" si="1799"/>
        <v>4.8445665544254078E-2</v>
      </c>
      <c r="DA633" s="187">
        <f t="shared" si="1790"/>
        <v>0.89931249999999996</v>
      </c>
      <c r="DB633" s="188">
        <f t="shared" si="1791"/>
        <v>1.513861292459078</v>
      </c>
      <c r="DC633" s="188">
        <f t="shared" si="1792"/>
        <v>0.23699261992619944</v>
      </c>
      <c r="DD633" s="188">
        <f t="shared" si="1793"/>
        <v>0.73619765810468829</v>
      </c>
      <c r="DE633" s="188">
        <f t="shared" si="1794"/>
        <v>0.26412854465362851</v>
      </c>
      <c r="DF633" s="189">
        <f>INDEX('State Tax Lookup'!$D$7:$Z$91,MATCH(Calculation!$C633,'State Tax Lookup'!$B$7:$B$91,0),MATCH($H633,'State Tax Lookup'!$D$6:$Z$6,0))</f>
        <v>0.26849999999999996</v>
      </c>
      <c r="DG633" s="189">
        <v>0.375</v>
      </c>
      <c r="DH633" s="190">
        <f t="shared" si="1796"/>
        <v>20.747263393406573</v>
      </c>
      <c r="DI633" s="190">
        <v>20.404877478084259</v>
      </c>
      <c r="DJ633" s="177"/>
      <c r="DK633" s="189">
        <f>VLOOKUP($H633,RoR!$E:$F,2,FALSE)</f>
        <v>3.3875000000000009E-2</v>
      </c>
      <c r="DL633" s="191">
        <f>HLOOKUP($H633,'GDP-PI'!$D$8:$CQ$11,3,FALSE)</f>
        <v>1.8092492884465461E-2</v>
      </c>
      <c r="DM633" s="189">
        <f>VLOOKUP(H633,'HW Dx Data'!$E:$F,2,FALSE)</f>
        <v>773.53929793938721</v>
      </c>
      <c r="DN633" s="183">
        <f>VLOOKUP(H633,'ECI - Input Price'!$G$17:$H$37,2,FALSE)</f>
        <v>136.85</v>
      </c>
      <c r="DO633" s="177">
        <f t="shared" ref="DO633" si="1850">LN(DN633/DN632)</f>
        <v>2.6658372440734168E-2</v>
      </c>
      <c r="DP633" s="183">
        <f>HLOOKUP(H633,'GDP-PI'!$8:$9,2,FALSE)</f>
        <v>112.318</v>
      </c>
      <c r="DQ633" s="177">
        <f t="shared" ref="DQ633" si="1851">LN(DP633/DP632)</f>
        <v>1.7930771451401852E-2</v>
      </c>
    </row>
    <row r="634" spans="1:121" s="167" customFormat="1" ht="21" x14ac:dyDescent="0.35">
      <c r="A634" s="167" t="s">
        <v>71</v>
      </c>
      <c r="B634" s="167" t="s">
        <v>71</v>
      </c>
      <c r="C634" s="167">
        <v>4061755</v>
      </c>
      <c r="D634" s="167" t="s">
        <v>145</v>
      </c>
      <c r="E634" s="167" t="s">
        <v>126</v>
      </c>
      <c r="G634" s="168" t="s">
        <v>26</v>
      </c>
      <c r="H634" s="169">
        <v>2020</v>
      </c>
      <c r="I634" s="170"/>
      <c r="J634" s="166">
        <f>IFERROR(INDEX('Labor Expenditures'!$F$7:$X$91,MATCH($C634,'Labor Expenditures'!$D$7:$D$91,0),MATCH($G634,'Labor Expenditures'!$F$5:$X$5,0)),"NA")</f>
        <v>56772.532396469564</v>
      </c>
      <c r="K634" s="166">
        <f t="shared" si="1802"/>
        <v>404.21881378760816</v>
      </c>
      <c r="L634" s="172">
        <f t="shared" si="1809"/>
        <v>-6.5044415665417091E-2</v>
      </c>
      <c r="M634" s="172">
        <f t="shared" si="1813"/>
        <v>-1.1606207670076564E-3</v>
      </c>
      <c r="N634" s="196"/>
      <c r="O634" s="172"/>
      <c r="P634" s="166">
        <f>IFERROR(INDEX('Non-Labor Expenditures'!$F$7:$AB$91,MATCH($C634,'Non-Labor Expenditures'!$D$7:$D$91,0),MATCH($G634,'Non-Labor Expenditures'!$F$5:$AB$5,0)),"NA")</f>
        <v>82217.230556477967</v>
      </c>
      <c r="Q634" s="166">
        <f t="shared" si="1803"/>
        <v>723.59672387173339</v>
      </c>
      <c r="R634" s="172">
        <f t="shared" si="1814"/>
        <v>-5.0630114333245158E-2</v>
      </c>
      <c r="S634" s="172">
        <f t="shared" si="1819"/>
        <v>-9.0341901806613033E-4</v>
      </c>
      <c r="T634" s="172"/>
      <c r="U634" s="172"/>
      <c r="V634" s="166">
        <f t="shared" si="1784"/>
        <v>105406.90923778625</v>
      </c>
      <c r="W634" s="170"/>
      <c r="X634" s="174">
        <v>5043.9929147943221</v>
      </c>
      <c r="Y634" s="175">
        <v>3.2917190997517345E-2</v>
      </c>
      <c r="Z634" s="175">
        <f t="shared" si="1820"/>
        <v>5.8735827007496148E-4</v>
      </c>
      <c r="AA634" s="175"/>
      <c r="AB634" s="175"/>
      <c r="AC634" s="170">
        <f t="shared" si="1677"/>
        <v>244396.67219073378</v>
      </c>
      <c r="AD634" s="175">
        <f t="shared" si="1815"/>
        <v>1.6481829215613544E-2</v>
      </c>
      <c r="AE634" s="170"/>
      <c r="AF634" s="170"/>
      <c r="AG634" s="121">
        <f t="shared" si="1816"/>
        <v>439.73873008550873</v>
      </c>
      <c r="AH634" s="119">
        <f>+AZ634/$BB$58</f>
        <v>1.4453434713021653E-2</v>
      </c>
      <c r="AI634" s="119">
        <f>+AZ634/$BC$59</f>
        <v>6.0980037372939742E-2</v>
      </c>
      <c r="AJ634" s="176">
        <f t="shared" si="1821"/>
        <v>6.3557350260779515</v>
      </c>
      <c r="AK634" s="176">
        <f t="shared" si="1822"/>
        <v>26.815284194943384</v>
      </c>
      <c r="AL634" s="120">
        <f t="shared" si="1804"/>
        <v>0.23229666708457775</v>
      </c>
      <c r="AM634" s="120">
        <f t="shared" si="1805"/>
        <v>0.33640896097109463</v>
      </c>
      <c r="AN634" s="120">
        <f t="shared" si="1806"/>
        <v>0.43129437194432768</v>
      </c>
      <c r="AO634" s="120">
        <f t="shared" si="1810"/>
        <v>-1.9397970677295644E-2</v>
      </c>
      <c r="AP634" s="173">
        <f t="shared" si="1826"/>
        <v>145.82222420849237</v>
      </c>
      <c r="AQ634" s="175">
        <f t="shared" si="1827"/>
        <v>-1.9397970677295564E-2</v>
      </c>
      <c r="AR634" s="177">
        <f>+AC634/$AE$58</f>
        <v>1.7843511316602341E-2</v>
      </c>
      <c r="AS634" s="177">
        <f t="shared" si="1823"/>
        <v>-3.4612790929944379E-4</v>
      </c>
      <c r="AT634" s="177"/>
      <c r="AU634" s="177"/>
      <c r="AV634" s="177"/>
      <c r="AW634" s="190"/>
      <c r="AX634" s="120"/>
      <c r="AY634" s="120"/>
      <c r="AZ634" s="118">
        <f>IFERROR(INDEX('Total Customers'!$F$7:$AB$91,MATCH($C634,'Total Customers'!$D$7:$D$91,0),MATCH($G634,'Total Customers'!$F$5:$AB$5,0)),"NA")</f>
        <v>555777</v>
      </c>
      <c r="BA634" s="119">
        <f t="shared" si="1785"/>
        <v>1.5143495390260497E-2</v>
      </c>
      <c r="BB634" s="119"/>
      <c r="BC634" s="121">
        <v>9060252</v>
      </c>
      <c r="BD634" s="119"/>
      <c r="BE634" s="119"/>
      <c r="BF634" s="119"/>
      <c r="BG634" s="173"/>
      <c r="BH634" s="173"/>
      <c r="BI634" s="173"/>
      <c r="BJ634" s="173"/>
      <c r="BK634" s="173"/>
      <c r="BL634" s="173"/>
      <c r="BM634" s="173"/>
      <c r="BN634" s="173"/>
      <c r="BO634" s="173"/>
      <c r="BP634" s="173"/>
      <c r="BQ634" s="118"/>
      <c r="BR634" s="118"/>
      <c r="BS634" s="118">
        <f>INDEX('Dist. Plant Gas Additions'!$F$7:$AE$91,MATCH($C634,'Dist. Plant Gas Additions'!$D$7:$D$91,0),MATCH(Calculation!$G634,'Dist. Plant Gas Additions'!$F$5:$AE$5,0))</f>
        <v>143086</v>
      </c>
      <c r="BT634" s="118">
        <f>INDEX('Gen. Plant Additions'!$F$7:$AE$91,MATCH($C634,'Gen. Plant Additions'!$D$7:$D$91,0),MATCH(Calculation!$G634,'Gen. Plant Additions'!$F$5:$AE$5,0))</f>
        <v>27196</v>
      </c>
      <c r="BU634" s="118"/>
      <c r="BV634" s="118"/>
      <c r="BW634" s="118">
        <f>INDEX('Dist Plant Depreciation'!$E$7:$AD$94,MATCH($C634,'Dist Plant Depreciation'!$D$7:$D$94,0),MATCH(Calculation!$G634,'Dist Plant Depreciation'!$E$5:$AD$5,0))</f>
        <v>325629</v>
      </c>
      <c r="BX634" s="118">
        <f>INDEX('Gen. Plant Depreciation'!$E$7:$AD$94,MATCH($C634,'Gen. Plant Depreciation'!$D$7:$D$94,0),MATCH(Calculation!$G634,'Gen. Plant Depreciation'!$E$5:$AD$5,0))</f>
        <v>71238</v>
      </c>
      <c r="BY634" s="118"/>
      <c r="BZ634" s="118"/>
      <c r="CA634" s="118"/>
      <c r="CB634" s="118"/>
      <c r="CC634" s="118"/>
      <c r="CD634" s="118"/>
      <c r="CE634" s="118">
        <f>INDEX('Gross Dx Plant'!$E$7:$AD$91,MATCH($C634,'Gross Dx Plant'!$D$7:$D$91,0),MATCH(Calculation!$G634,'Gross Dx Plant'!$E$5:$AD$5,0))</f>
        <v>2154624</v>
      </c>
      <c r="CF634" s="118">
        <f>INDEX('Gross Gen Plant'!$E$7:$AD$91,MATCH($C634,'Gross Gen Plant'!$D$7:$D$91,0),MATCH(Calculation!$G634,'Gross Gen Plant'!$E$5:$AD$5,0))</f>
        <v>153404</v>
      </c>
      <c r="CG634" s="118">
        <f t="shared" si="1720"/>
        <v>1911161</v>
      </c>
      <c r="CH634" s="118"/>
      <c r="CI634" s="121">
        <v>2020</v>
      </c>
      <c r="CJ634" s="118"/>
      <c r="CK634" s="118"/>
      <c r="CL634" s="118"/>
      <c r="CM634" s="183"/>
      <c r="CN634" s="118">
        <f t="shared" si="1786"/>
        <v>170282</v>
      </c>
      <c r="CO634" s="118">
        <f t="shared" si="1787"/>
        <v>209.42830468898759</v>
      </c>
      <c r="CP634" s="186">
        <v>0.84057971014492749</v>
      </c>
      <c r="CQ634" s="118">
        <f>CQ612*CP634+CO613*CP633+CO614*CP632+CO615*CP631+CO616*CP630+CO617*CP629+CO618*CP628+CO619*CP627+CO620*CP626+CO621*CP625+CO622*CP624+CO623*CP623+CO624*CP622+CO625*CP621+CO626*CP620+CO627*CP619+CO628*CP618+CO629*CP617+CO630*CP616+CO631*CP615+CO632*CP614+CO633*CP613+CO634</f>
        <v>5043.9929147943221</v>
      </c>
      <c r="CR634" s="119">
        <f t="shared" si="1788"/>
        <v>3.2917190997517345E-2</v>
      </c>
      <c r="CS634" s="119"/>
      <c r="CT634" s="177">
        <f t="shared" si="1789"/>
        <v>9.4448616354751522E-3</v>
      </c>
      <c r="CU634" s="177">
        <f t="shared" si="1797"/>
        <v>9.2410987285872857E-3</v>
      </c>
      <c r="CV634" s="119">
        <f>VLOOKUP($H634,RoR!$E:$F,2,FALSE)</f>
        <v>2.4766666666666666E-2</v>
      </c>
      <c r="CW634" s="177">
        <v>1.1618796630994188E-2</v>
      </c>
      <c r="CX634" s="177">
        <f t="shared" si="1795"/>
        <v>1.3147870035672478E-2</v>
      </c>
      <c r="CY634" s="177">
        <f t="shared" si="1798"/>
        <v>2.1660842879946338E-2</v>
      </c>
      <c r="CZ634" s="177">
        <f t="shared" si="1799"/>
        <v>4.5144642961987357E-2</v>
      </c>
      <c r="DA634" s="187">
        <f t="shared" si="1790"/>
        <v>0.89931249999999996</v>
      </c>
      <c r="DB634" s="188">
        <f t="shared" si="1791"/>
        <v>2.0706077233668081</v>
      </c>
      <c r="DC634" s="188">
        <f t="shared" si="1792"/>
        <v>-3.4421265141318998E-2</v>
      </c>
      <c r="DD634" s="188">
        <f t="shared" si="1793"/>
        <v>0.62416226176410472</v>
      </c>
      <c r="DE634" s="188">
        <f t="shared" si="1794"/>
        <v>-4.4485877841158712E-2</v>
      </c>
      <c r="DF634" s="189">
        <f>INDEX('State Tax Lookup'!$D$7:$Z$91,MATCH(Calculation!$C634,'State Tax Lookup'!$B$7:$B$91,0),MATCH($H634,'State Tax Lookup'!$D$6:$Z$6,0))</f>
        <v>0.26849999999999996</v>
      </c>
      <c r="DG634" s="189">
        <v>0.375</v>
      </c>
      <c r="DH634" s="190">
        <f t="shared" si="1796"/>
        <v>21.596847696764442</v>
      </c>
      <c r="DI634" s="190">
        <v>21.323242137622085</v>
      </c>
      <c r="DJ634" s="177"/>
      <c r="DK634" s="189">
        <f>VLOOKUP($H634,RoR!$E:$F,2,FALSE)</f>
        <v>2.4766666666666666E-2</v>
      </c>
      <c r="DL634" s="191">
        <f>HLOOKUP($H634,'GDP-PI'!$D$8:$CQ$11,3,FALSE)</f>
        <v>1.1618796630994188E-2</v>
      </c>
      <c r="DM634" s="189">
        <f>VLOOKUP(H634,'HW Dx Data'!$E:$F,2,FALSE)</f>
        <v>813.080162458833</v>
      </c>
      <c r="DN634" s="183">
        <f>VLOOKUP(H634,'ECI - Input Price'!$G$17:$H$37,2,FALSE)</f>
        <v>140.44999999999999</v>
      </c>
      <c r="DO634" s="177">
        <f t="shared" ref="DO634" si="1852">LN(DN634/DN633)</f>
        <v>2.5966118063564539E-2</v>
      </c>
      <c r="DP634" s="183">
        <f>HLOOKUP(H634,'GDP-PI'!$8:$9,2,FALSE)</f>
        <v>113.623</v>
      </c>
      <c r="DQ634" s="177">
        <f t="shared" ref="DQ634" si="1853">LN(DP634/DP633)</f>
        <v>1.1551816731392881E-2</v>
      </c>
    </row>
    <row r="635" spans="1:121" s="167" customFormat="1" ht="21" x14ac:dyDescent="0.35">
      <c r="A635" s="167" t="s">
        <v>71</v>
      </c>
      <c r="B635" s="167" t="s">
        <v>71</v>
      </c>
      <c r="C635" s="167">
        <v>4061755</v>
      </c>
      <c r="D635" s="167" t="s">
        <v>145</v>
      </c>
      <c r="E635" s="167" t="s">
        <v>126</v>
      </c>
      <c r="G635" s="168" t="s">
        <v>462</v>
      </c>
      <c r="H635" s="169">
        <v>2021</v>
      </c>
      <c r="I635" s="170"/>
      <c r="J635" s="166">
        <f>IFERROR(INDEX('Labor Expenditures'!$E$7:$X$91,MATCH($C635,'Labor Expenditures'!$D$7:$D$91,0),MATCH($G635,'Labor Expenditures'!$E$5:$X$5,0)),"NA")</f>
        <v>44702.96625875427</v>
      </c>
      <c r="K635" s="166">
        <f t="shared" si="1802"/>
        <v>307.28968041762681</v>
      </c>
      <c r="L635" s="171">
        <f t="shared" si="1809"/>
        <v>-0.27416546251156881</v>
      </c>
      <c r="M635" s="172">
        <f t="shared" si="1813"/>
        <v>-4.0897182465799457E-3</v>
      </c>
      <c r="N635" s="196"/>
      <c r="O635" s="172"/>
      <c r="P635" s="166">
        <f>IFERROR(INDEX('Non-Labor Expenditures'!$E$7:$AB$91,MATCH($C635,'Non-Labor Expenditures'!$D$7:$D$91,0),MATCH($G635,'Non-Labor Expenditures'!$E$5:$AB$5,0)),"NA")</f>
        <v>63015.024726195785</v>
      </c>
      <c r="Q635" s="166">
        <f t="shared" si="1803"/>
        <v>531.8172396505679</v>
      </c>
      <c r="R635" s="172">
        <f t="shared" si="1814"/>
        <v>-0.30793433014170524</v>
      </c>
      <c r="S635" s="172">
        <f t="shared" si="1819"/>
        <v>-4.5934474648708324E-3</v>
      </c>
      <c r="T635" s="172"/>
      <c r="U635" s="172"/>
      <c r="V635" s="166">
        <f t="shared" si="1784"/>
        <v>112283.86963272936</v>
      </c>
      <c r="W635" s="170"/>
      <c r="X635" s="174">
        <v>5312.745940947415</v>
      </c>
      <c r="Y635" s="175"/>
      <c r="Z635" s="175">
        <f t="shared" si="1820"/>
        <v>0</v>
      </c>
      <c r="AA635" s="175"/>
      <c r="AB635" s="175"/>
      <c r="AC635" s="170">
        <f t="shared" si="1677"/>
        <v>220001.86061767943</v>
      </c>
      <c r="AD635" s="175">
        <f t="shared" si="1815"/>
        <v>-0.10515660729419164</v>
      </c>
      <c r="AE635" s="118"/>
      <c r="AF635" s="119"/>
      <c r="AG635" s="121">
        <f t="shared" si="1816"/>
        <v>395.8455650695862</v>
      </c>
      <c r="AH635" s="119">
        <f>+AZ635/$BB$59</f>
        <v>1.4259403490467911E-2</v>
      </c>
      <c r="AI635" s="119">
        <f t="shared" ref="AI635" si="1854">+AZ635/$BC$44</f>
        <v>6.73883344971377E-2</v>
      </c>
      <c r="AJ635" s="176">
        <f t="shared" si="1821"/>
        <v>5.6445216322395</v>
      </c>
      <c r="AK635" s="176">
        <f t="shared" si="1822"/>
        <v>26.675373348117763</v>
      </c>
      <c r="AL635" s="120">
        <f t="shared" si="1804"/>
        <v>0.20319358269628163</v>
      </c>
      <c r="AM635" s="120">
        <f t="shared" si="1805"/>
        <v>0.28642950813813195</v>
      </c>
      <c r="AN635" s="120">
        <f t="shared" si="1806"/>
        <v>0.51037690916558631</v>
      </c>
      <c r="AO635" s="120">
        <f t="shared" si="1810"/>
        <v>-0.15559486626104138</v>
      </c>
      <c r="AP635" s="173">
        <f t="shared" si="1826"/>
        <v>124.81009862246709</v>
      </c>
      <c r="AQ635" s="175">
        <f t="shared" si="1827"/>
        <v>-0.15559486626104133</v>
      </c>
      <c r="AR635" s="177">
        <f>+AC635/$AE$59</f>
        <v>1.4916970974808231E-2</v>
      </c>
      <c r="AS635" s="177">
        <f t="shared" si="1823"/>
        <v>-2.3210041038451219E-3</v>
      </c>
      <c r="AT635" s="177"/>
      <c r="AU635" s="177"/>
      <c r="AV635" s="177"/>
      <c r="AW635" s="190"/>
      <c r="AX635" s="120"/>
      <c r="AY635" s="120"/>
      <c r="AZ635" s="118">
        <f>INDEX('Total Customers'!$E$7:$E$91,MATCH(Calculation!$C635,'Total Customers'!$D$7:$D$91,0))</f>
        <v>555777</v>
      </c>
      <c r="BA635" s="119">
        <f t="shared" si="1785"/>
        <v>0</v>
      </c>
      <c r="BB635" s="118"/>
      <c r="BC635" s="121"/>
      <c r="BD635" s="118"/>
      <c r="BE635" s="119"/>
      <c r="BF635" s="119"/>
      <c r="BG635" s="173"/>
      <c r="BH635" s="173"/>
      <c r="BI635" s="173"/>
      <c r="BJ635" s="173"/>
      <c r="BK635" s="173"/>
      <c r="BL635" s="173"/>
      <c r="BM635" s="173"/>
      <c r="BN635" s="173"/>
      <c r="BO635" s="173"/>
      <c r="BP635" s="173"/>
      <c r="BQ635" s="118"/>
      <c r="BR635" s="118"/>
      <c r="BS635" s="118">
        <f>INDEX('Dist. Plant Gas Additions'!$E$7:$AE$91,MATCH($C635,'Dist. Plant Gas Additions'!$D$7:$D$91,0),MATCH(Calculation!$G635,'Dist. Plant Gas Additions'!$E$5:$AE$5,0))</f>
        <v>270229.40100000001</v>
      </c>
      <c r="BT635" s="118">
        <f>INDEX('Gen. Plant Additions'!$E$7:$AE$91,MATCH($C635,'Gen. Plant Additions'!$D$7:$D$91,0),MATCH(Calculation!$G635,'Gen. Plant Additions'!$E$5:$AE$5,0))</f>
        <v>53597.341999999997</v>
      </c>
      <c r="BU635" s="118"/>
      <c r="BV635" s="118"/>
      <c r="BW635" s="118"/>
      <c r="BX635" s="118"/>
      <c r="BY635" s="183"/>
      <c r="BZ635" s="183"/>
      <c r="CA635" s="178"/>
      <c r="CB635" s="184"/>
      <c r="CC635" s="185"/>
      <c r="CD635" s="185"/>
      <c r="CE635" s="118"/>
      <c r="CF635" s="118"/>
      <c r="CG635" s="118"/>
      <c r="CH635" s="118"/>
      <c r="CI635" s="121">
        <v>2021</v>
      </c>
      <c r="CJ635" s="118"/>
      <c r="CK635" s="118"/>
      <c r="CL635" s="118"/>
      <c r="CM635" s="183"/>
      <c r="CN635" s="118">
        <f t="shared" si="1786"/>
        <v>323826.74300000002</v>
      </c>
      <c r="CO635" s="118">
        <f t="shared" si="1787"/>
        <v>347.07281257621111</v>
      </c>
      <c r="CP635" s="186">
        <f>+(51-23)/(51-23*0.75)</f>
        <v>0.82962962962962961</v>
      </c>
      <c r="CQ635" s="118">
        <f>CQ612*CP635+CO613*CP634+CO614*CP633+CO615*CP632+CO616*CP631+CO617*CP630+CO618*CP629+CO619*CP628+CO620*CP627+CO621*CP626+CO622*CP625+CO623*CP624+CO624*CP623+CO625*CP622+CO626*CP621+CO617*CP620+CO628*CP619+CO629*CP618+CO630*CP617+CO631*CP616+CO632*CP615+CO633*CP614+CO635+CO634*CP613</f>
        <v>5312.745940947415</v>
      </c>
      <c r="CR635" s="119"/>
      <c r="CS635" s="118"/>
      <c r="CT635" s="177">
        <f t="shared" si="1789"/>
        <v>1.5527338706880778E-2</v>
      </c>
      <c r="CU635" s="177">
        <f t="shared" si="1797"/>
        <v>1.1415446360313853E-2</v>
      </c>
      <c r="CV635" s="119">
        <f>VLOOKUP($H635,RoR!$E:$F,2,FALSE)</f>
        <v>2.7033333333333336E-2</v>
      </c>
      <c r="CW635" s="177"/>
      <c r="CX635" s="177"/>
      <c r="CY635" s="177">
        <f t="shared" si="1798"/>
        <v>1.9486495248219771E-2</v>
      </c>
      <c r="CZ635" s="177">
        <f t="shared" si="1799"/>
        <v>7.433422950153494E-2</v>
      </c>
      <c r="DA635" s="187">
        <f t="shared" si="1790"/>
        <v>0.89931249999999996</v>
      </c>
      <c r="DB635" s="188">
        <f t="shared" si="1791"/>
        <v>1.8969932656739068</v>
      </c>
      <c r="DC635" s="188">
        <f t="shared" si="1792"/>
        <v>5.0215782983970621E-2</v>
      </c>
      <c r="DD635" s="188">
        <f t="shared" si="1793"/>
        <v>0.655952481704143</v>
      </c>
      <c r="DE635" s="188">
        <f t="shared" si="1794"/>
        <v>6.2485378865697057E-2</v>
      </c>
      <c r="DF635" s="189">
        <f>DF634</f>
        <v>0.26849999999999996</v>
      </c>
      <c r="DG635" s="189">
        <v>0.375</v>
      </c>
      <c r="DH635" s="190">
        <f t="shared" si="1796"/>
        <v>22.260909467853196</v>
      </c>
      <c r="DI635" s="190"/>
      <c r="DJ635" s="177">
        <f t="shared" ref="DJ635" si="1855">LN(DH635/DH634)</f>
        <v>3.0284837534732073E-2</v>
      </c>
      <c r="DK635" s="189">
        <f>VLOOKUP($H635,RoR!$E:$F,2,FALSE)</f>
        <v>2.7033333333333336E-2</v>
      </c>
      <c r="DL635" s="191">
        <f>HLOOKUP($H635,'GDP-PI'!$D$8:$CR$11,3,FALSE)</f>
        <v>4.2834637353352578E-2</v>
      </c>
      <c r="DM635" s="189">
        <f>VLOOKUP(H635,'HW Dx Data'!$E:$F,2,FALSE)</f>
        <v>933.02249921662576</v>
      </c>
      <c r="DN635" s="183">
        <f>VLOOKUP(H635,'ECI - Input Price'!$G$17:$H$37,2,FALSE)</f>
        <v>145.47500000000002</v>
      </c>
      <c r="DO635" s="177">
        <f t="shared" ref="DO635" si="1856">LN(DN635/DN634)</f>
        <v>3.5152696992481205E-2</v>
      </c>
      <c r="DP635" s="183">
        <f>HLOOKUP(H635,'GDP-PI'!$8:$9,2,FALSE)</f>
        <v>118.49</v>
      </c>
      <c r="DQ635" s="177">
        <f t="shared" ref="DQ635" si="1857">LN(DP635/DP634)</f>
        <v>4.194261824609434E-2</v>
      </c>
    </row>
    <row r="636" spans="1:121" s="167" customFormat="1" ht="21" x14ac:dyDescent="0.35">
      <c r="A636" s="167" t="s">
        <v>72</v>
      </c>
      <c r="B636" s="168" t="s">
        <v>72</v>
      </c>
      <c r="C636" s="168">
        <v>4004389</v>
      </c>
      <c r="D636" s="168" t="s">
        <v>136</v>
      </c>
      <c r="E636" s="168" t="s">
        <v>126</v>
      </c>
      <c r="F636" s="168"/>
      <c r="G636" s="168" t="s">
        <v>4</v>
      </c>
      <c r="H636" s="169">
        <v>1998</v>
      </c>
      <c r="I636" s="170"/>
      <c r="J636" s="166"/>
      <c r="K636" s="166"/>
      <c r="L636" s="166"/>
      <c r="M636" s="166"/>
      <c r="N636" s="196"/>
      <c r="O636" s="166"/>
      <c r="P636" s="172"/>
      <c r="Q636" s="172"/>
      <c r="R636" s="172"/>
      <c r="S636" s="166"/>
      <c r="T636" s="172"/>
      <c r="U636" s="172"/>
      <c r="V636" s="166"/>
      <c r="W636" s="170"/>
      <c r="X636" s="174">
        <v>1837.8744379384075</v>
      </c>
      <c r="Y636" s="175"/>
      <c r="Z636" s="166"/>
      <c r="AA636" s="175"/>
      <c r="AB636" s="175"/>
      <c r="AC636" s="170">
        <f t="shared" si="1677"/>
        <v>0</v>
      </c>
      <c r="AD636" s="170"/>
      <c r="AE636" s="170"/>
      <c r="AF636" s="119"/>
      <c r="AG636" s="174"/>
      <c r="AH636" s="175"/>
      <c r="AI636" s="175"/>
      <c r="AJ636" s="174"/>
      <c r="AK636" s="174"/>
      <c r="AL636" s="120"/>
      <c r="AM636" s="120"/>
      <c r="AN636" s="120"/>
      <c r="AO636" s="120"/>
      <c r="AP636" s="120"/>
      <c r="AQ636" s="175">
        <f>AVERAGE(AQ645:AQ659)</f>
        <v>2.2330921900085711E-2</v>
      </c>
      <c r="AR636" s="120"/>
      <c r="AS636" s="120"/>
      <c r="AT636" s="120"/>
      <c r="AU636" s="120"/>
      <c r="AV636" s="120"/>
      <c r="AW636" s="120"/>
      <c r="AX636" s="120"/>
      <c r="AY636" s="120"/>
      <c r="AZ636" s="118">
        <f>IFERROR(INDEX('Total Customers'!$F$7:$AB$91,MATCH($C636,'Total Customers'!$D$7:$D$91,0),MATCH($G636,'Total Customers'!$F$5:$AB$5,0)),"NA")</f>
        <v>242508</v>
      </c>
      <c r="BA636" s="119"/>
      <c r="BB636" s="119"/>
      <c r="BC636" s="121"/>
      <c r="BD636" s="119"/>
      <c r="BE636" s="119"/>
      <c r="BF636" s="119"/>
      <c r="BG636" s="173"/>
      <c r="BH636" s="173"/>
      <c r="BI636" s="173"/>
      <c r="BJ636" s="173"/>
      <c r="BK636" s="173"/>
      <c r="BL636" s="173"/>
      <c r="BM636" s="173"/>
      <c r="BN636" s="173"/>
      <c r="BO636" s="173"/>
      <c r="BP636" s="173"/>
      <c r="BQ636" s="118">
        <f>INDEX('Gross Dx Plant'!$E$7:$AD$91,MATCH($C636,'Gross Dx Plant'!$D$7:$D$91,0),MATCH(Calculation!$G636,'Gross Dx Plant'!$E$5:$AD$5,0))</f>
        <v>480249</v>
      </c>
      <c r="BR636" s="118">
        <f>INDEX('Gross Gen Plant'!$E$7:$AD$91,MATCH($C636,'Gross Gen Plant'!$D$7:$D$91,0),MATCH(Calculation!$G636,'Gross Gen Plant'!$E$5:$AD$5,0))</f>
        <v>23912</v>
      </c>
      <c r="BS636" s="118">
        <f>INDEX('Dist. Plant Gas Additions'!$F$7:$AE$91,MATCH($C636,'Dist. Plant Gas Additions'!$D$7:$D$91,0),MATCH(Calculation!$G636,'Dist. Plant Gas Additions'!$F$5:$AE$5,0))</f>
        <v>31449</v>
      </c>
      <c r="BT636" s="118">
        <f>INDEX('Gen. Plant Additions'!$F$7:$AE$91,MATCH($C636,'Gen. Plant Additions'!$D$7:$D$91,0),MATCH(Calculation!$G636,'Gen. Plant Additions'!$F$5:$AE$5,0))</f>
        <v>1506</v>
      </c>
      <c r="BU636" s="118" t="e">
        <f>INDEX('Dist Plant Depreciation'!$E$7:$AA$94,MATCH($C636,'Dist Plant Depreciation'!$D$7:$D$94,0),MATCH(#REF!,'Dist Plant Depreciation'!$E$5:$AA$5,0))</f>
        <v>#REF!</v>
      </c>
      <c r="BV636" s="118" t="e">
        <f>INDEX('Gen. Plant Depreciation'!$E$7:$AA$94,MATCH($C636,'Gen. Plant Depreciation'!$D$7:$D$94,0),MATCH(#REF!,'Gen. Plant Depreciation'!$E$5:$AA$5,0))</f>
        <v>#REF!</v>
      </c>
      <c r="BW636" s="118">
        <f>INDEX('Dist Plant Depreciation'!$E$7:$AD$94,MATCH($C636,'Dist Plant Depreciation'!$D$7:$D$94,0),MATCH(Calculation!$G636,'Dist Plant Depreciation'!$E$5:$AD$5,0))</f>
        <v>126733</v>
      </c>
      <c r="BX636" s="118">
        <f>INDEX('Gen. Plant Depreciation'!$E$7:$AD$94,MATCH($C636,'Gen. Plant Depreciation'!$D$7:$D$94,0),MATCH(Calculation!$G636,'Gen. Plant Depreciation'!$E$5:$AD$5,0))</f>
        <v>6693</v>
      </c>
      <c r="BY636" s="118"/>
      <c r="BZ636" s="118"/>
      <c r="CA636" s="118"/>
      <c r="CB636" s="118"/>
      <c r="CC636" s="118"/>
      <c r="CD636" s="118"/>
      <c r="CE636" s="118">
        <f>INDEX('Gross Dx Plant'!$E$7:$AD$91,MATCH($C636,'Gross Dx Plant'!$D$7:$D$91,0),MATCH(Calculation!$G636,'Gross Dx Plant'!$E$5:$AD$5,0))</f>
        <v>480249</v>
      </c>
      <c r="CF636" s="118">
        <f>INDEX('Gross Gen Plant'!$E$7:$AD$91,MATCH($C636,'Gross Gen Plant'!$D$7:$D$91,0),MATCH(Calculation!$G636,'Gross Gen Plant'!$E$5:$AD$5,0))</f>
        <v>23912</v>
      </c>
      <c r="CG636" s="118">
        <f t="shared" si="1720"/>
        <v>370735</v>
      </c>
      <c r="CH636" s="118"/>
      <c r="CI636" s="121">
        <v>1998</v>
      </c>
      <c r="CJ636" s="118">
        <f>BQ636+BR636</f>
        <v>504161</v>
      </c>
      <c r="CK636" s="118">
        <f>126733+6693</f>
        <v>133426</v>
      </c>
      <c r="CL636" s="118">
        <f>+CJ636-CK636</f>
        <v>370735</v>
      </c>
      <c r="CM636" s="118">
        <f>CL636/$CD$36</f>
        <v>1837.8744379384075</v>
      </c>
      <c r="CN636" s="183"/>
      <c r="CO636" s="183"/>
      <c r="CP636" s="186">
        <v>1</v>
      </c>
      <c r="CQ636" s="118">
        <f>+CM636</f>
        <v>1837.8744379384075</v>
      </c>
      <c r="CR636" s="119"/>
      <c r="CS636" s="119"/>
      <c r="CT636" s="177"/>
      <c r="CU636" s="177"/>
      <c r="CV636" s="119" t="e">
        <f>VLOOKUP($H636,RoR!$E:$F,2,FALSE)</f>
        <v>#N/A</v>
      </c>
      <c r="CW636" s="177">
        <v>1.1028127770464469E-2</v>
      </c>
      <c r="CX636" s="177"/>
      <c r="CY636" s="177"/>
      <c r="CZ636" s="177"/>
      <c r="DA636" s="187"/>
      <c r="DB636" s="190" t="e">
        <f>2/(DK636*39)</f>
        <v>#N/A</v>
      </c>
      <c r="DC636" s="188" t="e">
        <f>+(DK636*40-(1+DK636))/(DK636*40)</f>
        <v>#N/A</v>
      </c>
      <c r="DD636" s="188" t="e">
        <f>+(1-(1/(1+DK636)^40))</f>
        <v>#N/A</v>
      </c>
      <c r="DE636" s="188" t="e">
        <f>+DD636*DC636*DB636</f>
        <v>#N/A</v>
      </c>
      <c r="DF636" s="189">
        <f>INDEX('State Tax Lookup'!$D$7:$Z$91,MATCH(Calculation!$C636,'State Tax Lookup'!$B$7:$B$91,0),MATCH($H636,'State Tax Lookup'!$D$6:$Z$6,0))</f>
        <v>0.39649667</v>
      </c>
      <c r="DG636" s="189">
        <v>0.375</v>
      </c>
      <c r="DH636" s="183"/>
      <c r="DI636" s="183"/>
      <c r="DJ636" s="177"/>
      <c r="DK636" s="189" t="e">
        <f>VLOOKUP($H636,RoR!$E:$F,2,FALSE)</f>
        <v>#N/A</v>
      </c>
      <c r="DL636" s="191">
        <f>HLOOKUP($H636,'GDP-PI'!$D$8:$CQ$11,3,FALSE)</f>
        <v>1.1028127770464469E-2</v>
      </c>
      <c r="DM636" s="189">
        <f>VLOOKUP(H636,'HW Dx Data'!$E:$F,2,FALSE)</f>
        <v>329.24564746449528</v>
      </c>
      <c r="DN636" s="183" t="e">
        <f>VLOOKUP(H636,'ECI - Input Price'!$G$17:$H$37,2,FALSE)</f>
        <v>#N/A</v>
      </c>
      <c r="DO636" s="177"/>
      <c r="DP636" s="183">
        <f>HLOOKUP(H636,'GDP-PI'!$8:$9,2,FALSE)</f>
        <v>75.266999999999996</v>
      </c>
    </row>
    <row r="637" spans="1:121" s="167" customFormat="1" ht="21" x14ac:dyDescent="0.35">
      <c r="A637" s="167" t="s">
        <v>72</v>
      </c>
      <c r="B637" s="168" t="s">
        <v>72</v>
      </c>
      <c r="C637" s="168">
        <v>4004389</v>
      </c>
      <c r="D637" s="168" t="s">
        <v>136</v>
      </c>
      <c r="E637" s="168" t="s">
        <v>126</v>
      </c>
      <c r="F637" s="168"/>
      <c r="G637" s="168" t="s">
        <v>5</v>
      </c>
      <c r="H637" s="169">
        <v>1999</v>
      </c>
      <c r="I637" s="170"/>
      <c r="J637" s="166"/>
      <c r="K637" s="170"/>
      <c r="L637" s="170"/>
      <c r="M637" s="166"/>
      <c r="N637" s="173"/>
      <c r="O637" s="170"/>
      <c r="P637" s="177"/>
      <c r="Q637" s="177"/>
      <c r="R637" s="177"/>
      <c r="S637" s="195"/>
      <c r="T637" s="177"/>
      <c r="U637" s="177"/>
      <c r="V637" s="166">
        <f t="shared" ref="V637:V659" si="1858">+CQ636*DH637</f>
        <v>0</v>
      </c>
      <c r="W637" s="170"/>
      <c r="X637" s="174">
        <v>1912.1483661008217</v>
      </c>
      <c r="Y637" s="175">
        <v>3.961770185756789E-2</v>
      </c>
      <c r="Z637" s="175"/>
      <c r="AA637" s="175"/>
      <c r="AB637" s="175"/>
      <c r="AC637" s="170">
        <f t="shared" si="1677"/>
        <v>0</v>
      </c>
      <c r="AD637" s="175"/>
      <c r="AE637" s="170"/>
      <c r="AF637" s="119"/>
      <c r="AG637" s="174"/>
      <c r="AH637" s="175"/>
      <c r="AI637" s="175"/>
      <c r="AJ637" s="174"/>
      <c r="AK637" s="174"/>
      <c r="AL637" s="120"/>
      <c r="AM637" s="120"/>
      <c r="AN637" s="120"/>
      <c r="AO637" s="120"/>
      <c r="AP637" s="120"/>
      <c r="AQ637" s="175"/>
      <c r="AR637" s="120"/>
      <c r="AS637" s="120"/>
      <c r="AT637" s="120"/>
      <c r="AU637" s="120"/>
      <c r="AV637" s="120"/>
      <c r="AW637" s="120"/>
      <c r="AX637" s="120"/>
      <c r="AY637" s="120"/>
      <c r="AZ637" s="118">
        <f>IFERROR(INDEX('Total Customers'!$F$7:$AB$91,MATCH($C637,'Total Customers'!$D$7:$D$91,0),MATCH($G637,'Total Customers'!$F$5:$AB$5,0)),"NA")</f>
        <v>243879</v>
      </c>
      <c r="BA637" s="119">
        <f t="shared" ref="BA637:BA659" si="1859">LN(AZ637/AZ636)</f>
        <v>5.6375011298624858E-3</v>
      </c>
      <c r="BB637" s="119"/>
      <c r="BC637" s="121"/>
      <c r="BD637" s="119"/>
      <c r="BE637" s="119"/>
      <c r="BF637" s="119"/>
      <c r="BG637" s="173"/>
      <c r="BH637" s="173"/>
      <c r="BI637" s="173"/>
      <c r="BJ637" s="173"/>
      <c r="BK637" s="173"/>
      <c r="BL637" s="173"/>
      <c r="BM637" s="173"/>
      <c r="BN637" s="173"/>
      <c r="BO637" s="173"/>
      <c r="BP637" s="173"/>
      <c r="BQ637" s="118"/>
      <c r="BR637" s="118"/>
      <c r="BS637" s="118">
        <f>INDEX('Dist. Plant Gas Additions'!$F$7:$AE$91,MATCH($C637,'Dist. Plant Gas Additions'!$D$7:$D$91,0),MATCH(Calculation!$G637,'Dist. Plant Gas Additions'!$F$5:$AE$5,0))</f>
        <v>26200</v>
      </c>
      <c r="BT637" s="118">
        <f>INDEX('Gen. Plant Additions'!$F$7:$AE$91,MATCH($C637,'Gen. Plant Additions'!$D$7:$D$91,0),MATCH(Calculation!$G637,'Gen. Plant Additions'!$F$5:$AE$5,0))</f>
        <v>1772</v>
      </c>
      <c r="BU637" s="118"/>
      <c r="BV637" s="118"/>
      <c r="BW637" s="118">
        <f>INDEX('Dist Plant Depreciation'!$E$7:$AD$94,MATCH($C637,'Dist Plant Depreciation'!$D$7:$D$94,0),MATCH(Calculation!$G637,'Dist Plant Depreciation'!$E$5:$AD$5,0))</f>
        <v>134578</v>
      </c>
      <c r="BX637" s="118">
        <f>INDEX('Gen. Plant Depreciation'!$E$7:$AD$94,MATCH($C637,'Gen. Plant Depreciation'!$D$7:$D$94,0),MATCH(Calculation!$G637,'Gen. Plant Depreciation'!$E$5:$AD$5,0))</f>
        <v>7229</v>
      </c>
      <c r="BY637" s="118"/>
      <c r="BZ637" s="118"/>
      <c r="CA637" s="118"/>
      <c r="CB637" s="118"/>
      <c r="CC637" s="118"/>
      <c r="CD637" s="118"/>
      <c r="CE637" s="118">
        <f>INDEX('Gross Dx Plant'!$E$7:$AD$91,MATCH($C637,'Gross Dx Plant'!$D$7:$D$91,0),MATCH(Calculation!$G637,'Gross Dx Plant'!$E$5:$AD$5,0))</f>
        <v>503302</v>
      </c>
      <c r="CF637" s="118">
        <f>INDEX('Gross Gen Plant'!$E$7:$AD$91,MATCH($C637,'Gross Gen Plant'!$D$7:$D$91,0),MATCH(Calculation!$G637,'Gross Gen Plant'!$E$5:$AD$5,0))</f>
        <v>24324</v>
      </c>
      <c r="CG637" s="118">
        <f t="shared" si="1720"/>
        <v>385819</v>
      </c>
      <c r="CH637" s="118"/>
      <c r="CI637" s="121">
        <v>1999</v>
      </c>
      <c r="CJ637" s="118"/>
      <c r="CK637" s="118"/>
      <c r="CL637" s="118"/>
      <c r="CM637" s="183"/>
      <c r="CN637" s="118">
        <f t="shared" ref="CN637:CN659" si="1860">+BT637+BS637</f>
        <v>27972</v>
      </c>
      <c r="CO637" s="118">
        <f t="shared" ref="CO637:CO659" si="1861">+CN637/$DM637</f>
        <v>83.41758208250566</v>
      </c>
      <c r="CP637" s="186">
        <v>0.99502487562189057</v>
      </c>
      <c r="CQ637" s="118">
        <f>+CQ636*CP637+CO637</f>
        <v>1912.1483661008217</v>
      </c>
      <c r="CR637" s="119">
        <f t="shared" ref="CR637:CR658" si="1862">LN(CQ637/CQ636)</f>
        <v>3.961770185756789E-2</v>
      </c>
      <c r="CS637" s="119"/>
      <c r="CT637" s="177">
        <f t="shared" ref="CT637:CT659" si="1863">+(CQ636-CQ637+CO637)/CQ636</f>
        <v>4.9751243781093754E-3</v>
      </c>
      <c r="CU637" s="177"/>
      <c r="CV637" s="119">
        <f>VLOOKUP($H637,RoR!$E:$F,2,FALSE)</f>
        <v>7.0416666666666669E-2</v>
      </c>
      <c r="CW637" s="177">
        <v>1.4335631817396832E-2</v>
      </c>
      <c r="CX637" s="177">
        <f>+CV637-CW637</f>
        <v>5.6081034849269837E-2</v>
      </c>
      <c r="CY637" s="177"/>
      <c r="CZ637" s="177"/>
      <c r="DA637" s="187">
        <f t="shared" ref="DA637:DA659" si="1864">1-DF637*DG637</f>
        <v>0.85131374874999999</v>
      </c>
      <c r="DB637" s="188">
        <f t="shared" ref="DB637:DB659" si="1865">2/(DK637*39)</f>
        <v>0.72826581702321336</v>
      </c>
      <c r="DC637" s="188">
        <f t="shared" ref="DC637:DC659" si="1866">+(DK637*40-(1+DK637))/(DK637*40)</f>
        <v>0.61997041420118348</v>
      </c>
      <c r="DD637" s="188">
        <f t="shared" ref="DD637:DD659" si="1867">+(1-(1/(1+DK637)^40))</f>
        <v>0.93425155319585029</v>
      </c>
      <c r="DE637" s="188">
        <f t="shared" ref="DE637:DE659" si="1868">+DD637*DC637*DB637</f>
        <v>0.42181762214141483</v>
      </c>
      <c r="DF637" s="189">
        <f>INDEX('State Tax Lookup'!$D$7:$Z$91,MATCH(Calculation!$C637,'State Tax Lookup'!$B$7:$B$91,0),MATCH($H637,'State Tax Lookup'!$D$6:$Z$6,0))</f>
        <v>0.39649667</v>
      </c>
      <c r="DG637" s="189">
        <v>0.375</v>
      </c>
      <c r="DH637" s="190"/>
      <c r="DI637" s="190"/>
      <c r="DJ637" s="177"/>
      <c r="DK637" s="189">
        <f>VLOOKUP($H637,RoR!$E:$F,2,FALSE)</f>
        <v>7.0416666666666669E-2</v>
      </c>
      <c r="DL637" s="191">
        <f>HLOOKUP($H637,'GDP-PI'!$D$8:$CQ$11,3,FALSE)</f>
        <v>1.4335631817396832E-2</v>
      </c>
      <c r="DM637" s="189">
        <f>VLOOKUP(H637,'HW Dx Data'!$E:$F,2,FALSE)</f>
        <v>335.32499146683239</v>
      </c>
      <c r="DN637" s="183" t="e">
        <f>VLOOKUP(H637,'ECI - Input Price'!$G$17:$H$37,2,FALSE)</f>
        <v>#N/A</v>
      </c>
      <c r="DO637" s="177"/>
      <c r="DP637" s="183">
        <f>HLOOKUP(H637,'GDP-PI'!$8:$9,2,FALSE)</f>
        <v>76.346000000000004</v>
      </c>
    </row>
    <row r="638" spans="1:121" s="167" customFormat="1" ht="21" x14ac:dyDescent="0.35">
      <c r="A638" s="167" t="s">
        <v>72</v>
      </c>
      <c r="B638" s="168" t="s">
        <v>72</v>
      </c>
      <c r="C638" s="168">
        <v>4004389</v>
      </c>
      <c r="D638" s="168" t="s">
        <v>136</v>
      </c>
      <c r="E638" s="168" t="s">
        <v>126</v>
      </c>
      <c r="F638" s="168"/>
      <c r="G638" s="168" t="s">
        <v>6</v>
      </c>
      <c r="H638" s="169">
        <v>2000</v>
      </c>
      <c r="I638" s="170"/>
      <c r="J638" s="166"/>
      <c r="K638" s="166"/>
      <c r="L638" s="166"/>
      <c r="M638" s="166"/>
      <c r="N638" s="196"/>
      <c r="O638" s="166"/>
      <c r="P638" s="166"/>
      <c r="Q638" s="166"/>
      <c r="R638" s="166"/>
      <c r="S638" s="166"/>
      <c r="T638" s="166"/>
      <c r="U638" s="166"/>
      <c r="V638" s="166">
        <f t="shared" si="1858"/>
        <v>0</v>
      </c>
      <c r="W638" s="170"/>
      <c r="X638" s="174">
        <v>1962.9185539773723</v>
      </c>
      <c r="Y638" s="175">
        <v>2.6205014894631125E-2</v>
      </c>
      <c r="Z638" s="175"/>
      <c r="AA638" s="175"/>
      <c r="AB638" s="175"/>
      <c r="AC638" s="170">
        <f t="shared" ref="AC638:AC701" si="1869">+J638+P638+V638</f>
        <v>0</v>
      </c>
      <c r="AD638" s="175"/>
      <c r="AE638" s="170"/>
      <c r="AF638" s="170"/>
      <c r="AG638" s="174"/>
      <c r="AH638" s="175"/>
      <c r="AI638" s="175"/>
      <c r="AJ638" s="174"/>
      <c r="AK638" s="174"/>
      <c r="AL638" s="120"/>
      <c r="AM638" s="120"/>
      <c r="AN638" s="120"/>
      <c r="AO638" s="120"/>
      <c r="AP638" s="120"/>
      <c r="AQ638" s="175"/>
      <c r="AR638" s="120"/>
      <c r="AS638" s="120"/>
      <c r="AT638" s="120"/>
      <c r="AU638" s="120"/>
      <c r="AV638" s="120"/>
      <c r="AW638" s="120"/>
      <c r="AX638" s="120"/>
      <c r="AY638" s="120"/>
      <c r="AZ638" s="118">
        <f>IFERROR(INDEX('Total Customers'!$F$7:$AB$91,MATCH($C638,'Total Customers'!$D$7:$D$91,0),MATCH($G638,'Total Customers'!$F$5:$AB$5,0)),"NA")</f>
        <v>246475</v>
      </c>
      <c r="BA638" s="119">
        <f t="shared" si="1859"/>
        <v>1.0588367807130922E-2</v>
      </c>
      <c r="BB638" s="119"/>
      <c r="BC638" s="121"/>
      <c r="BD638" s="119"/>
      <c r="BE638" s="119"/>
      <c r="BF638" s="119"/>
      <c r="BG638" s="173"/>
      <c r="BH638" s="173"/>
      <c r="BI638" s="173"/>
      <c r="BJ638" s="173"/>
      <c r="BK638" s="173"/>
      <c r="BL638" s="173"/>
      <c r="BM638" s="173"/>
      <c r="BN638" s="173"/>
      <c r="BO638" s="173"/>
      <c r="BP638" s="173"/>
      <c r="BQ638" s="118"/>
      <c r="BR638" s="118"/>
      <c r="BS638" s="118">
        <f>INDEX('Dist. Plant Gas Additions'!$F$7:$AE$91,MATCH($C638,'Dist. Plant Gas Additions'!$D$7:$D$91,0),MATCH(Calculation!$G638,'Dist. Plant Gas Additions'!$F$5:$AE$5,0))</f>
        <v>20185</v>
      </c>
      <c r="BT638" s="118">
        <f>INDEX('Gen. Plant Additions'!$F$7:$AE$91,MATCH($C638,'Gen. Plant Additions'!$D$7:$D$91,0),MATCH(Calculation!$G638,'Gen. Plant Additions'!$F$5:$AE$5,0))</f>
        <v>817</v>
      </c>
      <c r="BU638" s="118"/>
      <c r="BV638" s="118"/>
      <c r="BW638" s="118" t="str">
        <f>INDEX('Dist Plant Depreciation'!$E$7:$AD$94,MATCH($C638,'Dist Plant Depreciation'!$D$7:$D$94,0),MATCH(Calculation!$G638,'Dist Plant Depreciation'!$E$5:$AD$5,0))</f>
        <v>NA</v>
      </c>
      <c r="BX638" s="118" t="str">
        <f>INDEX('Gen. Plant Depreciation'!$E$7:$AD$94,MATCH($C638,'Gen. Plant Depreciation'!$D$7:$D$94,0),MATCH(Calculation!$G638,'Gen. Plant Depreciation'!$E$5:$AD$5,0))</f>
        <v>NA</v>
      </c>
      <c r="BY638" s="118"/>
      <c r="BZ638" s="118"/>
      <c r="CA638" s="118"/>
      <c r="CB638" s="118"/>
      <c r="CC638" s="118"/>
      <c r="CD638" s="118"/>
      <c r="CE638" s="118">
        <f>INDEX('Gross Dx Plant'!$E$7:$AD$91,MATCH($C638,'Gross Dx Plant'!$D$7:$D$91,0),MATCH(Calculation!$G638,'Gross Dx Plant'!$E$5:$AD$5,0))</f>
        <v>520539</v>
      </c>
      <c r="CF638" s="118">
        <f>INDEX('Gross Gen Plant'!$E$7:$AD$91,MATCH($C638,'Gross Gen Plant'!$D$7:$D$91,0),MATCH(Calculation!$G638,'Gross Gen Plant'!$E$5:$AD$5,0))</f>
        <v>26065</v>
      </c>
      <c r="CG638" s="118" t="str">
        <f t="shared" si="1720"/>
        <v>NA</v>
      </c>
      <c r="CH638" s="118"/>
      <c r="CI638" s="121">
        <v>2000</v>
      </c>
      <c r="CJ638" s="118"/>
      <c r="CK638" s="118"/>
      <c r="CL638" s="118"/>
      <c r="CM638" s="183"/>
      <c r="CN638" s="118">
        <f t="shared" si="1860"/>
        <v>21002</v>
      </c>
      <c r="CO638" s="118">
        <f t="shared" si="1861"/>
        <v>60.605935064644861</v>
      </c>
      <c r="CP638" s="186">
        <v>0.98989898989898994</v>
      </c>
      <c r="CQ638" s="118">
        <f>+CQ636*CP638+CO637*CP637+CO638</f>
        <v>1962.9185539773723</v>
      </c>
      <c r="CR638" s="119">
        <f t="shared" si="1862"/>
        <v>2.6205014894631125E-2</v>
      </c>
      <c r="CS638" s="119"/>
      <c r="CT638" s="177">
        <f t="shared" si="1863"/>
        <v>5.1438200939140115E-3</v>
      </c>
      <c r="CU638" s="177"/>
      <c r="CV638" s="119">
        <f>VLOOKUP($H638,RoR!$E:$F,2,FALSE)</f>
        <v>7.6225000000000001E-2</v>
      </c>
      <c r="CW638" s="177">
        <v>2.2568307442433211E-2</v>
      </c>
      <c r="CX638" s="177">
        <f t="shared" ref="CX638:CX658" si="1870">+CV638-CW638</f>
        <v>5.365669255756679E-2</v>
      </c>
      <c r="CY638" s="177"/>
      <c r="CZ638" s="177"/>
      <c r="DA638" s="187">
        <f t="shared" si="1864"/>
        <v>0.85131374874999999</v>
      </c>
      <c r="DB638" s="188">
        <f t="shared" si="1865"/>
        <v>0.67277207323124022</v>
      </c>
      <c r="DC638" s="188">
        <f t="shared" si="1866"/>
        <v>0.6470236142997704</v>
      </c>
      <c r="DD638" s="188">
        <f t="shared" si="1867"/>
        <v>0.94704866037543145</v>
      </c>
      <c r="DE638" s="188">
        <f t="shared" si="1868"/>
        <v>0.41224973107878493</v>
      </c>
      <c r="DF638" s="189">
        <f>INDEX('State Tax Lookup'!$D$7:$Z$91,MATCH(Calculation!$C638,'State Tax Lookup'!$B$7:$B$91,0),MATCH($H638,'State Tax Lookup'!$D$6:$Z$6,0))</f>
        <v>0.39649667</v>
      </c>
      <c r="DG638" s="189">
        <v>0.375</v>
      </c>
      <c r="DH638" s="190"/>
      <c r="DI638" s="190"/>
      <c r="DJ638" s="177"/>
      <c r="DK638" s="189">
        <f>VLOOKUP($H638,RoR!$E:$F,2,FALSE)</f>
        <v>7.6225000000000001E-2</v>
      </c>
      <c r="DL638" s="191">
        <f>HLOOKUP($H638,'GDP-PI'!$D$8:$CQ$11,3,FALSE)</f>
        <v>2.2568307442433211E-2</v>
      </c>
      <c r="DM638" s="189">
        <f>VLOOKUP(H638,'HW Dx Data'!$E:$F,2,FALSE)</f>
        <v>346.53371782150339</v>
      </c>
      <c r="DN638" s="183" t="e">
        <f>VLOOKUP(H638,'ECI - Input Price'!$G$17:$H$37,2,FALSE)</f>
        <v>#N/A</v>
      </c>
      <c r="DO638" s="177"/>
      <c r="DP638" s="183">
        <f>HLOOKUP(H638,'GDP-PI'!$8:$9,2,FALSE)</f>
        <v>78.069000000000003</v>
      </c>
    </row>
    <row r="639" spans="1:121" s="167" customFormat="1" ht="21" x14ac:dyDescent="0.35">
      <c r="A639" s="167" t="s">
        <v>72</v>
      </c>
      <c r="B639" s="168" t="s">
        <v>72</v>
      </c>
      <c r="C639" s="168">
        <v>4004389</v>
      </c>
      <c r="D639" s="168" t="s">
        <v>136</v>
      </c>
      <c r="E639" s="168" t="s">
        <v>126</v>
      </c>
      <c r="F639" s="168"/>
      <c r="G639" s="168" t="s">
        <v>7</v>
      </c>
      <c r="H639" s="169">
        <v>2001</v>
      </c>
      <c r="I639" s="170"/>
      <c r="J639" s="166"/>
      <c r="K639" s="166"/>
      <c r="L639" s="166"/>
      <c r="M639" s="166"/>
      <c r="N639" s="196"/>
      <c r="O639" s="166"/>
      <c r="P639" s="166"/>
      <c r="Q639" s="166"/>
      <c r="R639" s="166"/>
      <c r="S639" s="166"/>
      <c r="T639" s="166"/>
      <c r="U639" s="166"/>
      <c r="V639" s="166">
        <f t="shared" si="1858"/>
        <v>25190.605907187262</v>
      </c>
      <c r="W639" s="170"/>
      <c r="X639" s="174">
        <v>2017.8565268055222</v>
      </c>
      <c r="Y639" s="175">
        <v>2.7603398830837376E-2</v>
      </c>
      <c r="Z639" s="175"/>
      <c r="AA639" s="175"/>
      <c r="AB639" s="175"/>
      <c r="AC639" s="170">
        <f t="shared" si="1869"/>
        <v>25190.605907187262</v>
      </c>
      <c r="AD639" s="175"/>
      <c r="AE639" s="170"/>
      <c r="AF639" s="170"/>
      <c r="AG639" s="174"/>
      <c r="AH639" s="175"/>
      <c r="AI639" s="175"/>
      <c r="AJ639" s="174"/>
      <c r="AK639" s="174"/>
      <c r="AL639" s="120"/>
      <c r="AM639" s="120"/>
      <c r="AN639" s="120"/>
      <c r="AO639" s="120"/>
      <c r="AP639" s="120"/>
      <c r="AQ639" s="175"/>
      <c r="AR639" s="120"/>
      <c r="AS639" s="120"/>
      <c r="AT639" s="120"/>
      <c r="AU639" s="120"/>
      <c r="AV639" s="120"/>
      <c r="AW639" s="120"/>
      <c r="AX639" s="120"/>
      <c r="AY639" s="120"/>
      <c r="AZ639" s="118">
        <f>IFERROR(INDEX('Total Customers'!$F$7:$AB$91,MATCH($C639,'Total Customers'!$D$7:$D$91,0),MATCH($G639,'Total Customers'!$F$5:$AB$5,0)),"NA")</f>
        <v>249639</v>
      </c>
      <c r="BA639" s="119">
        <f t="shared" si="1859"/>
        <v>1.2755305828407823E-2</v>
      </c>
      <c r="BB639" s="119"/>
      <c r="BC639" s="121"/>
      <c r="BD639" s="119"/>
      <c r="BE639" s="119"/>
      <c r="BF639" s="119"/>
      <c r="BG639" s="173"/>
      <c r="BH639" s="173"/>
      <c r="BI639" s="173"/>
      <c r="BJ639" s="173"/>
      <c r="BK639" s="173"/>
      <c r="BL639" s="173"/>
      <c r="BM639" s="173"/>
      <c r="BN639" s="173"/>
      <c r="BO639" s="173"/>
      <c r="BP639" s="173"/>
      <c r="BQ639" s="118"/>
      <c r="BR639" s="118"/>
      <c r="BS639" s="118">
        <f>INDEX('Dist. Plant Gas Additions'!$F$7:$AE$91,MATCH($C639,'Dist. Plant Gas Additions'!$D$7:$D$91,0),MATCH(Calculation!$G639,'Dist. Plant Gas Additions'!$F$5:$AE$5,0))</f>
        <v>22013</v>
      </c>
      <c r="BT639" s="118">
        <f>INDEX('Gen. Plant Additions'!$F$7:$AE$91,MATCH($C639,'Gen. Plant Additions'!$D$7:$D$91,0),MATCH(Calculation!$G639,'Gen. Plant Additions'!$F$5:$AE$5,0))</f>
        <v>988</v>
      </c>
      <c r="BU639" s="118"/>
      <c r="BV639" s="118"/>
      <c r="BW639" s="118">
        <f>INDEX('Dist Plant Depreciation'!$E$7:$AD$94,MATCH($C639,'Dist Plant Depreciation'!$D$7:$D$94,0),MATCH(Calculation!$G639,'Dist Plant Depreciation'!$E$5:$AD$5,0))</f>
        <v>152464</v>
      </c>
      <c r="BX639" s="118">
        <f>INDEX('Gen. Plant Depreciation'!$E$7:$AD$94,MATCH($C639,'Gen. Plant Depreciation'!$D$7:$D$94,0),MATCH(Calculation!$G639,'Gen. Plant Depreciation'!$E$5:$AD$5,0))</f>
        <v>9968</v>
      </c>
      <c r="BY639" s="118"/>
      <c r="BZ639" s="118"/>
      <c r="CA639" s="118"/>
      <c r="CB639" s="118"/>
      <c r="CC639" s="118"/>
      <c r="CD639" s="118"/>
      <c r="CE639" s="118">
        <f>INDEX('Gross Dx Plant'!$E$7:$AD$91,MATCH($C639,'Gross Dx Plant'!$D$7:$D$91,0),MATCH(Calculation!$G639,'Gross Dx Plant'!$E$5:$AD$5,0))</f>
        <v>539120</v>
      </c>
      <c r="CF639" s="118">
        <f>INDEX('Gross Gen Plant'!$E$7:$AD$91,MATCH($C639,'Gross Gen Plant'!$D$7:$D$91,0),MATCH(Calculation!$G639,'Gross Gen Plant'!$E$5:$AD$5,0))</f>
        <v>25053</v>
      </c>
      <c r="CG639" s="118">
        <f t="shared" si="1720"/>
        <v>401741</v>
      </c>
      <c r="CH639" s="118"/>
      <c r="CI639" s="121">
        <v>2001</v>
      </c>
      <c r="CJ639" s="118"/>
      <c r="CK639" s="118"/>
      <c r="CL639" s="118"/>
      <c r="CM639" s="183"/>
      <c r="CN639" s="118">
        <f t="shared" si="1860"/>
        <v>23001</v>
      </c>
      <c r="CO639" s="118">
        <f t="shared" si="1861"/>
        <v>65.076164912080102</v>
      </c>
      <c r="CP639" s="186">
        <v>0.98461538461538467</v>
      </c>
      <c r="CQ639" s="118">
        <f>+CQ636*CP639+CO637*CP638+CO638*CP636+CO639</f>
        <v>2017.8565268055222</v>
      </c>
      <c r="CR639" s="119">
        <f t="shared" si="1862"/>
        <v>2.7603398830837376E-2</v>
      </c>
      <c r="CS639" s="119"/>
      <c r="CT639" s="177">
        <f t="shared" si="1863"/>
        <v>5.1648562103545513E-3</v>
      </c>
      <c r="CU639" s="177">
        <f>+(CT639+CT638+CT637)/3</f>
        <v>5.094600227459313E-3</v>
      </c>
      <c r="CV639" s="119">
        <f>VLOOKUP($H639,RoR!$E:$F,2,FALSE)</f>
        <v>7.0824999999999999E-2</v>
      </c>
      <c r="CW639" s="177">
        <v>2.2454495382290052E-2</v>
      </c>
      <c r="CX639" s="177">
        <f t="shared" si="1870"/>
        <v>4.8370504617709947E-2</v>
      </c>
      <c r="CY639" s="177">
        <f>+$CX$35-CU639</f>
        <v>2.5807341381074312E-2</v>
      </c>
      <c r="CZ639" s="177">
        <f>+((DM637/DM636-1)+(DM638/DM637-1)+(DM639/DM638-1))/3</f>
        <v>2.3947275901631187E-2</v>
      </c>
      <c r="DA639" s="187">
        <f t="shared" si="1864"/>
        <v>0.85131374874999999</v>
      </c>
      <c r="DB639" s="188">
        <f t="shared" si="1865"/>
        <v>0.72406708481540816</v>
      </c>
      <c r="DC639" s="188">
        <f t="shared" si="1866"/>
        <v>0.62201729615248857</v>
      </c>
      <c r="DD639" s="188">
        <f t="shared" si="1867"/>
        <v>0.9352469954311422</v>
      </c>
      <c r="DE639" s="188">
        <f t="shared" si="1868"/>
        <v>0.42121864641655071</v>
      </c>
      <c r="DF639" s="189">
        <f>INDEX('State Tax Lookup'!$D$7:$Z$91,MATCH(Calculation!$C639,'State Tax Lookup'!$B$7:$B$91,0),MATCH($H639,'State Tax Lookup'!$D$6:$Z$6,0))</f>
        <v>0.39649667</v>
      </c>
      <c r="DG639" s="189">
        <v>0.375</v>
      </c>
      <c r="DH639" s="190">
        <f t="shared" ref="DH639:DH659" si="1871">+(DM639*CY639-CZ639)*DA639/(1-DF639)</f>
        <v>12.833240511250294</v>
      </c>
      <c r="DI639" s="190"/>
      <c r="DJ639" s="177"/>
      <c r="DK639" s="189">
        <f>VLOOKUP($H639,RoR!$E:$F,2,FALSE)</f>
        <v>7.0824999999999999E-2</v>
      </c>
      <c r="DL639" s="191">
        <f>HLOOKUP($H639,'GDP-PI'!$D$8:$CQ$11,3,FALSE)</f>
        <v>2.2454495382290052E-2</v>
      </c>
      <c r="DM639" s="189">
        <f>VLOOKUP(H639,'HW Dx Data'!$E:$F,2,FALSE)</f>
        <v>353.44738017483138</v>
      </c>
      <c r="DN639" s="183">
        <f>VLOOKUP(H639,'ECI - Input Price'!$G$17:$H$37,2,FALSE)</f>
        <v>86.2</v>
      </c>
      <c r="DO639" s="177"/>
      <c r="DP639" s="183">
        <f>HLOOKUP(H639,'GDP-PI'!$8:$9,2,FALSE)</f>
        <v>79.822000000000003</v>
      </c>
    </row>
    <row r="640" spans="1:121" s="167" customFormat="1" ht="21" x14ac:dyDescent="0.35">
      <c r="A640" s="167" t="s">
        <v>72</v>
      </c>
      <c r="B640" s="168" t="s">
        <v>72</v>
      </c>
      <c r="C640" s="168">
        <v>4004389</v>
      </c>
      <c r="D640" s="168" t="s">
        <v>136</v>
      </c>
      <c r="E640" s="168" t="s">
        <v>126</v>
      </c>
      <c r="F640" s="168"/>
      <c r="G640" s="168" t="s">
        <v>8</v>
      </c>
      <c r="H640" s="169">
        <v>2002</v>
      </c>
      <c r="I640" s="170"/>
      <c r="J640" s="166"/>
      <c r="K640" s="166"/>
      <c r="L640" s="166"/>
      <c r="M640" s="166"/>
      <c r="N640" s="196"/>
      <c r="O640" s="166"/>
      <c r="P640" s="166"/>
      <c r="Q640" s="166"/>
      <c r="R640" s="166"/>
      <c r="S640" s="166"/>
      <c r="T640" s="166"/>
      <c r="U640" s="166"/>
      <c r="V640" s="166">
        <f t="shared" si="1858"/>
        <v>26242.671581779905</v>
      </c>
      <c r="W640" s="170"/>
      <c r="X640" s="174">
        <v>2069.2639388145399</v>
      </c>
      <c r="Y640" s="175">
        <v>2.5157136250925003E-2</v>
      </c>
      <c r="Z640" s="175"/>
      <c r="AA640" s="175"/>
      <c r="AB640" s="175"/>
      <c r="AC640" s="170">
        <f t="shared" si="1869"/>
        <v>26242.671581779905</v>
      </c>
      <c r="AD640" s="175"/>
      <c r="AE640" s="170"/>
      <c r="AF640" s="170"/>
      <c r="AG640" s="174"/>
      <c r="AH640" s="175"/>
      <c r="AI640" s="175"/>
      <c r="AJ640" s="174"/>
      <c r="AK640" s="174"/>
      <c r="AL640" s="120"/>
      <c r="AM640" s="120"/>
      <c r="AN640" s="120"/>
      <c r="AO640" s="120"/>
      <c r="AP640" s="120"/>
      <c r="AQ640" s="175"/>
      <c r="AR640" s="120"/>
      <c r="AS640" s="120"/>
      <c r="AT640" s="120"/>
      <c r="AU640" s="120"/>
      <c r="AV640" s="120"/>
      <c r="AW640" s="120"/>
      <c r="AX640" s="120"/>
      <c r="AY640" s="120"/>
      <c r="AZ640" s="118">
        <f>IFERROR(INDEX('Total Customers'!$F$7:$AB$91,MATCH($C640,'Total Customers'!$D$7:$D$91,0),MATCH($G640,'Total Customers'!$F$5:$AB$5,0)),"NA")</f>
        <v>251533</v>
      </c>
      <c r="BA640" s="119">
        <f t="shared" si="1859"/>
        <v>7.5583193663026791E-3</v>
      </c>
      <c r="BB640" s="119"/>
      <c r="BC640" s="121"/>
      <c r="BD640" s="119"/>
      <c r="BE640" s="119"/>
      <c r="BF640" s="119"/>
      <c r="BG640" s="173"/>
      <c r="BH640" s="173"/>
      <c r="BI640" s="173"/>
      <c r="BJ640" s="173"/>
      <c r="BK640" s="173"/>
      <c r="BL640" s="173"/>
      <c r="BM640" s="173"/>
      <c r="BN640" s="173"/>
      <c r="BO640" s="173"/>
      <c r="BP640" s="173"/>
      <c r="BQ640" s="118"/>
      <c r="BR640" s="118"/>
      <c r="BS640" s="118">
        <f>INDEX('Dist. Plant Gas Additions'!$F$7:$AE$91,MATCH($C640,'Dist. Plant Gas Additions'!$D$7:$D$91,0),MATCH(Calculation!$G640,'Dist. Plant Gas Additions'!$F$5:$AE$5,0))</f>
        <v>21493</v>
      </c>
      <c r="BT640" s="118">
        <f>INDEX('Gen. Plant Additions'!$F$7:$AE$91,MATCH($C640,'Gen. Plant Additions'!$D$7:$D$91,0),MATCH(Calculation!$G640,'Gen. Plant Additions'!$F$5:$AE$5,0))</f>
        <v>1199</v>
      </c>
      <c r="BU640" s="118"/>
      <c r="BV640" s="118"/>
      <c r="BW640" s="118">
        <f>INDEX('Dist Plant Depreciation'!$E$7:$AD$94,MATCH($C640,'Dist Plant Depreciation'!$D$7:$D$94,0),MATCH(Calculation!$G640,'Dist Plant Depreciation'!$E$5:$AD$5,0))</f>
        <v>161184</v>
      </c>
      <c r="BX640" s="118">
        <f>INDEX('Gen. Plant Depreciation'!$E$7:$AD$94,MATCH($C640,'Gen. Plant Depreciation'!$D$7:$D$94,0),MATCH(Calculation!$G640,'Gen. Plant Depreciation'!$E$5:$AD$5,0))</f>
        <v>11028</v>
      </c>
      <c r="BY640" s="118"/>
      <c r="BZ640" s="118"/>
      <c r="CA640" s="118"/>
      <c r="CB640" s="118"/>
      <c r="CC640" s="118"/>
      <c r="CD640" s="118"/>
      <c r="CE640" s="118">
        <f>INDEX('Gross Dx Plant'!$E$7:$AD$91,MATCH($C640,'Gross Dx Plant'!$D$7:$D$91,0),MATCH(Calculation!$G640,'Gross Dx Plant'!$E$5:$AD$5,0))</f>
        <v>556263</v>
      </c>
      <c r="CF640" s="118">
        <f>INDEX('Gross Gen Plant'!$E$7:$AD$91,MATCH($C640,'Gross Gen Plant'!$D$7:$D$91,0),MATCH(Calculation!$G640,'Gross Gen Plant'!$E$5:$AD$5,0))</f>
        <v>25496</v>
      </c>
      <c r="CG640" s="118">
        <f t="shared" si="1720"/>
        <v>409547</v>
      </c>
      <c r="CH640" s="118"/>
      <c r="CI640" s="121">
        <v>2002</v>
      </c>
      <c r="CJ640" s="118"/>
      <c r="CK640" s="118"/>
      <c r="CL640" s="118"/>
      <c r="CM640" s="183"/>
      <c r="CN640" s="118">
        <f t="shared" si="1860"/>
        <v>22692</v>
      </c>
      <c r="CO640" s="118">
        <f t="shared" si="1861"/>
        <v>62.798160200696216</v>
      </c>
      <c r="CP640" s="186">
        <v>0.97916666666666663</v>
      </c>
      <c r="CQ640" s="118">
        <f>+CQ636*CP640+CO637*CP639+CO638*CP638+CO639*CP637+CO640</f>
        <v>2069.2639388145399</v>
      </c>
      <c r="CR640" s="119">
        <f t="shared" si="1862"/>
        <v>2.5157136250925003E-2</v>
      </c>
      <c r="CS640" s="119"/>
      <c r="CT640" s="177">
        <f t="shared" si="1863"/>
        <v>5.6449742785783189E-3</v>
      </c>
      <c r="CU640" s="177">
        <f t="shared" ref="CU640:CU659" si="1872">+(CT640+CT639+CT638)/3</f>
        <v>5.3178835276156272E-3</v>
      </c>
      <c r="CV640" s="119">
        <f>VLOOKUP($H640,RoR!$E:$F,2,FALSE)</f>
        <v>6.4916666666666664E-2</v>
      </c>
      <c r="CW640" s="177">
        <v>1.5246423291824351E-2</v>
      </c>
      <c r="CX640" s="177">
        <f t="shared" si="1870"/>
        <v>4.9670243374842313E-2</v>
      </c>
      <c r="CY640" s="177">
        <f t="shared" ref="CY640:CY659" si="1873">+$CX$35-CU640</f>
        <v>2.5584058080917998E-2</v>
      </c>
      <c r="CZ640" s="177">
        <f t="shared" ref="CZ640:CZ659" si="1874">+((DM638/DM637-1)+(DM639/DM638-1)+(DM640/DM639-1))/3</f>
        <v>2.5243621214759093E-2</v>
      </c>
      <c r="DA640" s="187">
        <f t="shared" si="1864"/>
        <v>0.85131374874999999</v>
      </c>
      <c r="DB640" s="188">
        <f t="shared" si="1865"/>
        <v>0.78996741384417901</v>
      </c>
      <c r="DC640" s="188">
        <f t="shared" si="1866"/>
        <v>0.58989088575096271</v>
      </c>
      <c r="DD640" s="188">
        <f t="shared" si="1867"/>
        <v>0.91920675783645744</v>
      </c>
      <c r="DE640" s="188">
        <f t="shared" si="1868"/>
        <v>0.42834536472275586</v>
      </c>
      <c r="DF640" s="189">
        <f>INDEX('State Tax Lookup'!$D$7:$Z$91,MATCH(Calculation!$C640,'State Tax Lookup'!$B$7:$B$91,0),MATCH($H640,'State Tax Lookup'!$D$6:$Z$6,0))</f>
        <v>0.39649667</v>
      </c>
      <c r="DG640" s="189">
        <v>0.375</v>
      </c>
      <c r="DH640" s="190">
        <f t="shared" si="1871"/>
        <v>13.005221745534504</v>
      </c>
      <c r="DI640" s="190"/>
      <c r="DJ640" s="177"/>
      <c r="DK640" s="189">
        <f>VLOOKUP($H640,RoR!$E:$F,2,FALSE)</f>
        <v>6.4916666666666664E-2</v>
      </c>
      <c r="DL640" s="191">
        <f>HLOOKUP($H640,'GDP-PI'!$D$8:$CQ$11,3,FALSE)</f>
        <v>1.5246423291824351E-2</v>
      </c>
      <c r="DM640" s="189">
        <f>VLOOKUP(H640,'HW Dx Data'!$E:$F,2,FALSE)</f>
        <v>361.34816573413599</v>
      </c>
      <c r="DN640" s="183">
        <f>VLOOKUP(H640,'ECI - Input Price'!$G$17:$H$37,2,FALSE)</f>
        <v>89.275000000000006</v>
      </c>
      <c r="DO640" s="177">
        <f>LN(DN640/DN639)</f>
        <v>3.5051315810864674E-2</v>
      </c>
      <c r="DP640" s="183">
        <f>HLOOKUP(H640,'GDP-PI'!$8:$9,2,FALSE)</f>
        <v>81.039000000000001</v>
      </c>
      <c r="DQ640" s="177">
        <f>LN(DP640/DP639)</f>
        <v>1.513136459537477E-2</v>
      </c>
    </row>
    <row r="641" spans="1:121" s="167" customFormat="1" ht="21" x14ac:dyDescent="0.35">
      <c r="A641" s="167" t="s">
        <v>72</v>
      </c>
      <c r="B641" s="168" t="s">
        <v>72</v>
      </c>
      <c r="C641" s="168">
        <v>4004389</v>
      </c>
      <c r="D641" s="168" t="s">
        <v>136</v>
      </c>
      <c r="E641" s="168" t="s">
        <v>126</v>
      </c>
      <c r="F641" s="168"/>
      <c r="G641" s="168" t="s">
        <v>9</v>
      </c>
      <c r="H641" s="169">
        <v>2003</v>
      </c>
      <c r="I641" s="170"/>
      <c r="J641" s="166"/>
      <c r="K641" s="166"/>
      <c r="L641" s="166"/>
      <c r="M641" s="172"/>
      <c r="N641" s="196"/>
      <c r="O641" s="172"/>
      <c r="P641" s="166"/>
      <c r="Q641" s="166"/>
      <c r="R641" s="166"/>
      <c r="S641" s="166"/>
      <c r="T641" s="166"/>
      <c r="U641" s="166"/>
      <c r="V641" s="166">
        <f t="shared" si="1858"/>
        <v>27318.854402473986</v>
      </c>
      <c r="W641" s="170"/>
      <c r="X641" s="174">
        <v>2119.6535654166819</v>
      </c>
      <c r="Y641" s="175">
        <v>2.4059703863184793E-2</v>
      </c>
      <c r="Z641" s="175"/>
      <c r="AA641" s="175"/>
      <c r="AB641" s="175"/>
      <c r="AC641" s="170">
        <f t="shared" si="1869"/>
        <v>27318.854402473986</v>
      </c>
      <c r="AD641" s="175"/>
      <c r="AE641" s="170"/>
      <c r="AF641" s="170"/>
      <c r="AG641" s="174"/>
      <c r="AH641" s="175"/>
      <c r="AI641" s="175"/>
      <c r="AJ641" s="174"/>
      <c r="AK641" s="174"/>
      <c r="AL641" s="120"/>
      <c r="AM641" s="120"/>
      <c r="AN641" s="120"/>
      <c r="AO641" s="120"/>
      <c r="AP641" s="120"/>
      <c r="AQ641" s="175"/>
      <c r="AR641" s="120"/>
      <c r="AS641" s="120"/>
      <c r="AT641" s="120"/>
      <c r="AU641" s="120"/>
      <c r="AV641" s="120"/>
      <c r="AW641" s="120"/>
      <c r="AX641" s="120"/>
      <c r="AY641" s="120"/>
      <c r="AZ641" s="118">
        <f>IFERROR(INDEX('Total Customers'!$F$7:$AB$91,MATCH($C641,'Total Customers'!$D$7:$D$91,0),MATCH($G641,'Total Customers'!$F$5:$AB$5,0)),"NA")</f>
        <v>252691</v>
      </c>
      <c r="BA641" s="119">
        <f t="shared" si="1859"/>
        <v>4.5932047499164649E-3</v>
      </c>
      <c r="BB641" s="119"/>
      <c r="BC641" s="121"/>
      <c r="BD641" s="119"/>
      <c r="BE641" s="119"/>
      <c r="BF641" s="119"/>
      <c r="BG641" s="173"/>
      <c r="BH641" s="173"/>
      <c r="BI641" s="173"/>
      <c r="BJ641" s="173"/>
      <c r="BK641" s="173"/>
      <c r="BL641" s="173"/>
      <c r="BM641" s="173"/>
      <c r="BN641" s="173"/>
      <c r="BO641" s="173"/>
      <c r="BP641" s="173"/>
      <c r="BQ641" s="118"/>
      <c r="BR641" s="118"/>
      <c r="BS641" s="118">
        <f>INDEX('Dist. Plant Gas Additions'!$F$7:$AE$91,MATCH($C641,'Dist. Plant Gas Additions'!$D$7:$D$91,0),MATCH(Calculation!$G641,'Dist. Plant Gas Additions'!$F$5:$AE$5,0))</f>
        <v>22051</v>
      </c>
      <c r="BT641" s="118">
        <f>INDEX('Gen. Plant Additions'!$F$7:$AE$91,MATCH($C641,'Gen. Plant Additions'!$D$7:$D$91,0),MATCH(Calculation!$G641,'Gen. Plant Additions'!$F$5:$AE$5,0))</f>
        <v>894</v>
      </c>
      <c r="BU641" s="118"/>
      <c r="BV641" s="118"/>
      <c r="BW641" s="118">
        <f>INDEX('Dist Plant Depreciation'!$E$7:$AD$94,MATCH($C641,'Dist Plant Depreciation'!$D$7:$D$94,0),MATCH(Calculation!$G641,'Dist Plant Depreciation'!$E$5:$AD$5,0))</f>
        <v>165793</v>
      </c>
      <c r="BX641" s="118">
        <f>INDEX('Gen. Plant Depreciation'!$E$7:$AD$94,MATCH($C641,'Gen. Plant Depreciation'!$D$7:$D$94,0),MATCH(Calculation!$G641,'Gen. Plant Depreciation'!$E$5:$AD$5,0))</f>
        <v>11105</v>
      </c>
      <c r="BY641" s="118"/>
      <c r="BZ641" s="118"/>
      <c r="CA641" s="118"/>
      <c r="CB641" s="118"/>
      <c r="CC641" s="118"/>
      <c r="CD641" s="118"/>
      <c r="CE641" s="118">
        <f>INDEX('Gross Dx Plant'!$E$7:$AD$91,MATCH($C641,'Gross Dx Plant'!$D$7:$D$91,0),MATCH(Calculation!$G641,'Gross Dx Plant'!$E$5:$AD$5,0))</f>
        <v>574870</v>
      </c>
      <c r="CF641" s="118">
        <f>INDEX('Gross Gen Plant'!$E$7:$AD$91,MATCH($C641,'Gross Gen Plant'!$D$7:$D$91,0),MATCH(Calculation!$G641,'Gross Gen Plant'!$E$5:$AD$5,0))</f>
        <v>24498</v>
      </c>
      <c r="CG641" s="118">
        <f t="shared" si="1720"/>
        <v>422470</v>
      </c>
      <c r="CH641" s="118"/>
      <c r="CI641" s="121">
        <v>2003</v>
      </c>
      <c r="CJ641" s="118"/>
      <c r="CK641" s="118"/>
      <c r="CL641" s="118"/>
      <c r="CM641" s="183"/>
      <c r="CN641" s="118">
        <f t="shared" si="1860"/>
        <v>22945</v>
      </c>
      <c r="CO641" s="118">
        <f t="shared" si="1861"/>
        <v>62.142331046231945</v>
      </c>
      <c r="CP641" s="186">
        <v>0.97354497354497349</v>
      </c>
      <c r="CQ641" s="118">
        <f>+CQ636*CP641+CO637*CP640+CO638*CP639+CO639*CP638+CO640*CP637+CO641</f>
        <v>2119.6535654166819</v>
      </c>
      <c r="CR641" s="119">
        <f t="shared" si="1862"/>
        <v>2.4059703863184793E-2</v>
      </c>
      <c r="CS641" s="119"/>
      <c r="CT641" s="177">
        <f t="shared" si="1863"/>
        <v>5.6796545977710958E-3</v>
      </c>
      <c r="CU641" s="177">
        <f t="shared" si="1872"/>
        <v>5.496495028901322E-3</v>
      </c>
      <c r="CV641" s="119">
        <f>VLOOKUP($H641,RoR!$E:$F,2,FALSE)</f>
        <v>5.6666666666666671E-2</v>
      </c>
      <c r="CW641" s="177">
        <v>1.8855119140166909E-2</v>
      </c>
      <c r="CX641" s="177">
        <f t="shared" si="1870"/>
        <v>3.7811547526499761E-2</v>
      </c>
      <c r="CY641" s="177">
        <f t="shared" si="1873"/>
        <v>2.5405446579632302E-2</v>
      </c>
      <c r="CZ641" s="177">
        <f t="shared" si="1874"/>
        <v>2.1375012817671957E-2</v>
      </c>
      <c r="DA641" s="187">
        <f t="shared" si="1864"/>
        <v>0.85131374874999999</v>
      </c>
      <c r="DB641" s="188">
        <f t="shared" si="1865"/>
        <v>0.90497737556561086</v>
      </c>
      <c r="DC641" s="188">
        <f t="shared" si="1866"/>
        <v>0.5338235294117647</v>
      </c>
      <c r="DD641" s="188">
        <f t="shared" si="1867"/>
        <v>0.88972433127405692</v>
      </c>
      <c r="DE641" s="188">
        <f t="shared" si="1868"/>
        <v>0.42982423775949252</v>
      </c>
      <c r="DF641" s="189">
        <f>INDEX('State Tax Lookup'!$D$7:$Z$91,MATCH(Calculation!$C641,'State Tax Lookup'!$B$7:$B$91,0),MATCH($H641,'State Tax Lookup'!$D$6:$Z$6,0))</f>
        <v>0.39649667</v>
      </c>
      <c r="DG641" s="189">
        <v>0.375</v>
      </c>
      <c r="DH641" s="190">
        <f t="shared" si="1871"/>
        <v>13.202208712980655</v>
      </c>
      <c r="DI641" s="190"/>
      <c r="DJ641" s="177"/>
      <c r="DK641" s="189">
        <f>VLOOKUP($H641,RoR!$E:$F,2,FALSE)</f>
        <v>5.6666666666666671E-2</v>
      </c>
      <c r="DL641" s="191">
        <f>HLOOKUP($H641,'GDP-PI'!$D$8:$CQ$11,3,FALSE)</f>
        <v>1.8855119140166909E-2</v>
      </c>
      <c r="DM641" s="189">
        <f>VLOOKUP(H641,'HW Dx Data'!$E:$F,2,FALSE)</f>
        <v>369.23301095560191</v>
      </c>
      <c r="DN641" s="183">
        <f>VLOOKUP(H641,'ECI - Input Price'!$G$17:$H$37,2,FALSE)</f>
        <v>92.625</v>
      </c>
      <c r="DO641" s="177">
        <f t="shared" ref="DO641" si="1875">LN(DN641/DN640)</f>
        <v>3.6837590135738785E-2</v>
      </c>
      <c r="DP641" s="183">
        <f>HLOOKUP(H641,'GDP-PI'!$8:$9,2,FALSE)</f>
        <v>82.566999999999993</v>
      </c>
      <c r="DQ641" s="177">
        <f t="shared" ref="DQ641" si="1876">LN(DP641/DP640)</f>
        <v>1.8679564681853753E-2</v>
      </c>
    </row>
    <row r="642" spans="1:121" s="167" customFormat="1" ht="21" x14ac:dyDescent="0.35">
      <c r="A642" s="167" t="s">
        <v>72</v>
      </c>
      <c r="B642" s="168" t="s">
        <v>72</v>
      </c>
      <c r="C642" s="168">
        <v>4004389</v>
      </c>
      <c r="D642" s="168" t="s">
        <v>136</v>
      </c>
      <c r="E642" s="168" t="s">
        <v>126</v>
      </c>
      <c r="F642" s="168"/>
      <c r="G642" s="168" t="s">
        <v>10</v>
      </c>
      <c r="H642" s="169">
        <v>2004</v>
      </c>
      <c r="I642" s="170"/>
      <c r="J642" s="166">
        <f>IFERROR(INDEX('Labor Expenditures'!$F$7:$X$91,MATCH($C642,'Labor Expenditures'!$D$7:$D$91,0),MATCH($G642,'Labor Expenditures'!$F$5:$X$5,0)),"NA")</f>
        <v>19608.150257914411</v>
      </c>
      <c r="K642" s="166">
        <f t="shared" ref="K642:K659" si="1877">+J642/DN642</f>
        <v>203.87990910230738</v>
      </c>
      <c r="L642" s="172"/>
      <c r="M642" s="172"/>
      <c r="N642" s="196"/>
      <c r="O642" s="172"/>
      <c r="P642" s="166">
        <f>IFERROR(INDEX('Non-Labor Expenditures'!$F$7:$AB$91,MATCH($C642,'Non-Labor Expenditures'!$D$7:$D$91,0),MATCH($G642,'Non-Labor Expenditures'!$F$5:$AB$5,0)),"NA")</f>
        <v>28396.263870752806</v>
      </c>
      <c r="Q642" s="166">
        <f t="shared" ref="Q642:Q659" si="1878">+P642/DP642</f>
        <v>334.94849926576239</v>
      </c>
      <c r="R642" s="166"/>
      <c r="S642" s="166"/>
      <c r="T642" s="166"/>
      <c r="U642" s="166"/>
      <c r="V642" s="166">
        <f t="shared" si="1858"/>
        <v>31057.794251260235</v>
      </c>
      <c r="W642" s="170"/>
      <c r="X642" s="174">
        <v>2143.5012108717783</v>
      </c>
      <c r="Y642" s="175">
        <v>1.1187909168424163E-2</v>
      </c>
      <c r="Z642" s="175"/>
      <c r="AA642" s="175"/>
      <c r="AB642" s="175"/>
      <c r="AC642" s="170">
        <f t="shared" si="1869"/>
        <v>79062.208379927455</v>
      </c>
      <c r="AD642" s="175"/>
      <c r="AE642" s="170"/>
      <c r="AF642" s="170"/>
      <c r="AG642" s="174"/>
      <c r="AH642" s="175"/>
      <c r="AI642" s="175"/>
      <c r="AJ642" s="174"/>
      <c r="AK642" s="174"/>
      <c r="AL642" s="120">
        <f t="shared" ref="AL642:AL659" si="1879">+J642/AC642</f>
        <v>0.24800913938159846</v>
      </c>
      <c r="AM642" s="120">
        <f t="shared" ref="AM642:AM659" si="1880">+P642/AC642</f>
        <v>0.3591635555421967</v>
      </c>
      <c r="AN642" s="120">
        <f t="shared" ref="AN642:AN659" si="1881">+V642/AC642</f>
        <v>0.39282730507620478</v>
      </c>
      <c r="AO642" s="120"/>
      <c r="AP642" s="120"/>
      <c r="AQ642" s="175"/>
      <c r="AR642" s="120"/>
      <c r="AS642" s="120"/>
      <c r="AT642" s="120"/>
      <c r="AU642" s="120"/>
      <c r="AV642" s="120"/>
      <c r="AW642" s="120"/>
      <c r="AX642" s="120"/>
      <c r="AY642" s="120"/>
      <c r="AZ642" s="118">
        <f>IFERROR(INDEX('Total Customers'!$F$7:$AB$91,MATCH($C642,'Total Customers'!$D$7:$D$91,0),MATCH($G642,'Total Customers'!$F$5:$AB$5,0)),"NA")</f>
        <v>253468</v>
      </c>
      <c r="BA642" s="119">
        <f t="shared" si="1859"/>
        <v>3.0701839158655928E-3</v>
      </c>
      <c r="BB642" s="119"/>
      <c r="BC642" s="121"/>
      <c r="BD642" s="119"/>
      <c r="BE642" s="119"/>
      <c r="BF642" s="119"/>
      <c r="BG642" s="173"/>
      <c r="BH642" s="173"/>
      <c r="BI642" s="173"/>
      <c r="BJ642" s="173"/>
      <c r="BK642" s="173"/>
      <c r="BL642" s="173"/>
      <c r="BM642" s="173"/>
      <c r="BN642" s="173"/>
      <c r="BO642" s="173"/>
      <c r="BP642" s="173"/>
      <c r="BQ642" s="118"/>
      <c r="BR642" s="118"/>
      <c r="BS642" s="118">
        <f>INDEX('Dist. Plant Gas Additions'!$F$7:$AE$91,MATCH($C642,'Dist. Plant Gas Additions'!$D$7:$D$91,0),MATCH(Calculation!$G642,'Dist. Plant Gas Additions'!$F$5:$AE$5,0))</f>
        <v>19542</v>
      </c>
      <c r="BT642" s="118">
        <f>INDEX('Gen. Plant Additions'!$F$7:$AE$91,MATCH($C642,'Gen. Plant Additions'!$D$7:$D$91,0),MATCH(Calculation!$G642,'Gen. Plant Additions'!$F$5:$AE$5,0))</f>
        <v>-4487</v>
      </c>
      <c r="BU642" s="118"/>
      <c r="BV642" s="118"/>
      <c r="BW642" s="118">
        <f>INDEX('Dist Plant Depreciation'!$E$7:$AD$94,MATCH($C642,'Dist Plant Depreciation'!$D$7:$D$94,0),MATCH(Calculation!$G642,'Dist Plant Depreciation'!$E$5:$AD$5,0))</f>
        <v>175327</v>
      </c>
      <c r="BX642" s="118">
        <f>INDEX('Gen. Plant Depreciation'!$E$7:$AD$94,MATCH($C642,'Gen. Plant Depreciation'!$D$7:$D$94,0),MATCH(Calculation!$G642,'Gen. Plant Depreciation'!$E$5:$AD$5,0))</f>
        <v>7708</v>
      </c>
      <c r="BY642" s="118"/>
      <c r="BZ642" s="118"/>
      <c r="CA642" s="118"/>
      <c r="CB642" s="118"/>
      <c r="CC642" s="118"/>
      <c r="CD642" s="118"/>
      <c r="CE642" s="118">
        <f>INDEX('Gross Dx Plant'!$E$7:$AD$91,MATCH($C642,'Gross Dx Plant'!$D$7:$D$91,0),MATCH(Calculation!$G642,'Gross Dx Plant'!$E$5:$AD$5,0))</f>
        <v>590664</v>
      </c>
      <c r="CF642" s="118">
        <f>INDEX('Gross Gen Plant'!$E$7:$AD$91,MATCH($C642,'Gross Gen Plant'!$D$7:$D$91,0),MATCH(Calculation!$G642,'Gross Gen Plant'!$E$5:$AD$5,0))</f>
        <v>19990</v>
      </c>
      <c r="CG642" s="118">
        <f t="shared" si="1720"/>
        <v>427619</v>
      </c>
      <c r="CH642" s="118"/>
      <c r="CI642" s="121">
        <v>2004</v>
      </c>
      <c r="CJ642" s="118"/>
      <c r="CK642" s="118"/>
      <c r="CL642" s="118"/>
      <c r="CM642" s="183"/>
      <c r="CN642" s="118">
        <f t="shared" si="1860"/>
        <v>15055</v>
      </c>
      <c r="CO642" s="118">
        <f t="shared" si="1861"/>
        <v>36.286972251251527</v>
      </c>
      <c r="CP642" s="186">
        <v>0.967741935483871</v>
      </c>
      <c r="CQ642" s="118">
        <f>+CQ636*CP642+CO637*CP641+CO638*CP640+CO639*CP639+CO640*CP638+CO641*CP637+CO642</f>
        <v>2143.5012108717783</v>
      </c>
      <c r="CR642" s="119">
        <f t="shared" si="1862"/>
        <v>1.1187909168424163E-2</v>
      </c>
      <c r="CS642" s="119"/>
      <c r="CT642" s="177">
        <f t="shared" si="1863"/>
        <v>5.8685659765867334E-3</v>
      </c>
      <c r="CU642" s="177">
        <f t="shared" si="1872"/>
        <v>5.731064950978716E-3</v>
      </c>
      <c r="CV642" s="119">
        <f>VLOOKUP($H642,RoR!$E:$F,2,FALSE)</f>
        <v>5.6283333333333331E-2</v>
      </c>
      <c r="CW642" s="177">
        <v>2.6778252812867276E-2</v>
      </c>
      <c r="CX642" s="177">
        <f t="shared" si="1870"/>
        <v>2.9505080520466055E-2</v>
      </c>
      <c r="CY642" s="177">
        <f t="shared" si="1873"/>
        <v>2.5170876657554908E-2</v>
      </c>
      <c r="CZ642" s="177">
        <f t="shared" si="1874"/>
        <v>5.5940039414565046E-2</v>
      </c>
      <c r="DA642" s="187">
        <f t="shared" si="1864"/>
        <v>0.85131374874999999</v>
      </c>
      <c r="DB642" s="188">
        <f t="shared" si="1865"/>
        <v>0.91114097628755619</v>
      </c>
      <c r="DC642" s="188">
        <f t="shared" si="1866"/>
        <v>0.53081877405981637</v>
      </c>
      <c r="DD642" s="188">
        <f t="shared" si="1867"/>
        <v>0.88811215519385678</v>
      </c>
      <c r="DE642" s="188">
        <f t="shared" si="1868"/>
        <v>0.42953609753547711</v>
      </c>
      <c r="DF642" s="189">
        <f>INDEX('State Tax Lookup'!$D$7:$Z$91,MATCH(Calculation!$C642,'State Tax Lookup'!$B$7:$B$91,0),MATCH($H642,'State Tax Lookup'!$D$6:$Z$6,0))</f>
        <v>0.39649667</v>
      </c>
      <c r="DG642" s="189">
        <v>0.375</v>
      </c>
      <c r="DH642" s="190">
        <f t="shared" si="1871"/>
        <v>14.652297317818956</v>
      </c>
      <c r="DI642" s="190"/>
      <c r="DJ642" s="177"/>
      <c r="DK642" s="189">
        <f>VLOOKUP($H642,RoR!$E:$F,2,FALSE)</f>
        <v>5.6283333333333331E-2</v>
      </c>
      <c r="DL642" s="191">
        <f>HLOOKUP($H642,'GDP-PI'!$D$8:$CQ$11,3,FALSE)</f>
        <v>2.6778252812867276E-2</v>
      </c>
      <c r="DM642" s="189">
        <f>VLOOKUP(H642,'HW Dx Data'!$E:$F,2,FALSE)</f>
        <v>414.88719135228365</v>
      </c>
      <c r="DN642" s="183">
        <f>VLOOKUP(H642,'ECI - Input Price'!$G$17:$H$37,2,FALSE)</f>
        <v>96.174999999999997</v>
      </c>
      <c r="DO642" s="177">
        <f t="shared" ref="DO642" si="1882">LN(DN642/DN641)</f>
        <v>3.7610365022107912E-2</v>
      </c>
      <c r="DP642" s="183">
        <f>HLOOKUP(H642,'GDP-PI'!$8:$9,2,FALSE)</f>
        <v>84.778000000000006</v>
      </c>
      <c r="DQ642" s="177">
        <f t="shared" ref="DQ642" si="1883">LN(DP642/DP641)</f>
        <v>2.6425990216022755E-2</v>
      </c>
    </row>
    <row r="643" spans="1:121" s="167" customFormat="1" ht="21" x14ac:dyDescent="0.35">
      <c r="A643" s="167" t="s">
        <v>72</v>
      </c>
      <c r="B643" s="168" t="s">
        <v>72</v>
      </c>
      <c r="C643" s="168">
        <v>4004389</v>
      </c>
      <c r="D643" s="168" t="s">
        <v>136</v>
      </c>
      <c r="E643" s="168" t="s">
        <v>126</v>
      </c>
      <c r="F643" s="168"/>
      <c r="G643" s="168" t="s">
        <v>11</v>
      </c>
      <c r="H643" s="169">
        <v>2005</v>
      </c>
      <c r="I643" s="170"/>
      <c r="J643" s="166">
        <f>IFERROR(INDEX('Labor Expenditures'!$F$7:$X$91,MATCH($C643,'Labor Expenditures'!$D$7:$D$91,0),MATCH($G643,'Labor Expenditures'!$F$5:$X$5,0)),"NA")</f>
        <v>19297.46800562353</v>
      </c>
      <c r="K643" s="166">
        <f t="shared" si="1877"/>
        <v>194.62902678389844</v>
      </c>
      <c r="L643" s="172">
        <f t="shared" ref="L643:L659" si="1884">LN(K643/K642)</f>
        <v>-4.6435819730203456E-2</v>
      </c>
      <c r="M643" s="172"/>
      <c r="N643" s="196"/>
      <c r="O643" s="172"/>
      <c r="P643" s="166">
        <f>IFERROR(INDEX('Non-Labor Expenditures'!$F$7:$AB$91,MATCH($C643,'Non-Labor Expenditures'!$D$7:$D$91,0),MATCH($G643,'Non-Labor Expenditures'!$F$5:$AB$5,0)),"NA")</f>
        <v>27946.33794199516</v>
      </c>
      <c r="Q643" s="166">
        <f t="shared" si="1878"/>
        <v>319.72654297705174</v>
      </c>
      <c r="R643" s="172">
        <f>LN(Q643/Q642)</f>
        <v>-4.6510709213490799E-2</v>
      </c>
      <c r="S643" s="172"/>
      <c r="T643" s="172"/>
      <c r="U643" s="172"/>
      <c r="V643" s="166">
        <f t="shared" si="1858"/>
        <v>35227.72724609069</v>
      </c>
      <c r="W643" s="170"/>
      <c r="X643" s="174">
        <v>2166.3132459273611</v>
      </c>
      <c r="Y643" s="175">
        <v>1.0586185704358514E-2</v>
      </c>
      <c r="Z643" s="175"/>
      <c r="AA643" s="175"/>
      <c r="AB643" s="175"/>
      <c r="AC643" s="170">
        <f t="shared" si="1869"/>
        <v>82471.533193709387</v>
      </c>
      <c r="AD643" s="175">
        <f>LN(AC643/AC642)</f>
        <v>4.2218191159155184E-2</v>
      </c>
      <c r="AE643" s="170"/>
      <c r="AF643" s="170"/>
      <c r="AG643" s="121"/>
      <c r="AH643" s="119"/>
      <c r="AI643" s="119"/>
      <c r="AJ643" s="121"/>
      <c r="AK643" s="121"/>
      <c r="AL643" s="120">
        <f t="shared" si="1879"/>
        <v>0.23398944166949801</v>
      </c>
      <c r="AM643" s="120">
        <f t="shared" si="1880"/>
        <v>0.33886041473673972</v>
      </c>
      <c r="AN643" s="120">
        <f t="shared" si="1881"/>
        <v>0.42715014359376219</v>
      </c>
      <c r="AO643" s="120">
        <f t="shared" ref="AO643:AO659" si="1885">+(((AL643+AL642)/2)*L643+((AM642+AM643)/2)*R643+((AN642+AN643)/2)*Y643)</f>
        <v>-2.3083577790293082E-2</v>
      </c>
      <c r="AP643" s="173">
        <v>100</v>
      </c>
      <c r="AQ643" s="175"/>
      <c r="AR643" s="120"/>
      <c r="AS643" s="120"/>
      <c r="AT643" s="120"/>
      <c r="AU643" s="120"/>
      <c r="AV643" s="120"/>
      <c r="AW643" s="120"/>
      <c r="AX643" s="120"/>
      <c r="AY643" s="120"/>
      <c r="AZ643" s="118">
        <f>IFERROR(INDEX('Total Customers'!$F$7:$AB$91,MATCH($C643,'Total Customers'!$D$7:$D$91,0),MATCH($G643,'Total Customers'!$F$5:$AB$5,0)),"NA")</f>
        <v>254413</v>
      </c>
      <c r="BA643" s="119">
        <f t="shared" si="1859"/>
        <v>3.7213484677078744E-3</v>
      </c>
      <c r="BB643" s="119"/>
      <c r="BC643" s="121"/>
      <c r="BD643" s="119"/>
      <c r="BE643" s="119"/>
      <c r="BF643" s="119"/>
      <c r="BG643" s="173"/>
      <c r="BH643" s="173"/>
      <c r="BI643" s="173"/>
      <c r="BJ643" s="173"/>
      <c r="BK643" s="173"/>
      <c r="BL643" s="173"/>
      <c r="BM643" s="173"/>
      <c r="BN643" s="173"/>
      <c r="BO643" s="173"/>
      <c r="BP643" s="173"/>
      <c r="BQ643" s="118"/>
      <c r="BR643" s="118"/>
      <c r="BS643" s="118">
        <f>INDEX('Dist. Plant Gas Additions'!$F$7:$AE$91,MATCH($C643,'Dist. Plant Gas Additions'!$D$7:$D$91,0),MATCH(Calculation!$G643,'Dist. Plant Gas Additions'!$F$5:$AE$5,0))</f>
        <v>15345</v>
      </c>
      <c r="BT643" s="118">
        <f>INDEX('Gen. Plant Additions'!$F$7:$AE$91,MATCH($C643,'Gen. Plant Additions'!$D$7:$D$91,0),MATCH(Calculation!$G643,'Gen. Plant Additions'!$F$5:$AE$5,0))</f>
        <v>1470</v>
      </c>
      <c r="BU643" s="118"/>
      <c r="BV643" s="118"/>
      <c r="BW643" s="118">
        <f>INDEX('Dist Plant Depreciation'!$E$7:$AD$94,MATCH($C643,'Dist Plant Depreciation'!$D$7:$D$94,0),MATCH(Calculation!$G643,'Dist Plant Depreciation'!$E$5:$AD$5,0))</f>
        <v>186576</v>
      </c>
      <c r="BX643" s="118">
        <f>INDEX('Gen. Plant Depreciation'!$E$7:$AD$94,MATCH($C643,'Gen. Plant Depreciation'!$D$7:$D$94,0),MATCH(Calculation!$G643,'Gen. Plant Depreciation'!$E$5:$AD$5,0))</f>
        <v>7606</v>
      </c>
      <c r="BY643" s="118"/>
      <c r="BZ643" s="118"/>
      <c r="CA643" s="118"/>
      <c r="CB643" s="118"/>
      <c r="CC643" s="118"/>
      <c r="CD643" s="118"/>
      <c r="CE643" s="118">
        <f>INDEX('Gross Dx Plant'!$E$7:$AD$91,MATCH($C643,'Gross Dx Plant'!$D$7:$D$91,0),MATCH(Calculation!$G643,'Gross Dx Plant'!$E$5:$AD$5,0))</f>
        <v>603054</v>
      </c>
      <c r="CF643" s="118">
        <f>INDEX('Gross Gen Plant'!$E$7:$AD$91,MATCH($C643,'Gross Gen Plant'!$D$7:$D$91,0),MATCH(Calculation!$G643,'Gross Gen Plant'!$E$5:$AD$5,0))</f>
        <v>19731</v>
      </c>
      <c r="CG643" s="118">
        <f t="shared" si="1720"/>
        <v>428603</v>
      </c>
      <c r="CH643" s="118"/>
      <c r="CI643" s="121">
        <v>2005</v>
      </c>
      <c r="CJ643" s="118"/>
      <c r="CK643" s="118"/>
      <c r="CL643" s="118"/>
      <c r="CM643" s="183"/>
      <c r="CN643" s="118">
        <f t="shared" si="1860"/>
        <v>16815</v>
      </c>
      <c r="CO643" s="118">
        <f t="shared" si="1861"/>
        <v>35.837203291250866</v>
      </c>
      <c r="CP643" s="186">
        <v>0.96174863387978138</v>
      </c>
      <c r="CQ643" s="118">
        <f>+CQ636*CP643+CO637*CP642+CO638*CP641+CO639*CP640+CO640*CP639+CO641*CP638+CO642*CP637+CO643</f>
        <v>2166.3132459273611</v>
      </c>
      <c r="CR643" s="119">
        <f t="shared" si="1862"/>
        <v>1.0586185704358514E-2</v>
      </c>
      <c r="CS643" s="119"/>
      <c r="CT643" s="177">
        <f t="shared" si="1863"/>
        <v>6.0765854339642046E-3</v>
      </c>
      <c r="CU643" s="177">
        <f t="shared" si="1872"/>
        <v>5.8749353361073446E-3</v>
      </c>
      <c r="CV643" s="119">
        <f>VLOOKUP($H643,RoR!$E:$F,2,FALSE)</f>
        <v>5.2350000000000001E-2</v>
      </c>
      <c r="CW643" s="177">
        <v>3.1010403642454332E-2</v>
      </c>
      <c r="CX643" s="177">
        <f t="shared" si="1870"/>
        <v>2.1339596357545669E-2</v>
      </c>
      <c r="CY643" s="177">
        <f t="shared" si="1873"/>
        <v>2.502700627242628E-2</v>
      </c>
      <c r="CZ643" s="177">
        <f t="shared" si="1874"/>
        <v>9.2129610649277341E-2</v>
      </c>
      <c r="DA643" s="187">
        <f t="shared" si="1864"/>
        <v>0.85131374874999999</v>
      </c>
      <c r="DB643" s="188">
        <f t="shared" si="1865"/>
        <v>0.97959983346802826</v>
      </c>
      <c r="DC643" s="188">
        <f t="shared" si="1866"/>
        <v>0.49744508118433622</v>
      </c>
      <c r="DD643" s="188">
        <f t="shared" si="1867"/>
        <v>0.87010519444335932</v>
      </c>
      <c r="DE643" s="188">
        <f t="shared" si="1868"/>
        <v>0.42399975420741998</v>
      </c>
      <c r="DF643" s="189">
        <f>INDEX('State Tax Lookup'!$D$7:$Z$91,MATCH(Calculation!$C643,'State Tax Lookup'!$B$7:$B$91,0),MATCH($H643,'State Tax Lookup'!$D$6:$Z$6,0))</f>
        <v>0.39649667</v>
      </c>
      <c r="DG643" s="189">
        <v>0.375</v>
      </c>
      <c r="DH643" s="190">
        <f t="shared" si="1871"/>
        <v>16.434666361472829</v>
      </c>
      <c r="DI643" s="190"/>
      <c r="DJ643" s="177"/>
      <c r="DK643" s="189">
        <f>VLOOKUP($H643,RoR!$E:$F,2,FALSE)</f>
        <v>5.2350000000000001E-2</v>
      </c>
      <c r="DL643" s="191">
        <f>HLOOKUP($H643,'GDP-PI'!$D$8:$CQ$11,3,FALSE)</f>
        <v>3.1010403642454332E-2</v>
      </c>
      <c r="DM643" s="189">
        <f>VLOOKUP(H643,'HW Dx Data'!$E:$F,2,FALSE)</f>
        <v>469.20514034936258</v>
      </c>
      <c r="DN643" s="183">
        <f>VLOOKUP(H643,'ECI - Input Price'!$G$17:$H$37,2,FALSE)</f>
        <v>99.15</v>
      </c>
      <c r="DO643" s="177">
        <f t="shared" ref="DO643" si="1886">LN(DN643/DN642)</f>
        <v>3.046440632744625E-2</v>
      </c>
      <c r="DP643" s="183">
        <f>HLOOKUP(H643,'GDP-PI'!$8:$9,2,FALSE)</f>
        <v>87.406999999999996</v>
      </c>
      <c r="DQ643" s="177">
        <f t="shared" ref="DQ643" si="1887">LN(DP643/DP642)</f>
        <v>3.0539295810733648E-2</v>
      </c>
    </row>
    <row r="644" spans="1:121" s="167" customFormat="1" ht="21" x14ac:dyDescent="0.35">
      <c r="A644" s="167" t="s">
        <v>72</v>
      </c>
      <c r="B644" s="168" t="s">
        <v>72</v>
      </c>
      <c r="C644" s="168">
        <v>4004389</v>
      </c>
      <c r="D644" s="168" t="s">
        <v>136</v>
      </c>
      <c r="E644" s="168" t="s">
        <v>126</v>
      </c>
      <c r="F644" s="168"/>
      <c r="G644" s="168" t="s">
        <v>12</v>
      </c>
      <c r="H644" s="169">
        <v>2006</v>
      </c>
      <c r="I644" s="170"/>
      <c r="J644" s="166">
        <f>IFERROR(INDEX('Labor Expenditures'!$F$7:$X$91,MATCH($C644,'Labor Expenditures'!$D$7:$D$91,0),MATCH($G644,'Labor Expenditures'!$F$5:$X$5,0)),"NA")</f>
        <v>17794.728842877343</v>
      </c>
      <c r="K644" s="166">
        <f t="shared" si="1877"/>
        <v>174.37264912177702</v>
      </c>
      <c r="L644" s="172">
        <f t="shared" si="1884"/>
        <v>-0.10990064915651765</v>
      </c>
      <c r="M644" s="172">
        <f t="shared" ref="M644:M659" si="1888">+L644*AR644</f>
        <v>-1.0817709890888346E-3</v>
      </c>
      <c r="N644" s="196"/>
      <c r="O644" s="172"/>
      <c r="P644" s="166">
        <f>IFERROR(INDEX('Non-Labor Expenditures'!$F$7:$AB$91,MATCH($C644,'Non-Labor Expenditures'!$D$7:$D$91,0),MATCH($G644,'Non-Labor Expenditures'!$F$5:$AB$5,0)),"NA")</f>
        <v>25770.090961378959</v>
      </c>
      <c r="Q644" s="166">
        <f t="shared" si="1878"/>
        <v>286.09910697181164</v>
      </c>
      <c r="R644" s="172">
        <f t="shared" ref="R644:R659" si="1889">LN(Q644/Q643)</f>
        <v>-0.11112779859192363</v>
      </c>
      <c r="S644" s="172">
        <f>+R644*AR644</f>
        <v>-1.0938500320124879E-3</v>
      </c>
      <c r="T644" s="172"/>
      <c r="U644" s="172"/>
      <c r="V644" s="166">
        <f t="shared" si="1858"/>
        <v>34733.068896047844</v>
      </c>
      <c r="W644" s="170"/>
      <c r="X644" s="174">
        <v>2191.5111224136804</v>
      </c>
      <c r="Y644" s="175">
        <v>1.156455845123709E-2</v>
      </c>
      <c r="Z644" s="175">
        <f>+Y644*AR644</f>
        <v>1.1383193757439668E-4</v>
      </c>
      <c r="AA644" s="175"/>
      <c r="AB644" s="175"/>
      <c r="AC644" s="170">
        <f t="shared" si="1869"/>
        <v>78297.888700304145</v>
      </c>
      <c r="AD644" s="175">
        <f t="shared" ref="AD644:AD659" si="1890">LN(AC644/AC643)</f>
        <v>-5.1932543201968134E-2</v>
      </c>
      <c r="AE644" s="170"/>
      <c r="AF644" s="170"/>
      <c r="AG644" s="121">
        <f t="shared" ref="AG644:AG659" si="1891">+(AC644*1000)/AZ644</f>
        <v>305.59805434680715</v>
      </c>
      <c r="AH644" s="119">
        <f>+AZ644/$BB$44</f>
        <v>7.2881892403203682E-3</v>
      </c>
      <c r="AI644" s="119">
        <f>+AZ644/$BC$44</f>
        <v>3.1065877066126599E-2</v>
      </c>
      <c r="AJ644" s="176">
        <f>+AH644*AG644</f>
        <v>2.2272564515532389</v>
      </c>
      <c r="AK644" s="176">
        <f>+AI644*AG644</f>
        <v>9.4936715879853857</v>
      </c>
      <c r="AL644" s="120">
        <f t="shared" si="1879"/>
        <v>0.22726958719141324</v>
      </c>
      <c r="AM644" s="120">
        <f t="shared" si="1880"/>
        <v>0.32912881035678371</v>
      </c>
      <c r="AN644" s="120">
        <f t="shared" si="1881"/>
        <v>0.44360160245180308</v>
      </c>
      <c r="AO644" s="120">
        <f t="shared" si="1885"/>
        <v>-5.7427489652613288E-2</v>
      </c>
      <c r="AP644" s="173">
        <f>+AP643*EXP(AO644)</f>
        <v>94.419035147470808</v>
      </c>
      <c r="AQ644" s="175">
        <f>LN(AP644/AP643)</f>
        <v>-5.7427489652613344E-2</v>
      </c>
      <c r="AR644" s="177">
        <f>+AC644/$AE$44</f>
        <v>9.8431719684221736E-3</v>
      </c>
      <c r="AS644" s="177">
        <f>+AR644*AQ644</f>
        <v>-5.6526865636545814E-4</v>
      </c>
      <c r="AT644" s="177"/>
      <c r="AU644" s="177"/>
      <c r="AV644" s="177"/>
      <c r="AW644" s="190"/>
      <c r="AX644" s="120"/>
      <c r="AY644" s="120"/>
      <c r="AZ644" s="118">
        <f>IFERROR(INDEX('Total Customers'!$F$7:$AB$91,MATCH($C644,'Total Customers'!$D$7:$D$91,0),MATCH($G644,'Total Customers'!$F$5:$AB$5,0)),"NA")</f>
        <v>256212</v>
      </c>
      <c r="BA644" s="119">
        <f t="shared" si="1859"/>
        <v>7.0462959839388394E-3</v>
      </c>
      <c r="BB644" s="119"/>
      <c r="BC644" s="121">
        <v>8247377</v>
      </c>
      <c r="BD644" s="119"/>
      <c r="BE644" s="119"/>
      <c r="BF644" s="119"/>
      <c r="BG644" s="173"/>
      <c r="BH644" s="173"/>
      <c r="BI644" s="173"/>
      <c r="BJ644" s="173"/>
      <c r="BK644" s="173"/>
      <c r="BL644" s="173"/>
      <c r="BM644" s="173"/>
      <c r="BN644" s="173"/>
      <c r="BO644" s="173"/>
      <c r="BP644" s="173"/>
      <c r="BQ644" s="118"/>
      <c r="BR644" s="118"/>
      <c r="BS644" s="118">
        <f>INDEX('Dist. Plant Gas Additions'!$F$7:$AE$91,MATCH($C644,'Dist. Plant Gas Additions'!$D$7:$D$91,0),MATCH(Calculation!$G644,'Dist. Plant Gas Additions'!$F$5:$AE$5,0))</f>
        <v>16310</v>
      </c>
      <c r="BT644" s="118">
        <f>INDEX('Gen. Plant Additions'!$F$7:$AE$91,MATCH($C644,'Gen. Plant Additions'!$D$7:$D$91,0),MATCH(Calculation!$G644,'Gen. Plant Additions'!$F$5:$AE$5,0))</f>
        <v>1595</v>
      </c>
      <c r="BU644" s="118"/>
      <c r="BV644" s="118"/>
      <c r="BW644" s="118">
        <f>INDEX('Dist Plant Depreciation'!$E$7:$AD$94,MATCH($C644,'Dist Plant Depreciation'!$D$7:$D$94,0),MATCH(Calculation!$G644,'Dist Plant Depreciation'!$E$5:$AD$5,0))</f>
        <v>197519</v>
      </c>
      <c r="BX644" s="118">
        <f>INDEX('Gen. Plant Depreciation'!$E$7:$AD$94,MATCH($C644,'Gen. Plant Depreciation'!$D$7:$D$94,0),MATCH(Calculation!$G644,'Gen. Plant Depreciation'!$E$5:$AD$5,0))</f>
        <v>8699</v>
      </c>
      <c r="BY644" s="118"/>
      <c r="BZ644" s="118"/>
      <c r="CA644" s="118"/>
      <c r="CB644" s="118"/>
      <c r="CC644" s="118"/>
      <c r="CD644" s="118"/>
      <c r="CE644" s="118">
        <f>INDEX('Gross Dx Plant'!$E$7:$AD$91,MATCH($C644,'Gross Dx Plant'!$D$7:$D$91,0),MATCH(Calculation!$G644,'Gross Dx Plant'!$E$5:$AD$5,0))</f>
        <v>616020</v>
      </c>
      <c r="CF644" s="118">
        <f>INDEX('Gross Gen Plant'!$E$7:$AD$91,MATCH($C644,'Gross Gen Plant'!$D$7:$D$91,0),MATCH(Calculation!$G644,'Gross Gen Plant'!$E$5:$AD$5,0))</f>
        <v>21250</v>
      </c>
      <c r="CG644" s="118">
        <f t="shared" si="1720"/>
        <v>431052</v>
      </c>
      <c r="CH644" s="119" t="e">
        <f>SUM(#REF!)/15</f>
        <v>#REF!</v>
      </c>
      <c r="CI644" s="121">
        <v>2006</v>
      </c>
      <c r="CJ644" s="118"/>
      <c r="CK644" s="118"/>
      <c r="CL644" s="118"/>
      <c r="CM644" s="183"/>
      <c r="CN644" s="118">
        <f t="shared" si="1860"/>
        <v>17905</v>
      </c>
      <c r="CO644" s="118">
        <f t="shared" si="1861"/>
        <v>38.83226276366139</v>
      </c>
      <c r="CP644" s="186">
        <v>0.9555555555555556</v>
      </c>
      <c r="CQ644" s="118">
        <f>+CQ636*CP644+CO637*CP643+CO638*CP642+CO639*CP641+CO640*CP640+CO641*CP639+CO642*CP638+CO643*CP637+CO644</f>
        <v>2191.5111224136804</v>
      </c>
      <c r="CR644" s="119">
        <f t="shared" si="1862"/>
        <v>1.156455845123709E-2</v>
      </c>
      <c r="CS644" s="119"/>
      <c r="CT644" s="177">
        <f t="shared" si="1863"/>
        <v>6.2938202972144374E-3</v>
      </c>
      <c r="CU644" s="177">
        <f t="shared" si="1872"/>
        <v>6.0796572359217921E-3</v>
      </c>
      <c r="CV644" s="119">
        <f>VLOOKUP($H644,RoR!$E:$F,2,FALSE)</f>
        <v>5.5874999999999994E-2</v>
      </c>
      <c r="CW644" s="177">
        <v>3.0512430354548314E-2</v>
      </c>
      <c r="CX644" s="177">
        <f t="shared" si="1870"/>
        <v>2.536256964545168E-2</v>
      </c>
      <c r="CY644" s="177">
        <f t="shared" si="1873"/>
        <v>2.4822284372611834E-2</v>
      </c>
      <c r="CZ644" s="177">
        <f t="shared" si="1874"/>
        <v>7.9087823893859641E-2</v>
      </c>
      <c r="DA644" s="187">
        <f t="shared" si="1864"/>
        <v>0.85131374874999999</v>
      </c>
      <c r="DB644" s="188">
        <f t="shared" si="1865"/>
        <v>0.91779957551769631</v>
      </c>
      <c r="DC644" s="188">
        <f t="shared" si="1866"/>
        <v>0.52757270693512304</v>
      </c>
      <c r="DD644" s="188">
        <f t="shared" si="1867"/>
        <v>0.88636824549024895</v>
      </c>
      <c r="DE644" s="188">
        <f t="shared" si="1868"/>
        <v>0.42918482841932087</v>
      </c>
      <c r="DF644" s="189">
        <f>INDEX('State Tax Lookup'!$D$7:$Z$91,MATCH(Calculation!$C644,'State Tax Lookup'!$B$7:$B$91,0),MATCH($H644,'State Tax Lookup'!$D$6:$Z$6,0))</f>
        <v>0.39649667</v>
      </c>
      <c r="DG644" s="189">
        <v>0.375</v>
      </c>
      <c r="DH644" s="190">
        <f t="shared" si="1871"/>
        <v>16.033262484705538</v>
      </c>
      <c r="DI644" s="190">
        <v>15.554203825951424</v>
      </c>
      <c r="DJ644" s="177"/>
      <c r="DK644" s="189">
        <f>VLOOKUP($H644,RoR!$E:$F,2,FALSE)</f>
        <v>5.5874999999999994E-2</v>
      </c>
      <c r="DL644" s="191">
        <f>HLOOKUP($H644,'GDP-PI'!$D$8:$CQ$11,3,FALSE)</f>
        <v>3.0512430354548314E-2</v>
      </c>
      <c r="DM644" s="189">
        <f>VLOOKUP(H644,'HW Dx Data'!$E:$F,2,FALSE)</f>
        <v>461.08567272971823</v>
      </c>
      <c r="DN644" s="183">
        <f>VLOOKUP(H644,'ECI - Input Price'!$G$17:$H$37,2,FALSE)</f>
        <v>102.05</v>
      </c>
      <c r="DO644" s="177">
        <f t="shared" ref="DO644" si="1892">LN(DN644/DN643)</f>
        <v>2.8829034290048662E-2</v>
      </c>
      <c r="DP644" s="183">
        <f>HLOOKUP(H644,'GDP-PI'!$8:$9,2,FALSE)</f>
        <v>90.073999999999998</v>
      </c>
      <c r="DQ644" s="177">
        <f t="shared" ref="DQ644" si="1893">LN(DP644/DP643)</f>
        <v>3.005618372545445E-2</v>
      </c>
    </row>
    <row r="645" spans="1:121" s="167" customFormat="1" ht="21" x14ac:dyDescent="0.35">
      <c r="A645" s="167" t="s">
        <v>72</v>
      </c>
      <c r="B645" s="168" t="s">
        <v>72</v>
      </c>
      <c r="C645" s="168">
        <v>4004389</v>
      </c>
      <c r="D645" s="168" t="s">
        <v>136</v>
      </c>
      <c r="E645" s="168" t="s">
        <v>126</v>
      </c>
      <c r="F645" s="168"/>
      <c r="G645" s="168" t="s">
        <v>13</v>
      </c>
      <c r="H645" s="169">
        <v>2007</v>
      </c>
      <c r="I645" s="170"/>
      <c r="J645" s="166">
        <f>IFERROR(INDEX('Labor Expenditures'!$F$7:$X$91,MATCH($C645,'Labor Expenditures'!$D$7:$D$91,0),MATCH($G645,'Labor Expenditures'!$F$5:$X$5,0)),"NA")</f>
        <v>18562.49925443601</v>
      </c>
      <c r="K645" s="166">
        <f t="shared" si="1877"/>
        <v>176.40769070502265</v>
      </c>
      <c r="L645" s="172">
        <f t="shared" si="1884"/>
        <v>1.1603069977519267E-2</v>
      </c>
      <c r="M645" s="172">
        <f t="shared" si="1888"/>
        <v>1.147982230372635E-4</v>
      </c>
      <c r="N645" s="196"/>
      <c r="O645" s="172"/>
      <c r="P645" s="166">
        <f>IFERROR(INDEX('Non-Labor Expenditures'!$F$7:$AB$91,MATCH($C645,'Non-Labor Expenditures'!$D$7:$D$91,0),MATCH($G645,'Non-Labor Expenditures'!$F$5:$AB$5,0)),"NA")</f>
        <v>26881.96591704831</v>
      </c>
      <c r="Q645" s="166">
        <f t="shared" si="1878"/>
        <v>290.62213147363519</v>
      </c>
      <c r="R645" s="172">
        <f t="shared" si="1889"/>
        <v>1.5685627428262315E-2</v>
      </c>
      <c r="S645" s="172">
        <f t="shared" ref="S645:S659" si="1894">+R645*AR645</f>
        <v>1.55190148769064E-4</v>
      </c>
      <c r="T645" s="172"/>
      <c r="U645" s="172"/>
      <c r="V645" s="166">
        <f t="shared" si="1858"/>
        <v>37682.671680567044</v>
      </c>
      <c r="W645" s="170"/>
      <c r="X645" s="174">
        <v>2214.0531276404886</v>
      </c>
      <c r="Y645" s="175">
        <v>1.0233514107433814E-2</v>
      </c>
      <c r="Z645" s="175">
        <f t="shared" ref="Z645:Z659" si="1895">+Y645*AR645</f>
        <v>1.012481384009837E-4</v>
      </c>
      <c r="AA645" s="175"/>
      <c r="AB645" s="175"/>
      <c r="AC645" s="170">
        <f t="shared" si="1869"/>
        <v>83127.136852051364</v>
      </c>
      <c r="AD645" s="175">
        <f t="shared" si="1890"/>
        <v>5.9850566739457378E-2</v>
      </c>
      <c r="AE645" s="170"/>
      <c r="AF645" s="170"/>
      <c r="AG645" s="121">
        <f t="shared" si="1891"/>
        <v>326.09235424605998</v>
      </c>
      <c r="AH645" s="119">
        <f>+AZ645/$BB$45</f>
        <v>7.1970391367869591E-3</v>
      </c>
      <c r="AI645" s="119">
        <f>+AZ645/$BC$45</f>
        <v>3.1134167758031902E-2</v>
      </c>
      <c r="AJ645" s="176">
        <f t="shared" ref="AJ645:AJ659" si="1896">+AH645*AG645</f>
        <v>2.346899435715891</v>
      </c>
      <c r="AK645" s="176">
        <f t="shared" ref="AK645:AK659" si="1897">+AI645*AG645</f>
        <v>10.152614061708398</v>
      </c>
      <c r="AL645" s="120">
        <f t="shared" si="1879"/>
        <v>0.22330252138327961</v>
      </c>
      <c r="AM645" s="120">
        <f t="shared" si="1880"/>
        <v>0.32338375812091902</v>
      </c>
      <c r="AN645" s="120">
        <f t="shared" si="1881"/>
        <v>0.45331372049580138</v>
      </c>
      <c r="AO645" s="120">
        <f t="shared" si="1885"/>
        <v>1.2320842178834092E-2</v>
      </c>
      <c r="AP645" s="173">
        <f>+AP644*EXP(AO645)</f>
        <v>95.589553255313618</v>
      </c>
      <c r="AQ645" s="175">
        <f>LN(AP645/AP644)</f>
        <v>1.232084217883399E-2</v>
      </c>
      <c r="AR645" s="177">
        <f>+AC645/$AE$45</f>
        <v>9.8937801167865852E-3</v>
      </c>
      <c r="AS645" s="177">
        <f t="shared" ref="AS645:AS659" si="1898">+AR645*AQ645</f>
        <v>1.2189970337101323E-4</v>
      </c>
      <c r="AT645" s="177"/>
      <c r="AU645" s="177"/>
      <c r="AV645" s="177"/>
      <c r="AW645" s="190"/>
      <c r="AX645" s="120"/>
      <c r="AY645" s="120"/>
      <c r="AZ645" s="118">
        <f>IFERROR(INDEX('Total Customers'!$F$7:$AB$91,MATCH($C645,'Total Customers'!$D$7:$D$91,0),MATCH($G645,'Total Customers'!$F$5:$AB$5,0)),"NA")</f>
        <v>254919</v>
      </c>
      <c r="BA645" s="119">
        <f t="shared" si="1859"/>
        <v>-5.0593791341544863E-3</v>
      </c>
      <c r="BB645" s="119"/>
      <c r="BC645" s="121">
        <v>8187757</v>
      </c>
      <c r="BD645" s="119"/>
      <c r="BE645" s="119"/>
      <c r="BF645" s="119"/>
      <c r="BG645" s="173"/>
      <c r="BH645" s="173"/>
      <c r="BI645" s="173"/>
      <c r="BJ645" s="173"/>
      <c r="BK645" s="173"/>
      <c r="BL645" s="173"/>
      <c r="BM645" s="173"/>
      <c r="BN645" s="173"/>
      <c r="BO645" s="173"/>
      <c r="BP645" s="173"/>
      <c r="BQ645" s="118"/>
      <c r="BR645" s="118"/>
      <c r="BS645" s="118">
        <f>INDEX('Dist. Plant Gas Additions'!$F$7:$AE$91,MATCH($C645,'Dist. Plant Gas Additions'!$D$7:$D$91,0),MATCH(Calculation!$G645,'Dist. Plant Gas Additions'!$F$5:$AE$5,0))</f>
        <v>17520</v>
      </c>
      <c r="BT645" s="118">
        <f>INDEX('Gen. Plant Additions'!$F$7:$AE$91,MATCH($C645,'Gen. Plant Additions'!$D$7:$D$91,0),MATCH(Calculation!$G645,'Gen. Plant Additions'!$F$5:$AE$5,0))</f>
        <v>821</v>
      </c>
      <c r="BU645" s="118"/>
      <c r="BV645" s="118"/>
      <c r="BW645" s="118">
        <f>INDEX('Dist Plant Depreciation'!$E$7:$AD$94,MATCH($C645,'Dist Plant Depreciation'!$D$7:$D$94,0),MATCH(Calculation!$G645,'Dist Plant Depreciation'!$E$5:$AD$5,0))</f>
        <v>210758</v>
      </c>
      <c r="BX645" s="118">
        <f>INDEX('Gen. Plant Depreciation'!$E$7:$AD$94,MATCH($C645,'Gen. Plant Depreciation'!$D$7:$D$94,0),MATCH(Calculation!$G645,'Gen. Plant Depreciation'!$E$5:$AD$5,0))</f>
        <v>9922</v>
      </c>
      <c r="BY645" s="118"/>
      <c r="BZ645" s="118"/>
      <c r="CA645" s="118"/>
      <c r="CB645" s="118"/>
      <c r="CC645" s="118"/>
      <c r="CD645" s="118"/>
      <c r="CE645" s="118">
        <f>INDEX('Gross Dx Plant'!$E$7:$AD$91,MATCH($C645,'Gross Dx Plant'!$D$7:$D$91,0),MATCH(Calculation!$G645,'Gross Dx Plant'!$E$5:$AD$5,0))</f>
        <v>632375</v>
      </c>
      <c r="CF645" s="118">
        <f>INDEX('Gross Gen Plant'!$E$7:$AD$91,MATCH($C645,'Gross Gen Plant'!$D$7:$D$91,0),MATCH(Calculation!$G645,'Gross Gen Plant'!$E$5:$AD$5,0))</f>
        <v>21979</v>
      </c>
      <c r="CG645" s="118">
        <f t="shared" si="1720"/>
        <v>433674</v>
      </c>
      <c r="CH645" s="118"/>
      <c r="CI645" s="121">
        <v>2007</v>
      </c>
      <c r="CJ645" s="118"/>
      <c r="CK645" s="118"/>
      <c r="CL645" s="118"/>
      <c r="CM645" s="183"/>
      <c r="CN645" s="118">
        <f t="shared" si="1860"/>
        <v>18341</v>
      </c>
      <c r="CO645" s="118">
        <f t="shared" si="1861"/>
        <v>36.827667014124643</v>
      </c>
      <c r="CP645" s="186">
        <v>0.94915254237288138</v>
      </c>
      <c r="CQ645" s="118">
        <f>+CQ636*CP645+CO637*CP644+CO638*CP643+CO639*CP642+CO640*CP641+CO641*CP640+CO642*CP639+CO643*CP638+CO644*CP637+CO645</f>
        <v>2214.0531276404886</v>
      </c>
      <c r="CR645" s="119">
        <f t="shared" si="1862"/>
        <v>1.0233514107433814E-2</v>
      </c>
      <c r="CS645" s="119"/>
      <c r="CT645" s="177">
        <f t="shared" si="1863"/>
        <v>6.518635311137516E-3</v>
      </c>
      <c r="CU645" s="177">
        <f t="shared" si="1872"/>
        <v>6.2963470141053851E-3</v>
      </c>
      <c r="CV645" s="119">
        <f>VLOOKUP($H645,RoR!$E:$F,2,FALSE)</f>
        <v>5.5558333333333321E-2</v>
      </c>
      <c r="CW645" s="177">
        <v>2.691120634145272E-2</v>
      </c>
      <c r="CX645" s="177">
        <f t="shared" si="1870"/>
        <v>2.86471269918806E-2</v>
      </c>
      <c r="CY645" s="177">
        <f t="shared" si="1873"/>
        <v>2.4605594594428241E-2</v>
      </c>
      <c r="CZ645" s="177">
        <f t="shared" si="1874"/>
        <v>6.4575155250632399E-2</v>
      </c>
      <c r="DA645" s="187">
        <f t="shared" si="1864"/>
        <v>0.85131374874999999</v>
      </c>
      <c r="DB645" s="188">
        <f t="shared" si="1865"/>
        <v>0.92303077153834634</v>
      </c>
      <c r="DC645" s="188">
        <f t="shared" si="1866"/>
        <v>0.52502249887505614</v>
      </c>
      <c r="DD645" s="188">
        <f t="shared" si="1867"/>
        <v>0.88499666072084604</v>
      </c>
      <c r="DE645" s="188">
        <f t="shared" si="1868"/>
        <v>0.42887993290280618</v>
      </c>
      <c r="DF645" s="189">
        <f>INDEX('State Tax Lookup'!$D$7:$Z$91,MATCH(Calculation!$C645,'State Tax Lookup'!$B$7:$B$91,0),MATCH($H645,'State Tax Lookup'!$D$6:$Z$6,0))</f>
        <v>0.39649667</v>
      </c>
      <c r="DG645" s="189">
        <v>0.375</v>
      </c>
      <c r="DH645" s="190">
        <f t="shared" si="1871"/>
        <v>17.194834785535658</v>
      </c>
      <c r="DI645" s="190">
        <v>16.928489196332805</v>
      </c>
      <c r="DJ645" s="177"/>
      <c r="DK645" s="189">
        <f>VLOOKUP($H645,RoR!$E:$F,2,FALSE)</f>
        <v>5.5558333333333321E-2</v>
      </c>
      <c r="DL645" s="191">
        <f>HLOOKUP($H645,'GDP-PI'!$D$8:$CQ$11,3,FALSE)</f>
        <v>2.691120634145272E-2</v>
      </c>
      <c r="DM645" s="189">
        <f>VLOOKUP(H645,'HW Dx Data'!$E:$F,2,FALSE)</f>
        <v>498.0223154772637</v>
      </c>
      <c r="DN645" s="183">
        <f>VLOOKUP(H645,'ECI - Input Price'!$G$17:$H$37,2,FALSE)</f>
        <v>105.22500000000001</v>
      </c>
      <c r="DO645" s="177">
        <f t="shared" ref="DO645" si="1899">LN(DN645/DN644)</f>
        <v>3.0638025400780679E-2</v>
      </c>
      <c r="DP645" s="183">
        <f>HLOOKUP(H645,'GDP-PI'!$8:$9,2,FALSE)</f>
        <v>92.498000000000005</v>
      </c>
      <c r="DQ645" s="177">
        <f t="shared" ref="DQ645" si="1900">LN(DP645/DP644)</f>
        <v>2.6555467950038037E-2</v>
      </c>
    </row>
    <row r="646" spans="1:121" s="167" customFormat="1" ht="21" x14ac:dyDescent="0.35">
      <c r="A646" s="167" t="s">
        <v>72</v>
      </c>
      <c r="B646" s="168" t="s">
        <v>72</v>
      </c>
      <c r="C646" s="168">
        <v>4004389</v>
      </c>
      <c r="D646" s="168" t="s">
        <v>136</v>
      </c>
      <c r="E646" s="168" t="s">
        <v>126</v>
      </c>
      <c r="F646" s="168"/>
      <c r="G646" s="168" t="s">
        <v>14</v>
      </c>
      <c r="H646" s="169">
        <v>2008</v>
      </c>
      <c r="I646" s="170"/>
      <c r="J646" s="166">
        <f>IFERROR(INDEX('Labor Expenditures'!$F$7:$X$91,MATCH($C646,'Labor Expenditures'!$D$7:$D$91,0),MATCH($G646,'Labor Expenditures'!$F$5:$X$5,0)),"NA")</f>
        <v>18461.18990733126</v>
      </c>
      <c r="K646" s="166">
        <f t="shared" si="1877"/>
        <v>170.58156532530617</v>
      </c>
      <c r="L646" s="172">
        <f t="shared" si="1884"/>
        <v>-3.3584169386595877E-2</v>
      </c>
      <c r="M646" s="172">
        <f t="shared" si="1888"/>
        <v>-3.3042741612693234E-4</v>
      </c>
      <c r="N646" s="196"/>
      <c r="O646" s="172"/>
      <c r="P646" s="166">
        <f>IFERROR(INDEX('Non-Labor Expenditures'!$F$7:$AB$91,MATCH($C646,'Non-Labor Expenditures'!$D$7:$D$91,0),MATCH($G646,'Non-Labor Expenditures'!$F$5:$AB$5,0)),"NA")</f>
        <v>26735.251060464674</v>
      </c>
      <c r="Q646" s="166">
        <f t="shared" si="1878"/>
        <v>283.62101184401973</v>
      </c>
      <c r="R646" s="172">
        <f t="shared" si="1889"/>
        <v>-2.438502446321859E-2</v>
      </c>
      <c r="S646" s="172">
        <f t="shared" si="1894"/>
        <v>-2.3991900865022608E-4</v>
      </c>
      <c r="T646" s="172"/>
      <c r="U646" s="172"/>
      <c r="V646" s="166">
        <f t="shared" si="1858"/>
        <v>43175.971990689257</v>
      </c>
      <c r="W646" s="170"/>
      <c r="X646" s="174">
        <v>2244.3378238392602</v>
      </c>
      <c r="Y646" s="175">
        <v>1.3585691489755528E-2</v>
      </c>
      <c r="Z646" s="175">
        <f t="shared" si="1895"/>
        <v>1.3366669526891018E-4</v>
      </c>
      <c r="AA646" s="175"/>
      <c r="AB646" s="175"/>
      <c r="AC646" s="170">
        <f t="shared" si="1869"/>
        <v>88372.412958485191</v>
      </c>
      <c r="AD646" s="175">
        <f t="shared" si="1890"/>
        <v>6.1188645197606771E-2</v>
      </c>
      <c r="AE646" s="170"/>
      <c r="AF646" s="170"/>
      <c r="AG646" s="121">
        <f t="shared" si="1891"/>
        <v>345.31129902776712</v>
      </c>
      <c r="AH646" s="119">
        <f>+AZ646/$BB$46</f>
        <v>7.1868036667616132E-3</v>
      </c>
      <c r="AI646" s="119">
        <f>+AZ646/$BC$46</f>
        <v>3.1042901311203262E-2</v>
      </c>
      <c r="AJ646" s="176">
        <f t="shared" si="1896"/>
        <v>2.4816845100269727</v>
      </c>
      <c r="AK646" s="176">
        <f t="shared" si="1897"/>
        <v>10.719464577362373</v>
      </c>
      <c r="AL646" s="120">
        <f t="shared" si="1879"/>
        <v>0.20890218213237874</v>
      </c>
      <c r="AM646" s="120">
        <f t="shared" si="1880"/>
        <v>0.30252937727324614</v>
      </c>
      <c r="AN646" s="120">
        <f t="shared" si="1881"/>
        <v>0.4885684405943751</v>
      </c>
      <c r="AO646" s="120">
        <f t="shared" si="1885"/>
        <v>-8.4910113153572678E-3</v>
      </c>
      <c r="AP646" s="173">
        <f t="shared" ref="AP646:AP659" si="1901">+AP645*EXP(AO646)</f>
        <v>94.781337417744496</v>
      </c>
      <c r="AQ646" s="175">
        <f t="shared" ref="AQ646:AQ659" si="1902">LN(AP646/AP645)</f>
        <v>-8.4910113153572608E-3</v>
      </c>
      <c r="AR646" s="177">
        <f>+AC646/$AE$46</f>
        <v>9.8387848251745846E-3</v>
      </c>
      <c r="AS646" s="177">
        <f t="shared" si="1898"/>
        <v>-8.3541233279922701E-5</v>
      </c>
      <c r="AT646" s="177"/>
      <c r="AU646" s="177"/>
      <c r="AV646" s="177"/>
      <c r="AW646" s="190"/>
      <c r="AX646" s="120"/>
      <c r="AY646" s="120"/>
      <c r="AZ646" s="118">
        <f>IFERROR(INDEX('Total Customers'!$F$7:$AB$91,MATCH($C646,'Total Customers'!$D$7:$D$91,0),MATCH($G646,'Total Customers'!$F$5:$AB$5,0)),"NA")</f>
        <v>255921</v>
      </c>
      <c r="BA646" s="119">
        <f t="shared" si="1859"/>
        <v>3.9229554656235134E-3</v>
      </c>
      <c r="BB646" s="119"/>
      <c r="BC646" s="121">
        <v>8244107</v>
      </c>
      <c r="BD646" s="119"/>
      <c r="BE646" s="119"/>
      <c r="BF646" s="119"/>
      <c r="BG646" s="173"/>
      <c r="BH646" s="173"/>
      <c r="BI646" s="173"/>
      <c r="BJ646" s="173"/>
      <c r="BK646" s="173"/>
      <c r="BL646" s="173"/>
      <c r="BM646" s="173"/>
      <c r="BN646" s="173"/>
      <c r="BO646" s="173"/>
      <c r="BP646" s="173"/>
      <c r="BQ646" s="118"/>
      <c r="BR646" s="118"/>
      <c r="BS646" s="118">
        <f>INDEX('Dist. Plant Gas Additions'!$F$7:$AE$91,MATCH($C646,'Dist. Plant Gas Additions'!$D$7:$D$91,0),MATCH(Calculation!$G646,'Dist. Plant Gas Additions'!$F$5:$AE$5,0))</f>
        <v>24819</v>
      </c>
      <c r="BT646" s="118">
        <f>INDEX('Gen. Plant Additions'!$F$7:$AE$91,MATCH($C646,'Gen. Plant Additions'!$D$7:$D$91,0),MATCH(Calculation!$G646,'Gen. Plant Additions'!$F$5:$AE$5,0))</f>
        <v>963</v>
      </c>
      <c r="BU646" s="118"/>
      <c r="BV646" s="118"/>
      <c r="BW646" s="118">
        <f>INDEX('Dist Plant Depreciation'!$E$7:$AD$94,MATCH($C646,'Dist Plant Depreciation'!$D$7:$D$94,0),MATCH(Calculation!$G646,'Dist Plant Depreciation'!$E$5:$AD$5,0))</f>
        <v>223428</v>
      </c>
      <c r="BX646" s="118">
        <f>INDEX('Gen. Plant Depreciation'!$E$7:$AD$94,MATCH($C646,'Gen. Plant Depreciation'!$D$7:$D$94,0),MATCH(Calculation!$G646,'Gen. Plant Depreciation'!$E$5:$AD$5,0))</f>
        <v>10858</v>
      </c>
      <c r="BY646" s="118"/>
      <c r="BZ646" s="118"/>
      <c r="CA646" s="118"/>
      <c r="CB646" s="118"/>
      <c r="CC646" s="118"/>
      <c r="CD646" s="118"/>
      <c r="CE646" s="118">
        <f>INDEX('Gross Dx Plant'!$E$7:$AD$91,MATCH($C646,'Gross Dx Plant'!$D$7:$D$91,0),MATCH(Calculation!$G646,'Gross Dx Plant'!$E$5:$AD$5,0))</f>
        <v>655340</v>
      </c>
      <c r="CF646" s="118">
        <f>INDEX('Gross Gen Plant'!$E$7:$AD$91,MATCH($C646,'Gross Gen Plant'!$D$7:$D$91,0),MATCH(Calculation!$G646,'Gross Gen Plant'!$E$5:$AD$5,0))</f>
        <v>22471</v>
      </c>
      <c r="CG646" s="118">
        <f t="shared" si="1720"/>
        <v>443525</v>
      </c>
      <c r="CH646" s="118"/>
      <c r="CI646" s="121">
        <v>2008</v>
      </c>
      <c r="CJ646" s="118"/>
      <c r="CK646" s="118"/>
      <c r="CL646" s="118"/>
      <c r="CM646" s="183"/>
      <c r="CN646" s="118">
        <f t="shared" si="1860"/>
        <v>25782</v>
      </c>
      <c r="CO646" s="118">
        <f t="shared" si="1861"/>
        <v>45.241007861137405</v>
      </c>
      <c r="CP646" s="186">
        <v>0.94252873563218387</v>
      </c>
      <c r="CQ646" s="118">
        <f>+CQ636*CP646+CO637*CP645+CO638*CP644+CO639*CP643+CO640*CP642+CO641*CP641+CO642*CP640+CO643*CP639+CO644*CP638+CO645*CP637+CO646</f>
        <v>2244.3378238392602</v>
      </c>
      <c r="CR646" s="119">
        <f t="shared" si="1862"/>
        <v>1.3585691489755528E-2</v>
      </c>
      <c r="CS646" s="119"/>
      <c r="CT646" s="177">
        <f t="shared" si="1863"/>
        <v>6.7551728888749444E-3</v>
      </c>
      <c r="CU646" s="177">
        <f t="shared" si="1872"/>
        <v>6.5225428324089648E-3</v>
      </c>
      <c r="CV646" s="119">
        <f>VLOOKUP($H646,RoR!$E:$F,2,FALSE)</f>
        <v>5.6316666666666668E-2</v>
      </c>
      <c r="CW646" s="177">
        <v>1.9092304698479889E-2</v>
      </c>
      <c r="CX646" s="177">
        <f t="shared" si="1870"/>
        <v>3.7224361968186778E-2</v>
      </c>
      <c r="CY646" s="177">
        <f t="shared" si="1873"/>
        <v>2.4379398776124661E-2</v>
      </c>
      <c r="CZ646" s="177">
        <f t="shared" si="1874"/>
        <v>6.9030581091053131E-2</v>
      </c>
      <c r="DA646" s="187">
        <f t="shared" si="1864"/>
        <v>0.85131374874999999</v>
      </c>
      <c r="DB646" s="188">
        <f t="shared" si="1865"/>
        <v>0.91060168006009956</v>
      </c>
      <c r="DC646" s="188">
        <f t="shared" si="1866"/>
        <v>0.53108168097070152</v>
      </c>
      <c r="DD646" s="188">
        <f t="shared" si="1867"/>
        <v>0.88825329850328805</v>
      </c>
      <c r="DE646" s="188">
        <f t="shared" si="1868"/>
        <v>0.4295627335323573</v>
      </c>
      <c r="DF646" s="189">
        <f>INDEX('State Tax Lookup'!$D$7:$Z$91,MATCH(Calculation!$C646,'State Tax Lookup'!$B$7:$B$91,0),MATCH($H646,'State Tax Lookup'!$D$6:$Z$6,0))</f>
        <v>0.39649667</v>
      </c>
      <c r="DG646" s="189">
        <v>0.375</v>
      </c>
      <c r="DH646" s="190">
        <f t="shared" si="1871"/>
        <v>19.500874415196076</v>
      </c>
      <c r="DI646" s="190">
        <v>19.203207981979833</v>
      </c>
      <c r="DJ646" s="177"/>
      <c r="DK646" s="189">
        <f>VLOOKUP($H646,RoR!$E:$F,2,FALSE)</f>
        <v>5.6316666666666668E-2</v>
      </c>
      <c r="DL646" s="191">
        <f>HLOOKUP($H646,'GDP-PI'!$D$8:$CQ$11,3,FALSE)</f>
        <v>1.9092304698479889E-2</v>
      </c>
      <c r="DM646" s="189">
        <f>VLOOKUP(H646,'HW Dx Data'!$E:$F,2,FALSE)</f>
        <v>569.88120333515076</v>
      </c>
      <c r="DN646" s="183">
        <f>VLOOKUP(H646,'ECI - Input Price'!$G$17:$H$37,2,FALSE)</f>
        <v>108.22499999999999</v>
      </c>
      <c r="DO646" s="177">
        <f t="shared" ref="DO646" si="1903">LN(DN646/DN645)</f>
        <v>2.8111478671409691E-2</v>
      </c>
      <c r="DP646" s="183">
        <f>HLOOKUP(H646,'GDP-PI'!$8:$9,2,FALSE)</f>
        <v>94.263999999999996</v>
      </c>
      <c r="DQ646" s="177">
        <f t="shared" ref="DQ646" si="1904">LN(DP646/DP645)</f>
        <v>1.8912333748032254E-2</v>
      </c>
    </row>
    <row r="647" spans="1:121" s="167" customFormat="1" ht="21" x14ac:dyDescent="0.35">
      <c r="A647" s="167" t="s">
        <v>72</v>
      </c>
      <c r="B647" s="168" t="s">
        <v>72</v>
      </c>
      <c r="C647" s="168">
        <v>4004389</v>
      </c>
      <c r="D647" s="168" t="s">
        <v>136</v>
      </c>
      <c r="E647" s="168" t="s">
        <v>126</v>
      </c>
      <c r="F647" s="168"/>
      <c r="G647" s="168" t="s">
        <v>15</v>
      </c>
      <c r="H647" s="169">
        <v>2009</v>
      </c>
      <c r="I647" s="170"/>
      <c r="J647" s="166">
        <f>IFERROR(INDEX('Labor Expenditures'!$F$7:$X$91,MATCH($C647,'Labor Expenditures'!$D$7:$D$91,0),MATCH($G647,'Labor Expenditures'!$F$5:$X$5,0)),"NA")</f>
        <v>24106.468372736996</v>
      </c>
      <c r="K647" s="166">
        <f t="shared" si="1877"/>
        <v>219.59889203130948</v>
      </c>
      <c r="L647" s="172">
        <f t="shared" si="1884"/>
        <v>0.25258909289112108</v>
      </c>
      <c r="M647" s="172">
        <f t="shared" si="1888"/>
        <v>2.7211361886273072E-3</v>
      </c>
      <c r="N647" s="196"/>
      <c r="O647" s="172"/>
      <c r="P647" s="166">
        <f>IFERROR(INDEX('Non-Labor Expenditures'!$F$7:$AB$91,MATCH($C647,'Non-Labor Expenditures'!$D$7:$D$91,0),MATCH($G647,'Non-Labor Expenditures'!$F$5:$AB$5,0)),"NA")</f>
        <v>34910.66867094714</v>
      </c>
      <c r="Q647" s="166">
        <f t="shared" si="1878"/>
        <v>367.48459111092899</v>
      </c>
      <c r="R647" s="172">
        <f t="shared" si="1889"/>
        <v>0.2590425071925484</v>
      </c>
      <c r="S647" s="172">
        <f t="shared" si="1894"/>
        <v>2.7906586648150989E-3</v>
      </c>
      <c r="T647" s="172"/>
      <c r="U647" s="172"/>
      <c r="V647" s="166">
        <f t="shared" si="1858"/>
        <v>41913.63960958962</v>
      </c>
      <c r="W647" s="170"/>
      <c r="X647" s="174">
        <v>2267.3100971119466</v>
      </c>
      <c r="Y647" s="175">
        <v>1.0183627891887688E-2</v>
      </c>
      <c r="Z647" s="175">
        <f t="shared" si="1895"/>
        <v>1.0970797697933411E-4</v>
      </c>
      <c r="AA647" s="175"/>
      <c r="AB647" s="175"/>
      <c r="AC647" s="170">
        <f t="shared" si="1869"/>
        <v>100930.77665327376</v>
      </c>
      <c r="AD647" s="175">
        <f t="shared" si="1890"/>
        <v>0.13287505185662074</v>
      </c>
      <c r="AE647" s="170"/>
      <c r="AF647" s="170"/>
      <c r="AG647" s="121">
        <f t="shared" si="1891"/>
        <v>391.44428236390411</v>
      </c>
      <c r="AH647" s="119">
        <f>+AZ647/$BB$47</f>
        <v>7.2303019883713342E-3</v>
      </c>
      <c r="AI647" s="119">
        <f>+AZ647/$BC$47</f>
        <v>3.0928129361679262E-2</v>
      </c>
      <c r="AJ647" s="176">
        <f t="shared" si="1896"/>
        <v>2.8302603731123259</v>
      </c>
      <c r="AK647" s="176">
        <f t="shared" si="1897"/>
        <v>12.10663940284053</v>
      </c>
      <c r="AL647" s="120">
        <f t="shared" si="1879"/>
        <v>0.23884160185896167</v>
      </c>
      <c r="AM647" s="120">
        <f t="shared" si="1880"/>
        <v>0.34588724894959766</v>
      </c>
      <c r="AN647" s="120">
        <f t="shared" si="1881"/>
        <v>0.41527114919144065</v>
      </c>
      <c r="AO647" s="120">
        <f t="shared" si="1885"/>
        <v>0.14513351543222244</v>
      </c>
      <c r="AP647" s="173">
        <f t="shared" si="1901"/>
        <v>109.58560697080442</v>
      </c>
      <c r="AQ647" s="175">
        <f t="shared" si="1902"/>
        <v>0.14513351543222253</v>
      </c>
      <c r="AR647" s="177">
        <f>+AC647/$AE$47</f>
        <v>1.0772975814122968E-2</v>
      </c>
      <c r="AS647" s="177">
        <f t="shared" si="1898"/>
        <v>1.5635198515699758E-3</v>
      </c>
      <c r="AT647" s="177"/>
      <c r="AU647" s="177"/>
      <c r="AV647" s="177"/>
      <c r="AW647" s="190"/>
      <c r="AX647" s="120"/>
      <c r="AY647" s="120"/>
      <c r="AZ647" s="118">
        <f>IFERROR(INDEX('Total Customers'!$F$7:$AB$91,MATCH($C647,'Total Customers'!$D$7:$D$91,0),MATCH($G647,'Total Customers'!$F$5:$AB$5,0)),"NA")</f>
        <v>257842</v>
      </c>
      <c r="BA647" s="119">
        <f t="shared" si="1859"/>
        <v>7.4781911207569933E-3</v>
      </c>
      <c r="BB647" s="119"/>
      <c r="BC647" s="121">
        <v>8336812</v>
      </c>
      <c r="BD647" s="119"/>
      <c r="BE647" s="119"/>
      <c r="BF647" s="119"/>
      <c r="BG647" s="173"/>
      <c r="BH647" s="173"/>
      <c r="BI647" s="173"/>
      <c r="BJ647" s="173"/>
      <c r="BK647" s="173"/>
      <c r="BL647" s="173"/>
      <c r="BM647" s="173"/>
      <c r="BN647" s="173"/>
      <c r="BO647" s="173"/>
      <c r="BP647" s="173"/>
      <c r="BQ647" s="118"/>
      <c r="BR647" s="118"/>
      <c r="BS647" s="118">
        <f>INDEX('Dist. Plant Gas Additions'!$F$7:$AE$91,MATCH($C647,'Dist. Plant Gas Additions'!$D$7:$D$91,0),MATCH(Calculation!$G647,'Dist. Plant Gas Additions'!$F$5:$AE$5,0))</f>
        <v>19528</v>
      </c>
      <c r="BT647" s="118">
        <f>INDEX('Gen. Plant Additions'!$F$7:$AE$91,MATCH($C647,'Gen. Plant Additions'!$D$7:$D$91,0),MATCH(Calculation!$G647,'Gen. Plant Additions'!$F$5:$AE$5,0))</f>
        <v>1778</v>
      </c>
      <c r="BU647" s="118"/>
      <c r="BV647" s="118"/>
      <c r="BW647" s="118">
        <f>INDEX('Dist Plant Depreciation'!$E$7:$AD$94,MATCH($C647,'Dist Plant Depreciation'!$D$7:$D$94,0),MATCH(Calculation!$G647,'Dist Plant Depreciation'!$E$5:$AD$5,0))</f>
        <v>237049</v>
      </c>
      <c r="BX647" s="118">
        <f>INDEX('Gen. Plant Depreciation'!$E$7:$AD$94,MATCH($C647,'Gen. Plant Depreciation'!$D$7:$D$94,0),MATCH(Calculation!$G647,'Gen. Plant Depreciation'!$E$5:$AD$5,0))</f>
        <v>11642</v>
      </c>
      <c r="BY647" s="118"/>
      <c r="BZ647" s="118"/>
      <c r="CA647" s="118"/>
      <c r="CB647" s="118"/>
      <c r="CC647" s="118"/>
      <c r="CD647" s="118"/>
      <c r="CE647" s="118">
        <f>INDEX('Gross Dx Plant'!$E$7:$AD$91,MATCH($C647,'Gross Dx Plant'!$D$7:$D$91,0),MATCH(Calculation!$G647,'Gross Dx Plant'!$E$5:$AD$5,0))</f>
        <v>668663</v>
      </c>
      <c r="CF647" s="118">
        <f>INDEX('Gross Gen Plant'!$E$7:$AD$91,MATCH($C647,'Gross Gen Plant'!$D$7:$D$91,0),MATCH(Calculation!$G647,'Gross Gen Plant'!$E$5:$AD$5,0))</f>
        <v>23086</v>
      </c>
      <c r="CG647" s="118">
        <f t="shared" si="1720"/>
        <v>443058</v>
      </c>
      <c r="CH647" s="118"/>
      <c r="CI647" s="121">
        <v>2009</v>
      </c>
      <c r="CJ647" s="118"/>
      <c r="CK647" s="118"/>
      <c r="CL647" s="118"/>
      <c r="CM647" s="183"/>
      <c r="CN647" s="118">
        <f t="shared" si="1860"/>
        <v>21306</v>
      </c>
      <c r="CO647" s="118">
        <f t="shared" si="1861"/>
        <v>38.672043006065657</v>
      </c>
      <c r="CP647" s="186">
        <v>0.93567251461988299</v>
      </c>
      <c r="CQ647" s="118">
        <f>+CQ636*CP647+CO637*CP646+CO638*CP645+CO639*CP644+CO640*CP643+CO641*CP642+CO642*CP641+CO643*CP640+CO644*CP639+CO645*CP638+CO646*CP637+CO647</f>
        <v>2267.3100971119466</v>
      </c>
      <c r="CR647" s="119">
        <f t="shared" si="1862"/>
        <v>1.0183627891887688E-2</v>
      </c>
      <c r="CS647" s="119"/>
      <c r="CT647" s="177">
        <f t="shared" si="1863"/>
        <v>6.9952792162645905E-3</v>
      </c>
      <c r="CU647" s="177">
        <f t="shared" si="1872"/>
        <v>6.7563624720923506E-3</v>
      </c>
      <c r="CV647" s="119">
        <f>VLOOKUP($H647,RoR!$E:$F,2,FALSE)</f>
        <v>5.3133333333333324E-2</v>
      </c>
      <c r="CW647" s="177">
        <v>7.7972502758210105E-3</v>
      </c>
      <c r="CX647" s="177">
        <f t="shared" si="1870"/>
        <v>4.5336083057512314E-2</v>
      </c>
      <c r="CY647" s="177">
        <f t="shared" si="1873"/>
        <v>2.4145579136441275E-2</v>
      </c>
      <c r="CZ647" s="177">
        <f t="shared" si="1874"/>
        <v>6.3720160300892073E-2</v>
      </c>
      <c r="DA647" s="187">
        <f t="shared" si="1864"/>
        <v>0.85131374874999999</v>
      </c>
      <c r="DB647" s="188">
        <f t="shared" si="1865"/>
        <v>0.96515780330083989</v>
      </c>
      <c r="DC647" s="188">
        <f t="shared" si="1866"/>
        <v>0.50448557089084056</v>
      </c>
      <c r="DD647" s="188">
        <f t="shared" si="1867"/>
        <v>0.87391435735465484</v>
      </c>
      <c r="DE647" s="188">
        <f t="shared" si="1868"/>
        <v>0.42551605393279146</v>
      </c>
      <c r="DF647" s="189">
        <f>INDEX('State Tax Lookup'!$D$7:$Z$91,MATCH(Calculation!$C647,'State Tax Lookup'!$B$7:$B$91,0),MATCH($H647,'State Tax Lookup'!$D$6:$Z$6,0))</f>
        <v>0.39649667</v>
      </c>
      <c r="DG647" s="189">
        <v>0.375</v>
      </c>
      <c r="DH647" s="190">
        <f t="shared" si="1871"/>
        <v>18.675281040307183</v>
      </c>
      <c r="DI647" s="190">
        <v>18.320896732931089</v>
      </c>
      <c r="DJ647" s="177"/>
      <c r="DK647" s="189">
        <f>VLOOKUP($H647,RoR!$E:$F,2,FALSE)</f>
        <v>5.3133333333333324E-2</v>
      </c>
      <c r="DL647" s="191">
        <f>HLOOKUP($H647,'GDP-PI'!$D$8:$CQ$11,3,FALSE)</f>
        <v>7.7972502758210105E-3</v>
      </c>
      <c r="DM647" s="189">
        <f>VLOOKUP(H647,'HW Dx Data'!$E:$F,2,FALSE)</f>
        <v>550.94063679692806</v>
      </c>
      <c r="DN647" s="183">
        <f>VLOOKUP(H647,'ECI - Input Price'!$G$17:$H$37,2,FALSE)</f>
        <v>109.77499999999999</v>
      </c>
      <c r="DO647" s="177">
        <f t="shared" ref="DO647" si="1905">LN(DN647/DN646)</f>
        <v>1.4220423119736749E-2</v>
      </c>
      <c r="DP647" s="183">
        <f>HLOOKUP(H647,'GDP-PI'!$8:$9,2,FALSE)</f>
        <v>94.998999999999995</v>
      </c>
      <c r="DQ647" s="177">
        <f t="shared" ref="DQ647" si="1906">LN(DP647/DP646)</f>
        <v>7.7670088183096342E-3</v>
      </c>
    </row>
    <row r="648" spans="1:121" s="167" customFormat="1" ht="21" x14ac:dyDescent="0.35">
      <c r="A648" s="167" t="s">
        <v>72</v>
      </c>
      <c r="B648" s="168" t="s">
        <v>72</v>
      </c>
      <c r="C648" s="168">
        <v>4004389</v>
      </c>
      <c r="D648" s="168" t="s">
        <v>136</v>
      </c>
      <c r="E648" s="168" t="s">
        <v>126</v>
      </c>
      <c r="F648" s="168"/>
      <c r="G648" s="168" t="s">
        <v>16</v>
      </c>
      <c r="H648" s="169">
        <v>2010</v>
      </c>
      <c r="I648" s="170"/>
      <c r="J648" s="166">
        <f>IFERROR(INDEX('Labor Expenditures'!$F$7:$X$91,MATCH($C648,'Labor Expenditures'!$D$7:$D$91,0),MATCH($G648,'Labor Expenditures'!$F$5:$X$5,0)),"NA")</f>
        <v>27798.46521047701</v>
      </c>
      <c r="K648" s="166">
        <f t="shared" si="1877"/>
        <v>248.47790132269952</v>
      </c>
      <c r="L648" s="172">
        <f t="shared" si="1884"/>
        <v>0.12355124907557255</v>
      </c>
      <c r="M648" s="172">
        <f t="shared" si="1888"/>
        <v>1.4172642464101374E-3</v>
      </c>
      <c r="N648" s="196"/>
      <c r="O648" s="172"/>
      <c r="P648" s="166">
        <f>IFERROR(INDEX('Non-Labor Expenditures'!$F$7:$AB$91,MATCH($C648,'Non-Labor Expenditures'!$D$7:$D$91,0),MATCH($G648,'Non-Labor Expenditures'!$F$5:$AB$5,0)),"NA")</f>
        <v>40257.369661885052</v>
      </c>
      <c r="Q648" s="166">
        <f t="shared" si="1878"/>
        <v>418.87200638738364</v>
      </c>
      <c r="R648" s="172">
        <f t="shared" si="1889"/>
        <v>0.13088401041566056</v>
      </c>
      <c r="S648" s="172">
        <f t="shared" si="1894"/>
        <v>1.5013788187234328E-3</v>
      </c>
      <c r="T648" s="172"/>
      <c r="U648" s="172"/>
      <c r="V648" s="166">
        <f t="shared" si="1858"/>
        <v>43341.484493451375</v>
      </c>
      <c r="W648" s="170"/>
      <c r="X648" s="174">
        <v>2286.2701493028239</v>
      </c>
      <c r="Y648" s="175">
        <v>8.3275843340477589E-3</v>
      </c>
      <c r="Z648" s="175">
        <f t="shared" si="1895"/>
        <v>9.5526250231528633E-5</v>
      </c>
      <c r="AA648" s="175"/>
      <c r="AB648" s="175"/>
      <c r="AC648" s="170">
        <f t="shared" si="1869"/>
        <v>111397.31936581343</v>
      </c>
      <c r="AD648" s="175">
        <f t="shared" si="1890"/>
        <v>9.8668361869472504E-2</v>
      </c>
      <c r="AE648" s="170"/>
      <c r="AF648" s="170"/>
      <c r="AG648" s="121">
        <f t="shared" si="1891"/>
        <v>429.95773408293451</v>
      </c>
      <c r="AH648" s="119">
        <f>+AZ648/$BB$48</f>
        <v>7.2252736890509126E-3</v>
      </c>
      <c r="AI648" s="119">
        <f>+AZ648/$BC$48</f>
        <v>3.0831298750119147E-2</v>
      </c>
      <c r="AJ648" s="176">
        <f t="shared" si="1896"/>
        <v>3.1065623034733756</v>
      </c>
      <c r="AK648" s="176">
        <f t="shared" si="1897"/>
        <v>13.25615534943524</v>
      </c>
      <c r="AL648" s="120">
        <f t="shared" si="1879"/>
        <v>0.24954339447963453</v>
      </c>
      <c r="AM648" s="120">
        <f t="shared" si="1880"/>
        <v>0.3613854434834774</v>
      </c>
      <c r="AN648" s="120">
        <f t="shared" si="1881"/>
        <v>0.38907116203688819</v>
      </c>
      <c r="AO648" s="120">
        <f t="shared" si="1885"/>
        <v>7.9804745600361077E-2</v>
      </c>
      <c r="AP648" s="173">
        <f t="shared" si="1901"/>
        <v>118.68949392628015</v>
      </c>
      <c r="AQ648" s="175">
        <f t="shared" si="1902"/>
        <v>7.9804745600361118E-2</v>
      </c>
      <c r="AR648" s="177">
        <f>+AC648/$AE$48</f>
        <v>1.1471063684214475E-2</v>
      </c>
      <c r="AS648" s="177">
        <f t="shared" si="1898"/>
        <v>9.1544531908427731E-4</v>
      </c>
      <c r="AT648" s="177"/>
      <c r="AU648" s="177"/>
      <c r="AV648" s="177"/>
      <c r="AW648" s="190"/>
      <c r="AX648" s="120"/>
      <c r="AY648" s="120"/>
      <c r="AZ648" s="118">
        <f>IFERROR(INDEX('Total Customers'!$F$7:$AB$91,MATCH($C648,'Total Customers'!$D$7:$D$91,0),MATCH($G648,'Total Customers'!$F$5:$AB$5,0)),"NA")</f>
        <v>259089</v>
      </c>
      <c r="BA648" s="119">
        <f t="shared" si="1859"/>
        <v>4.8246377906561036E-3</v>
      </c>
      <c r="BB648" s="119"/>
      <c r="BC648" s="121">
        <v>8403441</v>
      </c>
      <c r="BD648" s="119"/>
      <c r="BE648" s="119"/>
      <c r="BF648" s="119"/>
      <c r="BG648" s="173"/>
      <c r="BH648" s="173"/>
      <c r="BI648" s="173"/>
      <c r="BJ648" s="173"/>
      <c r="BK648" s="173"/>
      <c r="BL648" s="173"/>
      <c r="BM648" s="173"/>
      <c r="BN648" s="173"/>
      <c r="BO648" s="173"/>
      <c r="BP648" s="173"/>
      <c r="BQ648" s="118"/>
      <c r="BR648" s="118"/>
      <c r="BS648" s="118">
        <f>INDEX('Dist. Plant Gas Additions'!$F$7:$AE$91,MATCH($C648,'Dist. Plant Gas Additions'!$D$7:$D$91,0),MATCH(Calculation!$G648,'Dist. Plant Gas Additions'!$F$5:$AE$5,0))</f>
        <v>20137</v>
      </c>
      <c r="BT648" s="118">
        <f>INDEX('Gen. Plant Additions'!$F$7:$AE$91,MATCH($C648,'Gen. Plant Additions'!$D$7:$D$91,0),MATCH(Calculation!$G648,'Gen. Plant Additions'!$F$5:$AE$5,0))</f>
        <v>8</v>
      </c>
      <c r="BU648" s="118"/>
      <c r="BV648" s="118"/>
      <c r="BW648" s="118">
        <f>INDEX('Dist Plant Depreciation'!$E$7:$AD$94,MATCH($C648,'Dist Plant Depreciation'!$D$7:$D$94,0),MATCH(Calculation!$G648,'Dist Plant Depreciation'!$E$5:$AD$5,0))</f>
        <v>248677</v>
      </c>
      <c r="BX648" s="118">
        <f>INDEX('Gen. Plant Depreciation'!$E$7:$AD$94,MATCH($C648,'Gen. Plant Depreciation'!$D$7:$D$94,0),MATCH(Calculation!$G648,'Gen. Plant Depreciation'!$E$5:$AD$5,0))</f>
        <v>12960</v>
      </c>
      <c r="BY648" s="118"/>
      <c r="BZ648" s="118"/>
      <c r="CA648" s="118"/>
      <c r="CB648" s="118"/>
      <c r="CC648" s="118"/>
      <c r="CD648" s="118"/>
      <c r="CE648" s="118">
        <f>INDEX('Gross Dx Plant'!$E$7:$AD$91,MATCH($C648,'Gross Dx Plant'!$D$7:$D$91,0),MATCH(Calculation!$G648,'Gross Dx Plant'!$E$5:$AD$5,0))</f>
        <v>686547</v>
      </c>
      <c r="CF648" s="118">
        <f>INDEX('Gross Gen Plant'!$E$7:$AD$91,MATCH($C648,'Gross Gen Plant'!$D$7:$D$91,0),MATCH(Calculation!$G648,'Gross Gen Plant'!$E$5:$AD$5,0))</f>
        <v>23043</v>
      </c>
      <c r="CG648" s="118">
        <f t="shared" si="1720"/>
        <v>447953</v>
      </c>
      <c r="CH648" s="118"/>
      <c r="CI648" s="121">
        <v>2010</v>
      </c>
      <c r="CJ648" s="118"/>
      <c r="CK648" s="118"/>
      <c r="CL648" s="118"/>
      <c r="CM648" s="183"/>
      <c r="CN648" s="118">
        <f t="shared" si="1860"/>
        <v>20145</v>
      </c>
      <c r="CO648" s="118">
        <f t="shared" si="1861"/>
        <v>35.404871103764116</v>
      </c>
      <c r="CP648" s="186">
        <v>0.9285714285714286</v>
      </c>
      <c r="CQ648" s="118">
        <f>+CQ636*CP648+CO637*CP647+CO638*CP646+CO639*CP645+CO640*CP644+CO641*CP643+CO642*CP642+CO643*CP641+CO644*CP640+CO645*CP639+CO646*CP638+CO647*CP637+CO648</f>
        <v>2286.2701493028239</v>
      </c>
      <c r="CR648" s="119">
        <f t="shared" si="1862"/>
        <v>8.3275843340477589E-3</v>
      </c>
      <c r="CS648" s="119"/>
      <c r="CT648" s="177">
        <f t="shared" si="1863"/>
        <v>7.2530082822961951E-3</v>
      </c>
      <c r="CU648" s="177">
        <f t="shared" si="1872"/>
        <v>7.0011534624785767E-3</v>
      </c>
      <c r="CV648" s="119">
        <f>VLOOKUP($H648,RoR!$E:$F,2,FALSE)</f>
        <v>4.9433333333333322E-2</v>
      </c>
      <c r="CW648" s="177">
        <v>1.1684333519300205E-2</v>
      </c>
      <c r="CX648" s="177">
        <f t="shared" si="1870"/>
        <v>3.7748999814033117E-2</v>
      </c>
      <c r="CY648" s="177">
        <f t="shared" si="1873"/>
        <v>2.3900788146055049E-2</v>
      </c>
      <c r="CZ648" s="177">
        <f t="shared" si="1874"/>
        <v>4.7937530248493419E-2</v>
      </c>
      <c r="DA648" s="187">
        <f t="shared" si="1864"/>
        <v>0.85131374874999999</v>
      </c>
      <c r="DB648" s="188">
        <f t="shared" si="1865"/>
        <v>1.037398205301105</v>
      </c>
      <c r="DC648" s="188">
        <f t="shared" si="1866"/>
        <v>0.46926837491571133</v>
      </c>
      <c r="DD648" s="188">
        <f t="shared" si="1867"/>
        <v>0.8548537519972772</v>
      </c>
      <c r="DE648" s="188">
        <f t="shared" si="1868"/>
        <v>0.41615833911547367</v>
      </c>
      <c r="DF648" s="189">
        <f>INDEX('State Tax Lookup'!$D$7:$Z$91,MATCH(Calculation!$C648,'State Tax Lookup'!$B$7:$B$91,0),MATCH($H648,'State Tax Lookup'!$D$6:$Z$6,0))</f>
        <v>0.39649667</v>
      </c>
      <c r="DG648" s="189">
        <v>0.375</v>
      </c>
      <c r="DH648" s="190">
        <f t="shared" si="1871"/>
        <v>19.11581682128919</v>
      </c>
      <c r="DI648" s="190">
        <v>18.77179245786045</v>
      </c>
      <c r="DJ648" s="177"/>
      <c r="DK648" s="189">
        <f>VLOOKUP($H648,RoR!$E:$F,2,FALSE)</f>
        <v>4.9433333333333322E-2</v>
      </c>
      <c r="DL648" s="191">
        <f>HLOOKUP($H648,'GDP-PI'!$D$8:$CQ$11,3,FALSE)</f>
        <v>1.1684333519300205E-2</v>
      </c>
      <c r="DM648" s="189">
        <f>VLOOKUP(H648,'HW Dx Data'!$E:$F,2,FALSE)</f>
        <v>568.98950262971744</v>
      </c>
      <c r="DN648" s="183">
        <f>VLOOKUP(H648,'ECI - Input Price'!$G$17:$H$37,2,FALSE)</f>
        <v>111.875</v>
      </c>
      <c r="DO648" s="177">
        <f t="shared" ref="DO648" si="1907">LN(DN648/DN647)</f>
        <v>1.8949360147238387E-2</v>
      </c>
      <c r="DP648" s="183">
        <f>HLOOKUP(H648,'GDP-PI'!$8:$9,2,FALSE)</f>
        <v>96.108999999999995</v>
      </c>
      <c r="DQ648" s="177">
        <f t="shared" ref="DQ648" si="1908">LN(DP648/DP647)</f>
        <v>1.1616598807150427E-2</v>
      </c>
    </row>
    <row r="649" spans="1:121" s="167" customFormat="1" ht="21" x14ac:dyDescent="0.35">
      <c r="A649" s="167" t="s">
        <v>72</v>
      </c>
      <c r="B649" s="168" t="s">
        <v>72</v>
      </c>
      <c r="C649" s="168">
        <v>4004389</v>
      </c>
      <c r="D649" s="168" t="s">
        <v>136</v>
      </c>
      <c r="E649" s="168" t="s">
        <v>126</v>
      </c>
      <c r="F649" s="168"/>
      <c r="G649" s="168" t="s">
        <v>17</v>
      </c>
      <c r="H649" s="169">
        <v>2011</v>
      </c>
      <c r="I649" s="170"/>
      <c r="J649" s="166">
        <f>IFERROR(INDEX('Labor Expenditures'!$F$7:$X$91,MATCH($C649,'Labor Expenditures'!$D$7:$D$91,0),MATCH($G649,'Labor Expenditures'!$F$5:$X$5,0)),"NA")</f>
        <v>35834.166209675255</v>
      </c>
      <c r="K649" s="166">
        <f t="shared" si="1877"/>
        <v>313.50976561395674</v>
      </c>
      <c r="L649" s="172">
        <f t="shared" si="1884"/>
        <v>0.23247659656811459</v>
      </c>
      <c r="M649" s="172">
        <f t="shared" si="1888"/>
        <v>3.0609443603816697E-3</v>
      </c>
      <c r="N649" s="196"/>
      <c r="O649" s="172"/>
      <c r="P649" s="166">
        <f>IFERROR(INDEX('Non-Labor Expenditures'!$F$7:$AB$91,MATCH($C649,'Non-Labor Expenditures'!$D$7:$D$91,0),MATCH($G649,'Non-Labor Expenditures'!$F$5:$AB$5,0)),"NA")</f>
        <v>51894.565570642619</v>
      </c>
      <c r="Q649" s="166">
        <f t="shared" si="1878"/>
        <v>528.93188978557794</v>
      </c>
      <c r="R649" s="172">
        <f t="shared" si="1889"/>
        <v>0.23329427156101076</v>
      </c>
      <c r="S649" s="172">
        <f t="shared" si="1894"/>
        <v>3.0717104232674767E-3</v>
      </c>
      <c r="T649" s="172"/>
      <c r="U649" s="172"/>
      <c r="V649" s="166">
        <f t="shared" si="1858"/>
        <v>46556.245316658315</v>
      </c>
      <c r="W649" s="170"/>
      <c r="X649" s="174">
        <v>2322.2156567231009</v>
      </c>
      <c r="Y649" s="175">
        <v>1.5600020443643021E-2</v>
      </c>
      <c r="Z649" s="175">
        <f t="shared" si="1895"/>
        <v>2.0540043730731878E-4</v>
      </c>
      <c r="AA649" s="175"/>
      <c r="AB649" s="175"/>
      <c r="AC649" s="170">
        <f t="shared" si="1869"/>
        <v>134284.97709697619</v>
      </c>
      <c r="AD649" s="175">
        <f t="shared" si="1890"/>
        <v>0.18686097243014355</v>
      </c>
      <c r="AE649" s="170"/>
      <c r="AF649" s="170"/>
      <c r="AG649" s="121">
        <f t="shared" si="1891"/>
        <v>516.78081153660855</v>
      </c>
      <c r="AH649" s="119">
        <f>+AZ649/$BB$49</f>
        <v>7.211240136364894E-3</v>
      </c>
      <c r="AI649" s="119">
        <f>+AZ649/$BC$49</f>
        <v>3.0795673917060062E-2</v>
      </c>
      <c r="AJ649" s="176">
        <f t="shared" si="1896"/>
        <v>3.7266305298560138</v>
      </c>
      <c r="AK649" s="176">
        <f t="shared" si="1897"/>
        <v>15.914613358675068</v>
      </c>
      <c r="AL649" s="120">
        <f t="shared" si="1879"/>
        <v>0.2668516388381777</v>
      </c>
      <c r="AM649" s="120">
        <f t="shared" si="1880"/>
        <v>0.38645101404877236</v>
      </c>
      <c r="AN649" s="120">
        <f t="shared" si="1881"/>
        <v>0.34669734711304995</v>
      </c>
      <c r="AO649" s="120">
        <f t="shared" si="1885"/>
        <v>0.15299686261084194</v>
      </c>
      <c r="AP649" s="173">
        <f t="shared" si="1901"/>
        <v>138.31139807300517</v>
      </c>
      <c r="AQ649" s="175">
        <f t="shared" si="1902"/>
        <v>0.15299686261084194</v>
      </c>
      <c r="AR649" s="177">
        <f>+AC649/$AE$49</f>
        <v>1.3166677444388803E-2</v>
      </c>
      <c r="AS649" s="177">
        <f t="shared" si="1898"/>
        <v>2.0144603400004254E-3</v>
      </c>
      <c r="AT649" s="177"/>
      <c r="AU649" s="177"/>
      <c r="AV649" s="177"/>
      <c r="AW649" s="190"/>
      <c r="AX649" s="120"/>
      <c r="AY649" s="120"/>
      <c r="AZ649" s="118">
        <f>IFERROR(INDEX('Total Customers'!$F$7:$AB$91,MATCH($C649,'Total Customers'!$D$7:$D$91,0),MATCH($G649,'Total Customers'!$F$5:$AB$5,0)),"NA")</f>
        <v>259849</v>
      </c>
      <c r="BA649" s="119">
        <f t="shared" si="1859"/>
        <v>2.9290610568577903E-3</v>
      </c>
      <c r="BB649" s="119"/>
      <c r="BC649" s="121">
        <v>8437841</v>
      </c>
      <c r="BD649" s="119"/>
      <c r="BE649" s="119"/>
      <c r="BF649" s="119"/>
      <c r="BG649" s="173"/>
      <c r="BH649" s="173"/>
      <c r="BI649" s="173"/>
      <c r="BJ649" s="173"/>
      <c r="BK649" s="173"/>
      <c r="BL649" s="173"/>
      <c r="BM649" s="173"/>
      <c r="BN649" s="173"/>
      <c r="BO649" s="173"/>
      <c r="BP649" s="173"/>
      <c r="BQ649" s="118"/>
      <c r="BR649" s="118"/>
      <c r="BS649" s="118">
        <f>INDEX('Dist. Plant Gas Additions'!$F$7:$AE$91,MATCH($C649,'Dist. Plant Gas Additions'!$D$7:$D$91,0),MATCH(Calculation!$G649,'Dist. Plant Gas Additions'!$F$5:$AE$5,0))</f>
        <v>30900</v>
      </c>
      <c r="BT649" s="118">
        <f>INDEX('Gen. Plant Additions'!$F$7:$AE$91,MATCH($C649,'Gen. Plant Additions'!$D$7:$D$91,0),MATCH(Calculation!$G649,'Gen. Plant Additions'!$F$5:$AE$5,0))</f>
        <v>1610</v>
      </c>
      <c r="BU649" s="118"/>
      <c r="BV649" s="118"/>
      <c r="BW649" s="118">
        <f>INDEX('Dist Plant Depreciation'!$E$7:$AD$94,MATCH($C649,'Dist Plant Depreciation'!$D$7:$D$94,0),MATCH(Calculation!$G649,'Dist Plant Depreciation'!$E$5:$AD$5,0))</f>
        <v>260806</v>
      </c>
      <c r="BX649" s="118">
        <f>INDEX('Gen. Plant Depreciation'!$E$7:$AD$94,MATCH($C649,'Gen. Plant Depreciation'!$D$7:$D$94,0),MATCH(Calculation!$G649,'Gen. Plant Depreciation'!$E$5:$AD$5,0))</f>
        <v>11237</v>
      </c>
      <c r="BY649" s="118"/>
      <c r="BZ649" s="118"/>
      <c r="CA649" s="118"/>
      <c r="CB649" s="118"/>
      <c r="CC649" s="118"/>
      <c r="CD649" s="118"/>
      <c r="CE649" s="118">
        <f>INDEX('Gross Dx Plant'!$E$7:$AD$91,MATCH($C649,'Gross Dx Plant'!$D$7:$D$91,0),MATCH(Calculation!$G649,'Gross Dx Plant'!$E$5:$AD$5,0))</f>
        <v>714707</v>
      </c>
      <c r="CF649" s="118">
        <f>INDEX('Gross Gen Plant'!$E$7:$AD$91,MATCH($C649,'Gross Gen Plant'!$D$7:$D$91,0),MATCH(Calculation!$G649,'Gross Gen Plant'!$E$5:$AD$5,0))</f>
        <v>21473</v>
      </c>
      <c r="CG649" s="118">
        <f t="shared" si="1720"/>
        <v>464137</v>
      </c>
      <c r="CH649" s="118"/>
      <c r="CI649" s="121">
        <v>2011</v>
      </c>
      <c r="CJ649" s="118"/>
      <c r="CK649" s="118"/>
      <c r="CL649" s="118"/>
      <c r="CM649" s="183"/>
      <c r="CN649" s="118">
        <f t="shared" si="1860"/>
        <v>32510</v>
      </c>
      <c r="CO649" s="118">
        <f t="shared" si="1861"/>
        <v>53.154692918571413</v>
      </c>
      <c r="CP649" s="186">
        <v>0.92121212121212126</v>
      </c>
      <c r="CQ649" s="118">
        <f>+CQ636*CP649+CO637*CP648+CO638*CP647+CO639*CP646+CO640*CP645+CO641*CP644+CO642*CP643+CO643*CP642+CO644*CP641+CO645*CP640+CO646*CP639+CO647*CP638+CO648*CP637+CO649</f>
        <v>2322.2156567231009</v>
      </c>
      <c r="CR649" s="119">
        <f t="shared" si="1862"/>
        <v>1.5600020443643021E-2</v>
      </c>
      <c r="CS649" s="119"/>
      <c r="CT649" s="177">
        <f t="shared" si="1863"/>
        <v>7.5271881162172526E-3</v>
      </c>
      <c r="CU649" s="177">
        <f t="shared" si="1872"/>
        <v>7.2584918715926788E-3</v>
      </c>
      <c r="CV649" s="119">
        <f>VLOOKUP($H649,RoR!$E:$F,2,FALSE)</f>
        <v>4.6391666666666664E-2</v>
      </c>
      <c r="CW649" s="177">
        <v>2.0840920205183799E-2</v>
      </c>
      <c r="CX649" s="177">
        <f t="shared" si="1870"/>
        <v>2.5550746461482865E-2</v>
      </c>
      <c r="CY649" s="177">
        <f t="shared" si="1873"/>
        <v>2.3643449736940946E-2</v>
      </c>
      <c r="CZ649" s="177">
        <f t="shared" si="1874"/>
        <v>2.4810540821321614E-2</v>
      </c>
      <c r="DA649" s="187">
        <f t="shared" si="1864"/>
        <v>0.85131374874999999</v>
      </c>
      <c r="DB649" s="188">
        <f t="shared" si="1865"/>
        <v>1.1054151524782025</v>
      </c>
      <c r="DC649" s="188">
        <f t="shared" si="1866"/>
        <v>0.43611011316687626</v>
      </c>
      <c r="DD649" s="188">
        <f t="shared" si="1867"/>
        <v>0.83698442246886229</v>
      </c>
      <c r="DE649" s="188">
        <f t="shared" si="1868"/>
        <v>0.40349573304423936</v>
      </c>
      <c r="DF649" s="189">
        <f>INDEX('State Tax Lookup'!$D$7:$Z$91,MATCH(Calculation!$C649,'State Tax Lookup'!$B$7:$B$91,0),MATCH($H649,'State Tax Lookup'!$D$6:$Z$6,0))</f>
        <v>0.39649667</v>
      </c>
      <c r="DG649" s="189">
        <v>0.375</v>
      </c>
      <c r="DH649" s="190">
        <f t="shared" si="1871"/>
        <v>20.363405143025286</v>
      </c>
      <c r="DI649" s="190">
        <v>19.986267693078727</v>
      </c>
      <c r="DJ649" s="177"/>
      <c r="DK649" s="189">
        <f>VLOOKUP($H649,RoR!$E:$F,2,FALSE)</f>
        <v>4.6391666666666664E-2</v>
      </c>
      <c r="DL649" s="191">
        <f>HLOOKUP($H649,'GDP-PI'!$D$8:$CQ$11,3,FALSE)</f>
        <v>2.0840920205183799E-2</v>
      </c>
      <c r="DM649" s="189">
        <f>VLOOKUP(H649,'HW Dx Data'!$E:$F,2,FALSE)</f>
        <v>611.61109612283201</v>
      </c>
      <c r="DN649" s="183">
        <f>VLOOKUP(H649,'ECI - Input Price'!$G$17:$H$37,2,FALSE)</f>
        <v>114.3</v>
      </c>
      <c r="DO649" s="177">
        <f t="shared" ref="DO649" si="1909">LN(DN649/DN648)</f>
        <v>2.1444394205745516E-2</v>
      </c>
      <c r="DP649" s="183">
        <f>HLOOKUP(H649,'GDP-PI'!$8:$9,2,FALSE)</f>
        <v>98.111999999999995</v>
      </c>
      <c r="DQ649" s="177">
        <f t="shared" ref="DQ649" si="1910">LN(DP649/DP648)</f>
        <v>2.0626719212849295E-2</v>
      </c>
    </row>
    <row r="650" spans="1:121" s="167" customFormat="1" ht="21" x14ac:dyDescent="0.35">
      <c r="A650" s="167" t="s">
        <v>72</v>
      </c>
      <c r="B650" s="168" t="s">
        <v>72</v>
      </c>
      <c r="C650" s="168">
        <v>4004389</v>
      </c>
      <c r="D650" s="168" t="s">
        <v>136</v>
      </c>
      <c r="E650" s="168" t="s">
        <v>126</v>
      </c>
      <c r="F650" s="168"/>
      <c r="G650" s="168" t="s">
        <v>18</v>
      </c>
      <c r="H650" s="169">
        <v>2012</v>
      </c>
      <c r="I650" s="170"/>
      <c r="J650" s="166">
        <f>IFERROR(INDEX('Labor Expenditures'!$F$7:$X$91,MATCH($C650,'Labor Expenditures'!$D$7:$D$91,0),MATCH($G650,'Labor Expenditures'!$F$5:$X$5,0)),"NA")</f>
        <v>33777.018674359446</v>
      </c>
      <c r="K650" s="166">
        <f t="shared" si="1877"/>
        <v>289.93149076703389</v>
      </c>
      <c r="L650" s="172">
        <f t="shared" si="1884"/>
        <v>-7.8185853534180477E-2</v>
      </c>
      <c r="M650" s="172">
        <f t="shared" si="1888"/>
        <v>-9.7817822330124524E-4</v>
      </c>
      <c r="N650" s="196"/>
      <c r="O650" s="172"/>
      <c r="P650" s="166">
        <f>IFERROR(INDEX('Non-Labor Expenditures'!$F$7:$AB$91,MATCH($C650,'Non-Labor Expenditures'!$D$7:$D$91,0),MATCH($G650,'Non-Labor Expenditures'!$F$5:$AB$5,0)),"NA")</f>
        <v>48915.431717345149</v>
      </c>
      <c r="Q650" s="166">
        <f t="shared" si="1878"/>
        <v>489.15431717345149</v>
      </c>
      <c r="R650" s="172">
        <f t="shared" si="1889"/>
        <v>-7.8181654067932538E-2</v>
      </c>
      <c r="S650" s="172">
        <f t="shared" si="1894"/>
        <v>-9.7812568404705104E-4</v>
      </c>
      <c r="T650" s="172"/>
      <c r="U650" s="172"/>
      <c r="V650" s="166">
        <f t="shared" si="1858"/>
        <v>51004.75328503918</v>
      </c>
      <c r="W650" s="170"/>
      <c r="X650" s="174">
        <v>2359.6326838166897</v>
      </c>
      <c r="Y650" s="175">
        <v>1.5984210091296577E-2</v>
      </c>
      <c r="Z650" s="175">
        <f t="shared" si="1895"/>
        <v>1.9997743224921111E-4</v>
      </c>
      <c r="AA650" s="175"/>
      <c r="AB650" s="175"/>
      <c r="AC650" s="170">
        <f t="shared" si="1869"/>
        <v>133697.20367674378</v>
      </c>
      <c r="AD650" s="175">
        <f t="shared" si="1890"/>
        <v>-4.3866675095447123E-3</v>
      </c>
      <c r="AE650" s="170"/>
      <c r="AF650" s="170"/>
      <c r="AG650" s="121">
        <f t="shared" si="1891"/>
        <v>513.93142188134266</v>
      </c>
      <c r="AH650" s="119">
        <f>+AZ650/$BB$50</f>
        <v>7.1847412381270351E-3</v>
      </c>
      <c r="AI650" s="119">
        <f>+AZ650/$BC$50</f>
        <v>3.0659256633296689E-2</v>
      </c>
      <c r="AJ650" s="176">
        <f t="shared" si="1896"/>
        <v>3.6924642803601455</v>
      </c>
      <c r="AK650" s="176">
        <f t="shared" si="1897"/>
        <v>15.756755355375153</v>
      </c>
      <c r="AL650" s="120">
        <f t="shared" si="1879"/>
        <v>0.25263818348831224</v>
      </c>
      <c r="AM650" s="120">
        <f t="shared" si="1880"/>
        <v>0.36586727599489682</v>
      </c>
      <c r="AN650" s="120">
        <f t="shared" si="1881"/>
        <v>0.38149454051679094</v>
      </c>
      <c r="AO650" s="120">
        <f t="shared" si="1885"/>
        <v>-4.3897335671717927E-2</v>
      </c>
      <c r="AP650" s="173">
        <f t="shared" si="1901"/>
        <v>132.37122885531639</v>
      </c>
      <c r="AQ650" s="175">
        <f t="shared" si="1902"/>
        <v>-4.3897335671717823E-2</v>
      </c>
      <c r="AR650" s="177">
        <f>+AC650/$AE$50</f>
        <v>1.2510936174324879E-2</v>
      </c>
      <c r="AS650" s="177">
        <f t="shared" si="1898"/>
        <v>-5.4919676481177647E-4</v>
      </c>
      <c r="AT650" s="177"/>
      <c r="AU650" s="177"/>
      <c r="AV650" s="177"/>
      <c r="AW650" s="190"/>
      <c r="AX650" s="120"/>
      <c r="AY650" s="120"/>
      <c r="AZ650" s="118">
        <f>IFERROR(INDEX('Total Customers'!$F$7:$AB$91,MATCH($C650,'Total Customers'!$D$7:$D$91,0),MATCH($G650,'Total Customers'!$F$5:$AB$5,0)),"NA")</f>
        <v>260146</v>
      </c>
      <c r="BA650" s="119">
        <f t="shared" si="1859"/>
        <v>1.142318800357934E-3</v>
      </c>
      <c r="BB650" s="119"/>
      <c r="BC650" s="121">
        <v>8485072</v>
      </c>
      <c r="BD650" s="119"/>
      <c r="BE650" s="119"/>
      <c r="BF650" s="119"/>
      <c r="BG650" s="173"/>
      <c r="BH650" s="173"/>
      <c r="BI650" s="173"/>
      <c r="BJ650" s="173"/>
      <c r="BK650" s="173"/>
      <c r="BL650" s="173"/>
      <c r="BM650" s="173"/>
      <c r="BN650" s="173"/>
      <c r="BO650" s="173"/>
      <c r="BP650" s="173"/>
      <c r="BQ650" s="118"/>
      <c r="BR650" s="118"/>
      <c r="BS650" s="118">
        <f>INDEX('Dist. Plant Gas Additions'!$F$7:$AE$91,MATCH($C650,'Dist. Plant Gas Additions'!$D$7:$D$91,0),MATCH(Calculation!$G650,'Dist. Plant Gas Additions'!$F$5:$AE$5,0))</f>
        <v>35356</v>
      </c>
      <c r="BT650" s="118">
        <f>INDEX('Gen. Plant Additions'!$F$7:$AE$91,MATCH($C650,'Gen. Plant Additions'!$D$7:$D$91,0),MATCH(Calculation!$G650,'Gen. Plant Additions'!$F$5:$AE$5,0))</f>
        <v>1780</v>
      </c>
      <c r="BU650" s="118"/>
      <c r="BV650" s="118"/>
      <c r="BW650" s="118">
        <f>INDEX('Dist Plant Depreciation'!$E$7:$AD$94,MATCH($C650,'Dist Plant Depreciation'!$D$7:$D$94,0),MATCH(Calculation!$G650,'Dist Plant Depreciation'!$E$5:$AD$5,0))</f>
        <v>272699</v>
      </c>
      <c r="BX650" s="118">
        <f>INDEX('Gen. Plant Depreciation'!$E$7:$AD$94,MATCH($C650,'Gen. Plant Depreciation'!$D$7:$D$94,0),MATCH(Calculation!$G650,'Gen. Plant Depreciation'!$E$5:$AD$5,0))</f>
        <v>12438</v>
      </c>
      <c r="BY650" s="118"/>
      <c r="BZ650" s="118"/>
      <c r="CA650" s="118"/>
      <c r="CB650" s="118"/>
      <c r="CC650" s="118"/>
      <c r="CD650" s="118"/>
      <c r="CE650" s="118">
        <f>INDEX('Gross Dx Plant'!$E$7:$AD$91,MATCH($C650,'Gross Dx Plant'!$D$7:$D$91,0),MATCH(Calculation!$G650,'Gross Dx Plant'!$E$5:$AD$5,0))</f>
        <v>746932</v>
      </c>
      <c r="CF650" s="118">
        <f>INDEX('Gross Gen Plant'!$E$7:$AD$91,MATCH($C650,'Gross Gen Plant'!$D$7:$D$91,0),MATCH(Calculation!$G650,'Gross Gen Plant'!$E$5:$AD$5,0))</f>
        <v>23189</v>
      </c>
      <c r="CG650" s="118">
        <f t="shared" si="1720"/>
        <v>484984</v>
      </c>
      <c r="CH650" s="118"/>
      <c r="CI650" s="121">
        <v>2012</v>
      </c>
      <c r="CJ650" s="118"/>
      <c r="CK650" s="118"/>
      <c r="CL650" s="118"/>
      <c r="CM650" s="183"/>
      <c r="CN650" s="118">
        <f t="shared" si="1860"/>
        <v>37136</v>
      </c>
      <c r="CO650" s="118">
        <f t="shared" si="1861"/>
        <v>55.516410981693319</v>
      </c>
      <c r="CP650" s="186">
        <v>0.9135802469135802</v>
      </c>
      <c r="CQ650" s="118">
        <f>+CQ636*CP650+CO637*CP649+CO638*CP648+CO639*CP647+CO640*CP646+CO641*CP645+CO642*CP644+CO643*CP643+CO644*CP642+CO645*CP641+CO646*CP640+CO647*CP639+CO648*CP638+CO649*CP637+CO650</f>
        <v>2359.6326838166897</v>
      </c>
      <c r="CR650" s="119">
        <f t="shared" si="1862"/>
        <v>1.5984210091296577E-2</v>
      </c>
      <c r="CS650" s="119"/>
      <c r="CT650" s="177">
        <f t="shared" si="1863"/>
        <v>7.7940150974801087E-3</v>
      </c>
      <c r="CU650" s="177">
        <f t="shared" si="1872"/>
        <v>7.5247371653311855E-3</v>
      </c>
      <c r="CV650" s="119">
        <f>VLOOKUP($H650,RoR!$E:$F,2,FALSE)</f>
        <v>3.6733333333333333E-2</v>
      </c>
      <c r="CW650" s="177">
        <v>1.924331376386168E-2</v>
      </c>
      <c r="CX650" s="177">
        <f t="shared" si="1870"/>
        <v>1.7490019569471653E-2</v>
      </c>
      <c r="CY650" s="177">
        <f t="shared" si="1873"/>
        <v>2.3377204443202439E-2</v>
      </c>
      <c r="CZ650" s="177">
        <f t="shared" si="1874"/>
        <v>6.7122682943869583E-2</v>
      </c>
      <c r="DA650" s="187">
        <f t="shared" si="1864"/>
        <v>0.85131374874999999</v>
      </c>
      <c r="DB650" s="188">
        <f t="shared" si="1865"/>
        <v>1.3960631020522127</v>
      </c>
      <c r="DC650" s="188">
        <f t="shared" si="1866"/>
        <v>0.29441923774954631</v>
      </c>
      <c r="DD650" s="188">
        <f t="shared" si="1867"/>
        <v>0.76377954189366437</v>
      </c>
      <c r="DE650" s="188">
        <f t="shared" si="1868"/>
        <v>0.31393465103033691</v>
      </c>
      <c r="DF650" s="189">
        <f>INDEX('State Tax Lookup'!$D$7:$Z$91,MATCH(Calculation!$C650,'State Tax Lookup'!$B$7:$B$91,0),MATCH($H650,'State Tax Lookup'!$D$6:$Z$6,0))</f>
        <v>0.39649667</v>
      </c>
      <c r="DG650" s="189">
        <v>0.375</v>
      </c>
      <c r="DH650" s="190">
        <f t="shared" si="1871"/>
        <v>21.963831454401802</v>
      </c>
      <c r="DI650" s="190">
        <v>21.601802643389398</v>
      </c>
      <c r="DJ650" s="177"/>
      <c r="DK650" s="189">
        <f>VLOOKUP($H650,RoR!$E:$F,2,FALSE)</f>
        <v>3.6733333333333333E-2</v>
      </c>
      <c r="DL650" s="191">
        <f>HLOOKUP($H650,'GDP-PI'!$D$8:$CQ$11,3,FALSE)</f>
        <v>1.924331376386168E-2</v>
      </c>
      <c r="DM650" s="189">
        <f>VLOOKUP(H650,'HW Dx Data'!$E:$F,2,FALSE)</f>
        <v>668.91932211262167</v>
      </c>
      <c r="DN650" s="183">
        <f>VLOOKUP(H650,'ECI - Input Price'!$G$17:$H$37,2,FALSE)</f>
        <v>116.5</v>
      </c>
      <c r="DO650" s="177">
        <f t="shared" ref="DO650" si="1911">LN(DN650/DN649)</f>
        <v>1.9064702204990347E-2</v>
      </c>
      <c r="DP650" s="183">
        <f>HLOOKUP(H650,'GDP-PI'!$8:$9,2,FALSE)</f>
        <v>100</v>
      </c>
      <c r="DQ650" s="177">
        <f t="shared" ref="DQ650" si="1912">LN(DP650/DP649)</f>
        <v>1.9060502738742411E-2</v>
      </c>
    </row>
    <row r="651" spans="1:121" s="167" customFormat="1" ht="21" x14ac:dyDescent="0.35">
      <c r="A651" s="167" t="s">
        <v>72</v>
      </c>
      <c r="B651" s="168" t="s">
        <v>72</v>
      </c>
      <c r="C651" s="168">
        <v>4004389</v>
      </c>
      <c r="D651" s="168" t="s">
        <v>136</v>
      </c>
      <c r="E651" s="168" t="s">
        <v>126</v>
      </c>
      <c r="F651" s="168"/>
      <c r="G651" s="168" t="s">
        <v>19</v>
      </c>
      <c r="H651" s="169">
        <v>2013</v>
      </c>
      <c r="I651" s="170"/>
      <c r="J651" s="166">
        <f>IFERROR(INDEX('Labor Expenditures'!$F$7:$X$91,MATCH($C651,'Labor Expenditures'!$D$7:$D$91,0),MATCH($G651,'Labor Expenditures'!$F$5:$X$5,0)),"NA")</f>
        <v>34781.393269766566</v>
      </c>
      <c r="K651" s="166">
        <f t="shared" si="1877"/>
        <v>292.957618612479</v>
      </c>
      <c r="L651" s="172">
        <f t="shared" si="1884"/>
        <v>1.0383295843591257E-2</v>
      </c>
      <c r="M651" s="172">
        <f t="shared" si="1888"/>
        <v>1.2737423296529623E-4</v>
      </c>
      <c r="N651" s="196"/>
      <c r="O651" s="172"/>
      <c r="P651" s="166">
        <f>IFERROR(INDEX('Non-Labor Expenditures'!$F$7:$AB$91,MATCH($C651,'Non-Labor Expenditures'!$D$7:$D$91,0),MATCH($G651,'Non-Labor Expenditures'!$F$5:$AB$5,0)),"NA")</f>
        <v>50369.95372279283</v>
      </c>
      <c r="Q651" s="166">
        <f t="shared" si="1878"/>
        <v>494.92452539271545</v>
      </c>
      <c r="R651" s="172">
        <f t="shared" si="1889"/>
        <v>1.1727260256510988E-2</v>
      </c>
      <c r="S651" s="172">
        <f t="shared" si="1894"/>
        <v>1.4386094766619389E-4</v>
      </c>
      <c r="T651" s="172"/>
      <c r="U651" s="172"/>
      <c r="V651" s="166">
        <f t="shared" si="1858"/>
        <v>50829.24718301247</v>
      </c>
      <c r="W651" s="170"/>
      <c r="X651" s="174">
        <v>2393.1103095480726</v>
      </c>
      <c r="Y651" s="175">
        <v>1.4087940150974866E-2</v>
      </c>
      <c r="Z651" s="175">
        <f t="shared" si="1895"/>
        <v>1.7281994058745634E-4</v>
      </c>
      <c r="AA651" s="175"/>
      <c r="AB651" s="175"/>
      <c r="AC651" s="170">
        <f t="shared" si="1869"/>
        <v>135980.59417557187</v>
      </c>
      <c r="AD651" s="175">
        <f t="shared" si="1890"/>
        <v>1.6934616688626471E-2</v>
      </c>
      <c r="AE651" s="170"/>
      <c r="AF651" s="170"/>
      <c r="AG651" s="121">
        <f t="shared" si="1891"/>
        <v>519.7796514516607</v>
      </c>
      <c r="AH651" s="119">
        <f>+AZ651/$BB$51</f>
        <v>7.1790362202620297E-3</v>
      </c>
      <c r="AI651" s="119">
        <f>+AZ651/$BC$51</f>
        <v>3.0651953310405568E-2</v>
      </c>
      <c r="AJ651" s="176">
        <f t="shared" si="1896"/>
        <v>3.7315169443266454</v>
      </c>
      <c r="AK651" s="176">
        <f t="shared" si="1897"/>
        <v>15.932261607995184</v>
      </c>
      <c r="AL651" s="120">
        <f t="shared" si="1879"/>
        <v>0.25578203625775042</v>
      </c>
      <c r="AM651" s="120">
        <f t="shared" si="1880"/>
        <v>0.37042016199574385</v>
      </c>
      <c r="AN651" s="120">
        <f t="shared" si="1881"/>
        <v>0.37379780174650579</v>
      </c>
      <c r="AO651" s="120">
        <f t="shared" si="1885"/>
        <v>1.2277112638848967E-2</v>
      </c>
      <c r="AP651" s="173">
        <f t="shared" si="1901"/>
        <v>134.00638228503846</v>
      </c>
      <c r="AQ651" s="175">
        <f t="shared" si="1902"/>
        <v>1.2277112638848928E-2</v>
      </c>
      <c r="AR651" s="177">
        <f>+AC651/$AE$51</f>
        <v>1.226722563663769E-2</v>
      </c>
      <c r="AS651" s="177">
        <f t="shared" si="1898"/>
        <v>1.5060611090717617E-4</v>
      </c>
      <c r="AT651" s="177"/>
      <c r="AU651" s="177"/>
      <c r="AV651" s="177"/>
      <c r="AW651" s="190"/>
      <c r="AX651" s="120"/>
      <c r="AY651" s="120"/>
      <c r="AZ651" s="118">
        <f>IFERROR(INDEX('Total Customers'!$F$7:$AB$91,MATCH($C651,'Total Customers'!$D$7:$D$91,0),MATCH($G651,'Total Customers'!$F$5:$AB$5,0)),"NA")</f>
        <v>261612</v>
      </c>
      <c r="BA651" s="119">
        <f t="shared" si="1859"/>
        <v>5.61947821726689E-3</v>
      </c>
      <c r="BB651" s="119"/>
      <c r="BC651" s="121">
        <v>8534921</v>
      </c>
      <c r="BD651" s="119"/>
      <c r="BE651" s="119"/>
      <c r="BF651" s="119"/>
      <c r="BG651" s="173"/>
      <c r="BH651" s="173"/>
      <c r="BI651" s="173"/>
      <c r="BJ651" s="173"/>
      <c r="BK651" s="173"/>
      <c r="BL651" s="173"/>
      <c r="BM651" s="173"/>
      <c r="BN651" s="173"/>
      <c r="BO651" s="173"/>
      <c r="BP651" s="173"/>
      <c r="BQ651" s="118"/>
      <c r="BR651" s="118"/>
      <c r="BS651" s="118">
        <f>INDEX('Dist. Plant Gas Additions'!$F$7:$AE$91,MATCH($C651,'Dist. Plant Gas Additions'!$D$7:$D$91,0),MATCH(Calculation!$G651,'Dist. Plant Gas Additions'!$F$5:$AE$5,0))</f>
        <v>33014</v>
      </c>
      <c r="BT651" s="118">
        <f>INDEX('Gen. Plant Additions'!$F$7:$AE$91,MATCH($C651,'Gen. Plant Additions'!$D$7:$D$91,0),MATCH(Calculation!$G651,'Gen. Plant Additions'!$F$5:$AE$5,0))</f>
        <v>1821</v>
      </c>
      <c r="BU651" s="118"/>
      <c r="BV651" s="118"/>
      <c r="BW651" s="118">
        <f>INDEX('Dist Plant Depreciation'!$E$7:$AD$94,MATCH($C651,'Dist Plant Depreciation'!$D$7:$D$94,0),MATCH(Calculation!$G651,'Dist Plant Depreciation'!$E$5:$AD$5,0))</f>
        <v>283876</v>
      </c>
      <c r="BX651" s="118">
        <f>INDEX('Gen. Plant Depreciation'!$E$7:$AD$94,MATCH($C651,'Gen. Plant Depreciation'!$D$7:$D$94,0),MATCH(Calculation!$G651,'Gen. Plant Depreciation'!$E$5:$AD$5,0))</f>
        <v>13684</v>
      </c>
      <c r="BY651" s="118"/>
      <c r="BZ651" s="118"/>
      <c r="CA651" s="118"/>
      <c r="CB651" s="118"/>
      <c r="CC651" s="118"/>
      <c r="CD651" s="118"/>
      <c r="CE651" s="118">
        <f>INDEX('Gross Dx Plant'!$E$7:$AD$91,MATCH($C651,'Gross Dx Plant'!$D$7:$D$91,0),MATCH(Calculation!$G651,'Gross Dx Plant'!$E$5:$AD$5,0))</f>
        <v>776258</v>
      </c>
      <c r="CF651" s="118">
        <f>INDEX('Gross Gen Plant'!$E$7:$AD$91,MATCH($C651,'Gross Gen Plant'!$D$7:$D$91,0),MATCH(Calculation!$G651,'Gross Gen Plant'!$E$5:$AD$5,0))</f>
        <v>24945</v>
      </c>
      <c r="CG651" s="118">
        <f t="shared" si="1720"/>
        <v>503643</v>
      </c>
      <c r="CH651" s="118"/>
      <c r="CI651" s="121">
        <v>2013</v>
      </c>
      <c r="CJ651" s="118"/>
      <c r="CK651" s="118"/>
      <c r="CL651" s="118"/>
      <c r="CM651" s="183"/>
      <c r="CN651" s="118">
        <f t="shared" si="1860"/>
        <v>34835</v>
      </c>
      <c r="CO651" s="118">
        <f t="shared" si="1861"/>
        <v>52.521799844144553</v>
      </c>
      <c r="CP651" s="186">
        <v>0.90566037735849059</v>
      </c>
      <c r="CQ651" s="118">
        <f>+CQ636*CP651+CO637*CP650+CO638*CP649+CO639*CP648+CO640*CP647+CO641*CP646+CO642*CP645+CO643*CP644+CO644*CP643+CO645*CP642+CO646*CP641+CO647*CP640+CO648*CP639+CO649*CP638+CO650*CP637+CO651</f>
        <v>2393.1103095480726</v>
      </c>
      <c r="CR651" s="119">
        <f t="shared" si="1862"/>
        <v>1.4087940150974866E-2</v>
      </c>
      <c r="CS651" s="119"/>
      <c r="CT651" s="177">
        <f t="shared" si="1863"/>
        <v>8.0708214644483762E-3</v>
      </c>
      <c r="CU651" s="177">
        <f t="shared" si="1872"/>
        <v>7.7973415593819116E-3</v>
      </c>
      <c r="CV651" s="119">
        <f>VLOOKUP($H651,RoR!$E:$F,2,FALSE)</f>
        <v>4.2350000000000006E-2</v>
      </c>
      <c r="CW651" s="177">
        <v>1.7730000000000024E-2</v>
      </c>
      <c r="CX651" s="177">
        <f t="shared" si="1870"/>
        <v>2.4619999999999982E-2</v>
      </c>
      <c r="CY651" s="177">
        <f t="shared" si="1873"/>
        <v>2.3104600049151713E-2</v>
      </c>
      <c r="CZ651" s="177">
        <f t="shared" si="1874"/>
        <v>5.3376742735721204E-2</v>
      </c>
      <c r="DA651" s="187">
        <f t="shared" si="1864"/>
        <v>0.85131374874999999</v>
      </c>
      <c r="DB651" s="188">
        <f t="shared" si="1865"/>
        <v>1.2109103018193925</v>
      </c>
      <c r="DC651" s="188">
        <f t="shared" si="1866"/>
        <v>0.38468122786304604</v>
      </c>
      <c r="DD651" s="188">
        <f t="shared" si="1867"/>
        <v>0.80969194503422559</v>
      </c>
      <c r="DE651" s="188">
        <f t="shared" si="1868"/>
        <v>0.37716621754800816</v>
      </c>
      <c r="DF651" s="189">
        <f>INDEX('State Tax Lookup'!$D$7:$Z$91,MATCH(Calculation!$C651,'State Tax Lookup'!$B$7:$B$91,0),MATCH($H651,'State Tax Lookup'!$D$6:$Z$6,0))</f>
        <v>0.39649667</v>
      </c>
      <c r="DG651" s="189">
        <v>0.375</v>
      </c>
      <c r="DH651" s="190">
        <f t="shared" si="1871"/>
        <v>21.541169323352698</v>
      </c>
      <c r="DI651" s="190">
        <v>21.176603067030719</v>
      </c>
      <c r="DJ651" s="177"/>
      <c r="DK651" s="189">
        <f>VLOOKUP($H651,RoR!$E:$F,2,FALSE)</f>
        <v>4.2350000000000006E-2</v>
      </c>
      <c r="DL651" s="191">
        <f>HLOOKUP($H651,'GDP-PI'!$D$8:$CQ$11,3,FALSE)</f>
        <v>1.7730000000000024E-2</v>
      </c>
      <c r="DM651" s="189">
        <f>VLOOKUP(H651,'HW Dx Data'!$E:$F,2,FALSE)</f>
        <v>663.24840548821396</v>
      </c>
      <c r="DN651" s="183">
        <f>VLOOKUP(H651,'ECI - Input Price'!$G$17:$H$37,2,FALSE)</f>
        <v>118.72499999999999</v>
      </c>
      <c r="DO651" s="177">
        <f t="shared" ref="DO651" si="1913">LN(DN651/DN650)</f>
        <v>1.8918621429430321E-2</v>
      </c>
      <c r="DP651" s="183">
        <f>HLOOKUP(H651,'GDP-PI'!$8:$9,2,FALSE)</f>
        <v>101.773</v>
      </c>
      <c r="DQ651" s="177">
        <f t="shared" ref="DQ651" si="1914">LN(DP651/DP650)</f>
        <v>1.7574657016510519E-2</v>
      </c>
    </row>
    <row r="652" spans="1:121" s="167" customFormat="1" ht="21" x14ac:dyDescent="0.35">
      <c r="A652" s="167" t="s">
        <v>72</v>
      </c>
      <c r="B652" s="168" t="s">
        <v>72</v>
      </c>
      <c r="C652" s="168">
        <v>4004389</v>
      </c>
      <c r="D652" s="168" t="s">
        <v>136</v>
      </c>
      <c r="E652" s="168" t="s">
        <v>126</v>
      </c>
      <c r="F652" s="168"/>
      <c r="G652" s="168" t="s">
        <v>20</v>
      </c>
      <c r="H652" s="169">
        <v>2014</v>
      </c>
      <c r="I652" s="170"/>
      <c r="J652" s="166">
        <f>IFERROR(INDEX('Labor Expenditures'!$F$7:$X$91,MATCH($C652,'Labor Expenditures'!$D$7:$D$91,0),MATCH($G652,'Labor Expenditures'!$F$5:$X$5,0)),"NA")</f>
        <v>32932.47249775564</v>
      </c>
      <c r="K652" s="166">
        <f t="shared" si="1877"/>
        <v>271.72007011349535</v>
      </c>
      <c r="L652" s="172">
        <f t="shared" si="1884"/>
        <v>-7.525556982208334E-2</v>
      </c>
      <c r="M652" s="172">
        <f t="shared" si="1888"/>
        <v>-8.8107894312921891E-4</v>
      </c>
      <c r="N652" s="196"/>
      <c r="O652" s="172"/>
      <c r="P652" s="166">
        <f>IFERROR(INDEX('Non-Labor Expenditures'!$F$7:$AB$91,MATCH($C652,'Non-Labor Expenditures'!$D$7:$D$91,0),MATCH($G652,'Non-Labor Expenditures'!$F$5:$AB$5,0)),"NA")</f>
        <v>47692.371114155547</v>
      </c>
      <c r="Q652" s="166">
        <f t="shared" si="1878"/>
        <v>460.14232070542846</v>
      </c>
      <c r="R652" s="172">
        <f t="shared" si="1889"/>
        <v>-7.2869442520310648E-2</v>
      </c>
      <c r="S652" s="172">
        <f t="shared" si="1894"/>
        <v>-8.5314258537938059E-4</v>
      </c>
      <c r="T652" s="172"/>
      <c r="U652" s="172"/>
      <c r="V652" s="166">
        <f t="shared" si="1858"/>
        <v>52607.911704386905</v>
      </c>
      <c r="W652" s="170"/>
      <c r="X652" s="174">
        <v>2465.4287510489012</v>
      </c>
      <c r="Y652" s="175">
        <v>2.9771823262025654E-2</v>
      </c>
      <c r="Z652" s="175">
        <f t="shared" si="1895"/>
        <v>3.4856325766651782E-4</v>
      </c>
      <c r="AA652" s="175"/>
      <c r="AB652" s="175"/>
      <c r="AC652" s="170">
        <f t="shared" si="1869"/>
        <v>133232.75531629811</v>
      </c>
      <c r="AD652" s="175">
        <f t="shared" si="1890"/>
        <v>-2.0414547011173879E-2</v>
      </c>
      <c r="AE652" s="170"/>
      <c r="AF652" s="170"/>
      <c r="AG652" s="121">
        <f t="shared" si="1891"/>
        <v>507.22679614380877</v>
      </c>
      <c r="AH652" s="119">
        <f>+AZ652/$BB$52</f>
        <v>7.1693485943921977E-3</v>
      </c>
      <c r="AI652" s="119">
        <f>+AZ652/$BC$52</f>
        <v>3.054378067093547E-2</v>
      </c>
      <c r="AJ652" s="176">
        <f t="shared" si="1896"/>
        <v>3.6364857179716732</v>
      </c>
      <c r="AK652" s="176">
        <f t="shared" si="1897"/>
        <v>15.492624011837792</v>
      </c>
      <c r="AL652" s="120">
        <f t="shared" si="1879"/>
        <v>0.24718000029026702</v>
      </c>
      <c r="AM652" s="120">
        <f t="shared" si="1880"/>
        <v>0.35796280727612806</v>
      </c>
      <c r="AN652" s="120">
        <f t="shared" si="1881"/>
        <v>0.39485719243360479</v>
      </c>
      <c r="AO652" s="120">
        <f t="shared" si="1885"/>
        <v>-3.402164746761141E-2</v>
      </c>
      <c r="AP652" s="173">
        <f t="shared" si="1901"/>
        <v>129.5239466604898</v>
      </c>
      <c r="AQ652" s="175">
        <f t="shared" si="1902"/>
        <v>-3.4021647467611368E-2</v>
      </c>
      <c r="AR652" s="177">
        <f>+AC652/$AE$52</f>
        <v>1.1707823689492164E-2</v>
      </c>
      <c r="AS652" s="177">
        <f t="shared" si="1898"/>
        <v>-3.9831945017685148E-4</v>
      </c>
      <c r="AT652" s="177"/>
      <c r="AU652" s="177"/>
      <c r="AV652" s="177"/>
      <c r="AW652" s="190"/>
      <c r="AX652" s="120"/>
      <c r="AY652" s="120"/>
      <c r="AZ652" s="118">
        <f>IFERROR(INDEX('Total Customers'!$F$7:$AB$91,MATCH($C652,'Total Customers'!$D$7:$D$91,0),MATCH($G652,'Total Customers'!$F$5:$AB$5,0)),"NA")</f>
        <v>262669</v>
      </c>
      <c r="BA652" s="119">
        <f t="shared" si="1859"/>
        <v>4.0321943084357225E-3</v>
      </c>
      <c r="BB652" s="119"/>
      <c r="BC652" s="121">
        <v>8599754</v>
      </c>
      <c r="BD652" s="119"/>
      <c r="BE652" s="119"/>
      <c r="BF652" s="119"/>
      <c r="BG652" s="173"/>
      <c r="BH652" s="173"/>
      <c r="BI652" s="173"/>
      <c r="BJ652" s="173"/>
      <c r="BK652" s="173"/>
      <c r="BL652" s="173"/>
      <c r="BM652" s="173"/>
      <c r="BN652" s="173"/>
      <c r="BO652" s="173"/>
      <c r="BP652" s="173"/>
      <c r="BQ652" s="118"/>
      <c r="BR652" s="118"/>
      <c r="BS652" s="118">
        <f>INDEX('Dist. Plant Gas Additions'!$F$7:$AE$91,MATCH($C652,'Dist. Plant Gas Additions'!$D$7:$D$91,0),MATCH(Calculation!$G652,'Dist. Plant Gas Additions'!$F$5:$AE$5,0))</f>
        <v>66849</v>
      </c>
      <c r="BT652" s="118">
        <f>INDEX('Gen. Plant Additions'!$F$7:$AE$91,MATCH($C652,'Gen. Plant Additions'!$D$7:$D$91,0),MATCH(Calculation!$G652,'Gen. Plant Additions'!$F$5:$AE$5,0))</f>
        <v>-3646</v>
      </c>
      <c r="BU652" s="118"/>
      <c r="BV652" s="118"/>
      <c r="BW652" s="118">
        <f>INDEX('Dist Plant Depreciation'!$E$7:$AD$94,MATCH($C652,'Dist Plant Depreciation'!$D$7:$D$94,0),MATCH(Calculation!$G652,'Dist Plant Depreciation'!$E$5:$AD$5,0))</f>
        <v>305419</v>
      </c>
      <c r="BX652" s="118">
        <f>INDEX('Gen. Plant Depreciation'!$E$7:$AD$94,MATCH($C652,'Gen. Plant Depreciation'!$D$7:$D$94,0),MATCH(Calculation!$G652,'Gen. Plant Depreciation'!$E$5:$AD$5,0))</f>
        <v>10517</v>
      </c>
      <c r="BY652" s="118"/>
      <c r="BZ652" s="118"/>
      <c r="CA652" s="118"/>
      <c r="CB652" s="118"/>
      <c r="CC652" s="118"/>
      <c r="CD652" s="118"/>
      <c r="CE652" s="118">
        <f>INDEX('Gross Dx Plant'!$E$7:$AD$91,MATCH($C652,'Gross Dx Plant'!$D$7:$D$91,0),MATCH(Calculation!$G652,'Gross Dx Plant'!$E$5:$AD$5,0))</f>
        <v>843107</v>
      </c>
      <c r="CF652" s="118">
        <f>INDEX('Gross Gen Plant'!$E$7:$AD$91,MATCH($C652,'Gross Gen Plant'!$D$7:$D$91,0),MATCH(Calculation!$G652,'Gross Gen Plant'!$E$5:$AD$5,0))</f>
        <v>21299</v>
      </c>
      <c r="CG652" s="118">
        <f t="shared" si="1720"/>
        <v>548470</v>
      </c>
      <c r="CH652" s="118"/>
      <c r="CI652" s="121">
        <v>2014</v>
      </c>
      <c r="CJ652" s="118"/>
      <c r="CK652" s="118"/>
      <c r="CL652" s="118"/>
      <c r="CM652" s="183"/>
      <c r="CN652" s="118">
        <f t="shared" si="1860"/>
        <v>63203</v>
      </c>
      <c r="CO652" s="118">
        <f t="shared" si="1861"/>
        <v>92.338713381285629</v>
      </c>
      <c r="CP652" s="186">
        <v>0.89743589743589747</v>
      </c>
      <c r="CQ652" s="118">
        <f>+CQ636*CP652+CO637*CP651+CO638*CP650+CO639*CP649+CO640*CP648+CO641*CP647+CO642*CP646+CO643*CP645+CO644*CP644+CO645*CP643+CO646*CP642+CO647*CP641+CO648*CP640+CO649*CP639+CO650*CP638+CO651*CP637+CO652</f>
        <v>2465.4287510489012</v>
      </c>
      <c r="CR652" s="119">
        <f t="shared" si="1862"/>
        <v>2.9771823262025654E-2</v>
      </c>
      <c r="CS652" s="119"/>
      <c r="CT652" s="177">
        <f t="shared" si="1863"/>
        <v>8.3657956762710831E-3</v>
      </c>
      <c r="CU652" s="177">
        <f t="shared" si="1872"/>
        <v>8.0768774127331893E-3</v>
      </c>
      <c r="CV652" s="119">
        <f>VLOOKUP($H652,RoR!$E:$F,2,FALSE)</f>
        <v>4.1625000000000002E-2</v>
      </c>
      <c r="CW652" s="177">
        <v>1.841352814597208E-2</v>
      </c>
      <c r="CX652" s="177">
        <f t="shared" si="1870"/>
        <v>2.3211471854027922E-2</v>
      </c>
      <c r="CY652" s="177">
        <f t="shared" si="1873"/>
        <v>2.2825064195800437E-2</v>
      </c>
      <c r="CZ652" s="177">
        <f t="shared" si="1874"/>
        <v>3.9072621432650924E-2</v>
      </c>
      <c r="DA652" s="187">
        <f t="shared" si="1864"/>
        <v>0.85131374874999999</v>
      </c>
      <c r="DB652" s="188">
        <f t="shared" si="1865"/>
        <v>1.2320012320012319</v>
      </c>
      <c r="DC652" s="188">
        <f t="shared" si="1866"/>
        <v>0.37439939939939942</v>
      </c>
      <c r="DD652" s="188">
        <f t="shared" si="1867"/>
        <v>0.80432100613819935</v>
      </c>
      <c r="DE652" s="188">
        <f t="shared" si="1868"/>
        <v>0.37100152660040037</v>
      </c>
      <c r="DF652" s="189">
        <f>INDEX('State Tax Lookup'!$D$7:$Z$91,MATCH(Calculation!$C652,'State Tax Lookup'!$B$7:$B$91,0),MATCH($H652,'State Tax Lookup'!$D$6:$Z$6,0))</f>
        <v>0.39649667</v>
      </c>
      <c r="DG652" s="189">
        <v>0.375</v>
      </c>
      <c r="DH652" s="190">
        <f t="shared" si="1871"/>
        <v>21.98307010524795</v>
      </c>
      <c r="DI652" s="190">
        <v>21.581422067924404</v>
      </c>
      <c r="DJ652" s="177"/>
      <c r="DK652" s="189">
        <f>VLOOKUP($H652,RoR!$E:$F,2,FALSE)</f>
        <v>4.1625000000000002E-2</v>
      </c>
      <c r="DL652" s="191">
        <f>HLOOKUP($H652,'GDP-PI'!$D$8:$CQ$11,3,FALSE)</f>
        <v>1.841352814597208E-2</v>
      </c>
      <c r="DM652" s="189">
        <f>VLOOKUP(H652,'HW Dx Data'!$E:$F,2,FALSE)</f>
        <v>684.46914285042885</v>
      </c>
      <c r="DN652" s="183">
        <f>VLOOKUP(H652,'ECI - Input Price'!$G$17:$H$37,2,FALSE)</f>
        <v>121.2</v>
      </c>
      <c r="DO652" s="177">
        <f t="shared" ref="DO652" si="1915">LN(DN652/DN651)</f>
        <v>2.0632179200028689E-2</v>
      </c>
      <c r="DP652" s="183">
        <f>HLOOKUP(H652,'GDP-PI'!$8:$9,2,FALSE)</f>
        <v>103.64700000000001</v>
      </c>
      <c r="DQ652" s="177">
        <f t="shared" ref="DQ652" si="1916">LN(DP652/DP651)</f>
        <v>1.8246051898256087E-2</v>
      </c>
    </row>
    <row r="653" spans="1:121" s="167" customFormat="1" ht="21" x14ac:dyDescent="0.35">
      <c r="A653" s="167" t="s">
        <v>72</v>
      </c>
      <c r="B653" s="168" t="s">
        <v>72</v>
      </c>
      <c r="C653" s="168">
        <v>4004389</v>
      </c>
      <c r="D653" s="168" t="s">
        <v>136</v>
      </c>
      <c r="E653" s="168" t="s">
        <v>126</v>
      </c>
      <c r="F653" s="168"/>
      <c r="G653" s="168" t="s">
        <v>21</v>
      </c>
      <c r="H653" s="169">
        <v>2015</v>
      </c>
      <c r="I653" s="170"/>
      <c r="J653" s="166">
        <f>IFERROR(INDEX('Labor Expenditures'!$F$7:$X$91,MATCH($C653,'Labor Expenditures'!$D$7:$D$91,0),MATCH($G653,'Labor Expenditures'!$F$5:$X$5,0)),"NA")</f>
        <v>32941.724118960781</v>
      </c>
      <c r="K653" s="166">
        <f t="shared" si="1877"/>
        <v>266.19575045624873</v>
      </c>
      <c r="L653" s="172">
        <f t="shared" si="1884"/>
        <v>-2.0540440250893958E-2</v>
      </c>
      <c r="M653" s="172">
        <f t="shared" si="1888"/>
        <v>-2.3877434209943794E-4</v>
      </c>
      <c r="N653" s="196"/>
      <c r="O653" s="172"/>
      <c r="P653" s="166">
        <f>IFERROR(INDEX('Non-Labor Expenditures'!$F$7:$AB$91,MATCH($C653,'Non-Labor Expenditures'!$D$7:$D$91,0),MATCH($G653,'Non-Labor Expenditures'!$F$5:$AB$5,0)),"NA")</f>
        <v>47705.769189625069</v>
      </c>
      <c r="Q653" s="166">
        <f t="shared" si="1878"/>
        <v>455.90811446616527</v>
      </c>
      <c r="R653" s="172">
        <f t="shared" si="1889"/>
        <v>-9.2445486227513852E-3</v>
      </c>
      <c r="S653" s="172">
        <f t="shared" si="1894"/>
        <v>-1.0746415307761764E-4</v>
      </c>
      <c r="T653" s="172"/>
      <c r="U653" s="172"/>
      <c r="V653" s="166">
        <f t="shared" si="1858"/>
        <v>52974.206136830588</v>
      </c>
      <c r="W653" s="170"/>
      <c r="X653" s="174">
        <v>2493.8274348552613</v>
      </c>
      <c r="Y653" s="175">
        <v>1.1452924858557794E-2</v>
      </c>
      <c r="Z653" s="175">
        <f t="shared" si="1895"/>
        <v>1.3313563705614432E-4</v>
      </c>
      <c r="AA653" s="175"/>
      <c r="AB653" s="175"/>
      <c r="AC653" s="170">
        <f t="shared" si="1869"/>
        <v>133621.69944541645</v>
      </c>
      <c r="AD653" s="175">
        <f t="shared" si="1890"/>
        <v>2.9150302541021086E-3</v>
      </c>
      <c r="AE653" s="170"/>
      <c r="AF653" s="170"/>
      <c r="AG653" s="121">
        <f t="shared" si="1891"/>
        <v>507.07050947535242</v>
      </c>
      <c r="AH653" s="119">
        <f>+AZ653/$BB$53</f>
        <v>7.1341761794593448E-3</v>
      </c>
      <c r="AI653" s="119">
        <f>+AZ653/$BC$53</f>
        <v>3.043234586837976E-2</v>
      </c>
      <c r="AJ653" s="176">
        <f t="shared" si="1896"/>
        <v>3.6175303500053735</v>
      </c>
      <c r="AK653" s="176">
        <f t="shared" si="1897"/>
        <v>15.431345124009461</v>
      </c>
      <c r="AL653" s="120">
        <f t="shared" si="1879"/>
        <v>0.24652974970144911</v>
      </c>
      <c r="AM653" s="120">
        <f t="shared" si="1880"/>
        <v>0.35702112297346245</v>
      </c>
      <c r="AN653" s="120">
        <f t="shared" si="1881"/>
        <v>0.3964491273250883</v>
      </c>
      <c r="AO653" s="120">
        <f t="shared" si="1885"/>
        <v>-3.8439737541843214E-3</v>
      </c>
      <c r="AP653" s="173">
        <f t="shared" si="1901"/>
        <v>129.0270157156364</v>
      </c>
      <c r="AQ653" s="175">
        <f t="shared" si="1902"/>
        <v>-3.843973754184197E-3</v>
      </c>
      <c r="AR653" s="177">
        <f>+AC653/$AE$53</f>
        <v>1.1624597096405762E-2</v>
      </c>
      <c r="AS653" s="177">
        <f t="shared" si="1898"/>
        <v>-4.4684646141549575E-5</v>
      </c>
      <c r="AT653" s="177"/>
      <c r="AU653" s="177"/>
      <c r="AV653" s="177"/>
      <c r="AW653" s="190"/>
      <c r="AX653" s="120"/>
      <c r="AY653" s="120"/>
      <c r="AZ653" s="118">
        <f>IFERROR(INDEX('Total Customers'!$F$7:$AB$91,MATCH($C653,'Total Customers'!$D$7:$D$91,0),MATCH($G653,'Total Customers'!$F$5:$AB$5,0)),"NA")</f>
        <v>263517</v>
      </c>
      <c r="BA653" s="119">
        <f t="shared" si="1859"/>
        <v>3.2231976303287099E-3</v>
      </c>
      <c r="BB653" s="119"/>
      <c r="BC653" s="121">
        <v>8659109</v>
      </c>
      <c r="BD653" s="119"/>
      <c r="BE653" s="119"/>
      <c r="BF653" s="119"/>
      <c r="BG653" s="173"/>
      <c r="BH653" s="173"/>
      <c r="BI653" s="173"/>
      <c r="BJ653" s="173"/>
      <c r="BK653" s="173"/>
      <c r="BL653" s="173"/>
      <c r="BM653" s="173"/>
      <c r="BN653" s="173"/>
      <c r="BO653" s="173"/>
      <c r="BP653" s="173"/>
      <c r="BQ653" s="118"/>
      <c r="BR653" s="118"/>
      <c r="BS653" s="118">
        <f>INDEX('Dist. Plant Gas Additions'!$F$7:$AE$91,MATCH($C653,'Dist. Plant Gas Additions'!$D$7:$D$91,0),MATCH(Calculation!$G653,'Dist. Plant Gas Additions'!$F$5:$AE$5,0))</f>
        <v>32774</v>
      </c>
      <c r="BT653" s="118">
        <f>INDEX('Gen. Plant Additions'!$F$7:$AE$91,MATCH($C653,'Gen. Plant Additions'!$D$7:$D$91,0),MATCH(Calculation!$G653,'Gen. Plant Additions'!$F$5:$AE$5,0))</f>
        <v>765</v>
      </c>
      <c r="BU653" s="118"/>
      <c r="BV653" s="118"/>
      <c r="BW653" s="118">
        <f>INDEX('Dist Plant Depreciation'!$E$7:$AD$94,MATCH($C653,'Dist Plant Depreciation'!$D$7:$D$94,0),MATCH(Calculation!$G653,'Dist Plant Depreciation'!$E$5:$AD$5,0))</f>
        <v>316925</v>
      </c>
      <c r="BX653" s="118">
        <f>INDEX('Gen. Plant Depreciation'!$E$7:$AD$94,MATCH($C653,'Gen. Plant Depreciation'!$D$7:$D$94,0),MATCH(Calculation!$G653,'Gen. Plant Depreciation'!$E$5:$AD$5,0))</f>
        <v>10763</v>
      </c>
      <c r="BY653" s="118"/>
      <c r="BZ653" s="118"/>
      <c r="CA653" s="118"/>
      <c r="CB653" s="118"/>
      <c r="CC653" s="118"/>
      <c r="CD653" s="118"/>
      <c r="CE653" s="118">
        <f>INDEX('Gross Dx Plant'!$E$7:$AD$91,MATCH($C653,'Gross Dx Plant'!$D$7:$D$91,0),MATCH(Calculation!$G653,'Gross Dx Plant'!$E$5:$AD$5,0))</f>
        <v>871365</v>
      </c>
      <c r="CF653" s="118">
        <f>INDEX('Gross Gen Plant'!$E$7:$AD$91,MATCH($C653,'Gross Gen Plant'!$D$7:$D$91,0),MATCH(Calculation!$G653,'Gross Gen Plant'!$E$5:$AD$5,0))</f>
        <v>21062</v>
      </c>
      <c r="CG653" s="118">
        <f t="shared" si="1720"/>
        <v>564739</v>
      </c>
      <c r="CH653" s="118"/>
      <c r="CI653" s="121">
        <v>2015</v>
      </c>
      <c r="CJ653" s="118"/>
      <c r="CK653" s="118"/>
      <c r="CL653" s="118"/>
      <c r="CM653" s="183"/>
      <c r="CN653" s="118">
        <f t="shared" si="1860"/>
        <v>33539</v>
      </c>
      <c r="CO653" s="118">
        <f t="shared" si="1861"/>
        <v>49.642204827286676</v>
      </c>
      <c r="CP653" s="186">
        <v>0.88888888888888884</v>
      </c>
      <c r="CQ653" s="118">
        <f>+CQ636*CP653+CO637*CP652+CO638*CP651+CO639*CP650+CO640*CP649+CO641*CP648+CO642*CP647+CO643*CP646+CO644*CP645+CO645*CP644+CO646*CP643+CO647*CP642+CO648*CP641+CO649*CP640+CO650*CP639+CO651*CP638+CO652*CP637+CO653</f>
        <v>2493.8274348552613</v>
      </c>
      <c r="CR653" s="119">
        <f t="shared" si="1862"/>
        <v>1.1452924858557794E-2</v>
      </c>
      <c r="CS653" s="119"/>
      <c r="CT653" s="177">
        <f t="shared" si="1863"/>
        <v>8.6165625398375786E-3</v>
      </c>
      <c r="CU653" s="177">
        <f t="shared" si="1872"/>
        <v>8.3510598935190115E-3</v>
      </c>
      <c r="CV653" s="119">
        <f>VLOOKUP($H653,RoR!$E:$F,2,FALSE)</f>
        <v>3.8866666666666674E-2</v>
      </c>
      <c r="CW653" s="177">
        <v>9.5709475431029478E-3</v>
      </c>
      <c r="CX653" s="177">
        <f t="shared" si="1870"/>
        <v>2.9295719123563727E-2</v>
      </c>
      <c r="CY653" s="177">
        <f t="shared" si="1873"/>
        <v>2.2550881715014612E-2</v>
      </c>
      <c r="CZ653" s="177">
        <f t="shared" si="1874"/>
        <v>3.5270373279175926E-3</v>
      </c>
      <c r="DA653" s="187">
        <f t="shared" si="1864"/>
        <v>0.85131374874999999</v>
      </c>
      <c r="DB653" s="188">
        <f t="shared" si="1865"/>
        <v>1.3194352816994324</v>
      </c>
      <c r="DC653" s="188">
        <f t="shared" si="1866"/>
        <v>0.33177530017152673</v>
      </c>
      <c r="DD653" s="188">
        <f t="shared" si="1867"/>
        <v>0.78242572977668579</v>
      </c>
      <c r="DE653" s="188">
        <f t="shared" si="1868"/>
        <v>0.34251158643433932</v>
      </c>
      <c r="DF653" s="189">
        <f>INDEX('State Tax Lookup'!$D$7:$Z$91,MATCH(Calculation!$C653,'State Tax Lookup'!$B$7:$B$91,0),MATCH($H653,'State Tax Lookup'!$D$6:$Z$6,0))</f>
        <v>0.39649667</v>
      </c>
      <c r="DG653" s="189">
        <v>0.375</v>
      </c>
      <c r="DH653" s="190">
        <f t="shared" si="1871"/>
        <v>21.486812837034144</v>
      </c>
      <c r="DI653" s="190">
        <v>21.087128276249434</v>
      </c>
      <c r="DJ653" s="177"/>
      <c r="DK653" s="189">
        <f>VLOOKUP($H653,RoR!$E:$F,2,FALSE)</f>
        <v>3.8866666666666674E-2</v>
      </c>
      <c r="DL653" s="191">
        <f>HLOOKUP($H653,'GDP-PI'!$D$8:$CQ$11,3,FALSE)</f>
        <v>9.5709475431029478E-3</v>
      </c>
      <c r="DM653" s="189">
        <f>VLOOKUP(H653,'HW Dx Data'!$E:$F,2,FALSE)</f>
        <v>675.61463308665782</v>
      </c>
      <c r="DN653" s="183">
        <f>VLOOKUP(H653,'ECI - Input Price'!$G$17:$H$37,2,FALSE)</f>
        <v>123.75</v>
      </c>
      <c r="DO653" s="177">
        <f t="shared" ref="DO653" si="1917">LN(DN653/DN652)</f>
        <v>2.0821327813585516E-2</v>
      </c>
      <c r="DP653" s="183">
        <f>HLOOKUP(H653,'GDP-PI'!$8:$9,2,FALSE)</f>
        <v>104.639</v>
      </c>
      <c r="DQ653" s="177">
        <f t="shared" ref="DQ653" si="1918">LN(DP653/DP652)</f>
        <v>9.5254361854427965E-3</v>
      </c>
    </row>
    <row r="654" spans="1:121" s="167" customFormat="1" ht="21" x14ac:dyDescent="0.35">
      <c r="A654" s="167" t="s">
        <v>72</v>
      </c>
      <c r="B654" s="168" t="s">
        <v>72</v>
      </c>
      <c r="C654" s="168">
        <v>4004389</v>
      </c>
      <c r="D654" s="168" t="s">
        <v>136</v>
      </c>
      <c r="E654" s="168" t="s">
        <v>126</v>
      </c>
      <c r="F654" s="168"/>
      <c r="G654" s="168" t="s">
        <v>22</v>
      </c>
      <c r="H654" s="169">
        <v>2016</v>
      </c>
      <c r="I654" s="170"/>
      <c r="J654" s="166">
        <f>IFERROR(INDEX('Labor Expenditures'!$F$7:$X$91,MATCH($C654,'Labor Expenditures'!$D$7:$D$91,0),MATCH($G654,'Labor Expenditures'!$F$5:$X$5,0)),"NA")</f>
        <v>36901.742106000733</v>
      </c>
      <c r="K654" s="166">
        <f t="shared" si="1877"/>
        <v>291.94416223101842</v>
      </c>
      <c r="L654" s="172">
        <f t="shared" si="1884"/>
        <v>9.233061663816422E-2</v>
      </c>
      <c r="M654" s="172">
        <f t="shared" si="1888"/>
        <v>1.108971826764711E-3</v>
      </c>
      <c r="N654" s="196"/>
      <c r="O654" s="172"/>
      <c r="P654" s="166">
        <f>IFERROR(INDEX('Non-Labor Expenditures'!$F$7:$AB$91,MATCH($C654,'Non-Labor Expenditures'!$D$7:$D$91,0),MATCH($G654,'Non-Labor Expenditures'!$F$5:$AB$5,0)),"NA")</f>
        <v>53440.614864194809</v>
      </c>
      <c r="Q654" s="166">
        <f t="shared" si="1878"/>
        <v>505.41551471773857</v>
      </c>
      <c r="R654" s="172">
        <f t="shared" si="1889"/>
        <v>0.10308960653491697</v>
      </c>
      <c r="S654" s="172">
        <f t="shared" si="1894"/>
        <v>1.2381967481870728E-3</v>
      </c>
      <c r="T654" s="172"/>
      <c r="U654" s="172"/>
      <c r="V654" s="166">
        <f t="shared" si="1858"/>
        <v>52561.707026464268</v>
      </c>
      <c r="W654" s="170"/>
      <c r="X654" s="174">
        <v>2546.5096222235056</v>
      </c>
      <c r="Y654" s="175">
        <v>2.0904993197711049E-2</v>
      </c>
      <c r="Z654" s="175">
        <f t="shared" si="1895"/>
        <v>2.5108733526411789E-4</v>
      </c>
      <c r="AA654" s="175"/>
      <c r="AB654" s="175"/>
      <c r="AC654" s="170">
        <f t="shared" si="1869"/>
        <v>142904.06399665982</v>
      </c>
      <c r="AD654" s="175">
        <f t="shared" si="1890"/>
        <v>6.716085506390447E-2</v>
      </c>
      <c r="AE654" s="170"/>
      <c r="AF654" s="170"/>
      <c r="AG654" s="121">
        <f t="shared" si="1891"/>
        <v>539.60270660894389</v>
      </c>
      <c r="AH654" s="119">
        <f>+AZ654/$BB$54</f>
        <v>7.107828666251796E-3</v>
      </c>
      <c r="AI654" s="119">
        <f>+AZ654/$BC$54</f>
        <v>3.0235142302061667E-2</v>
      </c>
      <c r="AJ654" s="176">
        <f t="shared" si="1896"/>
        <v>3.835403586422109</v>
      </c>
      <c r="AK654" s="176">
        <f t="shared" si="1897"/>
        <v>16.314964620899051</v>
      </c>
      <c r="AL654" s="120">
        <f t="shared" si="1879"/>
        <v>0.25822738048137844</v>
      </c>
      <c r="AM654" s="120">
        <f t="shared" si="1880"/>
        <v>0.37396147715885747</v>
      </c>
      <c r="AN654" s="120">
        <f t="shared" si="1881"/>
        <v>0.36781114235976398</v>
      </c>
      <c r="AO654" s="120">
        <f t="shared" si="1885"/>
        <v>6.8969050726422329E-2</v>
      </c>
      <c r="AP654" s="173">
        <f t="shared" si="1901"/>
        <v>138.23993810421405</v>
      </c>
      <c r="AQ654" s="175">
        <f t="shared" si="1902"/>
        <v>6.8969050726422426E-2</v>
      </c>
      <c r="AR654" s="177">
        <f>+AC654/$AE$54</f>
        <v>1.2010878591991611E-2</v>
      </c>
      <c r="AS654" s="177">
        <f t="shared" si="1898"/>
        <v>8.2837889487997064E-4</v>
      </c>
      <c r="AT654" s="177"/>
      <c r="AU654" s="177"/>
      <c r="AV654" s="177"/>
      <c r="AW654" s="190"/>
      <c r="AX654" s="120"/>
      <c r="AY654" s="120"/>
      <c r="AZ654" s="118">
        <f>IFERROR(INDEX('Total Customers'!$F$7:$AB$91,MATCH($C654,'Total Customers'!$D$7:$D$91,0),MATCH($G654,'Total Customers'!$F$5:$AB$5,0)),"NA")</f>
        <v>264832</v>
      </c>
      <c r="BA654" s="119">
        <f t="shared" si="1859"/>
        <v>4.9777806536498992E-3</v>
      </c>
      <c r="BB654" s="119"/>
      <c r="BC654" s="121">
        <v>8759079</v>
      </c>
      <c r="BD654" s="119"/>
      <c r="BE654" s="119"/>
      <c r="BF654" s="119"/>
      <c r="BG654" s="173"/>
      <c r="BH654" s="173"/>
      <c r="BI654" s="173"/>
      <c r="BJ654" s="173"/>
      <c r="BK654" s="173"/>
      <c r="BL654" s="173"/>
      <c r="BM654" s="173"/>
      <c r="BN654" s="173"/>
      <c r="BO654" s="173"/>
      <c r="BP654" s="173"/>
      <c r="BQ654" s="118"/>
      <c r="BR654" s="118"/>
      <c r="BS654" s="118">
        <f>INDEX('Dist. Plant Gas Additions'!$F$7:$AE$91,MATCH($C654,'Dist. Plant Gas Additions'!$D$7:$D$91,0),MATCH(Calculation!$G654,'Dist. Plant Gas Additions'!$F$5:$AE$5,0))</f>
        <v>49602</v>
      </c>
      <c r="BT654" s="118">
        <f>INDEX('Gen. Plant Additions'!$F$7:$AE$91,MATCH($C654,'Gen. Plant Additions'!$D$7:$D$91,0),MATCH(Calculation!$G654,'Gen. Plant Additions'!$F$5:$AE$5,0))</f>
        <v>754</v>
      </c>
      <c r="BU654" s="118"/>
      <c r="BV654" s="118"/>
      <c r="BW654" s="118">
        <f>INDEX('Dist Plant Depreciation'!$E$7:$AD$94,MATCH($C654,'Dist Plant Depreciation'!$D$7:$D$94,0),MATCH(Calculation!$G654,'Dist Plant Depreciation'!$E$5:$AD$5,0))</f>
        <v>321680</v>
      </c>
      <c r="BX654" s="118">
        <f>INDEX('Gen. Plant Depreciation'!$E$7:$AD$94,MATCH($C654,'Gen. Plant Depreciation'!$D$7:$D$94,0),MATCH(Calculation!$G654,'Gen. Plant Depreciation'!$E$5:$AD$5,0))</f>
        <v>11713</v>
      </c>
      <c r="BY654" s="118"/>
      <c r="BZ654" s="118"/>
      <c r="CA654" s="118"/>
      <c r="CB654" s="118"/>
      <c r="CC654" s="118"/>
      <c r="CD654" s="118"/>
      <c r="CE654" s="118">
        <f>INDEX('Gross Dx Plant'!$E$7:$AD$91,MATCH($C654,'Gross Dx Plant'!$D$7:$D$91,0),MATCH(Calculation!$G654,'Gross Dx Plant'!$E$5:$AD$5,0))</f>
        <v>911637</v>
      </c>
      <c r="CF654" s="118">
        <f>INDEX('Gross Gen Plant'!$E$7:$AD$91,MATCH($C654,'Gross Gen Plant'!$D$7:$D$91,0),MATCH(Calculation!$G654,'Gross Gen Plant'!$E$5:$AD$5,0))</f>
        <v>21816</v>
      </c>
      <c r="CG654" s="118">
        <f t="shared" si="1720"/>
        <v>600060</v>
      </c>
      <c r="CH654" s="118"/>
      <c r="CI654" s="121">
        <v>2016</v>
      </c>
      <c r="CJ654" s="118"/>
      <c r="CK654" s="118"/>
      <c r="CL654" s="118"/>
      <c r="CM654" s="183"/>
      <c r="CN654" s="118">
        <f t="shared" si="1860"/>
        <v>50356</v>
      </c>
      <c r="CO654" s="118">
        <f t="shared" si="1861"/>
        <v>74.995190246890274</v>
      </c>
      <c r="CP654" s="186">
        <v>0.88</v>
      </c>
      <c r="CQ654" s="118">
        <f>+CQ636*CP654+CO637*CP653+CO638*CP652+CO639*CP651+CO640*CP650+CO641*CP649+CO642*CP648+CO643*CP647+CO644*CP646+CO645*CP645+CO646*CP644+CO647*CP643+CO648*CP642+CO649*CP641+CO650*CP640+CO651*CP639+CO652*CP638+CO653*CP637+CO654</f>
        <v>2546.5096222235056</v>
      </c>
      <c r="CR654" s="119">
        <f t="shared" si="1862"/>
        <v>2.0904993197711049E-2</v>
      </c>
      <c r="CS654" s="119"/>
      <c r="CT654" s="177">
        <f t="shared" si="1863"/>
        <v>8.9472922491691999E-3</v>
      </c>
      <c r="CU654" s="177">
        <f t="shared" si="1872"/>
        <v>8.6432168217592878E-3</v>
      </c>
      <c r="CV654" s="119">
        <f>VLOOKUP($H654,RoR!$E:$F,2,FALSE)</f>
        <v>3.6658333333333334E-2</v>
      </c>
      <c r="CW654" s="177">
        <v>1.0483662879041455E-2</v>
      </c>
      <c r="CX654" s="177">
        <f t="shared" si="1870"/>
        <v>2.6174670454291879E-2</v>
      </c>
      <c r="CY654" s="177">
        <f t="shared" si="1873"/>
        <v>2.2258724786774337E-2</v>
      </c>
      <c r="CZ654" s="177">
        <f t="shared" si="1874"/>
        <v>4.301363574220729E-3</v>
      </c>
      <c r="DA654" s="187">
        <f t="shared" si="1864"/>
        <v>0.85131374874999999</v>
      </c>
      <c r="DB654" s="188">
        <f t="shared" si="1865"/>
        <v>1.3989193348138562</v>
      </c>
      <c r="DC654" s="188">
        <f t="shared" si="1866"/>
        <v>0.29302682427824522</v>
      </c>
      <c r="DD654" s="188">
        <f t="shared" si="1867"/>
        <v>0.76309497491941802</v>
      </c>
      <c r="DE654" s="188">
        <f t="shared" si="1868"/>
        <v>0.31280857135128509</v>
      </c>
      <c r="DF654" s="189">
        <f>INDEX('State Tax Lookup'!$D$7:$Z$91,MATCH(Calculation!$C654,'State Tax Lookup'!$B$7:$B$91,0),MATCH($H654,'State Tax Lookup'!$D$6:$Z$6,0))</f>
        <v>0.39649667</v>
      </c>
      <c r="DG654" s="189">
        <v>0.375</v>
      </c>
      <c r="DH654" s="190">
        <f t="shared" si="1871"/>
        <v>21.076721785890083</v>
      </c>
      <c r="DI654" s="190">
        <v>20.620762120354428</v>
      </c>
      <c r="DJ654" s="177"/>
      <c r="DK654" s="189">
        <f>VLOOKUP($H654,RoR!$E:$F,2,FALSE)</f>
        <v>3.6658333333333334E-2</v>
      </c>
      <c r="DL654" s="191">
        <f>HLOOKUP($H654,'GDP-PI'!$D$8:$CQ$11,3,FALSE)</f>
        <v>1.0483662879041455E-2</v>
      </c>
      <c r="DM654" s="189">
        <f>VLOOKUP(H654,'HW Dx Data'!$E:$F,2,FALSE)</f>
        <v>671.45639385971219</v>
      </c>
      <c r="DN654" s="183">
        <f>VLOOKUP(H654,'ECI - Input Price'!$G$17:$H$37,2,FALSE)</f>
        <v>126.4</v>
      </c>
      <c r="DO654" s="177">
        <f t="shared" ref="DO654" si="1919">LN(DN654/DN653)</f>
        <v>2.11880802639575E-2</v>
      </c>
      <c r="DP654" s="183">
        <f>HLOOKUP(H654,'GDP-PI'!$8:$9,2,FALSE)</f>
        <v>105.736</v>
      </c>
      <c r="DQ654" s="177">
        <f t="shared" ref="DQ654" si="1920">LN(DP654/DP653)</f>
        <v>1.0429090367205095E-2</v>
      </c>
    </row>
    <row r="655" spans="1:121" s="167" customFormat="1" ht="21" x14ac:dyDescent="0.35">
      <c r="A655" s="167" t="s">
        <v>72</v>
      </c>
      <c r="B655" s="168" t="s">
        <v>72</v>
      </c>
      <c r="C655" s="168">
        <v>4004389</v>
      </c>
      <c r="D655" s="168" t="s">
        <v>136</v>
      </c>
      <c r="E655" s="168" t="s">
        <v>126</v>
      </c>
      <c r="F655" s="168"/>
      <c r="G655" s="168" t="s">
        <v>23</v>
      </c>
      <c r="H655" s="169">
        <v>2017</v>
      </c>
      <c r="I655" s="170"/>
      <c r="J655" s="166">
        <f>IFERROR(INDEX('Labor Expenditures'!$F$7:$X$91,MATCH($C655,'Labor Expenditures'!$D$7:$D$91,0),MATCH($G655,'Labor Expenditures'!$F$5:$X$5,0)),"NA")</f>
        <v>34157.610818352863</v>
      </c>
      <c r="K655" s="166">
        <f t="shared" si="1877"/>
        <v>263.7653345046553</v>
      </c>
      <c r="L655" s="172">
        <f t="shared" si="1884"/>
        <v>-0.1015027353439618</v>
      </c>
      <c r="M655" s="172">
        <f t="shared" si="1888"/>
        <v>-1.1310596010199322E-3</v>
      </c>
      <c r="N655" s="196"/>
      <c r="O655" s="172"/>
      <c r="P655" s="166">
        <f>IFERROR(INDEX('Non-Labor Expenditures'!$F$7:$AB$91,MATCH($C655,'Non-Labor Expenditures'!$D$7:$D$91,0),MATCH($G655,'Non-Labor Expenditures'!$F$5:$AB$5,0)),"NA")</f>
        <v>49466.600226654708</v>
      </c>
      <c r="Q655" s="166">
        <f t="shared" si="1878"/>
        <v>459.08251641891684</v>
      </c>
      <c r="R655" s="172">
        <f t="shared" si="1889"/>
        <v>-9.6150924144871586E-2</v>
      </c>
      <c r="S655" s="172">
        <f t="shared" si="1894"/>
        <v>-1.0714235979204642E-3</v>
      </c>
      <c r="T655" s="172"/>
      <c r="U655" s="172"/>
      <c r="V655" s="166">
        <f t="shared" si="1858"/>
        <v>48392.756197799034</v>
      </c>
      <c r="W655" s="170"/>
      <c r="X655" s="174">
        <v>2612.3865180004332</v>
      </c>
      <c r="Y655" s="175">
        <v>2.5540532318820128E-2</v>
      </c>
      <c r="Z655" s="175">
        <f t="shared" si="1895"/>
        <v>2.8460183064494979E-4</v>
      </c>
      <c r="AA655" s="175"/>
      <c r="AB655" s="175"/>
      <c r="AC655" s="170">
        <f t="shared" si="1869"/>
        <v>132016.9672428066</v>
      </c>
      <c r="AD655" s="175">
        <f t="shared" si="1890"/>
        <v>-7.9243069932132773E-2</v>
      </c>
      <c r="AE655" s="170"/>
      <c r="AF655" s="170"/>
      <c r="AG655" s="121">
        <f t="shared" si="1891"/>
        <v>495.63546658009153</v>
      </c>
      <c r="AH655" s="119">
        <f>+AZ655/$BB$55</f>
        <v>7.0951010948947504E-3</v>
      </c>
      <c r="AI655" s="119">
        <f>+AZ655/$BC$56</f>
        <v>2.9889839436332697E-2</v>
      </c>
      <c r="AJ655" s="176">
        <f t="shared" si="1896"/>
        <v>3.5165837416010781</v>
      </c>
      <c r="AK655" s="176">
        <f t="shared" si="1897"/>
        <v>14.814464515030776</v>
      </c>
      <c r="AL655" s="120">
        <f t="shared" si="1879"/>
        <v>0.25873652100740907</v>
      </c>
      <c r="AM655" s="120">
        <f t="shared" si="1880"/>
        <v>0.37469880773488279</v>
      </c>
      <c r="AN655" s="120">
        <f t="shared" si="1881"/>
        <v>0.3665646712577082</v>
      </c>
      <c r="AO655" s="120">
        <f t="shared" si="1885"/>
        <v>-5.2850639568218713E-2</v>
      </c>
      <c r="AP655" s="173">
        <f t="shared" si="1901"/>
        <v>131.12357743645438</v>
      </c>
      <c r="AQ655" s="175">
        <f t="shared" si="1902"/>
        <v>-5.2850639568218699E-2</v>
      </c>
      <c r="AR655" s="177">
        <f>+AC655/$AE$55</f>
        <v>1.114314404618867E-2</v>
      </c>
      <c r="AS655" s="177">
        <f t="shared" si="1898"/>
        <v>-5.8892228964185951E-4</v>
      </c>
      <c r="AT655" s="177"/>
      <c r="AU655" s="177"/>
      <c r="AV655" s="177"/>
      <c r="AW655" s="190"/>
      <c r="AX655" s="120"/>
      <c r="AY655" s="120"/>
      <c r="AZ655" s="118">
        <f>IFERROR(INDEX('Total Customers'!$F$7:$AB$91,MATCH($C655,'Total Customers'!$D$7:$D$91,0),MATCH($G655,'Total Customers'!$F$5:$AB$5,0)),"NA")</f>
        <v>266359</v>
      </c>
      <c r="BA655" s="119">
        <f t="shared" si="1859"/>
        <v>5.7493602348860041E-3</v>
      </c>
      <c r="BB655" s="119"/>
      <c r="BC655" s="121">
        <v>8824403</v>
      </c>
      <c r="BD655" s="119"/>
      <c r="BE655" s="119"/>
      <c r="BF655" s="119"/>
      <c r="BG655" s="173"/>
      <c r="BH655" s="173"/>
      <c r="BI655" s="173"/>
      <c r="BJ655" s="173"/>
      <c r="BK655" s="173"/>
      <c r="BL655" s="173"/>
      <c r="BM655" s="173"/>
      <c r="BN655" s="173"/>
      <c r="BO655" s="173"/>
      <c r="BP655" s="173"/>
      <c r="BQ655" s="118"/>
      <c r="BR655" s="118"/>
      <c r="BS655" s="118">
        <f>INDEX('Dist. Plant Gas Additions'!$F$7:$AE$91,MATCH($C655,'Dist. Plant Gas Additions'!$D$7:$D$91,0),MATCH(Calculation!$G655,'Dist. Plant Gas Additions'!$F$5:$AE$5,0))</f>
        <v>63067</v>
      </c>
      <c r="BT655" s="118">
        <f>INDEX('Gen. Plant Additions'!$F$7:$AE$91,MATCH($C655,'Gen. Plant Additions'!$D$7:$D$91,0),MATCH(Calculation!$G655,'Gen. Plant Additions'!$F$5:$AE$5,0))</f>
        <v>654</v>
      </c>
      <c r="BU655" s="118"/>
      <c r="BV655" s="118"/>
      <c r="BW655" s="118">
        <f>INDEX('Dist Plant Depreciation'!$E$7:$AD$94,MATCH($C655,'Dist Plant Depreciation'!$D$7:$D$94,0),MATCH(Calculation!$G655,'Dist Plant Depreciation'!$E$5:$AD$5,0))</f>
        <v>333524</v>
      </c>
      <c r="BX655" s="118">
        <f>INDEX('Gen. Plant Depreciation'!$E$7:$AD$94,MATCH($C655,'Gen. Plant Depreciation'!$D$7:$D$94,0),MATCH(Calculation!$G655,'Gen. Plant Depreciation'!$E$5:$AD$5,0))</f>
        <v>12394</v>
      </c>
      <c r="BY655" s="118"/>
      <c r="BZ655" s="118"/>
      <c r="CA655" s="118"/>
      <c r="CB655" s="118"/>
      <c r="CC655" s="118"/>
      <c r="CD655" s="118"/>
      <c r="CE655" s="118">
        <f>INDEX('Gross Dx Plant'!$E$7:$AD$91,MATCH($C655,'Gross Dx Plant'!$D$7:$D$91,0),MATCH(Calculation!$G655,'Gross Dx Plant'!$E$5:$AD$5,0))</f>
        <v>967483</v>
      </c>
      <c r="CF655" s="118">
        <f>INDEX('Gross Gen Plant'!$E$7:$AD$91,MATCH($C655,'Gross Gen Plant'!$D$7:$D$91,0),MATCH(Calculation!$G655,'Gross Gen Plant'!$E$5:$AD$5,0))</f>
        <v>22443</v>
      </c>
      <c r="CG655" s="118">
        <f t="shared" si="1720"/>
        <v>644008</v>
      </c>
      <c r="CH655" s="118"/>
      <c r="CI655" s="121">
        <v>2017</v>
      </c>
      <c r="CJ655" s="118"/>
      <c r="CK655" s="118"/>
      <c r="CL655" s="118"/>
      <c r="CM655" s="183"/>
      <c r="CN655" s="118">
        <f t="shared" si="1860"/>
        <v>63721</v>
      </c>
      <c r="CO655" s="118">
        <f t="shared" si="1861"/>
        <v>89.441947526669026</v>
      </c>
      <c r="CP655" s="186">
        <v>0.87074829931972786</v>
      </c>
      <c r="CQ655" s="118">
        <f>+CQ636*CP655+CO637*CP654+CO638*CP653+CO639*CP652+CO640*CP651+CO641*CP650+CO642*CP649+CO643*CP648+CO644*CP647+CO645*CP646+CO646*CP645+CO647*CP644+CO648*CP643+CO649*CP642+CO650*CP641+CO651*CP640+CO652*CP639+CO653*CP638+CO654*CP637+CO655</f>
        <v>2612.3865180004332</v>
      </c>
      <c r="CR655" s="119">
        <f t="shared" si="1862"/>
        <v>2.5540532318820128E-2</v>
      </c>
      <c r="CS655" s="119"/>
      <c r="CT655" s="177">
        <f t="shared" si="1863"/>
        <v>9.2538632267823388E-3</v>
      </c>
      <c r="CU655" s="177">
        <f t="shared" si="1872"/>
        <v>8.939239338596373E-3</v>
      </c>
      <c r="CV655" s="119">
        <f>VLOOKUP($H655,RoR!$E:$F,2,FALSE)</f>
        <v>3.7433333333333339E-2</v>
      </c>
      <c r="CW655" s="177">
        <v>1.9056896421275615E-2</v>
      </c>
      <c r="CX655" s="177">
        <f t="shared" si="1870"/>
        <v>1.8376436912057724E-2</v>
      </c>
      <c r="CY655" s="177">
        <f t="shared" si="1873"/>
        <v>2.1962702269937254E-2</v>
      </c>
      <c r="CZ655" s="177">
        <f t="shared" si="1874"/>
        <v>1.3976271617800498E-2</v>
      </c>
      <c r="DA655" s="187">
        <f t="shared" si="1864"/>
        <v>0.90381374874999998</v>
      </c>
      <c r="DB655" s="188">
        <f t="shared" si="1865"/>
        <v>1.3699568463593395</v>
      </c>
      <c r="DC655" s="188">
        <f t="shared" si="1866"/>
        <v>0.30714603739982199</v>
      </c>
      <c r="DD655" s="188">
        <f t="shared" si="1867"/>
        <v>0.77007188472689425</v>
      </c>
      <c r="DE655" s="188">
        <f t="shared" si="1868"/>
        <v>0.32402839633793828</v>
      </c>
      <c r="DF655" s="189">
        <f>INDEX('State Tax Lookup'!$D$7:$Z$91,MATCH(Calculation!$C655,'State Tax Lookup'!$B$7:$B$91,0),MATCH($H655,'State Tax Lookup'!$D$6:$Z$6,0))</f>
        <v>0.25649666999999998</v>
      </c>
      <c r="DG655" s="189">
        <v>0.375</v>
      </c>
      <c r="DH655" s="190">
        <f t="shared" si="1871"/>
        <v>19.003563063525558</v>
      </c>
      <c r="DI655" s="190">
        <v>18.613908815285633</v>
      </c>
      <c r="DJ655" s="177"/>
      <c r="DK655" s="189">
        <f>VLOOKUP($H655,RoR!$E:$F,2,FALSE)</f>
        <v>3.7433333333333339E-2</v>
      </c>
      <c r="DL655" s="191">
        <f>HLOOKUP($H655,'GDP-PI'!$D$8:$CQ$11,3,FALSE)</f>
        <v>1.9056896421275615E-2</v>
      </c>
      <c r="DM655" s="189">
        <f>VLOOKUP(H655,'HW Dx Data'!$E:$F,2,FALSE)</f>
        <v>712.42858370229726</v>
      </c>
      <c r="DN655" s="183">
        <f>VLOOKUP(H655,'ECI - Input Price'!$G$17:$H$37,2,FALSE)</f>
        <v>129.5</v>
      </c>
      <c r="DO655" s="177">
        <f t="shared" ref="DO655" si="1921">LN(DN655/DN654)</f>
        <v>2.4229399426835413E-2</v>
      </c>
      <c r="DP655" s="183">
        <f>HLOOKUP(H655,'GDP-PI'!$8:$9,2,FALSE)</f>
        <v>107.751</v>
      </c>
      <c r="DQ655" s="177">
        <f t="shared" ref="DQ655" si="1922">LN(DP655/DP654)</f>
        <v>1.8877588227745139E-2</v>
      </c>
    </row>
    <row r="656" spans="1:121" s="167" customFormat="1" ht="21" x14ac:dyDescent="0.35">
      <c r="A656" s="167" t="s">
        <v>72</v>
      </c>
      <c r="B656" s="168" t="s">
        <v>72</v>
      </c>
      <c r="C656" s="168">
        <v>4004389</v>
      </c>
      <c r="D656" s="168" t="s">
        <v>136</v>
      </c>
      <c r="E656" s="168" t="s">
        <v>126</v>
      </c>
      <c r="F656" s="168"/>
      <c r="G656" s="168" t="s">
        <v>24</v>
      </c>
      <c r="H656" s="169">
        <v>2018</v>
      </c>
      <c r="I656" s="170"/>
      <c r="J656" s="166">
        <f>IFERROR(INDEX('Labor Expenditures'!$F$7:$X$91,MATCH($C656,'Labor Expenditures'!$D$7:$D$91,0),MATCH($G656,'Labor Expenditures'!$F$5:$X$5,0)),"NA")</f>
        <v>38116.509935167553</v>
      </c>
      <c r="K656" s="166">
        <f t="shared" si="1877"/>
        <v>286.05260739337751</v>
      </c>
      <c r="L656" s="172">
        <f t="shared" si="1884"/>
        <v>8.1115912437290522E-2</v>
      </c>
      <c r="M656" s="172">
        <f t="shared" si="1888"/>
        <v>9.1375905692672428E-4</v>
      </c>
      <c r="N656" s="196"/>
      <c r="O656" s="172"/>
      <c r="P656" s="166">
        <f>IFERROR(INDEX('Non-Labor Expenditures'!$F$7:$AB$91,MATCH($C656,'Non-Labor Expenditures'!$D$7:$D$91,0),MATCH($G656,'Non-Labor Expenditures'!$F$5:$AB$5,0)),"NA")</f>
        <v>55199.82556816213</v>
      </c>
      <c r="Q656" s="166">
        <f t="shared" si="1878"/>
        <v>500.35192951688811</v>
      </c>
      <c r="R656" s="172">
        <f t="shared" si="1889"/>
        <v>8.6081741627143285E-2</v>
      </c>
      <c r="S656" s="172">
        <f t="shared" si="1894"/>
        <v>9.6969840669224646E-4</v>
      </c>
      <c r="T656" s="172"/>
      <c r="U656" s="172"/>
      <c r="V656" s="166">
        <f t="shared" si="1858"/>
        <v>51798.466430921253</v>
      </c>
      <c r="W656" s="170"/>
      <c r="X656" s="174">
        <v>2644.9298363235234</v>
      </c>
      <c r="Y656" s="175">
        <v>1.238035978708708E-2</v>
      </c>
      <c r="Z656" s="175">
        <f t="shared" si="1895"/>
        <v>1.3946296778955523E-4</v>
      </c>
      <c r="AA656" s="175"/>
      <c r="AB656" s="175"/>
      <c r="AC656" s="170">
        <f t="shared" si="1869"/>
        <v>145114.80193425092</v>
      </c>
      <c r="AD656" s="175">
        <f t="shared" si="1890"/>
        <v>9.459471259530422E-2</v>
      </c>
      <c r="AE656" s="170"/>
      <c r="AF656" s="170"/>
      <c r="AG656" s="121">
        <f t="shared" si="1891"/>
        <v>544.80908073033356</v>
      </c>
      <c r="AH656" s="119">
        <f>+AZ656/$BB$56</f>
        <v>7.0334711144692478E-3</v>
      </c>
      <c r="AI656" s="119">
        <f>+AZ656/$BC$57</f>
        <v>2.9715495044423917E-2</v>
      </c>
      <c r="AJ656" s="176">
        <f t="shared" si="1896"/>
        <v>3.8318989322173458</v>
      </c>
      <c r="AK656" s="176">
        <f t="shared" si="1897"/>
        <v>16.189271538599378</v>
      </c>
      <c r="AL656" s="120">
        <f t="shared" si="1879"/>
        <v>0.26266452096621751</v>
      </c>
      <c r="AM656" s="120">
        <f t="shared" si="1880"/>
        <v>0.38038728532443056</v>
      </c>
      <c r="AN656" s="120">
        <f t="shared" si="1881"/>
        <v>0.35694819370935205</v>
      </c>
      <c r="AO656" s="120">
        <f t="shared" si="1885"/>
        <v>5.8125198406651979E-2</v>
      </c>
      <c r="AP656" s="173">
        <f t="shared" si="1901"/>
        <v>138.9710191616447</v>
      </c>
      <c r="AQ656" s="175">
        <f t="shared" si="1902"/>
        <v>5.8125198406652069E-2</v>
      </c>
      <c r="AR656" s="177">
        <f>+AC656/$AE$56</f>
        <v>1.1264855802899801E-2</v>
      </c>
      <c r="AS656" s="177">
        <f t="shared" si="1898"/>
        <v>6.5477197856587683E-4</v>
      </c>
      <c r="AT656" s="177"/>
      <c r="AU656" s="177"/>
      <c r="AV656" s="177"/>
      <c r="AW656" s="190"/>
      <c r="AX656" s="120"/>
      <c r="AY656" s="120"/>
      <c r="AZ656" s="118">
        <f>IFERROR(INDEX('Total Customers'!$F$7:$AB$91,MATCH($C656,'Total Customers'!$D$7:$D$91,0),MATCH($G656,'Total Customers'!$F$5:$AB$5,0)),"NA")</f>
        <v>266359</v>
      </c>
      <c r="BA656" s="119">
        <f t="shared" si="1859"/>
        <v>0</v>
      </c>
      <c r="BB656" s="119"/>
      <c r="BC656" s="121">
        <v>8911356</v>
      </c>
      <c r="BD656" s="119"/>
      <c r="BE656" s="119"/>
      <c r="BF656" s="119"/>
      <c r="BG656" s="173"/>
      <c r="BH656" s="173"/>
      <c r="BI656" s="173"/>
      <c r="BJ656" s="173"/>
      <c r="BK656" s="173"/>
      <c r="BL656" s="173"/>
      <c r="BM656" s="173"/>
      <c r="BN656" s="173"/>
      <c r="BO656" s="173"/>
      <c r="BP656" s="173"/>
      <c r="BQ656" s="118"/>
      <c r="BR656" s="118"/>
      <c r="BS656" s="118">
        <f>INDEX('Dist. Plant Gas Additions'!$F$7:$AE$91,MATCH($C656,'Dist. Plant Gas Additions'!$D$7:$D$91,0),MATCH(Calculation!$G656,'Dist. Plant Gas Additions'!$F$5:$AE$5,0))</f>
        <v>42463</v>
      </c>
      <c r="BT656" s="118">
        <f>INDEX('Gen. Plant Additions'!$F$7:$AE$91,MATCH($C656,'Gen. Plant Additions'!$D$7:$D$91,0),MATCH(Calculation!$G656,'Gen. Plant Additions'!$F$5:$AE$5,0))</f>
        <v>955</v>
      </c>
      <c r="BU656" s="118"/>
      <c r="BV656" s="118"/>
      <c r="BW656" s="118">
        <f>INDEX('Dist Plant Depreciation'!$E$7:$AD$94,MATCH($C656,'Dist Plant Depreciation'!$D$7:$D$94,0),MATCH(Calculation!$G656,'Dist Plant Depreciation'!$E$5:$AD$5,0))</f>
        <v>354890</v>
      </c>
      <c r="BX656" s="118">
        <f>INDEX('Gen. Plant Depreciation'!$E$7:$AD$94,MATCH($C656,'Gen. Plant Depreciation'!$D$7:$D$94,0),MATCH(Calculation!$G656,'Gen. Plant Depreciation'!$E$5:$AD$5,0))</f>
        <v>13184</v>
      </c>
      <c r="BY656" s="118"/>
      <c r="BZ656" s="118"/>
      <c r="CA656" s="118"/>
      <c r="CB656" s="118"/>
      <c r="CC656" s="118"/>
      <c r="CD656" s="118"/>
      <c r="CE656" s="118">
        <f>INDEX('Gross Dx Plant'!$E$7:$AD$91,MATCH($C656,'Gross Dx Plant'!$D$7:$D$91,0),MATCH(Calculation!$G656,'Gross Dx Plant'!$E$5:$AD$5,0))</f>
        <v>1006333</v>
      </c>
      <c r="CF656" s="118">
        <f>INDEX('Gross Gen Plant'!$E$7:$AD$91,MATCH($C656,'Gross Gen Plant'!$D$7:$D$91,0),MATCH(Calculation!$G656,'Gross Gen Plant'!$E$5:$AD$5,0))</f>
        <v>23335</v>
      </c>
      <c r="CG656" s="118">
        <f t="shared" ref="CG656:CG722" si="1923">IF(OR(BW656="NA",BX656="NA"),"NA",(SUM(CE656:CF656)-SUM(BW656:BX656)))</f>
        <v>661594</v>
      </c>
      <c r="CH656" s="118"/>
      <c r="CI656" s="121">
        <v>2018</v>
      </c>
      <c r="CJ656" s="118"/>
      <c r="CK656" s="118"/>
      <c r="CL656" s="118"/>
      <c r="CM656" s="183"/>
      <c r="CN656" s="118">
        <f t="shared" si="1860"/>
        <v>43418</v>
      </c>
      <c r="CO656" s="118">
        <f t="shared" si="1861"/>
        <v>57.496873314982977</v>
      </c>
      <c r="CP656" s="186">
        <v>0.86111111111111116</v>
      </c>
      <c r="CQ656" s="118">
        <f>+CQ636*CP656++CO637*CP655+CO638*CP654+CO639*CP653+CO640*CP652+CO641*CP651+CO642*CP650+CO643*CP649+CO644*CP648+CO645*CP647+CO646*CP646+CO647*CP645+CO648*CP644+CO649*CP643+CO650*CP642+CO651*CP641+CO652*CP640+CO653*CP639+CO654*CP638+CO655*CP637+CO656</f>
        <v>2644.9298363235234</v>
      </c>
      <c r="CR656" s="119">
        <f t="shared" si="1862"/>
        <v>1.238035978708708E-2</v>
      </c>
      <c r="CS656" s="119"/>
      <c r="CT656" s="177">
        <f t="shared" si="1863"/>
        <v>9.5520149181418258E-3</v>
      </c>
      <c r="CU656" s="177">
        <f t="shared" si="1872"/>
        <v>9.2510567980311209E-3</v>
      </c>
      <c r="CV656" s="119">
        <f>VLOOKUP($H656,RoR!$E:$F,2,FALSE)</f>
        <v>3.9299999999999995E-2</v>
      </c>
      <c r="CW656" s="177">
        <v>2.386056741932796E-2</v>
      </c>
      <c r="CX656" s="177">
        <f t="shared" si="1870"/>
        <v>1.5439432580672034E-2</v>
      </c>
      <c r="CY656" s="177">
        <f t="shared" si="1873"/>
        <v>2.1650884810502504E-2</v>
      </c>
      <c r="CZ656" s="177">
        <f t="shared" si="1874"/>
        <v>3.8270792163076606E-2</v>
      </c>
      <c r="DA656" s="187">
        <f t="shared" si="1864"/>
        <v>0.90381374874999998</v>
      </c>
      <c r="DB656" s="188">
        <f t="shared" si="1865"/>
        <v>1.3048868010700074</v>
      </c>
      <c r="DC656" s="188">
        <f t="shared" si="1866"/>
        <v>0.33886768447837151</v>
      </c>
      <c r="DD656" s="188">
        <f t="shared" si="1867"/>
        <v>0.78602506232557801</v>
      </c>
      <c r="DE656" s="188">
        <f t="shared" si="1868"/>
        <v>0.34756768162358759</v>
      </c>
      <c r="DF656" s="189">
        <f>INDEX('State Tax Lookup'!$D$7:$Z$91,MATCH(Calculation!$C656,'State Tax Lookup'!$B$7:$B$91,0),MATCH($H656,'State Tax Lookup'!$D$6:$Z$6,0))</f>
        <v>0.25649666999999998</v>
      </c>
      <c r="DG656" s="189">
        <v>0.375</v>
      </c>
      <c r="DH656" s="190">
        <f t="shared" si="1871"/>
        <v>19.828025475559688</v>
      </c>
      <c r="DI656" s="190">
        <v>19.444792506937279</v>
      </c>
      <c r="DJ656" s="177"/>
      <c r="DK656" s="189">
        <f>VLOOKUP($H656,RoR!$E:$F,2,FALSE)</f>
        <v>3.9299999999999995E-2</v>
      </c>
      <c r="DL656" s="191">
        <f>HLOOKUP($H656,'GDP-PI'!$D$8:$CQ$11,3,FALSE)</f>
        <v>2.386056741932796E-2</v>
      </c>
      <c r="DM656" s="189">
        <f>VLOOKUP(H656,'HW Dx Data'!$E:$F,2,FALSE)</f>
        <v>755.13671434174842</v>
      </c>
      <c r="DN656" s="183">
        <f>VLOOKUP(H656,'ECI - Input Price'!$G$17:$H$37,2,FALSE)</f>
        <v>133.25</v>
      </c>
      <c r="DO656" s="177">
        <f t="shared" ref="DO656" si="1924">LN(DN656/DN655)</f>
        <v>2.8546181906361531E-2</v>
      </c>
      <c r="DP656" s="183">
        <f>HLOOKUP(H656,'GDP-PI'!$8:$9,2,FALSE)</f>
        <v>110.322</v>
      </c>
      <c r="DQ656" s="177">
        <f t="shared" ref="DQ656" si="1925">LN(DP656/DP655)</f>
        <v>2.3580352716508712E-2</v>
      </c>
    </row>
    <row r="657" spans="1:121" s="167" customFormat="1" ht="21" x14ac:dyDescent="0.35">
      <c r="A657" s="167" t="s">
        <v>72</v>
      </c>
      <c r="B657" s="168" t="s">
        <v>72</v>
      </c>
      <c r="C657" s="168">
        <v>4004389</v>
      </c>
      <c r="D657" s="168" t="s">
        <v>136</v>
      </c>
      <c r="E657" s="168" t="s">
        <v>126</v>
      </c>
      <c r="F657" s="168"/>
      <c r="G657" s="168" t="s">
        <v>25</v>
      </c>
      <c r="H657" s="169">
        <v>2019</v>
      </c>
      <c r="I657" s="170"/>
      <c r="J657" s="166">
        <f>IFERROR(INDEX('Labor Expenditures'!$F$7:$X$91,MATCH($C657,'Labor Expenditures'!$D$7:$D$91,0),MATCH($G657,'Labor Expenditures'!$F$5:$X$5,0)),"NA")</f>
        <v>35900.768473504344</v>
      </c>
      <c r="K657" s="166">
        <f t="shared" si="1877"/>
        <v>262.33663480821588</v>
      </c>
      <c r="L657" s="172">
        <f t="shared" si="1884"/>
        <v>-8.6547191131721296E-2</v>
      </c>
      <c r="M657" s="172">
        <f t="shared" si="1888"/>
        <v>-9.1706517666516557E-4</v>
      </c>
      <c r="N657" s="196"/>
      <c r="O657" s="172"/>
      <c r="P657" s="166">
        <f>IFERROR(INDEX('Non-Labor Expenditures'!$F$7:$AB$91,MATCH($C657,'Non-Labor Expenditures'!$D$7:$D$91,0),MATCH($G657,'Non-Labor Expenditures'!$F$5:$AB$5,0)),"NA")</f>
        <v>51991.018088254117</v>
      </c>
      <c r="Q657" s="166">
        <f t="shared" si="1878"/>
        <v>462.89123816533521</v>
      </c>
      <c r="R657" s="172">
        <f t="shared" si="1889"/>
        <v>-7.7819590142388859E-2</v>
      </c>
      <c r="S657" s="172">
        <f t="shared" si="1894"/>
        <v>-8.2458639325827488E-4</v>
      </c>
      <c r="T657" s="172"/>
      <c r="U657" s="172"/>
      <c r="V657" s="166">
        <f t="shared" si="1858"/>
        <v>52880.295848303074</v>
      </c>
      <c r="W657" s="170"/>
      <c r="X657" s="174">
        <v>2729.0107136521819</v>
      </c>
      <c r="Y657" s="175">
        <v>3.1294629522658185E-2</v>
      </c>
      <c r="Z657" s="175">
        <f t="shared" si="1895"/>
        <v>3.3160192233377511E-4</v>
      </c>
      <c r="AA657" s="175"/>
      <c r="AB657" s="175"/>
      <c r="AC657" s="170">
        <f t="shared" si="1869"/>
        <v>140772.08241006153</v>
      </c>
      <c r="AD657" s="175">
        <f t="shared" si="1890"/>
        <v>-3.0383020912822679E-2</v>
      </c>
      <c r="AE657" s="170"/>
      <c r="AF657" s="170"/>
      <c r="AG657" s="121">
        <f t="shared" si="1891"/>
        <v>523.67838881182354</v>
      </c>
      <c r="AH657" s="119">
        <f>+AZ657/$BB$57</f>
        <v>7.0402247223263128E-3</v>
      </c>
      <c r="AI657" s="119">
        <f>+AZ657/$BC$58</f>
        <v>2.9669594179058154E-2</v>
      </c>
      <c r="AJ657" s="176">
        <f t="shared" si="1896"/>
        <v>3.6868135394610113</v>
      </c>
      <c r="AK657" s="176">
        <f t="shared" si="1897"/>
        <v>15.537325276389833</v>
      </c>
      <c r="AL657" s="120">
        <f t="shared" si="1879"/>
        <v>0.25502761526910805</v>
      </c>
      <c r="AM657" s="120">
        <f t="shared" si="1880"/>
        <v>0.36932761949778559</v>
      </c>
      <c r="AN657" s="120">
        <f t="shared" si="1881"/>
        <v>0.37564476523310641</v>
      </c>
      <c r="AO657" s="120">
        <f t="shared" si="1885"/>
        <v>-4.0110540819020282E-2</v>
      </c>
      <c r="AP657" s="173">
        <f t="shared" si="1901"/>
        <v>133.50712875567561</v>
      </c>
      <c r="AQ657" s="175">
        <f t="shared" si="1902"/>
        <v>-4.0110540819020393E-2</v>
      </c>
      <c r="AR657" s="177">
        <f>+AC657/$AE$57</f>
        <v>1.0596128709358455E-2</v>
      </c>
      <c r="AS657" s="177">
        <f t="shared" si="1898"/>
        <v>-4.2501645312031618E-4</v>
      </c>
      <c r="AT657" s="177"/>
      <c r="AU657" s="177"/>
      <c r="AV657" s="177"/>
      <c r="AW657" s="190"/>
      <c r="AX657" s="120"/>
      <c r="AY657" s="120"/>
      <c r="AZ657" s="118">
        <f>IFERROR(INDEX('Total Customers'!$F$7:$AB$91,MATCH($C657,'Total Customers'!$D$7:$D$91,0),MATCH($G657,'Total Customers'!$F$5:$AB$5,0)),"NA")</f>
        <v>268814</v>
      </c>
      <c r="BA657" s="119">
        <f t="shared" si="1859"/>
        <v>9.1746677081290771E-3</v>
      </c>
      <c r="BB657" s="119"/>
      <c r="BC657" s="121">
        <v>8963640</v>
      </c>
      <c r="BD657" s="119"/>
      <c r="BE657" s="119"/>
      <c r="BF657" s="119"/>
      <c r="BG657" s="173"/>
      <c r="BH657" s="173"/>
      <c r="BI657" s="173"/>
      <c r="BJ657" s="173"/>
      <c r="BK657" s="173"/>
      <c r="BL657" s="173"/>
      <c r="BM657" s="173"/>
      <c r="BN657" s="173"/>
      <c r="BO657" s="173"/>
      <c r="BP657" s="173"/>
      <c r="BQ657" s="118"/>
      <c r="BR657" s="118"/>
      <c r="BS657" s="118">
        <f>INDEX('Dist. Plant Gas Additions'!$F$7:$AE$91,MATCH($C657,'Dist. Plant Gas Additions'!$D$7:$D$91,0),MATCH(Calculation!$G657,'Dist. Plant Gas Additions'!$F$5:$AE$5,0))</f>
        <v>84505</v>
      </c>
      <c r="BT657" s="118">
        <f>INDEX('Gen. Plant Additions'!$F$7:$AE$91,MATCH($C657,'Gen. Plant Additions'!$D$7:$D$91,0),MATCH(Calculation!$G657,'Gen. Plant Additions'!$F$5:$AE$5,0))</f>
        <v>844</v>
      </c>
      <c r="BU657" s="118"/>
      <c r="BV657" s="118"/>
      <c r="BW657" s="118">
        <f>INDEX('Dist Plant Depreciation'!$E$7:$AD$94,MATCH($C657,'Dist Plant Depreciation'!$D$7:$D$94,0),MATCH(Calculation!$G657,'Dist Plant Depreciation'!$E$5:$AD$5,0))</f>
        <v>366663</v>
      </c>
      <c r="BX657" s="118">
        <f>INDEX('Gen. Plant Depreciation'!$E$7:$AD$94,MATCH($C657,'Gen. Plant Depreciation'!$D$7:$D$94,0),MATCH(Calculation!$G657,'Gen. Plant Depreciation'!$E$5:$AD$5,0))</f>
        <v>13800</v>
      </c>
      <c r="BY657" s="118"/>
      <c r="BZ657" s="118"/>
      <c r="CA657" s="118"/>
      <c r="CB657" s="118"/>
      <c r="CC657" s="118"/>
      <c r="CD657" s="118"/>
      <c r="CE657" s="118">
        <f>INDEX('Gross Dx Plant'!$E$7:$AD$91,MATCH($C657,'Gross Dx Plant'!$D$7:$D$91,0),MATCH(Calculation!$G657,'Gross Dx Plant'!$E$5:$AD$5,0))</f>
        <v>1082350</v>
      </c>
      <c r="CF657" s="118">
        <f>INDEX('Gross Gen Plant'!$E$7:$AD$91,MATCH($C657,'Gross Gen Plant'!$D$7:$D$91,0),MATCH(Calculation!$G657,'Gross Gen Plant'!$E$5:$AD$5,0))</f>
        <v>23903</v>
      </c>
      <c r="CG657" s="118">
        <f t="shared" si="1923"/>
        <v>725790</v>
      </c>
      <c r="CH657" s="118"/>
      <c r="CI657" s="121">
        <v>2019</v>
      </c>
      <c r="CJ657" s="118"/>
      <c r="CK657" s="118"/>
      <c r="CL657" s="118"/>
      <c r="CM657" s="183"/>
      <c r="CN657" s="118">
        <f t="shared" si="1860"/>
        <v>85349</v>
      </c>
      <c r="CO657" s="118">
        <f t="shared" si="1861"/>
        <v>110.33570010904315</v>
      </c>
      <c r="CP657" s="186">
        <v>0.85106382978723405</v>
      </c>
      <c r="CQ657" s="118">
        <f>CQ636*CP657+CO637*CP656+CO638*CP655+CO639*CP654+CO640*CP653+CO641*CP652+CO642*CP651+CO643*CP650+CO644*CP649+CO645*CP648+CO646*CP647+CO647*CP646+CO648*CP645+CO649*CP644+CO650*CP643+CO651*CP642+CO652*CP641+CO653*CP640+CO654*CP639+CO655*CP638+CO656*CP637+CO657</f>
        <v>2729.0107136521819</v>
      </c>
      <c r="CR657" s="119">
        <f t="shared" si="1862"/>
        <v>3.1294629522658185E-2</v>
      </c>
      <c r="CS657" s="119"/>
      <c r="CT657" s="177">
        <f t="shared" si="1863"/>
        <v>9.9264723093294115E-3</v>
      </c>
      <c r="CU657" s="177">
        <f t="shared" si="1872"/>
        <v>9.5774501514178587E-3</v>
      </c>
      <c r="CV657" s="119">
        <f>VLOOKUP($H657,RoR!$E:$F,2,FALSE)</f>
        <v>3.3875000000000009E-2</v>
      </c>
      <c r="CW657" s="177">
        <v>1.8092492884465461E-2</v>
      </c>
      <c r="CX657" s="177">
        <f t="shared" si="1870"/>
        <v>1.5782507115534548E-2</v>
      </c>
      <c r="CY657" s="177">
        <f t="shared" si="1873"/>
        <v>2.1324491457115766E-2</v>
      </c>
      <c r="CZ657" s="177">
        <f t="shared" si="1874"/>
        <v>4.8445665544254078E-2</v>
      </c>
      <c r="DA657" s="187">
        <f t="shared" si="1864"/>
        <v>0.90381374874999998</v>
      </c>
      <c r="DB657" s="188">
        <f t="shared" si="1865"/>
        <v>1.513861292459078</v>
      </c>
      <c r="DC657" s="188">
        <f t="shared" si="1866"/>
        <v>0.23699261992619944</v>
      </c>
      <c r="DD657" s="188">
        <f t="shared" si="1867"/>
        <v>0.73619765810468829</v>
      </c>
      <c r="DE657" s="188">
        <f t="shared" si="1868"/>
        <v>0.26412854465362851</v>
      </c>
      <c r="DF657" s="189">
        <f>INDEX('State Tax Lookup'!$D$7:$Z$91,MATCH(Calculation!$C657,'State Tax Lookup'!$B$7:$B$91,0),MATCH($H657,'State Tax Lookup'!$D$6:$Z$6,0))</f>
        <v>0.25649666999999998</v>
      </c>
      <c r="DG657" s="189">
        <v>0.375</v>
      </c>
      <c r="DH657" s="190">
        <f t="shared" si="1871"/>
        <v>19.993080769888085</v>
      </c>
      <c r="DI657" s="190">
        <v>19.567440737358215</v>
      </c>
      <c r="DJ657" s="177"/>
      <c r="DK657" s="189">
        <f>VLOOKUP($H657,RoR!$E:$F,2,FALSE)</f>
        <v>3.3875000000000009E-2</v>
      </c>
      <c r="DL657" s="191">
        <f>HLOOKUP($H657,'GDP-PI'!$D$8:$CQ$11,3,FALSE)</f>
        <v>1.8092492884465461E-2</v>
      </c>
      <c r="DM657" s="189">
        <f>VLOOKUP(H657,'HW Dx Data'!$E:$F,2,FALSE)</f>
        <v>773.53929793938721</v>
      </c>
      <c r="DN657" s="183">
        <f>VLOOKUP(H657,'ECI - Input Price'!$G$17:$H$37,2,FALSE)</f>
        <v>136.85</v>
      </c>
      <c r="DO657" s="177">
        <f t="shared" ref="DO657" si="1926">LN(DN657/DN656)</f>
        <v>2.6658372440734168E-2</v>
      </c>
      <c r="DP657" s="183">
        <f>HLOOKUP(H657,'GDP-PI'!$8:$9,2,FALSE)</f>
        <v>112.318</v>
      </c>
      <c r="DQ657" s="177">
        <f t="shared" ref="DQ657" si="1927">LN(DP657/DP656)</f>
        <v>1.7930771451401852E-2</v>
      </c>
    </row>
    <row r="658" spans="1:121" s="167" customFormat="1" ht="21" x14ac:dyDescent="0.35">
      <c r="A658" s="167" t="s">
        <v>72</v>
      </c>
      <c r="B658" s="167" t="s">
        <v>72</v>
      </c>
      <c r="C658" s="167">
        <v>4004389</v>
      </c>
      <c r="D658" s="167" t="s">
        <v>136</v>
      </c>
      <c r="E658" s="167" t="s">
        <v>126</v>
      </c>
      <c r="G658" s="168" t="s">
        <v>26</v>
      </c>
      <c r="H658" s="169">
        <v>2020</v>
      </c>
      <c r="I658" s="170"/>
      <c r="J658" s="166">
        <f>IFERROR(INDEX('Labor Expenditures'!$F$7:$X$91,MATCH($C658,'Labor Expenditures'!$D$7:$D$91,0),MATCH($G658,'Labor Expenditures'!$F$5:$X$5,0)),"NA")</f>
        <v>35353.425080059547</v>
      </c>
      <c r="K658" s="166">
        <f t="shared" si="1877"/>
        <v>251.71537970850517</v>
      </c>
      <c r="L658" s="172">
        <f t="shared" si="1884"/>
        <v>-4.1329541101869267E-2</v>
      </c>
      <c r="M658" s="172">
        <f t="shared" si="1888"/>
        <v>-4.3165874139468682E-4</v>
      </c>
      <c r="N658" s="196"/>
      <c r="O658" s="172"/>
      <c r="P658" s="166">
        <f>IFERROR(INDEX('Non-Labor Expenditures'!$F$7:$AB$91,MATCH($C658,'Non-Labor Expenditures'!$D$7:$D$91,0),MATCH($G658,'Non-Labor Expenditures'!$F$5:$AB$5,0)),"NA")</f>
        <v>51198.362624901652</v>
      </c>
      <c r="Q658" s="166">
        <f t="shared" si="1878"/>
        <v>450.59858149231803</v>
      </c>
      <c r="R658" s="172">
        <f t="shared" si="1889"/>
        <v>-2.6915239769697896E-2</v>
      </c>
      <c r="S658" s="172">
        <f t="shared" si="1894"/>
        <v>-2.8111123940833068E-4</v>
      </c>
      <c r="T658" s="172"/>
      <c r="U658" s="172"/>
      <c r="V658" s="166">
        <f t="shared" si="1858"/>
        <v>56500.538507873331</v>
      </c>
      <c r="W658" s="170"/>
      <c r="X658" s="174">
        <v>2780.4116293499592</v>
      </c>
      <c r="Y658" s="175">
        <v>1.8659817281785656E-2</v>
      </c>
      <c r="Z658" s="175">
        <f t="shared" si="1895"/>
        <v>1.9488900742104109E-4</v>
      </c>
      <c r="AA658" s="175"/>
      <c r="AB658" s="175"/>
      <c r="AC658" s="170">
        <f t="shared" si="1869"/>
        <v>143052.32621283454</v>
      </c>
      <c r="AD658" s="175">
        <f t="shared" si="1890"/>
        <v>1.6068335174106625E-2</v>
      </c>
      <c r="AE658" s="170"/>
      <c r="AF658" s="170"/>
      <c r="AG658" s="121">
        <f t="shared" si="1891"/>
        <v>529.40970653613113</v>
      </c>
      <c r="AH658" s="119">
        <f>+AZ658/$BB$58</f>
        <v>7.0270576998333759E-3</v>
      </c>
      <c r="AI658" s="119">
        <f>+AZ658/$BC$59</f>
        <v>2.9647640831807397E-2</v>
      </c>
      <c r="AJ658" s="176">
        <f t="shared" si="1896"/>
        <v>3.720192554681248</v>
      </c>
      <c r="AK658" s="176">
        <f t="shared" si="1897"/>
        <v>15.695748832255772</v>
      </c>
      <c r="AL658" s="120">
        <f t="shared" si="1879"/>
        <v>0.2471363172903627</v>
      </c>
      <c r="AM658" s="120">
        <f t="shared" si="1880"/>
        <v>0.35789954613340763</v>
      </c>
      <c r="AN658" s="120">
        <f t="shared" si="1881"/>
        <v>0.39496413657622959</v>
      </c>
      <c r="AO658" s="120">
        <f t="shared" si="1885"/>
        <v>-1.2974138558557308E-2</v>
      </c>
      <c r="AP658" s="173">
        <f t="shared" si="1901"/>
        <v>131.78617684326377</v>
      </c>
      <c r="AQ658" s="175">
        <f t="shared" si="1902"/>
        <v>-1.297413855855719E-2</v>
      </c>
      <c r="AR658" s="177">
        <f>+AC658/$AE$58</f>
        <v>1.0444314886795673E-2</v>
      </c>
      <c r="AS658" s="177">
        <f t="shared" si="1898"/>
        <v>-1.3550598849048861E-4</v>
      </c>
      <c r="AT658" s="177"/>
      <c r="AU658" s="177"/>
      <c r="AV658" s="177"/>
      <c r="AW658" s="190"/>
      <c r="AX658" s="120"/>
      <c r="AY658" s="120"/>
      <c r="AZ658" s="118">
        <f>IFERROR(INDEX('Total Customers'!$F$7:$AB$91,MATCH($C658,'Total Customers'!$D$7:$D$91,0),MATCH($G658,'Total Customers'!$F$5:$AB$5,0)),"NA")</f>
        <v>270211</v>
      </c>
      <c r="BA658" s="119">
        <f t="shared" si="1859"/>
        <v>5.1834446561590747E-3</v>
      </c>
      <c r="BB658" s="119"/>
      <c r="BC658" s="121">
        <v>9060252</v>
      </c>
      <c r="BD658" s="119"/>
      <c r="BE658" s="119"/>
      <c r="BF658" s="119"/>
      <c r="BG658" s="173"/>
      <c r="BH658" s="173"/>
      <c r="BI658" s="173"/>
      <c r="BJ658" s="173"/>
      <c r="BK658" s="173"/>
      <c r="BL658" s="173"/>
      <c r="BM658" s="173"/>
      <c r="BN658" s="173"/>
      <c r="BO658" s="173"/>
      <c r="BP658" s="173"/>
      <c r="BQ658" s="118"/>
      <c r="BR658" s="118"/>
      <c r="BS658" s="118">
        <f>INDEX('Dist. Plant Gas Additions'!$F$7:$AE$91,MATCH($C658,'Dist. Plant Gas Additions'!$D$7:$D$91,0),MATCH(Calculation!$G658,'Dist. Plant Gas Additions'!$F$5:$AE$5,0))</f>
        <v>63498</v>
      </c>
      <c r="BT658" s="118">
        <f>INDEX('Gen. Plant Additions'!$F$7:$AE$91,MATCH($C658,'Gen. Plant Additions'!$D$7:$D$91,0),MATCH(Calculation!$G658,'Gen. Plant Additions'!$F$5:$AE$5,0))</f>
        <v>973</v>
      </c>
      <c r="BU658" s="118"/>
      <c r="BV658" s="118"/>
      <c r="BW658" s="118">
        <f>INDEX('Dist Plant Depreciation'!$E$7:$AD$94,MATCH($C658,'Dist Plant Depreciation'!$D$7:$D$94,0),MATCH(Calculation!$G658,'Dist Plant Depreciation'!$E$5:$AD$5,0))</f>
        <v>379322</v>
      </c>
      <c r="BX658" s="118">
        <f>INDEX('Gen. Plant Depreciation'!$E$7:$AD$94,MATCH($C658,'Gen. Plant Depreciation'!$D$7:$D$94,0),MATCH(Calculation!$G658,'Gen. Plant Depreciation'!$E$5:$AD$5,0))</f>
        <v>14458</v>
      </c>
      <c r="BY658" s="118"/>
      <c r="BZ658" s="118"/>
      <c r="CA658" s="118"/>
      <c r="CB658" s="118"/>
      <c r="CC658" s="118"/>
      <c r="CD658" s="118"/>
      <c r="CE658" s="118">
        <f>INDEX('Gross Dx Plant'!$E$7:$AD$91,MATCH($C658,'Gross Dx Plant'!$D$7:$D$91,0),MATCH(Calculation!$G658,'Gross Dx Plant'!$E$5:$AD$5,0))</f>
        <v>1138047</v>
      </c>
      <c r="CF658" s="118">
        <f>INDEX('Gross Gen Plant'!$E$7:$AD$91,MATCH($C658,'Gross Gen Plant'!$D$7:$D$91,0),MATCH(Calculation!$G658,'Gross Gen Plant'!$E$5:$AD$5,0))</f>
        <v>24645</v>
      </c>
      <c r="CG658" s="118">
        <f t="shared" si="1923"/>
        <v>768912</v>
      </c>
      <c r="CH658" s="118"/>
      <c r="CI658" s="121">
        <v>2020</v>
      </c>
      <c r="CJ658" s="118"/>
      <c r="CK658" s="118"/>
      <c r="CL658" s="118"/>
      <c r="CM658" s="183"/>
      <c r="CN658" s="118">
        <f t="shared" si="1860"/>
        <v>64471</v>
      </c>
      <c r="CO658" s="118">
        <f t="shared" si="1861"/>
        <v>79.292304715728719</v>
      </c>
      <c r="CP658" s="186">
        <v>0.84057971014492749</v>
      </c>
      <c r="CQ658" s="118">
        <f>CQ636*CP658+CO637*CP657+CO638*CP656+CO639*CP655+CO640*CP654+CO641*CP653+CO642*CP652+CO643*CP651+CO644*CP650+CO645*CP649+CO646*CP648+CO647*CP647+CO648*CP646+CO649*CP645+CO650*CP644+CO651*CP643+CO652*CP642+CO653*CP641+CO654*CP640+CO655*CP639+CO656*CP638+CO657*CP637+CO658</f>
        <v>2780.4116293499592</v>
      </c>
      <c r="CR658" s="119">
        <f t="shared" si="1862"/>
        <v>1.8659817281785656E-2</v>
      </c>
      <c r="CS658" s="119"/>
      <c r="CT658" s="177">
        <f t="shared" si="1863"/>
        <v>1.0220329615571563E-2</v>
      </c>
      <c r="CU658" s="177">
        <f t="shared" si="1872"/>
        <v>9.8996056143475994E-3</v>
      </c>
      <c r="CV658" s="119">
        <f>VLOOKUP($H658,RoR!$E:$F,2,FALSE)</f>
        <v>2.4766666666666666E-2</v>
      </c>
      <c r="CW658" s="177">
        <v>1.1618796630994188E-2</v>
      </c>
      <c r="CX658" s="177">
        <f t="shared" si="1870"/>
        <v>1.3147870035672478E-2</v>
      </c>
      <c r="CY658" s="177">
        <f t="shared" si="1873"/>
        <v>2.1002335994186026E-2</v>
      </c>
      <c r="CZ658" s="177">
        <f t="shared" si="1874"/>
        <v>4.5144642961987357E-2</v>
      </c>
      <c r="DA658" s="187">
        <f t="shared" si="1864"/>
        <v>0.90381374874999998</v>
      </c>
      <c r="DB658" s="188">
        <f t="shared" si="1865"/>
        <v>2.0706077233668081</v>
      </c>
      <c r="DC658" s="188">
        <f t="shared" si="1866"/>
        <v>-3.4421265141318998E-2</v>
      </c>
      <c r="DD658" s="188">
        <f t="shared" si="1867"/>
        <v>0.62416226176410472</v>
      </c>
      <c r="DE658" s="188">
        <f t="shared" si="1868"/>
        <v>-4.4485877841158712E-2</v>
      </c>
      <c r="DF658" s="189">
        <f>INDEX('State Tax Lookup'!$D$7:$Z$91,MATCH(Calculation!$C658,'State Tax Lookup'!$B$7:$B$91,0),MATCH($H658,'State Tax Lookup'!$D$6:$Z$6,0))</f>
        <v>0.25649666999999998</v>
      </c>
      <c r="DG658" s="189">
        <v>0.375</v>
      </c>
      <c r="DH658" s="190">
        <f t="shared" si="1871"/>
        <v>20.703670463887537</v>
      </c>
      <c r="DI658" s="190">
        <v>20.322933578558519</v>
      </c>
      <c r="DJ658" s="177"/>
      <c r="DK658" s="189">
        <f>VLOOKUP($H658,RoR!$E:$F,2,FALSE)</f>
        <v>2.4766666666666666E-2</v>
      </c>
      <c r="DL658" s="191">
        <f>HLOOKUP($H658,'GDP-PI'!$D$8:$CQ$11,3,FALSE)</f>
        <v>1.1618796630994188E-2</v>
      </c>
      <c r="DM658" s="189">
        <f>VLOOKUP(H658,'HW Dx Data'!$E:$F,2,FALSE)</f>
        <v>813.080162458833</v>
      </c>
      <c r="DN658" s="183">
        <f>VLOOKUP(H658,'ECI - Input Price'!$G$17:$H$37,2,FALSE)</f>
        <v>140.44999999999999</v>
      </c>
      <c r="DO658" s="177">
        <f t="shared" ref="DO658" si="1928">LN(DN658/DN657)</f>
        <v>2.5966118063564539E-2</v>
      </c>
      <c r="DP658" s="183">
        <f>HLOOKUP(H658,'GDP-PI'!$8:$9,2,FALSE)</f>
        <v>113.623</v>
      </c>
      <c r="DQ658" s="177">
        <f t="shared" ref="DQ658" si="1929">LN(DP658/DP657)</f>
        <v>1.1551816731392881E-2</v>
      </c>
    </row>
    <row r="659" spans="1:121" s="167" customFormat="1" ht="21" x14ac:dyDescent="0.35">
      <c r="A659" s="167" t="s">
        <v>72</v>
      </c>
      <c r="B659" s="167" t="s">
        <v>72</v>
      </c>
      <c r="C659" s="167">
        <v>4004389</v>
      </c>
      <c r="D659" s="167" t="s">
        <v>136</v>
      </c>
      <c r="E659" s="167" t="s">
        <v>126</v>
      </c>
      <c r="G659" s="168" t="s">
        <v>462</v>
      </c>
      <c r="H659" s="169">
        <v>2021</v>
      </c>
      <c r="I659" s="170"/>
      <c r="J659" s="166">
        <f>IFERROR(INDEX('Labor Expenditures'!$E$7:$X$91,MATCH($C659,'Labor Expenditures'!$D$7:$D$91,0),MATCH($G659,'Labor Expenditures'!$E$5:$X$5,0)),"NA")</f>
        <v>37450.337729208717</v>
      </c>
      <c r="K659" s="166">
        <f t="shared" si="1877"/>
        <v>257.43487010970074</v>
      </c>
      <c r="L659" s="171">
        <f t="shared" si="1884"/>
        <v>2.246775289247796E-2</v>
      </c>
      <c r="M659" s="172">
        <f t="shared" si="1888"/>
        <v>2.4161236579202332E-4</v>
      </c>
      <c r="N659" s="196"/>
      <c r="O659" s="172"/>
      <c r="P659" s="166">
        <f>IFERROR(INDEX('Non-Labor Expenditures'!$E$7:$AB$91,MATCH($C659,'Non-Labor Expenditures'!$D$7:$D$91,0),MATCH($G659,'Non-Labor Expenditures'!$E$5:$AB$5,0)),"NA")</f>
        <v>52791.439931535184</v>
      </c>
      <c r="Q659" s="166">
        <f t="shared" si="1878"/>
        <v>445.53498127719797</v>
      </c>
      <c r="R659" s="172">
        <f t="shared" si="1889"/>
        <v>-1.1301114737658378E-2</v>
      </c>
      <c r="S659" s="172">
        <f t="shared" si="1894"/>
        <v>-1.2152924597843915E-4</v>
      </c>
      <c r="T659" s="172"/>
      <c r="U659" s="172"/>
      <c r="V659" s="166">
        <f t="shared" si="1858"/>
        <v>68358.969241077008</v>
      </c>
      <c r="W659" s="170"/>
      <c r="X659" s="174">
        <v>2861.1648689063395</v>
      </c>
      <c r="Y659" s="175"/>
      <c r="Z659" s="175">
        <f t="shared" si="1895"/>
        <v>0</v>
      </c>
      <c r="AA659" s="175"/>
      <c r="AB659" s="175"/>
      <c r="AC659" s="170">
        <f t="shared" si="1869"/>
        <v>158600.74690182091</v>
      </c>
      <c r="AD659" s="175">
        <f t="shared" si="1890"/>
        <v>0.10317953763212276</v>
      </c>
      <c r="AE659" s="118"/>
      <c r="AF659" s="119"/>
      <c r="AG659" s="121">
        <f t="shared" si="1891"/>
        <v>584.04864926247046</v>
      </c>
      <c r="AH659" s="119">
        <f>+AZ659/$BB$59</f>
        <v>6.9671793821092327E-3</v>
      </c>
      <c r="AI659" s="119">
        <f t="shared" ref="AI659" si="1930">+AZ659/$BC$44</f>
        <v>3.2926104869463346E-2</v>
      </c>
      <c r="AJ659" s="176">
        <f t="shared" si="1896"/>
        <v>4.0691717072902307</v>
      </c>
      <c r="AK659" s="176">
        <f t="shared" si="1897"/>
        <v>19.23044707448452</v>
      </c>
      <c r="AL659" s="120">
        <f t="shared" si="1879"/>
        <v>0.23612964289753133</v>
      </c>
      <c r="AM659" s="120">
        <f t="shared" si="1880"/>
        <v>0.3328574484218213</v>
      </c>
      <c r="AN659" s="120">
        <f t="shared" si="1881"/>
        <v>0.4310129086806474</v>
      </c>
      <c r="AO659" s="120">
        <f t="shared" si="1885"/>
        <v>1.5257880617694946E-3</v>
      </c>
      <c r="AP659" s="173">
        <f t="shared" si="1901"/>
        <v>131.98740809768094</v>
      </c>
      <c r="AQ659" s="175">
        <f t="shared" si="1902"/>
        <v>1.5257880617694406E-3</v>
      </c>
      <c r="AR659" s="177">
        <f>+AC659/$AE$59</f>
        <v>1.0753739679632732E-2</v>
      </c>
      <c r="AS659" s="177">
        <f t="shared" si="1898"/>
        <v>1.6407927622559953E-5</v>
      </c>
      <c r="AT659" s="177"/>
      <c r="AU659" s="177"/>
      <c r="AV659" s="177"/>
      <c r="AW659" s="190"/>
      <c r="AX659" s="120"/>
      <c r="AY659" s="120"/>
      <c r="AZ659" s="118">
        <f>INDEX('Total Customers'!$E$7:$E$91,MATCH(Calculation!$C659,'Total Customers'!$D$7:$D$91,0))</f>
        <v>271554</v>
      </c>
      <c r="BA659" s="119">
        <f t="shared" si="1859"/>
        <v>4.9578793424236434E-3</v>
      </c>
      <c r="BB659" s="118"/>
      <c r="BC659" s="121"/>
      <c r="BD659" s="118"/>
      <c r="BE659" s="119"/>
      <c r="BF659" s="119"/>
      <c r="BG659" s="173"/>
      <c r="BH659" s="173"/>
      <c r="BI659" s="173"/>
      <c r="BJ659" s="173"/>
      <c r="BK659" s="173"/>
      <c r="BL659" s="173"/>
      <c r="BM659" s="173"/>
      <c r="BN659" s="173"/>
      <c r="BO659" s="173"/>
      <c r="BP659" s="173"/>
      <c r="BQ659" s="118"/>
      <c r="BR659" s="118"/>
      <c r="BS659" s="118">
        <f>INDEX('Dist. Plant Gas Additions'!$E$7:$AE$91,MATCH($C659,'Dist. Plant Gas Additions'!$D$7:$D$91,0),MATCH(Calculation!$G659,'Dist. Plant Gas Additions'!$E$5:$AE$5,0))</f>
        <v>93161</v>
      </c>
      <c r="BT659" s="118">
        <f>INDEX('Gen. Plant Additions'!$E$7:$AE$91,MATCH($C659,'Gen. Plant Additions'!$D$7:$D$91,0),MATCH(Calculation!$G659,'Gen. Plant Additions'!$E$5:$AE$5,0))</f>
        <v>1093</v>
      </c>
      <c r="BU659" s="118"/>
      <c r="BV659" s="118"/>
      <c r="BW659" s="118"/>
      <c r="BX659" s="118"/>
      <c r="BY659" s="183"/>
      <c r="BZ659" s="183"/>
      <c r="CA659" s="178"/>
      <c r="CB659" s="184"/>
      <c r="CC659" s="185"/>
      <c r="CD659" s="185"/>
      <c r="CE659" s="118"/>
      <c r="CF659" s="118"/>
      <c r="CG659" s="118"/>
      <c r="CH659" s="118"/>
      <c r="CI659" s="121">
        <v>2021</v>
      </c>
      <c r="CJ659" s="118"/>
      <c r="CK659" s="118"/>
      <c r="CL659" s="118"/>
      <c r="CM659" s="183"/>
      <c r="CN659" s="118">
        <f t="shared" si="1860"/>
        <v>94254</v>
      </c>
      <c r="CO659" s="118">
        <f t="shared" si="1861"/>
        <v>101.0200719480361</v>
      </c>
      <c r="CP659" s="186">
        <f>+(51-23)/(51-23*0.75)</f>
        <v>0.82962962962962961</v>
      </c>
      <c r="CQ659" s="118">
        <f>CQ636*CP659+CO637*CP658+CO638*CP657+CO639*CP656+CO640*CP655+CO641*CP654+CO642*CP653+CO643*CP652+CO644*CP651+CO645*CP650+CO646*CP649+CO647*CP648+CO648*CP647+CO649*CP646+CO650*CP645+CO641*CP644+CO652*CP643+CO653*CP642+CO654*CP641+CO655*CP640+CO656*CP639+CO657*CP638+CO659+CO658*CP637</f>
        <v>2861.1648689063395</v>
      </c>
      <c r="CR659" s="119"/>
      <c r="CS659" s="118"/>
      <c r="CT659" s="177">
        <f t="shared" si="1863"/>
        <v>7.2891481886061694E-3</v>
      </c>
      <c r="CU659" s="177">
        <f t="shared" si="1872"/>
        <v>9.1453167045023823E-3</v>
      </c>
      <c r="CV659" s="119">
        <f>VLOOKUP($H659,RoR!$E:$F,2,FALSE)</f>
        <v>2.7033333333333336E-2</v>
      </c>
      <c r="CW659" s="177"/>
      <c r="CX659" s="177"/>
      <c r="CY659" s="177">
        <f t="shared" si="1873"/>
        <v>2.1756624904031241E-2</v>
      </c>
      <c r="CZ659" s="177">
        <f t="shared" si="1874"/>
        <v>7.433422950153494E-2</v>
      </c>
      <c r="DA659" s="187">
        <f t="shared" si="1864"/>
        <v>0.90381374874999998</v>
      </c>
      <c r="DB659" s="188">
        <f t="shared" si="1865"/>
        <v>1.8969932656739068</v>
      </c>
      <c r="DC659" s="188">
        <f t="shared" si="1866"/>
        <v>5.0215782983970621E-2</v>
      </c>
      <c r="DD659" s="188">
        <f t="shared" si="1867"/>
        <v>0.655952481704143</v>
      </c>
      <c r="DE659" s="188">
        <f t="shared" si="1868"/>
        <v>6.2485378865697057E-2</v>
      </c>
      <c r="DF659" s="189">
        <f>DF658</f>
        <v>0.25649666999999998</v>
      </c>
      <c r="DG659" s="189">
        <v>0.375</v>
      </c>
      <c r="DH659" s="190">
        <f t="shared" si="1871"/>
        <v>24.585916890679549</v>
      </c>
      <c r="DI659" s="190"/>
      <c r="DJ659" s="177">
        <f t="shared" ref="DJ659" si="1931">LN(DH659/DH658)</f>
        <v>0.17186279323947659</v>
      </c>
      <c r="DK659" s="189">
        <f>VLOOKUP($H659,RoR!$E:$F,2,FALSE)</f>
        <v>2.7033333333333336E-2</v>
      </c>
      <c r="DL659" s="191">
        <f>HLOOKUP($H659,'GDP-PI'!$D$8:$CR$11,3,FALSE)</f>
        <v>4.2834637353352578E-2</v>
      </c>
      <c r="DM659" s="189">
        <f>VLOOKUP(H659,'HW Dx Data'!$E:$F,2,FALSE)</f>
        <v>933.02249921662576</v>
      </c>
      <c r="DN659" s="183">
        <f>VLOOKUP(H659,'ECI - Input Price'!$G$17:$H$37,2,FALSE)</f>
        <v>145.47500000000002</v>
      </c>
      <c r="DO659" s="177">
        <f t="shared" ref="DO659" si="1932">LN(DN659/DN658)</f>
        <v>3.5152696992481205E-2</v>
      </c>
      <c r="DP659" s="183">
        <f>HLOOKUP(H659,'GDP-PI'!$8:$9,2,FALSE)</f>
        <v>118.49</v>
      </c>
      <c r="DQ659" s="177">
        <f t="shared" ref="DQ659" si="1933">LN(DP659/DP658)</f>
        <v>4.194261824609434E-2</v>
      </c>
    </row>
    <row r="660" spans="1:121" s="167" customFormat="1" ht="21" x14ac:dyDescent="0.35">
      <c r="A660" s="167" t="s">
        <v>73</v>
      </c>
      <c r="B660" s="168" t="s">
        <v>73</v>
      </c>
      <c r="C660" s="168">
        <v>4057014</v>
      </c>
      <c r="D660" s="168" t="s">
        <v>136</v>
      </c>
      <c r="E660" s="168" t="s">
        <v>126</v>
      </c>
      <c r="F660" s="168"/>
      <c r="G660" s="168" t="s">
        <v>4</v>
      </c>
      <c r="H660" s="169">
        <v>1998</v>
      </c>
      <c r="I660" s="170"/>
      <c r="J660" s="166"/>
      <c r="K660" s="166"/>
      <c r="L660" s="166"/>
      <c r="M660" s="166"/>
      <c r="N660" s="196"/>
      <c r="O660" s="166"/>
      <c r="P660" s="172"/>
      <c r="Q660" s="172"/>
      <c r="R660" s="172"/>
      <c r="S660" s="166"/>
      <c r="T660" s="172"/>
      <c r="U660" s="172"/>
      <c r="V660" s="166"/>
      <c r="W660" s="170"/>
      <c r="X660" s="174">
        <v>3676.8940307587759</v>
      </c>
      <c r="Y660" s="175"/>
      <c r="Z660" s="166"/>
      <c r="AA660" s="175"/>
      <c r="AB660" s="175"/>
      <c r="AC660" s="170">
        <f t="shared" si="1869"/>
        <v>0</v>
      </c>
      <c r="AD660" s="170"/>
      <c r="AE660" s="170"/>
      <c r="AF660" s="119"/>
      <c r="AG660" s="174"/>
      <c r="AH660" s="175"/>
      <c r="AI660" s="175"/>
      <c r="AJ660" s="174"/>
      <c r="AK660" s="174"/>
      <c r="AL660" s="120"/>
      <c r="AM660" s="120"/>
      <c r="AN660" s="120"/>
      <c r="AO660" s="120"/>
      <c r="AP660" s="120"/>
      <c r="AQ660" s="175">
        <f>AVERAGE(AQ669:AQ683)</f>
        <v>1.4714364215452377E-2</v>
      </c>
      <c r="AR660" s="120"/>
      <c r="AS660" s="120"/>
      <c r="AT660" s="120"/>
      <c r="AU660" s="120"/>
      <c r="AV660" s="120"/>
      <c r="AW660" s="120"/>
      <c r="AX660" s="120"/>
      <c r="AY660" s="120"/>
      <c r="AZ660" s="118">
        <f>IFERROR(INDEX('Total Customers'!$F$7:$AB$91,MATCH($C660,'Total Customers'!$D$7:$D$91,0),MATCH($G660,'Total Customers'!$F$5:$AB$5,0)),"NA")</f>
        <v>530634</v>
      </c>
      <c r="BA660" s="119"/>
      <c r="BB660" s="119"/>
      <c r="BC660" s="121"/>
      <c r="BD660" s="119"/>
      <c r="BE660" s="119"/>
      <c r="BF660" s="119"/>
      <c r="BG660" s="173"/>
      <c r="BH660" s="173"/>
      <c r="BI660" s="173"/>
      <c r="BJ660" s="173"/>
      <c r="BK660" s="173"/>
      <c r="BL660" s="173"/>
      <c r="BM660" s="173"/>
      <c r="BN660" s="173"/>
      <c r="BO660" s="173"/>
      <c r="BP660" s="173"/>
      <c r="BQ660" s="118">
        <f>INDEX('Gross Dx Plant'!$E$7:$AD$91,MATCH($C660,'Gross Dx Plant'!$D$7:$D$91,0),MATCH(Calculation!$G660,'Gross Dx Plant'!$E$5:$AD$5,0))</f>
        <v>1080651</v>
      </c>
      <c r="BR660" s="118">
        <f>INDEX('Gross Gen Plant'!$E$7:$AD$91,MATCH($C660,'Gross Gen Plant'!$D$7:$D$91,0),MATCH(Calculation!$G660,'Gross Gen Plant'!$E$5:$AD$5,0))</f>
        <v>31632</v>
      </c>
      <c r="BS660" s="118">
        <f>INDEX('Dist. Plant Gas Additions'!$F$7:$AE$91,MATCH($C660,'Dist. Plant Gas Additions'!$D$7:$D$91,0),MATCH(Calculation!$G660,'Dist. Plant Gas Additions'!$F$5:$AE$5,0))</f>
        <v>41808</v>
      </c>
      <c r="BT660" s="118">
        <f>INDEX('Gen. Plant Additions'!$F$7:$AE$91,MATCH($C660,'Gen. Plant Additions'!$D$7:$D$91,0),MATCH(Calculation!$G660,'Gen. Plant Additions'!$F$5:$AE$5,0))</f>
        <v>7268</v>
      </c>
      <c r="BU660" s="118" t="e">
        <f>INDEX('Dist Plant Depreciation'!$E$7:$AA$94,MATCH($C660,'Dist Plant Depreciation'!$D$7:$D$94,0),MATCH(#REF!,'Dist Plant Depreciation'!$E$5:$AA$5,0))</f>
        <v>#REF!</v>
      </c>
      <c r="BV660" s="118" t="e">
        <f>INDEX('Gen. Plant Depreciation'!$E$7:$AA$94,MATCH($C660,'Gen. Plant Depreciation'!$D$7:$D$94,0),MATCH(#REF!,'Gen. Plant Depreciation'!$E$5:$AA$5,0))</f>
        <v>#REF!</v>
      </c>
      <c r="BW660" s="118">
        <f>INDEX('Dist Plant Depreciation'!$E$7:$AD$94,MATCH($C660,'Dist Plant Depreciation'!$D$7:$D$94,0),MATCH(Calculation!$G660,'Dist Plant Depreciation'!$E$5:$AD$5,0))</f>
        <v>338949.5</v>
      </c>
      <c r="BX660" s="118" t="str">
        <f>INDEX('Gen. Plant Depreciation'!$E$7:$AD$94,MATCH($C660,'Gen. Plant Depreciation'!$D$7:$D$94,0),MATCH(Calculation!$G660,'Gen. Plant Depreciation'!$E$5:$AD$5,0))</f>
        <v>NA</v>
      </c>
      <c r="BY660" s="118"/>
      <c r="BZ660" s="118"/>
      <c r="CA660" s="118"/>
      <c r="CB660" s="118"/>
      <c r="CC660" s="118"/>
      <c r="CD660" s="118"/>
      <c r="CE660" s="118">
        <f>INDEX('Gross Dx Plant'!$E$7:$AD$91,MATCH($C660,'Gross Dx Plant'!$D$7:$D$91,0),MATCH(Calculation!$G660,'Gross Dx Plant'!$E$5:$AD$5,0))</f>
        <v>1080651</v>
      </c>
      <c r="CF660" s="118">
        <f>INDEX('Gross Gen Plant'!$E$7:$AD$91,MATCH($C660,'Gross Gen Plant'!$D$7:$D$91,0),MATCH(Calculation!$G660,'Gross Gen Plant'!$E$5:$AD$5,0))</f>
        <v>31632</v>
      </c>
      <c r="CG660" s="118" t="str">
        <f t="shared" si="1923"/>
        <v>NA</v>
      </c>
      <c r="CH660" s="118"/>
      <c r="CI660" s="121">
        <v>1998</v>
      </c>
      <c r="CJ660" s="118">
        <f>BQ660+BR660</f>
        <v>1112283</v>
      </c>
      <c r="CK660" s="118">
        <f>338950+31632</f>
        <v>370582</v>
      </c>
      <c r="CL660" s="118">
        <f>+CJ660-CK660</f>
        <v>741701</v>
      </c>
      <c r="CM660" s="118">
        <f>CL660/$CD$36</f>
        <v>3676.8940307587759</v>
      </c>
      <c r="CN660" s="183"/>
      <c r="CO660" s="183"/>
      <c r="CP660" s="186">
        <v>1</v>
      </c>
      <c r="CQ660" s="118">
        <f>+CM660</f>
        <v>3676.8940307587759</v>
      </c>
      <c r="CR660" s="119"/>
      <c r="CS660" s="119"/>
      <c r="CT660" s="177"/>
      <c r="CU660" s="177"/>
      <c r="CV660" s="119" t="e">
        <f>VLOOKUP($H660,RoR!$E:$F,2,FALSE)</f>
        <v>#N/A</v>
      </c>
      <c r="CW660" s="177">
        <v>1.1028127770464469E-2</v>
      </c>
      <c r="CX660" s="177"/>
      <c r="CY660" s="177"/>
      <c r="CZ660" s="177"/>
      <c r="DA660" s="187"/>
      <c r="DB660" s="190" t="e">
        <f>2/(DK660*39)</f>
        <v>#N/A</v>
      </c>
      <c r="DC660" s="188" t="e">
        <f>+(DK660*40-(1+DK660))/(DK660*40)</f>
        <v>#N/A</v>
      </c>
      <c r="DD660" s="188" t="e">
        <f>+(1-(1/(1+DK660)^40))</f>
        <v>#N/A</v>
      </c>
      <c r="DE660" s="188" t="e">
        <f>+DD660*DC660*DB660</f>
        <v>#N/A</v>
      </c>
      <c r="DF660" s="189">
        <f>INDEX('State Tax Lookup'!$D$7:$Z$91,MATCH(Calculation!$C660,'State Tax Lookup'!$B$7:$B$91,0),MATCH($H660,'State Tax Lookup'!$D$6:$Z$6,0))</f>
        <v>0.39649667</v>
      </c>
      <c r="DG660" s="189">
        <v>0.375</v>
      </c>
      <c r="DH660" s="183"/>
      <c r="DI660" s="183"/>
      <c r="DJ660" s="177"/>
      <c r="DK660" s="189" t="e">
        <f>VLOOKUP($H660,RoR!$E:$F,2,FALSE)</f>
        <v>#N/A</v>
      </c>
      <c r="DL660" s="191">
        <f>HLOOKUP($H660,'GDP-PI'!$D$8:$CQ$11,3,FALSE)</f>
        <v>1.1028127770464469E-2</v>
      </c>
      <c r="DM660" s="189">
        <f>VLOOKUP(H660,'HW Dx Data'!$E:$F,2,FALSE)</f>
        <v>329.24564746449528</v>
      </c>
      <c r="DN660" s="183" t="e">
        <f>VLOOKUP(H660,'ECI - Input Price'!$G$17:$H$37,2,FALSE)</f>
        <v>#N/A</v>
      </c>
      <c r="DO660" s="177"/>
      <c r="DP660" s="183">
        <f>HLOOKUP(H660,'GDP-PI'!$8:$9,2,FALSE)</f>
        <v>75.266999999999996</v>
      </c>
    </row>
    <row r="661" spans="1:121" s="167" customFormat="1" ht="21" x14ac:dyDescent="0.35">
      <c r="A661" s="167" t="s">
        <v>73</v>
      </c>
      <c r="B661" s="168" t="s">
        <v>73</v>
      </c>
      <c r="C661" s="168">
        <v>4057014</v>
      </c>
      <c r="D661" s="168" t="s">
        <v>136</v>
      </c>
      <c r="E661" s="168" t="s">
        <v>126</v>
      </c>
      <c r="F661" s="168"/>
      <c r="G661" s="168" t="s">
        <v>5</v>
      </c>
      <c r="H661" s="169">
        <v>1999</v>
      </c>
      <c r="I661" s="170"/>
      <c r="J661" s="166"/>
      <c r="K661" s="170"/>
      <c r="L661" s="170"/>
      <c r="M661" s="166"/>
      <c r="N661" s="173"/>
      <c r="O661" s="170"/>
      <c r="P661" s="177"/>
      <c r="Q661" s="177"/>
      <c r="R661" s="177"/>
      <c r="S661" s="195"/>
      <c r="T661" s="177"/>
      <c r="U661" s="177"/>
      <c r="V661" s="166">
        <f t="shared" ref="V661:V683" si="1934">+CQ660*DH661</f>
        <v>0</v>
      </c>
      <c r="W661" s="170"/>
      <c r="X661" s="174">
        <v>3876.7297123116891</v>
      </c>
      <c r="Y661" s="175">
        <v>5.292355815908923E-2</v>
      </c>
      <c r="Z661" s="175"/>
      <c r="AA661" s="175"/>
      <c r="AB661" s="175"/>
      <c r="AC661" s="170">
        <f t="shared" si="1869"/>
        <v>0</v>
      </c>
      <c r="AD661" s="175"/>
      <c r="AE661" s="170"/>
      <c r="AF661" s="119"/>
      <c r="AG661" s="174"/>
      <c r="AH661" s="175"/>
      <c r="AI661" s="175"/>
      <c r="AJ661" s="174"/>
      <c r="AK661" s="174"/>
      <c r="AL661" s="120"/>
      <c r="AM661" s="120"/>
      <c r="AN661" s="120"/>
      <c r="AO661" s="120"/>
      <c r="AP661" s="120"/>
      <c r="AQ661" s="175"/>
      <c r="AR661" s="120"/>
      <c r="AS661" s="120"/>
      <c r="AT661" s="120"/>
      <c r="AU661" s="120"/>
      <c r="AV661" s="120"/>
      <c r="AW661" s="120"/>
      <c r="AX661" s="120"/>
      <c r="AY661" s="120"/>
      <c r="AZ661" s="118">
        <f>IFERROR(INDEX('Total Customers'!$F$7:$AB$91,MATCH($C661,'Total Customers'!$D$7:$D$91,0),MATCH($G661,'Total Customers'!$F$5:$AB$5,0)),"NA")</f>
        <v>538554</v>
      </c>
      <c r="BA661" s="119">
        <f t="shared" ref="BA661:BA683" si="1935">LN(AZ661/AZ660)</f>
        <v>1.4815252067902013E-2</v>
      </c>
      <c r="BB661" s="119"/>
      <c r="BC661" s="121"/>
      <c r="BD661" s="119"/>
      <c r="BE661" s="119"/>
      <c r="BF661" s="119"/>
      <c r="BG661" s="173"/>
      <c r="BH661" s="173"/>
      <c r="BI661" s="173"/>
      <c r="BJ661" s="173"/>
      <c r="BK661" s="173"/>
      <c r="BL661" s="173"/>
      <c r="BM661" s="173"/>
      <c r="BN661" s="173"/>
      <c r="BO661" s="173"/>
      <c r="BP661" s="173"/>
      <c r="BQ661" s="118"/>
      <c r="BR661" s="118"/>
      <c r="BS661" s="118">
        <f>INDEX('Dist. Plant Gas Additions'!$F$7:$AE$91,MATCH($C661,'Dist. Plant Gas Additions'!$D$7:$D$91,0),MATCH(Calculation!$G661,'Dist. Plant Gas Additions'!$F$5:$AE$5,0))</f>
        <v>71563</v>
      </c>
      <c r="BT661" s="118">
        <f>INDEX('Gen. Plant Additions'!$F$7:$AE$91,MATCH($C661,'Gen. Plant Additions'!$D$7:$D$91,0),MATCH(Calculation!$G661,'Gen. Plant Additions'!$F$5:$AE$5,0))</f>
        <v>1581</v>
      </c>
      <c r="BU661" s="118"/>
      <c r="BV661" s="118"/>
      <c r="BW661" s="118">
        <f>INDEX('Dist Plant Depreciation'!$E$7:$AD$94,MATCH($C661,'Dist Plant Depreciation'!$D$7:$D$94,0),MATCH(Calculation!$G661,'Dist Plant Depreciation'!$E$5:$AD$5,0))</f>
        <v>363090</v>
      </c>
      <c r="BX661" s="118">
        <f>INDEX('Gen. Plant Depreciation'!$E$7:$AD$94,MATCH($C661,'Gen. Plant Depreciation'!$D$7:$D$94,0),MATCH(Calculation!$G661,'Gen. Plant Depreciation'!$E$5:$AD$5,0))</f>
        <v>7314</v>
      </c>
      <c r="BY661" s="118"/>
      <c r="BZ661" s="118"/>
      <c r="CA661" s="118"/>
      <c r="CB661" s="118"/>
      <c r="CC661" s="118"/>
      <c r="CD661" s="118"/>
      <c r="CE661" s="118">
        <f>INDEX('Gross Dx Plant'!$E$7:$AD$91,MATCH($C661,'Gross Dx Plant'!$D$7:$D$91,0),MATCH(Calculation!$G661,'Gross Dx Plant'!$E$5:$AD$5,0))</f>
        <v>1146296</v>
      </c>
      <c r="CF661" s="118">
        <f>INDEX('Gross Gen Plant'!$E$7:$AD$91,MATCH($C661,'Gross Gen Plant'!$D$7:$D$91,0),MATCH(Calculation!$G661,'Gross Gen Plant'!$E$5:$AD$5,0))</f>
        <v>33212</v>
      </c>
      <c r="CG661" s="118">
        <f t="shared" si="1923"/>
        <v>809104</v>
      </c>
      <c r="CH661" s="118"/>
      <c r="CI661" s="121">
        <v>1999</v>
      </c>
      <c r="CJ661" s="118"/>
      <c r="CK661" s="118"/>
      <c r="CL661" s="118"/>
      <c r="CM661" s="183"/>
      <c r="CN661" s="118">
        <f t="shared" ref="CN661:CN683" si="1936">+BT661+BS661</f>
        <v>73144</v>
      </c>
      <c r="CO661" s="118">
        <f t="shared" ref="CO661:CO683" si="1937">+CN661/$DM661</f>
        <v>218.12868668106657</v>
      </c>
      <c r="CP661" s="186">
        <v>0.99502487562189057</v>
      </c>
      <c r="CQ661" s="118">
        <f>+CQ660*CP661+CO661</f>
        <v>3876.7297123116891</v>
      </c>
      <c r="CR661" s="119">
        <f t="shared" ref="CR661:CR682" si="1938">LN(CQ661/CQ660)</f>
        <v>5.292355815908923E-2</v>
      </c>
      <c r="CS661" s="119"/>
      <c r="CT661" s="177">
        <f t="shared" ref="CT661:CT683" si="1939">+(CQ660-CQ661+CO661)/CQ660</f>
        <v>4.9751243781095142E-3</v>
      </c>
      <c r="CU661" s="177"/>
      <c r="CV661" s="119">
        <f>VLOOKUP($H661,RoR!$E:$F,2,FALSE)</f>
        <v>7.0416666666666669E-2</v>
      </c>
      <c r="CW661" s="177">
        <v>1.4335631817396832E-2</v>
      </c>
      <c r="CX661" s="177">
        <f>+CV661-CW661</f>
        <v>5.6081034849269837E-2</v>
      </c>
      <c r="CY661" s="177"/>
      <c r="CZ661" s="177"/>
      <c r="DA661" s="187">
        <f t="shared" ref="DA661:DA683" si="1940">1-DF661*DG661</f>
        <v>0.85131374874999999</v>
      </c>
      <c r="DB661" s="188">
        <f t="shared" ref="DB661:DB683" si="1941">2/(DK661*39)</f>
        <v>0.72826581702321336</v>
      </c>
      <c r="DC661" s="188">
        <f t="shared" ref="DC661:DC683" si="1942">+(DK661*40-(1+DK661))/(DK661*40)</f>
        <v>0.61997041420118348</v>
      </c>
      <c r="DD661" s="188">
        <f t="shared" ref="DD661:DD683" si="1943">+(1-(1/(1+DK661)^40))</f>
        <v>0.93425155319585029</v>
      </c>
      <c r="DE661" s="188">
        <f t="shared" ref="DE661:DE683" si="1944">+DD661*DC661*DB661</f>
        <v>0.42181762214141483</v>
      </c>
      <c r="DF661" s="189">
        <f>INDEX('State Tax Lookup'!$D$7:$Z$91,MATCH(Calculation!$C661,'State Tax Lookup'!$B$7:$B$91,0),MATCH($H661,'State Tax Lookup'!$D$6:$Z$6,0))</f>
        <v>0.39649667</v>
      </c>
      <c r="DG661" s="189">
        <v>0.375</v>
      </c>
      <c r="DH661" s="190"/>
      <c r="DI661" s="190"/>
      <c r="DJ661" s="177"/>
      <c r="DK661" s="189">
        <f>VLOOKUP($H661,RoR!$E:$F,2,FALSE)</f>
        <v>7.0416666666666669E-2</v>
      </c>
      <c r="DL661" s="191">
        <f>HLOOKUP($H661,'GDP-PI'!$D$8:$CQ$11,3,FALSE)</f>
        <v>1.4335631817396832E-2</v>
      </c>
      <c r="DM661" s="189">
        <f>VLOOKUP(H661,'HW Dx Data'!$E:$F,2,FALSE)</f>
        <v>335.32499146683239</v>
      </c>
      <c r="DN661" s="183" t="e">
        <f>VLOOKUP(H661,'ECI - Input Price'!$G$17:$H$37,2,FALSE)</f>
        <v>#N/A</v>
      </c>
      <c r="DO661" s="177"/>
      <c r="DP661" s="183">
        <f>HLOOKUP(H661,'GDP-PI'!$8:$9,2,FALSE)</f>
        <v>76.346000000000004</v>
      </c>
    </row>
    <row r="662" spans="1:121" s="167" customFormat="1" ht="21" x14ac:dyDescent="0.35">
      <c r="A662" s="167" t="s">
        <v>73</v>
      </c>
      <c r="B662" s="168" t="s">
        <v>73</v>
      </c>
      <c r="C662" s="168">
        <v>4057014</v>
      </c>
      <c r="D662" s="168" t="s">
        <v>136</v>
      </c>
      <c r="E662" s="168" t="s">
        <v>126</v>
      </c>
      <c r="F662" s="168"/>
      <c r="G662" s="168" t="s">
        <v>6</v>
      </c>
      <c r="H662" s="169">
        <v>2000</v>
      </c>
      <c r="I662" s="170"/>
      <c r="J662" s="166"/>
      <c r="K662" s="166"/>
      <c r="L662" s="166"/>
      <c r="M662" s="166"/>
      <c r="N662" s="196"/>
      <c r="O662" s="166"/>
      <c r="P662" s="166"/>
      <c r="Q662" s="166"/>
      <c r="R662" s="166"/>
      <c r="S662" s="166"/>
      <c r="T662" s="166"/>
      <c r="U662" s="166"/>
      <c r="V662" s="166">
        <f t="shared" si="1934"/>
        <v>0</v>
      </c>
      <c r="W662" s="170"/>
      <c r="X662" s="174">
        <v>4010.0203414794269</v>
      </c>
      <c r="Y662" s="175">
        <v>3.3804373414420462E-2</v>
      </c>
      <c r="Z662" s="175"/>
      <c r="AA662" s="175"/>
      <c r="AB662" s="175"/>
      <c r="AC662" s="170">
        <f t="shared" si="1869"/>
        <v>0</v>
      </c>
      <c r="AD662" s="175"/>
      <c r="AE662" s="170"/>
      <c r="AF662" s="170"/>
      <c r="AG662" s="174"/>
      <c r="AH662" s="175"/>
      <c r="AI662" s="175"/>
      <c r="AJ662" s="174"/>
      <c r="AK662" s="174"/>
      <c r="AL662" s="120"/>
      <c r="AM662" s="120"/>
      <c r="AN662" s="120"/>
      <c r="AO662" s="120"/>
      <c r="AP662" s="120"/>
      <c r="AQ662" s="175"/>
      <c r="AR662" s="120"/>
      <c r="AS662" s="120"/>
      <c r="AT662" s="120"/>
      <c r="AU662" s="120"/>
      <c r="AV662" s="120"/>
      <c r="AW662" s="120"/>
      <c r="AX662" s="120"/>
      <c r="AY662" s="120"/>
      <c r="AZ662" s="118">
        <f>IFERROR(INDEX('Total Customers'!$F$7:$AB$91,MATCH($C662,'Total Customers'!$D$7:$D$91,0),MATCH($G662,'Total Customers'!$F$5:$AB$5,0)),"NA")</f>
        <v>544080</v>
      </c>
      <c r="BA662" s="119">
        <f t="shared" si="1935"/>
        <v>1.020852474696575E-2</v>
      </c>
      <c r="BB662" s="119"/>
      <c r="BC662" s="121"/>
      <c r="BD662" s="119"/>
      <c r="BE662" s="119"/>
      <c r="BF662" s="119"/>
      <c r="BG662" s="173"/>
      <c r="BH662" s="173"/>
      <c r="BI662" s="173"/>
      <c r="BJ662" s="173"/>
      <c r="BK662" s="173"/>
      <c r="BL662" s="173"/>
      <c r="BM662" s="173"/>
      <c r="BN662" s="173"/>
      <c r="BO662" s="173"/>
      <c r="BP662" s="173"/>
      <c r="BQ662" s="118"/>
      <c r="BR662" s="118"/>
      <c r="BS662" s="118">
        <f>INDEX('Dist. Plant Gas Additions'!$F$7:$AE$91,MATCH($C662,'Dist. Plant Gas Additions'!$D$7:$D$91,0),MATCH(Calculation!$G662,'Dist. Plant Gas Additions'!$F$5:$AE$5,0))</f>
        <v>50931</v>
      </c>
      <c r="BT662" s="118">
        <f>INDEX('Gen. Plant Additions'!$F$7:$AE$91,MATCH($C662,'Gen. Plant Additions'!$D$7:$D$91,0),MATCH(Calculation!$G662,'Gen. Plant Additions'!$F$5:$AE$5,0))</f>
        <v>2166</v>
      </c>
      <c r="BU662" s="118"/>
      <c r="BV662" s="118"/>
      <c r="BW662" s="118">
        <f>INDEX('Dist Plant Depreciation'!$E$7:$AD$94,MATCH($C662,'Dist Plant Depreciation'!$D$7:$D$94,0),MATCH(Calculation!$G662,'Dist Plant Depreciation'!$E$5:$AD$5,0))</f>
        <v>385008</v>
      </c>
      <c r="BX662" s="118">
        <f>INDEX('Gen. Plant Depreciation'!$E$7:$AD$94,MATCH($C662,'Gen. Plant Depreciation'!$D$7:$D$94,0),MATCH(Calculation!$G662,'Gen. Plant Depreciation'!$E$5:$AD$5,0))</f>
        <v>9841</v>
      </c>
      <c r="BY662" s="118"/>
      <c r="BZ662" s="118"/>
      <c r="CA662" s="118"/>
      <c r="CB662" s="118"/>
      <c r="CC662" s="118"/>
      <c r="CD662" s="118"/>
      <c r="CE662" s="118">
        <f>INDEX('Gross Dx Plant'!$E$7:$AD$91,MATCH($C662,'Gross Dx Plant'!$D$7:$D$91,0),MATCH(Calculation!$G662,'Gross Dx Plant'!$E$5:$AD$5,0))</f>
        <v>1194189</v>
      </c>
      <c r="CF662" s="118">
        <f>INDEX('Gross Gen Plant'!$E$7:$AD$91,MATCH($C662,'Gross Gen Plant'!$D$7:$D$91,0),MATCH(Calculation!$G662,'Gross Gen Plant'!$E$5:$AD$5,0))</f>
        <v>30285</v>
      </c>
      <c r="CG662" s="118">
        <f t="shared" si="1923"/>
        <v>829625</v>
      </c>
      <c r="CH662" s="118"/>
      <c r="CI662" s="121">
        <v>2000</v>
      </c>
      <c r="CJ662" s="118"/>
      <c r="CK662" s="118"/>
      <c r="CL662" s="118"/>
      <c r="CM662" s="183"/>
      <c r="CN662" s="118">
        <f t="shared" si="1936"/>
        <v>53097</v>
      </c>
      <c r="CO662" s="118">
        <f t="shared" si="1937"/>
        <v>153.22318513129454</v>
      </c>
      <c r="CP662" s="186">
        <v>0.98989898989898994</v>
      </c>
      <c r="CQ662" s="118">
        <f>+CQ660*CP662+CO661*CP661+CO662</f>
        <v>4010.0203414794269</v>
      </c>
      <c r="CR662" s="119">
        <f t="shared" si="1938"/>
        <v>3.3804373414420462E-2</v>
      </c>
      <c r="CS662" s="119"/>
      <c r="CT662" s="177">
        <f t="shared" si="1939"/>
        <v>5.1415903203814147E-3</v>
      </c>
      <c r="CU662" s="177"/>
      <c r="CV662" s="119">
        <f>VLOOKUP($H662,RoR!$E:$F,2,FALSE)</f>
        <v>7.6225000000000001E-2</v>
      </c>
      <c r="CW662" s="177">
        <v>2.2568307442433211E-2</v>
      </c>
      <c r="CX662" s="177">
        <f t="shared" ref="CX662:CX682" si="1945">+CV662-CW662</f>
        <v>5.365669255756679E-2</v>
      </c>
      <c r="CY662" s="177"/>
      <c r="CZ662" s="177"/>
      <c r="DA662" s="187">
        <f t="shared" si="1940"/>
        <v>0.85131374874999999</v>
      </c>
      <c r="DB662" s="188">
        <f t="shared" si="1941"/>
        <v>0.67277207323124022</v>
      </c>
      <c r="DC662" s="188">
        <f t="shared" si="1942"/>
        <v>0.6470236142997704</v>
      </c>
      <c r="DD662" s="188">
        <f t="shared" si="1943"/>
        <v>0.94704866037543145</v>
      </c>
      <c r="DE662" s="188">
        <f t="shared" si="1944"/>
        <v>0.41224973107878493</v>
      </c>
      <c r="DF662" s="189">
        <f>INDEX('State Tax Lookup'!$D$7:$Z$91,MATCH(Calculation!$C662,'State Tax Lookup'!$B$7:$B$91,0),MATCH($H662,'State Tax Lookup'!$D$6:$Z$6,0))</f>
        <v>0.39649667</v>
      </c>
      <c r="DG662" s="189">
        <v>0.375</v>
      </c>
      <c r="DH662" s="190"/>
      <c r="DI662" s="190"/>
      <c r="DJ662" s="177"/>
      <c r="DK662" s="189">
        <f>VLOOKUP($H662,RoR!$E:$F,2,FALSE)</f>
        <v>7.6225000000000001E-2</v>
      </c>
      <c r="DL662" s="191">
        <f>HLOOKUP($H662,'GDP-PI'!$D$8:$CQ$11,3,FALSE)</f>
        <v>2.2568307442433211E-2</v>
      </c>
      <c r="DM662" s="189">
        <f>VLOOKUP(H662,'HW Dx Data'!$E:$F,2,FALSE)</f>
        <v>346.53371782150339</v>
      </c>
      <c r="DN662" s="183" t="e">
        <f>VLOOKUP(H662,'ECI - Input Price'!$G$17:$H$37,2,FALSE)</f>
        <v>#N/A</v>
      </c>
      <c r="DO662" s="177"/>
      <c r="DP662" s="183">
        <f>HLOOKUP(H662,'GDP-PI'!$8:$9,2,FALSE)</f>
        <v>78.069000000000003</v>
      </c>
    </row>
    <row r="663" spans="1:121" s="167" customFormat="1" ht="21" x14ac:dyDescent="0.35">
      <c r="A663" s="167" t="s">
        <v>73</v>
      </c>
      <c r="B663" s="168" t="s">
        <v>73</v>
      </c>
      <c r="C663" s="168">
        <v>4057014</v>
      </c>
      <c r="D663" s="168" t="s">
        <v>136</v>
      </c>
      <c r="E663" s="168" t="s">
        <v>126</v>
      </c>
      <c r="F663" s="168"/>
      <c r="G663" s="168" t="s">
        <v>7</v>
      </c>
      <c r="H663" s="169">
        <v>2001</v>
      </c>
      <c r="I663" s="170"/>
      <c r="J663" s="166"/>
      <c r="K663" s="166"/>
      <c r="L663" s="166"/>
      <c r="M663" s="166"/>
      <c r="N663" s="196"/>
      <c r="O663" s="166"/>
      <c r="P663" s="166"/>
      <c r="Q663" s="166"/>
      <c r="R663" s="166"/>
      <c r="S663" s="166"/>
      <c r="T663" s="166"/>
      <c r="U663" s="166"/>
      <c r="V663" s="166">
        <f t="shared" si="1934"/>
        <v>51490.599512016881</v>
      </c>
      <c r="W663" s="170"/>
      <c r="X663" s="174">
        <v>4104.0125405772742</v>
      </c>
      <c r="Y663" s="175">
        <v>2.3168849566268582E-2</v>
      </c>
      <c r="Z663" s="175"/>
      <c r="AA663" s="175"/>
      <c r="AB663" s="175"/>
      <c r="AC663" s="170">
        <f t="shared" si="1869"/>
        <v>51490.599512016881</v>
      </c>
      <c r="AD663" s="175"/>
      <c r="AE663" s="170"/>
      <c r="AF663" s="170"/>
      <c r="AG663" s="174"/>
      <c r="AH663" s="175"/>
      <c r="AI663" s="175"/>
      <c r="AJ663" s="174"/>
      <c r="AK663" s="174"/>
      <c r="AL663" s="120"/>
      <c r="AM663" s="120"/>
      <c r="AN663" s="120"/>
      <c r="AO663" s="120"/>
      <c r="AP663" s="120"/>
      <c r="AQ663" s="175"/>
      <c r="AR663" s="120"/>
      <c r="AS663" s="120"/>
      <c r="AT663" s="120"/>
      <c r="AU663" s="120"/>
      <c r="AV663" s="120"/>
      <c r="AW663" s="120"/>
      <c r="AX663" s="120"/>
      <c r="AY663" s="120"/>
      <c r="AZ663" s="118">
        <f>IFERROR(INDEX('Total Customers'!$F$7:$AB$91,MATCH($C663,'Total Customers'!$D$7:$D$91,0),MATCH($G663,'Total Customers'!$F$5:$AB$5,0)),"NA")</f>
        <v>548021</v>
      </c>
      <c r="BA663" s="119">
        <f t="shared" si="1935"/>
        <v>7.2173125142782875E-3</v>
      </c>
      <c r="BB663" s="119"/>
      <c r="BC663" s="121"/>
      <c r="BD663" s="119"/>
      <c r="BE663" s="119"/>
      <c r="BF663" s="119"/>
      <c r="BG663" s="173"/>
      <c r="BH663" s="173"/>
      <c r="BI663" s="173"/>
      <c r="BJ663" s="173"/>
      <c r="BK663" s="173"/>
      <c r="BL663" s="173"/>
      <c r="BM663" s="173"/>
      <c r="BN663" s="173"/>
      <c r="BO663" s="173"/>
      <c r="BP663" s="173"/>
      <c r="BQ663" s="118"/>
      <c r="BR663" s="118"/>
      <c r="BS663" s="118">
        <f>INDEX('Dist. Plant Gas Additions'!$F$7:$AE$91,MATCH($C663,'Dist. Plant Gas Additions'!$D$7:$D$91,0),MATCH(Calculation!$G663,'Dist. Plant Gas Additions'!$F$5:$AE$5,0))</f>
        <v>39514</v>
      </c>
      <c r="BT663" s="118">
        <f>INDEX('Gen. Plant Additions'!$F$7:$AE$91,MATCH($C663,'Gen. Plant Additions'!$D$7:$D$91,0),MATCH(Calculation!$G663,'Gen. Plant Additions'!$F$5:$AE$5,0))</f>
        <v>969</v>
      </c>
      <c r="BU663" s="118"/>
      <c r="BV663" s="118"/>
      <c r="BW663" s="118">
        <f>INDEX('Dist Plant Depreciation'!$E$7:$AD$94,MATCH($C663,'Dist Plant Depreciation'!$D$7:$D$94,0),MATCH(Calculation!$G663,'Dist Plant Depreciation'!$E$5:$AD$5,0))</f>
        <v>402453</v>
      </c>
      <c r="BX663" s="118">
        <f>INDEX('Gen. Plant Depreciation'!$E$7:$AD$94,MATCH($C663,'Gen. Plant Depreciation'!$D$7:$D$94,0),MATCH(Calculation!$G663,'Gen. Plant Depreciation'!$E$5:$AD$5,0))</f>
        <v>13655</v>
      </c>
      <c r="BY663" s="118"/>
      <c r="BZ663" s="118"/>
      <c r="CA663" s="118"/>
      <c r="CB663" s="118"/>
      <c r="CC663" s="118"/>
      <c r="CD663" s="118"/>
      <c r="CE663" s="118">
        <f>INDEX('Gross Dx Plant'!$E$7:$AD$91,MATCH($C663,'Gross Dx Plant'!$D$7:$D$91,0),MATCH(Calculation!$G663,'Gross Dx Plant'!$E$5:$AD$5,0))</f>
        <v>1229808</v>
      </c>
      <c r="CF663" s="118">
        <f>INDEX('Gross Gen Plant'!$E$7:$AD$91,MATCH($C663,'Gross Gen Plant'!$D$7:$D$91,0),MATCH(Calculation!$G663,'Gross Gen Plant'!$E$5:$AD$5,0))</f>
        <v>30992</v>
      </c>
      <c r="CG663" s="118">
        <f t="shared" si="1923"/>
        <v>844692</v>
      </c>
      <c r="CH663" s="118"/>
      <c r="CI663" s="121">
        <v>2001</v>
      </c>
      <c r="CJ663" s="118"/>
      <c r="CK663" s="118"/>
      <c r="CL663" s="118"/>
      <c r="CM663" s="183"/>
      <c r="CN663" s="118">
        <f t="shared" si="1936"/>
        <v>40483</v>
      </c>
      <c r="CO663" s="118">
        <f t="shared" si="1937"/>
        <v>114.53755854683445</v>
      </c>
      <c r="CP663" s="186">
        <v>0.98461538461538467</v>
      </c>
      <c r="CQ663" s="118">
        <f>+CQ660*CP663+CO661*CP662+CO662*CP660+CO663</f>
        <v>4104.0125405772742</v>
      </c>
      <c r="CR663" s="119">
        <f t="shared" si="1938"/>
        <v>2.3168849566268582E-2</v>
      </c>
      <c r="CS663" s="119"/>
      <c r="CT663" s="177">
        <f t="shared" si="1939"/>
        <v>5.1235050447168713E-3</v>
      </c>
      <c r="CU663" s="177">
        <f>+(CT663+CT662+CT661)/3</f>
        <v>5.0800732477359334E-3</v>
      </c>
      <c r="CV663" s="119">
        <f>VLOOKUP($H663,RoR!$E:$F,2,FALSE)</f>
        <v>7.0824999999999999E-2</v>
      </c>
      <c r="CW663" s="177">
        <v>2.2454495382290052E-2</v>
      </c>
      <c r="CX663" s="177">
        <f t="shared" si="1945"/>
        <v>4.8370504617709947E-2</v>
      </c>
      <c r="CY663" s="177">
        <f>+$CX$35-CU663</f>
        <v>2.5821868360797692E-2</v>
      </c>
      <c r="CZ663" s="177">
        <f>+((DM661/DM660-1)+(DM662/DM661-1)+(DM663/DM662-1))/3</f>
        <v>2.3947275901631187E-2</v>
      </c>
      <c r="DA663" s="187">
        <f t="shared" si="1940"/>
        <v>0.85131374874999999</v>
      </c>
      <c r="DB663" s="188">
        <f t="shared" si="1941"/>
        <v>0.72406708481540816</v>
      </c>
      <c r="DC663" s="188">
        <f t="shared" si="1942"/>
        <v>0.62201729615248857</v>
      </c>
      <c r="DD663" s="188">
        <f t="shared" si="1943"/>
        <v>0.9352469954311422</v>
      </c>
      <c r="DE663" s="188">
        <f t="shared" si="1944"/>
        <v>0.42121864641655071</v>
      </c>
      <c r="DF663" s="189">
        <f>INDEX('State Tax Lookup'!$D$7:$Z$91,MATCH(Calculation!$C663,'State Tax Lookup'!$B$7:$B$91,0),MATCH($H663,'State Tax Lookup'!$D$6:$Z$6,0))</f>
        <v>0.39649667</v>
      </c>
      <c r="DG663" s="189">
        <v>0.375</v>
      </c>
      <c r="DH663" s="190">
        <f t="shared" ref="DH663:DH683" si="1946">+(DM663*CY663-CZ663)*DA663/(1-DF663)</f>
        <v>12.840483370969716</v>
      </c>
      <c r="DI663" s="190"/>
      <c r="DJ663" s="177"/>
      <c r="DK663" s="189">
        <f>VLOOKUP($H663,RoR!$E:$F,2,FALSE)</f>
        <v>7.0824999999999999E-2</v>
      </c>
      <c r="DL663" s="191">
        <f>HLOOKUP($H663,'GDP-PI'!$D$8:$CQ$11,3,FALSE)</f>
        <v>2.2454495382290052E-2</v>
      </c>
      <c r="DM663" s="189">
        <f>VLOOKUP(H663,'HW Dx Data'!$E:$F,2,FALSE)</f>
        <v>353.44738017483138</v>
      </c>
      <c r="DN663" s="183">
        <f>VLOOKUP(H663,'ECI - Input Price'!$G$17:$H$37,2,FALSE)</f>
        <v>86.2</v>
      </c>
      <c r="DO663" s="177"/>
      <c r="DP663" s="183">
        <f>HLOOKUP(H663,'GDP-PI'!$8:$9,2,FALSE)</f>
        <v>79.822000000000003</v>
      </c>
    </row>
    <row r="664" spans="1:121" s="167" customFormat="1" ht="21" x14ac:dyDescent="0.35">
      <c r="A664" s="167" t="s">
        <v>73</v>
      </c>
      <c r="B664" s="168" t="s">
        <v>73</v>
      </c>
      <c r="C664" s="168">
        <v>4057014</v>
      </c>
      <c r="D664" s="168" t="s">
        <v>136</v>
      </c>
      <c r="E664" s="168" t="s">
        <v>126</v>
      </c>
      <c r="F664" s="168"/>
      <c r="G664" s="168" t="s">
        <v>8</v>
      </c>
      <c r="H664" s="169">
        <v>2002</v>
      </c>
      <c r="I664" s="170"/>
      <c r="J664" s="166"/>
      <c r="K664" s="166"/>
      <c r="L664" s="166"/>
      <c r="M664" s="166"/>
      <c r="N664" s="196"/>
      <c r="O664" s="166"/>
      <c r="P664" s="166"/>
      <c r="Q664" s="166"/>
      <c r="R664" s="166"/>
      <c r="S664" s="166"/>
      <c r="T664" s="166"/>
      <c r="U664" s="166"/>
      <c r="V664" s="166">
        <f t="shared" si="1934"/>
        <v>53380.642636585741</v>
      </c>
      <c r="W664" s="170"/>
      <c r="X664" s="174">
        <v>4108.7586377234575</v>
      </c>
      <c r="Y664" s="175">
        <v>1.1557847093214217E-3</v>
      </c>
      <c r="Z664" s="175"/>
      <c r="AA664" s="175"/>
      <c r="AB664" s="175"/>
      <c r="AC664" s="170">
        <f t="shared" si="1869"/>
        <v>53380.642636585741</v>
      </c>
      <c r="AD664" s="175"/>
      <c r="AE664" s="170"/>
      <c r="AF664" s="170"/>
      <c r="AG664" s="174"/>
      <c r="AH664" s="175"/>
      <c r="AI664" s="175"/>
      <c r="AJ664" s="174"/>
      <c r="AK664" s="174"/>
      <c r="AL664" s="120"/>
      <c r="AM664" s="120"/>
      <c r="AN664" s="120"/>
      <c r="AO664" s="120"/>
      <c r="AP664" s="120"/>
      <c r="AQ664" s="175"/>
      <c r="AR664" s="120"/>
      <c r="AS664" s="120"/>
      <c r="AT664" s="120"/>
      <c r="AU664" s="120"/>
      <c r="AV664" s="120"/>
      <c r="AW664" s="120"/>
      <c r="AX664" s="120"/>
      <c r="AY664" s="120"/>
      <c r="AZ664" s="118">
        <f>IFERROR(INDEX('Total Customers'!$F$7:$AB$91,MATCH($C664,'Total Customers'!$D$7:$D$91,0),MATCH($G664,'Total Customers'!$F$5:$AB$5,0)),"NA")</f>
        <v>551436</v>
      </c>
      <c r="BA664" s="119">
        <f t="shared" si="1935"/>
        <v>6.2121774337525037E-3</v>
      </c>
      <c r="BB664" s="119"/>
      <c r="BC664" s="121"/>
      <c r="BD664" s="119"/>
      <c r="BE664" s="119"/>
      <c r="BF664" s="119"/>
      <c r="BG664" s="173"/>
      <c r="BH664" s="173"/>
      <c r="BI664" s="173"/>
      <c r="BJ664" s="173"/>
      <c r="BK664" s="173"/>
      <c r="BL664" s="173"/>
      <c r="BM664" s="173"/>
      <c r="BN664" s="173"/>
      <c r="BO664" s="173"/>
      <c r="BP664" s="173"/>
      <c r="BQ664" s="118"/>
      <c r="BR664" s="118"/>
      <c r="BS664" s="118">
        <f>INDEX('Dist. Plant Gas Additions'!$F$7:$AE$91,MATCH($C664,'Dist. Plant Gas Additions'!$D$7:$D$91,0),MATCH(Calculation!$G664,'Dist. Plant Gas Additions'!$F$5:$AE$5,0))</f>
        <v>5996</v>
      </c>
      <c r="BT664" s="118">
        <f>INDEX('Gen. Plant Additions'!$F$7:$AE$91,MATCH($C664,'Gen. Plant Additions'!$D$7:$D$91,0),MATCH(Calculation!$G664,'Gen. Plant Additions'!$F$5:$AE$5,0))</f>
        <v>4140</v>
      </c>
      <c r="BU664" s="118"/>
      <c r="BV664" s="118"/>
      <c r="BW664" s="118">
        <f>INDEX('Dist Plant Depreciation'!$E$7:$AD$94,MATCH($C664,'Dist Plant Depreciation'!$D$7:$D$94,0),MATCH(Calculation!$G664,'Dist Plant Depreciation'!$E$5:$AD$5,0))</f>
        <v>406833</v>
      </c>
      <c r="BX664" s="118">
        <f>INDEX('Gen. Plant Depreciation'!$E$7:$AD$94,MATCH($C664,'Gen. Plant Depreciation'!$D$7:$D$94,0),MATCH(Calculation!$G664,'Gen. Plant Depreciation'!$E$5:$AD$5,0))</f>
        <v>15954</v>
      </c>
      <c r="BY664" s="118"/>
      <c r="BZ664" s="118"/>
      <c r="CA664" s="118"/>
      <c r="CB664" s="118"/>
      <c r="CC664" s="118"/>
      <c r="CD664" s="118"/>
      <c r="CE664" s="118">
        <f>INDEX('Gross Dx Plant'!$E$7:$AD$91,MATCH($C664,'Gross Dx Plant'!$D$7:$D$91,0),MATCH(Calculation!$G664,'Gross Dx Plant'!$E$5:$AD$5,0))</f>
        <v>1232854</v>
      </c>
      <c r="CF664" s="118">
        <f>INDEX('Gross Gen Plant'!$E$7:$AD$91,MATCH($C664,'Gross Gen Plant'!$D$7:$D$91,0),MATCH(Calculation!$G664,'Gross Gen Plant'!$E$5:$AD$5,0))</f>
        <v>33443</v>
      </c>
      <c r="CG664" s="118">
        <f t="shared" si="1923"/>
        <v>843510</v>
      </c>
      <c r="CH664" s="118"/>
      <c r="CI664" s="121">
        <v>2002</v>
      </c>
      <c r="CJ664" s="118"/>
      <c r="CK664" s="118"/>
      <c r="CL664" s="118"/>
      <c r="CM664" s="183"/>
      <c r="CN664" s="118">
        <f t="shared" si="1936"/>
        <v>10136</v>
      </c>
      <c r="CO664" s="118">
        <f t="shared" si="1937"/>
        <v>28.050509069022425</v>
      </c>
      <c r="CP664" s="186">
        <v>0.97916666666666663</v>
      </c>
      <c r="CQ664" s="118">
        <f>+CQ660*CP664+CO661*CP663+CO662*CP662+CO663*CP661+CO664</f>
        <v>4108.7586377234575</v>
      </c>
      <c r="CR664" s="119">
        <f t="shared" si="1938"/>
        <v>1.1557847093214217E-3</v>
      </c>
      <c r="CS664" s="119"/>
      <c r="CT664" s="177">
        <f t="shared" si="1939"/>
        <v>5.6784455925568715E-3</v>
      </c>
      <c r="CU664" s="177">
        <f t="shared" ref="CU664:CU683" si="1947">+(CT664+CT663+CT662)/3</f>
        <v>5.3145136525517183E-3</v>
      </c>
      <c r="CV664" s="119">
        <f>VLOOKUP($H664,RoR!$E:$F,2,FALSE)</f>
        <v>6.4916666666666664E-2</v>
      </c>
      <c r="CW664" s="177">
        <v>1.5246423291824351E-2</v>
      </c>
      <c r="CX664" s="177">
        <f t="shared" si="1945"/>
        <v>4.9670243374842313E-2</v>
      </c>
      <c r="CY664" s="177">
        <f t="shared" ref="CY664:CY683" si="1948">+$CX$35-CU664</f>
        <v>2.5587427955981908E-2</v>
      </c>
      <c r="CZ664" s="177">
        <f t="shared" ref="CZ664:CZ683" si="1949">+((DM662/DM661-1)+(DM663/DM662-1)+(DM664/DM663-1))/3</f>
        <v>2.5243621214759093E-2</v>
      </c>
      <c r="DA664" s="187">
        <f t="shared" si="1940"/>
        <v>0.85131374874999999</v>
      </c>
      <c r="DB664" s="188">
        <f t="shared" si="1941"/>
        <v>0.78996741384417901</v>
      </c>
      <c r="DC664" s="188">
        <f t="shared" si="1942"/>
        <v>0.58989088575096271</v>
      </c>
      <c r="DD664" s="188">
        <f t="shared" si="1943"/>
        <v>0.91920675783645744</v>
      </c>
      <c r="DE664" s="188">
        <f t="shared" si="1944"/>
        <v>0.42834536472275586</v>
      </c>
      <c r="DF664" s="189">
        <f>INDEX('State Tax Lookup'!$D$7:$Z$91,MATCH(Calculation!$C664,'State Tax Lookup'!$B$7:$B$91,0),MATCH($H664,'State Tax Lookup'!$D$6:$Z$6,0))</f>
        <v>0.39649667</v>
      </c>
      <c r="DG664" s="189">
        <v>0.375</v>
      </c>
      <c r="DH664" s="190">
        <f t="shared" si="1946"/>
        <v>13.006939454692107</v>
      </c>
      <c r="DI664" s="190"/>
      <c r="DJ664" s="177"/>
      <c r="DK664" s="189">
        <f>VLOOKUP($H664,RoR!$E:$F,2,FALSE)</f>
        <v>6.4916666666666664E-2</v>
      </c>
      <c r="DL664" s="191">
        <f>HLOOKUP($H664,'GDP-PI'!$D$8:$CQ$11,3,FALSE)</f>
        <v>1.5246423291824351E-2</v>
      </c>
      <c r="DM664" s="189">
        <f>VLOOKUP(H664,'HW Dx Data'!$E:$F,2,FALSE)</f>
        <v>361.34816573413599</v>
      </c>
      <c r="DN664" s="183">
        <f>VLOOKUP(H664,'ECI - Input Price'!$G$17:$H$37,2,FALSE)</f>
        <v>89.275000000000006</v>
      </c>
      <c r="DO664" s="177">
        <f>LN(DN664/DN663)</f>
        <v>3.5051315810864674E-2</v>
      </c>
      <c r="DP664" s="183">
        <f>HLOOKUP(H664,'GDP-PI'!$8:$9,2,FALSE)</f>
        <v>81.039000000000001</v>
      </c>
      <c r="DQ664" s="177">
        <f>LN(DP664/DP663)</f>
        <v>1.513136459537477E-2</v>
      </c>
    </row>
    <row r="665" spans="1:121" s="167" customFormat="1" ht="21" x14ac:dyDescent="0.35">
      <c r="A665" s="167" t="s">
        <v>73</v>
      </c>
      <c r="B665" s="168" t="s">
        <v>73</v>
      </c>
      <c r="C665" s="168">
        <v>4057014</v>
      </c>
      <c r="D665" s="168" t="s">
        <v>136</v>
      </c>
      <c r="E665" s="168" t="s">
        <v>126</v>
      </c>
      <c r="F665" s="168"/>
      <c r="G665" s="168" t="s">
        <v>9</v>
      </c>
      <c r="H665" s="169">
        <v>2003</v>
      </c>
      <c r="I665" s="170"/>
      <c r="J665" s="166"/>
      <c r="K665" s="166"/>
      <c r="L665" s="166"/>
      <c r="M665" s="172"/>
      <c r="N665" s="196"/>
      <c r="O665" s="172"/>
      <c r="P665" s="166"/>
      <c r="Q665" s="166"/>
      <c r="R665" s="166"/>
      <c r="S665" s="166"/>
      <c r="T665" s="166"/>
      <c r="U665" s="166"/>
      <c r="V665" s="166">
        <f t="shared" si="1934"/>
        <v>54240.10262343732</v>
      </c>
      <c r="W665" s="170"/>
      <c r="X665" s="174">
        <v>4293.2241271211315</v>
      </c>
      <c r="Y665" s="175">
        <v>4.3917047185703148E-2</v>
      </c>
      <c r="Z665" s="175"/>
      <c r="AA665" s="175"/>
      <c r="AB665" s="175"/>
      <c r="AC665" s="170">
        <f t="shared" si="1869"/>
        <v>54240.10262343732</v>
      </c>
      <c r="AD665" s="175"/>
      <c r="AE665" s="170"/>
      <c r="AF665" s="170"/>
      <c r="AG665" s="174"/>
      <c r="AH665" s="175"/>
      <c r="AI665" s="175"/>
      <c r="AJ665" s="174"/>
      <c r="AK665" s="174"/>
      <c r="AL665" s="120"/>
      <c r="AM665" s="120"/>
      <c r="AN665" s="120"/>
      <c r="AO665" s="120"/>
      <c r="AP665" s="120"/>
      <c r="AQ665" s="175"/>
      <c r="AR665" s="120"/>
      <c r="AS665" s="120"/>
      <c r="AT665" s="120"/>
      <c r="AU665" s="120"/>
      <c r="AV665" s="120"/>
      <c r="AW665" s="120"/>
      <c r="AX665" s="120"/>
      <c r="AY665" s="120"/>
      <c r="AZ665" s="118">
        <f>IFERROR(INDEX('Total Customers'!$F$7:$AB$91,MATCH($C665,'Total Customers'!$D$7:$D$91,0),MATCH($G665,'Total Customers'!$F$5:$AB$5,0)),"NA")</f>
        <v>556869</v>
      </c>
      <c r="BA665" s="119">
        <f t="shared" si="1935"/>
        <v>9.8042389408408408E-3</v>
      </c>
      <c r="BB665" s="119"/>
      <c r="BC665" s="121"/>
      <c r="BD665" s="119"/>
      <c r="BE665" s="119"/>
      <c r="BF665" s="119"/>
      <c r="BG665" s="173"/>
      <c r="BH665" s="173"/>
      <c r="BI665" s="173"/>
      <c r="BJ665" s="173"/>
      <c r="BK665" s="173"/>
      <c r="BL665" s="173"/>
      <c r="BM665" s="173"/>
      <c r="BN665" s="173"/>
      <c r="BO665" s="173"/>
      <c r="BP665" s="173"/>
      <c r="BQ665" s="118"/>
      <c r="BR665" s="118"/>
      <c r="BS665" s="118">
        <f>INDEX('Dist. Plant Gas Additions'!$F$7:$AE$91,MATCH($C665,'Dist. Plant Gas Additions'!$D$7:$D$91,0),MATCH(Calculation!$G665,'Dist. Plant Gas Additions'!$F$5:$AE$5,0))</f>
        <v>50984</v>
      </c>
      <c r="BT665" s="118">
        <f>INDEX('Gen. Plant Additions'!$F$7:$AE$91,MATCH($C665,'Gen. Plant Additions'!$D$7:$D$91,0),MATCH(Calculation!$G665,'Gen. Plant Additions'!$F$5:$AE$5,0))</f>
        <v>25765</v>
      </c>
      <c r="BU665" s="118"/>
      <c r="BV665" s="118"/>
      <c r="BW665" s="118">
        <f>INDEX('Dist Plant Depreciation'!$E$7:$AD$94,MATCH($C665,'Dist Plant Depreciation'!$D$7:$D$94,0),MATCH(Calculation!$G665,'Dist Plant Depreciation'!$E$5:$AD$5,0))</f>
        <v>430831</v>
      </c>
      <c r="BX665" s="118">
        <f>INDEX('Gen. Plant Depreciation'!$E$7:$AD$94,MATCH($C665,'Gen. Plant Depreciation'!$D$7:$D$94,0),MATCH(Calculation!$G665,'Gen. Plant Depreciation'!$E$5:$AD$5,0))</f>
        <v>12731</v>
      </c>
      <c r="BY665" s="118"/>
      <c r="BZ665" s="118"/>
      <c r="CA665" s="118"/>
      <c r="CB665" s="118"/>
      <c r="CC665" s="118"/>
      <c r="CD665" s="118"/>
      <c r="CE665" s="118">
        <f>INDEX('Gross Dx Plant'!$E$7:$AD$91,MATCH($C665,'Gross Dx Plant'!$D$7:$D$91,0),MATCH(Calculation!$G665,'Gross Dx Plant'!$E$5:$AD$5,0))</f>
        <v>1281724</v>
      </c>
      <c r="CF665" s="118">
        <f>INDEX('Gross Gen Plant'!$E$7:$AD$91,MATCH($C665,'Gross Gen Plant'!$D$7:$D$91,0),MATCH(Calculation!$G665,'Gross Gen Plant'!$E$5:$AD$5,0))</f>
        <v>52986</v>
      </c>
      <c r="CG665" s="118">
        <f t="shared" si="1923"/>
        <v>891148</v>
      </c>
      <c r="CH665" s="118"/>
      <c r="CI665" s="121">
        <v>2003</v>
      </c>
      <c r="CJ665" s="118"/>
      <c r="CK665" s="118"/>
      <c r="CL665" s="118"/>
      <c r="CM665" s="183"/>
      <c r="CN665" s="118">
        <f t="shared" si="1936"/>
        <v>76749</v>
      </c>
      <c r="CO665" s="118">
        <f t="shared" si="1937"/>
        <v>207.86061300794313</v>
      </c>
      <c r="CP665" s="186">
        <v>0.97354497354497349</v>
      </c>
      <c r="CQ665" s="118">
        <f>+CQ660*CP665+CO661*CP664+CO662*CP663+CO663*CP662+CO664*CP661+CO665</f>
        <v>4293.2241271211315</v>
      </c>
      <c r="CR665" s="119">
        <f t="shared" si="1938"/>
        <v>4.3917047185703148E-2</v>
      </c>
      <c r="CS665" s="119"/>
      <c r="CT665" s="177">
        <f t="shared" si="1939"/>
        <v>5.6939639616387129E-3</v>
      </c>
      <c r="CU665" s="177">
        <f t="shared" si="1947"/>
        <v>5.4986381996374846E-3</v>
      </c>
      <c r="CV665" s="119">
        <f>VLOOKUP($H665,RoR!$E:$F,2,FALSE)</f>
        <v>5.6666666666666671E-2</v>
      </c>
      <c r="CW665" s="177">
        <v>1.8855119140166909E-2</v>
      </c>
      <c r="CX665" s="177">
        <f t="shared" si="1945"/>
        <v>3.7811547526499761E-2</v>
      </c>
      <c r="CY665" s="177">
        <f t="shared" si="1948"/>
        <v>2.5403303408896141E-2</v>
      </c>
      <c r="CZ665" s="177">
        <f t="shared" si="1949"/>
        <v>2.1375012817671957E-2</v>
      </c>
      <c r="DA665" s="187">
        <f t="shared" si="1940"/>
        <v>0.85131374874999999</v>
      </c>
      <c r="DB665" s="188">
        <f t="shared" si="1941"/>
        <v>0.90497737556561086</v>
      </c>
      <c r="DC665" s="188">
        <f t="shared" si="1942"/>
        <v>0.5338235294117647</v>
      </c>
      <c r="DD665" s="188">
        <f t="shared" si="1943"/>
        <v>0.88972433127405692</v>
      </c>
      <c r="DE665" s="188">
        <f t="shared" si="1944"/>
        <v>0.42982423775949252</v>
      </c>
      <c r="DF665" s="189">
        <f>INDEX('State Tax Lookup'!$D$7:$Z$91,MATCH(Calculation!$C665,'State Tax Lookup'!$B$7:$B$91,0),MATCH($H665,'State Tax Lookup'!$D$6:$Z$6,0))</f>
        <v>0.39649667</v>
      </c>
      <c r="DG665" s="189">
        <v>0.375</v>
      </c>
      <c r="DH665" s="190">
        <f t="shared" si="1946"/>
        <v>13.201092448080662</v>
      </c>
      <c r="DI665" s="190"/>
      <c r="DJ665" s="177"/>
      <c r="DK665" s="189">
        <f>VLOOKUP($H665,RoR!$E:$F,2,FALSE)</f>
        <v>5.6666666666666671E-2</v>
      </c>
      <c r="DL665" s="191">
        <f>HLOOKUP($H665,'GDP-PI'!$D$8:$CQ$11,3,FALSE)</f>
        <v>1.8855119140166909E-2</v>
      </c>
      <c r="DM665" s="189">
        <f>VLOOKUP(H665,'HW Dx Data'!$E:$F,2,FALSE)</f>
        <v>369.23301095560191</v>
      </c>
      <c r="DN665" s="183">
        <f>VLOOKUP(H665,'ECI - Input Price'!$G$17:$H$37,2,FALSE)</f>
        <v>92.625</v>
      </c>
      <c r="DO665" s="177">
        <f t="shared" ref="DO665" si="1950">LN(DN665/DN664)</f>
        <v>3.6837590135738785E-2</v>
      </c>
      <c r="DP665" s="183">
        <f>HLOOKUP(H665,'GDP-PI'!$8:$9,2,FALSE)</f>
        <v>82.566999999999993</v>
      </c>
      <c r="DQ665" s="177">
        <f t="shared" ref="DQ665" si="1951">LN(DP665/DP664)</f>
        <v>1.8679564681853753E-2</v>
      </c>
    </row>
    <row r="666" spans="1:121" s="167" customFormat="1" ht="21" x14ac:dyDescent="0.35">
      <c r="A666" s="167" t="s">
        <v>73</v>
      </c>
      <c r="B666" s="168" t="s">
        <v>73</v>
      </c>
      <c r="C666" s="168">
        <v>4057014</v>
      </c>
      <c r="D666" s="168" t="s">
        <v>136</v>
      </c>
      <c r="E666" s="168" t="s">
        <v>126</v>
      </c>
      <c r="F666" s="168"/>
      <c r="G666" s="168" t="s">
        <v>10</v>
      </c>
      <c r="H666" s="169">
        <v>2004</v>
      </c>
      <c r="I666" s="170"/>
      <c r="J666" s="166">
        <f>IFERROR(INDEX('Labor Expenditures'!$F$7:$X$91,MATCH($C666,'Labor Expenditures'!$D$7:$D$91,0),MATCH($G666,'Labor Expenditures'!$F$5:$X$5,0)),"NA")</f>
        <v>39789.832194550661</v>
      </c>
      <c r="K666" s="166">
        <f t="shared" ref="K666:K683" si="1952">+J666/DN666</f>
        <v>413.72323571147035</v>
      </c>
      <c r="L666" s="172"/>
      <c r="M666" s="172"/>
      <c r="N666" s="196"/>
      <c r="O666" s="172"/>
      <c r="P666" s="166">
        <f>IFERROR(INDEX('Non-Labor Expenditures'!$F$7:$AB$91,MATCH($C666,'Non-Labor Expenditures'!$D$7:$D$91,0),MATCH($G666,'Non-Labor Expenditures'!$F$5:$AB$5,0)),"NA")</f>
        <v>57623.108733236208</v>
      </c>
      <c r="Q666" s="166">
        <f t="shared" ref="Q666:Q683" si="1953">+P666/DP666</f>
        <v>679.69412740612188</v>
      </c>
      <c r="R666" s="166"/>
      <c r="S666" s="166"/>
      <c r="T666" s="166"/>
      <c r="U666" s="166"/>
      <c r="V666" s="166">
        <f t="shared" si="1934"/>
        <v>62868.251694421269</v>
      </c>
      <c r="W666" s="170"/>
      <c r="X666" s="174">
        <v>4351.8703672741458</v>
      </c>
      <c r="Y666" s="175">
        <v>1.3567726723468555E-2</v>
      </c>
      <c r="Z666" s="175"/>
      <c r="AA666" s="175"/>
      <c r="AB666" s="175"/>
      <c r="AC666" s="170">
        <f t="shared" si="1869"/>
        <v>160281.19262220815</v>
      </c>
      <c r="AD666" s="175"/>
      <c r="AE666" s="170"/>
      <c r="AF666" s="170"/>
      <c r="AG666" s="174"/>
      <c r="AH666" s="175"/>
      <c r="AI666" s="175"/>
      <c r="AJ666" s="174"/>
      <c r="AK666" s="174"/>
      <c r="AL666" s="120">
        <f t="shared" ref="AL666:AL683" si="1954">+J666/AC666</f>
        <v>0.24825016300157904</v>
      </c>
      <c r="AM666" s="120">
        <f t="shared" ref="AM666:AM683" si="1955">+P666/AC666</f>
        <v>0.35951260276093117</v>
      </c>
      <c r="AN666" s="120">
        <f t="shared" ref="AN666:AN683" si="1956">+V666/AC666</f>
        <v>0.39223723423748974</v>
      </c>
      <c r="AO666" s="120"/>
      <c r="AP666" s="120"/>
      <c r="AQ666" s="175"/>
      <c r="AR666" s="120"/>
      <c r="AS666" s="120"/>
      <c r="AT666" s="120"/>
      <c r="AU666" s="120"/>
      <c r="AV666" s="120"/>
      <c r="AW666" s="120"/>
      <c r="AX666" s="120"/>
      <c r="AY666" s="120"/>
      <c r="AZ666" s="118">
        <f>IFERROR(INDEX('Total Customers'!$F$7:$AB$91,MATCH($C666,'Total Customers'!$D$7:$D$91,0),MATCH($G666,'Total Customers'!$F$5:$AB$5,0)),"NA")</f>
        <v>560566</v>
      </c>
      <c r="BA666" s="119">
        <f t="shared" si="1935"/>
        <v>6.6169638308727395E-3</v>
      </c>
      <c r="BB666" s="119"/>
      <c r="BC666" s="121"/>
      <c r="BD666" s="119"/>
      <c r="BE666" s="119"/>
      <c r="BF666" s="119"/>
      <c r="BG666" s="173"/>
      <c r="BH666" s="173"/>
      <c r="BI666" s="173"/>
      <c r="BJ666" s="173"/>
      <c r="BK666" s="173"/>
      <c r="BL666" s="173"/>
      <c r="BM666" s="173"/>
      <c r="BN666" s="173"/>
      <c r="BO666" s="173"/>
      <c r="BP666" s="173"/>
      <c r="BQ666" s="118"/>
      <c r="BR666" s="118"/>
      <c r="BS666" s="118">
        <f>INDEX('Dist. Plant Gas Additions'!$F$7:$AE$91,MATCH($C666,'Dist. Plant Gas Additions'!$D$7:$D$91,0),MATCH(Calculation!$G666,'Dist. Plant Gas Additions'!$F$5:$AE$5,0))</f>
        <v>33944</v>
      </c>
      <c r="BT666" s="118">
        <f>INDEX('Gen. Plant Additions'!$F$7:$AE$91,MATCH($C666,'Gen. Plant Additions'!$D$7:$D$91,0),MATCH(Calculation!$G666,'Gen. Plant Additions'!$F$5:$AE$5,0))</f>
        <v>835</v>
      </c>
      <c r="BU666" s="118"/>
      <c r="BV666" s="118"/>
      <c r="BW666" s="118">
        <f>INDEX('Dist Plant Depreciation'!$E$7:$AD$94,MATCH($C666,'Dist Plant Depreciation'!$D$7:$D$94,0),MATCH(Calculation!$G666,'Dist Plant Depreciation'!$E$5:$AD$5,0))</f>
        <v>452988</v>
      </c>
      <c r="BX666" s="118">
        <f>INDEX('Gen. Plant Depreciation'!$E$7:$AD$94,MATCH($C666,'Gen. Plant Depreciation'!$D$7:$D$94,0),MATCH(Calculation!$G666,'Gen. Plant Depreciation'!$E$5:$AD$5,0))</f>
        <v>15132</v>
      </c>
      <c r="BY666" s="118"/>
      <c r="BZ666" s="118"/>
      <c r="CA666" s="118"/>
      <c r="CB666" s="118"/>
      <c r="CC666" s="118"/>
      <c r="CD666" s="118"/>
      <c r="CE666" s="118">
        <f>INDEX('Gross Dx Plant'!$E$7:$AD$91,MATCH($C666,'Gross Dx Plant'!$D$7:$D$91,0),MATCH(Calculation!$G666,'Gross Dx Plant'!$E$5:$AD$5,0))</f>
        <v>1307579</v>
      </c>
      <c r="CF666" s="118">
        <f>INDEX('Gross Gen Plant'!$E$7:$AD$91,MATCH($C666,'Gross Gen Plant'!$D$7:$D$91,0),MATCH(Calculation!$G666,'Gross Gen Plant'!$E$5:$AD$5,0))</f>
        <v>52963</v>
      </c>
      <c r="CG666" s="118">
        <f t="shared" si="1923"/>
        <v>892422</v>
      </c>
      <c r="CH666" s="118"/>
      <c r="CI666" s="121">
        <v>2004</v>
      </c>
      <c r="CJ666" s="118"/>
      <c r="CK666" s="118"/>
      <c r="CL666" s="118"/>
      <c r="CM666" s="183"/>
      <c r="CN666" s="118">
        <f t="shared" si="1936"/>
        <v>34779</v>
      </c>
      <c r="CO666" s="118">
        <f t="shared" si="1937"/>
        <v>83.827605973183452</v>
      </c>
      <c r="CP666" s="186">
        <v>0.967741935483871</v>
      </c>
      <c r="CQ666" s="118">
        <f>+CQ660*CP666+CO661*CP665+CO662*CP664+CO663*CP663+CO664*CP662+CO665*CP661+CO666</f>
        <v>4351.8703672741458</v>
      </c>
      <c r="CR666" s="119">
        <f t="shared" si="1938"/>
        <v>1.3567726723468555E-2</v>
      </c>
      <c r="CS666" s="119"/>
      <c r="CT666" s="177">
        <f t="shared" si="1939"/>
        <v>5.8653741511172303E-3</v>
      </c>
      <c r="CU666" s="177">
        <f t="shared" si="1947"/>
        <v>5.7459279017709379E-3</v>
      </c>
      <c r="CV666" s="119">
        <f>VLOOKUP($H666,RoR!$E:$F,2,FALSE)</f>
        <v>5.6283333333333331E-2</v>
      </c>
      <c r="CW666" s="177">
        <v>2.6778252812867276E-2</v>
      </c>
      <c r="CX666" s="177">
        <f t="shared" si="1945"/>
        <v>2.9505080520466055E-2</v>
      </c>
      <c r="CY666" s="177">
        <f t="shared" si="1948"/>
        <v>2.5156013706762688E-2</v>
      </c>
      <c r="CZ666" s="177">
        <f t="shared" si="1949"/>
        <v>5.5940039414565046E-2</v>
      </c>
      <c r="DA666" s="187">
        <f t="shared" si="1940"/>
        <v>0.85131374874999999</v>
      </c>
      <c r="DB666" s="188">
        <f t="shared" si="1941"/>
        <v>0.91114097628755619</v>
      </c>
      <c r="DC666" s="188">
        <f t="shared" si="1942"/>
        <v>0.53081877405981637</v>
      </c>
      <c r="DD666" s="188">
        <f t="shared" si="1943"/>
        <v>0.88811215519385678</v>
      </c>
      <c r="DE666" s="188">
        <f t="shared" si="1944"/>
        <v>0.42953609753547711</v>
      </c>
      <c r="DF666" s="189">
        <f>INDEX('State Tax Lookup'!$D$7:$Z$91,MATCH(Calculation!$C666,'State Tax Lookup'!$B$7:$B$91,0),MATCH($H666,'State Tax Lookup'!$D$6:$Z$6,0))</f>
        <v>0.39649667</v>
      </c>
      <c r="DG666" s="189">
        <v>0.375</v>
      </c>
      <c r="DH666" s="190">
        <f t="shared" si="1946"/>
        <v>14.643598804280984</v>
      </c>
      <c r="DI666" s="190"/>
      <c r="DJ666" s="177"/>
      <c r="DK666" s="189">
        <f>VLOOKUP($H666,RoR!$E:$F,2,FALSE)</f>
        <v>5.6283333333333331E-2</v>
      </c>
      <c r="DL666" s="191">
        <f>HLOOKUP($H666,'GDP-PI'!$D$8:$CQ$11,3,FALSE)</f>
        <v>2.6778252812867276E-2</v>
      </c>
      <c r="DM666" s="189">
        <f>VLOOKUP(H666,'HW Dx Data'!$E:$F,2,FALSE)</f>
        <v>414.88719135228365</v>
      </c>
      <c r="DN666" s="183">
        <f>VLOOKUP(H666,'ECI - Input Price'!$G$17:$H$37,2,FALSE)</f>
        <v>96.174999999999997</v>
      </c>
      <c r="DO666" s="177">
        <f t="shared" ref="DO666" si="1957">LN(DN666/DN665)</f>
        <v>3.7610365022107912E-2</v>
      </c>
      <c r="DP666" s="183">
        <f>HLOOKUP(H666,'GDP-PI'!$8:$9,2,FALSE)</f>
        <v>84.778000000000006</v>
      </c>
      <c r="DQ666" s="177">
        <f t="shared" ref="DQ666" si="1958">LN(DP666/DP665)</f>
        <v>2.6425990216022755E-2</v>
      </c>
    </row>
    <row r="667" spans="1:121" s="167" customFormat="1" ht="21" x14ac:dyDescent="0.35">
      <c r="A667" s="167" t="s">
        <v>73</v>
      </c>
      <c r="B667" s="168" t="s">
        <v>73</v>
      </c>
      <c r="C667" s="168">
        <v>4057014</v>
      </c>
      <c r="D667" s="168" t="s">
        <v>136</v>
      </c>
      <c r="E667" s="168" t="s">
        <v>126</v>
      </c>
      <c r="F667" s="168"/>
      <c r="G667" s="168" t="s">
        <v>11</v>
      </c>
      <c r="H667" s="169">
        <v>2005</v>
      </c>
      <c r="I667" s="170"/>
      <c r="J667" s="166">
        <f>IFERROR(INDEX('Labor Expenditures'!$F$7:$X$91,MATCH($C667,'Labor Expenditures'!$D$7:$D$91,0),MATCH($G667,'Labor Expenditures'!$F$5:$X$5,0)),"NA")</f>
        <v>36445.944642605893</v>
      </c>
      <c r="K667" s="166">
        <f t="shared" si="1952"/>
        <v>367.58390965815323</v>
      </c>
      <c r="L667" s="172">
        <f t="shared" ref="L667:L683" si="1959">LN(K667/K666)</f>
        <v>-0.11824561930579991</v>
      </c>
      <c r="M667" s="172"/>
      <c r="N667" s="196"/>
      <c r="O667" s="172"/>
      <c r="P667" s="166">
        <f>IFERROR(INDEX('Non-Labor Expenditures'!$F$7:$AB$91,MATCH($C667,'Non-Labor Expenditures'!$D$7:$D$91,0),MATCH($G667,'Non-Labor Expenditures'!$F$5:$AB$5,0)),"NA")</f>
        <v>52780.535005975871</v>
      </c>
      <c r="Q667" s="166">
        <f t="shared" si="1953"/>
        <v>603.84791842730988</v>
      </c>
      <c r="R667" s="172">
        <f>LN(Q667/Q666)</f>
        <v>-0.1183205087890873</v>
      </c>
      <c r="S667" s="172"/>
      <c r="T667" s="172"/>
      <c r="U667" s="172"/>
      <c r="V667" s="166">
        <f t="shared" si="1934"/>
        <v>71516.551253722733</v>
      </c>
      <c r="W667" s="170"/>
      <c r="X667" s="174">
        <v>4487.4511403778615</v>
      </c>
      <c r="Y667" s="175">
        <v>3.0679143638532417E-2</v>
      </c>
      <c r="Z667" s="175"/>
      <c r="AA667" s="175"/>
      <c r="AB667" s="175"/>
      <c r="AC667" s="170">
        <f t="shared" si="1869"/>
        <v>160743.03090230451</v>
      </c>
      <c r="AD667" s="175">
        <f>LN(AC667/AC666)</f>
        <v>2.8772819299812472E-3</v>
      </c>
      <c r="AE667" s="170"/>
      <c r="AF667" s="170"/>
      <c r="AG667" s="121"/>
      <c r="AH667" s="119"/>
      <c r="AI667" s="119"/>
      <c r="AJ667" s="121"/>
      <c r="AK667" s="121"/>
      <c r="AL667" s="120">
        <f t="shared" si="1954"/>
        <v>0.22673421322232504</v>
      </c>
      <c r="AM667" s="120">
        <f t="shared" si="1955"/>
        <v>0.32835348885547966</v>
      </c>
      <c r="AN667" s="120">
        <f t="shared" si="1956"/>
        <v>0.44491229792219517</v>
      </c>
      <c r="AO667" s="120">
        <f t="shared" ref="AO667:AO683" si="1960">+(((AL667+AL666)/2)*L667+((AM666+AM667)/2)*R667+((AN666+AN667)/2)*Y667)</f>
        <v>-5.593522846096604E-2</v>
      </c>
      <c r="AP667" s="173">
        <v>100</v>
      </c>
      <c r="AQ667" s="175"/>
      <c r="AR667" s="120"/>
      <c r="AS667" s="120"/>
      <c r="AT667" s="120"/>
      <c r="AU667" s="120"/>
      <c r="AV667" s="120"/>
      <c r="AW667" s="120"/>
      <c r="AX667" s="120"/>
      <c r="AY667" s="120"/>
      <c r="AZ667" s="118">
        <f>IFERROR(INDEX('Total Customers'!$F$7:$AB$91,MATCH($C667,'Total Customers'!$D$7:$D$91,0),MATCH($G667,'Total Customers'!$F$5:$AB$5,0)),"NA")</f>
        <v>566446</v>
      </c>
      <c r="BA667" s="119">
        <f t="shared" si="1935"/>
        <v>1.0434766183913452E-2</v>
      </c>
      <c r="BB667" s="119"/>
      <c r="BC667" s="121"/>
      <c r="BD667" s="119"/>
      <c r="BE667" s="119"/>
      <c r="BF667" s="119"/>
      <c r="BG667" s="173"/>
      <c r="BH667" s="173"/>
      <c r="BI667" s="173"/>
      <c r="BJ667" s="173"/>
      <c r="BK667" s="173"/>
      <c r="BL667" s="173"/>
      <c r="BM667" s="173"/>
      <c r="BN667" s="173"/>
      <c r="BO667" s="173"/>
      <c r="BP667" s="173"/>
      <c r="BQ667" s="118"/>
      <c r="BR667" s="118"/>
      <c r="BS667" s="118">
        <f>INDEX('Dist. Plant Gas Additions'!$F$7:$AE$91,MATCH($C667,'Dist. Plant Gas Additions'!$D$7:$D$91,0),MATCH(Calculation!$G667,'Dist. Plant Gas Additions'!$F$5:$AE$5,0))</f>
        <v>74924</v>
      </c>
      <c r="BT667" s="118">
        <f>INDEX('Gen. Plant Additions'!$F$7:$AE$91,MATCH($C667,'Gen. Plant Additions'!$D$7:$D$91,0),MATCH(Calculation!$G667,'Gen. Plant Additions'!$F$5:$AE$5,0))</f>
        <v>1087</v>
      </c>
      <c r="BU667" s="118"/>
      <c r="BV667" s="118"/>
      <c r="BW667" s="118">
        <f>INDEX('Dist Plant Depreciation'!$E$7:$AD$94,MATCH($C667,'Dist Plant Depreciation'!$D$7:$D$94,0),MATCH(Calculation!$G667,'Dist Plant Depreciation'!$E$5:$AD$5,0))</f>
        <v>477715</v>
      </c>
      <c r="BX667" s="118">
        <f>INDEX('Gen. Plant Depreciation'!$E$7:$AD$94,MATCH($C667,'Gen. Plant Depreciation'!$D$7:$D$94,0),MATCH(Calculation!$G667,'Gen. Plant Depreciation'!$E$5:$AD$5,0))</f>
        <v>17256</v>
      </c>
      <c r="BY667" s="118"/>
      <c r="BZ667" s="118"/>
      <c r="CA667" s="118"/>
      <c r="CB667" s="118"/>
      <c r="CC667" s="118"/>
      <c r="CD667" s="118"/>
      <c r="CE667" s="118">
        <f>INDEX('Gross Dx Plant'!$E$7:$AD$91,MATCH($C667,'Gross Dx Plant'!$D$7:$D$91,0),MATCH(Calculation!$G667,'Gross Dx Plant'!$E$5:$AD$5,0))</f>
        <v>1379790</v>
      </c>
      <c r="CF667" s="118">
        <f>INDEX('Gross Gen Plant'!$E$7:$AD$91,MATCH($C667,'Gross Gen Plant'!$D$7:$D$91,0),MATCH(Calculation!$G667,'Gross Gen Plant'!$E$5:$AD$5,0))</f>
        <v>52709</v>
      </c>
      <c r="CG667" s="118">
        <f t="shared" si="1923"/>
        <v>937528</v>
      </c>
      <c r="CH667" s="118"/>
      <c r="CI667" s="121">
        <v>2005</v>
      </c>
      <c r="CJ667" s="118"/>
      <c r="CK667" s="118"/>
      <c r="CL667" s="118"/>
      <c r="CM667" s="183"/>
      <c r="CN667" s="118">
        <f t="shared" si="1936"/>
        <v>76011</v>
      </c>
      <c r="CO667" s="118">
        <f t="shared" si="1937"/>
        <v>161.99950397688193</v>
      </c>
      <c r="CP667" s="186">
        <v>0.96174863387978138</v>
      </c>
      <c r="CQ667" s="118">
        <f>+CQ660*CP667+CO661*CP666+CO662*CP665+CO663*CP664+CO664*CP663+CO665*CP662+CO666*CP661+CO667</f>
        <v>4487.4511403778615</v>
      </c>
      <c r="CR667" s="119">
        <f t="shared" si="1938"/>
        <v>3.0679143638532417E-2</v>
      </c>
      <c r="CS667" s="119"/>
      <c r="CT667" s="177">
        <f t="shared" si="1939"/>
        <v>6.0706612659774456E-3</v>
      </c>
      <c r="CU667" s="177">
        <f t="shared" si="1947"/>
        <v>5.876666459577796E-3</v>
      </c>
      <c r="CV667" s="119">
        <f>VLOOKUP($H667,RoR!$E:$F,2,FALSE)</f>
        <v>5.2350000000000001E-2</v>
      </c>
      <c r="CW667" s="177">
        <v>3.1010403642454332E-2</v>
      </c>
      <c r="CX667" s="177">
        <f t="shared" si="1945"/>
        <v>2.1339596357545669E-2</v>
      </c>
      <c r="CY667" s="177">
        <f t="shared" si="1948"/>
        <v>2.502527514895583E-2</v>
      </c>
      <c r="CZ667" s="177">
        <f t="shared" si="1949"/>
        <v>9.2129610649277341E-2</v>
      </c>
      <c r="DA667" s="187">
        <f t="shared" si="1940"/>
        <v>0.85131374874999999</v>
      </c>
      <c r="DB667" s="188">
        <f t="shared" si="1941"/>
        <v>0.97959983346802826</v>
      </c>
      <c r="DC667" s="188">
        <f t="shared" si="1942"/>
        <v>0.49744508118433622</v>
      </c>
      <c r="DD667" s="188">
        <f t="shared" si="1943"/>
        <v>0.87010519444335932</v>
      </c>
      <c r="DE667" s="188">
        <f t="shared" si="1944"/>
        <v>0.42399975420741998</v>
      </c>
      <c r="DF667" s="189">
        <f>INDEX('State Tax Lookup'!$D$7:$Z$91,MATCH(Calculation!$C667,'State Tax Lookup'!$B$7:$B$91,0),MATCH($H667,'State Tax Lookup'!$D$6:$Z$6,0))</f>
        <v>0.39649667</v>
      </c>
      <c r="DG667" s="189">
        <v>0.375</v>
      </c>
      <c r="DH667" s="190">
        <f t="shared" si="1946"/>
        <v>16.433520582672621</v>
      </c>
      <c r="DI667" s="190"/>
      <c r="DJ667" s="177"/>
      <c r="DK667" s="189">
        <f>VLOOKUP($H667,RoR!$E:$F,2,FALSE)</f>
        <v>5.2350000000000001E-2</v>
      </c>
      <c r="DL667" s="191">
        <f>HLOOKUP($H667,'GDP-PI'!$D$8:$CQ$11,3,FALSE)</f>
        <v>3.1010403642454332E-2</v>
      </c>
      <c r="DM667" s="189">
        <f>VLOOKUP(H667,'HW Dx Data'!$E:$F,2,FALSE)</f>
        <v>469.20514034936258</v>
      </c>
      <c r="DN667" s="183">
        <f>VLOOKUP(H667,'ECI - Input Price'!$G$17:$H$37,2,FALSE)</f>
        <v>99.15</v>
      </c>
      <c r="DO667" s="177">
        <f t="shared" ref="DO667" si="1961">LN(DN667/DN666)</f>
        <v>3.046440632744625E-2</v>
      </c>
      <c r="DP667" s="183">
        <f>HLOOKUP(H667,'GDP-PI'!$8:$9,2,FALSE)</f>
        <v>87.406999999999996</v>
      </c>
      <c r="DQ667" s="177">
        <f t="shared" ref="DQ667" si="1962">LN(DP667/DP666)</f>
        <v>3.0539295810733648E-2</v>
      </c>
    </row>
    <row r="668" spans="1:121" s="167" customFormat="1" ht="21" x14ac:dyDescent="0.35">
      <c r="A668" s="167" t="s">
        <v>73</v>
      </c>
      <c r="B668" s="168" t="s">
        <v>73</v>
      </c>
      <c r="C668" s="168">
        <v>4057014</v>
      </c>
      <c r="D668" s="168" t="s">
        <v>136</v>
      </c>
      <c r="E668" s="168" t="s">
        <v>126</v>
      </c>
      <c r="F668" s="168"/>
      <c r="G668" s="168" t="s">
        <v>12</v>
      </c>
      <c r="H668" s="169">
        <v>2006</v>
      </c>
      <c r="I668" s="170"/>
      <c r="J668" s="166">
        <f>IFERROR(INDEX('Labor Expenditures'!$F$7:$X$91,MATCH($C668,'Labor Expenditures'!$D$7:$D$91,0),MATCH($G668,'Labor Expenditures'!$F$5:$X$5,0)),"NA")</f>
        <v>38953.903642193036</v>
      </c>
      <c r="K668" s="166">
        <f t="shared" si="1952"/>
        <v>381.71390144236193</v>
      </c>
      <c r="L668" s="172">
        <f t="shared" si="1959"/>
        <v>3.7719760709331772E-2</v>
      </c>
      <c r="M668" s="172">
        <f t="shared" ref="M668:M683" si="1963">+L668*AR668</f>
        <v>7.935843598677445E-4</v>
      </c>
      <c r="N668" s="196"/>
      <c r="O668" s="172"/>
      <c r="P668" s="166">
        <f>IFERROR(INDEX('Non-Labor Expenditures'!$F$7:$AB$91,MATCH($C668,'Non-Labor Expenditures'!$D$7:$D$91,0),MATCH($G668,'Non-Labor Expenditures'!$F$5:$AB$5,0)),"NA")</f>
        <v>56412.528059505275</v>
      </c>
      <c r="Q668" s="166">
        <f t="shared" si="1953"/>
        <v>626.29091701828804</v>
      </c>
      <c r="R668" s="172">
        <f t="shared" ref="R668:R683" si="1964">LN(Q668/Q667)</f>
        <v>3.6492611273926286E-2</v>
      </c>
      <c r="S668" s="172">
        <f>+R668*AR668</f>
        <v>7.6776641773754954E-4</v>
      </c>
      <c r="T668" s="172"/>
      <c r="U668" s="172"/>
      <c r="V668" s="166">
        <f t="shared" si="1934"/>
        <v>71988.744710765153</v>
      </c>
      <c r="W668" s="170"/>
      <c r="X668" s="174">
        <v>4598.4808878026315</v>
      </c>
      <c r="Y668" s="175">
        <v>2.4441141354144772E-2</v>
      </c>
      <c r="Z668" s="175">
        <f>+Y668*AR668</f>
        <v>5.142160806753869E-4</v>
      </c>
      <c r="AA668" s="175"/>
      <c r="AB668" s="175"/>
      <c r="AC668" s="170">
        <f t="shared" si="1869"/>
        <v>167355.17641246348</v>
      </c>
      <c r="AD668" s="175">
        <f t="shared" ref="AD668:AD683" si="1965">LN(AC668/AC667)</f>
        <v>4.0311350296432173E-2</v>
      </c>
      <c r="AE668" s="170"/>
      <c r="AF668" s="170"/>
      <c r="AG668" s="121">
        <f t="shared" ref="AG668:AG683" si="1966">+(AC668*1000)/AZ668</f>
        <v>294.91925685194838</v>
      </c>
      <c r="AH668" s="119">
        <f>+AZ668/$BB$44</f>
        <v>1.6141957263912061E-2</v>
      </c>
      <c r="AI668" s="119">
        <f>+AZ668/$BC$44</f>
        <v>6.8805027343845207E-2</v>
      </c>
      <c r="AJ668" s="176">
        <f>+AH668*AG668</f>
        <v>4.760574040408855</v>
      </c>
      <c r="AK668" s="176">
        <f>+AI668*AG668</f>
        <v>20.291927531924816</v>
      </c>
      <c r="AL668" s="120">
        <f t="shared" si="1954"/>
        <v>0.23276186896177783</v>
      </c>
      <c r="AM668" s="120">
        <f t="shared" si="1955"/>
        <v>0.33708266017700578</v>
      </c>
      <c r="AN668" s="120">
        <f t="shared" si="1956"/>
        <v>0.43015547086121636</v>
      </c>
      <c r="AO668" s="120">
        <f t="shared" si="1960"/>
        <v>3.1501620006206106E-2</v>
      </c>
      <c r="AP668" s="173">
        <f>+AP667*EXP(AO668)</f>
        <v>103.20030474456333</v>
      </c>
      <c r="AQ668" s="175">
        <f>LN(AP668/AP667)</f>
        <v>3.1501620006206002E-2</v>
      </c>
      <c r="AR668" s="177">
        <f>+AC668/$AE$44</f>
        <v>2.1038955310005818E-2</v>
      </c>
      <c r="AS668" s="177">
        <f>+AR668*AQ668</f>
        <v>6.6276117550335327E-4</v>
      </c>
      <c r="AT668" s="177"/>
      <c r="AU668" s="177"/>
      <c r="AV668" s="177"/>
      <c r="AW668" s="190"/>
      <c r="AX668" s="120"/>
      <c r="AY668" s="120"/>
      <c r="AZ668" s="118">
        <f>IFERROR(INDEX('Total Customers'!$F$7:$AB$91,MATCH($C668,'Total Customers'!$D$7:$D$91,0),MATCH($G668,'Total Customers'!$F$5:$AB$5,0)),"NA")</f>
        <v>567461</v>
      </c>
      <c r="BA668" s="119">
        <f t="shared" si="1935"/>
        <v>1.7902707560593202E-3</v>
      </c>
      <c r="BB668" s="119"/>
      <c r="BC668" s="121">
        <v>8247377</v>
      </c>
      <c r="BD668" s="119"/>
      <c r="BE668" s="119"/>
      <c r="BF668" s="119"/>
      <c r="BG668" s="173"/>
      <c r="BH668" s="173"/>
      <c r="BI668" s="173"/>
      <c r="BJ668" s="173"/>
      <c r="BK668" s="173"/>
      <c r="BL668" s="173"/>
      <c r="BM668" s="173"/>
      <c r="BN668" s="173"/>
      <c r="BO668" s="173"/>
      <c r="BP668" s="173"/>
      <c r="BQ668" s="118"/>
      <c r="BR668" s="118"/>
      <c r="BS668" s="118">
        <f>INDEX('Dist. Plant Gas Additions'!$F$7:$AE$91,MATCH($C668,'Dist. Plant Gas Additions'!$D$7:$D$91,0),MATCH(Calculation!$G668,'Dist. Plant Gas Additions'!$F$5:$AE$5,0))</f>
        <v>64046</v>
      </c>
      <c r="BT668" s="118">
        <f>INDEX('Gen. Plant Additions'!$F$7:$AE$91,MATCH($C668,'Gen. Plant Additions'!$D$7:$D$91,0),MATCH(Calculation!$G668,'Gen. Plant Additions'!$F$5:$AE$5,0))</f>
        <v>104</v>
      </c>
      <c r="BU668" s="118"/>
      <c r="BV668" s="118"/>
      <c r="BW668" s="118">
        <f>INDEX('Dist Plant Depreciation'!$E$7:$AD$94,MATCH($C668,'Dist Plant Depreciation'!$D$7:$D$94,0),MATCH(Calculation!$G668,'Dist Plant Depreciation'!$E$5:$AD$5,0))</f>
        <v>507494</v>
      </c>
      <c r="BX668" s="118">
        <f>INDEX('Gen. Plant Depreciation'!$E$7:$AD$94,MATCH($C668,'Gen. Plant Depreciation'!$D$7:$D$94,0),MATCH(Calculation!$G668,'Gen. Plant Depreciation'!$E$5:$AD$5,0))</f>
        <v>13187</v>
      </c>
      <c r="BY668" s="118"/>
      <c r="BZ668" s="118"/>
      <c r="CA668" s="118"/>
      <c r="CB668" s="118"/>
      <c r="CC668" s="118"/>
      <c r="CD668" s="118"/>
      <c r="CE668" s="118">
        <f>INDEX('Gross Dx Plant'!$E$7:$AD$91,MATCH($C668,'Gross Dx Plant'!$D$7:$D$91,0),MATCH(Calculation!$G668,'Gross Dx Plant'!$E$5:$AD$5,0))</f>
        <v>1436544</v>
      </c>
      <c r="CF668" s="118">
        <f>INDEX('Gross Gen Plant'!$E$7:$AD$91,MATCH($C668,'Gross Gen Plant'!$D$7:$D$91,0),MATCH(Calculation!$G668,'Gross Gen Plant'!$E$5:$AD$5,0))</f>
        <v>52673</v>
      </c>
      <c r="CG668" s="118">
        <f t="shared" si="1923"/>
        <v>968536</v>
      </c>
      <c r="CH668" s="119" t="e">
        <f>SUM(#REF!)/15</f>
        <v>#REF!</v>
      </c>
      <c r="CI668" s="121">
        <v>2006</v>
      </c>
      <c r="CJ668" s="118"/>
      <c r="CK668" s="118"/>
      <c r="CL668" s="118"/>
      <c r="CM668" s="183"/>
      <c r="CN668" s="118">
        <f t="shared" si="1936"/>
        <v>64150</v>
      </c>
      <c r="CO668" s="118">
        <f t="shared" si="1937"/>
        <v>139.12815729063828</v>
      </c>
      <c r="CP668" s="186">
        <v>0.9555555555555556</v>
      </c>
      <c r="CQ668" s="118">
        <f>+CQ660*CP668+CO661*CP667+CO662*CP666+CO663*CP665+CO664*CP664+CO665*CP663+CO666*CP662+CO667*CP661+CO668</f>
        <v>4598.4808878026315</v>
      </c>
      <c r="CR668" s="119">
        <f t="shared" si="1938"/>
        <v>2.4441141354144772E-2</v>
      </c>
      <c r="CS668" s="119"/>
      <c r="CT668" s="177">
        <f t="shared" si="1939"/>
        <v>6.2615522680659853E-3</v>
      </c>
      <c r="CU668" s="177">
        <f t="shared" si="1947"/>
        <v>6.0658625617202207E-3</v>
      </c>
      <c r="CV668" s="119">
        <f>VLOOKUP($H668,RoR!$E:$F,2,FALSE)</f>
        <v>5.5874999999999994E-2</v>
      </c>
      <c r="CW668" s="177">
        <v>3.0512430354548314E-2</v>
      </c>
      <c r="CX668" s="177">
        <f t="shared" si="1945"/>
        <v>2.536256964545168E-2</v>
      </c>
      <c r="CY668" s="177">
        <f t="shared" si="1948"/>
        <v>2.4836079046813404E-2</v>
      </c>
      <c r="CZ668" s="177">
        <f t="shared" si="1949"/>
        <v>7.9087823893859641E-2</v>
      </c>
      <c r="DA668" s="187">
        <f t="shared" si="1940"/>
        <v>0.85131374874999999</v>
      </c>
      <c r="DB668" s="188">
        <f t="shared" si="1941"/>
        <v>0.91779957551769631</v>
      </c>
      <c r="DC668" s="188">
        <f t="shared" si="1942"/>
        <v>0.52757270693512304</v>
      </c>
      <c r="DD668" s="188">
        <f t="shared" si="1943"/>
        <v>0.88636824549024895</v>
      </c>
      <c r="DE668" s="188">
        <f t="shared" si="1944"/>
        <v>0.42918482841932087</v>
      </c>
      <c r="DF668" s="189">
        <f>INDEX('State Tax Lookup'!$D$7:$Z$91,MATCH(Calculation!$C668,'State Tax Lookup'!$B$7:$B$91,0),MATCH($H668,'State Tax Lookup'!$D$6:$Z$6,0))</f>
        <v>0.39649667</v>
      </c>
      <c r="DG668" s="189">
        <v>0.375</v>
      </c>
      <c r="DH668" s="190">
        <f t="shared" si="1946"/>
        <v>16.042234769536321</v>
      </c>
      <c r="DI668" s="190">
        <v>15.57476765647343</v>
      </c>
      <c r="DJ668" s="177"/>
      <c r="DK668" s="189">
        <f>VLOOKUP($H668,RoR!$E:$F,2,FALSE)</f>
        <v>5.5874999999999994E-2</v>
      </c>
      <c r="DL668" s="191">
        <f>HLOOKUP($H668,'GDP-PI'!$D$8:$CQ$11,3,FALSE)</f>
        <v>3.0512430354548314E-2</v>
      </c>
      <c r="DM668" s="189">
        <f>VLOOKUP(H668,'HW Dx Data'!$E:$F,2,FALSE)</f>
        <v>461.08567272971823</v>
      </c>
      <c r="DN668" s="183">
        <f>VLOOKUP(H668,'ECI - Input Price'!$G$17:$H$37,2,FALSE)</f>
        <v>102.05</v>
      </c>
      <c r="DO668" s="177">
        <f t="shared" ref="DO668" si="1967">LN(DN668/DN667)</f>
        <v>2.8829034290048662E-2</v>
      </c>
      <c r="DP668" s="183">
        <f>HLOOKUP(H668,'GDP-PI'!$8:$9,2,FALSE)</f>
        <v>90.073999999999998</v>
      </c>
      <c r="DQ668" s="177">
        <f t="shared" ref="DQ668" si="1968">LN(DP668/DP667)</f>
        <v>3.005618372545445E-2</v>
      </c>
    </row>
    <row r="669" spans="1:121" s="167" customFormat="1" ht="21" x14ac:dyDescent="0.35">
      <c r="A669" s="167" t="s">
        <v>73</v>
      </c>
      <c r="B669" s="168" t="s">
        <v>73</v>
      </c>
      <c r="C669" s="168">
        <v>4057014</v>
      </c>
      <c r="D669" s="168" t="s">
        <v>136</v>
      </c>
      <c r="E669" s="168" t="s">
        <v>126</v>
      </c>
      <c r="F669" s="168"/>
      <c r="G669" s="168" t="s">
        <v>13</v>
      </c>
      <c r="H669" s="169">
        <v>2007</v>
      </c>
      <c r="I669" s="170"/>
      <c r="J669" s="166">
        <f>IFERROR(INDEX('Labor Expenditures'!$F$7:$X$91,MATCH($C669,'Labor Expenditures'!$D$7:$D$91,0),MATCH($G669,'Labor Expenditures'!$F$5:$X$5,0)),"NA")</f>
        <v>37162.287193302844</v>
      </c>
      <c r="K669" s="166">
        <f t="shared" si="1952"/>
        <v>353.16975237161171</v>
      </c>
      <c r="L669" s="172">
        <f t="shared" si="1959"/>
        <v>-7.7722552649696006E-2</v>
      </c>
      <c r="M669" s="172">
        <f t="shared" si="1963"/>
        <v>-1.5739621474256706E-3</v>
      </c>
      <c r="N669" s="196"/>
      <c r="O669" s="172"/>
      <c r="P669" s="166">
        <f>IFERROR(INDEX('Non-Labor Expenditures'!$F$7:$AB$91,MATCH($C669,'Non-Labor Expenditures'!$D$7:$D$91,0),MATCH($G669,'Non-Labor Expenditures'!$F$5:$AB$5,0)),"NA")</f>
        <v>53817.932813718005</v>
      </c>
      <c r="Q669" s="166">
        <f t="shared" si="1953"/>
        <v>581.82806994440966</v>
      </c>
      <c r="R669" s="172">
        <f t="shared" si="1964"/>
        <v>-7.3639995198953631E-2</v>
      </c>
      <c r="S669" s="172">
        <f t="shared" ref="S669:S683" si="1969">+R669*AR669</f>
        <v>-1.4912861328958741E-3</v>
      </c>
      <c r="T669" s="172"/>
      <c r="U669" s="172"/>
      <c r="V669" s="166">
        <f t="shared" si="1934"/>
        <v>79168.151225274953</v>
      </c>
      <c r="W669" s="170"/>
      <c r="X669" s="174">
        <v>4680.9860147013096</v>
      </c>
      <c r="Y669" s="175">
        <v>1.7782767468989186E-2</v>
      </c>
      <c r="Z669" s="175">
        <f t="shared" ref="Z669:Z683" si="1970">+Y669*AR669</f>
        <v>3.6011944948350906E-4</v>
      </c>
      <c r="AA669" s="175"/>
      <c r="AB669" s="175"/>
      <c r="AC669" s="170">
        <f t="shared" si="1869"/>
        <v>170148.37123229582</v>
      </c>
      <c r="AD669" s="175">
        <f t="shared" si="1965"/>
        <v>1.6552469527004142E-2</v>
      </c>
      <c r="AE669" s="170"/>
      <c r="AF669" s="170"/>
      <c r="AG669" s="121">
        <f t="shared" si="1966"/>
        <v>298.03481029512267</v>
      </c>
      <c r="AH669" s="119">
        <f>+AZ669/$BB$45</f>
        <v>1.6118048635962057E-2</v>
      </c>
      <c r="AI669" s="119">
        <f>+AZ669/$BC$45</f>
        <v>6.9726177755397481E-2</v>
      </c>
      <c r="AJ669" s="176">
        <f t="shared" ref="AJ669:AJ683" si="1971">+AH669*AG669</f>
        <v>4.8037395675465122</v>
      </c>
      <c r="AK669" s="176">
        <f t="shared" ref="AK669:AK683" si="1972">+AI669*AG669</f>
        <v>20.78082815993389</v>
      </c>
      <c r="AL669" s="120">
        <f t="shared" si="1954"/>
        <v>0.21841106631909432</v>
      </c>
      <c r="AM669" s="120">
        <f t="shared" si="1955"/>
        <v>0.31630001759019388</v>
      </c>
      <c r="AN669" s="120">
        <f t="shared" si="1956"/>
        <v>0.46528891609071171</v>
      </c>
      <c r="AO669" s="120">
        <f t="shared" si="1960"/>
        <v>-3.3628965077881906E-2</v>
      </c>
      <c r="AP669" s="173">
        <f>+AP668*EXP(AO669)</f>
        <v>99.787491612311968</v>
      </c>
      <c r="AQ669" s="175">
        <f>LN(AP669/AP668)</f>
        <v>-3.3628965077882003E-2</v>
      </c>
      <c r="AR669" s="177">
        <f>+AC669/$AE$45</f>
        <v>2.0251035172759817E-2</v>
      </c>
      <c r="AS669" s="177">
        <f t="shared" ref="AS669:AS683" si="1973">+AR669*AQ669</f>
        <v>-6.8102135461570006E-4</v>
      </c>
      <c r="AT669" s="177"/>
      <c r="AU669" s="177"/>
      <c r="AV669" s="177"/>
      <c r="AW669" s="190"/>
      <c r="AX669" s="120"/>
      <c r="AY669" s="120"/>
      <c r="AZ669" s="118">
        <f>IFERROR(INDEX('Total Customers'!$F$7:$AB$91,MATCH($C669,'Total Customers'!$D$7:$D$91,0),MATCH($G669,'Total Customers'!$F$5:$AB$5,0)),"NA")</f>
        <v>570901</v>
      </c>
      <c r="BA669" s="119">
        <f t="shared" si="1935"/>
        <v>6.0437900618277507E-3</v>
      </c>
      <c r="BB669" s="119"/>
      <c r="BC669" s="121">
        <v>8187757</v>
      </c>
      <c r="BD669" s="119"/>
      <c r="BE669" s="119"/>
      <c r="BF669" s="119"/>
      <c r="BG669" s="173"/>
      <c r="BH669" s="173"/>
      <c r="BI669" s="173"/>
      <c r="BJ669" s="173"/>
      <c r="BK669" s="173"/>
      <c r="BL669" s="173"/>
      <c r="BM669" s="173"/>
      <c r="BN669" s="173"/>
      <c r="BO669" s="173"/>
      <c r="BP669" s="173"/>
      <c r="BQ669" s="118"/>
      <c r="BR669" s="118"/>
      <c r="BS669" s="118">
        <f>INDEX('Dist. Plant Gas Additions'!$F$7:$AE$91,MATCH($C669,'Dist. Plant Gas Additions'!$D$7:$D$91,0),MATCH(Calculation!$G669,'Dist. Plant Gas Additions'!$F$5:$AE$5,0))</f>
        <v>54148</v>
      </c>
      <c r="BT669" s="118">
        <f>INDEX('Gen. Plant Additions'!$F$7:$AE$91,MATCH($C669,'Gen. Plant Additions'!$D$7:$D$91,0),MATCH(Calculation!$G669,'Gen. Plant Additions'!$F$5:$AE$5,0))</f>
        <v>1749</v>
      </c>
      <c r="BU669" s="118"/>
      <c r="BV669" s="118"/>
      <c r="BW669" s="118">
        <f>INDEX('Dist Plant Depreciation'!$E$7:$AD$94,MATCH($C669,'Dist Plant Depreciation'!$D$7:$D$94,0),MATCH(Calculation!$G669,'Dist Plant Depreciation'!$E$5:$AD$5,0))</f>
        <v>516989</v>
      </c>
      <c r="BX669" s="118">
        <f>INDEX('Gen. Plant Depreciation'!$E$7:$AD$94,MATCH($C669,'Gen. Plant Depreciation'!$D$7:$D$94,0),MATCH(Calculation!$G669,'Gen. Plant Depreciation'!$E$5:$AD$5,0))</f>
        <v>25231</v>
      </c>
      <c r="BY669" s="118"/>
      <c r="BZ669" s="118"/>
      <c r="CA669" s="118"/>
      <c r="CB669" s="118"/>
      <c r="CC669" s="118"/>
      <c r="CD669" s="118"/>
      <c r="CE669" s="118">
        <f>INDEX('Gross Dx Plant'!$E$7:$AD$91,MATCH($C669,'Gross Dx Plant'!$D$7:$D$91,0),MATCH(Calculation!$G669,'Gross Dx Plant'!$E$5:$AD$5,0))</f>
        <v>1468304</v>
      </c>
      <c r="CF669" s="118">
        <f>INDEX('Gross Gen Plant'!$E$7:$AD$91,MATCH($C669,'Gross Gen Plant'!$D$7:$D$91,0),MATCH(Calculation!$G669,'Gross Gen Plant'!$E$5:$AD$5,0))</f>
        <v>65203</v>
      </c>
      <c r="CG669" s="118">
        <f t="shared" si="1923"/>
        <v>991287</v>
      </c>
      <c r="CH669" s="118"/>
      <c r="CI669" s="121">
        <v>2007</v>
      </c>
      <c r="CJ669" s="118"/>
      <c r="CK669" s="118"/>
      <c r="CL669" s="118"/>
      <c r="CM669" s="183"/>
      <c r="CN669" s="118">
        <f t="shared" si="1936"/>
        <v>55897</v>
      </c>
      <c r="CO669" s="118">
        <f t="shared" si="1937"/>
        <v>112.23794248342648</v>
      </c>
      <c r="CP669" s="186">
        <v>0.94915254237288138</v>
      </c>
      <c r="CQ669" s="118">
        <f>+CQ660*CP669+CO661*CP668+CO662*CP667+CO663*CP666+CO664*CP665+CO665*CP664+CO666*CP663+CO667*CP662+CO668*CP661+CO669</f>
        <v>4680.9860147013096</v>
      </c>
      <c r="CR669" s="119">
        <f t="shared" si="1938"/>
        <v>1.7782767468989186E-2</v>
      </c>
      <c r="CS669" s="119"/>
      <c r="CT669" s="177">
        <f t="shared" si="1939"/>
        <v>6.4657908361898412E-3</v>
      </c>
      <c r="CU669" s="177">
        <f t="shared" si="1947"/>
        <v>6.2660014567444237E-3</v>
      </c>
      <c r="CV669" s="119">
        <f>VLOOKUP($H669,RoR!$E:$F,2,FALSE)</f>
        <v>5.5558333333333321E-2</v>
      </c>
      <c r="CW669" s="177">
        <v>2.691120634145272E-2</v>
      </c>
      <c r="CX669" s="177">
        <f t="shared" si="1945"/>
        <v>2.86471269918806E-2</v>
      </c>
      <c r="CY669" s="177">
        <f t="shared" si="1948"/>
        <v>2.4635940151789201E-2</v>
      </c>
      <c r="CZ669" s="177">
        <f t="shared" si="1949"/>
        <v>6.4575155250632399E-2</v>
      </c>
      <c r="DA669" s="187">
        <f t="shared" si="1940"/>
        <v>0.85131374874999999</v>
      </c>
      <c r="DB669" s="188">
        <f t="shared" si="1941"/>
        <v>0.92303077153834634</v>
      </c>
      <c r="DC669" s="188">
        <f t="shared" si="1942"/>
        <v>0.52502249887505614</v>
      </c>
      <c r="DD669" s="188">
        <f t="shared" si="1943"/>
        <v>0.88499666072084604</v>
      </c>
      <c r="DE669" s="188">
        <f t="shared" si="1944"/>
        <v>0.42887993290280618</v>
      </c>
      <c r="DF669" s="189">
        <f>INDEX('State Tax Lookup'!$D$7:$Z$91,MATCH(Calculation!$C669,'State Tax Lookup'!$B$7:$B$91,0),MATCH($H669,'State Tax Lookup'!$D$6:$Z$6,0))</f>
        <v>0.39649667</v>
      </c>
      <c r="DG669" s="189">
        <v>0.375</v>
      </c>
      <c r="DH669" s="190">
        <f t="shared" si="1946"/>
        <v>17.216153150764793</v>
      </c>
      <c r="DI669" s="190">
        <v>16.965626055992267</v>
      </c>
      <c r="DJ669" s="177"/>
      <c r="DK669" s="189">
        <f>VLOOKUP($H669,RoR!$E:$F,2,FALSE)</f>
        <v>5.5558333333333321E-2</v>
      </c>
      <c r="DL669" s="191">
        <f>HLOOKUP($H669,'GDP-PI'!$D$8:$CQ$11,3,FALSE)</f>
        <v>2.691120634145272E-2</v>
      </c>
      <c r="DM669" s="189">
        <f>VLOOKUP(H669,'HW Dx Data'!$E:$F,2,FALSE)</f>
        <v>498.0223154772637</v>
      </c>
      <c r="DN669" s="183">
        <f>VLOOKUP(H669,'ECI - Input Price'!$G$17:$H$37,2,FALSE)</f>
        <v>105.22500000000001</v>
      </c>
      <c r="DO669" s="177">
        <f t="shared" ref="DO669" si="1974">LN(DN669/DN668)</f>
        <v>3.0638025400780679E-2</v>
      </c>
      <c r="DP669" s="183">
        <f>HLOOKUP(H669,'GDP-PI'!$8:$9,2,FALSE)</f>
        <v>92.498000000000005</v>
      </c>
      <c r="DQ669" s="177">
        <f t="shared" ref="DQ669" si="1975">LN(DP669/DP668)</f>
        <v>2.6555467950038037E-2</v>
      </c>
    </row>
    <row r="670" spans="1:121" s="167" customFormat="1" ht="21" x14ac:dyDescent="0.35">
      <c r="A670" s="167" t="s">
        <v>73</v>
      </c>
      <c r="B670" s="168" t="s">
        <v>73</v>
      </c>
      <c r="C670" s="168">
        <v>4057014</v>
      </c>
      <c r="D670" s="168" t="s">
        <v>136</v>
      </c>
      <c r="E670" s="168" t="s">
        <v>126</v>
      </c>
      <c r="F670" s="168"/>
      <c r="G670" s="168" t="s">
        <v>14</v>
      </c>
      <c r="H670" s="169">
        <v>2008</v>
      </c>
      <c r="I670" s="170"/>
      <c r="J670" s="166">
        <f>IFERROR(INDEX('Labor Expenditures'!$F$7:$X$91,MATCH($C670,'Labor Expenditures'!$D$7:$D$91,0),MATCH($G670,'Labor Expenditures'!$F$5:$X$5,0)),"NA")</f>
        <v>41060.856287976232</v>
      </c>
      <c r="K670" s="166">
        <f t="shared" si="1952"/>
        <v>379.40269150359188</v>
      </c>
      <c r="L670" s="172">
        <f t="shared" si="1959"/>
        <v>7.1649325330537875E-2</v>
      </c>
      <c r="M670" s="172">
        <f t="shared" si="1963"/>
        <v>1.53157430557001E-3</v>
      </c>
      <c r="N670" s="196"/>
      <c r="O670" s="172"/>
      <c r="P670" s="166">
        <f>IFERROR(INDEX('Non-Labor Expenditures'!$F$7:$AB$91,MATCH($C670,'Non-Labor Expenditures'!$D$7:$D$91,0),MATCH($G670,'Non-Labor Expenditures'!$F$5:$AB$5,0)),"NA")</f>
        <v>59463.789015071001</v>
      </c>
      <c r="Q670" s="166">
        <f t="shared" si="1953"/>
        <v>630.8218303389524</v>
      </c>
      <c r="R670" s="172">
        <f t="shared" si="1964"/>
        <v>8.0848470253915589E-2</v>
      </c>
      <c r="S670" s="172">
        <f t="shared" si="1969"/>
        <v>1.7282150126926926E-3</v>
      </c>
      <c r="T670" s="172"/>
      <c r="U670" s="172"/>
      <c r="V670" s="166">
        <f t="shared" si="1934"/>
        <v>91475.349600916103</v>
      </c>
      <c r="W670" s="170"/>
      <c r="X670" s="174">
        <v>4765.2583279062774</v>
      </c>
      <c r="Y670" s="175">
        <v>1.784297461794835E-2</v>
      </c>
      <c r="Z670" s="175">
        <f t="shared" si="1970"/>
        <v>3.8141100887854526E-4</v>
      </c>
      <c r="AA670" s="175"/>
      <c r="AB670" s="175"/>
      <c r="AC670" s="170">
        <f t="shared" si="1869"/>
        <v>191999.99490396335</v>
      </c>
      <c r="AD670" s="175">
        <f t="shared" si="1965"/>
        <v>0.12082451712496217</v>
      </c>
      <c r="AE670" s="170"/>
      <c r="AF670" s="170"/>
      <c r="AG670" s="121">
        <f t="shared" si="1966"/>
        <v>333.45142186462454</v>
      </c>
      <c r="AH670" s="119">
        <f>+AZ670/$BB$46</f>
        <v>1.6169571094621658E-2</v>
      </c>
      <c r="AI670" s="119">
        <f>+AZ670/$BC$46</f>
        <v>6.9843343857618534E-2</v>
      </c>
      <c r="AJ670" s="176">
        <f t="shared" si="1971"/>
        <v>5.3917664724427254</v>
      </c>
      <c r="AK670" s="176">
        <f t="shared" si="1972"/>
        <v>23.289362317102789</v>
      </c>
      <c r="AL670" s="120">
        <f t="shared" si="1954"/>
        <v>0.21385863217608156</v>
      </c>
      <c r="AM670" s="120">
        <f t="shared" si="1955"/>
        <v>0.30970724267370031</v>
      </c>
      <c r="AN670" s="120">
        <f t="shared" si="1956"/>
        <v>0.47643412515021805</v>
      </c>
      <c r="AO670" s="120">
        <f t="shared" si="1960"/>
        <v>4.9193350970097027E-2</v>
      </c>
      <c r="AP670" s="173">
        <f t="shared" ref="AP670:AP683" si="1976">+AP669*EXP(AO670)</f>
        <v>104.8191193597788</v>
      </c>
      <c r="AQ670" s="175">
        <f t="shared" ref="AQ670:AQ683" si="1977">LN(AP670/AP669)</f>
        <v>4.9193350970097041E-2</v>
      </c>
      <c r="AR670" s="177">
        <f>+AC670/$AE$46</f>
        <v>2.1375976654412866E-2</v>
      </c>
      <c r="AS670" s="177">
        <f t="shared" si="1973"/>
        <v>1.0515559218891328E-3</v>
      </c>
      <c r="AT670" s="177"/>
      <c r="AU670" s="177"/>
      <c r="AV670" s="177"/>
      <c r="AW670" s="190"/>
      <c r="AX670" s="120"/>
      <c r="AY670" s="120"/>
      <c r="AZ670" s="118">
        <f>IFERROR(INDEX('Total Customers'!$F$7:$AB$91,MATCH($C670,'Total Customers'!$D$7:$D$91,0),MATCH($G670,'Total Customers'!$F$5:$AB$5,0)),"NA")</f>
        <v>575796</v>
      </c>
      <c r="BA670" s="119">
        <f t="shared" si="1935"/>
        <v>8.5376167084704139E-3</v>
      </c>
      <c r="BB670" s="119"/>
      <c r="BC670" s="121">
        <v>8244107</v>
      </c>
      <c r="BD670" s="119"/>
      <c r="BE670" s="119"/>
      <c r="BF670" s="119"/>
      <c r="BG670" s="173"/>
      <c r="BH670" s="173"/>
      <c r="BI670" s="173"/>
      <c r="BJ670" s="173"/>
      <c r="BK670" s="173"/>
      <c r="BL670" s="173"/>
      <c r="BM670" s="173"/>
      <c r="BN670" s="173"/>
      <c r="BO670" s="173"/>
      <c r="BP670" s="173"/>
      <c r="BQ670" s="118"/>
      <c r="BR670" s="118"/>
      <c r="BS670" s="118">
        <f>INDEX('Dist. Plant Gas Additions'!$F$7:$AE$91,MATCH($C670,'Dist. Plant Gas Additions'!$D$7:$D$91,0),MATCH(Calculation!$G670,'Dist. Plant Gas Additions'!$F$5:$AE$5,0))</f>
        <v>63450</v>
      </c>
      <c r="BT670" s="118">
        <f>INDEX('Gen. Plant Additions'!$F$7:$AE$91,MATCH($C670,'Gen. Plant Additions'!$D$7:$D$91,0),MATCH(Calculation!$G670,'Gen. Plant Additions'!$F$5:$AE$5,0))</f>
        <v>2414</v>
      </c>
      <c r="BU670" s="118"/>
      <c r="BV670" s="118"/>
      <c r="BW670" s="118">
        <f>INDEX('Dist Plant Depreciation'!$E$7:$AD$94,MATCH($C670,'Dist Plant Depreciation'!$D$7:$D$94,0),MATCH(Calculation!$G670,'Dist Plant Depreciation'!$E$5:$AD$5,0))</f>
        <v>541008</v>
      </c>
      <c r="BX670" s="118">
        <f>INDEX('Gen. Plant Depreciation'!$E$7:$AD$94,MATCH($C670,'Gen. Plant Depreciation'!$D$7:$D$94,0),MATCH(Calculation!$G670,'Gen. Plant Depreciation'!$E$5:$AD$5,0))</f>
        <v>29144</v>
      </c>
      <c r="BY670" s="118"/>
      <c r="BZ670" s="118"/>
      <c r="CA670" s="118"/>
      <c r="CB670" s="118"/>
      <c r="CC670" s="118"/>
      <c r="CD670" s="118"/>
      <c r="CE670" s="118">
        <f>INDEX('Gross Dx Plant'!$E$7:$AD$91,MATCH($C670,'Gross Dx Plant'!$D$7:$D$91,0),MATCH(Calculation!$G670,'Gross Dx Plant'!$E$5:$AD$5,0))</f>
        <v>1525893</v>
      </c>
      <c r="CF670" s="118">
        <f>INDEX('Gross Gen Plant'!$E$7:$AD$91,MATCH($C670,'Gross Gen Plant'!$D$7:$D$91,0),MATCH(Calculation!$G670,'Gross Gen Plant'!$E$5:$AD$5,0))</f>
        <v>68055</v>
      </c>
      <c r="CG670" s="118">
        <f t="shared" si="1923"/>
        <v>1023796</v>
      </c>
      <c r="CH670" s="118"/>
      <c r="CI670" s="121">
        <v>2008</v>
      </c>
      <c r="CJ670" s="118"/>
      <c r="CK670" s="118"/>
      <c r="CL670" s="118"/>
      <c r="CM670" s="183"/>
      <c r="CN670" s="118">
        <f t="shared" si="1936"/>
        <v>65864</v>
      </c>
      <c r="CO670" s="118">
        <f t="shared" si="1937"/>
        <v>115.57496477255272</v>
      </c>
      <c r="CP670" s="186">
        <v>0.94252873563218387</v>
      </c>
      <c r="CQ670" s="118">
        <f>+CQ660*CP670+CO661*CP669+CO662*CP668+CO663*CP667+CO664*CP666+CO665*CP665+CO666*CP664+CO667*CP663+CO668*CP662+CO669*CP661+CO670</f>
        <v>4765.2583279062774</v>
      </c>
      <c r="CR670" s="119">
        <f t="shared" si="1938"/>
        <v>1.784297461794835E-2</v>
      </c>
      <c r="CS670" s="119"/>
      <c r="CT670" s="177">
        <f t="shared" si="1939"/>
        <v>6.6871918585687893E-3</v>
      </c>
      <c r="CU670" s="177">
        <f t="shared" si="1947"/>
        <v>6.4715116542748722E-3</v>
      </c>
      <c r="CV670" s="119">
        <f>VLOOKUP($H670,RoR!$E:$F,2,FALSE)</f>
        <v>5.6316666666666668E-2</v>
      </c>
      <c r="CW670" s="177">
        <v>1.9092304698479889E-2</v>
      </c>
      <c r="CX670" s="177">
        <f t="shared" si="1945"/>
        <v>3.7224361968186778E-2</v>
      </c>
      <c r="CY670" s="177">
        <f t="shared" si="1948"/>
        <v>2.4430429954258752E-2</v>
      </c>
      <c r="CZ670" s="177">
        <f t="shared" si="1949"/>
        <v>6.9030581091053131E-2</v>
      </c>
      <c r="DA670" s="187">
        <f t="shared" si="1940"/>
        <v>0.85131374874999999</v>
      </c>
      <c r="DB670" s="188">
        <f t="shared" si="1941"/>
        <v>0.91060168006009956</v>
      </c>
      <c r="DC670" s="188">
        <f t="shared" si="1942"/>
        <v>0.53108168097070152</v>
      </c>
      <c r="DD670" s="188">
        <f t="shared" si="1943"/>
        <v>0.88825329850328805</v>
      </c>
      <c r="DE670" s="188">
        <f t="shared" si="1944"/>
        <v>0.4295627335323573</v>
      </c>
      <c r="DF670" s="189">
        <f>INDEX('State Tax Lookup'!$D$7:$Z$91,MATCH(Calculation!$C670,'State Tax Lookup'!$B$7:$B$91,0),MATCH($H670,'State Tax Lookup'!$D$6:$Z$6,0))</f>
        <v>0.39649667</v>
      </c>
      <c r="DG670" s="189">
        <v>0.375</v>
      </c>
      <c r="DH670" s="190">
        <f t="shared" si="1946"/>
        <v>19.541897650115725</v>
      </c>
      <c r="DI670" s="190">
        <v>19.2578333174859</v>
      </c>
      <c r="DJ670" s="177"/>
      <c r="DK670" s="189">
        <f>VLOOKUP($H670,RoR!$E:$F,2,FALSE)</f>
        <v>5.6316666666666668E-2</v>
      </c>
      <c r="DL670" s="191">
        <f>HLOOKUP($H670,'GDP-PI'!$D$8:$CQ$11,3,FALSE)</f>
        <v>1.9092304698479889E-2</v>
      </c>
      <c r="DM670" s="189">
        <f>VLOOKUP(H670,'HW Dx Data'!$E:$F,2,FALSE)</f>
        <v>569.88120333515076</v>
      </c>
      <c r="DN670" s="183">
        <f>VLOOKUP(H670,'ECI - Input Price'!$G$17:$H$37,2,FALSE)</f>
        <v>108.22499999999999</v>
      </c>
      <c r="DO670" s="177">
        <f t="shared" ref="DO670" si="1978">LN(DN670/DN669)</f>
        <v>2.8111478671409691E-2</v>
      </c>
      <c r="DP670" s="183">
        <f>HLOOKUP(H670,'GDP-PI'!$8:$9,2,FALSE)</f>
        <v>94.263999999999996</v>
      </c>
      <c r="DQ670" s="177">
        <f t="shared" ref="DQ670" si="1979">LN(DP670/DP669)</f>
        <v>1.8912333748032254E-2</v>
      </c>
    </row>
    <row r="671" spans="1:121" s="167" customFormat="1" ht="21" x14ac:dyDescent="0.35">
      <c r="A671" s="167" t="s">
        <v>73</v>
      </c>
      <c r="B671" s="168" t="s">
        <v>73</v>
      </c>
      <c r="C671" s="168">
        <v>4057014</v>
      </c>
      <c r="D671" s="168" t="s">
        <v>136</v>
      </c>
      <c r="E671" s="168" t="s">
        <v>126</v>
      </c>
      <c r="F671" s="168"/>
      <c r="G671" s="168" t="s">
        <v>15</v>
      </c>
      <c r="H671" s="169">
        <v>2009</v>
      </c>
      <c r="I671" s="170"/>
      <c r="J671" s="166">
        <f>IFERROR(INDEX('Labor Expenditures'!$F$7:$X$91,MATCH($C671,'Labor Expenditures'!$D$7:$D$91,0),MATCH($G671,'Labor Expenditures'!$F$5:$X$5,0)),"NA")</f>
        <v>49328.988182943453</v>
      </c>
      <c r="K671" s="166">
        <f t="shared" si="1952"/>
        <v>449.36450178040042</v>
      </c>
      <c r="L671" s="172">
        <f t="shared" si="1959"/>
        <v>0.1692362147973949</v>
      </c>
      <c r="M671" s="172">
        <f t="shared" si="1963"/>
        <v>3.7934666226596457E-3</v>
      </c>
      <c r="N671" s="196"/>
      <c r="O671" s="172"/>
      <c r="P671" s="166">
        <f>IFERROR(INDEX('Non-Labor Expenditures'!$F$7:$AB$91,MATCH($C671,'Non-Labor Expenditures'!$D$7:$D$91,0),MATCH($G671,'Non-Labor Expenditures'!$F$5:$AB$5,0)),"NA")</f>
        <v>71437.588273005123</v>
      </c>
      <c r="Q671" s="166">
        <f t="shared" si="1953"/>
        <v>751.9825290056225</v>
      </c>
      <c r="R671" s="172">
        <f t="shared" si="1964"/>
        <v>0.17568962909882185</v>
      </c>
      <c r="S671" s="172">
        <f t="shared" si="1969"/>
        <v>3.9381213100973516E-3</v>
      </c>
      <c r="T671" s="172"/>
      <c r="U671" s="172"/>
      <c r="V671" s="166">
        <f t="shared" si="1934"/>
        <v>89239.032524198905</v>
      </c>
      <c r="W671" s="170"/>
      <c r="X671" s="174">
        <v>4858.3078906512055</v>
      </c>
      <c r="Y671" s="175">
        <v>1.9338457380905418E-2</v>
      </c>
      <c r="Z671" s="175">
        <f t="shared" si="1970"/>
        <v>4.334757350606971E-4</v>
      </c>
      <c r="AA671" s="175"/>
      <c r="AB671" s="175"/>
      <c r="AC671" s="170">
        <f t="shared" si="1869"/>
        <v>210005.60898014749</v>
      </c>
      <c r="AD671" s="175">
        <f t="shared" si="1965"/>
        <v>8.9638894304128316E-2</v>
      </c>
      <c r="AE671" s="170"/>
      <c r="AF671" s="170"/>
      <c r="AG671" s="121">
        <f t="shared" si="1966"/>
        <v>362.27726405192413</v>
      </c>
      <c r="AH671" s="119">
        <f>+AZ671/$BB$47</f>
        <v>1.6255210234263899E-2</v>
      </c>
      <c r="AI671" s="119">
        <f>+AZ671/$BC$47</f>
        <v>6.9532814222031156E-2</v>
      </c>
      <c r="AJ671" s="176">
        <f t="shared" si="1971"/>
        <v>5.8888930902579624</v>
      </c>
      <c r="AK671" s="176">
        <f t="shared" si="1972"/>
        <v>25.190157698188166</v>
      </c>
      <c r="AL671" s="120">
        <f t="shared" si="1954"/>
        <v>0.23489366985244037</v>
      </c>
      <c r="AM671" s="120">
        <f t="shared" si="1955"/>
        <v>0.34016990603216862</v>
      </c>
      <c r="AN671" s="120">
        <f t="shared" si="1956"/>
        <v>0.42493642411539095</v>
      </c>
      <c r="AO671" s="120">
        <f t="shared" si="1960"/>
        <v>0.10377646607211732</v>
      </c>
      <c r="AP671" s="173">
        <f t="shared" si="1976"/>
        <v>116.28134679391722</v>
      </c>
      <c r="AQ671" s="175">
        <f t="shared" si="1977"/>
        <v>0.10377646607211731</v>
      </c>
      <c r="AR671" s="177">
        <f>+AC671/$AE$47</f>
        <v>2.2415217849212021E-2</v>
      </c>
      <c r="AS671" s="177">
        <f t="shared" si="1973"/>
        <v>2.3261720946278698E-3</v>
      </c>
      <c r="AT671" s="177"/>
      <c r="AU671" s="177"/>
      <c r="AV671" s="177"/>
      <c r="AW671" s="190"/>
      <c r="AX671" s="120"/>
      <c r="AY671" s="120"/>
      <c r="AZ671" s="118">
        <f>IFERROR(INDEX('Total Customers'!$F$7:$AB$91,MATCH($C671,'Total Customers'!$D$7:$D$91,0),MATCH($G671,'Total Customers'!$F$5:$AB$5,0)),"NA")</f>
        <v>579682</v>
      </c>
      <c r="BA671" s="119">
        <f t="shared" si="1935"/>
        <v>6.7262460228259659E-3</v>
      </c>
      <c r="BB671" s="119"/>
      <c r="BC671" s="121">
        <v>8336812</v>
      </c>
      <c r="BD671" s="119"/>
      <c r="BE671" s="119"/>
      <c r="BF671" s="119"/>
      <c r="BG671" s="173"/>
      <c r="BH671" s="173"/>
      <c r="BI671" s="173"/>
      <c r="BJ671" s="173"/>
      <c r="BK671" s="173"/>
      <c r="BL671" s="173"/>
      <c r="BM671" s="173"/>
      <c r="BN671" s="173"/>
      <c r="BO671" s="173"/>
      <c r="BP671" s="173"/>
      <c r="BQ671" s="118"/>
      <c r="BR671" s="118"/>
      <c r="BS671" s="118">
        <f>INDEX('Dist. Plant Gas Additions'!$F$7:$AE$91,MATCH($C671,'Dist. Plant Gas Additions'!$D$7:$D$91,0),MATCH(Calculation!$G671,'Dist. Plant Gas Additions'!$F$5:$AE$5,0))</f>
        <v>62903</v>
      </c>
      <c r="BT671" s="118">
        <f>INDEX('Gen. Plant Additions'!$F$7:$AE$91,MATCH($C671,'Gen. Plant Additions'!$D$7:$D$91,0),MATCH(Calculation!$G671,'Gen. Plant Additions'!$F$5:$AE$5,0))</f>
        <v>6520</v>
      </c>
      <c r="BU671" s="118"/>
      <c r="BV671" s="118"/>
      <c r="BW671" s="118">
        <f>INDEX('Dist Plant Depreciation'!$E$7:$AD$94,MATCH($C671,'Dist Plant Depreciation'!$D$7:$D$94,0),MATCH(Calculation!$G671,'Dist Plant Depreciation'!$E$5:$AD$5,0))</f>
        <v>566170</v>
      </c>
      <c r="BX671" s="118">
        <f>INDEX('Gen. Plant Depreciation'!$E$7:$AD$94,MATCH($C671,'Gen. Plant Depreciation'!$D$7:$D$94,0),MATCH(Calculation!$G671,'Gen. Plant Depreciation'!$E$5:$AD$5,0))</f>
        <v>21871</v>
      </c>
      <c r="BY671" s="118"/>
      <c r="BZ671" s="118"/>
      <c r="CA671" s="118"/>
      <c r="CB671" s="118"/>
      <c r="CC671" s="118"/>
      <c r="CD671" s="118"/>
      <c r="CE671" s="118">
        <f>INDEX('Gross Dx Plant'!$E$7:$AD$91,MATCH($C671,'Gross Dx Plant'!$D$7:$D$91,0),MATCH(Calculation!$G671,'Gross Dx Plant'!$E$5:$AD$5,0))</f>
        <v>1581697</v>
      </c>
      <c r="CF671" s="118">
        <f>INDEX('Gross Gen Plant'!$E$7:$AD$91,MATCH($C671,'Gross Gen Plant'!$D$7:$D$91,0),MATCH(Calculation!$G671,'Gross Gen Plant'!$E$5:$AD$5,0))</f>
        <v>71145</v>
      </c>
      <c r="CG671" s="118">
        <f t="shared" si="1923"/>
        <v>1064801</v>
      </c>
      <c r="CH671" s="118"/>
      <c r="CI671" s="121">
        <v>2009</v>
      </c>
      <c r="CJ671" s="118"/>
      <c r="CK671" s="118"/>
      <c r="CL671" s="118"/>
      <c r="CM671" s="183"/>
      <c r="CN671" s="118">
        <f t="shared" si="1936"/>
        <v>69423</v>
      </c>
      <c r="CO671" s="118">
        <f t="shared" si="1937"/>
        <v>126.00813111846878</v>
      </c>
      <c r="CP671" s="186">
        <v>0.93567251461988299</v>
      </c>
      <c r="CQ671" s="118">
        <f>+CQ660*CP671+CO661*CP670+CO662*CP669+CO663*CP668+CO664*CP667+CO665*CP666+CO666*CP665+CO667*CP664+CO668*CP663+CO669*CP662+CO670*CP661+CO671</f>
        <v>4858.3078906512055</v>
      </c>
      <c r="CR671" s="119">
        <f t="shared" si="1938"/>
        <v>1.9338457380905418E-2</v>
      </c>
      <c r="CS671" s="119"/>
      <c r="CT671" s="177">
        <f t="shared" si="1939"/>
        <v>6.9164284715749532E-3</v>
      </c>
      <c r="CU671" s="177">
        <f t="shared" si="1947"/>
        <v>6.6898037221111949E-3</v>
      </c>
      <c r="CV671" s="119">
        <f>VLOOKUP($H671,RoR!$E:$F,2,FALSE)</f>
        <v>5.3133333333333324E-2</v>
      </c>
      <c r="CW671" s="177">
        <v>7.7972502758210105E-3</v>
      </c>
      <c r="CX671" s="177">
        <f t="shared" si="1945"/>
        <v>4.5336083057512314E-2</v>
      </c>
      <c r="CY671" s="177">
        <f t="shared" si="1948"/>
        <v>2.421213788642243E-2</v>
      </c>
      <c r="CZ671" s="177">
        <f t="shared" si="1949"/>
        <v>6.3720160300892073E-2</v>
      </c>
      <c r="DA671" s="187">
        <f t="shared" si="1940"/>
        <v>0.85131374874999999</v>
      </c>
      <c r="DB671" s="188">
        <f t="shared" si="1941"/>
        <v>0.96515780330083989</v>
      </c>
      <c r="DC671" s="188">
        <f t="shared" si="1942"/>
        <v>0.50448557089084056</v>
      </c>
      <c r="DD671" s="188">
        <f t="shared" si="1943"/>
        <v>0.87391435735465484</v>
      </c>
      <c r="DE671" s="188">
        <f t="shared" si="1944"/>
        <v>0.42551605393279146</v>
      </c>
      <c r="DF671" s="189">
        <f>INDEX('State Tax Lookup'!$D$7:$Z$91,MATCH(Calculation!$C671,'State Tax Lookup'!$B$7:$B$91,0),MATCH($H671,'State Tax Lookup'!$D$6:$Z$6,0))</f>
        <v>0.39649667</v>
      </c>
      <c r="DG671" s="189">
        <v>0.375</v>
      </c>
      <c r="DH671" s="190">
        <f t="shared" si="1946"/>
        <v>18.727008355790034</v>
      </c>
      <c r="DI671" s="190">
        <v>18.381903050121615</v>
      </c>
      <c r="DJ671" s="177"/>
      <c r="DK671" s="189">
        <f>VLOOKUP($H671,RoR!$E:$F,2,FALSE)</f>
        <v>5.3133333333333324E-2</v>
      </c>
      <c r="DL671" s="191">
        <f>HLOOKUP($H671,'GDP-PI'!$D$8:$CQ$11,3,FALSE)</f>
        <v>7.7972502758210105E-3</v>
      </c>
      <c r="DM671" s="189">
        <f>VLOOKUP(H671,'HW Dx Data'!$E:$F,2,FALSE)</f>
        <v>550.94063679692806</v>
      </c>
      <c r="DN671" s="183">
        <f>VLOOKUP(H671,'ECI - Input Price'!$G$17:$H$37,2,FALSE)</f>
        <v>109.77499999999999</v>
      </c>
      <c r="DO671" s="177">
        <f t="shared" ref="DO671" si="1980">LN(DN671/DN670)</f>
        <v>1.4220423119736749E-2</v>
      </c>
      <c r="DP671" s="183">
        <f>HLOOKUP(H671,'GDP-PI'!$8:$9,2,FALSE)</f>
        <v>94.998999999999995</v>
      </c>
      <c r="DQ671" s="177">
        <f t="shared" ref="DQ671" si="1981">LN(DP671/DP670)</f>
        <v>7.7670088183096342E-3</v>
      </c>
    </row>
    <row r="672" spans="1:121" s="167" customFormat="1" ht="21" x14ac:dyDescent="0.35">
      <c r="A672" s="167" t="s">
        <v>73</v>
      </c>
      <c r="B672" s="168" t="s">
        <v>73</v>
      </c>
      <c r="C672" s="168">
        <v>4057014</v>
      </c>
      <c r="D672" s="168" t="s">
        <v>136</v>
      </c>
      <c r="E672" s="168" t="s">
        <v>126</v>
      </c>
      <c r="F672" s="168"/>
      <c r="G672" s="168" t="s">
        <v>16</v>
      </c>
      <c r="H672" s="169">
        <v>2010</v>
      </c>
      <c r="I672" s="170"/>
      <c r="J672" s="166">
        <f>IFERROR(INDEX('Labor Expenditures'!$F$7:$X$91,MATCH($C672,'Labor Expenditures'!$D$7:$D$91,0),MATCH($G672,'Labor Expenditures'!$F$5:$X$5,0)),"NA")</f>
        <v>61082.737792133747</v>
      </c>
      <c r="K672" s="166">
        <f t="shared" si="1952"/>
        <v>545.99095233192179</v>
      </c>
      <c r="L672" s="172">
        <f t="shared" si="1959"/>
        <v>0.19476803840839757</v>
      </c>
      <c r="M672" s="172">
        <f t="shared" si="1963"/>
        <v>4.8683423848137619E-3</v>
      </c>
      <c r="N672" s="196"/>
      <c r="O672" s="172"/>
      <c r="P672" s="166">
        <f>IFERROR(INDEX('Non-Labor Expenditures'!$F$7:$AB$91,MATCH($C672,'Non-Labor Expenditures'!$D$7:$D$91,0),MATCH($G672,'Non-Labor Expenditures'!$F$5:$AB$5,0)),"NA")</f>
        <v>88459.21300472143</v>
      </c>
      <c r="Q672" s="166">
        <f t="shared" si="1953"/>
        <v>920.40509218409761</v>
      </c>
      <c r="R672" s="172">
        <f t="shared" si="1964"/>
        <v>0.20210079974848541</v>
      </c>
      <c r="S672" s="172">
        <f t="shared" si="1969"/>
        <v>5.0516290940777302E-3</v>
      </c>
      <c r="T672" s="172"/>
      <c r="U672" s="172"/>
      <c r="V672" s="166">
        <f t="shared" si="1934"/>
        <v>93194.206873181116</v>
      </c>
      <c r="W672" s="170"/>
      <c r="X672" s="174">
        <v>4930.516276116623</v>
      </c>
      <c r="Y672" s="175">
        <v>1.4753497254504304E-2</v>
      </c>
      <c r="Z672" s="175">
        <f t="shared" si="1970"/>
        <v>3.6877239507711741E-4</v>
      </c>
      <c r="AA672" s="175"/>
      <c r="AB672" s="175"/>
      <c r="AC672" s="170">
        <f t="shared" si="1869"/>
        <v>242736.15767003631</v>
      </c>
      <c r="AD672" s="175">
        <f t="shared" si="1965"/>
        <v>0.14484084276904777</v>
      </c>
      <c r="AE672" s="170"/>
      <c r="AF672" s="170"/>
      <c r="AG672" s="121">
        <f t="shared" si="1966"/>
        <v>416.40918617603285</v>
      </c>
      <c r="AH672" s="119">
        <f>+AZ672/$BB$48</f>
        <v>1.6256217422342831E-2</v>
      </c>
      <c r="AI672" s="119">
        <f>+AZ672/$BC$48</f>
        <v>6.9367655463993858E-2</v>
      </c>
      <c r="AJ672" s="176">
        <f t="shared" si="1971"/>
        <v>6.7692382671384248</v>
      </c>
      <c r="AK672" s="176">
        <f t="shared" si="1972"/>
        <v>28.88532895870112</v>
      </c>
      <c r="AL672" s="120">
        <f t="shared" si="1954"/>
        <v>0.25164251744961147</v>
      </c>
      <c r="AM672" s="120">
        <f t="shared" si="1955"/>
        <v>0.3644253656060939</v>
      </c>
      <c r="AN672" s="120">
        <f t="shared" si="1956"/>
        <v>0.38393211694429463</v>
      </c>
      <c r="AO672" s="120">
        <f t="shared" si="1960"/>
        <v>0.12454730325619724</v>
      </c>
      <c r="AP672" s="173">
        <f t="shared" si="1976"/>
        <v>131.70439259296992</v>
      </c>
      <c r="AQ672" s="175">
        <f t="shared" si="1977"/>
        <v>0.12454730325619727</v>
      </c>
      <c r="AR672" s="177">
        <f>+AC672/$AE$48</f>
        <v>2.4995591805497486E-2</v>
      </c>
      <c r="AS672" s="177">
        <f t="shared" si="1973"/>
        <v>3.113133552667415E-3</v>
      </c>
      <c r="AT672" s="177"/>
      <c r="AU672" s="177"/>
      <c r="AV672" s="177"/>
      <c r="AW672" s="190"/>
      <c r="AX672" s="120"/>
      <c r="AY672" s="120"/>
      <c r="AZ672" s="118">
        <f>IFERROR(INDEX('Total Customers'!$F$7:$AB$91,MATCH($C672,'Total Customers'!$D$7:$D$91,0),MATCH($G672,'Total Customers'!$F$5:$AB$5,0)),"NA")</f>
        <v>582927</v>
      </c>
      <c r="BA672" s="119">
        <f t="shared" si="1935"/>
        <v>5.5822867820559535E-3</v>
      </c>
      <c r="BB672" s="119"/>
      <c r="BC672" s="121">
        <v>8403441</v>
      </c>
      <c r="BD672" s="119"/>
      <c r="BE672" s="119"/>
      <c r="BF672" s="119"/>
      <c r="BG672" s="173"/>
      <c r="BH672" s="173"/>
      <c r="BI672" s="173"/>
      <c r="BJ672" s="173"/>
      <c r="BK672" s="173"/>
      <c r="BL672" s="173"/>
      <c r="BM672" s="173"/>
      <c r="BN672" s="173"/>
      <c r="BO672" s="173"/>
      <c r="BP672" s="173"/>
      <c r="BQ672" s="118"/>
      <c r="BR672" s="118"/>
      <c r="BS672" s="118">
        <f>INDEX('Dist. Plant Gas Additions'!$F$7:$AE$91,MATCH($C672,'Dist. Plant Gas Additions'!$D$7:$D$91,0),MATCH(Calculation!$G672,'Dist. Plant Gas Additions'!$F$5:$AE$5,0))</f>
        <v>55435</v>
      </c>
      <c r="BT672" s="118">
        <f>INDEX('Gen. Plant Additions'!$F$7:$AE$91,MATCH($C672,'Gen. Plant Additions'!$D$7:$D$91,0),MATCH(Calculation!$G672,'Gen. Plant Additions'!$F$5:$AE$5,0))</f>
        <v>5418</v>
      </c>
      <c r="BU672" s="118"/>
      <c r="BV672" s="118"/>
      <c r="BW672" s="118">
        <f>INDEX('Dist Plant Depreciation'!$E$7:$AD$94,MATCH($C672,'Dist Plant Depreciation'!$D$7:$D$94,0),MATCH(Calculation!$G672,'Dist Plant Depreciation'!$E$5:$AD$5,0))</f>
        <v>585952</v>
      </c>
      <c r="BX672" s="118">
        <f>INDEX('Gen. Plant Depreciation'!$E$7:$AD$94,MATCH($C672,'Gen. Plant Depreciation'!$D$7:$D$94,0),MATCH(Calculation!$G672,'Gen. Plant Depreciation'!$E$5:$AD$5,0))</f>
        <v>25090</v>
      </c>
      <c r="BY672" s="118"/>
      <c r="BZ672" s="118"/>
      <c r="CA672" s="118"/>
      <c r="CB672" s="118"/>
      <c r="CC672" s="118"/>
      <c r="CD672" s="118"/>
      <c r="CE672" s="118">
        <f>INDEX('Gross Dx Plant'!$E$7:$AD$91,MATCH($C672,'Gross Dx Plant'!$D$7:$D$91,0),MATCH(Calculation!$G672,'Gross Dx Plant'!$E$5:$AD$5,0))</f>
        <v>1630157</v>
      </c>
      <c r="CF672" s="118">
        <f>INDEX('Gross Gen Plant'!$E$7:$AD$91,MATCH($C672,'Gross Gen Plant'!$D$7:$D$91,0),MATCH(Calculation!$G672,'Gross Gen Plant'!$E$5:$AD$5,0))</f>
        <v>76492</v>
      </c>
      <c r="CG672" s="118">
        <f t="shared" si="1923"/>
        <v>1095607</v>
      </c>
      <c r="CH672" s="118"/>
      <c r="CI672" s="121">
        <v>2010</v>
      </c>
      <c r="CJ672" s="118"/>
      <c r="CK672" s="118"/>
      <c r="CL672" s="118"/>
      <c r="CM672" s="183"/>
      <c r="CN672" s="118">
        <f t="shared" si="1936"/>
        <v>60853</v>
      </c>
      <c r="CO672" s="118">
        <f t="shared" si="1937"/>
        <v>106.94924900855587</v>
      </c>
      <c r="CP672" s="186">
        <v>0.9285714285714286</v>
      </c>
      <c r="CQ672" s="118">
        <f>+CQ660*CP672+CO661*CP671+CO662*CP670+CO663*CP669+CO664*CP668+CO665*CP667+CO666*CP666+CO667*CP665+CO668*CP664+CO669*CP663+CO670*CP662+CO671*CP661+CO672</f>
        <v>4930.516276116623</v>
      </c>
      <c r="CR672" s="119">
        <f t="shared" si="1938"/>
        <v>1.4753497254504304E-2</v>
      </c>
      <c r="CS672" s="119"/>
      <c r="CT672" s="177">
        <f t="shared" si="1939"/>
        <v>7.1508155359996679E-3</v>
      </c>
      <c r="CU672" s="177">
        <f t="shared" si="1947"/>
        <v>6.9181452887144695E-3</v>
      </c>
      <c r="CV672" s="119">
        <f>VLOOKUP($H672,RoR!$E:$F,2,FALSE)</f>
        <v>4.9433333333333322E-2</v>
      </c>
      <c r="CW672" s="177">
        <v>1.1684333519300205E-2</v>
      </c>
      <c r="CX672" s="177">
        <f t="shared" si="1945"/>
        <v>3.7748999814033117E-2</v>
      </c>
      <c r="CY672" s="177">
        <f t="shared" si="1948"/>
        <v>2.3983796319819155E-2</v>
      </c>
      <c r="CZ672" s="177">
        <f t="shared" si="1949"/>
        <v>4.7937530248493419E-2</v>
      </c>
      <c r="DA672" s="187">
        <f t="shared" si="1940"/>
        <v>0.85131374874999999</v>
      </c>
      <c r="DB672" s="188">
        <f t="shared" si="1941"/>
        <v>1.037398205301105</v>
      </c>
      <c r="DC672" s="188">
        <f t="shared" si="1942"/>
        <v>0.46926837491571133</v>
      </c>
      <c r="DD672" s="188">
        <f t="shared" si="1943"/>
        <v>0.8548537519972772</v>
      </c>
      <c r="DE672" s="188">
        <f t="shared" si="1944"/>
        <v>0.41615833911547367</v>
      </c>
      <c r="DF672" s="189">
        <f>INDEX('State Tax Lookup'!$D$7:$Z$91,MATCH(Calculation!$C672,'State Tax Lookup'!$B$7:$B$91,0),MATCH($H672,'State Tax Lookup'!$D$6:$Z$6,0))</f>
        <v>0.39649667</v>
      </c>
      <c r="DG672" s="189">
        <v>0.375</v>
      </c>
      <c r="DH672" s="190">
        <f t="shared" si="1946"/>
        <v>19.182441494190563</v>
      </c>
      <c r="DI672" s="190">
        <v>18.853495206245949</v>
      </c>
      <c r="DJ672" s="177"/>
      <c r="DK672" s="189">
        <f>VLOOKUP($H672,RoR!$E:$F,2,FALSE)</f>
        <v>4.9433333333333322E-2</v>
      </c>
      <c r="DL672" s="191">
        <f>HLOOKUP($H672,'GDP-PI'!$D$8:$CQ$11,3,FALSE)</f>
        <v>1.1684333519300205E-2</v>
      </c>
      <c r="DM672" s="189">
        <f>VLOOKUP(H672,'HW Dx Data'!$E:$F,2,FALSE)</f>
        <v>568.98950262971744</v>
      </c>
      <c r="DN672" s="183">
        <f>VLOOKUP(H672,'ECI - Input Price'!$G$17:$H$37,2,FALSE)</f>
        <v>111.875</v>
      </c>
      <c r="DO672" s="177">
        <f t="shared" ref="DO672" si="1982">LN(DN672/DN671)</f>
        <v>1.8949360147238387E-2</v>
      </c>
      <c r="DP672" s="183">
        <f>HLOOKUP(H672,'GDP-PI'!$8:$9,2,FALSE)</f>
        <v>96.108999999999995</v>
      </c>
      <c r="DQ672" s="177">
        <f t="shared" ref="DQ672" si="1983">LN(DP672/DP671)</f>
        <v>1.1616598807150427E-2</v>
      </c>
    </row>
    <row r="673" spans="1:121" s="167" customFormat="1" ht="21" x14ac:dyDescent="0.35">
      <c r="A673" s="167" t="s">
        <v>73</v>
      </c>
      <c r="B673" s="168" t="s">
        <v>73</v>
      </c>
      <c r="C673" s="168">
        <v>4057014</v>
      </c>
      <c r="D673" s="168" t="s">
        <v>136</v>
      </c>
      <c r="E673" s="168" t="s">
        <v>126</v>
      </c>
      <c r="F673" s="168"/>
      <c r="G673" s="168" t="s">
        <v>17</v>
      </c>
      <c r="H673" s="169">
        <v>2011</v>
      </c>
      <c r="I673" s="170"/>
      <c r="J673" s="166">
        <f>IFERROR(INDEX('Labor Expenditures'!$F$7:$X$91,MATCH($C673,'Labor Expenditures'!$D$7:$D$91,0),MATCH($G673,'Labor Expenditures'!$F$5:$X$5,0)),"NA")</f>
        <v>61126.427342686664</v>
      </c>
      <c r="K673" s="166">
        <f t="shared" si="1952"/>
        <v>534.78939057468654</v>
      </c>
      <c r="L673" s="172">
        <f t="shared" si="1959"/>
        <v>-2.072939787358059E-2</v>
      </c>
      <c r="M673" s="172">
        <f t="shared" si="1963"/>
        <v>-5.091090223238924E-4</v>
      </c>
      <c r="N673" s="196"/>
      <c r="O673" s="172"/>
      <c r="P673" s="166">
        <f>IFERROR(INDEX('Non-Labor Expenditures'!$F$7:$AB$91,MATCH($C673,'Non-Labor Expenditures'!$D$7:$D$91,0),MATCH($G673,'Non-Labor Expenditures'!$F$5:$AB$5,0)),"NA")</f>
        <v>88522.483634004515</v>
      </c>
      <c r="Q673" s="166">
        <f t="shared" si="1953"/>
        <v>902.25949561729976</v>
      </c>
      <c r="R673" s="172">
        <f t="shared" si="1964"/>
        <v>-1.9911722880684265E-2</v>
      </c>
      <c r="S673" s="172">
        <f t="shared" si="1969"/>
        <v>-4.8902712130820031E-4</v>
      </c>
      <c r="T673" s="172"/>
      <c r="U673" s="172"/>
      <c r="V673" s="166">
        <f t="shared" si="1934"/>
        <v>100832.40671193042</v>
      </c>
      <c r="W673" s="170"/>
      <c r="X673" s="174">
        <v>4992.3096609005052</v>
      </c>
      <c r="Y673" s="175">
        <v>1.2454956680112518E-2</v>
      </c>
      <c r="Z673" s="175">
        <f t="shared" si="1970"/>
        <v>3.0589073822447923E-4</v>
      </c>
      <c r="AA673" s="175"/>
      <c r="AB673" s="175"/>
      <c r="AC673" s="170">
        <f t="shared" si="1869"/>
        <v>250481.31768862158</v>
      </c>
      <c r="AD673" s="175">
        <f t="shared" si="1965"/>
        <v>3.1409255099243853E-2</v>
      </c>
      <c r="AE673" s="170"/>
      <c r="AF673" s="170"/>
      <c r="AG673" s="121">
        <f t="shared" si="1966"/>
        <v>427.62568555579537</v>
      </c>
      <c r="AH673" s="119">
        <f>+AZ673/$BB$49</f>
        <v>1.625550492261121E-2</v>
      </c>
      <c r="AI673" s="119">
        <f>+AZ673/$BC$49</f>
        <v>6.9419298135624974E-2</v>
      </c>
      <c r="AJ673" s="176">
        <f t="shared" si="1971"/>
        <v>6.9512714365872252</v>
      </c>
      <c r="AK673" s="176">
        <f t="shared" si="1972"/>
        <v>29.685474956048775</v>
      </c>
      <c r="AL673" s="120">
        <f t="shared" si="1954"/>
        <v>0.24403587423902875</v>
      </c>
      <c r="AM673" s="120">
        <f t="shared" si="1955"/>
        <v>0.35340952551219257</v>
      </c>
      <c r="AN673" s="120">
        <f t="shared" si="1956"/>
        <v>0.40255460024877882</v>
      </c>
      <c r="AO673" s="120">
        <f t="shared" si="1960"/>
        <v>-7.3863930162800977E-3</v>
      </c>
      <c r="AP673" s="173">
        <f t="shared" si="1976"/>
        <v>130.73515617455797</v>
      </c>
      <c r="AQ673" s="175">
        <f t="shared" si="1977"/>
        <v>-7.3863930162800405E-3</v>
      </c>
      <c r="AR673" s="177">
        <f>+AC673/$AE$49</f>
        <v>2.4559759305539056E-2</v>
      </c>
      <c r="AS673" s="177">
        <f t="shared" si="1973"/>
        <v>-1.8140803461595242E-4</v>
      </c>
      <c r="AT673" s="177"/>
      <c r="AU673" s="177"/>
      <c r="AV673" s="177"/>
      <c r="AW673" s="190"/>
      <c r="AX673" s="120"/>
      <c r="AY673" s="120"/>
      <c r="AZ673" s="118">
        <f>IFERROR(INDEX('Total Customers'!$F$7:$AB$91,MATCH($C673,'Total Customers'!$D$7:$D$91,0),MATCH($G673,'Total Customers'!$F$5:$AB$5,0)),"NA")</f>
        <v>585749</v>
      </c>
      <c r="BA673" s="119">
        <f t="shared" si="1935"/>
        <v>4.8294060711922895E-3</v>
      </c>
      <c r="BB673" s="119"/>
      <c r="BC673" s="121">
        <v>8437841</v>
      </c>
      <c r="BD673" s="119"/>
      <c r="BE673" s="119"/>
      <c r="BF673" s="119"/>
      <c r="BG673" s="173"/>
      <c r="BH673" s="173"/>
      <c r="BI673" s="173"/>
      <c r="BJ673" s="173"/>
      <c r="BK673" s="173"/>
      <c r="BL673" s="173"/>
      <c r="BM673" s="173"/>
      <c r="BN673" s="173"/>
      <c r="BO673" s="173"/>
      <c r="BP673" s="173"/>
      <c r="BQ673" s="118"/>
      <c r="BR673" s="118"/>
      <c r="BS673" s="118">
        <f>INDEX('Dist. Plant Gas Additions'!$F$7:$AE$91,MATCH($C673,'Dist. Plant Gas Additions'!$D$7:$D$91,0),MATCH(Calculation!$G673,'Dist. Plant Gas Additions'!$F$5:$AE$5,0))</f>
        <v>59802</v>
      </c>
      <c r="BT673" s="118">
        <f>INDEX('Gen. Plant Additions'!$F$7:$AE$91,MATCH($C673,'Gen. Plant Additions'!$D$7:$D$91,0),MATCH(Calculation!$G673,'Gen. Plant Additions'!$F$5:$AE$5,0))</f>
        <v>321</v>
      </c>
      <c r="BU673" s="118"/>
      <c r="BV673" s="118"/>
      <c r="BW673" s="118">
        <f>INDEX('Dist Plant Depreciation'!$E$7:$AD$94,MATCH($C673,'Dist Plant Depreciation'!$D$7:$D$94,0),MATCH(Calculation!$G673,'Dist Plant Depreciation'!$E$5:$AD$5,0))</f>
        <v>610795</v>
      </c>
      <c r="BX673" s="118">
        <f>INDEX('Gen. Plant Depreciation'!$E$7:$AD$94,MATCH($C673,'Gen. Plant Depreciation'!$D$7:$D$94,0),MATCH(Calculation!$G673,'Gen. Plant Depreciation'!$E$5:$AD$5,0))</f>
        <v>28635</v>
      </c>
      <c r="BY673" s="118"/>
      <c r="BZ673" s="118"/>
      <c r="CA673" s="118"/>
      <c r="CB673" s="118"/>
      <c r="CC673" s="118"/>
      <c r="CD673" s="118"/>
      <c r="CE673" s="118">
        <f>INDEX('Gross Dx Plant'!$E$7:$AD$91,MATCH($C673,'Gross Dx Plant'!$D$7:$D$91,0),MATCH(Calculation!$G673,'Gross Dx Plant'!$E$5:$AD$5,0))</f>
        <v>1680788</v>
      </c>
      <c r="CF673" s="118">
        <f>INDEX('Gross Gen Plant'!$E$7:$AD$91,MATCH($C673,'Gross Gen Plant'!$D$7:$D$91,0),MATCH(Calculation!$G673,'Gross Gen Plant'!$E$5:$AD$5,0))</f>
        <v>77749</v>
      </c>
      <c r="CG673" s="118">
        <f t="shared" si="1923"/>
        <v>1119107</v>
      </c>
      <c r="CH673" s="118"/>
      <c r="CI673" s="121">
        <v>2011</v>
      </c>
      <c r="CJ673" s="118"/>
      <c r="CK673" s="118"/>
      <c r="CL673" s="118"/>
      <c r="CM673" s="183"/>
      <c r="CN673" s="118">
        <f t="shared" si="1936"/>
        <v>60123</v>
      </c>
      <c r="CO673" s="118">
        <f t="shared" si="1937"/>
        <v>98.302663867833559</v>
      </c>
      <c r="CP673" s="186">
        <v>0.92121212121212126</v>
      </c>
      <c r="CQ673" s="118">
        <f>+CQ660*CP673+CO661*CP672+CO662*CP671+CO663*CP670+CO664*CP669+CO665*CP668+CO666*CP667+CO667*CP666+CO668*CP665+CO669*CP664+CO670*CP663+CO671*CP662+CO672*CP661+CO673</f>
        <v>4992.3096609005052</v>
      </c>
      <c r="CR673" s="119">
        <f t="shared" si="1938"/>
        <v>1.2454956680112518E-2</v>
      </c>
      <c r="CS673" s="119"/>
      <c r="CT673" s="177">
        <f t="shared" si="1939"/>
        <v>7.4047578467192187E-3</v>
      </c>
      <c r="CU673" s="177">
        <f t="shared" si="1947"/>
        <v>7.1573339514312802E-3</v>
      </c>
      <c r="CV673" s="119">
        <f>VLOOKUP($H673,RoR!$E:$F,2,FALSE)</f>
        <v>4.6391666666666664E-2</v>
      </c>
      <c r="CW673" s="177">
        <v>2.0840920205183799E-2</v>
      </c>
      <c r="CX673" s="177">
        <f t="shared" si="1945"/>
        <v>2.5550746461482865E-2</v>
      </c>
      <c r="CY673" s="177">
        <f t="shared" si="1948"/>
        <v>2.3744607657102346E-2</v>
      </c>
      <c r="CZ673" s="177">
        <f t="shared" si="1949"/>
        <v>2.4810540821321614E-2</v>
      </c>
      <c r="DA673" s="187">
        <f t="shared" si="1940"/>
        <v>0.85131374874999999</v>
      </c>
      <c r="DB673" s="188">
        <f t="shared" si="1941"/>
        <v>1.1054151524782025</v>
      </c>
      <c r="DC673" s="188">
        <f t="shared" si="1942"/>
        <v>0.43611011316687626</v>
      </c>
      <c r="DD673" s="188">
        <f t="shared" si="1943"/>
        <v>0.83698442246886229</v>
      </c>
      <c r="DE673" s="188">
        <f t="shared" si="1944"/>
        <v>0.40349573304423936</v>
      </c>
      <c r="DF673" s="189">
        <f>INDEX('State Tax Lookup'!$D$7:$Z$91,MATCH(Calculation!$C673,'State Tax Lookup'!$B$7:$B$91,0),MATCH($H673,'State Tax Lookup'!$D$6:$Z$6,0))</f>
        <v>0.39649667</v>
      </c>
      <c r="DG673" s="189">
        <v>0.375</v>
      </c>
      <c r="DH673" s="190">
        <f t="shared" si="1946"/>
        <v>20.450679211903569</v>
      </c>
      <c r="DI673" s="190">
        <v>20.091441508001481</v>
      </c>
      <c r="DJ673" s="177"/>
      <c r="DK673" s="189">
        <f>VLOOKUP($H673,RoR!$E:$F,2,FALSE)</f>
        <v>4.6391666666666664E-2</v>
      </c>
      <c r="DL673" s="191">
        <f>HLOOKUP($H673,'GDP-PI'!$D$8:$CQ$11,3,FALSE)</f>
        <v>2.0840920205183799E-2</v>
      </c>
      <c r="DM673" s="189">
        <f>VLOOKUP(H673,'HW Dx Data'!$E:$F,2,FALSE)</f>
        <v>611.61109612283201</v>
      </c>
      <c r="DN673" s="183">
        <f>VLOOKUP(H673,'ECI - Input Price'!$G$17:$H$37,2,FALSE)</f>
        <v>114.3</v>
      </c>
      <c r="DO673" s="177">
        <f t="shared" ref="DO673" si="1984">LN(DN673/DN672)</f>
        <v>2.1444394205745516E-2</v>
      </c>
      <c r="DP673" s="183">
        <f>HLOOKUP(H673,'GDP-PI'!$8:$9,2,FALSE)</f>
        <v>98.111999999999995</v>
      </c>
      <c r="DQ673" s="177">
        <f t="shared" ref="DQ673" si="1985">LN(DP673/DP672)</f>
        <v>2.0626719212849295E-2</v>
      </c>
    </row>
    <row r="674" spans="1:121" s="167" customFormat="1" ht="21" x14ac:dyDescent="0.35">
      <c r="A674" s="167" t="s">
        <v>73</v>
      </c>
      <c r="B674" s="168" t="s">
        <v>73</v>
      </c>
      <c r="C674" s="168">
        <v>4057014</v>
      </c>
      <c r="D674" s="168" t="s">
        <v>136</v>
      </c>
      <c r="E674" s="168" t="s">
        <v>126</v>
      </c>
      <c r="F674" s="168"/>
      <c r="G674" s="168" t="s">
        <v>18</v>
      </c>
      <c r="H674" s="169">
        <v>2012</v>
      </c>
      <c r="I674" s="170"/>
      <c r="J674" s="166">
        <f>IFERROR(INDEX('Labor Expenditures'!$F$7:$X$91,MATCH($C674,'Labor Expenditures'!$D$7:$D$91,0),MATCH($G674,'Labor Expenditures'!$F$5:$X$5,0)),"NA")</f>
        <v>62205.307567235352</v>
      </c>
      <c r="K674" s="166">
        <f t="shared" si="1952"/>
        <v>533.95113791618326</v>
      </c>
      <c r="L674" s="172">
        <f t="shared" si="1959"/>
        <v>-1.5686741693614545E-3</v>
      </c>
      <c r="M674" s="172">
        <f t="shared" si="1963"/>
        <v>-3.8529680479816196E-5</v>
      </c>
      <c r="N674" s="196"/>
      <c r="O674" s="172"/>
      <c r="P674" s="166">
        <f>IFERROR(INDEX('Non-Labor Expenditures'!$F$7:$AB$91,MATCH($C674,'Non-Labor Expenditures'!$D$7:$D$91,0),MATCH($G674,'Non-Labor Expenditures'!$F$5:$AB$5,0)),"NA")</f>
        <v>90084.903706181183</v>
      </c>
      <c r="Q674" s="166">
        <f t="shared" si="1953"/>
        <v>900.84903706181183</v>
      </c>
      <c r="R674" s="172">
        <f t="shared" si="1964"/>
        <v>-1.5644747031134899E-3</v>
      </c>
      <c r="S674" s="172">
        <f t="shared" si="1969"/>
        <v>-3.8426533442732188E-5</v>
      </c>
      <c r="T674" s="172"/>
      <c r="U674" s="172"/>
      <c r="V674" s="166">
        <f t="shared" si="1934"/>
        <v>110189.16033350439</v>
      </c>
      <c r="W674" s="170"/>
      <c r="X674" s="174">
        <v>5026.339561467089</v>
      </c>
      <c r="Y674" s="175">
        <v>6.7933372419546074E-3</v>
      </c>
      <c r="Z674" s="175">
        <f t="shared" si="1970"/>
        <v>1.6685754023137447E-4</v>
      </c>
      <c r="AA674" s="175"/>
      <c r="AB674" s="175"/>
      <c r="AC674" s="170">
        <f t="shared" si="1869"/>
        <v>262479.3716069209</v>
      </c>
      <c r="AD674" s="175">
        <f t="shared" si="1965"/>
        <v>4.6788156930835489E-2</v>
      </c>
      <c r="AE674" s="170"/>
      <c r="AF674" s="170"/>
      <c r="AG674" s="121">
        <f t="shared" si="1966"/>
        <v>445.46694817907803</v>
      </c>
      <c r="AH674" s="119">
        <f>+AZ674/$BB$50</f>
        <v>1.6273226521080184E-2</v>
      </c>
      <c r="AI674" s="119">
        <f>+AZ674/$BC$50</f>
        <v>6.944230997686289E-2</v>
      </c>
      <c r="AJ674" s="176">
        <f t="shared" si="1971"/>
        <v>7.249184555372425</v>
      </c>
      <c r="AK674" s="176">
        <f t="shared" si="1972"/>
        <v>30.934253899898653</v>
      </c>
      <c r="AL674" s="120">
        <f t="shared" si="1954"/>
        <v>0.23699122405852011</v>
      </c>
      <c r="AM674" s="120">
        <f t="shared" si="1955"/>
        <v>0.34320755629165745</v>
      </c>
      <c r="AN674" s="120">
        <f t="shared" si="1956"/>
        <v>0.41980121964982253</v>
      </c>
      <c r="AO674" s="120">
        <f t="shared" si="1960"/>
        <v>1.8710629156770814E-3</v>
      </c>
      <c r="AP674" s="173">
        <f t="shared" si="1976"/>
        <v>130.97999886365898</v>
      </c>
      <c r="AQ674" s="175">
        <f t="shared" si="1977"/>
        <v>1.8710629156769906E-3</v>
      </c>
      <c r="AR674" s="177">
        <f>+AC674/$AE$50</f>
        <v>2.4561939778418172E-2</v>
      </c>
      <c r="AS674" s="177">
        <f t="shared" si="1973"/>
        <v>4.5956934656489762E-5</v>
      </c>
      <c r="AT674" s="177"/>
      <c r="AU674" s="177"/>
      <c r="AV674" s="177"/>
      <c r="AW674" s="190"/>
      <c r="AX674" s="120"/>
      <c r="AY674" s="120"/>
      <c r="AZ674" s="118">
        <f>IFERROR(INDEX('Total Customers'!$F$7:$AB$91,MATCH($C674,'Total Customers'!$D$7:$D$91,0),MATCH($G674,'Total Customers'!$F$5:$AB$5,0)),"NA")</f>
        <v>589223</v>
      </c>
      <c r="BA674" s="119">
        <f t="shared" si="1935"/>
        <v>5.9133496341094369E-3</v>
      </c>
      <c r="BB674" s="119"/>
      <c r="BC674" s="121">
        <v>8485072</v>
      </c>
      <c r="BD674" s="119"/>
      <c r="BE674" s="119"/>
      <c r="BF674" s="119"/>
      <c r="BG674" s="173"/>
      <c r="BH674" s="173"/>
      <c r="BI674" s="173"/>
      <c r="BJ674" s="173"/>
      <c r="BK674" s="173"/>
      <c r="BL674" s="173"/>
      <c r="BM674" s="173"/>
      <c r="BN674" s="173"/>
      <c r="BO674" s="173"/>
      <c r="BP674" s="173"/>
      <c r="BQ674" s="118"/>
      <c r="BR674" s="118"/>
      <c r="BS674" s="118">
        <f>INDEX('Dist. Plant Gas Additions'!$F$7:$AE$91,MATCH($C674,'Dist. Plant Gas Additions'!$D$7:$D$91,0),MATCH(Calculation!$G674,'Dist. Plant Gas Additions'!$F$5:$AE$5,0))</f>
        <v>46545</v>
      </c>
      <c r="BT674" s="118">
        <f>INDEX('Gen. Plant Additions'!$F$7:$AE$91,MATCH($C674,'Gen. Plant Additions'!$D$7:$D$91,0),MATCH(Calculation!$G674,'Gen. Plant Additions'!$F$5:$AE$5,0))</f>
        <v>1850</v>
      </c>
      <c r="BU674" s="118"/>
      <c r="BV674" s="118"/>
      <c r="BW674" s="118">
        <f>INDEX('Dist Plant Depreciation'!$E$7:$AD$94,MATCH($C674,'Dist Plant Depreciation'!$D$7:$D$94,0),MATCH(Calculation!$G674,'Dist Plant Depreciation'!$E$5:$AD$5,0))</f>
        <v>640257</v>
      </c>
      <c r="BX674" s="118">
        <f>INDEX('Gen. Plant Depreciation'!$E$7:$AD$94,MATCH($C674,'Gen. Plant Depreciation'!$D$7:$D$94,0),MATCH(Calculation!$G674,'Gen. Plant Depreciation'!$E$5:$AD$5,0))</f>
        <v>46323</v>
      </c>
      <c r="BY674" s="118"/>
      <c r="BZ674" s="118"/>
      <c r="CA674" s="118"/>
      <c r="CB674" s="118"/>
      <c r="CC674" s="118"/>
      <c r="CD674" s="118"/>
      <c r="CE674" s="118">
        <f>INDEX('Gross Dx Plant'!$E$7:$AD$91,MATCH($C674,'Gross Dx Plant'!$D$7:$D$91,0),MATCH(Calculation!$G674,'Gross Dx Plant'!$E$5:$AD$5,0))</f>
        <v>1722549</v>
      </c>
      <c r="CF674" s="118">
        <f>INDEX('Gross Gen Plant'!$E$7:$AD$91,MATCH($C674,'Gross Gen Plant'!$D$7:$D$91,0),MATCH(Calculation!$G674,'Gross Gen Plant'!$E$5:$AD$5,0))</f>
        <v>79598</v>
      </c>
      <c r="CG674" s="118">
        <f t="shared" si="1923"/>
        <v>1115567</v>
      </c>
      <c r="CH674" s="118"/>
      <c r="CI674" s="121">
        <v>2012</v>
      </c>
      <c r="CJ674" s="118"/>
      <c r="CK674" s="118"/>
      <c r="CL674" s="118"/>
      <c r="CM674" s="183"/>
      <c r="CN674" s="118">
        <f t="shared" si="1936"/>
        <v>48395</v>
      </c>
      <c r="CO674" s="118">
        <f t="shared" si="1937"/>
        <v>72.348037199995915</v>
      </c>
      <c r="CP674" s="186">
        <v>0.9135802469135802</v>
      </c>
      <c r="CQ674" s="118">
        <f>+CQ660*CP674+CO661*CP673+CO662*CP672+CO663*CP671+CO664*CP670+CO665*CP669+CO666*CP668+CO667*CP667+CO668*CP666+CO669*CP665+CO670*CP664+CO671*CP663+CO672*CP662+CO673*CP661+CO674</f>
        <v>5026.339561467089</v>
      </c>
      <c r="CR674" s="119">
        <f t="shared" si="1938"/>
        <v>6.7933372419546074E-3</v>
      </c>
      <c r="CS674" s="119"/>
      <c r="CT674" s="177">
        <f t="shared" si="1939"/>
        <v>7.6754326626646647E-3</v>
      </c>
      <c r="CU674" s="177">
        <f t="shared" si="1947"/>
        <v>7.4103353484611832E-3</v>
      </c>
      <c r="CV674" s="119">
        <f>VLOOKUP($H674,RoR!$E:$F,2,FALSE)</f>
        <v>3.6733333333333333E-2</v>
      </c>
      <c r="CW674" s="177">
        <v>1.924331376386168E-2</v>
      </c>
      <c r="CX674" s="177">
        <f t="shared" si="1945"/>
        <v>1.7490019569471653E-2</v>
      </c>
      <c r="CY674" s="177">
        <f t="shared" si="1948"/>
        <v>2.3491606260072441E-2</v>
      </c>
      <c r="CZ674" s="177">
        <f t="shared" si="1949"/>
        <v>6.7122682943869583E-2</v>
      </c>
      <c r="DA674" s="187">
        <f t="shared" si="1940"/>
        <v>0.85131374874999999</v>
      </c>
      <c r="DB674" s="188">
        <f t="shared" si="1941"/>
        <v>1.3960631020522127</v>
      </c>
      <c r="DC674" s="188">
        <f t="shared" si="1942"/>
        <v>0.29441923774954631</v>
      </c>
      <c r="DD674" s="188">
        <f t="shared" si="1943"/>
        <v>0.76377954189366437</v>
      </c>
      <c r="DE674" s="188">
        <f t="shared" si="1944"/>
        <v>0.31393465103033691</v>
      </c>
      <c r="DF674" s="189">
        <f>INDEX('State Tax Lookup'!$D$7:$Z$91,MATCH(Calculation!$C674,'State Tax Lookup'!$B$7:$B$91,0),MATCH($H674,'State Tax Lookup'!$D$6:$Z$6,0))</f>
        <v>0.39649667</v>
      </c>
      <c r="DG674" s="189">
        <v>0.375</v>
      </c>
      <c r="DH674" s="190">
        <f t="shared" si="1946"/>
        <v>22.071779961187072</v>
      </c>
      <c r="DI674" s="190">
        <v>21.713423848489093</v>
      </c>
      <c r="DJ674" s="177"/>
      <c r="DK674" s="189">
        <f>VLOOKUP($H674,RoR!$E:$F,2,FALSE)</f>
        <v>3.6733333333333333E-2</v>
      </c>
      <c r="DL674" s="191">
        <f>HLOOKUP($H674,'GDP-PI'!$D$8:$CQ$11,3,FALSE)</f>
        <v>1.924331376386168E-2</v>
      </c>
      <c r="DM674" s="189">
        <f>VLOOKUP(H674,'HW Dx Data'!$E:$F,2,FALSE)</f>
        <v>668.91932211262167</v>
      </c>
      <c r="DN674" s="183">
        <f>VLOOKUP(H674,'ECI - Input Price'!$G$17:$H$37,2,FALSE)</f>
        <v>116.5</v>
      </c>
      <c r="DO674" s="177">
        <f t="shared" ref="DO674" si="1986">LN(DN674/DN673)</f>
        <v>1.9064702204990347E-2</v>
      </c>
      <c r="DP674" s="183">
        <f>HLOOKUP(H674,'GDP-PI'!$8:$9,2,FALSE)</f>
        <v>100</v>
      </c>
      <c r="DQ674" s="177">
        <f t="shared" ref="DQ674" si="1987">LN(DP674/DP673)</f>
        <v>1.9060502738742411E-2</v>
      </c>
    </row>
    <row r="675" spans="1:121" s="167" customFormat="1" ht="21" x14ac:dyDescent="0.35">
      <c r="A675" s="167" t="s">
        <v>73</v>
      </c>
      <c r="B675" s="168" t="s">
        <v>73</v>
      </c>
      <c r="C675" s="168">
        <v>4057014</v>
      </c>
      <c r="D675" s="168" t="s">
        <v>136</v>
      </c>
      <c r="E675" s="168" t="s">
        <v>126</v>
      </c>
      <c r="F675" s="168"/>
      <c r="G675" s="168" t="s">
        <v>19</v>
      </c>
      <c r="H675" s="169">
        <v>2013</v>
      </c>
      <c r="I675" s="170"/>
      <c r="J675" s="166">
        <f>IFERROR(INDEX('Labor Expenditures'!$F$7:$X$91,MATCH($C675,'Labor Expenditures'!$D$7:$D$91,0),MATCH($G675,'Labor Expenditures'!$F$5:$X$5,0)),"NA")</f>
        <v>56187.921364873182</v>
      </c>
      <c r="K675" s="166">
        <f t="shared" si="1952"/>
        <v>473.2610769835602</v>
      </c>
      <c r="L675" s="172">
        <f t="shared" si="1959"/>
        <v>-0.12065713672974425</v>
      </c>
      <c r="M675" s="172">
        <f t="shared" si="1963"/>
        <v>-2.6815865291644047E-3</v>
      </c>
      <c r="N675" s="196"/>
      <c r="O675" s="172"/>
      <c r="P675" s="166">
        <f>IFERROR(INDEX('Non-Labor Expenditures'!$F$7:$AB$91,MATCH($C675,'Non-Labor Expenditures'!$D$7:$D$91,0),MATCH($G675,'Non-Labor Expenditures'!$F$5:$AB$5,0)),"NA")</f>
        <v>81370.604592447344</v>
      </c>
      <c r="Q675" s="166">
        <f t="shared" si="1953"/>
        <v>799.53037242144137</v>
      </c>
      <c r="R675" s="172">
        <f t="shared" si="1964"/>
        <v>-0.11931317231682446</v>
      </c>
      <c r="S675" s="172">
        <f t="shared" si="1969"/>
        <v>-2.6517171243115906E-3</v>
      </c>
      <c r="T675" s="172"/>
      <c r="U675" s="172"/>
      <c r="V675" s="166">
        <f t="shared" si="1934"/>
        <v>108801.01220676411</v>
      </c>
      <c r="W675" s="170"/>
      <c r="X675" s="174">
        <v>5067.9818557900844</v>
      </c>
      <c r="Y675" s="175">
        <v>8.2506844849656018E-3</v>
      </c>
      <c r="Z675" s="175">
        <f t="shared" si="1970"/>
        <v>1.8337020893199516E-4</v>
      </c>
      <c r="AA675" s="175"/>
      <c r="AB675" s="175"/>
      <c r="AC675" s="170">
        <f t="shared" si="1869"/>
        <v>246359.53816408463</v>
      </c>
      <c r="AD675" s="175">
        <f t="shared" si="1965"/>
        <v>-6.3380488410490349E-2</v>
      </c>
      <c r="AE675" s="170"/>
      <c r="AF675" s="170"/>
      <c r="AG675" s="121">
        <f t="shared" si="1966"/>
        <v>414.8151347597493</v>
      </c>
      <c r="AH675" s="119">
        <f>+AZ675/$BB$51</f>
        <v>1.6297585620254653E-2</v>
      </c>
      <c r="AI675" s="119">
        <f>+AZ675/$BC$51</f>
        <v>6.9584944019985662E-2</v>
      </c>
      <c r="AJ675" s="176">
        <f t="shared" si="1971"/>
        <v>6.7604851753244866</v>
      </c>
      <c r="AK675" s="176">
        <f t="shared" si="1972"/>
        <v>28.864887930899965</v>
      </c>
      <c r="AL675" s="120">
        <f t="shared" si="1954"/>
        <v>0.22807284744725384</v>
      </c>
      <c r="AM675" s="120">
        <f t="shared" si="1955"/>
        <v>0.33029208123556186</v>
      </c>
      <c r="AN675" s="120">
        <f t="shared" si="1956"/>
        <v>0.44163507131718432</v>
      </c>
      <c r="AO675" s="120">
        <f t="shared" si="1960"/>
        <v>-6.4681619265349932E-2</v>
      </c>
      <c r="AP675" s="173">
        <f t="shared" si="1976"/>
        <v>122.77617863627319</v>
      </c>
      <c r="AQ675" s="175">
        <f t="shared" si="1977"/>
        <v>-6.4681619265349918E-2</v>
      </c>
      <c r="AR675" s="177">
        <f>+AC675/$AE$51</f>
        <v>2.2224848043351116E-2</v>
      </c>
      <c r="AS675" s="177">
        <f t="shared" si="1973"/>
        <v>-1.4375391593702939E-3</v>
      </c>
      <c r="AT675" s="177"/>
      <c r="AU675" s="177"/>
      <c r="AV675" s="177"/>
      <c r="AW675" s="190"/>
      <c r="AX675" s="120"/>
      <c r="AY675" s="120"/>
      <c r="AZ675" s="118">
        <f>IFERROR(INDEX('Total Customers'!$F$7:$AB$91,MATCH($C675,'Total Customers'!$D$7:$D$91,0),MATCH($G675,'Total Customers'!$F$5:$AB$5,0)),"NA")</f>
        <v>593902</v>
      </c>
      <c r="BA675" s="119">
        <f t="shared" si="1935"/>
        <v>7.9096027788599036E-3</v>
      </c>
      <c r="BB675" s="119"/>
      <c r="BC675" s="121">
        <v>8534921</v>
      </c>
      <c r="BD675" s="119"/>
      <c r="BE675" s="119"/>
      <c r="BF675" s="119"/>
      <c r="BG675" s="173"/>
      <c r="BH675" s="173"/>
      <c r="BI675" s="173"/>
      <c r="BJ675" s="173"/>
      <c r="BK675" s="173"/>
      <c r="BL675" s="173"/>
      <c r="BM675" s="173"/>
      <c r="BN675" s="173"/>
      <c r="BO675" s="173"/>
      <c r="BP675" s="173"/>
      <c r="BQ675" s="118"/>
      <c r="BR675" s="118"/>
      <c r="BS675" s="118">
        <f>INDEX('Dist. Plant Gas Additions'!$F$7:$AE$91,MATCH($C675,'Dist. Plant Gas Additions'!$D$7:$D$91,0),MATCH(Calculation!$G675,'Dist. Plant Gas Additions'!$F$5:$AE$5,0))</f>
        <v>51741</v>
      </c>
      <c r="BT675" s="118">
        <f>INDEX('Gen. Plant Additions'!$F$7:$AE$91,MATCH($C675,'Gen. Plant Additions'!$D$7:$D$91,0),MATCH(Calculation!$G675,'Gen. Plant Additions'!$F$5:$AE$5,0))</f>
        <v>2465</v>
      </c>
      <c r="BU675" s="118"/>
      <c r="BV675" s="118"/>
      <c r="BW675" s="118">
        <f>INDEX('Dist Plant Depreciation'!$E$7:$AD$94,MATCH($C675,'Dist Plant Depreciation'!$D$7:$D$94,0),MATCH(Calculation!$G675,'Dist Plant Depreciation'!$E$5:$AD$5,0))</f>
        <v>670201</v>
      </c>
      <c r="BX675" s="118">
        <f>INDEX('Gen. Plant Depreciation'!$E$7:$AD$94,MATCH($C675,'Gen. Plant Depreciation'!$D$7:$D$94,0),MATCH(Calculation!$G675,'Gen. Plant Depreciation'!$E$5:$AD$5,0))</f>
        <v>35662</v>
      </c>
      <c r="BY675" s="118"/>
      <c r="BZ675" s="118"/>
      <c r="CA675" s="118"/>
      <c r="CB675" s="118"/>
      <c r="CC675" s="118"/>
      <c r="CD675" s="118"/>
      <c r="CE675" s="118">
        <f>INDEX('Gross Dx Plant'!$E$7:$AD$91,MATCH($C675,'Gross Dx Plant'!$D$7:$D$91,0),MATCH(Calculation!$G675,'Gross Dx Plant'!$E$5:$AD$5,0))</f>
        <v>1771511</v>
      </c>
      <c r="CF675" s="118">
        <f>INDEX('Gross Gen Plant'!$E$7:$AD$91,MATCH($C675,'Gross Gen Plant'!$D$7:$D$91,0),MATCH(Calculation!$G675,'Gross Gen Plant'!$E$5:$AD$5,0))</f>
        <v>82024</v>
      </c>
      <c r="CG675" s="118">
        <f t="shared" si="1923"/>
        <v>1147672</v>
      </c>
      <c r="CH675" s="118"/>
      <c r="CI675" s="121">
        <v>2013</v>
      </c>
      <c r="CJ675" s="118"/>
      <c r="CK675" s="118"/>
      <c r="CL675" s="118"/>
      <c r="CM675" s="183"/>
      <c r="CN675" s="118">
        <f t="shared" si="1936"/>
        <v>54206</v>
      </c>
      <c r="CO675" s="118">
        <f t="shared" si="1937"/>
        <v>81.728051739678477</v>
      </c>
      <c r="CP675" s="186">
        <v>0.90566037735849059</v>
      </c>
      <c r="CQ675" s="118">
        <f>+CQ660*CP675+CO661*CP674+CO662*CP673+CO663*CP672+CO664*CP671+CO665*CP670+CO666*CP669+CO667*CP668+CO668*CP667+CO669*CP666+CO670*CP665+CO671*CP664+CO672*CP663+CO673*CP662+CO674*CP661+CO675</f>
        <v>5067.9818557900844</v>
      </c>
      <c r="CR675" s="119">
        <f t="shared" si="1938"/>
        <v>8.2506844849656018E-3</v>
      </c>
      <c r="CS675" s="119"/>
      <c r="CT675" s="177">
        <f t="shared" si="1939"/>
        <v>7.9751391497678275E-3</v>
      </c>
      <c r="CU675" s="177">
        <f t="shared" si="1947"/>
        <v>7.6851098863839036E-3</v>
      </c>
      <c r="CV675" s="119">
        <f>VLOOKUP($H675,RoR!$E:$F,2,FALSE)</f>
        <v>4.2350000000000006E-2</v>
      </c>
      <c r="CW675" s="177">
        <v>1.7730000000000024E-2</v>
      </c>
      <c r="CX675" s="177">
        <f t="shared" si="1945"/>
        <v>2.4619999999999982E-2</v>
      </c>
      <c r="CY675" s="177">
        <f t="shared" si="1948"/>
        <v>2.3216831722149722E-2</v>
      </c>
      <c r="CZ675" s="177">
        <f t="shared" si="1949"/>
        <v>5.3376742735721204E-2</v>
      </c>
      <c r="DA675" s="187">
        <f t="shared" si="1940"/>
        <v>0.85131374874999999</v>
      </c>
      <c r="DB675" s="188">
        <f t="shared" si="1941"/>
        <v>1.2109103018193925</v>
      </c>
      <c r="DC675" s="188">
        <f t="shared" si="1942"/>
        <v>0.38468122786304604</v>
      </c>
      <c r="DD675" s="188">
        <f t="shared" si="1943"/>
        <v>0.80969194503422559</v>
      </c>
      <c r="DE675" s="188">
        <f t="shared" si="1944"/>
        <v>0.37716621754800816</v>
      </c>
      <c r="DF675" s="189">
        <f>INDEX('State Tax Lookup'!$D$7:$Z$91,MATCH(Calculation!$C675,'State Tax Lookup'!$B$7:$B$91,0),MATCH($H675,'State Tax Lookup'!$D$6:$Z$6,0))</f>
        <v>0.39649667</v>
      </c>
      <c r="DG675" s="189">
        <v>0.375</v>
      </c>
      <c r="DH675" s="190">
        <f t="shared" si="1946"/>
        <v>21.646172304166264</v>
      </c>
      <c r="DI675" s="190">
        <v>21.26591911625486</v>
      </c>
      <c r="DJ675" s="177"/>
      <c r="DK675" s="189">
        <f>VLOOKUP($H675,RoR!$E:$F,2,FALSE)</f>
        <v>4.2350000000000006E-2</v>
      </c>
      <c r="DL675" s="191">
        <f>HLOOKUP($H675,'GDP-PI'!$D$8:$CQ$11,3,FALSE)</f>
        <v>1.7730000000000024E-2</v>
      </c>
      <c r="DM675" s="189">
        <f>VLOOKUP(H675,'HW Dx Data'!$E:$F,2,FALSE)</f>
        <v>663.24840548821396</v>
      </c>
      <c r="DN675" s="183">
        <f>VLOOKUP(H675,'ECI - Input Price'!$G$17:$H$37,2,FALSE)</f>
        <v>118.72499999999999</v>
      </c>
      <c r="DO675" s="177">
        <f t="shared" ref="DO675" si="1988">LN(DN675/DN674)</f>
        <v>1.8918621429430321E-2</v>
      </c>
      <c r="DP675" s="183">
        <f>HLOOKUP(H675,'GDP-PI'!$8:$9,2,FALSE)</f>
        <v>101.773</v>
      </c>
      <c r="DQ675" s="177">
        <f t="shared" ref="DQ675" si="1989">LN(DP675/DP674)</f>
        <v>1.7574657016510519E-2</v>
      </c>
    </row>
    <row r="676" spans="1:121" s="167" customFormat="1" ht="21" x14ac:dyDescent="0.35">
      <c r="A676" s="167" t="s">
        <v>73</v>
      </c>
      <c r="B676" s="168" t="s">
        <v>73</v>
      </c>
      <c r="C676" s="168">
        <v>4057014</v>
      </c>
      <c r="D676" s="168" t="s">
        <v>136</v>
      </c>
      <c r="E676" s="168" t="s">
        <v>126</v>
      </c>
      <c r="F676" s="168"/>
      <c r="G676" s="168" t="s">
        <v>20</v>
      </c>
      <c r="H676" s="169">
        <v>2014</v>
      </c>
      <c r="I676" s="170"/>
      <c r="J676" s="166">
        <f>IFERROR(INDEX('Labor Expenditures'!$F$7:$X$91,MATCH($C676,'Labor Expenditures'!$D$7:$D$91,0),MATCH($G676,'Labor Expenditures'!$F$5:$X$5,0)),"NA")</f>
        <v>58852.195422929566</v>
      </c>
      <c r="K676" s="166">
        <f t="shared" si="1952"/>
        <v>485.57917015618455</v>
      </c>
      <c r="L676" s="172">
        <f t="shared" si="1959"/>
        <v>2.5695147745485942E-2</v>
      </c>
      <c r="M676" s="172">
        <f t="shared" si="1963"/>
        <v>5.7797368095626638E-4</v>
      </c>
      <c r="N676" s="196"/>
      <c r="O676" s="172"/>
      <c r="P676" s="166">
        <f>IFERROR(INDEX('Non-Labor Expenditures'!$F$7:$AB$91,MATCH($C676,'Non-Labor Expenditures'!$D$7:$D$91,0),MATCH($G676,'Non-Labor Expenditures'!$F$5:$AB$5,0)),"NA")</f>
        <v>85228.971046265884</v>
      </c>
      <c r="Q676" s="166">
        <f t="shared" si="1953"/>
        <v>822.30041435126805</v>
      </c>
      <c r="R676" s="172">
        <f t="shared" si="1964"/>
        <v>2.8081275047258374E-2</v>
      </c>
      <c r="S676" s="172">
        <f t="shared" si="1969"/>
        <v>6.3164602382411133E-4</v>
      </c>
      <c r="T676" s="172"/>
      <c r="U676" s="172"/>
      <c r="V676" s="166">
        <f t="shared" si="1934"/>
        <v>111890.43113844946</v>
      </c>
      <c r="W676" s="170"/>
      <c r="X676" s="174">
        <v>5156.8141923356388</v>
      </c>
      <c r="Y676" s="175">
        <v>1.7376301934091162E-2</v>
      </c>
      <c r="Z676" s="175">
        <f t="shared" si="1970"/>
        <v>3.9085376312025664E-4</v>
      </c>
      <c r="AA676" s="175"/>
      <c r="AB676" s="175"/>
      <c r="AC676" s="170">
        <f t="shared" si="1869"/>
        <v>255971.59760764492</v>
      </c>
      <c r="AD676" s="175">
        <f t="shared" si="1965"/>
        <v>3.827448530068004E-2</v>
      </c>
      <c r="AE676" s="170"/>
      <c r="AF676" s="170"/>
      <c r="AG676" s="121">
        <f t="shared" si="1966"/>
        <v>428.23950212913007</v>
      </c>
      <c r="AH676" s="119">
        <f>+AZ676/$BB$52</f>
        <v>1.6314581223235512E-2</v>
      </c>
      <c r="AI676" s="119">
        <f>+AZ676/$BC$52</f>
        <v>6.9505476552003703E-2</v>
      </c>
      <c r="AJ676" s="176">
        <f t="shared" si="1971"/>
        <v>6.9865481404836292</v>
      </c>
      <c r="AK676" s="176">
        <f t="shared" si="1972"/>
        <v>29.764990673877989</v>
      </c>
      <c r="AL676" s="120">
        <f t="shared" si="1954"/>
        <v>0.22991689692517617</v>
      </c>
      <c r="AM676" s="120">
        <f t="shared" si="1955"/>
        <v>0.33296260930052662</v>
      </c>
      <c r="AN676" s="120">
        <f t="shared" si="1956"/>
        <v>0.43712049377429724</v>
      </c>
      <c r="AO676" s="120">
        <f t="shared" si="1960"/>
        <v>2.2831336782093772E-2</v>
      </c>
      <c r="AP676" s="173">
        <f t="shared" si="1976"/>
        <v>125.61156761401602</v>
      </c>
      <c r="AQ676" s="175">
        <f t="shared" si="1977"/>
        <v>2.2831336782093852E-2</v>
      </c>
      <c r="AR676" s="177">
        <f>+AC676/$AE$52</f>
        <v>2.2493495140840484E-2</v>
      </c>
      <c r="AS676" s="177">
        <f t="shared" si="1973"/>
        <v>5.1355656296692067E-4</v>
      </c>
      <c r="AT676" s="177"/>
      <c r="AU676" s="177"/>
      <c r="AV676" s="177"/>
      <c r="AW676" s="190"/>
      <c r="AX676" s="120"/>
      <c r="AY676" s="120"/>
      <c r="AZ676" s="118">
        <f>IFERROR(INDEX('Total Customers'!$F$7:$AB$91,MATCH($C676,'Total Customers'!$D$7:$D$91,0),MATCH($G676,'Total Customers'!$F$5:$AB$5,0)),"NA")</f>
        <v>597730</v>
      </c>
      <c r="BA676" s="119">
        <f t="shared" si="1935"/>
        <v>6.4248243883857246E-3</v>
      </c>
      <c r="BB676" s="119"/>
      <c r="BC676" s="121">
        <v>8599754</v>
      </c>
      <c r="BD676" s="119"/>
      <c r="BE676" s="119"/>
      <c r="BF676" s="119"/>
      <c r="BG676" s="173"/>
      <c r="BH676" s="173"/>
      <c r="BI676" s="173"/>
      <c r="BJ676" s="173"/>
      <c r="BK676" s="173"/>
      <c r="BL676" s="173"/>
      <c r="BM676" s="173"/>
      <c r="BN676" s="173"/>
      <c r="BO676" s="173"/>
      <c r="BP676" s="173"/>
      <c r="BQ676" s="118"/>
      <c r="BR676" s="118"/>
      <c r="BS676" s="118">
        <f>INDEX('Dist. Plant Gas Additions'!$F$7:$AE$91,MATCH($C676,'Dist. Plant Gas Additions'!$D$7:$D$91,0),MATCH(Calculation!$G676,'Dist. Plant Gas Additions'!$F$5:$AE$5,0))</f>
        <v>83801</v>
      </c>
      <c r="BT676" s="118">
        <f>INDEX('Gen. Plant Additions'!$F$7:$AE$91,MATCH($C676,'Gen. Plant Additions'!$D$7:$D$91,0),MATCH(Calculation!$G676,'Gen. Plant Additions'!$F$5:$AE$5,0))</f>
        <v>5743</v>
      </c>
      <c r="BU676" s="118"/>
      <c r="BV676" s="118"/>
      <c r="BW676" s="118">
        <f>INDEX('Dist Plant Depreciation'!$E$7:$AD$94,MATCH($C676,'Dist Plant Depreciation'!$D$7:$D$94,0),MATCH(Calculation!$G676,'Dist Plant Depreciation'!$E$5:$AD$5,0))</f>
        <v>680206</v>
      </c>
      <c r="BX676" s="118">
        <f>INDEX('Gen. Plant Depreciation'!$E$7:$AD$94,MATCH($C676,'Gen. Plant Depreciation'!$D$7:$D$94,0),MATCH(Calculation!$G676,'Gen. Plant Depreciation'!$E$5:$AD$5,0))</f>
        <v>39470</v>
      </c>
      <c r="BY676" s="118"/>
      <c r="BZ676" s="118"/>
      <c r="CA676" s="118"/>
      <c r="CB676" s="118"/>
      <c r="CC676" s="118"/>
      <c r="CD676" s="118"/>
      <c r="CE676" s="118">
        <f>INDEX('Gross Dx Plant'!$E$7:$AD$91,MATCH($C676,'Gross Dx Plant'!$D$7:$D$91,0),MATCH(Calculation!$G676,'Gross Dx Plant'!$E$5:$AD$5,0))</f>
        <v>1846058</v>
      </c>
      <c r="CF676" s="118">
        <f>INDEX('Gross Gen Plant'!$E$7:$AD$91,MATCH($C676,'Gross Gen Plant'!$D$7:$D$91,0),MATCH(Calculation!$G676,'Gross Gen Plant'!$E$5:$AD$5,0))</f>
        <v>87496</v>
      </c>
      <c r="CG676" s="118">
        <f t="shared" si="1923"/>
        <v>1213878</v>
      </c>
      <c r="CH676" s="118"/>
      <c r="CI676" s="121">
        <v>2014</v>
      </c>
      <c r="CJ676" s="118"/>
      <c r="CK676" s="118"/>
      <c r="CL676" s="118"/>
      <c r="CM676" s="183"/>
      <c r="CN676" s="118">
        <f t="shared" si="1936"/>
        <v>89544</v>
      </c>
      <c r="CO676" s="118">
        <f t="shared" si="1937"/>
        <v>130.82255195186684</v>
      </c>
      <c r="CP676" s="186">
        <v>0.89743589743589747</v>
      </c>
      <c r="CQ676" s="118">
        <f>+CQ660*CP676+CO661*CP675+CO662*CP674+CO663*CP673+CO664*CP672+CO665*CP671+CO666*CP670+CO667*CP669+CO668*CP668+CO669*CP667+CO670*CP666+CO671*CP665+CO672*CP664+CO673*CP663+CO674*CP662+CO675*CP661+CO676</f>
        <v>5156.8141923356388</v>
      </c>
      <c r="CR676" s="119">
        <f t="shared" si="1938"/>
        <v>1.7376301934091162E-2</v>
      </c>
      <c r="CS676" s="119"/>
      <c r="CT676" s="177">
        <f t="shared" si="1939"/>
        <v>8.2853918189030804E-3</v>
      </c>
      <c r="CU676" s="177">
        <f t="shared" si="1947"/>
        <v>7.9786545437785256E-3</v>
      </c>
      <c r="CV676" s="119">
        <f>VLOOKUP($H676,RoR!$E:$F,2,FALSE)</f>
        <v>4.1625000000000002E-2</v>
      </c>
      <c r="CW676" s="177">
        <v>1.841352814597208E-2</v>
      </c>
      <c r="CX676" s="177">
        <f t="shared" si="1945"/>
        <v>2.3211471854027922E-2</v>
      </c>
      <c r="CY676" s="177">
        <f t="shared" si="1948"/>
        <v>2.2923287064755098E-2</v>
      </c>
      <c r="CZ676" s="177">
        <f t="shared" si="1949"/>
        <v>3.9072621432650924E-2</v>
      </c>
      <c r="DA676" s="187">
        <f t="shared" si="1940"/>
        <v>0.85131374874999999</v>
      </c>
      <c r="DB676" s="188">
        <f t="shared" si="1941"/>
        <v>1.2320012320012319</v>
      </c>
      <c r="DC676" s="188">
        <f t="shared" si="1942"/>
        <v>0.37439939939939942</v>
      </c>
      <c r="DD676" s="188">
        <f t="shared" si="1943"/>
        <v>0.80432100613819935</v>
      </c>
      <c r="DE676" s="188">
        <f t="shared" si="1944"/>
        <v>0.37100152660040037</v>
      </c>
      <c r="DF676" s="189">
        <f>INDEX('State Tax Lookup'!$D$7:$Z$91,MATCH(Calculation!$C676,'State Tax Lookup'!$B$7:$B$91,0),MATCH($H676,'State Tax Lookup'!$D$6:$Z$6,0))</f>
        <v>0.39649667</v>
      </c>
      <c r="DG676" s="189">
        <v>0.375</v>
      </c>
      <c r="DH676" s="190">
        <f t="shared" si="1946"/>
        <v>22.077906812278052</v>
      </c>
      <c r="DI676" s="190">
        <v>21.658845138650257</v>
      </c>
      <c r="DJ676" s="177"/>
      <c r="DK676" s="189">
        <f>VLOOKUP($H676,RoR!$E:$F,2,FALSE)</f>
        <v>4.1625000000000002E-2</v>
      </c>
      <c r="DL676" s="191">
        <f>HLOOKUP($H676,'GDP-PI'!$D$8:$CQ$11,3,FALSE)</f>
        <v>1.841352814597208E-2</v>
      </c>
      <c r="DM676" s="189">
        <f>VLOOKUP(H676,'HW Dx Data'!$E:$F,2,FALSE)</f>
        <v>684.46914285042885</v>
      </c>
      <c r="DN676" s="183">
        <f>VLOOKUP(H676,'ECI - Input Price'!$G$17:$H$37,2,FALSE)</f>
        <v>121.2</v>
      </c>
      <c r="DO676" s="177">
        <f t="shared" ref="DO676" si="1990">LN(DN676/DN675)</f>
        <v>2.0632179200028689E-2</v>
      </c>
      <c r="DP676" s="183">
        <f>HLOOKUP(H676,'GDP-PI'!$8:$9,2,FALSE)</f>
        <v>103.64700000000001</v>
      </c>
      <c r="DQ676" s="177">
        <f t="shared" ref="DQ676" si="1991">LN(DP676/DP675)</f>
        <v>1.8246051898256087E-2</v>
      </c>
    </row>
    <row r="677" spans="1:121" s="167" customFormat="1" ht="21" x14ac:dyDescent="0.35">
      <c r="A677" s="167" t="s">
        <v>73</v>
      </c>
      <c r="B677" s="168" t="s">
        <v>73</v>
      </c>
      <c r="C677" s="168">
        <v>4057014</v>
      </c>
      <c r="D677" s="168" t="s">
        <v>136</v>
      </c>
      <c r="E677" s="168" t="s">
        <v>126</v>
      </c>
      <c r="F677" s="168"/>
      <c r="G677" s="168" t="s">
        <v>21</v>
      </c>
      <c r="H677" s="169">
        <v>2015</v>
      </c>
      <c r="I677" s="170"/>
      <c r="J677" s="166">
        <f>IFERROR(INDEX('Labor Expenditures'!$F$7:$X$91,MATCH($C677,'Labor Expenditures'!$D$7:$D$91,0),MATCH($G677,'Labor Expenditures'!$F$5:$X$5,0)),"NA")</f>
        <v>53265.028989085979</v>
      </c>
      <c r="K677" s="166">
        <f t="shared" si="1952"/>
        <v>430.42447667948267</v>
      </c>
      <c r="L677" s="172">
        <f t="shared" si="1959"/>
        <v>-0.12057046692072779</v>
      </c>
      <c r="M677" s="172">
        <f t="shared" si="1963"/>
        <v>-2.5337394992311188E-3</v>
      </c>
      <c r="N677" s="196"/>
      <c r="O677" s="172"/>
      <c r="P677" s="166">
        <f>IFERROR(INDEX('Non-Labor Expenditures'!$F$7:$AB$91,MATCH($C677,'Non-Labor Expenditures'!$D$7:$D$91,0),MATCH($G677,'Non-Labor Expenditures'!$F$5:$AB$5,0)),"NA")</f>
        <v>77137.71051131573</v>
      </c>
      <c r="Q677" s="166">
        <f t="shared" si="1953"/>
        <v>737.17935484203531</v>
      </c>
      <c r="R677" s="172">
        <f t="shared" si="1964"/>
        <v>-0.10927457529258507</v>
      </c>
      <c r="S677" s="172">
        <f t="shared" si="1969"/>
        <v>-2.2963609145062471E-3</v>
      </c>
      <c r="T677" s="172"/>
      <c r="U677" s="172"/>
      <c r="V677" s="166">
        <f t="shared" si="1934"/>
        <v>111154.52379478602</v>
      </c>
      <c r="W677" s="170"/>
      <c r="X677" s="174">
        <v>5276.8319772670202</v>
      </c>
      <c r="Y677" s="175">
        <v>2.3006929103406359E-2</v>
      </c>
      <c r="Z677" s="175">
        <f t="shared" si="1970"/>
        <v>4.834812911825025E-4</v>
      </c>
      <c r="AA677" s="175"/>
      <c r="AB677" s="175"/>
      <c r="AC677" s="170">
        <f t="shared" si="1869"/>
        <v>241557.26329518773</v>
      </c>
      <c r="AD677" s="175">
        <f t="shared" si="1965"/>
        <v>-5.7959931400137402E-2</v>
      </c>
      <c r="AE677" s="170"/>
      <c r="AF677" s="170"/>
      <c r="AG677" s="121">
        <f t="shared" si="1966"/>
        <v>400.62170920463143</v>
      </c>
      <c r="AH677" s="119">
        <f>+AZ677/$BB$53</f>
        <v>1.6323783029034516E-2</v>
      </c>
      <c r="AI677" s="119">
        <f>+AZ677/$BC$53</f>
        <v>6.9632568431694297E-2</v>
      </c>
      <c r="AJ677" s="176">
        <f t="shared" si="1971"/>
        <v>6.5396618577773635</v>
      </c>
      <c r="AK677" s="176">
        <f t="shared" si="1972"/>
        <v>27.89631858141383</v>
      </c>
      <c r="AL677" s="120">
        <f t="shared" si="1954"/>
        <v>0.2205068407485436</v>
      </c>
      <c r="AM677" s="120">
        <f t="shared" si="1955"/>
        <v>0.31933509040070523</v>
      </c>
      <c r="AN677" s="120">
        <f t="shared" si="1956"/>
        <v>0.46015806885075111</v>
      </c>
      <c r="AO677" s="120">
        <f t="shared" si="1960"/>
        <v>-5.2471865093180622E-2</v>
      </c>
      <c r="AP677" s="173">
        <f t="shared" si="1976"/>
        <v>119.19043206967856</v>
      </c>
      <c r="AQ677" s="175">
        <f t="shared" si="1977"/>
        <v>-5.2471865093180657E-2</v>
      </c>
      <c r="AR677" s="177">
        <f>+AC677/$AE$53</f>
        <v>2.1014594734023815E-2</v>
      </c>
      <c r="AS677" s="177">
        <f t="shared" si="1973"/>
        <v>-1.1026749798715622E-3</v>
      </c>
      <c r="AT677" s="177"/>
      <c r="AU677" s="177"/>
      <c r="AV677" s="177"/>
      <c r="AW677" s="190"/>
      <c r="AX677" s="120"/>
      <c r="AY677" s="120"/>
      <c r="AZ677" s="118">
        <f>IFERROR(INDEX('Total Customers'!$F$7:$AB$91,MATCH($C677,'Total Customers'!$D$7:$D$91,0),MATCH($G677,'Total Customers'!$F$5:$AB$5,0)),"NA")</f>
        <v>602956</v>
      </c>
      <c r="BA677" s="119">
        <f t="shared" si="1935"/>
        <v>8.7050785991486437E-3</v>
      </c>
      <c r="BB677" s="119"/>
      <c r="BC677" s="121">
        <v>8659109</v>
      </c>
      <c r="BD677" s="119"/>
      <c r="BE677" s="119"/>
      <c r="BF677" s="119"/>
      <c r="BG677" s="173"/>
      <c r="BH677" s="173"/>
      <c r="BI677" s="173"/>
      <c r="BJ677" s="173"/>
      <c r="BK677" s="173"/>
      <c r="BL677" s="173"/>
      <c r="BM677" s="173"/>
      <c r="BN677" s="173"/>
      <c r="BO677" s="173"/>
      <c r="BP677" s="173"/>
      <c r="BQ677" s="118"/>
      <c r="BR677" s="118"/>
      <c r="BS677" s="118">
        <f>INDEX('Dist. Plant Gas Additions'!$F$7:$AE$91,MATCH($C677,'Dist. Plant Gas Additions'!$D$7:$D$91,0),MATCH(Calculation!$G677,'Dist. Plant Gas Additions'!$F$5:$AE$5,0))</f>
        <v>107916</v>
      </c>
      <c r="BT677" s="118">
        <f>INDEX('Gen. Plant Additions'!$F$7:$AE$91,MATCH($C677,'Gen. Plant Additions'!$D$7:$D$91,0),MATCH(Calculation!$G677,'Gen. Plant Additions'!$F$5:$AE$5,0))</f>
        <v>3057</v>
      </c>
      <c r="BU677" s="118"/>
      <c r="BV677" s="118"/>
      <c r="BW677" s="118">
        <f>INDEX('Dist Plant Depreciation'!$E$7:$AD$94,MATCH($C677,'Dist Plant Depreciation'!$D$7:$D$94,0),MATCH(Calculation!$G677,'Dist Plant Depreciation'!$E$5:$AD$5,0))</f>
        <v>708737</v>
      </c>
      <c r="BX677" s="118">
        <f>INDEX('Gen. Plant Depreciation'!$E$7:$AD$94,MATCH($C677,'Gen. Plant Depreciation'!$D$7:$D$94,0),MATCH(Calculation!$G677,'Gen. Plant Depreciation'!$E$5:$AD$5,0))</f>
        <v>43358</v>
      </c>
      <c r="BY677" s="118"/>
      <c r="BZ677" s="118"/>
      <c r="CA677" s="118"/>
      <c r="CB677" s="118"/>
      <c r="CC677" s="118"/>
      <c r="CD677" s="118"/>
      <c r="CE677" s="118">
        <f>INDEX('Gross Dx Plant'!$E$7:$AD$91,MATCH($C677,'Gross Dx Plant'!$D$7:$D$91,0),MATCH(Calculation!$G677,'Gross Dx Plant'!$E$5:$AD$5,0))</f>
        <v>1946904</v>
      </c>
      <c r="CF677" s="118">
        <f>INDEX('Gross Gen Plant'!$E$7:$AD$91,MATCH($C677,'Gross Gen Plant'!$D$7:$D$91,0),MATCH(Calculation!$G677,'Gross Gen Plant'!$E$5:$AD$5,0))</f>
        <v>90552</v>
      </c>
      <c r="CG677" s="118">
        <f t="shared" si="1923"/>
        <v>1285361</v>
      </c>
      <c r="CH677" s="118"/>
      <c r="CI677" s="121">
        <v>2015</v>
      </c>
      <c r="CJ677" s="118"/>
      <c r="CK677" s="118"/>
      <c r="CL677" s="118"/>
      <c r="CM677" s="183"/>
      <c r="CN677" s="118">
        <f t="shared" si="1936"/>
        <v>110973</v>
      </c>
      <c r="CO677" s="118">
        <f t="shared" si="1937"/>
        <v>164.25487928377365</v>
      </c>
      <c r="CP677" s="186">
        <v>0.88888888888888884</v>
      </c>
      <c r="CQ677" s="118">
        <f>+CQ660*CP677+CO661*CP676+CO662*CP675+CO663*CP674+CO664*CP673+CO665*CP672+CO666*CP671+CO667*CP670+CO668*CP669+CO669*CP668+CO670*CP667+CO671*CP666+CO672*CP665+CO673*CP664+CO674*CP663+CO675*CP662+CO676*CP661+CO677</f>
        <v>5276.8319772670202</v>
      </c>
      <c r="CR677" s="119">
        <f t="shared" si="1938"/>
        <v>2.3006929103406359E-2</v>
      </c>
      <c r="CS677" s="119"/>
      <c r="CT677" s="177">
        <f t="shared" si="1939"/>
        <v>8.5783766299239693E-3</v>
      </c>
      <c r="CU677" s="177">
        <f t="shared" si="1947"/>
        <v>8.2796358661982924E-3</v>
      </c>
      <c r="CV677" s="119">
        <f>VLOOKUP($H677,RoR!$E:$F,2,FALSE)</f>
        <v>3.8866666666666674E-2</v>
      </c>
      <c r="CW677" s="177">
        <v>9.5709475431029478E-3</v>
      </c>
      <c r="CX677" s="177">
        <f t="shared" si="1945"/>
        <v>2.9295719123563727E-2</v>
      </c>
      <c r="CY677" s="177">
        <f t="shared" si="1948"/>
        <v>2.2622305742335334E-2</v>
      </c>
      <c r="CZ677" s="177">
        <f t="shared" si="1949"/>
        <v>3.5270373279175926E-3</v>
      </c>
      <c r="DA677" s="187">
        <f t="shared" si="1940"/>
        <v>0.85131374874999999</v>
      </c>
      <c r="DB677" s="188">
        <f t="shared" si="1941"/>
        <v>1.3194352816994324</v>
      </c>
      <c r="DC677" s="188">
        <f t="shared" si="1942"/>
        <v>0.33177530017152673</v>
      </c>
      <c r="DD677" s="188">
        <f t="shared" si="1943"/>
        <v>0.78242572977668579</v>
      </c>
      <c r="DE677" s="188">
        <f t="shared" si="1944"/>
        <v>0.34251158643433932</v>
      </c>
      <c r="DF677" s="189">
        <f>INDEX('State Tax Lookup'!$D$7:$Z$91,MATCH(Calculation!$C677,'State Tax Lookup'!$B$7:$B$91,0),MATCH($H677,'State Tax Lookup'!$D$6:$Z$6,0))</f>
        <v>0.39649667</v>
      </c>
      <c r="DG677" s="189">
        <v>0.375</v>
      </c>
      <c r="DH677" s="190">
        <f t="shared" si="1946"/>
        <v>21.554882462119814</v>
      </c>
      <c r="DI677" s="190">
        <v>21.12343934517456</v>
      </c>
      <c r="DJ677" s="177"/>
      <c r="DK677" s="189">
        <f>VLOOKUP($H677,RoR!$E:$F,2,FALSE)</f>
        <v>3.8866666666666674E-2</v>
      </c>
      <c r="DL677" s="191">
        <f>HLOOKUP($H677,'GDP-PI'!$D$8:$CQ$11,3,FALSE)</f>
        <v>9.5709475431029478E-3</v>
      </c>
      <c r="DM677" s="189">
        <f>VLOOKUP(H677,'HW Dx Data'!$E:$F,2,FALSE)</f>
        <v>675.61463308665782</v>
      </c>
      <c r="DN677" s="183">
        <f>VLOOKUP(H677,'ECI - Input Price'!$G$17:$H$37,2,FALSE)</f>
        <v>123.75</v>
      </c>
      <c r="DO677" s="177">
        <f t="shared" ref="DO677" si="1992">LN(DN677/DN676)</f>
        <v>2.0821327813585516E-2</v>
      </c>
      <c r="DP677" s="183">
        <f>HLOOKUP(H677,'GDP-PI'!$8:$9,2,FALSE)</f>
        <v>104.639</v>
      </c>
      <c r="DQ677" s="177">
        <f t="shared" ref="DQ677" si="1993">LN(DP677/DP676)</f>
        <v>9.5254361854427965E-3</v>
      </c>
    </row>
    <row r="678" spans="1:121" s="167" customFormat="1" ht="21" x14ac:dyDescent="0.35">
      <c r="A678" s="167" t="s">
        <v>73</v>
      </c>
      <c r="B678" s="168" t="s">
        <v>73</v>
      </c>
      <c r="C678" s="168">
        <v>4057014</v>
      </c>
      <c r="D678" s="168" t="s">
        <v>136</v>
      </c>
      <c r="E678" s="168" t="s">
        <v>126</v>
      </c>
      <c r="F678" s="168"/>
      <c r="G678" s="168" t="s">
        <v>22</v>
      </c>
      <c r="H678" s="169">
        <v>2016</v>
      </c>
      <c r="I678" s="170"/>
      <c r="J678" s="166">
        <f>IFERROR(INDEX('Labor Expenditures'!$F$7:$X$91,MATCH($C678,'Labor Expenditures'!$D$7:$D$91,0),MATCH($G678,'Labor Expenditures'!$F$5:$X$5,0)),"NA")</f>
        <v>57585.141320553004</v>
      </c>
      <c r="K678" s="166">
        <f t="shared" si="1952"/>
        <v>455.57864968791932</v>
      </c>
      <c r="L678" s="172">
        <f t="shared" si="1959"/>
        <v>5.6796491669132997E-2</v>
      </c>
      <c r="M678" s="172">
        <f t="shared" si="1963"/>
        <v>1.2055274179189131E-3</v>
      </c>
      <c r="N678" s="196"/>
      <c r="O678" s="172"/>
      <c r="P678" s="166">
        <f>IFERROR(INDEX('Non-Labor Expenditures'!$F$7:$AB$91,MATCH($C678,'Non-Labor Expenditures'!$D$7:$D$91,0),MATCH($G678,'Non-Labor Expenditures'!$F$5:$AB$5,0)),"NA")</f>
        <v>83394.040052962111</v>
      </c>
      <c r="Q678" s="166">
        <f t="shared" si="1953"/>
        <v>788.70053768784624</v>
      </c>
      <c r="R678" s="172">
        <f t="shared" si="1964"/>
        <v>6.7555481565885755E-2</v>
      </c>
      <c r="S678" s="172">
        <f t="shared" si="1969"/>
        <v>1.4338911236422532E-3</v>
      </c>
      <c r="T678" s="172"/>
      <c r="U678" s="172"/>
      <c r="V678" s="166">
        <f t="shared" si="1934"/>
        <v>111558.03248588071</v>
      </c>
      <c r="W678" s="170"/>
      <c r="X678" s="174">
        <v>5355.7344684307773</v>
      </c>
      <c r="Y678" s="175">
        <v>1.4841936792673115E-2</v>
      </c>
      <c r="Z678" s="175">
        <f t="shared" si="1970"/>
        <v>3.1502582664469109E-4</v>
      </c>
      <c r="AA678" s="175"/>
      <c r="AB678" s="175"/>
      <c r="AC678" s="170">
        <f t="shared" si="1869"/>
        <v>252537.21385939582</v>
      </c>
      <c r="AD678" s="175">
        <f t="shared" si="1965"/>
        <v>4.4452059397948426E-2</v>
      </c>
      <c r="AE678" s="170"/>
      <c r="AF678" s="170"/>
      <c r="AG678" s="121">
        <f t="shared" si="1966"/>
        <v>414.7630842319569</v>
      </c>
      <c r="AH678" s="119">
        <f>+AZ678/$BB$54</f>
        <v>1.6341494788580675E-2</v>
      </c>
      <c r="AI678" s="119">
        <f>+AZ678/$BC$54</f>
        <v>6.9513130318838309E-2</v>
      </c>
      <c r="AJ678" s="176">
        <f t="shared" si="1971"/>
        <v>6.7778487794721709</v>
      </c>
      <c r="AK678" s="176">
        <f t="shared" si="1972"/>
        <v>28.831480325659331</v>
      </c>
      <c r="AL678" s="120">
        <f t="shared" si="1954"/>
        <v>0.22802635873148763</v>
      </c>
      <c r="AM678" s="120">
        <f t="shared" si="1955"/>
        <v>0.33022475689223801</v>
      </c>
      <c r="AN678" s="120">
        <f t="shared" si="1956"/>
        <v>0.44174888437627435</v>
      </c>
      <c r="AO678" s="120">
        <f t="shared" si="1960"/>
        <v>4.1371243205001532E-2</v>
      </c>
      <c r="AP678" s="173">
        <f t="shared" si="1976"/>
        <v>124.22491170765979</v>
      </c>
      <c r="AQ678" s="175">
        <f t="shared" si="1977"/>
        <v>4.1371243205001566E-2</v>
      </c>
      <c r="AR678" s="177">
        <f>+AC678/$AE$54</f>
        <v>2.1225385274528798E-2</v>
      </c>
      <c r="AS678" s="177">
        <f t="shared" si="1973"/>
        <v>8.7812057631238988E-4</v>
      </c>
      <c r="AT678" s="177"/>
      <c r="AU678" s="177"/>
      <c r="AV678" s="177"/>
      <c r="AW678" s="190"/>
      <c r="AX678" s="120"/>
      <c r="AY678" s="120"/>
      <c r="AZ678" s="118">
        <f>IFERROR(INDEX('Total Customers'!$F$7:$AB$91,MATCH($C678,'Total Customers'!$D$7:$D$91,0),MATCH($G678,'Total Customers'!$F$5:$AB$5,0)),"NA")</f>
        <v>608871</v>
      </c>
      <c r="BA678" s="119">
        <f t="shared" si="1935"/>
        <v>9.7621970382335051E-3</v>
      </c>
      <c r="BB678" s="119"/>
      <c r="BC678" s="121">
        <v>8759079</v>
      </c>
      <c r="BD678" s="119"/>
      <c r="BE678" s="119"/>
      <c r="BF678" s="119"/>
      <c r="BG678" s="173"/>
      <c r="BH678" s="173"/>
      <c r="BI678" s="173"/>
      <c r="BJ678" s="173"/>
      <c r="BK678" s="173"/>
      <c r="BL678" s="173"/>
      <c r="BM678" s="173"/>
      <c r="BN678" s="173"/>
      <c r="BO678" s="173"/>
      <c r="BP678" s="173"/>
      <c r="BQ678" s="118"/>
      <c r="BR678" s="118"/>
      <c r="BS678" s="118">
        <f>INDEX('Dist. Plant Gas Additions'!$F$7:$AE$91,MATCH($C678,'Dist. Plant Gas Additions'!$D$7:$D$91,0),MATCH(Calculation!$G678,'Dist. Plant Gas Additions'!$F$5:$AE$5,0))</f>
        <v>81144</v>
      </c>
      <c r="BT678" s="118">
        <f>INDEX('Gen. Plant Additions'!$F$7:$AE$91,MATCH($C678,'Gen. Plant Additions'!$D$7:$D$91,0),MATCH(Calculation!$G678,'Gen. Plant Additions'!$F$5:$AE$5,0))</f>
        <v>3235</v>
      </c>
      <c r="BU678" s="118"/>
      <c r="BV678" s="118"/>
      <c r="BW678" s="118">
        <f>INDEX('Dist Plant Depreciation'!$E$7:$AD$94,MATCH($C678,'Dist Plant Depreciation'!$D$7:$D$94,0),MATCH(Calculation!$G678,'Dist Plant Depreciation'!$E$5:$AD$5,0))</f>
        <v>715306</v>
      </c>
      <c r="BX678" s="118">
        <f>INDEX('Gen. Plant Depreciation'!$E$7:$AD$94,MATCH($C678,'Gen. Plant Depreciation'!$D$7:$D$94,0),MATCH(Calculation!$G678,'Gen. Plant Depreciation'!$E$5:$AD$5,0))</f>
        <v>35456</v>
      </c>
      <c r="BY678" s="118"/>
      <c r="BZ678" s="118"/>
      <c r="CA678" s="118"/>
      <c r="CB678" s="118"/>
      <c r="CC678" s="118"/>
      <c r="CD678" s="118"/>
      <c r="CE678" s="118">
        <f>INDEX('Gross Dx Plant'!$E$7:$AD$91,MATCH($C678,'Gross Dx Plant'!$D$7:$D$91,0),MATCH(Calculation!$G678,'Gross Dx Plant'!$E$5:$AD$5,0))</f>
        <v>1991269</v>
      </c>
      <c r="CF678" s="118">
        <f>INDEX('Gross Gen Plant'!$E$7:$AD$91,MATCH($C678,'Gross Gen Plant'!$D$7:$D$91,0),MATCH(Calculation!$G678,'Gross Gen Plant'!$E$5:$AD$5,0))</f>
        <v>80296</v>
      </c>
      <c r="CG678" s="118">
        <f t="shared" si="1923"/>
        <v>1320803</v>
      </c>
      <c r="CH678" s="118"/>
      <c r="CI678" s="121">
        <v>2016</v>
      </c>
      <c r="CJ678" s="118"/>
      <c r="CK678" s="118"/>
      <c r="CL678" s="118"/>
      <c r="CM678" s="183"/>
      <c r="CN678" s="118">
        <f t="shared" si="1936"/>
        <v>84379</v>
      </c>
      <c r="CO678" s="118">
        <f t="shared" si="1937"/>
        <v>125.66564377318203</v>
      </c>
      <c r="CP678" s="186">
        <v>0.88</v>
      </c>
      <c r="CQ678" s="118">
        <f>+CQ660*CP678+CO661*CP677+CO662*CP676+CO663*CP675+CO664*CP674+CO665*CP673+CO666*CP672+CO667*CP671+CO668*CP670+CO669*CP669+CO670*CP668+CO671*CP667+CO672*CP666+CO673*CP665+CO674*CP664+CO675*CP663+CO676*CP662+CO677*CP661+CO678</f>
        <v>5355.7344684307773</v>
      </c>
      <c r="CR678" s="119">
        <f t="shared" si="1938"/>
        <v>1.4841936792673115E-2</v>
      </c>
      <c r="CS678" s="119"/>
      <c r="CT678" s="177">
        <f t="shared" si="1939"/>
        <v>8.8619749142826686E-3</v>
      </c>
      <c r="CU678" s="177">
        <f t="shared" si="1947"/>
        <v>8.5752477877032388E-3</v>
      </c>
      <c r="CV678" s="119">
        <f>VLOOKUP($H678,RoR!$E:$F,2,FALSE)</f>
        <v>3.6658333333333334E-2</v>
      </c>
      <c r="CW678" s="177">
        <v>1.0483662879041455E-2</v>
      </c>
      <c r="CX678" s="177">
        <f t="shared" si="1945"/>
        <v>2.6174670454291879E-2</v>
      </c>
      <c r="CY678" s="177">
        <f t="shared" si="1948"/>
        <v>2.2326693820830384E-2</v>
      </c>
      <c r="CZ678" s="177">
        <f t="shared" si="1949"/>
        <v>4.301363574220729E-3</v>
      </c>
      <c r="DA678" s="187">
        <f t="shared" si="1940"/>
        <v>0.85131374874999999</v>
      </c>
      <c r="DB678" s="188">
        <f t="shared" si="1941"/>
        <v>1.3989193348138562</v>
      </c>
      <c r="DC678" s="188">
        <f t="shared" si="1942"/>
        <v>0.29302682427824522</v>
      </c>
      <c r="DD678" s="188">
        <f t="shared" si="1943"/>
        <v>0.76309497491941802</v>
      </c>
      <c r="DE678" s="188">
        <f t="shared" si="1944"/>
        <v>0.31280857135128509</v>
      </c>
      <c r="DF678" s="189">
        <f>INDEX('State Tax Lookup'!$D$7:$Z$91,MATCH(Calculation!$C678,'State Tax Lookup'!$B$7:$B$91,0),MATCH($H678,'State Tax Lookup'!$D$6:$Z$6,0))</f>
        <v>0.39649667</v>
      </c>
      <c r="DG678" s="189">
        <v>0.375</v>
      </c>
      <c r="DH678" s="190">
        <f t="shared" si="1946"/>
        <v>21.141099994557514</v>
      </c>
      <c r="DI678" s="190">
        <v>20.701052268363085</v>
      </c>
      <c r="DJ678" s="177"/>
      <c r="DK678" s="189">
        <f>VLOOKUP($H678,RoR!$E:$F,2,FALSE)</f>
        <v>3.6658333333333334E-2</v>
      </c>
      <c r="DL678" s="191">
        <f>HLOOKUP($H678,'GDP-PI'!$D$8:$CQ$11,3,FALSE)</f>
        <v>1.0483662879041455E-2</v>
      </c>
      <c r="DM678" s="189">
        <f>VLOOKUP(H678,'HW Dx Data'!$E:$F,2,FALSE)</f>
        <v>671.45639385971219</v>
      </c>
      <c r="DN678" s="183">
        <f>VLOOKUP(H678,'ECI - Input Price'!$G$17:$H$37,2,FALSE)</f>
        <v>126.4</v>
      </c>
      <c r="DO678" s="177">
        <f t="shared" ref="DO678" si="1994">LN(DN678/DN677)</f>
        <v>2.11880802639575E-2</v>
      </c>
      <c r="DP678" s="183">
        <f>HLOOKUP(H678,'GDP-PI'!$8:$9,2,FALSE)</f>
        <v>105.736</v>
      </c>
      <c r="DQ678" s="177">
        <f t="shared" ref="DQ678" si="1995">LN(DP678/DP677)</f>
        <v>1.0429090367205095E-2</v>
      </c>
    </row>
    <row r="679" spans="1:121" s="167" customFormat="1" ht="21" x14ac:dyDescent="0.35">
      <c r="A679" s="167" t="s">
        <v>73</v>
      </c>
      <c r="B679" s="168" t="s">
        <v>73</v>
      </c>
      <c r="C679" s="168">
        <v>4057014</v>
      </c>
      <c r="D679" s="168" t="s">
        <v>136</v>
      </c>
      <c r="E679" s="168" t="s">
        <v>126</v>
      </c>
      <c r="F679" s="168"/>
      <c r="G679" s="168" t="s">
        <v>23</v>
      </c>
      <c r="H679" s="169">
        <v>2017</v>
      </c>
      <c r="I679" s="170"/>
      <c r="J679" s="166">
        <f>IFERROR(INDEX('Labor Expenditures'!$F$7:$X$91,MATCH($C679,'Labor Expenditures'!$D$7:$D$91,0),MATCH($G679,'Labor Expenditures'!$F$5:$X$5,0)),"NA")</f>
        <v>58972.61271110837</v>
      </c>
      <c r="K679" s="166">
        <f t="shared" si="1952"/>
        <v>455.38697074214957</v>
      </c>
      <c r="L679" s="172">
        <f t="shared" si="1959"/>
        <v>-4.2082586718923416E-4</v>
      </c>
      <c r="M679" s="172">
        <f t="shared" si="1963"/>
        <v>-8.7537869513054059E-6</v>
      </c>
      <c r="N679" s="196"/>
      <c r="O679" s="172"/>
      <c r="P679" s="166">
        <f>IFERROR(INDEX('Non-Labor Expenditures'!$F$7:$AB$91,MATCH($C679,'Non-Labor Expenditures'!$D$7:$D$91,0),MATCH($G679,'Non-Labor Expenditures'!$F$5:$AB$5,0)),"NA")</f>
        <v>85403.357770395844</v>
      </c>
      <c r="Q679" s="166">
        <f t="shared" si="1953"/>
        <v>792.59921272559734</v>
      </c>
      <c r="R679" s="172">
        <f t="shared" si="1964"/>
        <v>4.9309853319007974E-3</v>
      </c>
      <c r="S679" s="172">
        <f t="shared" si="1969"/>
        <v>1.0257162979019419E-4</v>
      </c>
      <c r="T679" s="172"/>
      <c r="U679" s="172"/>
      <c r="V679" s="166">
        <f t="shared" si="1934"/>
        <v>102066.4993591005</v>
      </c>
      <c r="W679" s="170"/>
      <c r="X679" s="174">
        <v>5446.1839757968419</v>
      </c>
      <c r="Y679" s="175">
        <v>1.6747325371178193E-2</v>
      </c>
      <c r="Z679" s="175">
        <f t="shared" si="1970"/>
        <v>3.4836860025422908E-4</v>
      </c>
      <c r="AA679" s="175"/>
      <c r="AB679" s="175"/>
      <c r="AC679" s="170">
        <f t="shared" si="1869"/>
        <v>246442.46984060472</v>
      </c>
      <c r="AD679" s="175">
        <f t="shared" si="1965"/>
        <v>-2.4430041304238294E-2</v>
      </c>
      <c r="AE679" s="170"/>
      <c r="AF679" s="170"/>
      <c r="AG679" s="121">
        <f t="shared" si="1966"/>
        <v>402.15282737921945</v>
      </c>
      <c r="AH679" s="119">
        <f>+AZ679/$BB$55</f>
        <v>1.632358850934364E-2</v>
      </c>
      <c r="AI679" s="119">
        <f>+AZ679/$BC$56</f>
        <v>6.8767087747364147E-2</v>
      </c>
      <c r="AJ679" s="176">
        <f t="shared" si="1971"/>
        <v>6.5645772720074831</v>
      </c>
      <c r="AK679" s="176">
        <f t="shared" si="1972"/>
        <v>27.654878768237371</v>
      </c>
      <c r="AL679" s="120">
        <f t="shared" si="1954"/>
        <v>0.23929565691031651</v>
      </c>
      <c r="AM679" s="120">
        <f t="shared" si="1955"/>
        <v>0.34654480546974492</v>
      </c>
      <c r="AN679" s="120">
        <f t="shared" si="1956"/>
        <v>0.41415953761993857</v>
      </c>
      <c r="AO679" s="120">
        <f t="shared" si="1960"/>
        <v>8.7373282118485222E-3</v>
      </c>
      <c r="AP679" s="173">
        <f t="shared" si="1976"/>
        <v>125.31506109459396</v>
      </c>
      <c r="AQ679" s="175">
        <f t="shared" si="1977"/>
        <v>8.7373282118484268E-3</v>
      </c>
      <c r="AR679" s="177">
        <f>+AC679/$AE$55</f>
        <v>2.0801446949479132E-2</v>
      </c>
      <c r="AS679" s="177">
        <f t="shared" si="1973"/>
        <v>1.817490692789524E-4</v>
      </c>
      <c r="AT679" s="177"/>
      <c r="AU679" s="177"/>
      <c r="AV679" s="177"/>
      <c r="AW679" s="190"/>
      <c r="AX679" s="120"/>
      <c r="AY679" s="120"/>
      <c r="AZ679" s="118">
        <f>IFERROR(INDEX('Total Customers'!$F$7:$AB$91,MATCH($C679,'Total Customers'!$D$7:$D$91,0),MATCH($G679,'Total Customers'!$F$5:$AB$5,0)),"NA")</f>
        <v>612808</v>
      </c>
      <c r="BA679" s="119">
        <f t="shared" si="1935"/>
        <v>6.4452505592449806E-3</v>
      </c>
      <c r="BB679" s="119"/>
      <c r="BC679" s="121">
        <v>8824403</v>
      </c>
      <c r="BD679" s="119"/>
      <c r="BE679" s="119"/>
      <c r="BF679" s="119"/>
      <c r="BG679" s="173"/>
      <c r="BH679" s="173"/>
      <c r="BI679" s="173"/>
      <c r="BJ679" s="173"/>
      <c r="BK679" s="173"/>
      <c r="BL679" s="173"/>
      <c r="BM679" s="173"/>
      <c r="BN679" s="173"/>
      <c r="BO679" s="173"/>
      <c r="BP679" s="173"/>
      <c r="BQ679" s="118"/>
      <c r="BR679" s="118"/>
      <c r="BS679" s="118">
        <f>INDEX('Dist. Plant Gas Additions'!$F$7:$AE$91,MATCH($C679,'Dist. Plant Gas Additions'!$D$7:$D$91,0),MATCH(Calculation!$G679,'Dist. Plant Gas Additions'!$F$5:$AE$5,0))</f>
        <v>95505</v>
      </c>
      <c r="BT679" s="118">
        <f>INDEX('Gen. Plant Additions'!$F$7:$AE$91,MATCH($C679,'Gen. Plant Additions'!$D$7:$D$91,0),MATCH(Calculation!$G679,'Gen. Plant Additions'!$F$5:$AE$5,0))</f>
        <v>4002</v>
      </c>
      <c r="BU679" s="118"/>
      <c r="BV679" s="118"/>
      <c r="BW679" s="118">
        <f>INDEX('Dist Plant Depreciation'!$E$7:$AD$94,MATCH($C679,'Dist Plant Depreciation'!$D$7:$D$94,0),MATCH(Calculation!$G679,'Dist Plant Depreciation'!$E$5:$AD$5,0))</f>
        <v>768267</v>
      </c>
      <c r="BX679" s="118">
        <f>INDEX('Gen. Plant Depreciation'!$E$7:$AD$94,MATCH($C679,'Gen. Plant Depreciation'!$D$7:$D$94,0),MATCH(Calculation!$G679,'Gen. Plant Depreciation'!$E$5:$AD$5,0))</f>
        <v>38991</v>
      </c>
      <c r="BY679" s="118"/>
      <c r="BZ679" s="118"/>
      <c r="CA679" s="118"/>
      <c r="CB679" s="118"/>
      <c r="CC679" s="118"/>
      <c r="CD679" s="118"/>
      <c r="CE679" s="118">
        <f>INDEX('Gross Dx Plant'!$E$7:$AD$91,MATCH($C679,'Gross Dx Plant'!$D$7:$D$91,0),MATCH(Calculation!$G679,'Gross Dx Plant'!$E$5:$AD$5,0))</f>
        <v>2100333</v>
      </c>
      <c r="CF679" s="118">
        <f>INDEX('Gross Gen Plant'!$E$7:$AD$91,MATCH($C679,'Gross Gen Plant'!$D$7:$D$91,0),MATCH(Calculation!$G679,'Gross Gen Plant'!$E$5:$AD$5,0))</f>
        <v>83793</v>
      </c>
      <c r="CG679" s="118">
        <f t="shared" si="1923"/>
        <v>1376868</v>
      </c>
      <c r="CH679" s="118"/>
      <c r="CI679" s="121">
        <v>2017</v>
      </c>
      <c r="CJ679" s="118"/>
      <c r="CK679" s="118"/>
      <c r="CL679" s="118"/>
      <c r="CM679" s="183"/>
      <c r="CN679" s="118">
        <f t="shared" si="1936"/>
        <v>99507</v>
      </c>
      <c r="CO679" s="118">
        <f t="shared" si="1937"/>
        <v>139.67294726285297</v>
      </c>
      <c r="CP679" s="186">
        <v>0.87074829931972786</v>
      </c>
      <c r="CQ679" s="118">
        <f>+CQ660*CP679+CO661*CP678+CO662*CP677+CO663*CP676+CO664*CP675+CO665*CP674+CO666*CP673+CO667*CP672+CO668*CP671+CO669*CP670+CO670*CP669+CO671*CP668+CO672*CP667+CO673*CP666+CO674*CP665+CO675*CP664+CO676*CP663+CO677*CP662+CO678*CP661+CO679</f>
        <v>5446.1839757968419</v>
      </c>
      <c r="CR679" s="119">
        <f t="shared" si="1938"/>
        <v>1.6747325371178193E-2</v>
      </c>
      <c r="CS679" s="119"/>
      <c r="CT679" s="177">
        <f t="shared" si="1939"/>
        <v>9.1907916994269437E-3</v>
      </c>
      <c r="CU679" s="177">
        <f t="shared" si="1947"/>
        <v>8.8770477478778611E-3</v>
      </c>
      <c r="CV679" s="119">
        <f>VLOOKUP($H679,RoR!$E:$F,2,FALSE)</f>
        <v>3.7433333333333339E-2</v>
      </c>
      <c r="CW679" s="177">
        <v>1.9056896421275615E-2</v>
      </c>
      <c r="CX679" s="177">
        <f t="shared" si="1945"/>
        <v>1.8376436912057724E-2</v>
      </c>
      <c r="CY679" s="177">
        <f t="shared" si="1948"/>
        <v>2.2024893860655766E-2</v>
      </c>
      <c r="CZ679" s="177">
        <f t="shared" si="1949"/>
        <v>1.3976271617800498E-2</v>
      </c>
      <c r="DA679" s="187">
        <f t="shared" si="1940"/>
        <v>0.90381374874999998</v>
      </c>
      <c r="DB679" s="188">
        <f t="shared" si="1941"/>
        <v>1.3699568463593395</v>
      </c>
      <c r="DC679" s="188">
        <f t="shared" si="1942"/>
        <v>0.30714603739982199</v>
      </c>
      <c r="DD679" s="188">
        <f t="shared" si="1943"/>
        <v>0.77007188472689425</v>
      </c>
      <c r="DE679" s="188">
        <f t="shared" si="1944"/>
        <v>0.32402839633793828</v>
      </c>
      <c r="DF679" s="189">
        <f>INDEX('State Tax Lookup'!$D$7:$Z$91,MATCH(Calculation!$C679,'State Tax Lookup'!$B$7:$B$91,0),MATCH($H679,'State Tax Lookup'!$D$6:$Z$6,0))</f>
        <v>0.25649666999999998</v>
      </c>
      <c r="DG679" s="189">
        <v>0.375</v>
      </c>
      <c r="DH679" s="190">
        <f t="shared" si="1946"/>
        <v>19.057423395563866</v>
      </c>
      <c r="DI679" s="190">
        <v>18.668212324453307</v>
      </c>
      <c r="DJ679" s="177"/>
      <c r="DK679" s="189">
        <f>VLOOKUP($H679,RoR!$E:$F,2,FALSE)</f>
        <v>3.7433333333333339E-2</v>
      </c>
      <c r="DL679" s="191">
        <f>HLOOKUP($H679,'GDP-PI'!$D$8:$CQ$11,3,FALSE)</f>
        <v>1.9056896421275615E-2</v>
      </c>
      <c r="DM679" s="189">
        <f>VLOOKUP(H679,'HW Dx Data'!$E:$F,2,FALSE)</f>
        <v>712.42858370229726</v>
      </c>
      <c r="DN679" s="183">
        <f>VLOOKUP(H679,'ECI - Input Price'!$G$17:$H$37,2,FALSE)</f>
        <v>129.5</v>
      </c>
      <c r="DO679" s="177">
        <f t="shared" ref="DO679" si="1996">LN(DN679/DN678)</f>
        <v>2.4229399426835413E-2</v>
      </c>
      <c r="DP679" s="183">
        <f>HLOOKUP(H679,'GDP-PI'!$8:$9,2,FALSE)</f>
        <v>107.751</v>
      </c>
      <c r="DQ679" s="177">
        <f t="shared" ref="DQ679" si="1997">LN(DP679/DP678)</f>
        <v>1.8877588227745139E-2</v>
      </c>
    </row>
    <row r="680" spans="1:121" s="167" customFormat="1" ht="21" x14ac:dyDescent="0.35">
      <c r="A680" s="167" t="s">
        <v>73</v>
      </c>
      <c r="B680" s="168" t="s">
        <v>73</v>
      </c>
      <c r="C680" s="168">
        <v>4057014</v>
      </c>
      <c r="D680" s="168" t="s">
        <v>136</v>
      </c>
      <c r="E680" s="168" t="s">
        <v>126</v>
      </c>
      <c r="F680" s="168"/>
      <c r="G680" s="168" t="s">
        <v>24</v>
      </c>
      <c r="H680" s="169">
        <v>2018</v>
      </c>
      <c r="I680" s="170"/>
      <c r="J680" s="166">
        <f>IFERROR(INDEX('Labor Expenditures'!$F$7:$X$91,MATCH($C680,'Labor Expenditures'!$D$7:$D$91,0),MATCH($G680,'Labor Expenditures'!$F$5:$X$5,0)),"NA")</f>
        <v>56815.364485002305</v>
      </c>
      <c r="K680" s="166">
        <f t="shared" si="1952"/>
        <v>426.38172221390096</v>
      </c>
      <c r="L680" s="172">
        <f t="shared" si="1959"/>
        <v>-6.5812536060092408E-2</v>
      </c>
      <c r="M680" s="172">
        <f t="shared" si="1963"/>
        <v>-1.2637819658302405E-3</v>
      </c>
      <c r="N680" s="196"/>
      <c r="O680" s="172"/>
      <c r="P680" s="166">
        <f>IFERROR(INDEX('Non-Labor Expenditures'!$F$7:$AB$91,MATCH($C680,'Non-Labor Expenditures'!$D$7:$D$91,0),MATCH($G680,'Non-Labor Expenditures'!$F$5:$AB$5,0)),"NA")</f>
        <v>82279.259420604008</v>
      </c>
      <c r="Q680" s="166">
        <f t="shared" si="1953"/>
        <v>745.81007795910159</v>
      </c>
      <c r="R680" s="172">
        <f t="shared" si="1964"/>
        <v>-6.0846706870239214E-2</v>
      </c>
      <c r="S680" s="172">
        <f t="shared" si="1969"/>
        <v>-1.1684243675483632E-3</v>
      </c>
      <c r="T680" s="172"/>
      <c r="U680" s="172"/>
      <c r="V680" s="166">
        <f t="shared" si="1934"/>
        <v>108276.8426130865</v>
      </c>
      <c r="W680" s="170"/>
      <c r="X680" s="174">
        <v>5527.9997611345016</v>
      </c>
      <c r="Y680" s="175">
        <v>1.4910867753340497E-2</v>
      </c>
      <c r="Z680" s="175">
        <f t="shared" si="1970"/>
        <v>2.8632973122848742E-4</v>
      </c>
      <c r="AA680" s="175"/>
      <c r="AB680" s="175"/>
      <c r="AC680" s="170">
        <f t="shared" si="1869"/>
        <v>247371.46651869279</v>
      </c>
      <c r="AD680" s="175">
        <f t="shared" si="1965"/>
        <v>3.7625417415277354E-3</v>
      </c>
      <c r="AE680" s="170"/>
      <c r="AF680" s="170"/>
      <c r="AG680" s="121">
        <f t="shared" si="1966"/>
        <v>398.96371417531719</v>
      </c>
      <c r="AH680" s="119">
        <f>+AZ680/$BB$56</f>
        <v>1.6372633410021587E-2</v>
      </c>
      <c r="AI680" s="119">
        <f>+AZ680/$BC$57</f>
        <v>6.9172233601527952E-2</v>
      </c>
      <c r="AJ680" s="176">
        <f t="shared" si="1971"/>
        <v>6.5320866360931014</v>
      </c>
      <c r="AK680" s="176">
        <f t="shared" si="1972"/>
        <v>27.597211235468269</v>
      </c>
      <c r="AL680" s="120">
        <f t="shared" si="1954"/>
        <v>0.22967630537416495</v>
      </c>
      <c r="AM680" s="120">
        <f t="shared" si="1955"/>
        <v>0.33261418779835922</v>
      </c>
      <c r="AN680" s="120">
        <f t="shared" si="1956"/>
        <v>0.43770950682747595</v>
      </c>
      <c r="AO680" s="120">
        <f t="shared" si="1960"/>
        <v>-2.9743357847885444E-2</v>
      </c>
      <c r="AP680" s="173">
        <f t="shared" si="1976"/>
        <v>121.64265595295393</v>
      </c>
      <c r="AQ680" s="175">
        <f t="shared" si="1977"/>
        <v>-2.9743357847885458E-2</v>
      </c>
      <c r="AR680" s="177">
        <f>+AC680/$AE$56</f>
        <v>1.9202754391295616E-2</v>
      </c>
      <c r="AS680" s="177">
        <f t="shared" si="1973"/>
        <v>-5.7115439552535936E-4</v>
      </c>
      <c r="AT680" s="177"/>
      <c r="AU680" s="177"/>
      <c r="AV680" s="177"/>
      <c r="AW680" s="190"/>
      <c r="AX680" s="120"/>
      <c r="AY680" s="120"/>
      <c r="AZ680" s="118">
        <f>IFERROR(INDEX('Total Customers'!$F$7:$AB$91,MATCH($C680,'Total Customers'!$D$7:$D$91,0),MATCH($G680,'Total Customers'!$F$5:$AB$5,0)),"NA")</f>
        <v>620035</v>
      </c>
      <c r="BA680" s="119">
        <f t="shared" si="1935"/>
        <v>1.1724254887252953E-2</v>
      </c>
      <c r="BB680" s="119"/>
      <c r="BC680" s="121">
        <v>8911356</v>
      </c>
      <c r="BD680" s="119"/>
      <c r="BE680" s="119"/>
      <c r="BF680" s="119"/>
      <c r="BG680" s="173"/>
      <c r="BH680" s="173"/>
      <c r="BI680" s="173"/>
      <c r="BJ680" s="173"/>
      <c r="BK680" s="173"/>
      <c r="BL680" s="173"/>
      <c r="BM680" s="173"/>
      <c r="BN680" s="173"/>
      <c r="BO680" s="173"/>
      <c r="BP680" s="173"/>
      <c r="BQ680" s="118"/>
      <c r="BR680" s="118"/>
      <c r="BS680" s="118">
        <f>INDEX('Dist. Plant Gas Additions'!$F$7:$AE$91,MATCH($C680,'Dist. Plant Gas Additions'!$D$7:$D$91,0),MATCH(Calculation!$G680,'Dist. Plant Gas Additions'!$F$5:$AE$5,0))</f>
        <v>97827</v>
      </c>
      <c r="BT680" s="118">
        <f>INDEX('Gen. Plant Additions'!$F$7:$AE$91,MATCH($C680,'Gen. Plant Additions'!$D$7:$D$91,0),MATCH(Calculation!$G680,'Gen. Plant Additions'!$F$5:$AE$5,0))</f>
        <v>3134</v>
      </c>
      <c r="BU680" s="118"/>
      <c r="BV680" s="118"/>
      <c r="BW680" s="118">
        <f>INDEX('Dist Plant Depreciation'!$E$7:$AD$94,MATCH($C680,'Dist Plant Depreciation'!$D$7:$D$94,0),MATCH(Calculation!$G680,'Dist Plant Depreciation'!$E$5:$AD$5,0))</f>
        <v>793728</v>
      </c>
      <c r="BX680" s="118">
        <f>INDEX('Gen. Plant Depreciation'!$E$7:$AD$94,MATCH($C680,'Gen. Plant Depreciation'!$D$7:$D$94,0),MATCH(Calculation!$G680,'Gen. Plant Depreciation'!$E$5:$AD$5,0))</f>
        <v>42178</v>
      </c>
      <c r="BY680" s="118"/>
      <c r="BZ680" s="118"/>
      <c r="CA680" s="118"/>
      <c r="CB680" s="118"/>
      <c r="CC680" s="118"/>
      <c r="CD680" s="118"/>
      <c r="CE680" s="118">
        <f>INDEX('Gross Dx Plant'!$E$7:$AD$91,MATCH($C680,'Gross Dx Plant'!$D$7:$D$91,0),MATCH(Calculation!$G680,'Gross Dx Plant'!$E$5:$AD$5,0))</f>
        <v>2189107</v>
      </c>
      <c r="CF680" s="118">
        <f>INDEX('Gross Gen Plant'!$E$7:$AD$91,MATCH($C680,'Gross Gen Plant'!$D$7:$D$91,0),MATCH(Calculation!$G680,'Gross Gen Plant'!$E$5:$AD$5,0))</f>
        <v>85812</v>
      </c>
      <c r="CG680" s="118">
        <f t="shared" si="1923"/>
        <v>1439013</v>
      </c>
      <c r="CH680" s="118"/>
      <c r="CI680" s="121">
        <v>2018</v>
      </c>
      <c r="CJ680" s="118"/>
      <c r="CK680" s="118"/>
      <c r="CL680" s="118"/>
      <c r="CM680" s="183"/>
      <c r="CN680" s="118">
        <f t="shared" si="1936"/>
        <v>100961</v>
      </c>
      <c r="CO680" s="118">
        <f t="shared" si="1937"/>
        <v>133.69896878607943</v>
      </c>
      <c r="CP680" s="186">
        <v>0.86111111111111116</v>
      </c>
      <c r="CQ680" s="118">
        <f>+CQ660*CP680++CO661*CP679+CO662*CP678+CO663*CP677+CO664*CP676+CO665*CP675+CO666*CP674+CO667*CP673+CO668*CP672+CO669*CP671+CO670*CP670+CO671*CP669+CO672*CP668+CO673*CP667+CO674*CP666+CO675*CP665+CO676*CP664+CO677*CP663+CO678*CP662+CO679*CP661+CO680</f>
        <v>5527.9997611345016</v>
      </c>
      <c r="CR680" s="119">
        <f t="shared" si="1938"/>
        <v>1.4910867753340497E-2</v>
      </c>
      <c r="CS680" s="119"/>
      <c r="CT680" s="177">
        <f t="shared" si="1939"/>
        <v>9.5265205286842354E-3</v>
      </c>
      <c r="CU680" s="177">
        <f t="shared" si="1947"/>
        <v>9.193095714131282E-3</v>
      </c>
      <c r="CV680" s="119">
        <f>VLOOKUP($H680,RoR!$E:$F,2,FALSE)</f>
        <v>3.9299999999999995E-2</v>
      </c>
      <c r="CW680" s="177">
        <v>2.386056741932796E-2</v>
      </c>
      <c r="CX680" s="177">
        <f t="shared" si="1945"/>
        <v>1.5439432580672034E-2</v>
      </c>
      <c r="CY680" s="177">
        <f t="shared" si="1948"/>
        <v>2.1708845894402341E-2</v>
      </c>
      <c r="CZ680" s="177">
        <f t="shared" si="1949"/>
        <v>3.8270792163076606E-2</v>
      </c>
      <c r="DA680" s="187">
        <f t="shared" si="1940"/>
        <v>0.90381374874999998</v>
      </c>
      <c r="DB680" s="188">
        <f t="shared" si="1941"/>
        <v>1.3048868010700074</v>
      </c>
      <c r="DC680" s="188">
        <f t="shared" si="1942"/>
        <v>0.33886768447837151</v>
      </c>
      <c r="DD680" s="188">
        <f t="shared" si="1943"/>
        <v>0.78602506232557801</v>
      </c>
      <c r="DE680" s="188">
        <f t="shared" si="1944"/>
        <v>0.34756768162358759</v>
      </c>
      <c r="DF680" s="189">
        <f>INDEX('State Tax Lookup'!$D$7:$Z$91,MATCH(Calculation!$C680,'State Tax Lookup'!$B$7:$B$91,0),MATCH($H680,'State Tax Lookup'!$D$6:$Z$6,0))</f>
        <v>0.25649666999999998</v>
      </c>
      <c r="DG680" s="189">
        <v>0.375</v>
      </c>
      <c r="DH680" s="190">
        <f t="shared" si="1946"/>
        <v>19.881231169250814</v>
      </c>
      <c r="DI680" s="190">
        <v>19.468050298632317</v>
      </c>
      <c r="DJ680" s="177"/>
      <c r="DK680" s="189">
        <f>VLOOKUP($H680,RoR!$E:$F,2,FALSE)</f>
        <v>3.9299999999999995E-2</v>
      </c>
      <c r="DL680" s="191">
        <f>HLOOKUP($H680,'GDP-PI'!$D$8:$CQ$11,3,FALSE)</f>
        <v>2.386056741932796E-2</v>
      </c>
      <c r="DM680" s="189">
        <f>VLOOKUP(H680,'HW Dx Data'!$E:$F,2,FALSE)</f>
        <v>755.13671434174842</v>
      </c>
      <c r="DN680" s="183">
        <f>VLOOKUP(H680,'ECI - Input Price'!$G$17:$H$37,2,FALSE)</f>
        <v>133.25</v>
      </c>
      <c r="DO680" s="177">
        <f t="shared" ref="DO680" si="1998">LN(DN680/DN679)</f>
        <v>2.8546181906361531E-2</v>
      </c>
      <c r="DP680" s="183">
        <f>HLOOKUP(H680,'GDP-PI'!$8:$9,2,FALSE)</f>
        <v>110.322</v>
      </c>
      <c r="DQ680" s="177">
        <f t="shared" ref="DQ680" si="1999">LN(DP680/DP679)</f>
        <v>2.3580352716508712E-2</v>
      </c>
    </row>
    <row r="681" spans="1:121" s="167" customFormat="1" ht="21" x14ac:dyDescent="0.35">
      <c r="A681" s="167" t="s">
        <v>73</v>
      </c>
      <c r="B681" s="168" t="s">
        <v>73</v>
      </c>
      <c r="C681" s="168">
        <v>4057014</v>
      </c>
      <c r="D681" s="168" t="s">
        <v>136</v>
      </c>
      <c r="E681" s="168" t="s">
        <v>126</v>
      </c>
      <c r="F681" s="168"/>
      <c r="G681" s="168" t="s">
        <v>25</v>
      </c>
      <c r="H681" s="169">
        <v>2019</v>
      </c>
      <c r="I681" s="170"/>
      <c r="J681" s="166">
        <f>IFERROR(INDEX('Labor Expenditures'!$F$7:$X$91,MATCH($C681,'Labor Expenditures'!$D$7:$D$91,0),MATCH($G681,'Labor Expenditures'!$F$5:$X$5,0)),"NA")</f>
        <v>57214.058242494357</v>
      </c>
      <c r="K681" s="166">
        <f t="shared" si="1952"/>
        <v>418.07861339053238</v>
      </c>
      <c r="L681" s="172">
        <f t="shared" si="1959"/>
        <v>-1.9665521426844024E-2</v>
      </c>
      <c r="M681" s="172">
        <f t="shared" si="1963"/>
        <v>-3.712688969166215E-4</v>
      </c>
      <c r="N681" s="196"/>
      <c r="O681" s="172"/>
      <c r="P681" s="166">
        <f>IFERROR(INDEX('Non-Labor Expenditures'!$F$7:$AB$91,MATCH($C681,'Non-Labor Expenditures'!$D$7:$D$91,0),MATCH($G681,'Non-Labor Expenditures'!$F$5:$AB$5,0)),"NA")</f>
        <v>82856.642447174614</v>
      </c>
      <c r="Q681" s="166">
        <f t="shared" si="1953"/>
        <v>737.69691810016752</v>
      </c>
      <c r="R681" s="172">
        <f t="shared" si="1964"/>
        <v>-1.0937920437511977E-2</v>
      </c>
      <c r="S681" s="172">
        <f t="shared" si="1969"/>
        <v>-2.064989565877251E-4</v>
      </c>
      <c r="T681" s="172"/>
      <c r="U681" s="172"/>
      <c r="V681" s="166">
        <f t="shared" si="1934"/>
        <v>110743.66736518889</v>
      </c>
      <c r="W681" s="170"/>
      <c r="X681" s="174">
        <v>5612.5567083858814</v>
      </c>
      <c r="Y681" s="175">
        <v>1.5180313706104427E-2</v>
      </c>
      <c r="Z681" s="175">
        <f t="shared" si="1970"/>
        <v>2.8659185801299848E-4</v>
      </c>
      <c r="AA681" s="175"/>
      <c r="AB681" s="175"/>
      <c r="AC681" s="170">
        <f t="shared" si="1869"/>
        <v>250814.36805485786</v>
      </c>
      <c r="AD681" s="175">
        <f t="shared" si="1965"/>
        <v>1.382197609831776E-2</v>
      </c>
      <c r="AE681" s="170"/>
      <c r="AF681" s="170"/>
      <c r="AG681" s="121">
        <f t="shared" si="1966"/>
        <v>402.01890415228695</v>
      </c>
      <c r="AH681" s="119">
        <f>+AZ681/$BB$57</f>
        <v>1.6339568182230077E-2</v>
      </c>
      <c r="AI681" s="119">
        <f>+AZ681/$BC$58</f>
        <v>6.8859784473985927E-2</v>
      </c>
      <c r="AJ681" s="176">
        <f t="shared" si="1971"/>
        <v>6.5688152949417109</v>
      </c>
      <c r="AK681" s="176">
        <f t="shared" si="1972"/>
        <v>27.682935094394484</v>
      </c>
      <c r="AL681" s="120">
        <f t="shared" si="1954"/>
        <v>0.22811316068615559</v>
      </c>
      <c r="AM681" s="120">
        <f t="shared" si="1955"/>
        <v>0.33035046233496596</v>
      </c>
      <c r="AN681" s="120">
        <f t="shared" si="1956"/>
        <v>0.44153637697887843</v>
      </c>
      <c r="AO681" s="120">
        <f t="shared" si="1960"/>
        <v>-1.453447404426246E-3</v>
      </c>
      <c r="AP681" s="173">
        <f t="shared" si="1976"/>
        <v>121.46598317378965</v>
      </c>
      <c r="AQ681" s="175">
        <f t="shared" si="1977"/>
        <v>-1.4534474044262478E-3</v>
      </c>
      <c r="AR681" s="177">
        <f>+AC681/$AE$57</f>
        <v>1.8879178886649219E-2</v>
      </c>
      <c r="AS681" s="177">
        <f t="shared" si="1973"/>
        <v>-2.7439893550499125E-5</v>
      </c>
      <c r="AT681" s="177"/>
      <c r="AU681" s="177"/>
      <c r="AV681" s="177"/>
      <c r="AW681" s="190"/>
      <c r="AX681" s="120"/>
      <c r="AY681" s="120"/>
      <c r="AZ681" s="118">
        <f>IFERROR(INDEX('Total Customers'!$F$7:$AB$91,MATCH($C681,'Total Customers'!$D$7:$D$91,0),MATCH($G681,'Total Customers'!$F$5:$AB$5,0)),"NA")</f>
        <v>623887</v>
      </c>
      <c r="BA681" s="119">
        <f t="shared" si="1935"/>
        <v>6.1933341684023207E-3</v>
      </c>
      <c r="BB681" s="119"/>
      <c r="BC681" s="121">
        <v>8963640</v>
      </c>
      <c r="BD681" s="119"/>
      <c r="BE681" s="119"/>
      <c r="BF681" s="119"/>
      <c r="BG681" s="173"/>
      <c r="BH681" s="173"/>
      <c r="BI681" s="173"/>
      <c r="BJ681" s="173"/>
      <c r="BK681" s="173"/>
      <c r="BL681" s="173"/>
      <c r="BM681" s="173"/>
      <c r="BN681" s="173"/>
      <c r="BO681" s="173"/>
      <c r="BP681" s="173"/>
      <c r="BQ681" s="118"/>
      <c r="BR681" s="118"/>
      <c r="BS681" s="118">
        <f>INDEX('Dist. Plant Gas Additions'!$F$7:$AE$91,MATCH($C681,'Dist. Plant Gas Additions'!$D$7:$D$91,0),MATCH(Calculation!$G681,'Dist. Plant Gas Additions'!$F$5:$AE$5,0))</f>
        <v>101385</v>
      </c>
      <c r="BT681" s="118">
        <f>INDEX('Gen. Plant Additions'!$F$7:$AE$91,MATCH($C681,'Gen. Plant Additions'!$D$7:$D$91,0),MATCH(Calculation!$G681,'Gen. Plant Additions'!$F$5:$AE$5,0))</f>
        <v>6301</v>
      </c>
      <c r="BU681" s="118"/>
      <c r="BV681" s="118"/>
      <c r="BW681" s="118">
        <f>INDEX('Dist Plant Depreciation'!$E$7:$AD$94,MATCH($C681,'Dist Plant Depreciation'!$D$7:$D$94,0),MATCH(Calculation!$G681,'Dist Plant Depreciation'!$E$5:$AD$5,0))</f>
        <v>819260</v>
      </c>
      <c r="BX681" s="118">
        <f>INDEX('Gen. Plant Depreciation'!$E$7:$AD$94,MATCH($C681,'Gen. Plant Depreciation'!$D$7:$D$94,0),MATCH(Calculation!$G681,'Gen. Plant Depreciation'!$E$5:$AD$5,0))</f>
        <v>44074</v>
      </c>
      <c r="BY681" s="118"/>
      <c r="BZ681" s="118"/>
      <c r="CA681" s="118"/>
      <c r="CB681" s="118"/>
      <c r="CC681" s="118"/>
      <c r="CD681" s="118"/>
      <c r="CE681" s="118">
        <f>INDEX('Gross Dx Plant'!$E$7:$AD$91,MATCH($C681,'Gross Dx Plant'!$D$7:$D$91,0),MATCH(Calculation!$G681,'Gross Dx Plant'!$E$5:$AD$5,0))</f>
        <v>2278325</v>
      </c>
      <c r="CF681" s="118">
        <f>INDEX('Gross Gen Plant'!$E$7:$AD$91,MATCH($C681,'Gross Gen Plant'!$D$7:$D$91,0),MATCH(Calculation!$G681,'Gross Gen Plant'!$E$5:$AD$5,0))</f>
        <v>90258</v>
      </c>
      <c r="CG681" s="118">
        <f t="shared" si="1923"/>
        <v>1505249</v>
      </c>
      <c r="CH681" s="118"/>
      <c r="CI681" s="121">
        <v>2019</v>
      </c>
      <c r="CJ681" s="118"/>
      <c r="CK681" s="118"/>
      <c r="CL681" s="118"/>
      <c r="CM681" s="183"/>
      <c r="CN681" s="118">
        <f t="shared" si="1936"/>
        <v>107686</v>
      </c>
      <c r="CO681" s="118">
        <f t="shared" si="1937"/>
        <v>139.21206108967206</v>
      </c>
      <c r="CP681" s="186">
        <v>0.85106382978723405</v>
      </c>
      <c r="CQ681" s="118">
        <f>CQ660*CP681+CO661*CP680+CO662*CP679+CO663*CP678+CO664*CP677+CO665*CP676+CO666*CP675+CO667*CP674+CO668*CP673+CO669*CP672+CO670*CP671+CO671*CP670+CO672*CP669+CO673*CP668+CO674*CP667+CO675*CP666+CO676*CP665+CO677*CP664+CO678*CP663+CO679*CP662+CO680*CP661+CO681</f>
        <v>5612.5567083858814</v>
      </c>
      <c r="CR681" s="119">
        <f t="shared" si="1938"/>
        <v>1.5180313706104427E-2</v>
      </c>
      <c r="CS681" s="119"/>
      <c r="CT681" s="177">
        <f t="shared" si="1939"/>
        <v>9.8869602387745888E-3</v>
      </c>
      <c r="CU681" s="177">
        <f t="shared" si="1947"/>
        <v>9.5347574889619226E-3</v>
      </c>
      <c r="CV681" s="119">
        <f>VLOOKUP($H681,RoR!$E:$F,2,FALSE)</f>
        <v>3.3875000000000009E-2</v>
      </c>
      <c r="CW681" s="177">
        <v>1.8092492884465461E-2</v>
      </c>
      <c r="CX681" s="177">
        <f t="shared" si="1945"/>
        <v>1.5782507115534548E-2</v>
      </c>
      <c r="CY681" s="177">
        <f t="shared" si="1948"/>
        <v>2.1367184119571704E-2</v>
      </c>
      <c r="CZ681" s="177">
        <f t="shared" si="1949"/>
        <v>4.8445665544254078E-2</v>
      </c>
      <c r="DA681" s="187">
        <f t="shared" si="1940"/>
        <v>0.90381374874999998</v>
      </c>
      <c r="DB681" s="188">
        <f t="shared" si="1941"/>
        <v>1.513861292459078</v>
      </c>
      <c r="DC681" s="188">
        <f t="shared" si="1942"/>
        <v>0.23699261992619944</v>
      </c>
      <c r="DD681" s="188">
        <f t="shared" si="1943"/>
        <v>0.73619765810468829</v>
      </c>
      <c r="DE681" s="188">
        <f t="shared" si="1944"/>
        <v>0.26412854465362851</v>
      </c>
      <c r="DF681" s="189">
        <f>INDEX('State Tax Lookup'!$D$7:$Z$91,MATCH(Calculation!$C681,'State Tax Lookup'!$B$7:$B$91,0),MATCH($H681,'State Tax Lookup'!$D$6:$Z$6,0))</f>
        <v>0.25649666999999998</v>
      </c>
      <c r="DG681" s="189">
        <v>0.375</v>
      </c>
      <c r="DH681" s="190">
        <f t="shared" si="1946"/>
        <v>20.033225786981792</v>
      </c>
      <c r="DI681" s="190">
        <v>19.60432008556462</v>
      </c>
      <c r="DJ681" s="177"/>
      <c r="DK681" s="189">
        <f>VLOOKUP($H681,RoR!$E:$F,2,FALSE)</f>
        <v>3.3875000000000009E-2</v>
      </c>
      <c r="DL681" s="191">
        <f>HLOOKUP($H681,'GDP-PI'!$D$8:$CQ$11,3,FALSE)</f>
        <v>1.8092492884465461E-2</v>
      </c>
      <c r="DM681" s="189">
        <f>VLOOKUP(H681,'HW Dx Data'!$E:$F,2,FALSE)</f>
        <v>773.53929793938721</v>
      </c>
      <c r="DN681" s="183">
        <f>VLOOKUP(H681,'ECI - Input Price'!$G$17:$H$37,2,FALSE)</f>
        <v>136.85</v>
      </c>
      <c r="DO681" s="177">
        <f t="shared" ref="DO681" si="2000">LN(DN681/DN680)</f>
        <v>2.6658372440734168E-2</v>
      </c>
      <c r="DP681" s="183">
        <f>HLOOKUP(H681,'GDP-PI'!$8:$9,2,FALSE)</f>
        <v>112.318</v>
      </c>
      <c r="DQ681" s="177">
        <f t="shared" ref="DQ681" si="2001">LN(DP681/DP680)</f>
        <v>1.7930771451401852E-2</v>
      </c>
    </row>
    <row r="682" spans="1:121" s="167" customFormat="1" ht="21" x14ac:dyDescent="0.35">
      <c r="A682" s="167" t="s">
        <v>73</v>
      </c>
      <c r="B682" s="167" t="s">
        <v>73</v>
      </c>
      <c r="C682" s="167">
        <v>4057014</v>
      </c>
      <c r="D682" s="167" t="s">
        <v>136</v>
      </c>
      <c r="E682" s="167" t="s">
        <v>126</v>
      </c>
      <c r="G682" s="168" t="s">
        <v>26</v>
      </c>
      <c r="H682" s="169">
        <v>2020</v>
      </c>
      <c r="I682" s="170"/>
      <c r="J682" s="166">
        <f>IFERROR(INDEX('Labor Expenditures'!$F$7:$X$91,MATCH($C682,'Labor Expenditures'!$D$7:$D$91,0),MATCH($G682,'Labor Expenditures'!$F$5:$X$5,0)),"NA")</f>
        <v>58929.906502001904</v>
      </c>
      <c r="K682" s="166">
        <f t="shared" si="1952"/>
        <v>419.57925597722971</v>
      </c>
      <c r="L682" s="172">
        <f t="shared" si="1959"/>
        <v>3.5829525321852563E-3</v>
      </c>
      <c r="M682" s="172">
        <f t="shared" si="1963"/>
        <v>6.8148008804526483E-5</v>
      </c>
      <c r="N682" s="196"/>
      <c r="O682" s="172"/>
      <c r="P682" s="166">
        <f>IFERROR(INDEX('Non-Labor Expenditures'!$F$7:$AB$91,MATCH($C682,'Non-Labor Expenditures'!$D$7:$D$91,0),MATCH($G682,'Non-Labor Expenditures'!$F$5:$AB$5,0)),"NA")</f>
        <v>85341.511203190094</v>
      </c>
      <c r="Q682" s="166">
        <f t="shared" si="1953"/>
        <v>751.09362719863134</v>
      </c>
      <c r="R682" s="172">
        <f t="shared" si="1964"/>
        <v>1.7997253864356872E-2</v>
      </c>
      <c r="S682" s="172">
        <f t="shared" si="1969"/>
        <v>3.4230903250550665E-4</v>
      </c>
      <c r="T682" s="172"/>
      <c r="U682" s="172"/>
      <c r="V682" s="166">
        <f t="shared" si="1934"/>
        <v>116240.19278218092</v>
      </c>
      <c r="W682" s="170"/>
      <c r="X682" s="174">
        <v>5681.2156115717435</v>
      </c>
      <c r="Y682" s="175">
        <v>1.2158868995302212E-2</v>
      </c>
      <c r="Z682" s="175">
        <f t="shared" si="1970"/>
        <v>2.3126254224740489E-4</v>
      </c>
      <c r="AA682" s="175"/>
      <c r="AB682" s="175"/>
      <c r="AC682" s="170">
        <f t="shared" si="1869"/>
        <v>260511.61048737291</v>
      </c>
      <c r="AD682" s="175">
        <f t="shared" si="1965"/>
        <v>3.7934334196530292E-2</v>
      </c>
      <c r="AE682" s="170"/>
      <c r="AF682" s="170"/>
      <c r="AG682" s="121">
        <f t="shared" si="1966"/>
        <v>414.22980618307491</v>
      </c>
      <c r="AH682" s="119">
        <f>+AZ682/$BB$58</f>
        <v>1.6355214072600335E-2</v>
      </c>
      <c r="AI682" s="119">
        <f>+AZ682/$BC$59</f>
        <v>6.900377558637015E-2</v>
      </c>
      <c r="AJ682" s="176">
        <f t="shared" si="1971"/>
        <v>6.7748171553759367</v>
      </c>
      <c r="AK682" s="176">
        <f t="shared" si="1972"/>
        <v>28.583420587042504</v>
      </c>
      <c r="AL682" s="120">
        <f t="shared" si="1954"/>
        <v>0.2262083689542822</v>
      </c>
      <c r="AM682" s="120">
        <f t="shared" si="1955"/>
        <v>0.32759196814119201</v>
      </c>
      <c r="AN682" s="120">
        <f t="shared" si="1956"/>
        <v>0.44619966290452584</v>
      </c>
      <c r="AO682" s="120">
        <f t="shared" si="1960"/>
        <v>1.2131417817906782E-2</v>
      </c>
      <c r="AP682" s="173">
        <f t="shared" si="1976"/>
        <v>122.94851217359709</v>
      </c>
      <c r="AQ682" s="175">
        <f t="shared" si="1977"/>
        <v>1.2131417817906729E-2</v>
      </c>
      <c r="AR682" s="177">
        <f>+AC682/$AE$58</f>
        <v>1.9020070233239386E-2</v>
      </c>
      <c r="AS682" s="177">
        <f t="shared" si="1973"/>
        <v>2.3074041892535768E-4</v>
      </c>
      <c r="AT682" s="177"/>
      <c r="AU682" s="177"/>
      <c r="AV682" s="177"/>
      <c r="AW682" s="190"/>
      <c r="AX682" s="120"/>
      <c r="AY682" s="120"/>
      <c r="AZ682" s="118">
        <f>IFERROR(INDEX('Total Customers'!$F$7:$AB$91,MATCH($C682,'Total Customers'!$D$7:$D$91,0),MATCH($G682,'Total Customers'!$F$5:$AB$5,0)),"NA")</f>
        <v>628906</v>
      </c>
      <c r="BA682" s="119">
        <f t="shared" si="1935"/>
        <v>8.0125397443199936E-3</v>
      </c>
      <c r="BB682" s="119"/>
      <c r="BC682" s="121">
        <v>9060252</v>
      </c>
      <c r="BD682" s="119"/>
      <c r="BE682" s="119"/>
      <c r="BF682" s="119"/>
      <c r="BG682" s="173"/>
      <c r="BH682" s="173"/>
      <c r="BI682" s="173"/>
      <c r="BJ682" s="173"/>
      <c r="BK682" s="173"/>
      <c r="BL682" s="173"/>
      <c r="BM682" s="173"/>
      <c r="BN682" s="173"/>
      <c r="BO682" s="173"/>
      <c r="BP682" s="173"/>
      <c r="BQ682" s="118"/>
      <c r="BR682" s="118"/>
      <c r="BS682" s="118">
        <f>INDEX('Dist. Plant Gas Additions'!$F$7:$AE$91,MATCH($C682,'Dist. Plant Gas Additions'!$D$7:$D$91,0),MATCH(Calculation!$G682,'Dist. Plant Gas Additions'!$F$5:$AE$5,0))</f>
        <v>99009</v>
      </c>
      <c r="BT682" s="118">
        <f>INDEX('Gen. Plant Additions'!$F$7:$AE$91,MATCH($C682,'Gen. Plant Additions'!$D$7:$D$91,0),MATCH(Calculation!$G682,'Gen. Plant Additions'!$F$5:$AE$5,0))</f>
        <v>3655</v>
      </c>
      <c r="BU682" s="118"/>
      <c r="BV682" s="118"/>
      <c r="BW682" s="118">
        <f>INDEX('Dist Plant Depreciation'!$E$7:$AD$94,MATCH($C682,'Dist Plant Depreciation'!$D$7:$D$94,0),MATCH(Calculation!$G682,'Dist Plant Depreciation'!$E$5:$AD$5,0))</f>
        <v>852599</v>
      </c>
      <c r="BX682" s="118">
        <f>INDEX('Gen. Plant Depreciation'!$E$7:$AD$94,MATCH($C682,'Gen. Plant Depreciation'!$D$7:$D$94,0),MATCH(Calculation!$G682,'Gen. Plant Depreciation'!$E$5:$AD$5,0))</f>
        <v>45271</v>
      </c>
      <c r="BY682" s="118"/>
      <c r="BZ682" s="118"/>
      <c r="CA682" s="118"/>
      <c r="CB682" s="118"/>
      <c r="CC682" s="118"/>
      <c r="CD682" s="118"/>
      <c r="CE682" s="118">
        <f>INDEX('Gross Dx Plant'!$E$7:$AD$91,MATCH($C682,'Gross Dx Plant'!$D$7:$D$91,0),MATCH(Calculation!$G682,'Gross Dx Plant'!$E$5:$AD$5,0))</f>
        <v>2368080</v>
      </c>
      <c r="CF682" s="118">
        <f>INDEX('Gross Gen Plant'!$E$7:$AD$91,MATCH($C682,'Gross Gen Plant'!$D$7:$D$91,0),MATCH(Calculation!$G682,'Gross Gen Plant'!$E$5:$AD$5,0))</f>
        <v>90919</v>
      </c>
      <c r="CG682" s="118">
        <f t="shared" si="1923"/>
        <v>1561129</v>
      </c>
      <c r="CH682" s="118"/>
      <c r="CI682" s="121">
        <v>2020</v>
      </c>
      <c r="CJ682" s="118"/>
      <c r="CK682" s="118"/>
      <c r="CL682" s="118"/>
      <c r="CM682" s="183"/>
      <c r="CN682" s="118">
        <f t="shared" si="1936"/>
        <v>102664</v>
      </c>
      <c r="CO682" s="118">
        <f t="shared" si="1937"/>
        <v>126.26553289596211</v>
      </c>
      <c r="CP682" s="186">
        <v>0.84057971014492749</v>
      </c>
      <c r="CQ682" s="118">
        <f>CQ660*CP682+CO661*CP681+CO662*CP680+CO663*CP679+CO664*CP678+CO665*CP677+CO666*CP676+CO667*CP675+CO668*CP674+CO669*CP673+CO670*CP672+CO671*CP671+CO672*CP670+CO673*CP669+CO674*CP668+CO675*CP667+CO676*CP666+CO677*CP665+CO678*CP664+CO679*CP663+CO680*CP662+CO681*CP661+CO682</f>
        <v>5681.2156115717435</v>
      </c>
      <c r="CR682" s="119">
        <f t="shared" si="1938"/>
        <v>1.2158868995302212E-2</v>
      </c>
      <c r="CS682" s="119"/>
      <c r="CT682" s="177">
        <f t="shared" si="1939"/>
        <v>1.0263883770479917E-2</v>
      </c>
      <c r="CU682" s="177">
        <f t="shared" si="1947"/>
        <v>9.8924548459795817E-3</v>
      </c>
      <c r="CV682" s="119">
        <f>VLOOKUP($H682,RoR!$E:$F,2,FALSE)</f>
        <v>2.4766666666666666E-2</v>
      </c>
      <c r="CW682" s="177">
        <v>1.1618796630994188E-2</v>
      </c>
      <c r="CX682" s="177">
        <f t="shared" si="1945"/>
        <v>1.3147870035672478E-2</v>
      </c>
      <c r="CY682" s="177">
        <f t="shared" si="1948"/>
        <v>2.1009486762554042E-2</v>
      </c>
      <c r="CZ682" s="177">
        <f t="shared" si="1949"/>
        <v>4.5144642961987357E-2</v>
      </c>
      <c r="DA682" s="187">
        <f t="shared" si="1940"/>
        <v>0.90381374874999998</v>
      </c>
      <c r="DB682" s="188">
        <f t="shared" si="1941"/>
        <v>2.0706077233668081</v>
      </c>
      <c r="DC682" s="188">
        <f t="shared" si="1942"/>
        <v>-3.4421265141318998E-2</v>
      </c>
      <c r="DD682" s="188">
        <f t="shared" si="1943"/>
        <v>0.62416226176410472</v>
      </c>
      <c r="DE682" s="188">
        <f t="shared" si="1944"/>
        <v>-4.4485877841158712E-2</v>
      </c>
      <c r="DF682" s="189">
        <f>INDEX('State Tax Lookup'!$D$7:$Z$91,MATCH(Calculation!$C682,'State Tax Lookup'!$B$7:$B$91,0),MATCH($H682,'State Tax Lookup'!$D$6:$Z$6,0))</f>
        <v>0.25649666999999998</v>
      </c>
      <c r="DG682" s="189">
        <v>0.375</v>
      </c>
      <c r="DH682" s="190">
        <f t="shared" si="1946"/>
        <v>20.710738228890076</v>
      </c>
      <c r="DI682" s="190">
        <v>20.280072776553443</v>
      </c>
      <c r="DJ682" s="177"/>
      <c r="DK682" s="189">
        <f>VLOOKUP($H682,RoR!$E:$F,2,FALSE)</f>
        <v>2.4766666666666666E-2</v>
      </c>
      <c r="DL682" s="191">
        <f>HLOOKUP($H682,'GDP-PI'!$D$8:$CQ$11,3,FALSE)</f>
        <v>1.1618796630994188E-2</v>
      </c>
      <c r="DM682" s="189">
        <f>VLOOKUP(H682,'HW Dx Data'!$E:$F,2,FALSE)</f>
        <v>813.080162458833</v>
      </c>
      <c r="DN682" s="183">
        <f>VLOOKUP(H682,'ECI - Input Price'!$G$17:$H$37,2,FALSE)</f>
        <v>140.44999999999999</v>
      </c>
      <c r="DO682" s="177">
        <f t="shared" ref="DO682" si="2002">LN(DN682/DN681)</f>
        <v>2.5966118063564539E-2</v>
      </c>
      <c r="DP682" s="183">
        <f>HLOOKUP(H682,'GDP-PI'!$8:$9,2,FALSE)</f>
        <v>113.623</v>
      </c>
      <c r="DQ682" s="177">
        <f t="shared" ref="DQ682" si="2003">LN(DP682/DP681)</f>
        <v>1.1551816731392881E-2</v>
      </c>
    </row>
    <row r="683" spans="1:121" s="167" customFormat="1" ht="21" x14ac:dyDescent="0.35">
      <c r="A683" s="167" t="s">
        <v>73</v>
      </c>
      <c r="B683" s="167" t="s">
        <v>73</v>
      </c>
      <c r="C683" s="167">
        <v>4057014</v>
      </c>
      <c r="D683" s="167" t="s">
        <v>136</v>
      </c>
      <c r="E683" s="167" t="s">
        <v>126</v>
      </c>
      <c r="G683" s="168" t="s">
        <v>462</v>
      </c>
      <c r="H683" s="169">
        <v>2021</v>
      </c>
      <c r="I683" s="170"/>
      <c r="J683" s="166">
        <f>IFERROR(INDEX('Labor Expenditures'!$E$7:$X$91,MATCH($C683,'Labor Expenditures'!$D$7:$D$91,0),MATCH($G683,'Labor Expenditures'!$E$5:$X$5,0)),"NA")</f>
        <v>68012.028024318875</v>
      </c>
      <c r="K683" s="166">
        <f t="shared" si="1952"/>
        <v>467.51694809636615</v>
      </c>
      <c r="L683" s="171">
        <f t="shared" si="1959"/>
        <v>0.10818316299796381</v>
      </c>
      <c r="M683" s="172">
        <f t="shared" si="1963"/>
        <v>2.5075032095885526E-3</v>
      </c>
      <c r="N683" s="196"/>
      <c r="O683" s="172"/>
      <c r="P683" s="166">
        <f>IFERROR(INDEX('Non-Labor Expenditures'!$E$7:$AB$91,MATCH($C683,'Non-Labor Expenditures'!$D$7:$D$91,0),MATCH($G683,'Non-Labor Expenditures'!$E$5:$AB$5,0)),"NA")</f>
        <v>95872.376853557929</v>
      </c>
      <c r="Q683" s="166">
        <f t="shared" si="1953"/>
        <v>809.11787369025183</v>
      </c>
      <c r="R683" s="172">
        <f t="shared" si="1964"/>
        <v>7.4414295367827274E-2</v>
      </c>
      <c r="S683" s="172">
        <f t="shared" si="1969"/>
        <v>1.7247978271591991E-3</v>
      </c>
      <c r="T683" s="172"/>
      <c r="U683" s="172"/>
      <c r="V683" s="166">
        <f t="shared" si="1934"/>
        <v>177959.25675084349</v>
      </c>
      <c r="W683" s="170"/>
      <c r="X683" s="174">
        <v>5868.1316721601634</v>
      </c>
      <c r="Y683" s="175"/>
      <c r="Z683" s="175">
        <f t="shared" si="1970"/>
        <v>0</v>
      </c>
      <c r="AA683" s="175"/>
      <c r="AB683" s="175"/>
      <c r="AC683" s="170">
        <f t="shared" si="1869"/>
        <v>341843.66162872029</v>
      </c>
      <c r="AD683" s="175">
        <f t="shared" si="1965"/>
        <v>0.27170607259705137</v>
      </c>
      <c r="AE683" s="118"/>
      <c r="AF683" s="119"/>
      <c r="AG683" s="121">
        <f t="shared" si="1966"/>
        <v>539.43147843215638</v>
      </c>
      <c r="AH683" s="119">
        <f>+AZ683/$BB$59</f>
        <v>1.6258932711047613E-2</v>
      </c>
      <c r="AI683" s="119">
        <f t="shared" ref="AI683" si="2004">+AZ683/$BC$44</f>
        <v>7.6837884335831871E-2</v>
      </c>
      <c r="AJ683" s="176">
        <f t="shared" si="1971"/>
        <v>8.7705801100493623</v>
      </c>
      <c r="AK683" s="176">
        <f t="shared" si="1972"/>
        <v>41.448773546876815</v>
      </c>
      <c r="AL683" s="120">
        <f t="shared" si="1954"/>
        <v>0.19895652796449215</v>
      </c>
      <c r="AM683" s="120">
        <f t="shared" si="1955"/>
        <v>0.28045679243187444</v>
      </c>
      <c r="AN683" s="120">
        <f t="shared" si="1956"/>
        <v>0.52058667960363347</v>
      </c>
      <c r="AO683" s="120">
        <f t="shared" si="1960"/>
        <v>4.5621601705850848E-2</v>
      </c>
      <c r="AP683" s="173">
        <f t="shared" si="1976"/>
        <v>128.68753660362998</v>
      </c>
      <c r="AQ683" s="175">
        <f t="shared" si="1977"/>
        <v>4.5621601705850813E-2</v>
      </c>
      <c r="AR683" s="177">
        <f>+AC683/$AE$59</f>
        <v>2.317831296572229E-2</v>
      </c>
      <c r="AS683" s="177">
        <f t="shared" si="1973"/>
        <v>1.0574317623357401E-3</v>
      </c>
      <c r="AT683" s="177"/>
      <c r="AU683" s="177"/>
      <c r="AV683" s="177"/>
      <c r="AW683" s="190"/>
      <c r="AX683" s="120"/>
      <c r="AY683" s="120"/>
      <c r="AZ683" s="118">
        <f>INDEX('Total Customers'!$E$7:$E$91,MATCH(Calculation!$C683,'Total Customers'!$D$7:$D$91,0))</f>
        <v>633711</v>
      </c>
      <c r="BA683" s="119">
        <f t="shared" si="1935"/>
        <v>7.6112125788551418E-3</v>
      </c>
      <c r="BB683" s="118"/>
      <c r="BC683" s="121"/>
      <c r="BD683" s="118"/>
      <c r="BE683" s="119"/>
      <c r="BF683" s="119"/>
      <c r="BG683" s="173"/>
      <c r="BH683" s="173"/>
      <c r="BI683" s="173"/>
      <c r="BJ683" s="173"/>
      <c r="BK683" s="173"/>
      <c r="BL683" s="173"/>
      <c r="BM683" s="173"/>
      <c r="BN683" s="173"/>
      <c r="BO683" s="173"/>
      <c r="BP683" s="173"/>
      <c r="BQ683" s="118"/>
      <c r="BR683" s="118"/>
      <c r="BS683" s="118">
        <f>INDEX('Dist. Plant Gas Additions'!$E$7:$AE$91,MATCH($C683,'Dist. Plant Gas Additions'!$D$7:$D$91,0),MATCH(Calculation!$G683,'Dist. Plant Gas Additions'!$E$5:$AE$5,0))</f>
        <v>122093</v>
      </c>
      <c r="BT683" s="118">
        <f>INDEX('Gen. Plant Additions'!$E$7:$AE$91,MATCH($C683,'Gen. Plant Additions'!$D$7:$D$91,0),MATCH(Calculation!$G683,'Gen. Plant Additions'!$E$5:$AE$5,0))</f>
        <v>-3554</v>
      </c>
      <c r="BU683" s="118"/>
      <c r="BV683" s="118"/>
      <c r="BW683" s="118"/>
      <c r="BX683" s="118"/>
      <c r="BY683" s="183"/>
      <c r="BZ683" s="183"/>
      <c r="CA683" s="178"/>
      <c r="CB683" s="184"/>
      <c r="CC683" s="185"/>
      <c r="CD683" s="185"/>
      <c r="CE683" s="118"/>
      <c r="CF683" s="118"/>
      <c r="CG683" s="118"/>
      <c r="CH683" s="118"/>
      <c r="CI683" s="121">
        <v>2021</v>
      </c>
      <c r="CJ683" s="118"/>
      <c r="CK683" s="118"/>
      <c r="CL683" s="118"/>
      <c r="CM683" s="183"/>
      <c r="CN683" s="118">
        <f t="shared" si="1936"/>
        <v>118539</v>
      </c>
      <c r="CO683" s="118">
        <f t="shared" si="1937"/>
        <v>127.0483831842495</v>
      </c>
      <c r="CP683" s="186">
        <f>+(51-23)/(51-23*0.75)</f>
        <v>0.82962962962962961</v>
      </c>
      <c r="CQ683" s="118">
        <f>CQ660*CP683+CO661*CP682+CO662*CP681+CO663*CP680+CO664*CP679+CO665*CP678+CO666*CP677+CO667*CP676+CO668*CP675+CO669*CP674+CO670*CP673+CO671*CP672+CO672*CP671+CO673*CP670+CO674*CP669+CO665*CP668+CO676*CP667+CO677*CP666+CO678*CP665+CO679*CP664+CO680*CP663+CO681*CP662+CO683+CO682*CP661</f>
        <v>5868.1316721601634</v>
      </c>
      <c r="CR683" s="119"/>
      <c r="CS683" s="118"/>
      <c r="CT683" s="177">
        <f t="shared" si="1939"/>
        <v>-1.0537828784781437E-2</v>
      </c>
      <c r="CU683" s="177">
        <f t="shared" si="1947"/>
        <v>3.2043384081576897E-3</v>
      </c>
      <c r="CV683" s="119">
        <f>VLOOKUP($H683,RoR!$E:$F,2,FALSE)</f>
        <v>2.7033333333333336E-2</v>
      </c>
      <c r="CW683" s="177"/>
      <c r="CX683" s="177"/>
      <c r="CY683" s="177">
        <f t="shared" si="1948"/>
        <v>2.7697603200375936E-2</v>
      </c>
      <c r="CZ683" s="177">
        <f t="shared" si="1949"/>
        <v>7.433422950153494E-2</v>
      </c>
      <c r="DA683" s="187">
        <f t="shared" si="1940"/>
        <v>0.90381374874999998</v>
      </c>
      <c r="DB683" s="188">
        <f t="shared" si="1941"/>
        <v>1.8969932656739068</v>
      </c>
      <c r="DC683" s="188">
        <f t="shared" si="1942"/>
        <v>5.0215782983970621E-2</v>
      </c>
      <c r="DD683" s="188">
        <f t="shared" si="1943"/>
        <v>0.655952481704143</v>
      </c>
      <c r="DE683" s="188">
        <f t="shared" si="1944"/>
        <v>6.2485378865697057E-2</v>
      </c>
      <c r="DF683" s="189">
        <f>DF682</f>
        <v>0.25649666999999998</v>
      </c>
      <c r="DG683" s="189">
        <v>0.375</v>
      </c>
      <c r="DH683" s="190">
        <f t="shared" si="1946"/>
        <v>31.324151188412642</v>
      </c>
      <c r="DI683" s="190"/>
      <c r="DJ683" s="177">
        <f t="shared" ref="DJ683" si="2005">LN(DH683/DH682)</f>
        <v>0.41373708269356124</v>
      </c>
      <c r="DK683" s="189">
        <f>VLOOKUP($H683,RoR!$E:$F,2,FALSE)</f>
        <v>2.7033333333333336E-2</v>
      </c>
      <c r="DL683" s="191">
        <f>HLOOKUP($H683,'GDP-PI'!$D$8:$CR$11,3,FALSE)</f>
        <v>4.2834637353352578E-2</v>
      </c>
      <c r="DM683" s="189">
        <f>VLOOKUP(H683,'HW Dx Data'!$E:$F,2,FALSE)</f>
        <v>933.02249921662576</v>
      </c>
      <c r="DN683" s="183">
        <f>VLOOKUP(H683,'ECI - Input Price'!$G$17:$H$37,2,FALSE)</f>
        <v>145.47500000000002</v>
      </c>
      <c r="DO683" s="177">
        <f t="shared" ref="DO683" si="2006">LN(DN683/DN682)</f>
        <v>3.5152696992481205E-2</v>
      </c>
      <c r="DP683" s="183">
        <f>HLOOKUP(H683,'GDP-PI'!$8:$9,2,FALSE)</f>
        <v>118.49</v>
      </c>
      <c r="DQ683" s="177">
        <f t="shared" ref="DQ683" si="2007">LN(DP683/DP682)</f>
        <v>4.194261824609434E-2</v>
      </c>
    </row>
    <row r="684" spans="1:121" s="167" customFormat="1" ht="21" x14ac:dyDescent="0.35">
      <c r="A684" s="167" t="s">
        <v>74</v>
      </c>
      <c r="B684" s="168" t="s">
        <v>74</v>
      </c>
      <c r="C684" s="168">
        <v>4057130</v>
      </c>
      <c r="D684" s="168" t="s">
        <v>142</v>
      </c>
      <c r="E684" s="168"/>
      <c r="F684" s="168"/>
      <c r="G684" s="168" t="s">
        <v>4</v>
      </c>
      <c r="H684" s="169">
        <v>1998</v>
      </c>
      <c r="I684" s="170"/>
      <c r="J684" s="166"/>
      <c r="K684" s="166"/>
      <c r="L684" s="166"/>
      <c r="M684" s="166"/>
      <c r="N684" s="196"/>
      <c r="O684" s="166"/>
      <c r="P684" s="172"/>
      <c r="Q684" s="172"/>
      <c r="R684" s="172"/>
      <c r="S684" s="166"/>
      <c r="T684" s="172"/>
      <c r="U684" s="172"/>
      <c r="V684" s="166"/>
      <c r="W684" s="170"/>
      <c r="X684" s="174">
        <v>808.27609406629438</v>
      </c>
      <c r="Y684" s="175"/>
      <c r="Z684" s="166"/>
      <c r="AA684" s="175"/>
      <c r="AB684" s="175"/>
      <c r="AC684" s="170">
        <f t="shared" si="1869"/>
        <v>0</v>
      </c>
      <c r="AD684" s="170"/>
      <c r="AE684" s="170"/>
      <c r="AF684" s="119"/>
      <c r="AG684" s="121"/>
      <c r="AH684" s="175"/>
      <c r="AI684" s="119"/>
      <c r="AJ684" s="174"/>
      <c r="AK684" s="174"/>
      <c r="AL684" s="120"/>
      <c r="AM684" s="120"/>
      <c r="AN684" s="120"/>
      <c r="AO684" s="120"/>
      <c r="AP684" s="120"/>
      <c r="AQ684" s="175">
        <f>AVERAGE(AQ693:AQ707)</f>
        <v>2.1614788193565493E-2</v>
      </c>
      <c r="AR684" s="120"/>
      <c r="AS684" s="120"/>
      <c r="AT684" s="120"/>
      <c r="AU684" s="120"/>
      <c r="AV684" s="120"/>
      <c r="AW684" s="120"/>
      <c r="AX684" s="120"/>
      <c r="AY684" s="120"/>
      <c r="AZ684" s="118">
        <f>IFERROR(INDEX('Total Customers'!$F$7:$AB$91,MATCH($C684,'Total Customers'!$D$7:$D$91,0),MATCH($G684,'Total Customers'!$F$5:$AB$5,0)),"NA")</f>
        <v>143698</v>
      </c>
      <c r="BA684" s="119"/>
      <c r="BB684" s="119"/>
      <c r="BC684" s="121"/>
      <c r="BD684" s="119"/>
      <c r="BE684" s="119"/>
      <c r="BF684" s="119"/>
      <c r="BG684" s="173"/>
      <c r="BH684" s="173"/>
      <c r="BI684" s="173"/>
      <c r="BJ684" s="173"/>
      <c r="BK684" s="173"/>
      <c r="BL684" s="173"/>
      <c r="BM684" s="173"/>
      <c r="BN684" s="173"/>
      <c r="BO684" s="173"/>
      <c r="BP684" s="173"/>
      <c r="BQ684" s="118">
        <f>INDEX('Gross Dx Plant'!$E$7:$AD$91,MATCH($C684,'Gross Dx Plant'!$D$7:$D$91,0),MATCH(Calculation!$G684,'Gross Dx Plant'!$E$5:$AD$5,0))</f>
        <v>247040</v>
      </c>
      <c r="BR684" s="118">
        <f>INDEX('Gross Gen Plant'!$E$7:$AD$91,MATCH($C684,'Gross Gen Plant'!$D$7:$D$91,0),MATCH(Calculation!$G684,'Gross Gen Plant'!$E$5:$AD$5,0))</f>
        <v>13559</v>
      </c>
      <c r="BS684" s="118">
        <f>INDEX('Dist. Plant Gas Additions'!$F$7:$AE$91,MATCH($C684,'Dist. Plant Gas Additions'!$D$7:$D$91,0),MATCH(Calculation!$G684,'Dist. Plant Gas Additions'!$F$5:$AE$5,0))</f>
        <v>10025</v>
      </c>
      <c r="BT684" s="118">
        <f>INDEX('Gen. Plant Additions'!$F$7:$AE$91,MATCH($C684,'Gen. Plant Additions'!$D$7:$D$91,0),MATCH(Calculation!$G684,'Gen. Plant Additions'!$F$5:$AE$5,0))</f>
        <v>898</v>
      </c>
      <c r="BU684" s="118" t="e">
        <f>INDEX('Dist Plant Depreciation'!$E$7:$AA$94,MATCH($C684,'Dist Plant Depreciation'!$D$7:$D$94,0),MATCH(#REF!,'Dist Plant Depreciation'!$E$5:$AA$5,0))</f>
        <v>#REF!</v>
      </c>
      <c r="BV684" s="118" t="e">
        <f>INDEX('Gen. Plant Depreciation'!$E$7:$AA$94,MATCH($C684,'Gen. Plant Depreciation'!$D$7:$D$94,0),MATCH(#REF!,'Gen. Plant Depreciation'!$E$5:$AA$5,0))</f>
        <v>#REF!</v>
      </c>
      <c r="BW684" s="118">
        <f>INDEX('Dist Plant Depreciation'!$E$7:$AD$94,MATCH($C684,'Dist Plant Depreciation'!$D$7:$D$94,0),MATCH(Calculation!$G684,'Dist Plant Depreciation'!$E$5:$AD$5,0))</f>
        <v>90389</v>
      </c>
      <c r="BX684" s="118">
        <f>INDEX('Gen. Plant Depreciation'!$E$7:$AD$94,MATCH($C684,'Gen. Plant Depreciation'!$D$7:$D$94,0),MATCH(Calculation!$G684,'Gen. Plant Depreciation'!$E$5:$AD$5,0))</f>
        <v>7165</v>
      </c>
      <c r="BY684" s="118"/>
      <c r="BZ684" s="118"/>
      <c r="CA684" s="118"/>
      <c r="CB684" s="118"/>
      <c r="CC684" s="118"/>
      <c r="CD684" s="118"/>
      <c r="CE684" s="118">
        <f>INDEX('Gross Dx Plant'!$E$7:$AD$91,MATCH($C684,'Gross Dx Plant'!$D$7:$D$91,0),MATCH(Calculation!$G684,'Gross Dx Plant'!$E$5:$AD$5,0))</f>
        <v>247040</v>
      </c>
      <c r="CF684" s="118">
        <f>INDEX('Gross Gen Plant'!$E$7:$AD$91,MATCH($C684,'Gross Gen Plant'!$D$7:$D$91,0),MATCH(Calculation!$G684,'Gross Gen Plant'!$E$5:$AD$5,0))</f>
        <v>13559</v>
      </c>
      <c r="CG684" s="118">
        <f t="shared" si="1923"/>
        <v>163045</v>
      </c>
      <c r="CH684" s="118"/>
      <c r="CI684" s="121">
        <v>1998</v>
      </c>
      <c r="CJ684" s="118">
        <f>BQ684+BR684</f>
        <v>260599</v>
      </c>
      <c r="CK684" s="118">
        <f>90389+7165</f>
        <v>97554</v>
      </c>
      <c r="CL684" s="118">
        <f>+CJ684-CK684</f>
        <v>163045</v>
      </c>
      <c r="CM684" s="118">
        <f>CL684/$CD$36</f>
        <v>808.27609406629438</v>
      </c>
      <c r="CN684" s="183"/>
      <c r="CO684" s="183"/>
      <c r="CP684" s="186">
        <v>1</v>
      </c>
      <c r="CQ684" s="118">
        <f>+CM684</f>
        <v>808.27609406629438</v>
      </c>
      <c r="CR684" s="119"/>
      <c r="CS684" s="119"/>
      <c r="CT684" s="177"/>
      <c r="CU684" s="177"/>
      <c r="CV684" s="119" t="e">
        <f>VLOOKUP($H684,RoR!$E:$F,2,FALSE)</f>
        <v>#N/A</v>
      </c>
      <c r="CW684" s="177">
        <v>1.1028127770464469E-2</v>
      </c>
      <c r="CX684" s="177"/>
      <c r="CY684" s="177"/>
      <c r="CZ684" s="177"/>
      <c r="DA684" s="187"/>
      <c r="DB684" s="190" t="e">
        <f>2/(DK684*39)</f>
        <v>#N/A</v>
      </c>
      <c r="DC684" s="188" t="e">
        <f>+(DK684*40-(1+DK684))/(DK684*40)</f>
        <v>#N/A</v>
      </c>
      <c r="DD684" s="188" t="e">
        <f>+(1-(1/(1+DK684)^40))</f>
        <v>#N/A</v>
      </c>
      <c r="DE684" s="188" t="e">
        <f>+DD684*DC684*DB684</f>
        <v>#N/A</v>
      </c>
      <c r="DF684" s="189">
        <f>INDEX('State Tax Lookup'!$D$7:$Z$91,MATCH(Calculation!$C684,'State Tax Lookup'!$B$7:$B$91,0),MATCH($H684,'State Tax Lookup'!$D$6:$Z$6,0))</f>
        <v>0.40076499999999998</v>
      </c>
      <c r="DG684" s="189">
        <v>0.375</v>
      </c>
      <c r="DH684" s="183"/>
      <c r="DI684" s="183"/>
      <c r="DJ684" s="177"/>
      <c r="DK684" s="189" t="e">
        <f>VLOOKUP($H684,RoR!$E:$F,2,FALSE)</f>
        <v>#N/A</v>
      </c>
      <c r="DL684" s="191">
        <f>HLOOKUP($H684,'GDP-PI'!$D$8:$CQ$11,3,FALSE)</f>
        <v>1.1028127770464469E-2</v>
      </c>
      <c r="DM684" s="189">
        <f>VLOOKUP(H684,'HW Dx Data'!$E:$F,2,FALSE)</f>
        <v>329.24564746449528</v>
      </c>
      <c r="DN684" s="183" t="e">
        <f>VLOOKUP(H684,'ECI - Input Price'!$G$17:$H$37,2,FALSE)</f>
        <v>#N/A</v>
      </c>
      <c r="DO684" s="177"/>
      <c r="DP684" s="183">
        <f>HLOOKUP(H684,'GDP-PI'!$8:$9,2,FALSE)</f>
        <v>75.266999999999996</v>
      </c>
    </row>
    <row r="685" spans="1:121" s="167" customFormat="1" ht="21" x14ac:dyDescent="0.35">
      <c r="A685" s="167" t="s">
        <v>74</v>
      </c>
      <c r="B685" s="168" t="s">
        <v>74</v>
      </c>
      <c r="C685" s="168">
        <v>4057130</v>
      </c>
      <c r="D685" s="168" t="s">
        <v>142</v>
      </c>
      <c r="E685" s="168"/>
      <c r="F685" s="168"/>
      <c r="G685" s="168" t="s">
        <v>5</v>
      </c>
      <c r="H685" s="169">
        <v>1999</v>
      </c>
      <c r="I685" s="170"/>
      <c r="J685" s="166"/>
      <c r="K685" s="170"/>
      <c r="L685" s="170"/>
      <c r="M685" s="166"/>
      <c r="N685" s="173"/>
      <c r="O685" s="170"/>
      <c r="P685" s="177"/>
      <c r="Q685" s="177"/>
      <c r="R685" s="177"/>
      <c r="S685" s="195"/>
      <c r="T685" s="177"/>
      <c r="U685" s="177"/>
      <c r="V685" s="166">
        <f t="shared" ref="V685:V707" si="2008">+CQ684*DH685</f>
        <v>0</v>
      </c>
      <c r="W685" s="170"/>
      <c r="X685" s="174">
        <v>837.18108636761121</v>
      </c>
      <c r="Y685" s="175">
        <v>3.5136698050658277E-2</v>
      </c>
      <c r="Z685" s="175"/>
      <c r="AA685" s="175"/>
      <c r="AB685" s="175"/>
      <c r="AC685" s="170">
        <f t="shared" si="1869"/>
        <v>0</v>
      </c>
      <c r="AD685" s="175"/>
      <c r="AE685" s="170"/>
      <c r="AF685" s="119"/>
      <c r="AG685" s="174"/>
      <c r="AH685" s="175"/>
      <c r="AI685" s="175"/>
      <c r="AJ685" s="174"/>
      <c r="AK685" s="174"/>
      <c r="AL685" s="120"/>
      <c r="AM685" s="120"/>
      <c r="AN685" s="120"/>
      <c r="AO685" s="120"/>
      <c r="AP685" s="120"/>
      <c r="AQ685" s="175"/>
      <c r="AR685" s="120"/>
      <c r="AS685" s="120"/>
      <c r="AT685" s="120"/>
      <c r="AU685" s="120"/>
      <c r="AV685" s="120"/>
      <c r="AW685" s="120"/>
      <c r="AX685" s="120"/>
      <c r="AY685" s="120"/>
      <c r="AZ685" s="118">
        <f>IFERROR(INDEX('Total Customers'!$F$7:$AB$91,MATCH($C685,'Total Customers'!$D$7:$D$91,0),MATCH($G685,'Total Customers'!$F$5:$AB$5,0)),"NA")</f>
        <v>146606</v>
      </c>
      <c r="BA685" s="119">
        <f t="shared" ref="BA685:BA707" si="2009">LN(AZ685/AZ684)</f>
        <v>2.0034841205799306E-2</v>
      </c>
      <c r="BB685" s="119"/>
      <c r="BC685" s="121"/>
      <c r="BD685" s="119"/>
      <c r="BE685" s="119"/>
      <c r="BF685" s="119"/>
      <c r="BG685" s="173"/>
      <c r="BH685" s="173"/>
      <c r="BI685" s="173"/>
      <c r="BJ685" s="173"/>
      <c r="BK685" s="173"/>
      <c r="BL685" s="173"/>
      <c r="BM685" s="173"/>
      <c r="BN685" s="173"/>
      <c r="BO685" s="173"/>
      <c r="BP685" s="173"/>
      <c r="BQ685" s="118"/>
      <c r="BR685" s="118"/>
      <c r="BS685" s="118">
        <f>INDEX('Dist. Plant Gas Additions'!$F$7:$AE$91,MATCH($C685,'Dist. Plant Gas Additions'!$D$7:$D$91,0),MATCH(Calculation!$G685,'Dist. Plant Gas Additions'!$F$5:$AE$5,0))</f>
        <v>10053</v>
      </c>
      <c r="BT685" s="118">
        <f>INDEX('Gen. Plant Additions'!$F$7:$AE$91,MATCH($C685,'Gen. Plant Additions'!$D$7:$D$91,0),MATCH(Calculation!$G685,'Gen. Plant Additions'!$F$5:$AE$5,0))</f>
        <v>988</v>
      </c>
      <c r="BU685" s="118"/>
      <c r="BV685" s="118"/>
      <c r="BW685" s="118">
        <f>INDEX('Dist Plant Depreciation'!$E$7:$AD$94,MATCH($C685,'Dist Plant Depreciation'!$D$7:$D$94,0),MATCH(Calculation!$G685,'Dist Plant Depreciation'!$E$5:$AD$5,0))</f>
        <v>96082</v>
      </c>
      <c r="BX685" s="118">
        <f>INDEX('Gen. Plant Depreciation'!$E$7:$AD$94,MATCH($C685,'Gen. Plant Depreciation'!$D$7:$D$94,0),MATCH(Calculation!$G685,'Gen. Plant Depreciation'!$E$5:$AD$5,0))</f>
        <v>7879</v>
      </c>
      <c r="BY685" s="118"/>
      <c r="BZ685" s="118"/>
      <c r="CA685" s="118"/>
      <c r="CB685" s="118"/>
      <c r="CC685" s="118"/>
      <c r="CD685" s="118"/>
      <c r="CE685" s="118">
        <f>INDEX('Gross Dx Plant'!$E$7:$AD$91,MATCH($C685,'Gross Dx Plant'!$D$7:$D$91,0),MATCH(Calculation!$G685,'Gross Dx Plant'!$E$5:$AD$5,0))</f>
        <v>256150</v>
      </c>
      <c r="CF685" s="118">
        <f>INDEX('Gross Gen Plant'!$E$7:$AD$91,MATCH($C685,'Gross Gen Plant'!$D$7:$D$91,0),MATCH(Calculation!$G685,'Gross Gen Plant'!$E$5:$AD$5,0))</f>
        <v>14105</v>
      </c>
      <c r="CG685" s="118">
        <f t="shared" si="1923"/>
        <v>166294</v>
      </c>
      <c r="CH685" s="118"/>
      <c r="CI685" s="121">
        <v>1999</v>
      </c>
      <c r="CJ685" s="118"/>
      <c r="CK685" s="118"/>
      <c r="CL685" s="118"/>
      <c r="CM685" s="183"/>
      <c r="CN685" s="118">
        <f t="shared" ref="CN685:CN707" si="2010">+BT685+BS685</f>
        <v>11041</v>
      </c>
      <c r="CO685" s="118">
        <f t="shared" ref="CO685:CO707" si="2011">+CN685/$DM685</f>
        <v>32.926266401149185</v>
      </c>
      <c r="CP685" s="186">
        <v>0.99502487562189057</v>
      </c>
      <c r="CQ685" s="118">
        <f>+CQ684*CP685+CO685</f>
        <v>837.18108636761121</v>
      </c>
      <c r="CR685" s="119">
        <f t="shared" ref="CR685:CR706" si="2012">LN(CQ685/CQ684)</f>
        <v>3.5136698050658277E-2</v>
      </c>
      <c r="CS685" s="119"/>
      <c r="CT685" s="177">
        <f t="shared" ref="CT685:CT707" si="2013">+(CQ684-CQ685+CO685)/CQ684</f>
        <v>4.9751243781094977E-3</v>
      </c>
      <c r="CU685" s="177"/>
      <c r="CV685" s="119">
        <f>VLOOKUP($H685,RoR!$E:$F,2,FALSE)</f>
        <v>7.0416666666666669E-2</v>
      </c>
      <c r="CW685" s="177">
        <v>1.4335631817396832E-2</v>
      </c>
      <c r="CX685" s="177">
        <f>+CV685-CW685</f>
        <v>5.6081034849269837E-2</v>
      </c>
      <c r="CY685" s="177"/>
      <c r="CZ685" s="177"/>
      <c r="DA685" s="187">
        <f t="shared" ref="DA685:DA707" si="2014">1-DF685*DG685</f>
        <v>0.84971312500000007</v>
      </c>
      <c r="DB685" s="188">
        <f t="shared" ref="DB685:DB707" si="2015">2/(DK685*39)</f>
        <v>0.72826581702321336</v>
      </c>
      <c r="DC685" s="188">
        <f t="shared" ref="DC685:DC707" si="2016">+(DK685*40-(1+DK685))/(DK685*40)</f>
        <v>0.61997041420118348</v>
      </c>
      <c r="DD685" s="188">
        <f t="shared" ref="DD685:DD707" si="2017">+(1-(1/(1+DK685)^40))</f>
        <v>0.93425155319585029</v>
      </c>
      <c r="DE685" s="188">
        <f t="shared" ref="DE685:DE707" si="2018">+DD685*DC685*DB685</f>
        <v>0.42181762214141483</v>
      </c>
      <c r="DF685" s="189">
        <f>INDEX('State Tax Lookup'!$D$7:$Z$91,MATCH(Calculation!$C685,'State Tax Lookup'!$B$7:$B$91,0),MATCH($H685,'State Tax Lookup'!$D$6:$Z$6,0))</f>
        <v>0.40076499999999998</v>
      </c>
      <c r="DG685" s="189">
        <v>0.375</v>
      </c>
      <c r="DH685" s="190"/>
      <c r="DI685" s="190"/>
      <c r="DJ685" s="177"/>
      <c r="DK685" s="189">
        <f>VLOOKUP($H685,RoR!$E:$F,2,FALSE)</f>
        <v>7.0416666666666669E-2</v>
      </c>
      <c r="DL685" s="191">
        <f>HLOOKUP($H685,'GDP-PI'!$D$8:$CQ$11,3,FALSE)</f>
        <v>1.4335631817396832E-2</v>
      </c>
      <c r="DM685" s="189">
        <f>VLOOKUP(H685,'HW Dx Data'!$E:$F,2,FALSE)</f>
        <v>335.32499146683239</v>
      </c>
      <c r="DN685" s="183" t="e">
        <f>VLOOKUP(H685,'ECI - Input Price'!$G$17:$H$37,2,FALSE)</f>
        <v>#N/A</v>
      </c>
      <c r="DO685" s="177"/>
      <c r="DP685" s="183">
        <f>HLOOKUP(H685,'GDP-PI'!$8:$9,2,FALSE)</f>
        <v>76.346000000000004</v>
      </c>
    </row>
    <row r="686" spans="1:121" s="167" customFormat="1" ht="21" x14ac:dyDescent="0.35">
      <c r="A686" s="167" t="s">
        <v>74</v>
      </c>
      <c r="B686" s="168" t="s">
        <v>74</v>
      </c>
      <c r="C686" s="168">
        <v>4057130</v>
      </c>
      <c r="D686" s="168" t="s">
        <v>142</v>
      </c>
      <c r="E686" s="168"/>
      <c r="F686" s="168"/>
      <c r="G686" s="168" t="s">
        <v>6</v>
      </c>
      <c r="H686" s="169">
        <v>2000</v>
      </c>
      <c r="I686" s="170"/>
      <c r="J686" s="166"/>
      <c r="K686" s="166"/>
      <c r="L686" s="166"/>
      <c r="M686" s="166"/>
      <c r="N686" s="196"/>
      <c r="O686" s="166"/>
      <c r="P686" s="166"/>
      <c r="Q686" s="166"/>
      <c r="R686" s="166"/>
      <c r="S686" s="166"/>
      <c r="T686" s="166"/>
      <c r="U686" s="166"/>
      <c r="V686" s="166">
        <f t="shared" si="2008"/>
        <v>0</v>
      </c>
      <c r="W686" s="170"/>
      <c r="X686" s="174">
        <v>868.65998268516068</v>
      </c>
      <c r="Y686" s="175">
        <v>3.6911375674827732E-2</v>
      </c>
      <c r="Z686" s="175"/>
      <c r="AA686" s="175"/>
      <c r="AB686" s="175"/>
      <c r="AC686" s="170">
        <f t="shared" si="1869"/>
        <v>0</v>
      </c>
      <c r="AD686" s="175"/>
      <c r="AE686" s="170"/>
      <c r="AF686" s="170"/>
      <c r="AG686" s="174"/>
      <c r="AH686" s="175"/>
      <c r="AI686" s="175"/>
      <c r="AJ686" s="174"/>
      <c r="AK686" s="174"/>
      <c r="AL686" s="120"/>
      <c r="AM686" s="120"/>
      <c r="AN686" s="120"/>
      <c r="AO686" s="120"/>
      <c r="AP686" s="120"/>
      <c r="AQ686" s="175"/>
      <c r="AR686" s="120"/>
      <c r="AS686" s="120"/>
      <c r="AT686" s="120"/>
      <c r="AU686" s="120"/>
      <c r="AV686" s="120"/>
      <c r="AW686" s="120"/>
      <c r="AX686" s="120"/>
      <c r="AY686" s="120"/>
      <c r="AZ686" s="118">
        <f>IFERROR(INDEX('Total Customers'!$F$7:$AB$91,MATCH($C686,'Total Customers'!$D$7:$D$91,0),MATCH($G686,'Total Customers'!$F$5:$AB$5,0)),"NA")</f>
        <v>149033</v>
      </c>
      <c r="BA686" s="119">
        <f t="shared" si="2009"/>
        <v>1.6419041623782271E-2</v>
      </c>
      <c r="BB686" s="119"/>
      <c r="BC686" s="121"/>
      <c r="BD686" s="119"/>
      <c r="BE686" s="119"/>
      <c r="BF686" s="119"/>
      <c r="BG686" s="173"/>
      <c r="BH686" s="173"/>
      <c r="BI686" s="173"/>
      <c r="BJ686" s="173"/>
      <c r="BK686" s="173"/>
      <c r="BL686" s="173"/>
      <c r="BM686" s="173"/>
      <c r="BN686" s="173"/>
      <c r="BO686" s="173"/>
      <c r="BP686" s="173"/>
      <c r="BQ686" s="118"/>
      <c r="BR686" s="118"/>
      <c r="BS686" s="118">
        <f>INDEX('Dist. Plant Gas Additions'!$F$7:$AE$91,MATCH($C686,'Dist. Plant Gas Additions'!$D$7:$D$91,0),MATCH(Calculation!$G686,'Dist. Plant Gas Additions'!$F$5:$AE$5,0))</f>
        <v>10573</v>
      </c>
      <c r="BT686" s="118">
        <f>INDEX('Gen. Plant Additions'!$F$7:$AE$91,MATCH($C686,'Gen. Plant Additions'!$D$7:$D$91,0),MATCH(Calculation!$G686,'Gen. Plant Additions'!$F$5:$AE$5,0))</f>
        <v>1828</v>
      </c>
      <c r="BU686" s="118"/>
      <c r="BV686" s="118"/>
      <c r="BW686" s="118">
        <f>INDEX('Dist Plant Depreciation'!$E$7:$AD$94,MATCH($C686,'Dist Plant Depreciation'!$D$7:$D$94,0),MATCH(Calculation!$G686,'Dist Plant Depreciation'!$E$5:$AD$5,0))</f>
        <v>101270</v>
      </c>
      <c r="BX686" s="118">
        <f>INDEX('Gen. Plant Depreciation'!$E$7:$AD$94,MATCH($C686,'Gen. Plant Depreciation'!$D$7:$D$94,0),MATCH(Calculation!$G686,'Gen. Plant Depreciation'!$E$5:$AD$5,0))</f>
        <v>8211</v>
      </c>
      <c r="BY686" s="118"/>
      <c r="BZ686" s="118"/>
      <c r="CA686" s="118"/>
      <c r="CB686" s="118"/>
      <c r="CC686" s="118"/>
      <c r="CD686" s="118"/>
      <c r="CE686" s="118">
        <f>INDEX('Gross Dx Plant'!$E$7:$AD$91,MATCH($C686,'Gross Dx Plant'!$D$7:$D$91,0),MATCH(Calculation!$G686,'Gross Dx Plant'!$E$5:$AD$5,0))</f>
        <v>265516</v>
      </c>
      <c r="CF686" s="118">
        <f>INDEX('Gross Gen Plant'!$E$7:$AD$91,MATCH($C686,'Gross Gen Plant'!$D$7:$D$91,0),MATCH(Calculation!$G686,'Gross Gen Plant'!$E$5:$AD$5,0))</f>
        <v>15193</v>
      </c>
      <c r="CG686" s="118">
        <f t="shared" si="1923"/>
        <v>171228</v>
      </c>
      <c r="CH686" s="118"/>
      <c r="CI686" s="121">
        <v>2000</v>
      </c>
      <c r="CJ686" s="118"/>
      <c r="CK686" s="118"/>
      <c r="CL686" s="118"/>
      <c r="CM686" s="183"/>
      <c r="CN686" s="118">
        <f t="shared" si="2010"/>
        <v>12401</v>
      </c>
      <c r="CO686" s="118">
        <f t="shared" si="2011"/>
        <v>35.785839478938243</v>
      </c>
      <c r="CP686" s="186">
        <v>0.98989898989898994</v>
      </c>
      <c r="CQ686" s="118">
        <f>+CQ684*CP686+CO685*CP685+CO686</f>
        <v>868.65998268516068</v>
      </c>
      <c r="CR686" s="119">
        <f t="shared" si="2012"/>
        <v>3.6911375674827732E-2</v>
      </c>
      <c r="CS686" s="119"/>
      <c r="CT686" s="177">
        <f t="shared" si="2013"/>
        <v>5.1445777162452142E-3</v>
      </c>
      <c r="CU686" s="177"/>
      <c r="CV686" s="119">
        <f>VLOOKUP($H686,RoR!$E:$F,2,FALSE)</f>
        <v>7.6225000000000001E-2</v>
      </c>
      <c r="CW686" s="177">
        <v>2.2568307442433211E-2</v>
      </c>
      <c r="CX686" s="177">
        <f t="shared" ref="CX686:CX706" si="2019">+CV686-CW686</f>
        <v>5.365669255756679E-2</v>
      </c>
      <c r="CY686" s="177"/>
      <c r="CZ686" s="177"/>
      <c r="DA686" s="187">
        <f t="shared" si="2014"/>
        <v>0.84971312500000007</v>
      </c>
      <c r="DB686" s="188">
        <f t="shared" si="2015"/>
        <v>0.67277207323124022</v>
      </c>
      <c r="DC686" s="188">
        <f t="shared" si="2016"/>
        <v>0.6470236142997704</v>
      </c>
      <c r="DD686" s="188">
        <f t="shared" si="2017"/>
        <v>0.94704866037543145</v>
      </c>
      <c r="DE686" s="188">
        <f t="shared" si="2018"/>
        <v>0.41224973107878493</v>
      </c>
      <c r="DF686" s="189">
        <f>INDEX('State Tax Lookup'!$D$7:$Z$91,MATCH(Calculation!$C686,'State Tax Lookup'!$B$7:$B$91,0),MATCH($H686,'State Tax Lookup'!$D$6:$Z$6,0))</f>
        <v>0.40076499999999998</v>
      </c>
      <c r="DG686" s="189">
        <v>0.375</v>
      </c>
      <c r="DH686" s="190"/>
      <c r="DI686" s="190"/>
      <c r="DJ686" s="177"/>
      <c r="DK686" s="189">
        <f>VLOOKUP($H686,RoR!$E:$F,2,FALSE)</f>
        <v>7.6225000000000001E-2</v>
      </c>
      <c r="DL686" s="191">
        <f>HLOOKUP($H686,'GDP-PI'!$D$8:$CQ$11,3,FALSE)</f>
        <v>2.2568307442433211E-2</v>
      </c>
      <c r="DM686" s="189">
        <f>VLOOKUP(H686,'HW Dx Data'!$E:$F,2,FALSE)</f>
        <v>346.53371782150339</v>
      </c>
      <c r="DN686" s="183" t="e">
        <f>VLOOKUP(H686,'ECI - Input Price'!$G$17:$H$37,2,FALSE)</f>
        <v>#N/A</v>
      </c>
      <c r="DO686" s="177"/>
      <c r="DP686" s="183">
        <f>HLOOKUP(H686,'GDP-PI'!$8:$9,2,FALSE)</f>
        <v>78.069000000000003</v>
      </c>
    </row>
    <row r="687" spans="1:121" s="167" customFormat="1" ht="21" x14ac:dyDescent="0.35">
      <c r="A687" s="167" t="s">
        <v>74</v>
      </c>
      <c r="B687" s="168" t="s">
        <v>74</v>
      </c>
      <c r="C687" s="168">
        <v>4057130</v>
      </c>
      <c r="D687" s="168" t="s">
        <v>142</v>
      </c>
      <c r="E687" s="168"/>
      <c r="F687" s="168"/>
      <c r="G687" s="168" t="s">
        <v>7</v>
      </c>
      <c r="H687" s="169">
        <v>2001</v>
      </c>
      <c r="I687" s="170"/>
      <c r="J687" s="166"/>
      <c r="K687" s="166"/>
      <c r="L687" s="166"/>
      <c r="M687" s="166"/>
      <c r="N687" s="196"/>
      <c r="O687" s="166"/>
      <c r="P687" s="166"/>
      <c r="Q687" s="166"/>
      <c r="R687" s="166"/>
      <c r="S687" s="166"/>
      <c r="T687" s="166"/>
      <c r="U687" s="166"/>
      <c r="V687" s="166">
        <f t="shared" si="2008"/>
        <v>11213.779618570348</v>
      </c>
      <c r="W687" s="170"/>
      <c r="X687" s="174">
        <v>884.83186630911916</v>
      </c>
      <c r="Y687" s="175">
        <v>1.8445870930196343E-2</v>
      </c>
      <c r="Z687" s="175"/>
      <c r="AA687" s="175"/>
      <c r="AB687" s="175"/>
      <c r="AC687" s="170">
        <f t="shared" si="1869"/>
        <v>11213.779618570348</v>
      </c>
      <c r="AD687" s="175"/>
      <c r="AE687" s="170"/>
      <c r="AF687" s="170"/>
      <c r="AG687" s="174"/>
      <c r="AH687" s="175"/>
      <c r="AI687" s="175"/>
      <c r="AJ687" s="174"/>
      <c r="AK687" s="174"/>
      <c r="AL687" s="120"/>
      <c r="AM687" s="120"/>
      <c r="AN687" s="120"/>
      <c r="AO687" s="120"/>
      <c r="AP687" s="120"/>
      <c r="AQ687" s="175"/>
      <c r="AR687" s="120"/>
      <c r="AS687" s="120"/>
      <c r="AT687" s="120"/>
      <c r="AU687" s="120"/>
      <c r="AV687" s="120"/>
      <c r="AW687" s="120"/>
      <c r="AX687" s="120"/>
      <c r="AY687" s="120"/>
      <c r="AZ687" s="118">
        <f>IFERROR(INDEX('Total Customers'!$F$7:$AB$91,MATCH($C687,'Total Customers'!$D$7:$D$91,0),MATCH($G687,'Total Customers'!$F$5:$AB$5,0)),"NA")</f>
        <v>150213</v>
      </c>
      <c r="BA687" s="119">
        <f t="shared" si="2009"/>
        <v>7.8865289164451458E-3</v>
      </c>
      <c r="BB687" s="119"/>
      <c r="BC687" s="121"/>
      <c r="BD687" s="119"/>
      <c r="BE687" s="119"/>
      <c r="BF687" s="119"/>
      <c r="BG687" s="173"/>
      <c r="BH687" s="173"/>
      <c r="BI687" s="173"/>
      <c r="BJ687" s="173"/>
      <c r="BK687" s="173"/>
      <c r="BL687" s="173"/>
      <c r="BM687" s="173"/>
      <c r="BN687" s="173"/>
      <c r="BO687" s="173"/>
      <c r="BP687" s="173"/>
      <c r="BQ687" s="118"/>
      <c r="BR687" s="118"/>
      <c r="BS687" s="118">
        <f>INDEX('Dist. Plant Gas Additions'!$F$7:$AE$91,MATCH($C687,'Dist. Plant Gas Additions'!$D$7:$D$91,0),MATCH(Calculation!$G687,'Dist. Plant Gas Additions'!$F$5:$AE$5,0))</f>
        <v>6639</v>
      </c>
      <c r="BT687" s="118">
        <f>INDEX('Gen. Plant Additions'!$F$7:$AE$91,MATCH($C687,'Gen. Plant Additions'!$D$7:$D$91,0),MATCH(Calculation!$G687,'Gen. Plant Additions'!$F$5:$AE$5,0))</f>
        <v>646</v>
      </c>
      <c r="BU687" s="118"/>
      <c r="BV687" s="118"/>
      <c r="BW687" s="118">
        <f>INDEX('Dist Plant Depreciation'!$E$7:$AD$94,MATCH($C687,'Dist Plant Depreciation'!$D$7:$D$94,0),MATCH(Calculation!$G687,'Dist Plant Depreciation'!$E$5:$AD$5,0))</f>
        <v>105452</v>
      </c>
      <c r="BX687" s="118">
        <f>INDEX('Gen. Plant Depreciation'!$E$7:$AD$94,MATCH($C687,'Gen. Plant Depreciation'!$D$7:$D$94,0),MATCH(Calculation!$G687,'Gen. Plant Depreciation'!$E$5:$AD$5,0))</f>
        <v>8356</v>
      </c>
      <c r="BY687" s="118"/>
      <c r="BZ687" s="118"/>
      <c r="CA687" s="118"/>
      <c r="CB687" s="118"/>
      <c r="CC687" s="118"/>
      <c r="CD687" s="118"/>
      <c r="CE687" s="118">
        <f>INDEX('Gross Dx Plant'!$E$7:$AD$91,MATCH($C687,'Gross Dx Plant'!$D$7:$D$91,0),MATCH(Calculation!$G687,'Gross Dx Plant'!$E$5:$AD$5,0))</f>
        <v>271308</v>
      </c>
      <c r="CF687" s="118">
        <f>INDEX('Gross Gen Plant'!$E$7:$AD$91,MATCH($C687,'Gross Gen Plant'!$D$7:$D$91,0),MATCH(Calculation!$G687,'Gross Gen Plant'!$E$5:$AD$5,0))</f>
        <v>15087</v>
      </c>
      <c r="CG687" s="118">
        <f t="shared" si="1923"/>
        <v>172587</v>
      </c>
      <c r="CH687" s="118"/>
      <c r="CI687" s="121">
        <v>2001</v>
      </c>
      <c r="CJ687" s="118"/>
      <c r="CK687" s="118"/>
      <c r="CL687" s="118"/>
      <c r="CM687" s="183"/>
      <c r="CN687" s="118">
        <f t="shared" si="2010"/>
        <v>7285</v>
      </c>
      <c r="CO687" s="118">
        <f t="shared" si="2011"/>
        <v>20.611271744033022</v>
      </c>
      <c r="CP687" s="186">
        <v>0.98461538461538467</v>
      </c>
      <c r="CQ687" s="118">
        <f>+CQ684*CP687+CO685*CP686+CO686*CP684+CO687</f>
        <v>884.83186630911916</v>
      </c>
      <c r="CR687" s="119">
        <f t="shared" si="2012"/>
        <v>1.8445870930196343E-2</v>
      </c>
      <c r="CS687" s="119"/>
      <c r="CT687" s="177">
        <f t="shared" si="2013"/>
        <v>5.110616591720637E-3</v>
      </c>
      <c r="CU687" s="177">
        <f>+(CT687+CT686+CT685)/3</f>
        <v>5.0767728953584499E-3</v>
      </c>
      <c r="CV687" s="119">
        <f>VLOOKUP($H687,RoR!$E:$F,2,FALSE)</f>
        <v>7.0824999999999999E-2</v>
      </c>
      <c r="CW687" s="177">
        <v>2.2454495382290052E-2</v>
      </c>
      <c r="CX687" s="177">
        <f t="shared" si="2019"/>
        <v>4.8370504617709947E-2</v>
      </c>
      <c r="CY687" s="177">
        <f>+$CX$35-CU687</f>
        <v>2.5825168713175174E-2</v>
      </c>
      <c r="CZ687" s="177">
        <f>+((DM685/DM684-1)+(DM686/DM685-1)+(DM687/DM686-1))/3</f>
        <v>2.3947275901631187E-2</v>
      </c>
      <c r="DA687" s="187">
        <f t="shared" si="2014"/>
        <v>0.84971312500000007</v>
      </c>
      <c r="DB687" s="188">
        <f t="shared" si="2015"/>
        <v>0.72406708481540816</v>
      </c>
      <c r="DC687" s="188">
        <f t="shared" si="2016"/>
        <v>0.62201729615248857</v>
      </c>
      <c r="DD687" s="188">
        <f t="shared" si="2017"/>
        <v>0.9352469954311422</v>
      </c>
      <c r="DE687" s="188">
        <f t="shared" si="2018"/>
        <v>0.42121864641655071</v>
      </c>
      <c r="DF687" s="189">
        <f>INDEX('State Tax Lookup'!$D$7:$Z$91,MATCH(Calculation!$C687,'State Tax Lookup'!$B$7:$B$91,0),MATCH($H687,'State Tax Lookup'!$D$6:$Z$6,0))</f>
        <v>0.40076499999999998</v>
      </c>
      <c r="DG687" s="189">
        <v>0.375</v>
      </c>
      <c r="DH687" s="190">
        <f t="shared" ref="DH687:DH707" si="2020">+(DM687*CY687-CZ687)*DA687/(1-DF687)</f>
        <v>12.909285384491689</v>
      </c>
      <c r="DI687" s="190"/>
      <c r="DJ687" s="177"/>
      <c r="DK687" s="189">
        <f>VLOOKUP($H687,RoR!$E:$F,2,FALSE)</f>
        <v>7.0824999999999999E-2</v>
      </c>
      <c r="DL687" s="191">
        <f>HLOOKUP($H687,'GDP-PI'!$D$8:$CQ$11,3,FALSE)</f>
        <v>2.2454495382290052E-2</v>
      </c>
      <c r="DM687" s="189">
        <f>VLOOKUP(H687,'HW Dx Data'!$E:$F,2,FALSE)</f>
        <v>353.44738017483138</v>
      </c>
      <c r="DN687" s="183">
        <f>VLOOKUP(H687,'ECI - Input Price'!$G$17:$H$37,2,FALSE)</f>
        <v>86.2</v>
      </c>
      <c r="DO687" s="177"/>
      <c r="DP687" s="183">
        <f>HLOOKUP(H687,'GDP-PI'!$8:$9,2,FALSE)</f>
        <v>79.822000000000003</v>
      </c>
    </row>
    <row r="688" spans="1:121" s="167" customFormat="1" ht="21" x14ac:dyDescent="0.35">
      <c r="A688" s="167" t="s">
        <v>74</v>
      </c>
      <c r="B688" s="168" t="s">
        <v>74</v>
      </c>
      <c r="C688" s="168">
        <v>4057130</v>
      </c>
      <c r="D688" s="168" t="s">
        <v>142</v>
      </c>
      <c r="E688" s="168"/>
      <c r="F688" s="168"/>
      <c r="G688" s="168" t="s">
        <v>8</v>
      </c>
      <c r="H688" s="169">
        <v>2002</v>
      </c>
      <c r="I688" s="170"/>
      <c r="J688" s="166"/>
      <c r="K688" s="166"/>
      <c r="L688" s="166"/>
      <c r="M688" s="166"/>
      <c r="N688" s="196"/>
      <c r="O688" s="166"/>
      <c r="P688" s="166"/>
      <c r="Q688" s="166"/>
      <c r="R688" s="166"/>
      <c r="S688" s="166"/>
      <c r="T688" s="166"/>
      <c r="U688" s="166"/>
      <c r="V688" s="166">
        <f t="shared" si="2008"/>
        <v>11567.632193660238</v>
      </c>
      <c r="W688" s="170"/>
      <c r="X688" s="174">
        <v>907.92611059152864</v>
      </c>
      <c r="Y688" s="175">
        <v>2.5765353902039861E-2</v>
      </c>
      <c r="Z688" s="175"/>
      <c r="AA688" s="175"/>
      <c r="AB688" s="175"/>
      <c r="AC688" s="170">
        <f t="shared" si="1869"/>
        <v>11567.632193660238</v>
      </c>
      <c r="AD688" s="175"/>
      <c r="AE688" s="170"/>
      <c r="AF688" s="170"/>
      <c r="AG688" s="174"/>
      <c r="AH688" s="175"/>
      <c r="AI688" s="175"/>
      <c r="AJ688" s="174"/>
      <c r="AK688" s="174"/>
      <c r="AL688" s="120"/>
      <c r="AM688" s="120"/>
      <c r="AN688" s="120"/>
      <c r="AO688" s="120"/>
      <c r="AP688" s="120"/>
      <c r="AQ688" s="175"/>
      <c r="AR688" s="120"/>
      <c r="AS688" s="120"/>
      <c r="AT688" s="120"/>
      <c r="AU688" s="120"/>
      <c r="AV688" s="120"/>
      <c r="AW688" s="120"/>
      <c r="AX688" s="120"/>
      <c r="AY688" s="120"/>
      <c r="AZ688" s="118">
        <f>IFERROR(INDEX('Total Customers'!$F$7:$AB$91,MATCH($C688,'Total Customers'!$D$7:$D$91,0),MATCH($G688,'Total Customers'!$F$5:$AB$5,0)),"NA")</f>
        <v>151548</v>
      </c>
      <c r="BA688" s="119">
        <f t="shared" si="2009"/>
        <v>8.8481196023636102E-3</v>
      </c>
      <c r="BB688" s="119"/>
      <c r="BC688" s="121"/>
      <c r="BD688" s="119"/>
      <c r="BE688" s="119"/>
      <c r="BF688" s="119"/>
      <c r="BG688" s="173"/>
      <c r="BH688" s="173"/>
      <c r="BI688" s="173"/>
      <c r="BJ688" s="173"/>
      <c r="BK688" s="173"/>
      <c r="BL688" s="173"/>
      <c r="BM688" s="173"/>
      <c r="BN688" s="173"/>
      <c r="BO688" s="173"/>
      <c r="BP688" s="173"/>
      <c r="BQ688" s="118"/>
      <c r="BR688" s="118"/>
      <c r="BS688" s="118">
        <f>INDEX('Dist. Plant Gas Additions'!$F$7:$AE$91,MATCH($C688,'Dist. Plant Gas Additions'!$D$7:$D$91,0),MATCH(Calculation!$G688,'Dist. Plant Gas Additions'!$F$5:$AE$5,0))</f>
        <v>9639</v>
      </c>
      <c r="BT688" s="118">
        <f>INDEX('Gen. Plant Additions'!$F$7:$AE$91,MATCH($C688,'Gen. Plant Additions'!$D$7:$D$91,0),MATCH(Calculation!$G688,'Gen. Plant Additions'!$F$5:$AE$5,0))</f>
        <v>528</v>
      </c>
      <c r="BU688" s="118"/>
      <c r="BV688" s="118"/>
      <c r="BW688" s="118">
        <f>INDEX('Dist Plant Depreciation'!$E$7:$AD$94,MATCH($C688,'Dist Plant Depreciation'!$D$7:$D$94,0),MATCH(Calculation!$G688,'Dist Plant Depreciation'!$E$5:$AD$5,0))</f>
        <v>109058</v>
      </c>
      <c r="BX688" s="118">
        <f>INDEX('Gen. Plant Depreciation'!$E$7:$AD$94,MATCH($C688,'Gen. Plant Depreciation'!$D$7:$D$94,0),MATCH(Calculation!$G688,'Gen. Plant Depreciation'!$E$5:$AD$5,0))</f>
        <v>8484</v>
      </c>
      <c r="BY688" s="118"/>
      <c r="BZ688" s="118"/>
      <c r="CA688" s="118"/>
      <c r="CB688" s="118"/>
      <c r="CC688" s="118"/>
      <c r="CD688" s="118"/>
      <c r="CE688" s="118">
        <f>INDEX('Gross Dx Plant'!$E$7:$AD$91,MATCH($C688,'Gross Dx Plant'!$D$7:$D$91,0),MATCH(Calculation!$G688,'Gross Dx Plant'!$E$5:$AD$5,0))</f>
        <v>279349</v>
      </c>
      <c r="CF688" s="118">
        <f>INDEX('Gross Gen Plant'!$E$7:$AD$91,MATCH($C688,'Gross Gen Plant'!$D$7:$D$91,0),MATCH(Calculation!$G688,'Gross Gen Plant'!$E$5:$AD$5,0))</f>
        <v>14805</v>
      </c>
      <c r="CG688" s="118">
        <f t="shared" si="1923"/>
        <v>176612</v>
      </c>
      <c r="CH688" s="118"/>
      <c r="CI688" s="121">
        <v>2002</v>
      </c>
      <c r="CJ688" s="118"/>
      <c r="CK688" s="118"/>
      <c r="CL688" s="118"/>
      <c r="CM688" s="183"/>
      <c r="CN688" s="118">
        <f t="shared" si="2010"/>
        <v>10167</v>
      </c>
      <c r="CO688" s="118">
        <f t="shared" si="2011"/>
        <v>28.136298905362175</v>
      </c>
      <c r="CP688" s="186">
        <v>0.97916666666666663</v>
      </c>
      <c r="CQ688" s="118">
        <f>+CQ684*CP688+CO685*CP687+CO686*CP686+CO687*CP685+CO688</f>
        <v>907.92611059152864</v>
      </c>
      <c r="CR688" s="119">
        <f t="shared" si="2012"/>
        <v>2.5765353902039861E-2</v>
      </c>
      <c r="CS688" s="119"/>
      <c r="CT688" s="177">
        <f t="shared" si="2013"/>
        <v>5.6983194377758064E-3</v>
      </c>
      <c r="CU688" s="177">
        <f t="shared" ref="CU688:CU707" si="2021">+(CT688+CT687+CT686)/3</f>
        <v>5.3178379152472198E-3</v>
      </c>
      <c r="CV688" s="119">
        <f>VLOOKUP($H688,RoR!$E:$F,2,FALSE)</f>
        <v>6.4916666666666664E-2</v>
      </c>
      <c r="CW688" s="177">
        <v>1.5246423291824351E-2</v>
      </c>
      <c r="CX688" s="177">
        <f t="shared" si="2019"/>
        <v>4.9670243374842313E-2</v>
      </c>
      <c r="CY688" s="177">
        <f t="shared" ref="CY688:CY707" si="2022">+$CX$35-CU688</f>
        <v>2.5584103693286404E-2</v>
      </c>
      <c r="CZ688" s="177">
        <f t="shared" ref="CZ688:CZ707" si="2023">+((DM686/DM685-1)+(DM687/DM686-1)+(DM688/DM687-1))/3</f>
        <v>2.5243621214759093E-2</v>
      </c>
      <c r="DA688" s="187">
        <f t="shared" si="2014"/>
        <v>0.84971312500000007</v>
      </c>
      <c r="DB688" s="188">
        <f t="shared" si="2015"/>
        <v>0.78996741384417901</v>
      </c>
      <c r="DC688" s="188">
        <f t="shared" si="2016"/>
        <v>0.58989088575096271</v>
      </c>
      <c r="DD688" s="188">
        <f t="shared" si="2017"/>
        <v>0.91920675783645744</v>
      </c>
      <c r="DE688" s="188">
        <f t="shared" si="2018"/>
        <v>0.42834536472275586</v>
      </c>
      <c r="DF688" s="189">
        <f>INDEX('State Tax Lookup'!$D$7:$Z$91,MATCH(Calculation!$C688,'State Tax Lookup'!$B$7:$B$91,0),MATCH($H688,'State Tax Lookup'!$D$6:$Z$6,0))</f>
        <v>0.40076499999999998</v>
      </c>
      <c r="DG688" s="189">
        <v>0.375</v>
      </c>
      <c r="DH688" s="190">
        <f t="shared" si="2020"/>
        <v>13.07325451773348</v>
      </c>
      <c r="DI688" s="190"/>
      <c r="DJ688" s="177"/>
      <c r="DK688" s="189">
        <f>VLOOKUP($H688,RoR!$E:$F,2,FALSE)</f>
        <v>6.4916666666666664E-2</v>
      </c>
      <c r="DL688" s="191">
        <f>HLOOKUP($H688,'GDP-PI'!$D$8:$CQ$11,3,FALSE)</f>
        <v>1.5246423291824351E-2</v>
      </c>
      <c r="DM688" s="189">
        <f>VLOOKUP(H688,'HW Dx Data'!$E:$F,2,FALSE)</f>
        <v>361.34816573413599</v>
      </c>
      <c r="DN688" s="183">
        <f>VLOOKUP(H688,'ECI - Input Price'!$G$17:$H$37,2,FALSE)</f>
        <v>89.275000000000006</v>
      </c>
      <c r="DO688" s="177">
        <f>LN(DN688/DN687)</f>
        <v>3.5051315810864674E-2</v>
      </c>
      <c r="DP688" s="183">
        <f>HLOOKUP(H688,'GDP-PI'!$8:$9,2,FALSE)</f>
        <v>81.039000000000001</v>
      </c>
      <c r="DQ688" s="177">
        <f>LN(DP688/DP687)</f>
        <v>1.513136459537477E-2</v>
      </c>
    </row>
    <row r="689" spans="1:121" s="167" customFormat="1" ht="21" x14ac:dyDescent="0.35">
      <c r="A689" s="167" t="s">
        <v>74</v>
      </c>
      <c r="B689" s="168" t="s">
        <v>74</v>
      </c>
      <c r="C689" s="168">
        <v>4057130</v>
      </c>
      <c r="D689" s="168" t="s">
        <v>142</v>
      </c>
      <c r="E689" s="168"/>
      <c r="F689" s="168"/>
      <c r="G689" s="168" t="s">
        <v>9</v>
      </c>
      <c r="H689" s="169">
        <v>2003</v>
      </c>
      <c r="I689" s="170"/>
      <c r="J689" s="166"/>
      <c r="K689" s="166"/>
      <c r="L689" s="166"/>
      <c r="M689" s="172"/>
      <c r="N689" s="196"/>
      <c r="O689" s="172"/>
      <c r="P689" s="166"/>
      <c r="Q689" s="166"/>
      <c r="R689" s="166"/>
      <c r="S689" s="166"/>
      <c r="T689" s="166"/>
      <c r="U689" s="166"/>
      <c r="V689" s="166">
        <f t="shared" si="2008"/>
        <v>12049.229345631404</v>
      </c>
      <c r="W689" s="170"/>
      <c r="X689" s="174">
        <v>929.33399400988162</v>
      </c>
      <c r="Y689" s="175">
        <v>2.3305194836991176E-2</v>
      </c>
      <c r="Z689" s="175"/>
      <c r="AA689" s="175"/>
      <c r="AB689" s="175"/>
      <c r="AC689" s="170">
        <f t="shared" si="1869"/>
        <v>12049.229345631404</v>
      </c>
      <c r="AD689" s="175"/>
      <c r="AE689" s="170"/>
      <c r="AF689" s="170"/>
      <c r="AG689" s="174"/>
      <c r="AH689" s="175"/>
      <c r="AI689" s="175"/>
      <c r="AJ689" s="174"/>
      <c r="AK689" s="174"/>
      <c r="AL689" s="120"/>
      <c r="AM689" s="120"/>
      <c r="AN689" s="120"/>
      <c r="AO689" s="120"/>
      <c r="AP689" s="120"/>
      <c r="AQ689" s="175"/>
      <c r="AR689" s="120"/>
      <c r="AS689" s="120"/>
      <c r="AT689" s="120"/>
      <c r="AU689" s="120"/>
      <c r="AV689" s="120"/>
      <c r="AW689" s="120"/>
      <c r="AX689" s="120"/>
      <c r="AY689" s="120"/>
      <c r="AZ689" s="118">
        <f>IFERROR(INDEX('Total Customers'!$F$7:$AB$91,MATCH($C689,'Total Customers'!$D$7:$D$91,0),MATCH($G689,'Total Customers'!$F$5:$AB$5,0)),"NA")</f>
        <v>152638</v>
      </c>
      <c r="BA689" s="119">
        <f t="shared" si="2009"/>
        <v>7.16669843673473E-3</v>
      </c>
      <c r="BB689" s="119"/>
      <c r="BC689" s="121"/>
      <c r="BD689" s="119"/>
      <c r="BE689" s="119"/>
      <c r="BF689" s="119"/>
      <c r="BG689" s="173"/>
      <c r="BH689" s="173"/>
      <c r="BI689" s="173"/>
      <c r="BJ689" s="173"/>
      <c r="BK689" s="173"/>
      <c r="BL689" s="173"/>
      <c r="BM689" s="173"/>
      <c r="BN689" s="173"/>
      <c r="BO689" s="173"/>
      <c r="BP689" s="173"/>
      <c r="BQ689" s="118"/>
      <c r="BR689" s="118"/>
      <c r="BS689" s="118">
        <f>INDEX('Dist. Plant Gas Additions'!$F$7:$AE$91,MATCH($C689,'Dist. Plant Gas Additions'!$D$7:$D$91,0),MATCH(Calculation!$G689,'Dist. Plant Gas Additions'!$F$5:$AE$5,0))</f>
        <v>7123</v>
      </c>
      <c r="BT689" s="118">
        <f>INDEX('Gen. Plant Additions'!$F$7:$AE$91,MATCH($C689,'Gen. Plant Additions'!$D$7:$D$91,0),MATCH(Calculation!$G689,'Gen. Plant Additions'!$F$5:$AE$5,0))</f>
        <v>2686</v>
      </c>
      <c r="BU689" s="118"/>
      <c r="BV689" s="118"/>
      <c r="BW689" s="118">
        <f>INDEX('Dist Plant Depreciation'!$E$7:$AD$94,MATCH($C689,'Dist Plant Depreciation'!$D$7:$D$94,0),MATCH(Calculation!$G689,'Dist Plant Depreciation'!$E$5:$AD$5,0))</f>
        <v>112894</v>
      </c>
      <c r="BX689" s="118">
        <f>INDEX('Gen. Plant Depreciation'!$E$7:$AD$94,MATCH($C689,'Gen. Plant Depreciation'!$D$7:$D$94,0),MATCH(Calculation!$G689,'Gen. Plant Depreciation'!$E$5:$AD$5,0))</f>
        <v>8525</v>
      </c>
      <c r="BY689" s="118"/>
      <c r="BZ689" s="118"/>
      <c r="CA689" s="118"/>
      <c r="CB689" s="118"/>
      <c r="CC689" s="118"/>
      <c r="CD689" s="118"/>
      <c r="CE689" s="118">
        <f>INDEX('Gross Dx Plant'!$E$7:$AD$91,MATCH($C689,'Gross Dx Plant'!$D$7:$D$91,0),MATCH(Calculation!$G689,'Gross Dx Plant'!$E$5:$AD$5,0))</f>
        <v>284812</v>
      </c>
      <c r="CF689" s="118">
        <f>INDEX('Gross Gen Plant'!$E$7:$AD$91,MATCH($C689,'Gross Gen Plant'!$D$7:$D$91,0),MATCH(Calculation!$G689,'Gross Gen Plant'!$E$5:$AD$5,0))</f>
        <v>16406</v>
      </c>
      <c r="CG689" s="118">
        <f t="shared" si="1923"/>
        <v>179799</v>
      </c>
      <c r="CH689" s="118"/>
      <c r="CI689" s="121">
        <v>2003</v>
      </c>
      <c r="CJ689" s="118"/>
      <c r="CK689" s="118"/>
      <c r="CL689" s="118"/>
      <c r="CM689" s="183"/>
      <c r="CN689" s="118">
        <f t="shared" si="2010"/>
        <v>9809</v>
      </c>
      <c r="CO689" s="118">
        <f t="shared" si="2011"/>
        <v>26.565880376225284</v>
      </c>
      <c r="CP689" s="186">
        <v>0.97354497354497349</v>
      </c>
      <c r="CQ689" s="118">
        <f>+CQ684*CP689+CO685*CP688+CO686*CP687+CO687*CP686+CO688*CP685+CO689</f>
        <v>929.33399400988162</v>
      </c>
      <c r="CR689" s="119">
        <f t="shared" si="2012"/>
        <v>2.3305194836991176E-2</v>
      </c>
      <c r="CS689" s="119"/>
      <c r="CT689" s="177">
        <f t="shared" si="2013"/>
        <v>5.681075692945744E-3</v>
      </c>
      <c r="CU689" s="177">
        <f t="shared" si="2021"/>
        <v>5.4966705741473958E-3</v>
      </c>
      <c r="CV689" s="119">
        <f>VLOOKUP($H689,RoR!$E:$F,2,FALSE)</f>
        <v>5.6666666666666671E-2</v>
      </c>
      <c r="CW689" s="177">
        <v>1.8855119140166909E-2</v>
      </c>
      <c r="CX689" s="177">
        <f t="shared" si="2019"/>
        <v>3.7811547526499761E-2</v>
      </c>
      <c r="CY689" s="177">
        <f t="shared" si="2022"/>
        <v>2.540527103438623E-2</v>
      </c>
      <c r="CZ689" s="177">
        <f t="shared" si="2023"/>
        <v>2.1375012817671957E-2</v>
      </c>
      <c r="DA689" s="187">
        <f t="shared" si="2014"/>
        <v>0.84971312500000007</v>
      </c>
      <c r="DB689" s="188">
        <f t="shared" si="2015"/>
        <v>0.90497737556561086</v>
      </c>
      <c r="DC689" s="188">
        <f t="shared" si="2016"/>
        <v>0.5338235294117647</v>
      </c>
      <c r="DD689" s="188">
        <f t="shared" si="2017"/>
        <v>0.88972433127405692</v>
      </c>
      <c r="DE689" s="188">
        <f t="shared" si="2018"/>
        <v>0.42982423775949252</v>
      </c>
      <c r="DF689" s="189">
        <f>INDEX('State Tax Lookup'!$D$7:$Z$91,MATCH(Calculation!$C689,'State Tax Lookup'!$B$7:$B$91,0),MATCH($H689,'State Tax Lookup'!$D$6:$Z$6,0))</f>
        <v>0.40076499999999998</v>
      </c>
      <c r="DG689" s="189">
        <v>0.375</v>
      </c>
      <c r="DH689" s="190">
        <f t="shared" si="2020"/>
        <v>13.271156325464784</v>
      </c>
      <c r="DI689" s="190"/>
      <c r="DJ689" s="177"/>
      <c r="DK689" s="189">
        <f>VLOOKUP($H689,RoR!$E:$F,2,FALSE)</f>
        <v>5.6666666666666671E-2</v>
      </c>
      <c r="DL689" s="191">
        <f>HLOOKUP($H689,'GDP-PI'!$D$8:$CQ$11,3,FALSE)</f>
        <v>1.8855119140166909E-2</v>
      </c>
      <c r="DM689" s="189">
        <f>VLOOKUP(H689,'HW Dx Data'!$E:$F,2,FALSE)</f>
        <v>369.23301095560191</v>
      </c>
      <c r="DN689" s="183">
        <f>VLOOKUP(H689,'ECI - Input Price'!$G$17:$H$37,2,FALSE)</f>
        <v>92.625</v>
      </c>
      <c r="DO689" s="177">
        <f t="shared" ref="DO689" si="2024">LN(DN689/DN688)</f>
        <v>3.6837590135738785E-2</v>
      </c>
      <c r="DP689" s="183">
        <f>HLOOKUP(H689,'GDP-PI'!$8:$9,2,FALSE)</f>
        <v>82.566999999999993</v>
      </c>
      <c r="DQ689" s="177">
        <f t="shared" ref="DQ689" si="2025">LN(DP689/DP688)</f>
        <v>1.8679564681853753E-2</v>
      </c>
    </row>
    <row r="690" spans="1:121" s="167" customFormat="1" ht="21" x14ac:dyDescent="0.35">
      <c r="A690" s="167" t="s">
        <v>74</v>
      </c>
      <c r="B690" s="168" t="s">
        <v>74</v>
      </c>
      <c r="C690" s="168">
        <v>4057130</v>
      </c>
      <c r="D690" s="168" t="s">
        <v>142</v>
      </c>
      <c r="E690" s="168"/>
      <c r="F690" s="168"/>
      <c r="G690" s="168" t="s">
        <v>10</v>
      </c>
      <c r="H690" s="169">
        <v>2004</v>
      </c>
      <c r="I690" s="170"/>
      <c r="J690" s="166"/>
      <c r="K690" s="166">
        <f t="shared" ref="K690:K707" si="2026">+J690/DN690</f>
        <v>0</v>
      </c>
      <c r="L690" s="172"/>
      <c r="M690" s="172"/>
      <c r="N690" s="196"/>
      <c r="O690" s="172"/>
      <c r="P690" s="166"/>
      <c r="Q690" s="166">
        <f t="shared" ref="Q690:Q707" si="2027">+P690/DP690</f>
        <v>0</v>
      </c>
      <c r="R690" s="166"/>
      <c r="S690" s="166"/>
      <c r="T690" s="166"/>
      <c r="U690" s="166"/>
      <c r="V690" s="166">
        <f t="shared" si="2008"/>
        <v>13677.716575541477</v>
      </c>
      <c r="W690" s="170"/>
      <c r="X690" s="174">
        <v>946.71327781463867</v>
      </c>
      <c r="Y690" s="175">
        <v>1.8528084276614887E-2</v>
      </c>
      <c r="Z690" s="175"/>
      <c r="AA690" s="175"/>
      <c r="AB690" s="175"/>
      <c r="AC690" s="170">
        <f t="shared" si="1869"/>
        <v>13677.716575541477</v>
      </c>
      <c r="AD690" s="175"/>
      <c r="AE690" s="170"/>
      <c r="AF690" s="170"/>
      <c r="AG690" s="174"/>
      <c r="AH690" s="175"/>
      <c r="AI690" s="175"/>
      <c r="AJ690" s="174"/>
      <c r="AK690" s="174"/>
      <c r="AL690" s="120">
        <f t="shared" ref="AL690:AL707" si="2028">+J690/AC690</f>
        <v>0</v>
      </c>
      <c r="AM690" s="120">
        <f t="shared" ref="AM690:AM707" si="2029">+P690/AC690</f>
        <v>0</v>
      </c>
      <c r="AN690" s="120">
        <f t="shared" ref="AN690:AN707" si="2030">+V690/AC690</f>
        <v>1</v>
      </c>
      <c r="AO690" s="120"/>
      <c r="AP690" s="120"/>
      <c r="AQ690" s="175"/>
      <c r="AR690" s="120"/>
      <c r="AS690" s="120"/>
      <c r="AT690" s="120"/>
      <c r="AU690" s="120"/>
      <c r="AV690" s="120"/>
      <c r="AW690" s="120"/>
      <c r="AX690" s="120"/>
      <c r="AY690" s="120"/>
      <c r="AZ690" s="118">
        <f>IFERROR(INDEX('Total Customers'!$F$7:$AB$91,MATCH($C690,'Total Customers'!$D$7:$D$91,0),MATCH($G690,'Total Customers'!$F$5:$AB$5,0)),"NA")</f>
        <v>153856</v>
      </c>
      <c r="BA690" s="119">
        <f t="shared" si="2009"/>
        <v>7.9479951438648742E-3</v>
      </c>
      <c r="BB690" s="119"/>
      <c r="BC690" s="121"/>
      <c r="BD690" s="119"/>
      <c r="BE690" s="119"/>
      <c r="BF690" s="119"/>
      <c r="BG690" s="173"/>
      <c r="BH690" s="173"/>
      <c r="BI690" s="173"/>
      <c r="BJ690" s="173"/>
      <c r="BK690" s="173"/>
      <c r="BL690" s="173"/>
      <c r="BM690" s="173"/>
      <c r="BN690" s="173"/>
      <c r="BO690" s="173"/>
      <c r="BP690" s="173"/>
      <c r="BQ690" s="118"/>
      <c r="BR690" s="118"/>
      <c r="BS690" s="118">
        <f>INDEX('Dist. Plant Gas Additions'!$F$7:$AE$91,MATCH($C690,'Dist. Plant Gas Additions'!$D$7:$D$91,0),MATCH(Calculation!$G690,'Dist. Plant Gas Additions'!$F$5:$AE$5,0))</f>
        <v>8464</v>
      </c>
      <c r="BT690" s="118">
        <f>INDEX('Gen. Plant Additions'!$F$7:$AE$91,MATCH($C690,'Gen. Plant Additions'!$D$7:$D$91,0),MATCH(Calculation!$G690,'Gen. Plant Additions'!$F$5:$AE$5,0))</f>
        <v>1010</v>
      </c>
      <c r="BU690" s="118"/>
      <c r="BV690" s="118"/>
      <c r="BW690" s="118">
        <f>INDEX('Dist Plant Depreciation'!$E$7:$AD$94,MATCH($C690,'Dist Plant Depreciation'!$D$7:$D$94,0),MATCH(Calculation!$G690,'Dist Plant Depreciation'!$E$5:$AD$5,0))</f>
        <v>116771</v>
      </c>
      <c r="BX690" s="118">
        <f>INDEX('Gen. Plant Depreciation'!$E$7:$AD$94,MATCH($C690,'Gen. Plant Depreciation'!$D$7:$D$94,0),MATCH(Calculation!$G690,'Gen. Plant Depreciation'!$E$5:$AD$5,0))</f>
        <v>9205</v>
      </c>
      <c r="BY690" s="118"/>
      <c r="BZ690" s="118"/>
      <c r="CA690" s="118"/>
      <c r="CB690" s="118"/>
      <c r="CC690" s="118"/>
      <c r="CD690" s="118"/>
      <c r="CE690" s="118">
        <f>INDEX('Gross Dx Plant'!$E$7:$AD$91,MATCH($C690,'Gross Dx Plant'!$D$7:$D$91,0),MATCH(Calculation!$G690,'Gross Dx Plant'!$E$5:$AD$5,0))</f>
        <v>291478</v>
      </c>
      <c r="CF690" s="118">
        <f>INDEX('Gross Gen Plant'!$E$7:$AD$91,MATCH($C690,'Gross Gen Plant'!$D$7:$D$91,0),MATCH(Calculation!$G690,'Gross Gen Plant'!$E$5:$AD$5,0))</f>
        <v>16802</v>
      </c>
      <c r="CG690" s="118">
        <f t="shared" si="1923"/>
        <v>182304</v>
      </c>
      <c r="CH690" s="118"/>
      <c r="CI690" s="121">
        <v>2004</v>
      </c>
      <c r="CJ690" s="118"/>
      <c r="CK690" s="118"/>
      <c r="CL690" s="118"/>
      <c r="CM690" s="183"/>
      <c r="CN690" s="118">
        <f t="shared" si="2010"/>
        <v>9474</v>
      </c>
      <c r="CO690" s="118">
        <f t="shared" si="2011"/>
        <v>22.835122889960608</v>
      </c>
      <c r="CP690" s="186">
        <v>0.967741935483871</v>
      </c>
      <c r="CQ690" s="118">
        <f>+CQ684*CP690+CO685*CP689+CO686*CP688+CO687*CP687+CO688*CP686+CO689*CP685+CO690</f>
        <v>946.71327781463867</v>
      </c>
      <c r="CR690" s="119">
        <f t="shared" si="2012"/>
        <v>1.8528084276614887E-2</v>
      </c>
      <c r="CS690" s="119"/>
      <c r="CT690" s="177">
        <f t="shared" si="2013"/>
        <v>5.8706978549904901E-3</v>
      </c>
      <c r="CU690" s="177">
        <f t="shared" si="2021"/>
        <v>5.7500309952373471E-3</v>
      </c>
      <c r="CV690" s="119">
        <f>VLOOKUP($H690,RoR!$E:$F,2,FALSE)</f>
        <v>5.6283333333333331E-2</v>
      </c>
      <c r="CW690" s="177">
        <v>2.6778252812867276E-2</v>
      </c>
      <c r="CX690" s="177">
        <f t="shared" si="2019"/>
        <v>2.9505080520466055E-2</v>
      </c>
      <c r="CY690" s="177">
        <f t="shared" si="2022"/>
        <v>2.5151910613296278E-2</v>
      </c>
      <c r="CZ690" s="177">
        <f t="shared" si="2023"/>
        <v>5.5940039414565046E-2</v>
      </c>
      <c r="DA690" s="187">
        <f t="shared" si="2014"/>
        <v>0.84971312500000007</v>
      </c>
      <c r="DB690" s="188">
        <f t="shared" si="2015"/>
        <v>0.91114097628755619</v>
      </c>
      <c r="DC690" s="188">
        <f t="shared" si="2016"/>
        <v>0.53081877405981637</v>
      </c>
      <c r="DD690" s="188">
        <f t="shared" si="2017"/>
        <v>0.88811215519385678</v>
      </c>
      <c r="DE690" s="188">
        <f t="shared" si="2018"/>
        <v>0.42953609753547711</v>
      </c>
      <c r="DF690" s="189">
        <f>INDEX('State Tax Lookup'!$D$7:$Z$91,MATCH(Calculation!$C690,'State Tax Lookup'!$B$7:$B$91,0),MATCH($H690,'State Tax Lookup'!$D$6:$Z$6,0))</f>
        <v>0.40076499999999998</v>
      </c>
      <c r="DG690" s="189">
        <v>0.375</v>
      </c>
      <c r="DH690" s="190">
        <f t="shared" si="2020"/>
        <v>14.717762035718712</v>
      </c>
      <c r="DI690" s="190"/>
      <c r="DJ690" s="177"/>
      <c r="DK690" s="189">
        <f>VLOOKUP($H690,RoR!$E:$F,2,FALSE)</f>
        <v>5.6283333333333331E-2</v>
      </c>
      <c r="DL690" s="191">
        <f>HLOOKUP($H690,'GDP-PI'!$D$8:$CQ$11,3,FALSE)</f>
        <v>2.6778252812867276E-2</v>
      </c>
      <c r="DM690" s="189">
        <f>VLOOKUP(H690,'HW Dx Data'!$E:$F,2,FALSE)</f>
        <v>414.88719135228365</v>
      </c>
      <c r="DN690" s="183">
        <f>VLOOKUP(H690,'ECI - Input Price'!$G$17:$H$37,2,FALSE)</f>
        <v>96.174999999999997</v>
      </c>
      <c r="DO690" s="177">
        <f t="shared" ref="DO690" si="2031">LN(DN690/DN689)</f>
        <v>3.7610365022107912E-2</v>
      </c>
      <c r="DP690" s="183">
        <f>HLOOKUP(H690,'GDP-PI'!$8:$9,2,FALSE)</f>
        <v>84.778000000000006</v>
      </c>
      <c r="DQ690" s="177">
        <f t="shared" ref="DQ690" si="2032">LN(DP690/DP689)</f>
        <v>2.6425990216022755E-2</v>
      </c>
    </row>
    <row r="691" spans="1:121" s="167" customFormat="1" ht="21" x14ac:dyDescent="0.35">
      <c r="A691" s="167" t="s">
        <v>74</v>
      </c>
      <c r="B691" s="168" t="s">
        <v>74</v>
      </c>
      <c r="C691" s="168">
        <v>4057130</v>
      </c>
      <c r="D691" s="168" t="s">
        <v>142</v>
      </c>
      <c r="E691" s="168"/>
      <c r="F691" s="168"/>
      <c r="G691" s="168" t="s">
        <v>11</v>
      </c>
      <c r="H691" s="169">
        <v>2005</v>
      </c>
      <c r="I691" s="170"/>
      <c r="J691" s="166">
        <f>IFERROR(INDEX('Labor Expenditures'!$F$7:$X$91,MATCH($C691,'Labor Expenditures'!$D$7:$D$91,0),MATCH($G691,'Labor Expenditures'!$F$5:$X$5,0)),"NA")</f>
        <v>17887.113512207841</v>
      </c>
      <c r="K691" s="166">
        <f t="shared" si="2026"/>
        <v>180.40457400108764</v>
      </c>
      <c r="L691" s="172"/>
      <c r="M691" s="172"/>
      <c r="N691" s="196"/>
      <c r="O691" s="172"/>
      <c r="P691" s="166">
        <f>IFERROR(INDEX('Non-Labor Expenditures'!$F$7:$AB$91,MATCH($C691,'Non-Labor Expenditures'!$D$7:$D$91,0),MATCH($G691,'Non-Labor Expenditures'!$F$5:$AB$5,0)),"NA")</f>
        <v>25903.881217645598</v>
      </c>
      <c r="Q691" s="166">
        <f t="shared" si="2027"/>
        <v>296.35934441916095</v>
      </c>
      <c r="R691" s="172"/>
      <c r="S691" s="172"/>
      <c r="T691" s="172"/>
      <c r="U691" s="172"/>
      <c r="V691" s="166">
        <f t="shared" si="2008"/>
        <v>15640.764301766905</v>
      </c>
      <c r="W691" s="170"/>
      <c r="X691" s="174">
        <v>970.66093926352619</v>
      </c>
      <c r="Y691" s="175">
        <v>2.4980941743880446E-2</v>
      </c>
      <c r="Z691" s="175"/>
      <c r="AA691" s="175"/>
      <c r="AB691" s="175"/>
      <c r="AC691" s="170">
        <f t="shared" si="1869"/>
        <v>59431.759031620342</v>
      </c>
      <c r="AD691" s="175">
        <f>LN(AC691/AC690)</f>
        <v>1.469060766049181</v>
      </c>
      <c r="AE691" s="170"/>
      <c r="AF691" s="170"/>
      <c r="AG691" s="174"/>
      <c r="AH691" s="119"/>
      <c r="AI691" s="175"/>
      <c r="AJ691" s="121"/>
      <c r="AK691" s="121"/>
      <c r="AL691" s="120">
        <f t="shared" si="2028"/>
        <v>0.30096893990115792</v>
      </c>
      <c r="AM691" s="120">
        <f t="shared" si="2029"/>
        <v>0.43585923822082362</v>
      </c>
      <c r="AN691" s="120">
        <f t="shared" si="2030"/>
        <v>0.26317182187801846</v>
      </c>
      <c r="AO691" s="120">
        <f t="shared" ref="AO691:AO707" si="2033">+(((AL691+AL690)/2)*L691+((AM690+AM691)/2)*R691+((AN690+AN691)/2)*Y691)</f>
        <v>1.5777610847423053E-2</v>
      </c>
      <c r="AP691" s="173">
        <v>100</v>
      </c>
      <c r="AQ691" s="175"/>
      <c r="AR691" s="120"/>
      <c r="AS691" s="120"/>
      <c r="AT691" s="120"/>
      <c r="AU691" s="120"/>
      <c r="AV691" s="120"/>
      <c r="AW691" s="120"/>
      <c r="AX691" s="120"/>
      <c r="AY691" s="120"/>
      <c r="AZ691" s="118">
        <f>IFERROR(INDEX('Total Customers'!$F$7:$AB$91,MATCH($C691,'Total Customers'!$D$7:$D$91,0),MATCH($G691,'Total Customers'!$F$5:$AB$5,0)),"NA")</f>
        <v>155511</v>
      </c>
      <c r="BA691" s="119">
        <f t="shared" si="2009"/>
        <v>1.0699368634571126E-2</v>
      </c>
      <c r="BB691" s="119"/>
      <c r="BC691" s="121"/>
      <c r="BD691" s="119"/>
      <c r="BE691" s="119"/>
      <c r="BF691" s="119"/>
      <c r="BG691" s="173"/>
      <c r="BH691" s="173"/>
      <c r="BI691" s="173"/>
      <c r="BJ691" s="173"/>
      <c r="BK691" s="173"/>
      <c r="BL691" s="173"/>
      <c r="BM691" s="173"/>
      <c r="BN691" s="173"/>
      <c r="BO691" s="173"/>
      <c r="BP691" s="173"/>
      <c r="BQ691" s="118"/>
      <c r="BR691" s="118"/>
      <c r="BS691" s="118">
        <f>INDEX('Dist. Plant Gas Additions'!$F$7:$AE$91,MATCH($C691,'Dist. Plant Gas Additions'!$D$7:$D$91,0),MATCH(Calculation!$G691,'Dist. Plant Gas Additions'!$F$5:$AE$5,0))</f>
        <v>12834</v>
      </c>
      <c r="BT691" s="118">
        <f>INDEX('Gen. Plant Additions'!$F$7:$AE$91,MATCH($C691,'Gen. Plant Additions'!$D$7:$D$91,0),MATCH(Calculation!$G691,'Gen. Plant Additions'!$F$5:$AE$5,0))</f>
        <v>1099</v>
      </c>
      <c r="BU691" s="118"/>
      <c r="BV691" s="118"/>
      <c r="BW691" s="118">
        <f>INDEX('Dist Plant Depreciation'!$E$7:$AD$94,MATCH($C691,'Dist Plant Depreciation'!$D$7:$D$94,0),MATCH(Calculation!$G691,'Dist Plant Depreciation'!$E$5:$AD$5,0))</f>
        <v>119745</v>
      </c>
      <c r="BX691" s="118">
        <f>INDEX('Gen. Plant Depreciation'!$E$7:$AD$94,MATCH($C691,'Gen. Plant Depreciation'!$D$7:$D$94,0),MATCH(Calculation!$G691,'Gen. Plant Depreciation'!$E$5:$AD$5,0))</f>
        <v>8500</v>
      </c>
      <c r="BY691" s="118"/>
      <c r="BZ691" s="118"/>
      <c r="CA691" s="118"/>
      <c r="CB691" s="118"/>
      <c r="CC691" s="118"/>
      <c r="CD691" s="118"/>
      <c r="CE691" s="118">
        <f>INDEX('Gross Dx Plant'!$E$7:$AD$91,MATCH($C691,'Gross Dx Plant'!$D$7:$D$91,0),MATCH(Calculation!$G691,'Gross Dx Plant'!$E$5:$AD$5,0))</f>
        <v>302787</v>
      </c>
      <c r="CF691" s="118">
        <f>INDEX('Gross Gen Plant'!$E$7:$AD$91,MATCH($C691,'Gross Gen Plant'!$D$7:$D$91,0),MATCH(Calculation!$G691,'Gross Gen Plant'!$E$5:$AD$5,0))</f>
        <v>16044</v>
      </c>
      <c r="CG691" s="118">
        <f t="shared" si="1923"/>
        <v>190586</v>
      </c>
      <c r="CH691" s="118"/>
      <c r="CI691" s="121">
        <v>2005</v>
      </c>
      <c r="CJ691" s="118"/>
      <c r="CK691" s="118"/>
      <c r="CL691" s="118"/>
      <c r="CM691" s="183"/>
      <c r="CN691" s="118">
        <f t="shared" si="2010"/>
        <v>13933</v>
      </c>
      <c r="CO691" s="118">
        <f t="shared" si="2011"/>
        <v>29.694900592149764</v>
      </c>
      <c r="CP691" s="186">
        <v>0.96174863387978138</v>
      </c>
      <c r="CQ691" s="118">
        <f>+CQ684*CP691+CO685*CP690+CO686*CP689+CO687*CP688+CO688*CP687+CO689*CP686+CO690*CP685+CO691</f>
        <v>970.66093926352619</v>
      </c>
      <c r="CR691" s="119">
        <f t="shared" si="2012"/>
        <v>2.4980941743880446E-2</v>
      </c>
      <c r="CS691" s="119"/>
      <c r="CT691" s="177">
        <f t="shared" si="2013"/>
        <v>6.0707283587793171E-3</v>
      </c>
      <c r="CU691" s="177">
        <f t="shared" si="2021"/>
        <v>5.8741673022385177E-3</v>
      </c>
      <c r="CV691" s="119">
        <f>VLOOKUP($H691,RoR!$E:$F,2,FALSE)</f>
        <v>5.2350000000000001E-2</v>
      </c>
      <c r="CW691" s="177">
        <v>3.1010403642454332E-2</v>
      </c>
      <c r="CX691" s="177">
        <f t="shared" si="2019"/>
        <v>2.1339596357545669E-2</v>
      </c>
      <c r="CY691" s="177">
        <f t="shared" si="2022"/>
        <v>2.5027774306295106E-2</v>
      </c>
      <c r="CZ691" s="177">
        <f t="shared" si="2023"/>
        <v>9.2129610649277341E-2</v>
      </c>
      <c r="DA691" s="187">
        <f t="shared" si="2014"/>
        <v>0.84971312500000007</v>
      </c>
      <c r="DB691" s="188">
        <f t="shared" si="2015"/>
        <v>0.97959983346802826</v>
      </c>
      <c r="DC691" s="188">
        <f t="shared" si="2016"/>
        <v>0.49744508118433622</v>
      </c>
      <c r="DD691" s="188">
        <f t="shared" si="2017"/>
        <v>0.87010519444335932</v>
      </c>
      <c r="DE691" s="188">
        <f t="shared" si="2018"/>
        <v>0.42399975420741998</v>
      </c>
      <c r="DF691" s="189">
        <f>INDEX('State Tax Lookup'!$D$7:$Z$91,MATCH(Calculation!$C691,'State Tax Lookup'!$B$7:$B$91,0),MATCH($H691,'State Tax Lookup'!$D$6:$Z$6,0))</f>
        <v>0.40076499999999998</v>
      </c>
      <c r="DG691" s="189">
        <v>0.375</v>
      </c>
      <c r="DH691" s="190">
        <f t="shared" si="2020"/>
        <v>16.52112066904937</v>
      </c>
      <c r="DI691" s="190"/>
      <c r="DJ691" s="177"/>
      <c r="DK691" s="189">
        <f>VLOOKUP($H691,RoR!$E:$F,2,FALSE)</f>
        <v>5.2350000000000001E-2</v>
      </c>
      <c r="DL691" s="191">
        <f>HLOOKUP($H691,'GDP-PI'!$D$8:$CQ$11,3,FALSE)</f>
        <v>3.1010403642454332E-2</v>
      </c>
      <c r="DM691" s="189">
        <f>VLOOKUP(H691,'HW Dx Data'!$E:$F,2,FALSE)</f>
        <v>469.20514034936258</v>
      </c>
      <c r="DN691" s="183">
        <f>VLOOKUP(H691,'ECI - Input Price'!$G$17:$H$37,2,FALSE)</f>
        <v>99.15</v>
      </c>
      <c r="DO691" s="177">
        <f t="shared" ref="DO691" si="2034">LN(DN691/DN690)</f>
        <v>3.046440632744625E-2</v>
      </c>
      <c r="DP691" s="183">
        <f>HLOOKUP(H691,'GDP-PI'!$8:$9,2,FALSE)</f>
        <v>87.406999999999996</v>
      </c>
      <c r="DQ691" s="177">
        <f t="shared" ref="DQ691" si="2035">LN(DP691/DP690)</f>
        <v>3.0539295810733648E-2</v>
      </c>
    </row>
    <row r="692" spans="1:121" s="167" customFormat="1" ht="21" x14ac:dyDescent="0.35">
      <c r="A692" s="167" t="s">
        <v>74</v>
      </c>
      <c r="B692" s="168" t="s">
        <v>74</v>
      </c>
      <c r="C692" s="168">
        <v>4057130</v>
      </c>
      <c r="D692" s="168" t="s">
        <v>142</v>
      </c>
      <c r="E692" s="168"/>
      <c r="F692" s="168"/>
      <c r="G692" s="168" t="s">
        <v>12</v>
      </c>
      <c r="H692" s="169">
        <v>2006</v>
      </c>
      <c r="I692" s="170"/>
      <c r="J692" s="166">
        <f>IFERROR(INDEX('Labor Expenditures'!$F$7:$X$91,MATCH($C692,'Labor Expenditures'!$D$7:$D$91,0),MATCH($G692,'Labor Expenditures'!$F$5:$X$5,0)),"NA")</f>
        <v>8158.5105712471286</v>
      </c>
      <c r="K692" s="166">
        <f t="shared" si="2026"/>
        <v>79.94620843946231</v>
      </c>
      <c r="L692" s="172">
        <f t="shared" ref="L692:L707" si="2036">LN(K692/K691)</f>
        <v>-0.81384794807171967</v>
      </c>
      <c r="M692" s="172">
        <f t="shared" ref="M692:M707" si="2037">+L692*AR692</f>
        <v>-3.6447615604854964E-3</v>
      </c>
      <c r="N692" s="196"/>
      <c r="O692" s="172"/>
      <c r="P692" s="166">
        <f>IFERROR(INDEX('Non-Labor Expenditures'!$F$7:$AB$91,MATCH($C692,'Non-Labor Expenditures'!$D$7:$D$91,0),MATCH($G692,'Non-Labor Expenditures'!$F$5:$AB$5,0)),"NA")</f>
        <v>11815.047106748405</v>
      </c>
      <c r="Q692" s="166">
        <f t="shared" si="2027"/>
        <v>131.17044992726431</v>
      </c>
      <c r="R692" s="172">
        <f t="shared" ref="R692:R707" si="2038">LN(Q692/Q691)</f>
        <v>-0.81507509750712537</v>
      </c>
      <c r="S692" s="172">
        <f>+R692*AR692</f>
        <v>-3.6502572640769787E-3</v>
      </c>
      <c r="T692" s="172"/>
      <c r="U692" s="172"/>
      <c r="V692" s="166">
        <f t="shared" si="2008"/>
        <v>15650.290242373589</v>
      </c>
      <c r="W692" s="170"/>
      <c r="X692" s="174">
        <v>983.65260685667295</v>
      </c>
      <c r="Y692" s="175">
        <v>1.3295572758942671E-2</v>
      </c>
      <c r="Z692" s="175">
        <f>+Y692*AR692</f>
        <v>5.9543299987729308E-5</v>
      </c>
      <c r="AA692" s="175"/>
      <c r="AB692" s="175"/>
      <c r="AC692" s="170">
        <f t="shared" si="1869"/>
        <v>35623.847920369124</v>
      </c>
      <c r="AD692" s="175">
        <f t="shared" ref="AD692:AD707" si="2039">LN(AC692/AC691)</f>
        <v>-0.51181344833027431</v>
      </c>
      <c r="AE692" s="170"/>
      <c r="AF692" s="170"/>
      <c r="AG692" s="121"/>
      <c r="AH692" s="119">
        <f>+AZ692/$BB$44</f>
        <v>4.452129776829428E-3</v>
      </c>
      <c r="AI692" s="119"/>
      <c r="AJ692" s="176">
        <f>+AH692*AG692</f>
        <v>0</v>
      </c>
      <c r="AK692" s="176">
        <f>+AI692*AG692</f>
        <v>0</v>
      </c>
      <c r="AL692" s="120">
        <f t="shared" si="2028"/>
        <v>0.22901822929078439</v>
      </c>
      <c r="AM692" s="120">
        <f t="shared" si="2029"/>
        <v>0.33166117071796608</v>
      </c>
      <c r="AN692" s="120">
        <f t="shared" si="2030"/>
        <v>0.43932059999124951</v>
      </c>
      <c r="AO692" s="120">
        <f t="shared" si="2033"/>
        <v>-0.52378785159906283</v>
      </c>
      <c r="AP692" s="173">
        <f>+AP691*EXP(AO692)</f>
        <v>59.227285201870252</v>
      </c>
      <c r="AQ692" s="175">
        <f>LN(AP692/AP691)</f>
        <v>-0.52378785159906283</v>
      </c>
      <c r="AR692" s="177">
        <f>+AC692/$AE$44</f>
        <v>4.4784306074877574E-3</v>
      </c>
      <c r="AS692" s="177">
        <f>+AR692*AQ692</f>
        <v>-2.3457475464314982E-3</v>
      </c>
      <c r="AT692" s="177"/>
      <c r="AU692" s="177"/>
      <c r="AV692" s="177"/>
      <c r="AW692" s="190"/>
      <c r="AX692" s="120"/>
      <c r="AY692" s="120"/>
      <c r="AZ692" s="118">
        <f>IFERROR(INDEX('Total Customers'!$F$7:$AB$91,MATCH($C692,'Total Customers'!$D$7:$D$91,0),MATCH($G692,'Total Customers'!$F$5:$AB$5,0)),"NA")</f>
        <v>156512</v>
      </c>
      <c r="BA692" s="119">
        <f t="shared" si="2009"/>
        <v>6.4162156897425862E-3</v>
      </c>
      <c r="BB692" s="119"/>
      <c r="BC692" s="121"/>
      <c r="BD692" s="119"/>
      <c r="BE692" s="119"/>
      <c r="BF692" s="119"/>
      <c r="BG692" s="173"/>
      <c r="BH692" s="173"/>
      <c r="BI692" s="173"/>
      <c r="BJ692" s="173"/>
      <c r="BK692" s="173"/>
      <c r="BL692" s="173"/>
      <c r="BM692" s="173"/>
      <c r="BN692" s="173"/>
      <c r="BO692" s="173"/>
      <c r="BP692" s="173"/>
      <c r="BQ692" s="118"/>
      <c r="BR692" s="118"/>
      <c r="BS692" s="118">
        <f>INDEX('Dist. Plant Gas Additions'!$F$7:$AE$91,MATCH($C692,'Dist. Plant Gas Additions'!$D$7:$D$91,0),MATCH(Calculation!$G692,'Dist. Plant Gas Additions'!$F$5:$AE$5,0))</f>
        <v>7710</v>
      </c>
      <c r="BT692" s="118">
        <f>INDEX('Gen. Plant Additions'!$F$7:$AE$91,MATCH($C692,'Gen. Plant Additions'!$D$7:$D$91,0),MATCH(Calculation!$G692,'Gen. Plant Additions'!$F$5:$AE$5,0))</f>
        <v>1086</v>
      </c>
      <c r="BU692" s="118"/>
      <c r="BV692" s="118"/>
      <c r="BW692" s="118">
        <f>INDEX('Dist Plant Depreciation'!$E$7:$AD$94,MATCH($C692,'Dist Plant Depreciation'!$D$7:$D$94,0),MATCH(Calculation!$G692,'Dist Plant Depreciation'!$E$5:$AD$5,0))</f>
        <v>124453</v>
      </c>
      <c r="BX692" s="118">
        <f>INDEX('Gen. Plant Depreciation'!$E$7:$AD$94,MATCH($C692,'Gen. Plant Depreciation'!$D$7:$D$94,0),MATCH(Calculation!$G692,'Gen. Plant Depreciation'!$E$5:$AD$5,0))</f>
        <v>8643</v>
      </c>
      <c r="BY692" s="118"/>
      <c r="BZ692" s="118"/>
      <c r="CA692" s="118"/>
      <c r="CB692" s="118"/>
      <c r="CC692" s="118"/>
      <c r="CD692" s="118"/>
      <c r="CE692" s="118">
        <f>INDEX('Gross Dx Plant'!$E$7:$AD$91,MATCH($C692,'Gross Dx Plant'!$D$7:$D$91,0),MATCH(Calculation!$G692,'Gross Dx Plant'!$E$5:$AD$5,0))</f>
        <v>313689</v>
      </c>
      <c r="CF692" s="118">
        <f>INDEX('Gross Gen Plant'!$E$7:$AD$91,MATCH($C692,'Gross Gen Plant'!$D$7:$D$91,0),MATCH(Calculation!$G692,'Gross Gen Plant'!$E$5:$AD$5,0))</f>
        <v>16114</v>
      </c>
      <c r="CG692" s="118">
        <f t="shared" si="1923"/>
        <v>196707</v>
      </c>
      <c r="CH692" s="119" t="e">
        <f>SUM(#REF!)/15</f>
        <v>#REF!</v>
      </c>
      <c r="CI692" s="121">
        <v>2006</v>
      </c>
      <c r="CJ692" s="118"/>
      <c r="CK692" s="118"/>
      <c r="CL692" s="118"/>
      <c r="CM692" s="183"/>
      <c r="CN692" s="118">
        <f t="shared" si="2010"/>
        <v>8796</v>
      </c>
      <c r="CO692" s="118">
        <f t="shared" si="2011"/>
        <v>19.076715066694533</v>
      </c>
      <c r="CP692" s="186">
        <v>0.9555555555555556</v>
      </c>
      <c r="CQ692" s="118">
        <f>+CQ684*CP692+CO685*CP691+CO686*CP690+CO687*CP689+CO688*CP688+CO689*CP687+CO690*CP686+CO691*CP685+CO692</f>
        <v>983.65260685667295</v>
      </c>
      <c r="CR692" s="119">
        <f t="shared" si="2012"/>
        <v>1.3295572758942671E-2</v>
      </c>
      <c r="CS692" s="119"/>
      <c r="CT692" s="177">
        <f t="shared" si="2013"/>
        <v>6.2689732608017679E-3</v>
      </c>
      <c r="CU692" s="177">
        <f t="shared" si="2021"/>
        <v>6.070133158190525E-3</v>
      </c>
      <c r="CV692" s="119">
        <f>VLOOKUP($H692,RoR!$E:$F,2,FALSE)</f>
        <v>5.5874999999999994E-2</v>
      </c>
      <c r="CW692" s="177">
        <v>3.0512430354548314E-2</v>
      </c>
      <c r="CX692" s="177">
        <f t="shared" si="2019"/>
        <v>2.536256964545168E-2</v>
      </c>
      <c r="CY692" s="177">
        <f t="shared" si="2022"/>
        <v>2.48318084503431E-2</v>
      </c>
      <c r="CZ692" s="177">
        <f t="shared" si="2023"/>
        <v>7.9087823893859641E-2</v>
      </c>
      <c r="DA692" s="187">
        <f t="shared" si="2014"/>
        <v>0.84971312500000007</v>
      </c>
      <c r="DB692" s="188">
        <f t="shared" si="2015"/>
        <v>0.91779957551769631</v>
      </c>
      <c r="DC692" s="188">
        <f t="shared" si="2016"/>
        <v>0.52757270693512304</v>
      </c>
      <c r="DD692" s="188">
        <f t="shared" si="2017"/>
        <v>0.88636824549024895</v>
      </c>
      <c r="DE692" s="188">
        <f t="shared" si="2018"/>
        <v>0.42918482841932087</v>
      </c>
      <c r="DF692" s="189">
        <f>INDEX('State Tax Lookup'!$D$7:$Z$91,MATCH(Calculation!$C692,'State Tax Lookup'!$B$7:$B$91,0),MATCH($H692,'State Tax Lookup'!$D$6:$Z$6,0))</f>
        <v>0.40076499999999998</v>
      </c>
      <c r="DG692" s="189">
        <v>0.375</v>
      </c>
      <c r="DH692" s="190">
        <f t="shared" si="2020"/>
        <v>16.123333709346543</v>
      </c>
      <c r="DI692" s="190">
        <v>15.651470515835802</v>
      </c>
      <c r="DJ692" s="177"/>
      <c r="DK692" s="189">
        <f>VLOOKUP($H692,RoR!$E:$F,2,FALSE)</f>
        <v>5.5874999999999994E-2</v>
      </c>
      <c r="DL692" s="191">
        <f>HLOOKUP($H692,'GDP-PI'!$D$8:$CQ$11,3,FALSE)</f>
        <v>3.0512430354548314E-2</v>
      </c>
      <c r="DM692" s="189">
        <f>VLOOKUP(H692,'HW Dx Data'!$E:$F,2,FALSE)</f>
        <v>461.08567272971823</v>
      </c>
      <c r="DN692" s="183">
        <f>VLOOKUP(H692,'ECI - Input Price'!$G$17:$H$37,2,FALSE)</f>
        <v>102.05</v>
      </c>
      <c r="DO692" s="177">
        <f t="shared" ref="DO692" si="2040">LN(DN692/DN691)</f>
        <v>2.8829034290048662E-2</v>
      </c>
      <c r="DP692" s="183">
        <f>HLOOKUP(H692,'GDP-PI'!$8:$9,2,FALSE)</f>
        <v>90.073999999999998</v>
      </c>
      <c r="DQ692" s="177">
        <f t="shared" ref="DQ692" si="2041">LN(DP692/DP691)</f>
        <v>3.005618372545445E-2</v>
      </c>
    </row>
    <row r="693" spans="1:121" s="167" customFormat="1" ht="21" x14ac:dyDescent="0.35">
      <c r="A693" s="167" t="s">
        <v>74</v>
      </c>
      <c r="B693" s="168" t="s">
        <v>74</v>
      </c>
      <c r="C693" s="168">
        <v>4057130</v>
      </c>
      <c r="D693" s="168" t="s">
        <v>142</v>
      </c>
      <c r="E693" s="168"/>
      <c r="F693" s="168"/>
      <c r="G693" s="168" t="s">
        <v>13</v>
      </c>
      <c r="H693" s="169">
        <v>2007</v>
      </c>
      <c r="I693" s="170"/>
      <c r="J693" s="166">
        <f>IFERROR(INDEX('Labor Expenditures'!$F$7:$X$91,MATCH($C693,'Labor Expenditures'!$D$7:$D$91,0),MATCH($G693,'Labor Expenditures'!$F$5:$X$5,0)),"NA")</f>
        <v>13715.707748635125</v>
      </c>
      <c r="K693" s="166">
        <f t="shared" si="2026"/>
        <v>130.34647420893441</v>
      </c>
      <c r="L693" s="172">
        <f t="shared" si="2036"/>
        <v>0.48884207735864321</v>
      </c>
      <c r="M693" s="172">
        <f t="shared" si="2037"/>
        <v>2.9436850063083312E-3</v>
      </c>
      <c r="N693" s="196"/>
      <c r="O693" s="172"/>
      <c r="P693" s="166">
        <f>IFERROR(INDEX('Non-Labor Expenditures'!$F$7:$AB$91,MATCH($C693,'Non-Labor Expenditures'!$D$7:$D$91,0),MATCH($G693,'Non-Labor Expenditures'!$F$5:$AB$5,0)),"NA")</f>
        <v>19862.906560865864</v>
      </c>
      <c r="Q693" s="166">
        <f t="shared" si="2027"/>
        <v>214.73876798272246</v>
      </c>
      <c r="R693" s="172">
        <f t="shared" si="2038"/>
        <v>0.4929246348093857</v>
      </c>
      <c r="S693" s="172">
        <f t="shared" ref="S693:S707" si="2042">+R693*AR693</f>
        <v>2.968269148532909E-3</v>
      </c>
      <c r="T693" s="172"/>
      <c r="U693" s="172"/>
      <c r="V693" s="166">
        <f t="shared" si="2008"/>
        <v>17015.887390231943</v>
      </c>
      <c r="W693" s="170"/>
      <c r="X693" s="174">
        <v>993.05495020129274</v>
      </c>
      <c r="Y693" s="175">
        <v>9.5132071723513217E-3</v>
      </c>
      <c r="Z693" s="175">
        <f t="shared" ref="Z693:Z707" si="2043">+Y693*AR693</f>
        <v>5.7286159707177103E-5</v>
      </c>
      <c r="AA693" s="175"/>
      <c r="AB693" s="175"/>
      <c r="AC693" s="170">
        <f t="shared" si="1869"/>
        <v>50594.501699732937</v>
      </c>
      <c r="AD693" s="175">
        <f t="shared" si="2039"/>
        <v>0.35082760934011908</v>
      </c>
      <c r="AE693" s="170"/>
      <c r="AF693" s="170"/>
      <c r="AG693" s="121">
        <f t="shared" ref="AG693:AG707" si="2044">+(AC693*1000)/AZ693</f>
        <v>320.45972409430482</v>
      </c>
      <c r="AH693" s="119">
        <f>+AZ693/$BB$45</f>
        <v>4.4573991579876819E-3</v>
      </c>
      <c r="AI693" s="119"/>
      <c r="AJ693" s="176">
        <f t="shared" ref="AJ693:AJ707" si="2045">+AH693*AG693</f>
        <v>1.428416904346919</v>
      </c>
      <c r="AK693" s="176">
        <f t="shared" ref="AK693:AK707" si="2046">+AI693*AG693</f>
        <v>0</v>
      </c>
      <c r="AL693" s="120">
        <f t="shared" si="2028"/>
        <v>0.27109087525033421</v>
      </c>
      <c r="AM693" s="120">
        <f t="shared" si="2029"/>
        <v>0.39259022015371903</v>
      </c>
      <c r="AN693" s="120">
        <f t="shared" si="2030"/>
        <v>0.33631890459594665</v>
      </c>
      <c r="AO693" s="120">
        <f t="shared" si="2033"/>
        <v>0.30442727261183211</v>
      </c>
      <c r="AP693" s="173">
        <f>+AP692*EXP(AO693)</f>
        <v>80.303210943862069</v>
      </c>
      <c r="AQ693" s="175">
        <f>LN(AP693/AP692)</f>
        <v>0.30442727261183206</v>
      </c>
      <c r="AR693" s="177">
        <f>+AC693/$AE$45</f>
        <v>6.0217504643092969E-3</v>
      </c>
      <c r="AS693" s="177">
        <f t="shared" ref="AS693:AS707" si="2047">+AR693*AQ693</f>
        <v>1.8331850701987125E-3</v>
      </c>
      <c r="AT693" s="177"/>
      <c r="AU693" s="177"/>
      <c r="AV693" s="177"/>
      <c r="AW693" s="190"/>
      <c r="AX693" s="120"/>
      <c r="AY693" s="120"/>
      <c r="AZ693" s="118">
        <f>IFERROR(INDEX('Total Customers'!$F$7:$AB$91,MATCH($C693,'Total Customers'!$D$7:$D$91,0),MATCH($G693,'Total Customers'!$F$5:$AB$5,0)),"NA")</f>
        <v>157881</v>
      </c>
      <c r="BA693" s="119">
        <f t="shared" si="2009"/>
        <v>8.7089003421401794E-3</v>
      </c>
      <c r="BB693" s="119"/>
      <c r="BC693" s="121"/>
      <c r="BD693" s="119"/>
      <c r="BE693" s="119"/>
      <c r="BF693" s="119"/>
      <c r="BG693" s="173"/>
      <c r="BH693" s="173"/>
      <c r="BI693" s="173"/>
      <c r="BJ693" s="173"/>
      <c r="BK693" s="173"/>
      <c r="BL693" s="173"/>
      <c r="BM693" s="173"/>
      <c r="BN693" s="173"/>
      <c r="BO693" s="173"/>
      <c r="BP693" s="173"/>
      <c r="BQ693" s="118"/>
      <c r="BR693" s="118"/>
      <c r="BS693" s="118">
        <f>INDEX('Dist. Plant Gas Additions'!$F$7:$AE$91,MATCH($C693,'Dist. Plant Gas Additions'!$D$7:$D$91,0),MATCH(Calculation!$G693,'Dist. Plant Gas Additions'!$F$5:$AE$5,0))</f>
        <v>6792</v>
      </c>
      <c r="BT693" s="118">
        <f>INDEX('Gen. Plant Additions'!$F$7:$AE$91,MATCH($C693,'Gen. Plant Additions'!$D$7:$D$91,0),MATCH(Calculation!$G693,'Gen. Plant Additions'!$F$5:$AE$5,0))</f>
        <v>1070</v>
      </c>
      <c r="BU693" s="118"/>
      <c r="BV693" s="118"/>
      <c r="BW693" s="118">
        <f>INDEX('Dist Plant Depreciation'!$E$7:$AD$94,MATCH($C693,'Dist Plant Depreciation'!$D$7:$D$94,0),MATCH(Calculation!$G693,'Dist Plant Depreciation'!$E$5:$AD$5,0))</f>
        <v>127799</v>
      </c>
      <c r="BX693" s="118">
        <f>INDEX('Gen. Plant Depreciation'!$E$7:$AD$94,MATCH($C693,'Gen. Plant Depreciation'!$D$7:$D$94,0),MATCH(Calculation!$G693,'Gen. Plant Depreciation'!$E$5:$AD$5,0))</f>
        <v>7832</v>
      </c>
      <c r="BY693" s="118"/>
      <c r="BZ693" s="118"/>
      <c r="CA693" s="118"/>
      <c r="CB693" s="118"/>
      <c r="CC693" s="118"/>
      <c r="CD693" s="118"/>
      <c r="CE693" s="118">
        <f>INDEX('Gross Dx Plant'!$E$7:$AD$91,MATCH($C693,'Gross Dx Plant'!$D$7:$D$91,0),MATCH(Calculation!$G693,'Gross Dx Plant'!$E$5:$AD$5,0))</f>
        <v>336008</v>
      </c>
      <c r="CF693" s="118">
        <f>INDEX('Gross Gen Plant'!$E$7:$AD$91,MATCH($C693,'Gross Gen Plant'!$D$7:$D$91,0),MATCH(Calculation!$G693,'Gross Gen Plant'!$E$5:$AD$5,0))</f>
        <v>15173</v>
      </c>
      <c r="CG693" s="118">
        <f t="shared" si="1923"/>
        <v>215550</v>
      </c>
      <c r="CH693" s="118"/>
      <c r="CI693" s="121">
        <v>2007</v>
      </c>
      <c r="CJ693" s="118"/>
      <c r="CK693" s="118"/>
      <c r="CL693" s="118"/>
      <c r="CM693" s="183"/>
      <c r="CN693" s="118">
        <f t="shared" si="2010"/>
        <v>7862</v>
      </c>
      <c r="CO693" s="118">
        <f t="shared" si="2011"/>
        <v>15.78644120086407</v>
      </c>
      <c r="CP693" s="186">
        <v>0.94915254237288138</v>
      </c>
      <c r="CQ693" s="118">
        <f>+CQ684*CP693+CO685*CP692+CO686*CP691+CO687*CP690+CO688*CP689+CO689*CP688+CO690*CP687+CO691*CP686+CO692*CP685+CO693</f>
        <v>993.05495020129274</v>
      </c>
      <c r="CR693" s="119">
        <f t="shared" si="2012"/>
        <v>9.5132071723513217E-3</v>
      </c>
      <c r="CS693" s="119"/>
      <c r="CT693" s="177">
        <f t="shared" si="2013"/>
        <v>6.4901956358811306E-3</v>
      </c>
      <c r="CU693" s="177">
        <f t="shared" si="2021"/>
        <v>6.2766324184874052E-3</v>
      </c>
      <c r="CV693" s="119">
        <f>VLOOKUP($H693,RoR!$E:$F,2,FALSE)</f>
        <v>5.5558333333333321E-2</v>
      </c>
      <c r="CW693" s="177">
        <v>2.691120634145272E-2</v>
      </c>
      <c r="CX693" s="177">
        <f t="shared" si="2019"/>
        <v>2.86471269918806E-2</v>
      </c>
      <c r="CY693" s="177">
        <f t="shared" si="2022"/>
        <v>2.462530919004622E-2</v>
      </c>
      <c r="CZ693" s="177">
        <f t="shared" si="2023"/>
        <v>6.4575155250632399E-2</v>
      </c>
      <c r="DA693" s="187">
        <f t="shared" si="2014"/>
        <v>0.84971312500000007</v>
      </c>
      <c r="DB693" s="188">
        <f t="shared" si="2015"/>
        <v>0.92303077153834634</v>
      </c>
      <c r="DC693" s="188">
        <f t="shared" si="2016"/>
        <v>0.52502249887505614</v>
      </c>
      <c r="DD693" s="188">
        <f t="shared" si="2017"/>
        <v>0.88499666072084604</v>
      </c>
      <c r="DE693" s="188">
        <f t="shared" si="2018"/>
        <v>0.42887993290280618</v>
      </c>
      <c r="DF693" s="189">
        <f>INDEX('State Tax Lookup'!$D$7:$Z$91,MATCH(Calculation!$C693,'State Tax Lookup'!$B$7:$B$91,0),MATCH($H693,'State Tax Lookup'!$D$6:$Z$6,0))</f>
        <v>0.40076499999999998</v>
      </c>
      <c r="DG693" s="189">
        <v>0.375</v>
      </c>
      <c r="DH693" s="190">
        <f t="shared" si="2020"/>
        <v>17.298675641807463</v>
      </c>
      <c r="DI693" s="190">
        <v>17.037029592226986</v>
      </c>
      <c r="DJ693" s="177"/>
      <c r="DK693" s="189">
        <f>VLOOKUP($H693,RoR!$E:$F,2,FALSE)</f>
        <v>5.5558333333333321E-2</v>
      </c>
      <c r="DL693" s="191">
        <f>HLOOKUP($H693,'GDP-PI'!$D$8:$CQ$11,3,FALSE)</f>
        <v>2.691120634145272E-2</v>
      </c>
      <c r="DM693" s="189">
        <f>VLOOKUP(H693,'HW Dx Data'!$E:$F,2,FALSE)</f>
        <v>498.0223154772637</v>
      </c>
      <c r="DN693" s="183">
        <f>VLOOKUP(H693,'ECI - Input Price'!$G$17:$H$37,2,FALSE)</f>
        <v>105.22500000000001</v>
      </c>
      <c r="DO693" s="177">
        <f t="shared" ref="DO693" si="2048">LN(DN693/DN692)</f>
        <v>3.0638025400780679E-2</v>
      </c>
      <c r="DP693" s="183">
        <f>HLOOKUP(H693,'GDP-PI'!$8:$9,2,FALSE)</f>
        <v>92.498000000000005</v>
      </c>
      <c r="DQ693" s="177">
        <f t="shared" ref="DQ693" si="2049">LN(DP693/DP692)</f>
        <v>2.6555467950038037E-2</v>
      </c>
    </row>
    <row r="694" spans="1:121" s="167" customFormat="1" ht="21" x14ac:dyDescent="0.35">
      <c r="A694" s="167" t="s">
        <v>74</v>
      </c>
      <c r="B694" s="168" t="s">
        <v>74</v>
      </c>
      <c r="C694" s="168">
        <v>4057130</v>
      </c>
      <c r="D694" s="168" t="s">
        <v>142</v>
      </c>
      <c r="E694" s="168"/>
      <c r="F694" s="168"/>
      <c r="G694" s="168" t="s">
        <v>14</v>
      </c>
      <c r="H694" s="169">
        <v>2008</v>
      </c>
      <c r="I694" s="170"/>
      <c r="J694" s="166">
        <f>IFERROR(INDEX('Labor Expenditures'!$F$7:$X$91,MATCH($C694,'Labor Expenditures'!$D$7:$D$91,0),MATCH($G694,'Labor Expenditures'!$F$5:$X$5,0)),"NA")</f>
        <v>16162.11949267045</v>
      </c>
      <c r="K694" s="166">
        <f t="shared" si="2026"/>
        <v>149.33813345040841</v>
      </c>
      <c r="L694" s="172">
        <f t="shared" si="2036"/>
        <v>0.13601699550417423</v>
      </c>
      <c r="M694" s="172">
        <f t="shared" si="2037"/>
        <v>8.9430391842702122E-4</v>
      </c>
      <c r="N694" s="196"/>
      <c r="O694" s="172"/>
      <c r="P694" s="166">
        <f>IFERROR(INDEX('Non-Labor Expenditures'!$F$7:$AB$91,MATCH($C694,'Non-Labor Expenditures'!$D$7:$D$91,0),MATCH($G694,'Non-Labor Expenditures'!$F$5:$AB$5,0)),"NA")</f>
        <v>23405.767692914567</v>
      </c>
      <c r="Q694" s="166">
        <f t="shared" si="2027"/>
        <v>248.30017496514648</v>
      </c>
      <c r="R694" s="172">
        <f t="shared" si="2038"/>
        <v>0.14521614042755213</v>
      </c>
      <c r="S694" s="172">
        <f t="shared" si="2042"/>
        <v>9.5478776693919056E-4</v>
      </c>
      <c r="T694" s="172"/>
      <c r="U694" s="172"/>
      <c r="V694" s="166">
        <f t="shared" si="2008"/>
        <v>19488.545106754013</v>
      </c>
      <c r="W694" s="170"/>
      <c r="X694" s="174">
        <v>1004.5628412627908</v>
      </c>
      <c r="Y694" s="175">
        <v>1.1521741963804524E-2</v>
      </c>
      <c r="Z694" s="175">
        <f t="shared" si="2043"/>
        <v>7.5754790400580578E-5</v>
      </c>
      <c r="AA694" s="175"/>
      <c r="AB694" s="175"/>
      <c r="AC694" s="170">
        <f t="shared" si="1869"/>
        <v>59056.432292339028</v>
      </c>
      <c r="AD694" s="175">
        <f t="shared" si="2039"/>
        <v>0.15465055797315638</v>
      </c>
      <c r="AE694" s="170"/>
      <c r="AF694" s="170"/>
      <c r="AG694" s="121">
        <f t="shared" si="2044"/>
        <v>373.17497372792491</v>
      </c>
      <c r="AH694" s="119">
        <f>+AZ694/$BB$46</f>
        <v>4.444107468631696E-3</v>
      </c>
      <c r="AI694" s="119"/>
      <c r="AJ694" s="176">
        <f t="shared" si="2045"/>
        <v>1.6584296878507081</v>
      </c>
      <c r="AK694" s="176">
        <f t="shared" si="2046"/>
        <v>0</v>
      </c>
      <c r="AL694" s="120">
        <f t="shared" si="2028"/>
        <v>0.27367246657680416</v>
      </c>
      <c r="AM694" s="120">
        <f t="shared" si="2029"/>
        <v>0.39632884656919637</v>
      </c>
      <c r="AN694" s="120">
        <f t="shared" si="2030"/>
        <v>0.32999868685399952</v>
      </c>
      <c r="AO694" s="120">
        <f t="shared" si="2033"/>
        <v>9.8168997174989531E-2</v>
      </c>
      <c r="AP694" s="173">
        <f t="shared" ref="AP694:AP707" si="2050">+AP693*EXP(AO694)</f>
        <v>88.586422786046526</v>
      </c>
      <c r="AQ694" s="175">
        <f t="shared" ref="AQ694:AQ707" si="2051">LN(AP694/AP693)</f>
        <v>9.8168997174989614E-2</v>
      </c>
      <c r="AR694" s="177">
        <f>+AC694/$AE$46</f>
        <v>6.5749424556255246E-3</v>
      </c>
      <c r="AS694" s="177">
        <f t="shared" si="2047"/>
        <v>6.4545550735202136E-4</v>
      </c>
      <c r="AT694" s="177"/>
      <c r="AU694" s="177"/>
      <c r="AV694" s="177"/>
      <c r="AW694" s="190"/>
      <c r="AX694" s="120"/>
      <c r="AY694" s="120"/>
      <c r="AZ694" s="118">
        <f>IFERROR(INDEX('Total Customers'!$F$7:$AB$91,MATCH($C694,'Total Customers'!$D$7:$D$91,0),MATCH($G694,'Total Customers'!$F$5:$AB$5,0)),"NA")</f>
        <v>158254</v>
      </c>
      <c r="BA694" s="119">
        <f t="shared" si="2009"/>
        <v>2.359752467049911E-3</v>
      </c>
      <c r="BB694" s="119"/>
      <c r="BC694" s="121"/>
      <c r="BD694" s="119"/>
      <c r="BE694" s="119"/>
      <c r="BF694" s="119"/>
      <c r="BG694" s="173"/>
      <c r="BH694" s="173"/>
      <c r="BI694" s="173"/>
      <c r="BJ694" s="173"/>
      <c r="BK694" s="173"/>
      <c r="BL694" s="173"/>
      <c r="BM694" s="173"/>
      <c r="BN694" s="173"/>
      <c r="BO694" s="173"/>
      <c r="BP694" s="173"/>
      <c r="BQ694" s="118"/>
      <c r="BR694" s="118"/>
      <c r="BS694" s="118">
        <f>INDEX('Dist. Plant Gas Additions'!$F$7:$AE$91,MATCH($C694,'Dist. Plant Gas Additions'!$D$7:$D$91,0),MATCH(Calculation!$G694,'Dist. Plant Gas Additions'!$F$5:$AE$5,0))</f>
        <v>9519</v>
      </c>
      <c r="BT694" s="118">
        <f>INDEX('Gen. Plant Additions'!$F$7:$AE$91,MATCH($C694,'Gen. Plant Additions'!$D$7:$D$91,0),MATCH(Calculation!$G694,'Gen. Plant Additions'!$F$5:$AE$5,0))</f>
        <v>846</v>
      </c>
      <c r="BU694" s="118"/>
      <c r="BV694" s="118"/>
      <c r="BW694" s="118">
        <f>INDEX('Dist Plant Depreciation'!$E$7:$AD$94,MATCH($C694,'Dist Plant Depreciation'!$D$7:$D$94,0),MATCH(Calculation!$G694,'Dist Plant Depreciation'!$E$5:$AD$5,0))</f>
        <v>132473</v>
      </c>
      <c r="BX694" s="118">
        <f>INDEX('Gen. Plant Depreciation'!$E$7:$AD$94,MATCH($C694,'Gen. Plant Depreciation'!$D$7:$D$94,0),MATCH(Calculation!$G694,'Gen. Plant Depreciation'!$E$5:$AD$5,0))</f>
        <v>8678</v>
      </c>
      <c r="BY694" s="118"/>
      <c r="BZ694" s="118"/>
      <c r="CA694" s="118"/>
      <c r="CB694" s="118"/>
      <c r="CC694" s="118"/>
      <c r="CD694" s="118"/>
      <c r="CE694" s="118">
        <f>INDEX('Gross Dx Plant'!$E$7:$AD$91,MATCH($C694,'Gross Dx Plant'!$D$7:$D$91,0),MATCH(Calculation!$G694,'Gross Dx Plant'!$E$5:$AD$5,0))</f>
        <v>343486</v>
      </c>
      <c r="CF694" s="118">
        <f>INDEX('Gross Gen Plant'!$E$7:$AD$91,MATCH($C694,'Gross Gen Plant'!$D$7:$D$91,0),MATCH(Calculation!$G694,'Gross Gen Plant'!$E$5:$AD$5,0))</f>
        <v>15771</v>
      </c>
      <c r="CG694" s="118">
        <f t="shared" si="1923"/>
        <v>218106</v>
      </c>
      <c r="CH694" s="118"/>
      <c r="CI694" s="121">
        <v>2008</v>
      </c>
      <c r="CJ694" s="118"/>
      <c r="CK694" s="118"/>
      <c r="CL694" s="118"/>
      <c r="CM694" s="183"/>
      <c r="CN694" s="118">
        <f t="shared" si="2010"/>
        <v>10365</v>
      </c>
      <c r="CO694" s="118">
        <f t="shared" si="2011"/>
        <v>18.188001182246886</v>
      </c>
      <c r="CP694" s="186">
        <v>0.94252873563218387</v>
      </c>
      <c r="CQ694" s="118">
        <f>+CQ684*CP694+CO685*CP693+CO686*CP692+CO687*CP691+CO688*CP690+CO689*CP689+CO690*CP688+CO691*CP687+CO692*CP686+CO693*CP685+CO694</f>
        <v>1004.5628412627908</v>
      </c>
      <c r="CR694" s="119">
        <f t="shared" si="2012"/>
        <v>1.1521741963804524E-2</v>
      </c>
      <c r="CS694" s="119"/>
      <c r="CT694" s="177">
        <f t="shared" si="2013"/>
        <v>6.7268282781277637E-3</v>
      </c>
      <c r="CU694" s="177">
        <f t="shared" si="2021"/>
        <v>6.4953323916035546E-3</v>
      </c>
      <c r="CV694" s="119">
        <f>VLOOKUP($H694,RoR!$E:$F,2,FALSE)</f>
        <v>5.6316666666666668E-2</v>
      </c>
      <c r="CW694" s="177">
        <v>1.9092304698479889E-2</v>
      </c>
      <c r="CX694" s="177">
        <f t="shared" si="2019"/>
        <v>3.7224361968186778E-2</v>
      </c>
      <c r="CY694" s="177">
        <f t="shared" si="2022"/>
        <v>2.440660921693007E-2</v>
      </c>
      <c r="CZ694" s="177">
        <f t="shared" si="2023"/>
        <v>6.9030581091053131E-2</v>
      </c>
      <c r="DA694" s="187">
        <f t="shared" si="2014"/>
        <v>0.84971312500000007</v>
      </c>
      <c r="DB694" s="188">
        <f t="shared" si="2015"/>
        <v>0.91060168006009956</v>
      </c>
      <c r="DC694" s="188">
        <f t="shared" si="2016"/>
        <v>0.53108168097070152</v>
      </c>
      <c r="DD694" s="188">
        <f t="shared" si="2017"/>
        <v>0.88825329850328805</v>
      </c>
      <c r="DE694" s="188">
        <f t="shared" si="2018"/>
        <v>0.4295627335323573</v>
      </c>
      <c r="DF694" s="189">
        <f>INDEX('State Tax Lookup'!$D$7:$Z$91,MATCH(Calculation!$C694,'State Tax Lookup'!$B$7:$B$91,0),MATCH($H694,'State Tax Lookup'!$D$6:$Z$6,0))</f>
        <v>0.40076499999999998</v>
      </c>
      <c r="DG694" s="189">
        <v>0.375</v>
      </c>
      <c r="DH694" s="190">
        <f t="shared" si="2020"/>
        <v>19.624840602026779</v>
      </c>
      <c r="DI694" s="190">
        <v>19.326462911608523</v>
      </c>
      <c r="DJ694" s="177"/>
      <c r="DK694" s="189">
        <f>VLOOKUP($H694,RoR!$E:$F,2,FALSE)</f>
        <v>5.6316666666666668E-2</v>
      </c>
      <c r="DL694" s="191">
        <f>HLOOKUP($H694,'GDP-PI'!$D$8:$CQ$11,3,FALSE)</f>
        <v>1.9092304698479889E-2</v>
      </c>
      <c r="DM694" s="189">
        <f>VLOOKUP(H694,'HW Dx Data'!$E:$F,2,FALSE)</f>
        <v>569.88120333515076</v>
      </c>
      <c r="DN694" s="183">
        <f>VLOOKUP(H694,'ECI - Input Price'!$G$17:$H$37,2,FALSE)</f>
        <v>108.22499999999999</v>
      </c>
      <c r="DO694" s="177">
        <f t="shared" ref="DO694" si="2052">LN(DN694/DN693)</f>
        <v>2.8111478671409691E-2</v>
      </c>
      <c r="DP694" s="183">
        <f>HLOOKUP(H694,'GDP-PI'!$8:$9,2,FALSE)</f>
        <v>94.263999999999996</v>
      </c>
      <c r="DQ694" s="177">
        <f t="shared" ref="DQ694" si="2053">LN(DP694/DP693)</f>
        <v>1.8912333748032254E-2</v>
      </c>
    </row>
    <row r="695" spans="1:121" s="167" customFormat="1" ht="21" x14ac:dyDescent="0.35">
      <c r="A695" s="167" t="s">
        <v>74</v>
      </c>
      <c r="B695" s="168" t="s">
        <v>74</v>
      </c>
      <c r="C695" s="168">
        <v>4057130</v>
      </c>
      <c r="D695" s="168" t="s">
        <v>142</v>
      </c>
      <c r="E695" s="168"/>
      <c r="F695" s="168"/>
      <c r="G695" s="168" t="s">
        <v>15</v>
      </c>
      <c r="H695" s="169">
        <v>2009</v>
      </c>
      <c r="I695" s="170"/>
      <c r="J695" s="166">
        <f>IFERROR(INDEX('Labor Expenditures'!$F$7:$X$91,MATCH($C695,'Labor Expenditures'!$D$7:$D$91,0),MATCH($G695,'Labor Expenditures'!$F$5:$X$5,0)),"NA")</f>
        <v>17094.090313365698</v>
      </c>
      <c r="K695" s="166">
        <f t="shared" si="2026"/>
        <v>155.71933785803415</v>
      </c>
      <c r="L695" s="172">
        <f t="shared" si="2036"/>
        <v>4.1842183729994605E-2</v>
      </c>
      <c r="M695" s="172">
        <f t="shared" si="2037"/>
        <v>2.7122321000419563E-4</v>
      </c>
      <c r="N695" s="196"/>
      <c r="O695" s="172"/>
      <c r="P695" s="166">
        <f>IFERROR(INDEX('Non-Labor Expenditures'!$F$7:$AB$91,MATCH($C695,'Non-Labor Expenditures'!$D$7:$D$91,0),MATCH($G695,'Non-Labor Expenditures'!$F$5:$AB$5,0)),"NA")</f>
        <v>24755.435509419724</v>
      </c>
      <c r="Q695" s="166">
        <f t="shared" si="2027"/>
        <v>260.58627469152015</v>
      </c>
      <c r="R695" s="172">
        <f t="shared" si="2038"/>
        <v>4.8295598031421749E-2</v>
      </c>
      <c r="S695" s="172">
        <f t="shared" si="2042"/>
        <v>3.1305457697143493E-4</v>
      </c>
      <c r="T695" s="172"/>
      <c r="U695" s="172"/>
      <c r="V695" s="166">
        <f t="shared" si="2008"/>
        <v>18880.076860915859</v>
      </c>
      <c r="W695" s="170"/>
      <c r="X695" s="174">
        <v>1011.3538504110752</v>
      </c>
      <c r="Y695" s="175">
        <v>6.7374161490666353E-3</v>
      </c>
      <c r="Z695" s="175">
        <f t="shared" si="2043"/>
        <v>4.367228170679883E-5</v>
      </c>
      <c r="AA695" s="175"/>
      <c r="AB695" s="175"/>
      <c r="AC695" s="170">
        <f t="shared" si="1869"/>
        <v>60729.602683701276</v>
      </c>
      <c r="AD695" s="175">
        <f t="shared" si="2039"/>
        <v>2.7937801246425774E-2</v>
      </c>
      <c r="AE695" s="170"/>
      <c r="AF695" s="170"/>
      <c r="AG695" s="121">
        <f t="shared" si="2044"/>
        <v>384.36214127569622</v>
      </c>
      <c r="AH695" s="119">
        <f>+AZ695/$BB$47</f>
        <v>4.4306006952500336E-3</v>
      </c>
      <c r="AI695" s="119"/>
      <c r="AJ695" s="176">
        <f t="shared" si="2045"/>
        <v>1.7029551703638912</v>
      </c>
      <c r="AK695" s="176">
        <f t="shared" si="2046"/>
        <v>0</v>
      </c>
      <c r="AL695" s="120">
        <f t="shared" si="2028"/>
        <v>0.28147871150083187</v>
      </c>
      <c r="AM695" s="120">
        <f t="shared" si="2029"/>
        <v>0.40763374722462387</v>
      </c>
      <c r="AN695" s="120">
        <f t="shared" si="2030"/>
        <v>0.31088754127454432</v>
      </c>
      <c r="AO695" s="120">
        <f t="shared" si="2033"/>
        <v>3.3187254538160307E-2</v>
      </c>
      <c r="AP695" s="173">
        <f t="shared" si="2050"/>
        <v>91.575691398359353</v>
      </c>
      <c r="AQ695" s="175">
        <f t="shared" si="2051"/>
        <v>3.3187254538160217E-2</v>
      </c>
      <c r="AR695" s="177">
        <f>+AC695/$AE$47</f>
        <v>6.4820519826208076E-3</v>
      </c>
      <c r="AS695" s="177">
        <f t="shared" si="2047"/>
        <v>2.1512150907682283E-4</v>
      </c>
      <c r="AT695" s="177"/>
      <c r="AU695" s="177"/>
      <c r="AV695" s="177"/>
      <c r="AW695" s="190"/>
      <c r="AX695" s="120"/>
      <c r="AY695" s="120"/>
      <c r="AZ695" s="118">
        <f>IFERROR(INDEX('Total Customers'!$F$7:$AB$91,MATCH($C695,'Total Customers'!$D$7:$D$91,0),MATCH($G695,'Total Customers'!$F$5:$AB$5,0)),"NA")</f>
        <v>158001</v>
      </c>
      <c r="BA695" s="119">
        <f t="shared" si="2009"/>
        <v>-1.5999750452745393E-3</v>
      </c>
      <c r="BB695" s="119"/>
      <c r="BC695" s="121"/>
      <c r="BD695" s="119"/>
      <c r="BE695" s="119"/>
      <c r="BF695" s="119"/>
      <c r="BG695" s="173"/>
      <c r="BH695" s="173"/>
      <c r="BI695" s="173"/>
      <c r="BJ695" s="173"/>
      <c r="BK695" s="173"/>
      <c r="BL695" s="173"/>
      <c r="BM695" s="173"/>
      <c r="BN695" s="173"/>
      <c r="BO695" s="173"/>
      <c r="BP695" s="173"/>
      <c r="BQ695" s="118"/>
      <c r="BR695" s="118"/>
      <c r="BS695" s="118">
        <f>INDEX('Dist. Plant Gas Additions'!$F$7:$AE$91,MATCH($C695,'Dist. Plant Gas Additions'!$D$7:$D$91,0),MATCH(Calculation!$G695,'Dist. Plant Gas Additions'!$F$5:$AE$5,0))</f>
        <v>6411</v>
      </c>
      <c r="BT695" s="118">
        <f>INDEX('Gen. Plant Additions'!$F$7:$AE$91,MATCH($C695,'Gen. Plant Additions'!$D$7:$D$91,0),MATCH(Calculation!$G695,'Gen. Plant Additions'!$F$5:$AE$5,0))</f>
        <v>1188</v>
      </c>
      <c r="BU695" s="118"/>
      <c r="BV695" s="118"/>
      <c r="BW695" s="118">
        <f>INDEX('Dist Plant Depreciation'!$E$7:$AD$94,MATCH($C695,'Dist Plant Depreciation'!$D$7:$D$94,0),MATCH(Calculation!$G695,'Dist Plant Depreciation'!$E$5:$AD$5,0))</f>
        <v>134822</v>
      </c>
      <c r="BX695" s="118">
        <f>INDEX('Gen. Plant Depreciation'!$E$7:$AD$94,MATCH($C695,'Gen. Plant Depreciation'!$D$7:$D$94,0),MATCH(Calculation!$G695,'Gen. Plant Depreciation'!$E$5:$AD$5,0))</f>
        <v>9230</v>
      </c>
      <c r="BY695" s="118"/>
      <c r="BZ695" s="118"/>
      <c r="CA695" s="118"/>
      <c r="CB695" s="118"/>
      <c r="CC695" s="118"/>
      <c r="CD695" s="118"/>
      <c r="CE695" s="118">
        <f>INDEX('Gross Dx Plant'!$E$7:$AD$91,MATCH($C695,'Gross Dx Plant'!$D$7:$D$91,0),MATCH(Calculation!$G695,'Gross Dx Plant'!$E$5:$AD$5,0))</f>
        <v>347426</v>
      </c>
      <c r="CF695" s="118">
        <f>INDEX('Gross Gen Plant'!$E$7:$AD$91,MATCH($C695,'Gross Gen Plant'!$D$7:$D$91,0),MATCH(Calculation!$G695,'Gross Gen Plant'!$E$5:$AD$5,0))</f>
        <v>16203</v>
      </c>
      <c r="CG695" s="118">
        <f t="shared" si="1923"/>
        <v>219577</v>
      </c>
      <c r="CH695" s="118"/>
      <c r="CI695" s="121">
        <v>2009</v>
      </c>
      <c r="CJ695" s="118"/>
      <c r="CK695" s="118"/>
      <c r="CL695" s="118"/>
      <c r="CM695" s="183"/>
      <c r="CN695" s="118">
        <f t="shared" si="2010"/>
        <v>7599</v>
      </c>
      <c r="CO695" s="118">
        <f t="shared" si="2011"/>
        <v>13.792774561301648</v>
      </c>
      <c r="CP695" s="186">
        <v>0.93567251461988299</v>
      </c>
      <c r="CQ695" s="118">
        <f>+CQ684*CP695+CO685*CP694+CO686*CP693+CO687*CP692+CO688*CP691+CO689*CP690+CO690*CP689+CO691*CP688+CO692*CP687+CO693*CP686+CO694*CP685+CO695</f>
        <v>1011.3538504110752</v>
      </c>
      <c r="CR695" s="119">
        <f t="shared" si="2012"/>
        <v>6.7374161490666353E-3</v>
      </c>
      <c r="CS695" s="119"/>
      <c r="CT695" s="177">
        <f t="shared" si="2013"/>
        <v>6.9699625801564148E-3</v>
      </c>
      <c r="CU695" s="177">
        <f t="shared" si="2021"/>
        <v>6.728995498055103E-3</v>
      </c>
      <c r="CV695" s="119">
        <f>VLOOKUP($H695,RoR!$E:$F,2,FALSE)</f>
        <v>5.3133333333333324E-2</v>
      </c>
      <c r="CW695" s="177">
        <v>7.7972502758210105E-3</v>
      </c>
      <c r="CX695" s="177">
        <f t="shared" si="2019"/>
        <v>4.5336083057512314E-2</v>
      </c>
      <c r="CY695" s="177">
        <f t="shared" si="2022"/>
        <v>2.4172946110478523E-2</v>
      </c>
      <c r="CZ695" s="177">
        <f t="shared" si="2023"/>
        <v>6.3720160300892073E-2</v>
      </c>
      <c r="DA695" s="187">
        <f t="shared" si="2014"/>
        <v>0.84971312500000007</v>
      </c>
      <c r="DB695" s="188">
        <f t="shared" si="2015"/>
        <v>0.96515780330083989</v>
      </c>
      <c r="DC695" s="188">
        <f t="shared" si="2016"/>
        <v>0.50448557089084056</v>
      </c>
      <c r="DD695" s="188">
        <f t="shared" si="2017"/>
        <v>0.87391435735465484</v>
      </c>
      <c r="DE695" s="188">
        <f t="shared" si="2018"/>
        <v>0.42551605393279146</v>
      </c>
      <c r="DF695" s="189">
        <f>INDEX('State Tax Lookup'!$D$7:$Z$91,MATCH(Calculation!$C695,'State Tax Lookup'!$B$7:$B$91,0),MATCH($H695,'State Tax Lookup'!$D$6:$Z$6,0))</f>
        <v>0.40076499999999998</v>
      </c>
      <c r="DG695" s="189">
        <v>0.375</v>
      </c>
      <c r="DH695" s="190">
        <f t="shared" si="2020"/>
        <v>18.794321355926886</v>
      </c>
      <c r="DI695" s="190">
        <v>18.436355779561147</v>
      </c>
      <c r="DJ695" s="177"/>
      <c r="DK695" s="189">
        <f>VLOOKUP($H695,RoR!$E:$F,2,FALSE)</f>
        <v>5.3133333333333324E-2</v>
      </c>
      <c r="DL695" s="191">
        <f>HLOOKUP($H695,'GDP-PI'!$D$8:$CQ$11,3,FALSE)</f>
        <v>7.7972502758210105E-3</v>
      </c>
      <c r="DM695" s="189">
        <f>VLOOKUP(H695,'HW Dx Data'!$E:$F,2,FALSE)</f>
        <v>550.94063679692806</v>
      </c>
      <c r="DN695" s="183">
        <f>VLOOKUP(H695,'ECI - Input Price'!$G$17:$H$37,2,FALSE)</f>
        <v>109.77499999999999</v>
      </c>
      <c r="DO695" s="177">
        <f t="shared" ref="DO695" si="2054">LN(DN695/DN694)</f>
        <v>1.4220423119736749E-2</v>
      </c>
      <c r="DP695" s="183">
        <f>HLOOKUP(H695,'GDP-PI'!$8:$9,2,FALSE)</f>
        <v>94.998999999999995</v>
      </c>
      <c r="DQ695" s="177">
        <f t="shared" ref="DQ695" si="2055">LN(DP695/DP694)</f>
        <v>7.7670088183096342E-3</v>
      </c>
    </row>
    <row r="696" spans="1:121" s="167" customFormat="1" ht="21" x14ac:dyDescent="0.35">
      <c r="A696" s="167" t="s">
        <v>74</v>
      </c>
      <c r="B696" s="168" t="s">
        <v>74</v>
      </c>
      <c r="C696" s="168">
        <v>4057130</v>
      </c>
      <c r="D696" s="168" t="s">
        <v>142</v>
      </c>
      <c r="E696" s="168"/>
      <c r="F696" s="168"/>
      <c r="G696" s="168" t="s">
        <v>16</v>
      </c>
      <c r="H696" s="169">
        <v>2010</v>
      </c>
      <c r="I696" s="170"/>
      <c r="J696" s="166">
        <f>IFERROR(INDEX('Labor Expenditures'!$F$7:$X$91,MATCH($C696,'Labor Expenditures'!$D$7:$D$91,0),MATCH($G696,'Labor Expenditures'!$F$5:$X$5,0)),"NA")</f>
        <v>19317.156288614809</v>
      </c>
      <c r="K696" s="166">
        <f t="shared" si="2026"/>
        <v>172.66731878091448</v>
      </c>
      <c r="L696" s="172">
        <f t="shared" si="2036"/>
        <v>0.10331145970628253</v>
      </c>
      <c r="M696" s="172">
        <f t="shared" si="2037"/>
        <v>7.1006848126395252E-4</v>
      </c>
      <c r="N696" s="196"/>
      <c r="O696" s="172"/>
      <c r="P696" s="166">
        <f>IFERROR(INDEX('Non-Labor Expenditures'!$F$7:$AB$91,MATCH($C696,'Non-Labor Expenditures'!$D$7:$D$91,0),MATCH($G696,'Non-Labor Expenditures'!$F$5:$AB$5,0)),"NA")</f>
        <v>27974.850253030549</v>
      </c>
      <c r="Q696" s="166">
        <f t="shared" si="2027"/>
        <v>291.074199638229</v>
      </c>
      <c r="R696" s="172">
        <f t="shared" si="2038"/>
        <v>0.1106442210463703</v>
      </c>
      <c r="S696" s="172">
        <f t="shared" si="2042"/>
        <v>7.6046717588147249E-4</v>
      </c>
      <c r="T696" s="172"/>
      <c r="U696" s="172"/>
      <c r="V696" s="166">
        <f t="shared" si="2008"/>
        <v>19453.615834190463</v>
      </c>
      <c r="W696" s="170"/>
      <c r="X696" s="174">
        <v>1021.7424019410886</v>
      </c>
      <c r="Y696" s="175">
        <v>1.0219527906543688E-2</v>
      </c>
      <c r="Z696" s="175">
        <f t="shared" si="2043"/>
        <v>7.0239687644184679E-5</v>
      </c>
      <c r="AA696" s="175"/>
      <c r="AB696" s="175"/>
      <c r="AC696" s="170">
        <f t="shared" si="1869"/>
        <v>66745.622375835825</v>
      </c>
      <c r="AD696" s="175">
        <f t="shared" si="2039"/>
        <v>9.4457445197019374E-2</v>
      </c>
      <c r="AE696" s="170"/>
      <c r="AF696" s="170"/>
      <c r="AG696" s="121">
        <f t="shared" si="2044"/>
        <v>422.83672285327913</v>
      </c>
      <c r="AH696" s="119">
        <f>+AZ696/$BB$48</f>
        <v>4.4020545154910655E-3</v>
      </c>
      <c r="AI696" s="119"/>
      <c r="AJ696" s="176">
        <f t="shared" si="2045"/>
        <v>1.8613503051517215</v>
      </c>
      <c r="AK696" s="176">
        <f t="shared" si="2046"/>
        <v>0</v>
      </c>
      <c r="AL696" s="120">
        <f t="shared" si="2028"/>
        <v>0.28941458032771711</v>
      </c>
      <c r="AM696" s="120">
        <f t="shared" si="2029"/>
        <v>0.41912636750179427</v>
      </c>
      <c r="AN696" s="120">
        <f t="shared" si="2030"/>
        <v>0.29145905217048856</v>
      </c>
      <c r="AO696" s="120">
        <f t="shared" si="2033"/>
        <v>7.8305873011283722E-2</v>
      </c>
      <c r="AP696" s="173">
        <f t="shared" si="2050"/>
        <v>99.034842407321065</v>
      </c>
      <c r="AQ696" s="175">
        <f t="shared" si="2051"/>
        <v>7.8305873011283639E-2</v>
      </c>
      <c r="AR696" s="177">
        <f>+AC696/$AE$48</f>
        <v>6.8730853603530314E-3</v>
      </c>
      <c r="AS696" s="177">
        <f t="shared" si="2047"/>
        <v>5.3820294942351712E-4</v>
      </c>
      <c r="AT696" s="177"/>
      <c r="AU696" s="177"/>
      <c r="AV696" s="177"/>
      <c r="AW696" s="190"/>
      <c r="AX696" s="120"/>
      <c r="AY696" s="120"/>
      <c r="AZ696" s="118">
        <f>IFERROR(INDEX('Total Customers'!$F$7:$AB$91,MATCH($C696,'Total Customers'!$D$7:$D$91,0),MATCH($G696,'Total Customers'!$F$5:$AB$5,0)),"NA")</f>
        <v>157852</v>
      </c>
      <c r="BA696" s="119">
        <f t="shared" si="2009"/>
        <v>-9.4347694055577536E-4</v>
      </c>
      <c r="BB696" s="119"/>
      <c r="BC696" s="121"/>
      <c r="BD696" s="119"/>
      <c r="BE696" s="119"/>
      <c r="BF696" s="119"/>
      <c r="BG696" s="173"/>
      <c r="BH696" s="173"/>
      <c r="BI696" s="173"/>
      <c r="BJ696" s="173"/>
      <c r="BK696" s="173"/>
      <c r="BL696" s="173"/>
      <c r="BM696" s="173"/>
      <c r="BN696" s="173"/>
      <c r="BO696" s="173"/>
      <c r="BP696" s="173"/>
      <c r="BQ696" s="118"/>
      <c r="BR696" s="118"/>
      <c r="BS696" s="118">
        <f>INDEX('Dist. Plant Gas Additions'!$F$7:$AE$91,MATCH($C696,'Dist. Plant Gas Additions'!$D$7:$D$91,0),MATCH(Calculation!$G696,'Dist. Plant Gas Additions'!$F$5:$AE$5,0))</f>
        <v>9532</v>
      </c>
      <c r="BT696" s="118">
        <f>INDEX('Gen. Plant Additions'!$F$7:$AE$91,MATCH($C696,'Gen. Plant Additions'!$D$7:$D$91,0),MATCH(Calculation!$G696,'Gen. Plant Additions'!$F$5:$AE$5,0))</f>
        <v>542</v>
      </c>
      <c r="BU696" s="118"/>
      <c r="BV696" s="118"/>
      <c r="BW696" s="118">
        <f>INDEX('Dist Plant Depreciation'!$E$7:$AD$94,MATCH($C696,'Dist Plant Depreciation'!$D$7:$D$94,0),MATCH(Calculation!$G696,'Dist Plant Depreciation'!$E$5:$AD$5,0))</f>
        <v>140663</v>
      </c>
      <c r="BX696" s="118">
        <f>INDEX('Gen. Plant Depreciation'!$E$7:$AD$94,MATCH($C696,'Gen. Plant Depreciation'!$D$7:$D$94,0),MATCH(Calculation!$G696,'Gen. Plant Depreciation'!$E$5:$AD$5,0))</f>
        <v>7033</v>
      </c>
      <c r="BY696" s="118"/>
      <c r="BZ696" s="118"/>
      <c r="CA696" s="118"/>
      <c r="CB696" s="118"/>
      <c r="CC696" s="118"/>
      <c r="CD696" s="118"/>
      <c r="CE696" s="118">
        <f>INDEX('Gross Dx Plant'!$E$7:$AD$91,MATCH($C696,'Gross Dx Plant'!$D$7:$D$91,0),MATCH(Calculation!$G696,'Gross Dx Plant'!$E$5:$AD$5,0))</f>
        <v>355905</v>
      </c>
      <c r="CF696" s="118">
        <f>INDEX('Gross Gen Plant'!$E$7:$AD$91,MATCH($C696,'Gross Gen Plant'!$D$7:$D$91,0),MATCH(Calculation!$G696,'Gross Gen Plant'!$E$5:$AD$5,0))</f>
        <v>13361</v>
      </c>
      <c r="CG696" s="118">
        <f t="shared" si="1923"/>
        <v>221570</v>
      </c>
      <c r="CH696" s="118"/>
      <c r="CI696" s="121">
        <v>2010</v>
      </c>
      <c r="CJ696" s="118"/>
      <c r="CK696" s="118"/>
      <c r="CL696" s="118"/>
      <c r="CM696" s="183"/>
      <c r="CN696" s="118">
        <f t="shared" si="2010"/>
        <v>10074</v>
      </c>
      <c r="CO696" s="118">
        <f t="shared" si="2011"/>
        <v>17.7050718043842</v>
      </c>
      <c r="CP696" s="186">
        <v>0.9285714285714286</v>
      </c>
      <c r="CQ696" s="118">
        <f>+CQ684*CP696+CO685*CP695+CO686*CP694+CO687*CP693+CO688*CP692+CO689*CP691+CO690*CP690+CO691*CP689+CO692*CP688+CO693*CP687+CO694*CP686+CO695*CP685+CO696</f>
        <v>1021.7424019410886</v>
      </c>
      <c r="CR696" s="119">
        <f t="shared" si="2012"/>
        <v>1.0219527906543688E-2</v>
      </c>
      <c r="CS696" s="119"/>
      <c r="CT696" s="177">
        <f t="shared" si="2013"/>
        <v>7.2343821812681465E-3</v>
      </c>
      <c r="CU696" s="177">
        <f t="shared" si="2021"/>
        <v>6.9770576798507747E-3</v>
      </c>
      <c r="CV696" s="119">
        <f>VLOOKUP($H696,RoR!$E:$F,2,FALSE)</f>
        <v>4.9433333333333322E-2</v>
      </c>
      <c r="CW696" s="177">
        <v>1.1684333519300205E-2</v>
      </c>
      <c r="CX696" s="177">
        <f t="shared" si="2019"/>
        <v>3.7748999814033117E-2</v>
      </c>
      <c r="CY696" s="177">
        <f t="shared" si="2022"/>
        <v>2.392488392868285E-2</v>
      </c>
      <c r="CZ696" s="177">
        <f t="shared" si="2023"/>
        <v>4.7937530248493419E-2</v>
      </c>
      <c r="DA696" s="187">
        <f t="shared" si="2014"/>
        <v>0.84971312500000007</v>
      </c>
      <c r="DB696" s="188">
        <f t="shared" si="2015"/>
        <v>1.037398205301105</v>
      </c>
      <c r="DC696" s="188">
        <f t="shared" si="2016"/>
        <v>0.46926837491571133</v>
      </c>
      <c r="DD696" s="188">
        <f t="shared" si="2017"/>
        <v>0.8548537519972772</v>
      </c>
      <c r="DE696" s="188">
        <f t="shared" si="2018"/>
        <v>0.41615833911547367</v>
      </c>
      <c r="DF696" s="189">
        <f>INDEX('State Tax Lookup'!$D$7:$Z$91,MATCH(Calculation!$C696,'State Tax Lookup'!$B$7:$B$91,0),MATCH($H696,'State Tax Lookup'!$D$6:$Z$6,0))</f>
        <v>0.40076499999999998</v>
      </c>
      <c r="DG696" s="189">
        <v>0.375</v>
      </c>
      <c r="DH696" s="190">
        <f t="shared" si="2020"/>
        <v>19.235222000967653</v>
      </c>
      <c r="DI696" s="190">
        <v>18.884888516264507</v>
      </c>
      <c r="DJ696" s="177"/>
      <c r="DK696" s="189">
        <f>VLOOKUP($H696,RoR!$E:$F,2,FALSE)</f>
        <v>4.9433333333333322E-2</v>
      </c>
      <c r="DL696" s="191">
        <f>HLOOKUP($H696,'GDP-PI'!$D$8:$CQ$11,3,FALSE)</f>
        <v>1.1684333519300205E-2</v>
      </c>
      <c r="DM696" s="189">
        <f>VLOOKUP(H696,'HW Dx Data'!$E:$F,2,FALSE)</f>
        <v>568.98950262971744</v>
      </c>
      <c r="DN696" s="183">
        <f>VLOOKUP(H696,'ECI - Input Price'!$G$17:$H$37,2,FALSE)</f>
        <v>111.875</v>
      </c>
      <c r="DO696" s="177">
        <f t="shared" ref="DO696" si="2056">LN(DN696/DN695)</f>
        <v>1.8949360147238387E-2</v>
      </c>
      <c r="DP696" s="183">
        <f>HLOOKUP(H696,'GDP-PI'!$8:$9,2,FALSE)</f>
        <v>96.108999999999995</v>
      </c>
      <c r="DQ696" s="177">
        <f t="shared" ref="DQ696" si="2057">LN(DP696/DP695)</f>
        <v>1.1616598807150427E-2</v>
      </c>
    </row>
    <row r="697" spans="1:121" s="167" customFormat="1" ht="21" x14ac:dyDescent="0.35">
      <c r="A697" s="167" t="s">
        <v>74</v>
      </c>
      <c r="B697" s="168" t="s">
        <v>74</v>
      </c>
      <c r="C697" s="168">
        <v>4057130</v>
      </c>
      <c r="D697" s="168" t="s">
        <v>142</v>
      </c>
      <c r="E697" s="168"/>
      <c r="F697" s="168"/>
      <c r="G697" s="168" t="s">
        <v>17</v>
      </c>
      <c r="H697" s="169">
        <v>2011</v>
      </c>
      <c r="I697" s="170"/>
      <c r="J697" s="166">
        <f>IFERROR(INDEX('Labor Expenditures'!$F$7:$X$91,MATCH($C697,'Labor Expenditures'!$D$7:$D$91,0),MATCH($G697,'Labor Expenditures'!$F$5:$X$5,0)),"NA")</f>
        <v>18074.186524216544</v>
      </c>
      <c r="K697" s="166">
        <f t="shared" si="2026"/>
        <v>158.12936591615525</v>
      </c>
      <c r="L697" s="172">
        <f t="shared" si="2036"/>
        <v>-8.7953260670113484E-2</v>
      </c>
      <c r="M697" s="172">
        <f t="shared" si="2037"/>
        <v>-5.6213719966250267E-4</v>
      </c>
      <c r="N697" s="196"/>
      <c r="O697" s="172"/>
      <c r="P697" s="166">
        <f>IFERROR(INDEX('Non-Labor Expenditures'!$F$7:$AB$91,MATCH($C697,'Non-Labor Expenditures'!$D$7:$D$91,0),MATCH($G697,'Non-Labor Expenditures'!$F$5:$AB$5,0)),"NA")</f>
        <v>26174.797879453181</v>
      </c>
      <c r="Q697" s="166">
        <f t="shared" si="2027"/>
        <v>266.78487727753162</v>
      </c>
      <c r="R697" s="172">
        <f t="shared" si="2038"/>
        <v>-8.7135585677217228E-2</v>
      </c>
      <c r="S697" s="172">
        <f t="shared" si="2042"/>
        <v>-5.5691117930534108E-4</v>
      </c>
      <c r="T697" s="172"/>
      <c r="U697" s="172"/>
      <c r="V697" s="166">
        <f t="shared" si="2008"/>
        <v>20935.106699390992</v>
      </c>
      <c r="W697" s="170"/>
      <c r="X697" s="174">
        <v>1026.5336165918623</v>
      </c>
      <c r="Y697" s="175">
        <v>4.6782985749839485E-3</v>
      </c>
      <c r="Z697" s="175">
        <f t="shared" si="2043"/>
        <v>2.9900490784421541E-5</v>
      </c>
      <c r="AA697" s="175"/>
      <c r="AB697" s="175"/>
      <c r="AC697" s="170">
        <f t="shared" si="1869"/>
        <v>65184.091103060717</v>
      </c>
      <c r="AD697" s="175">
        <f t="shared" si="2039"/>
        <v>-2.3673275072655892E-2</v>
      </c>
      <c r="AE697" s="170"/>
      <c r="AF697" s="170"/>
      <c r="AG697" s="121">
        <f t="shared" si="2044"/>
        <v>411.924009928153</v>
      </c>
      <c r="AH697" s="119">
        <f>+AZ697/$BB$49</f>
        <v>4.3915053469468415E-3</v>
      </c>
      <c r="AI697" s="119"/>
      <c r="AJ697" s="176">
        <f t="shared" si="2045"/>
        <v>1.8089664921352677</v>
      </c>
      <c r="AK697" s="176">
        <f t="shared" si="2046"/>
        <v>0</v>
      </c>
      <c r="AL697" s="120">
        <f t="shared" si="2028"/>
        <v>0.27727910627211111</v>
      </c>
      <c r="AM697" s="120">
        <f t="shared" si="2029"/>
        <v>0.40155193447537607</v>
      </c>
      <c r="AN697" s="120">
        <f t="shared" si="2030"/>
        <v>0.32116895925251282</v>
      </c>
      <c r="AO697" s="120">
        <f t="shared" si="2033"/>
        <v>-5.9243392640075845E-2</v>
      </c>
      <c r="AP697" s="173">
        <f t="shared" si="2050"/>
        <v>93.338095749346436</v>
      </c>
      <c r="AQ697" s="175">
        <f t="shared" si="2051"/>
        <v>-5.9243392640075852E-2</v>
      </c>
      <c r="AR697" s="177">
        <f>+AC697/$AE$49</f>
        <v>6.3913173358167144E-3</v>
      </c>
      <c r="AS697" s="177">
        <f t="shared" si="2047"/>
        <v>-3.7864332241311315E-4</v>
      </c>
      <c r="AT697" s="177"/>
      <c r="AU697" s="177"/>
      <c r="AV697" s="177"/>
      <c r="AW697" s="190"/>
      <c r="AX697" s="120"/>
      <c r="AY697" s="120"/>
      <c r="AZ697" s="118">
        <f>IFERROR(INDEX('Total Customers'!$F$7:$AB$91,MATCH($C697,'Total Customers'!$D$7:$D$91,0),MATCH($G697,'Total Customers'!$F$5:$AB$5,0)),"NA")</f>
        <v>158243</v>
      </c>
      <c r="BA697" s="119">
        <f t="shared" si="2009"/>
        <v>2.4739410583686432E-3</v>
      </c>
      <c r="BB697" s="119"/>
      <c r="BC697" s="121"/>
      <c r="BD697" s="119"/>
      <c r="BE697" s="119"/>
      <c r="BF697" s="119"/>
      <c r="BG697" s="173"/>
      <c r="BH697" s="173"/>
      <c r="BI697" s="173"/>
      <c r="BJ697" s="173"/>
      <c r="BK697" s="173"/>
      <c r="BL697" s="173"/>
      <c r="BM697" s="173"/>
      <c r="BN697" s="173"/>
      <c r="BO697" s="173"/>
      <c r="BP697" s="173"/>
      <c r="BQ697" s="118"/>
      <c r="BR697" s="118"/>
      <c r="BS697" s="118">
        <f>INDEX('Dist. Plant Gas Additions'!$F$7:$AE$91,MATCH($C697,'Dist. Plant Gas Additions'!$D$7:$D$91,0),MATCH(Calculation!$G697,'Dist. Plant Gas Additions'!$F$5:$AE$5,0))</f>
        <v>5979</v>
      </c>
      <c r="BT697" s="118">
        <f>INDEX('Gen. Plant Additions'!$F$7:$AE$91,MATCH($C697,'Gen. Plant Additions'!$D$7:$D$91,0),MATCH(Calculation!$G697,'Gen. Plant Additions'!$F$5:$AE$5,0))</f>
        <v>1640</v>
      </c>
      <c r="BU697" s="118"/>
      <c r="BV697" s="118"/>
      <c r="BW697" s="118">
        <f>INDEX('Dist Plant Depreciation'!$E$7:$AD$94,MATCH($C697,'Dist Plant Depreciation'!$D$7:$D$94,0),MATCH(Calculation!$G697,'Dist Plant Depreciation'!$E$5:$AD$5,0))</f>
        <v>145474</v>
      </c>
      <c r="BX697" s="118">
        <f>INDEX('Gen. Plant Depreciation'!$E$7:$AD$94,MATCH($C697,'Gen. Plant Depreciation'!$D$7:$D$94,0),MATCH(Calculation!$G697,'Gen. Plant Depreciation'!$E$5:$AD$5,0))</f>
        <v>6974</v>
      </c>
      <c r="BY697" s="118"/>
      <c r="BZ697" s="118"/>
      <c r="CA697" s="118"/>
      <c r="CB697" s="118"/>
      <c r="CC697" s="118"/>
      <c r="CD697" s="118"/>
      <c r="CE697" s="118">
        <f>INDEX('Gross Dx Plant'!$E$7:$AD$91,MATCH($C697,'Gross Dx Plant'!$D$7:$D$91,0),MATCH(Calculation!$G697,'Gross Dx Plant'!$E$5:$AD$5,0))</f>
        <v>359629</v>
      </c>
      <c r="CF697" s="118">
        <f>INDEX('Gross Gen Plant'!$E$7:$AD$91,MATCH($C697,'Gross Gen Plant'!$D$7:$D$91,0),MATCH(Calculation!$G697,'Gross Gen Plant'!$E$5:$AD$5,0))</f>
        <v>13721</v>
      </c>
      <c r="CG697" s="118">
        <f t="shared" si="1923"/>
        <v>220902</v>
      </c>
      <c r="CH697" s="118"/>
      <c r="CI697" s="121">
        <v>2011</v>
      </c>
      <c r="CJ697" s="118"/>
      <c r="CK697" s="118"/>
      <c r="CL697" s="118"/>
      <c r="CM697" s="183"/>
      <c r="CN697" s="118">
        <f t="shared" si="2010"/>
        <v>7619</v>
      </c>
      <c r="CO697" s="118">
        <f t="shared" si="2011"/>
        <v>12.457262545265937</v>
      </c>
      <c r="CP697" s="186">
        <v>0.92121212121212126</v>
      </c>
      <c r="CQ697" s="118">
        <f>+CQ684*CP697+CO685*CP696+CO686*CP695+CO687*CP694+CO688*CP693+CO689*CP692+CO690*CP691+CO691*CP690+CO692*CP689+CO693*CP688+CO694*CP687+CO695*CP686+CO696*CP685+CO697</f>
        <v>1026.5336165918623</v>
      </c>
      <c r="CR697" s="119">
        <f t="shared" si="2012"/>
        <v>4.6782985749839485E-3</v>
      </c>
      <c r="CS697" s="119"/>
      <c r="CT697" s="177">
        <f t="shared" si="2013"/>
        <v>7.5029164688951381E-3</v>
      </c>
      <c r="CU697" s="177">
        <f t="shared" si="2021"/>
        <v>7.2357537434399001E-3</v>
      </c>
      <c r="CV697" s="119">
        <f>VLOOKUP($H697,RoR!$E:$F,2,FALSE)</f>
        <v>4.6391666666666664E-2</v>
      </c>
      <c r="CW697" s="177">
        <v>2.0840920205183799E-2</v>
      </c>
      <c r="CX697" s="177">
        <f t="shared" si="2019"/>
        <v>2.5550746461482865E-2</v>
      </c>
      <c r="CY697" s="177">
        <f t="shared" si="2022"/>
        <v>2.3666187865093724E-2</v>
      </c>
      <c r="CZ697" s="177">
        <f t="shared" si="2023"/>
        <v>2.4810540821321614E-2</v>
      </c>
      <c r="DA697" s="187">
        <f t="shared" si="2014"/>
        <v>0.84971312500000007</v>
      </c>
      <c r="DB697" s="188">
        <f t="shared" si="2015"/>
        <v>1.1054151524782025</v>
      </c>
      <c r="DC697" s="188">
        <f t="shared" si="2016"/>
        <v>0.43611011316687626</v>
      </c>
      <c r="DD697" s="188">
        <f t="shared" si="2017"/>
        <v>0.83698442246886229</v>
      </c>
      <c r="DE697" s="188">
        <f t="shared" si="2018"/>
        <v>0.40349573304423936</v>
      </c>
      <c r="DF697" s="189">
        <f>INDEX('State Tax Lookup'!$D$7:$Z$91,MATCH(Calculation!$C697,'State Tax Lookup'!$B$7:$B$91,0),MATCH($H697,'State Tax Lookup'!$D$6:$Z$6,0))</f>
        <v>0.40076499999999998</v>
      </c>
      <c r="DG697" s="189">
        <v>0.375</v>
      </c>
      <c r="DH697" s="190">
        <f t="shared" si="2020"/>
        <v>20.489613291587819</v>
      </c>
      <c r="DI697" s="190">
        <v>20.11170216810012</v>
      </c>
      <c r="DJ697" s="177"/>
      <c r="DK697" s="189">
        <f>VLOOKUP($H697,RoR!$E:$F,2,FALSE)</f>
        <v>4.6391666666666664E-2</v>
      </c>
      <c r="DL697" s="191">
        <f>HLOOKUP($H697,'GDP-PI'!$D$8:$CQ$11,3,FALSE)</f>
        <v>2.0840920205183799E-2</v>
      </c>
      <c r="DM697" s="189">
        <f>VLOOKUP(H697,'HW Dx Data'!$E:$F,2,FALSE)</f>
        <v>611.61109612283201</v>
      </c>
      <c r="DN697" s="183">
        <f>VLOOKUP(H697,'ECI - Input Price'!$G$17:$H$37,2,FALSE)</f>
        <v>114.3</v>
      </c>
      <c r="DO697" s="177">
        <f t="shared" ref="DO697" si="2058">LN(DN697/DN696)</f>
        <v>2.1444394205745516E-2</v>
      </c>
      <c r="DP697" s="183">
        <f>HLOOKUP(H697,'GDP-PI'!$8:$9,2,FALSE)</f>
        <v>98.111999999999995</v>
      </c>
      <c r="DQ697" s="177">
        <f t="shared" ref="DQ697" si="2059">LN(DP697/DP696)</f>
        <v>2.0626719212849295E-2</v>
      </c>
    </row>
    <row r="698" spans="1:121" s="167" customFormat="1" ht="21" x14ac:dyDescent="0.35">
      <c r="A698" s="167" t="s">
        <v>74</v>
      </c>
      <c r="B698" s="168" t="s">
        <v>74</v>
      </c>
      <c r="C698" s="168">
        <v>4057130</v>
      </c>
      <c r="D698" s="168" t="s">
        <v>142</v>
      </c>
      <c r="E698" s="168"/>
      <c r="F698" s="168"/>
      <c r="G698" s="168" t="s">
        <v>18</v>
      </c>
      <c r="H698" s="169">
        <v>2012</v>
      </c>
      <c r="I698" s="170"/>
      <c r="J698" s="166">
        <f>IFERROR(INDEX('Labor Expenditures'!$F$7:$X$91,MATCH($C698,'Labor Expenditures'!$D$7:$D$91,0),MATCH($G698,'Labor Expenditures'!$F$5:$X$5,0)),"NA")</f>
        <v>16891.467955283602</v>
      </c>
      <c r="K698" s="166">
        <f t="shared" si="2026"/>
        <v>144.99114124706955</v>
      </c>
      <c r="L698" s="172">
        <f t="shared" si="2036"/>
        <v>-8.6740823931159006E-2</v>
      </c>
      <c r="M698" s="172">
        <f t="shared" si="2037"/>
        <v>-5.1972719329875059E-4</v>
      </c>
      <c r="N698" s="196"/>
      <c r="O698" s="172"/>
      <c r="P698" s="166">
        <f>IFERROR(INDEX('Non-Labor Expenditures'!$F$7:$AB$91,MATCH($C698,'Non-Labor Expenditures'!$D$7:$D$91,0),MATCH($G698,'Non-Labor Expenditures'!$F$5:$AB$5,0)),"NA")</f>
        <v>24462.000490280625</v>
      </c>
      <c r="Q698" s="166">
        <f t="shared" si="2027"/>
        <v>244.62000490280624</v>
      </c>
      <c r="R698" s="172">
        <f t="shared" si="2038"/>
        <v>-8.6736624464911261E-2</v>
      </c>
      <c r="S698" s="172">
        <f t="shared" si="2042"/>
        <v>-5.1970203125039347E-4</v>
      </c>
      <c r="T698" s="172"/>
      <c r="U698" s="172"/>
      <c r="V698" s="166">
        <f t="shared" si="2008"/>
        <v>22676.665896438721</v>
      </c>
      <c r="W698" s="170"/>
      <c r="X698" s="174">
        <v>1044.3001023366255</v>
      </c>
      <c r="Y698" s="175">
        <v>1.7159196808178984E-2</v>
      </c>
      <c r="Z698" s="175">
        <f t="shared" si="2043"/>
        <v>1.0281319443603054E-4</v>
      </c>
      <c r="AA698" s="175"/>
      <c r="AB698" s="175"/>
      <c r="AC698" s="170">
        <f t="shared" si="1869"/>
        <v>64030.134342002944</v>
      </c>
      <c r="AD698" s="175">
        <f t="shared" si="2039"/>
        <v>-1.7861616033785884E-2</v>
      </c>
      <c r="AE698" s="170"/>
      <c r="AF698" s="170"/>
      <c r="AG698" s="121">
        <f t="shared" si="2044"/>
        <v>404.49111386121712</v>
      </c>
      <c r="AH698" s="119">
        <f>+AZ698/$BB$50</f>
        <v>4.3718918165685169E-3</v>
      </c>
      <c r="AI698" s="119"/>
      <c r="AJ698" s="176">
        <f t="shared" si="2045"/>
        <v>1.7683913905645394</v>
      </c>
      <c r="AK698" s="176">
        <f t="shared" si="2046"/>
        <v>0</v>
      </c>
      <c r="AL698" s="120">
        <f t="shared" si="2028"/>
        <v>0.26380497446813911</v>
      </c>
      <c r="AM698" s="120">
        <f t="shared" si="2029"/>
        <v>0.38203887500254496</v>
      </c>
      <c r="AN698" s="120">
        <f t="shared" si="2030"/>
        <v>0.35415615052931598</v>
      </c>
      <c r="AO698" s="120">
        <f t="shared" si="2033"/>
        <v>-5.1656032143516932E-2</v>
      </c>
      <c r="AP698" s="173">
        <f t="shared" si="2050"/>
        <v>88.639032405964556</v>
      </c>
      <c r="AQ698" s="175">
        <f t="shared" si="2051"/>
        <v>-5.1656032143516953E-2</v>
      </c>
      <c r="AR698" s="177">
        <f>+AC698/$AE$50</f>
        <v>5.9917253462017711E-3</v>
      </c>
      <c r="AS698" s="177">
        <f t="shared" si="2047"/>
        <v>-3.0950875707852395E-4</v>
      </c>
      <c r="AT698" s="177"/>
      <c r="AU698" s="177"/>
      <c r="AV698" s="177"/>
      <c r="AW698" s="190"/>
      <c r="AX698" s="120"/>
      <c r="AY698" s="120"/>
      <c r="AZ698" s="118">
        <f>IFERROR(INDEX('Total Customers'!$F$7:$AB$91,MATCH($C698,'Total Customers'!$D$7:$D$91,0),MATCH($G698,'Total Customers'!$F$5:$AB$5,0)),"NA")</f>
        <v>158298</v>
      </c>
      <c r="BA698" s="119">
        <f t="shared" si="2009"/>
        <v>3.4750632969181674E-4</v>
      </c>
      <c r="BB698" s="119"/>
      <c r="BC698" s="121"/>
      <c r="BD698" s="119"/>
      <c r="BE698" s="119"/>
      <c r="BF698" s="119"/>
      <c r="BG698" s="173"/>
      <c r="BH698" s="173"/>
      <c r="BI698" s="173"/>
      <c r="BJ698" s="173"/>
      <c r="BK698" s="173"/>
      <c r="BL698" s="173"/>
      <c r="BM698" s="173"/>
      <c r="BN698" s="173"/>
      <c r="BO698" s="173"/>
      <c r="BP698" s="173"/>
      <c r="BQ698" s="118"/>
      <c r="BR698" s="118"/>
      <c r="BS698" s="118">
        <f>INDEX('Dist. Plant Gas Additions'!$F$7:$AE$91,MATCH($C698,'Dist. Plant Gas Additions'!$D$7:$D$91,0),MATCH(Calculation!$G698,'Dist. Plant Gas Additions'!$F$5:$AE$5,0))</f>
        <v>15082</v>
      </c>
      <c r="BT698" s="118">
        <f>INDEX('Gen. Plant Additions'!$F$7:$AE$91,MATCH($C698,'Gen. Plant Additions'!$D$7:$D$91,0),MATCH(Calculation!$G698,'Gen. Plant Additions'!$F$5:$AE$5,0))</f>
        <v>2158</v>
      </c>
      <c r="BU698" s="118"/>
      <c r="BV698" s="118"/>
      <c r="BW698" s="118">
        <f>INDEX('Dist Plant Depreciation'!$E$7:$AD$94,MATCH($C698,'Dist Plant Depreciation'!$D$7:$D$94,0),MATCH(Calculation!$G698,'Dist Plant Depreciation'!$E$5:$AD$5,0))</f>
        <v>150719</v>
      </c>
      <c r="BX698" s="118">
        <f>INDEX('Gen. Plant Depreciation'!$E$7:$AD$94,MATCH($C698,'Gen. Plant Depreciation'!$D$7:$D$94,0),MATCH(Calculation!$G698,'Gen. Plant Depreciation'!$E$5:$AD$5,0))</f>
        <v>7390</v>
      </c>
      <c r="BY698" s="118"/>
      <c r="BZ698" s="118"/>
      <c r="CA698" s="118"/>
      <c r="CB698" s="118"/>
      <c r="CC698" s="118"/>
      <c r="CD698" s="118"/>
      <c r="CE698" s="118">
        <f>INDEX('Gross Dx Plant'!$E$7:$AD$91,MATCH($C698,'Gross Dx Plant'!$D$7:$D$91,0),MATCH(Calculation!$G698,'Gross Dx Plant'!$E$5:$AD$5,0))</f>
        <v>372450</v>
      </c>
      <c r="CF698" s="118">
        <f>INDEX('Gross Gen Plant'!$E$7:$AD$91,MATCH($C698,'Gross Gen Plant'!$D$7:$D$91,0),MATCH(Calculation!$G698,'Gross Gen Plant'!$E$5:$AD$5,0))</f>
        <v>15258</v>
      </c>
      <c r="CG698" s="118">
        <f t="shared" si="1923"/>
        <v>229599</v>
      </c>
      <c r="CH698" s="118"/>
      <c r="CI698" s="121">
        <v>2012</v>
      </c>
      <c r="CJ698" s="118"/>
      <c r="CK698" s="118"/>
      <c r="CL698" s="118"/>
      <c r="CM698" s="183"/>
      <c r="CN698" s="118">
        <f t="shared" si="2010"/>
        <v>17240</v>
      </c>
      <c r="CO698" s="118">
        <f t="shared" si="2011"/>
        <v>25.772913758196704</v>
      </c>
      <c r="CP698" s="186">
        <v>0.9135802469135802</v>
      </c>
      <c r="CQ698" s="118">
        <f>+CQ684*CP698+CO685*CP697+CO686*CP696+CO687*CP695+CO688*CP694+CO689*CP693+CO690*CP692+CO691*CP691+CO692*CP690+CO693*CP689+CO694*CP688+CO695*CP687+CO696*CP686+CO697*CP685+CO698</f>
        <v>1044.3001023366255</v>
      </c>
      <c r="CR698" s="119">
        <f t="shared" si="2012"/>
        <v>1.7159196808178984E-2</v>
      </c>
      <c r="CS698" s="119"/>
      <c r="CT698" s="177">
        <f t="shared" si="2013"/>
        <v>7.7994796117979524E-3</v>
      </c>
      <c r="CU698" s="177">
        <f t="shared" si="2021"/>
        <v>7.5122594206537456E-3</v>
      </c>
      <c r="CV698" s="119">
        <f>VLOOKUP($H698,RoR!$E:$F,2,FALSE)</f>
        <v>3.6733333333333333E-2</v>
      </c>
      <c r="CW698" s="177">
        <v>1.924331376386168E-2</v>
      </c>
      <c r="CX698" s="177">
        <f t="shared" si="2019"/>
        <v>1.7490019569471653E-2</v>
      </c>
      <c r="CY698" s="177">
        <f t="shared" si="2022"/>
        <v>2.338968218787988E-2</v>
      </c>
      <c r="CZ698" s="177">
        <f t="shared" si="2023"/>
        <v>6.7122682943869583E-2</v>
      </c>
      <c r="DA698" s="187">
        <f t="shared" si="2014"/>
        <v>0.84971312500000007</v>
      </c>
      <c r="DB698" s="188">
        <f t="shared" si="2015"/>
        <v>1.3960631020522127</v>
      </c>
      <c r="DC698" s="188">
        <f t="shared" si="2016"/>
        <v>0.29441923774954631</v>
      </c>
      <c r="DD698" s="188">
        <f t="shared" si="2017"/>
        <v>0.76377954189366437</v>
      </c>
      <c r="DE698" s="188">
        <f t="shared" si="2018"/>
        <v>0.31393465103033691</v>
      </c>
      <c r="DF698" s="189">
        <f>INDEX('State Tax Lookup'!$D$7:$Z$91,MATCH(Calculation!$C698,'State Tax Lookup'!$B$7:$B$91,0),MATCH($H698,'State Tax Lookup'!$D$6:$Z$6,0))</f>
        <v>0.40076499999999998</v>
      </c>
      <c r="DG698" s="189">
        <v>0.375</v>
      </c>
      <c r="DH698" s="190">
        <f t="shared" si="2020"/>
        <v>22.090524391910584</v>
      </c>
      <c r="DI698" s="190">
        <v>21.709559529279112</v>
      </c>
      <c r="DJ698" s="177"/>
      <c r="DK698" s="189">
        <f>VLOOKUP($H698,RoR!$E:$F,2,FALSE)</f>
        <v>3.6733333333333333E-2</v>
      </c>
      <c r="DL698" s="191">
        <f>HLOOKUP($H698,'GDP-PI'!$D$8:$CQ$11,3,FALSE)</f>
        <v>1.924331376386168E-2</v>
      </c>
      <c r="DM698" s="189">
        <f>VLOOKUP(H698,'HW Dx Data'!$E:$F,2,FALSE)</f>
        <v>668.91932211262167</v>
      </c>
      <c r="DN698" s="183">
        <f>VLOOKUP(H698,'ECI - Input Price'!$G$17:$H$37,2,FALSE)</f>
        <v>116.5</v>
      </c>
      <c r="DO698" s="177">
        <f t="shared" ref="DO698" si="2060">LN(DN698/DN697)</f>
        <v>1.9064702204990347E-2</v>
      </c>
      <c r="DP698" s="183">
        <f>HLOOKUP(H698,'GDP-PI'!$8:$9,2,FALSE)</f>
        <v>100</v>
      </c>
      <c r="DQ698" s="177">
        <f t="shared" ref="DQ698" si="2061">LN(DP698/DP697)</f>
        <v>1.9060502738742411E-2</v>
      </c>
    </row>
    <row r="699" spans="1:121" s="167" customFormat="1" ht="21" x14ac:dyDescent="0.35">
      <c r="A699" s="167" t="s">
        <v>74</v>
      </c>
      <c r="B699" s="168" t="s">
        <v>74</v>
      </c>
      <c r="C699" s="168">
        <v>4057130</v>
      </c>
      <c r="D699" s="168" t="s">
        <v>142</v>
      </c>
      <c r="E699" s="168"/>
      <c r="F699" s="168"/>
      <c r="G699" s="168" t="s">
        <v>19</v>
      </c>
      <c r="H699" s="169">
        <v>2013</v>
      </c>
      <c r="I699" s="170"/>
      <c r="J699" s="166">
        <f>IFERROR(INDEX('Labor Expenditures'!$F$7:$X$91,MATCH($C699,'Labor Expenditures'!$D$7:$D$91,0),MATCH($G699,'Labor Expenditures'!$F$5:$X$5,0)),"NA")</f>
        <v>18781.019658696114</v>
      </c>
      <c r="K699" s="166">
        <f t="shared" si="2026"/>
        <v>158.18925802228776</v>
      </c>
      <c r="L699" s="172">
        <f t="shared" si="2036"/>
        <v>8.7119506071986097E-2</v>
      </c>
      <c r="M699" s="172">
        <f t="shared" si="2037"/>
        <v>5.3913377034809837E-4</v>
      </c>
      <c r="N699" s="196"/>
      <c r="O699" s="172"/>
      <c r="P699" s="166">
        <f>IFERROR(INDEX('Non-Labor Expenditures'!$F$7:$AB$91,MATCH($C699,'Non-Labor Expenditures'!$D$7:$D$91,0),MATCH($G699,'Non-Labor Expenditures'!$F$5:$AB$5,0)),"NA")</f>
        <v>27198.424276398593</v>
      </c>
      <c r="Q699" s="166">
        <f t="shared" si="2027"/>
        <v>267.24597168599325</v>
      </c>
      <c r="R699" s="172">
        <f t="shared" si="2038"/>
        <v>8.8463470484905923E-2</v>
      </c>
      <c r="S699" s="172">
        <f t="shared" si="2042"/>
        <v>5.4745081246438884E-4</v>
      </c>
      <c r="T699" s="172"/>
      <c r="U699" s="172"/>
      <c r="V699" s="166">
        <f t="shared" si="2008"/>
        <v>22618.596928363746</v>
      </c>
      <c r="W699" s="170"/>
      <c r="X699" s="174">
        <v>1076.5558051472676</v>
      </c>
      <c r="Y699" s="175">
        <v>3.041997341068526E-2</v>
      </c>
      <c r="Z699" s="175">
        <f t="shared" si="2043"/>
        <v>1.8825215727508954E-4</v>
      </c>
      <c r="AA699" s="175"/>
      <c r="AB699" s="175"/>
      <c r="AC699" s="170">
        <f t="shared" si="1869"/>
        <v>68598.040863458446</v>
      </c>
      <c r="AD699" s="175">
        <f t="shared" si="2039"/>
        <v>6.8910153843497884E-2</v>
      </c>
      <c r="AE699" s="170"/>
      <c r="AF699" s="170"/>
      <c r="AG699" s="121">
        <f t="shared" si="2044"/>
        <v>432.71330892233925</v>
      </c>
      <c r="AH699" s="119">
        <f>+AZ699/$BB$51</f>
        <v>4.350307371214392E-3</v>
      </c>
      <c r="AI699" s="119"/>
      <c r="AJ699" s="176">
        <f t="shared" si="2045"/>
        <v>1.8824358974274227</v>
      </c>
      <c r="AK699" s="176">
        <f t="shared" si="2046"/>
        <v>0</v>
      </c>
      <c r="AL699" s="120">
        <f t="shared" si="2028"/>
        <v>0.27378361571694088</v>
      </c>
      <c r="AM699" s="120">
        <f t="shared" si="2029"/>
        <v>0.39648981128391009</v>
      </c>
      <c r="AN699" s="120">
        <f t="shared" si="2030"/>
        <v>0.32972657299914915</v>
      </c>
      <c r="AO699" s="120">
        <f t="shared" si="2033"/>
        <v>6.8254748086788428E-2</v>
      </c>
      <c r="AP699" s="173">
        <f t="shared" si="2050"/>
        <v>94.9003178597888</v>
      </c>
      <c r="AQ699" s="175">
        <f t="shared" si="2051"/>
        <v>6.8254748086788469E-2</v>
      </c>
      <c r="AR699" s="177">
        <f>+AC699/$AE$51</f>
        <v>6.1884392446235493E-3</v>
      </c>
      <c r="AS699" s="177">
        <f t="shared" si="2047"/>
        <v>4.2239036169217586E-4</v>
      </c>
      <c r="AT699" s="177"/>
      <c r="AU699" s="177"/>
      <c r="AV699" s="177"/>
      <c r="AW699" s="190"/>
      <c r="AX699" s="120"/>
      <c r="AY699" s="120"/>
      <c r="AZ699" s="118">
        <f>IFERROR(INDEX('Total Customers'!$F$7:$AB$91,MATCH($C699,'Total Customers'!$D$7:$D$91,0),MATCH($G699,'Total Customers'!$F$5:$AB$5,0)),"NA")</f>
        <v>158530</v>
      </c>
      <c r="BA699" s="119">
        <f t="shared" si="2009"/>
        <v>1.4645172867698388E-3</v>
      </c>
      <c r="BB699" s="119"/>
      <c r="BC699" s="121"/>
      <c r="BD699" s="119"/>
      <c r="BE699" s="119"/>
      <c r="BF699" s="119"/>
      <c r="BG699" s="173"/>
      <c r="BH699" s="173"/>
      <c r="BI699" s="173"/>
      <c r="BJ699" s="173"/>
      <c r="BK699" s="173"/>
      <c r="BL699" s="173"/>
      <c r="BM699" s="173"/>
      <c r="BN699" s="173"/>
      <c r="BO699" s="173"/>
      <c r="BP699" s="173"/>
      <c r="BQ699" s="118"/>
      <c r="BR699" s="118"/>
      <c r="BS699" s="118">
        <f>INDEX('Dist. Plant Gas Additions'!$F$7:$AE$91,MATCH($C699,'Dist. Plant Gas Additions'!$D$7:$D$91,0),MATCH(Calculation!$G699,'Dist. Plant Gas Additions'!$F$5:$AE$5,0))</f>
        <v>25173</v>
      </c>
      <c r="BT699" s="118">
        <f>INDEX('Gen. Plant Additions'!$F$7:$AE$91,MATCH($C699,'Gen. Plant Additions'!$D$7:$D$91,0),MATCH(Calculation!$G699,'Gen. Plant Additions'!$F$5:$AE$5,0))</f>
        <v>1812</v>
      </c>
      <c r="BU699" s="118"/>
      <c r="BV699" s="118"/>
      <c r="BW699" s="118">
        <f>INDEX('Dist Plant Depreciation'!$E$7:$AD$94,MATCH($C699,'Dist Plant Depreciation'!$D$7:$D$94,0),MATCH(Calculation!$G699,'Dist Plant Depreciation'!$E$5:$AD$5,0))</f>
        <v>155548</v>
      </c>
      <c r="BX699" s="118">
        <f>INDEX('Gen. Plant Depreciation'!$E$7:$AD$94,MATCH($C699,'Gen. Plant Depreciation'!$D$7:$D$94,0),MATCH(Calculation!$G699,'Gen. Plant Depreciation'!$E$5:$AD$5,0))</f>
        <v>7852</v>
      </c>
      <c r="BY699" s="118"/>
      <c r="BZ699" s="118"/>
      <c r="CA699" s="118"/>
      <c r="CB699" s="118"/>
      <c r="CC699" s="118"/>
      <c r="CD699" s="118"/>
      <c r="CE699" s="118">
        <f>INDEX('Gross Dx Plant'!$E$7:$AD$91,MATCH($C699,'Gross Dx Plant'!$D$7:$D$91,0),MATCH(Calculation!$G699,'Gross Dx Plant'!$E$5:$AD$5,0))</f>
        <v>394812</v>
      </c>
      <c r="CF699" s="118">
        <f>INDEX('Gross Gen Plant'!$E$7:$AD$91,MATCH($C699,'Gross Gen Plant'!$D$7:$D$91,0),MATCH(Calculation!$G699,'Gross Gen Plant'!$E$5:$AD$5,0))</f>
        <v>16113</v>
      </c>
      <c r="CG699" s="118">
        <f t="shared" si="1923"/>
        <v>247525</v>
      </c>
      <c r="CH699" s="118"/>
      <c r="CI699" s="121">
        <v>2013</v>
      </c>
      <c r="CJ699" s="118"/>
      <c r="CK699" s="118"/>
      <c r="CL699" s="118"/>
      <c r="CM699" s="183"/>
      <c r="CN699" s="118">
        <f t="shared" si="2010"/>
        <v>26985</v>
      </c>
      <c r="CO699" s="118">
        <f t="shared" si="2011"/>
        <v>40.686113644157906</v>
      </c>
      <c r="CP699" s="186">
        <v>0.90566037735849059</v>
      </c>
      <c r="CQ699" s="118">
        <f>+CQ684*CP699+CO685*CP698+CO686*CP697+CO687*CP696+CO688*CP695+CO689*CP694+CO690*CP693+CO691*CP692+CO692*CP691+CO693*CP690+CO694*CP689+CO695*CP688+CO696*CP687+CO697*CP686+CO698*CP685+CO699</f>
        <v>1076.5558051472676</v>
      </c>
      <c r="CR699" s="119">
        <f t="shared" si="2012"/>
        <v>3.041997341068526E-2</v>
      </c>
      <c r="CS699" s="119"/>
      <c r="CT699" s="177">
        <f t="shared" si="2013"/>
        <v>8.0727856050695802E-3</v>
      </c>
      <c r="CU699" s="177">
        <f t="shared" si="2021"/>
        <v>7.7917272285875569E-3</v>
      </c>
      <c r="CV699" s="119">
        <f>VLOOKUP($H699,RoR!$E:$F,2,FALSE)</f>
        <v>4.2350000000000006E-2</v>
      </c>
      <c r="CW699" s="177">
        <v>1.7730000000000024E-2</v>
      </c>
      <c r="CX699" s="177">
        <f t="shared" si="2019"/>
        <v>2.4619999999999982E-2</v>
      </c>
      <c r="CY699" s="177">
        <f t="shared" si="2022"/>
        <v>2.3110214379946068E-2</v>
      </c>
      <c r="CZ699" s="177">
        <f t="shared" si="2023"/>
        <v>5.3376742735721204E-2</v>
      </c>
      <c r="DA699" s="187">
        <f t="shared" si="2014"/>
        <v>0.84971312500000007</v>
      </c>
      <c r="DB699" s="188">
        <f t="shared" si="2015"/>
        <v>1.2109103018193925</v>
      </c>
      <c r="DC699" s="188">
        <f t="shared" si="2016"/>
        <v>0.38468122786304604</v>
      </c>
      <c r="DD699" s="188">
        <f t="shared" si="2017"/>
        <v>0.80969194503422559</v>
      </c>
      <c r="DE699" s="188">
        <f t="shared" si="2018"/>
        <v>0.37716621754800816</v>
      </c>
      <c r="DF699" s="189">
        <f>INDEX('State Tax Lookup'!$D$7:$Z$91,MATCH(Calculation!$C699,'State Tax Lookup'!$B$7:$B$91,0),MATCH($H699,'State Tax Lookup'!$D$6:$Z$6,0))</f>
        <v>0.40076499999999998</v>
      </c>
      <c r="DG699" s="189">
        <v>0.375</v>
      </c>
      <c r="DH699" s="190">
        <f t="shared" si="2020"/>
        <v>21.659096726845615</v>
      </c>
      <c r="DI699" s="190">
        <v>21.285452745858024</v>
      </c>
      <c r="DJ699" s="177"/>
      <c r="DK699" s="189">
        <f>VLOOKUP($H699,RoR!$E:$F,2,FALSE)</f>
        <v>4.2350000000000006E-2</v>
      </c>
      <c r="DL699" s="191">
        <f>HLOOKUP($H699,'GDP-PI'!$D$8:$CQ$11,3,FALSE)</f>
        <v>1.7730000000000024E-2</v>
      </c>
      <c r="DM699" s="189">
        <f>VLOOKUP(H699,'HW Dx Data'!$E:$F,2,FALSE)</f>
        <v>663.24840548821396</v>
      </c>
      <c r="DN699" s="183">
        <f>VLOOKUP(H699,'ECI - Input Price'!$G$17:$H$37,2,FALSE)</f>
        <v>118.72499999999999</v>
      </c>
      <c r="DO699" s="177">
        <f t="shared" ref="DO699" si="2062">LN(DN699/DN698)</f>
        <v>1.8918621429430321E-2</v>
      </c>
      <c r="DP699" s="183">
        <f>HLOOKUP(H699,'GDP-PI'!$8:$9,2,FALSE)</f>
        <v>101.773</v>
      </c>
      <c r="DQ699" s="177">
        <f t="shared" ref="DQ699" si="2063">LN(DP699/DP698)</f>
        <v>1.7574657016510519E-2</v>
      </c>
    </row>
    <row r="700" spans="1:121" s="167" customFormat="1" ht="21" x14ac:dyDescent="0.35">
      <c r="A700" s="167" t="s">
        <v>74</v>
      </c>
      <c r="B700" s="168" t="s">
        <v>74</v>
      </c>
      <c r="C700" s="168">
        <v>4057130</v>
      </c>
      <c r="D700" s="168" t="s">
        <v>142</v>
      </c>
      <c r="E700" s="168"/>
      <c r="F700" s="168"/>
      <c r="G700" s="168" t="s">
        <v>20</v>
      </c>
      <c r="H700" s="169">
        <v>2014</v>
      </c>
      <c r="I700" s="170"/>
      <c r="J700" s="166">
        <f>IFERROR(INDEX('Labor Expenditures'!$F$7:$X$91,MATCH($C700,'Labor Expenditures'!$D$7:$D$91,0),MATCH($G700,'Labor Expenditures'!$F$5:$X$5,0)),"NA")</f>
        <v>24911.709117123566</v>
      </c>
      <c r="K700" s="166">
        <f t="shared" si="2026"/>
        <v>205.54215443171259</v>
      </c>
      <c r="L700" s="172">
        <f t="shared" si="2036"/>
        <v>0.26185899217595582</v>
      </c>
      <c r="M700" s="172">
        <f t="shared" si="2037"/>
        <v>1.9511852739647212E-3</v>
      </c>
      <c r="N700" s="196"/>
      <c r="O700" s="172"/>
      <c r="P700" s="166">
        <f>IFERROR(INDEX('Non-Labor Expenditures'!$F$7:$AB$91,MATCH($C700,'Non-Labor Expenditures'!$D$7:$D$91,0),MATCH($G700,'Non-Labor Expenditures'!$F$5:$AB$5,0)),"NA")</f>
        <v>36076.807667044093</v>
      </c>
      <c r="Q700" s="166">
        <f t="shared" si="2027"/>
        <v>348.07382429828255</v>
      </c>
      <c r="R700" s="172">
        <f t="shared" si="2038"/>
        <v>0.26424511947772861</v>
      </c>
      <c r="S700" s="172">
        <f t="shared" si="2042"/>
        <v>1.9689649820982336E-3</v>
      </c>
      <c r="T700" s="172"/>
      <c r="U700" s="172"/>
      <c r="V700" s="166">
        <f t="shared" si="2008"/>
        <v>23805.625836700085</v>
      </c>
      <c r="W700" s="170"/>
      <c r="X700" s="174">
        <v>1116.8432927978922</v>
      </c>
      <c r="Y700" s="175">
        <v>3.6739341406244318E-2</v>
      </c>
      <c r="Z700" s="175">
        <f t="shared" si="2043"/>
        <v>2.7375520439969241E-4</v>
      </c>
      <c r="AA700" s="175"/>
      <c r="AB700" s="175"/>
      <c r="AC700" s="170">
        <f t="shared" si="1869"/>
        <v>84794.142620867744</v>
      </c>
      <c r="AD700" s="175">
        <f t="shared" si="2039"/>
        <v>0.21196249206277687</v>
      </c>
      <c r="AE700" s="170"/>
      <c r="AF700" s="170"/>
      <c r="AG700" s="121">
        <f t="shared" si="2044"/>
        <v>533.66905588724046</v>
      </c>
      <c r="AH700" s="119">
        <f>+AZ700/$BB$52</f>
        <v>4.3367532096074603E-3</v>
      </c>
      <c r="AI700" s="119"/>
      <c r="AJ700" s="176">
        <f t="shared" si="2045"/>
        <v>2.3143909909871732</v>
      </c>
      <c r="AK700" s="176">
        <f t="shared" si="2046"/>
        <v>0</v>
      </c>
      <c r="AL700" s="120">
        <f t="shared" si="2028"/>
        <v>0.29379044763161299</v>
      </c>
      <c r="AM700" s="120">
        <f t="shared" si="2029"/>
        <v>0.42546344065711011</v>
      </c>
      <c r="AN700" s="120">
        <f t="shared" si="2030"/>
        <v>0.28074611171127695</v>
      </c>
      <c r="AO700" s="120">
        <f t="shared" si="2033"/>
        <v>0.19412493593034488</v>
      </c>
      <c r="AP700" s="173">
        <f t="shared" si="2050"/>
        <v>115.23251894760133</v>
      </c>
      <c r="AQ700" s="175">
        <f t="shared" si="2051"/>
        <v>0.19412493593034494</v>
      </c>
      <c r="AR700" s="177">
        <f>+AC700/$AE$52</f>
        <v>7.4512823017879202E-3</v>
      </c>
      <c r="AS700" s="177">
        <f t="shared" si="2047"/>
        <v>1.4464796994334932E-3</v>
      </c>
      <c r="AT700" s="177"/>
      <c r="AU700" s="177"/>
      <c r="AV700" s="177"/>
      <c r="AW700" s="190"/>
      <c r="AX700" s="120"/>
      <c r="AY700" s="120"/>
      <c r="AZ700" s="118">
        <f>IFERROR(INDEX('Total Customers'!$F$7:$AB$91,MATCH($C700,'Total Customers'!$D$7:$D$91,0),MATCH($G700,'Total Customers'!$F$5:$AB$5,0)),"NA")</f>
        <v>158889</v>
      </c>
      <c r="BA700" s="119">
        <f t="shared" si="2009"/>
        <v>2.2619953630519892E-3</v>
      </c>
      <c r="BB700" s="119"/>
      <c r="BC700" s="121"/>
      <c r="BD700" s="119"/>
      <c r="BE700" s="119"/>
      <c r="BF700" s="119"/>
      <c r="BG700" s="173"/>
      <c r="BH700" s="173"/>
      <c r="BI700" s="173"/>
      <c r="BJ700" s="173"/>
      <c r="BK700" s="173"/>
      <c r="BL700" s="173"/>
      <c r="BM700" s="173"/>
      <c r="BN700" s="173"/>
      <c r="BO700" s="173"/>
      <c r="BP700" s="173"/>
      <c r="BQ700" s="118"/>
      <c r="BR700" s="118"/>
      <c r="BS700" s="118">
        <f>INDEX('Dist. Plant Gas Additions'!$F$7:$AE$91,MATCH($C700,'Dist. Plant Gas Additions'!$D$7:$D$91,0),MATCH(Calculation!$G700,'Dist. Plant Gas Additions'!$F$5:$AE$5,0))</f>
        <v>31214</v>
      </c>
      <c r="BT700" s="118">
        <f>INDEX('Gen. Plant Additions'!$F$7:$AE$91,MATCH($C700,'Gen. Plant Additions'!$D$7:$D$91,0),MATCH(Calculation!$G700,'Gen. Plant Additions'!$F$5:$AE$5,0))</f>
        <v>2487</v>
      </c>
      <c r="BU700" s="118"/>
      <c r="BV700" s="118"/>
      <c r="BW700" s="118">
        <f>INDEX('Dist Plant Depreciation'!$E$7:$AD$94,MATCH($C700,'Dist Plant Depreciation'!$D$7:$D$94,0),MATCH(Calculation!$G700,'Dist Plant Depreciation'!$E$5:$AD$5,0))</f>
        <v>158990</v>
      </c>
      <c r="BX700" s="118">
        <f>INDEX('Gen. Plant Depreciation'!$E$7:$AD$94,MATCH($C700,'Gen. Plant Depreciation'!$D$7:$D$94,0),MATCH(Calculation!$G700,'Gen. Plant Depreciation'!$E$5:$AD$5,0))</f>
        <v>8623</v>
      </c>
      <c r="BY700" s="118"/>
      <c r="BZ700" s="118"/>
      <c r="CA700" s="118"/>
      <c r="CB700" s="118"/>
      <c r="CC700" s="118"/>
      <c r="CD700" s="118"/>
      <c r="CE700" s="118">
        <f>INDEX('Gross Dx Plant'!$E$7:$AD$91,MATCH($C700,'Gross Dx Plant'!$D$7:$D$91,0),MATCH(Calculation!$G700,'Gross Dx Plant'!$E$5:$AD$5,0))</f>
        <v>421449</v>
      </c>
      <c r="CF700" s="118">
        <f>INDEX('Gross Gen Plant'!$E$7:$AD$91,MATCH($C700,'Gross Gen Plant'!$D$7:$D$91,0),MATCH(Calculation!$G700,'Gross Gen Plant'!$E$5:$AD$5,0))</f>
        <v>18018</v>
      </c>
      <c r="CG700" s="118">
        <f t="shared" si="1923"/>
        <v>271854</v>
      </c>
      <c r="CH700" s="118"/>
      <c r="CI700" s="121">
        <v>2014</v>
      </c>
      <c r="CJ700" s="118"/>
      <c r="CK700" s="118"/>
      <c r="CL700" s="118"/>
      <c r="CM700" s="183"/>
      <c r="CN700" s="118">
        <f t="shared" si="2010"/>
        <v>33701</v>
      </c>
      <c r="CO700" s="118">
        <f t="shared" si="2011"/>
        <v>49.236697303335397</v>
      </c>
      <c r="CP700" s="186">
        <v>0.89743589743589747</v>
      </c>
      <c r="CQ700" s="118">
        <f>+CQ684*CP700+CO685*CP699+CO686*CP698+CO687*CP697+CO688*CP696+CO689*CP695+CO690*CP694+CO691*CP693+CO692*CP692+CO693*CP691+CO694*CP690+CO695*CP689+CO696*CP688+CO697*CP687+CO698*CP686+CO699*CP685+CO700</f>
        <v>1116.8432927978922</v>
      </c>
      <c r="CR700" s="119">
        <f t="shared" si="2012"/>
        <v>3.6739341406244318E-2</v>
      </c>
      <c r="CS700" s="119"/>
      <c r="CT700" s="177">
        <f t="shared" si="2013"/>
        <v>8.3128153783784478E-3</v>
      </c>
      <c r="CU700" s="177">
        <f t="shared" si="2021"/>
        <v>8.0616935317486607E-3</v>
      </c>
      <c r="CV700" s="119">
        <f>VLOOKUP($H700,RoR!$E:$F,2,FALSE)</f>
        <v>4.1625000000000002E-2</v>
      </c>
      <c r="CW700" s="177">
        <v>1.841352814597208E-2</v>
      </c>
      <c r="CX700" s="177">
        <f t="shared" si="2019"/>
        <v>2.3211471854027922E-2</v>
      </c>
      <c r="CY700" s="177">
        <f t="shared" si="2022"/>
        <v>2.2840248076784964E-2</v>
      </c>
      <c r="CZ700" s="177">
        <f t="shared" si="2023"/>
        <v>3.9072621432650924E-2</v>
      </c>
      <c r="DA700" s="187">
        <f t="shared" si="2014"/>
        <v>0.84971312500000007</v>
      </c>
      <c r="DB700" s="188">
        <f t="shared" si="2015"/>
        <v>1.2320012320012319</v>
      </c>
      <c r="DC700" s="188">
        <f t="shared" si="2016"/>
        <v>0.37439939939939942</v>
      </c>
      <c r="DD700" s="188">
        <f t="shared" si="2017"/>
        <v>0.80432100613819935</v>
      </c>
      <c r="DE700" s="188">
        <f t="shared" si="2018"/>
        <v>0.37100152660040037</v>
      </c>
      <c r="DF700" s="189">
        <f>INDEX('State Tax Lookup'!$D$7:$Z$91,MATCH(Calculation!$C700,'State Tax Lookup'!$B$7:$B$91,0),MATCH($H700,'State Tax Lookup'!$D$6:$Z$6,0))</f>
        <v>0.40076499999999998</v>
      </c>
      <c r="DG700" s="189">
        <v>0.375</v>
      </c>
      <c r="DH700" s="190">
        <f t="shared" si="2020"/>
        <v>22.112765286183738</v>
      </c>
      <c r="DI700" s="190">
        <v>21.745323504729122</v>
      </c>
      <c r="DJ700" s="177"/>
      <c r="DK700" s="189">
        <f>VLOOKUP($H700,RoR!$E:$F,2,FALSE)</f>
        <v>4.1625000000000002E-2</v>
      </c>
      <c r="DL700" s="191">
        <f>HLOOKUP($H700,'GDP-PI'!$D$8:$CQ$11,3,FALSE)</f>
        <v>1.841352814597208E-2</v>
      </c>
      <c r="DM700" s="189">
        <f>VLOOKUP(H700,'HW Dx Data'!$E:$F,2,FALSE)</f>
        <v>684.46914285042885</v>
      </c>
      <c r="DN700" s="183">
        <f>VLOOKUP(H700,'ECI - Input Price'!$G$17:$H$37,2,FALSE)</f>
        <v>121.2</v>
      </c>
      <c r="DO700" s="177">
        <f t="shared" ref="DO700" si="2064">LN(DN700/DN699)</f>
        <v>2.0632179200028689E-2</v>
      </c>
      <c r="DP700" s="183">
        <f>HLOOKUP(H700,'GDP-PI'!$8:$9,2,FALSE)</f>
        <v>103.64700000000001</v>
      </c>
      <c r="DQ700" s="177">
        <f t="shared" ref="DQ700" si="2065">LN(DP700/DP699)</f>
        <v>1.8246051898256087E-2</v>
      </c>
    </row>
    <row r="701" spans="1:121" s="167" customFormat="1" ht="21" x14ac:dyDescent="0.35">
      <c r="A701" s="167" t="s">
        <v>74</v>
      </c>
      <c r="B701" s="168" t="s">
        <v>74</v>
      </c>
      <c r="C701" s="168">
        <v>4057130</v>
      </c>
      <c r="D701" s="168" t="s">
        <v>142</v>
      </c>
      <c r="E701" s="168"/>
      <c r="F701" s="168"/>
      <c r="G701" s="168" t="s">
        <v>21</v>
      </c>
      <c r="H701" s="169">
        <v>2015</v>
      </c>
      <c r="I701" s="170"/>
      <c r="J701" s="166">
        <f>IFERROR(INDEX('Labor Expenditures'!$F$7:$X$91,MATCH($C701,'Labor Expenditures'!$D$7:$D$91,0),MATCH($G701,'Labor Expenditures'!$F$5:$X$5,0)),"NA")</f>
        <v>22061.793265834429</v>
      </c>
      <c r="K701" s="166">
        <f t="shared" si="2026"/>
        <v>178.27711729967214</v>
      </c>
      <c r="L701" s="172">
        <f t="shared" si="2036"/>
        <v>-0.14231196551720374</v>
      </c>
      <c r="M701" s="172">
        <f t="shared" si="2037"/>
        <v>-9.6792577787968364E-4</v>
      </c>
      <c r="N701" s="196"/>
      <c r="O701" s="172"/>
      <c r="P701" s="166">
        <f>IFERROR(INDEX('Non-Labor Expenditures'!$F$7:$AB$91,MATCH($C701,'Non-Labor Expenditures'!$D$7:$D$91,0),MATCH($G701,'Non-Labor Expenditures'!$F$5:$AB$5,0)),"NA")</f>
        <v>31949.59722352033</v>
      </c>
      <c r="Q701" s="166">
        <f t="shared" si="2027"/>
        <v>305.33163756840503</v>
      </c>
      <c r="R701" s="172">
        <f t="shared" si="2038"/>
        <v>-0.13101607388906092</v>
      </c>
      <c r="S701" s="172">
        <f t="shared" si="2042"/>
        <v>-8.9109748975029922E-4</v>
      </c>
      <c r="T701" s="172"/>
      <c r="U701" s="172"/>
      <c r="V701" s="166">
        <f t="shared" si="2008"/>
        <v>24169.339443371984</v>
      </c>
      <c r="W701" s="170"/>
      <c r="X701" s="174">
        <v>1156.6353421666463</v>
      </c>
      <c r="Y701" s="175">
        <v>3.500900590791773E-2</v>
      </c>
      <c r="Z701" s="175">
        <f t="shared" si="2043"/>
        <v>2.3811152599195393E-4</v>
      </c>
      <c r="AA701" s="175"/>
      <c r="AB701" s="175"/>
      <c r="AC701" s="170">
        <f t="shared" si="1869"/>
        <v>78180.729932726739</v>
      </c>
      <c r="AD701" s="175">
        <f t="shared" si="2039"/>
        <v>-8.1203270657908319E-2</v>
      </c>
      <c r="AE701" s="170"/>
      <c r="AF701" s="170"/>
      <c r="AG701" s="121">
        <f t="shared" si="2044"/>
        <v>492.52357660709197</v>
      </c>
      <c r="AH701" s="119">
        <f>+AZ701/$BB$53</f>
        <v>4.2974208716951056E-3</v>
      </c>
      <c r="AI701" s="119"/>
      <c r="AJ701" s="176">
        <f t="shared" si="2045"/>
        <v>2.1165810979132402</v>
      </c>
      <c r="AK701" s="176">
        <f t="shared" si="2046"/>
        <v>0</v>
      </c>
      <c r="AL701" s="120">
        <f t="shared" si="2028"/>
        <v>0.28218965574788374</v>
      </c>
      <c r="AM701" s="120">
        <f t="shared" si="2029"/>
        <v>0.40866332728042376</v>
      </c>
      <c r="AN701" s="120">
        <f t="shared" si="2030"/>
        <v>0.30914701697169256</v>
      </c>
      <c r="AO701" s="120">
        <f t="shared" si="2033"/>
        <v>-8.5300651422291873E-2</v>
      </c>
      <c r="AP701" s="173">
        <f t="shared" si="2050"/>
        <v>105.81066730561643</v>
      </c>
      <c r="AQ701" s="175">
        <f t="shared" si="2051"/>
        <v>-8.5300651422291832E-2</v>
      </c>
      <c r="AR701" s="177">
        <f>+AC701/$AE$53</f>
        <v>6.8014363680661376E-3</v>
      </c>
      <c r="AS701" s="177">
        <f t="shared" si="2047"/>
        <v>-5.8016695280330816E-4</v>
      </c>
      <c r="AT701" s="177"/>
      <c r="AU701" s="177"/>
      <c r="AV701" s="177"/>
      <c r="AW701" s="190"/>
      <c r="AX701" s="120"/>
      <c r="AY701" s="120"/>
      <c r="AZ701" s="118">
        <f>IFERROR(INDEX('Total Customers'!$F$7:$AB$91,MATCH($C701,'Total Customers'!$D$7:$D$91,0),MATCH($G701,'Total Customers'!$F$5:$AB$5,0)),"NA")</f>
        <v>158735</v>
      </c>
      <c r="BA701" s="119">
        <f t="shared" si="2009"/>
        <v>-9.6970009865382566E-4</v>
      </c>
      <c r="BB701" s="119"/>
      <c r="BC701" s="121"/>
      <c r="BD701" s="119"/>
      <c r="BE701" s="119"/>
      <c r="BF701" s="119"/>
      <c r="BG701" s="173"/>
      <c r="BH701" s="173"/>
      <c r="BI701" s="173"/>
      <c r="BJ701" s="173"/>
      <c r="BK701" s="173"/>
      <c r="BL701" s="173"/>
      <c r="BM701" s="173"/>
      <c r="BN701" s="173"/>
      <c r="BO701" s="173"/>
      <c r="BP701" s="173"/>
      <c r="BQ701" s="118"/>
      <c r="BR701" s="118"/>
      <c r="BS701" s="118">
        <f>INDEX('Dist. Plant Gas Additions'!$F$7:$AE$91,MATCH($C701,'Dist. Plant Gas Additions'!$D$7:$D$91,0),MATCH(Calculation!$G701,'Dist. Plant Gas Additions'!$F$5:$AE$5,0))</f>
        <v>32687</v>
      </c>
      <c r="BT701" s="118">
        <f>INDEX('Gen. Plant Additions'!$F$7:$AE$91,MATCH($C701,'Gen. Plant Additions'!$D$7:$D$91,0),MATCH(Calculation!$G701,'Gen. Plant Additions'!$F$5:$AE$5,0))</f>
        <v>639</v>
      </c>
      <c r="BU701" s="118"/>
      <c r="BV701" s="118"/>
      <c r="BW701" s="118">
        <f>INDEX('Dist Plant Depreciation'!$E$7:$AD$94,MATCH($C701,'Dist Plant Depreciation'!$D$7:$D$94,0),MATCH(Calculation!$G701,'Dist Plant Depreciation'!$E$5:$AD$5,0))</f>
        <v>162583</v>
      </c>
      <c r="BX701" s="118">
        <f>INDEX('Gen. Plant Depreciation'!$E$7:$AD$94,MATCH($C701,'Gen. Plant Depreciation'!$D$7:$D$94,0),MATCH(Calculation!$G701,'Gen. Plant Depreciation'!$E$5:$AD$5,0))</f>
        <v>9016</v>
      </c>
      <c r="BY701" s="118"/>
      <c r="BZ701" s="118"/>
      <c r="CA701" s="118"/>
      <c r="CB701" s="118"/>
      <c r="CC701" s="118"/>
      <c r="CD701" s="118"/>
      <c r="CE701" s="118">
        <f>INDEX('Gross Dx Plant'!$E$7:$AD$91,MATCH($C701,'Gross Dx Plant'!$D$7:$D$91,0),MATCH(Calculation!$G701,'Gross Dx Plant'!$E$5:$AD$5,0))</f>
        <v>448774</v>
      </c>
      <c r="CF701" s="118">
        <f>INDEX('Gross Gen Plant'!$E$7:$AD$91,MATCH($C701,'Gross Gen Plant'!$D$7:$D$91,0),MATCH(Calculation!$G701,'Gross Gen Plant'!$E$5:$AD$5,0))</f>
        <v>18003</v>
      </c>
      <c r="CG701" s="118">
        <f t="shared" si="1923"/>
        <v>295178</v>
      </c>
      <c r="CH701" s="118"/>
      <c r="CI701" s="121">
        <v>2015</v>
      </c>
      <c r="CJ701" s="118"/>
      <c r="CK701" s="118"/>
      <c r="CL701" s="118"/>
      <c r="CM701" s="183"/>
      <c r="CN701" s="118">
        <f t="shared" si="2010"/>
        <v>33326</v>
      </c>
      <c r="CO701" s="118">
        <f t="shared" si="2011"/>
        <v>49.326936344976168</v>
      </c>
      <c r="CP701" s="186">
        <v>0.88888888888888884</v>
      </c>
      <c r="CQ701" s="118">
        <f>+CQ684*CP701+CO685*CP700+CO686*CP699+CO687*CP698+CO688*CP697+CO689*CP696+CO690*CP695+CO691*CP694+CO692*CP693+CO693*CP692+CO694*CP691+CO695*CP690+CO696*CP689+CO697*CP688+CO698*CP687+CO699*CP686+CO700*CP685+CO701</f>
        <v>1156.6353421666463</v>
      </c>
      <c r="CR701" s="119">
        <f t="shared" si="2012"/>
        <v>3.500900590791773E-2</v>
      </c>
      <c r="CS701" s="119"/>
      <c r="CT701" s="177">
        <f t="shared" si="2013"/>
        <v>8.5373543788184406E-3</v>
      </c>
      <c r="CU701" s="177">
        <f t="shared" si="2021"/>
        <v>8.3076517874221562E-3</v>
      </c>
      <c r="CV701" s="119">
        <f>VLOOKUP($H701,RoR!$E:$F,2,FALSE)</f>
        <v>3.8866666666666674E-2</v>
      </c>
      <c r="CW701" s="177">
        <v>9.5709475431029478E-3</v>
      </c>
      <c r="CX701" s="177">
        <f t="shared" si="2019"/>
        <v>2.9295719123563727E-2</v>
      </c>
      <c r="CY701" s="177">
        <f t="shared" si="2022"/>
        <v>2.2594289821111467E-2</v>
      </c>
      <c r="CZ701" s="177">
        <f t="shared" si="2023"/>
        <v>3.5270373279175926E-3</v>
      </c>
      <c r="DA701" s="187">
        <f t="shared" si="2014"/>
        <v>0.84971312500000007</v>
      </c>
      <c r="DB701" s="188">
        <f t="shared" si="2015"/>
        <v>1.3194352816994324</v>
      </c>
      <c r="DC701" s="188">
        <f t="shared" si="2016"/>
        <v>0.33177530017152673</v>
      </c>
      <c r="DD701" s="188">
        <f t="shared" si="2017"/>
        <v>0.78242572977668579</v>
      </c>
      <c r="DE701" s="188">
        <f t="shared" si="2018"/>
        <v>0.34251158643433932</v>
      </c>
      <c r="DF701" s="189">
        <f>INDEX('State Tax Lookup'!$D$7:$Z$91,MATCH(Calculation!$C701,'State Tax Lookup'!$B$7:$B$91,0),MATCH($H701,'State Tax Lookup'!$D$6:$Z$6,0))</f>
        <v>0.40076499999999998</v>
      </c>
      <c r="DG701" s="189">
        <v>0.375</v>
      </c>
      <c r="DH701" s="190">
        <f t="shared" si="2020"/>
        <v>21.640761599439315</v>
      </c>
      <c r="DI701" s="190">
        <v>21.272618632535114</v>
      </c>
      <c r="DJ701" s="177"/>
      <c r="DK701" s="189">
        <f>VLOOKUP($H701,RoR!$E:$F,2,FALSE)</f>
        <v>3.8866666666666674E-2</v>
      </c>
      <c r="DL701" s="191">
        <f>HLOOKUP($H701,'GDP-PI'!$D$8:$CQ$11,3,FALSE)</f>
        <v>9.5709475431029478E-3</v>
      </c>
      <c r="DM701" s="189">
        <f>VLOOKUP(H701,'HW Dx Data'!$E:$F,2,FALSE)</f>
        <v>675.61463308665782</v>
      </c>
      <c r="DN701" s="183">
        <f>VLOOKUP(H701,'ECI - Input Price'!$G$17:$H$37,2,FALSE)</f>
        <v>123.75</v>
      </c>
      <c r="DO701" s="177">
        <f t="shared" ref="DO701" si="2066">LN(DN701/DN700)</f>
        <v>2.0821327813585516E-2</v>
      </c>
      <c r="DP701" s="183">
        <f>HLOOKUP(H701,'GDP-PI'!$8:$9,2,FALSE)</f>
        <v>104.639</v>
      </c>
      <c r="DQ701" s="177">
        <f t="shared" ref="DQ701" si="2067">LN(DP701/DP700)</f>
        <v>9.5254361854427965E-3</v>
      </c>
    </row>
    <row r="702" spans="1:121" s="167" customFormat="1" ht="21" x14ac:dyDescent="0.35">
      <c r="A702" s="167" t="s">
        <v>74</v>
      </c>
      <c r="B702" s="168" t="s">
        <v>74</v>
      </c>
      <c r="C702" s="168">
        <v>4057130</v>
      </c>
      <c r="D702" s="168" t="s">
        <v>142</v>
      </c>
      <c r="E702" s="168"/>
      <c r="F702" s="168"/>
      <c r="G702" s="168" t="s">
        <v>22</v>
      </c>
      <c r="H702" s="169">
        <v>2016</v>
      </c>
      <c r="I702" s="170"/>
      <c r="J702" s="166">
        <f>IFERROR(INDEX('Labor Expenditures'!$F$7:$X$91,MATCH($C702,'Labor Expenditures'!$D$7:$D$91,0),MATCH($G702,'Labor Expenditures'!$F$5:$X$5,0)),"NA")</f>
        <v>18325.01919332103</v>
      </c>
      <c r="K702" s="166">
        <f t="shared" si="2026"/>
        <v>144.97641766867903</v>
      </c>
      <c r="L702" s="172">
        <f t="shared" si="2036"/>
        <v>-0.20676808601109961</v>
      </c>
      <c r="M702" s="172">
        <f t="shared" si="2037"/>
        <v>-1.2074753403674508E-3</v>
      </c>
      <c r="N702" s="196"/>
      <c r="O702" s="172"/>
      <c r="P702" s="166">
        <f>IFERROR(INDEX('Non-Labor Expenditures'!$F$7:$AB$91,MATCH($C702,'Non-Labor Expenditures'!$D$7:$D$91,0),MATCH($G702,'Non-Labor Expenditures'!$F$5:$AB$5,0)),"NA")</f>
        <v>26538.050433396726</v>
      </c>
      <c r="Q702" s="166">
        <f t="shared" si="2027"/>
        <v>250.98405872547406</v>
      </c>
      <c r="R702" s="172">
        <f t="shared" si="2038"/>
        <v>-0.19600909611434741</v>
      </c>
      <c r="S702" s="172">
        <f t="shared" si="2042"/>
        <v>-1.1446454557454426E-3</v>
      </c>
      <c r="T702" s="172"/>
      <c r="U702" s="172"/>
      <c r="V702" s="166">
        <f t="shared" si="2008"/>
        <v>24617.691159204041</v>
      </c>
      <c r="W702" s="170"/>
      <c r="X702" s="174">
        <v>1176.3176694417671</v>
      </c>
      <c r="Y702" s="175">
        <v>1.6873716851381469E-2</v>
      </c>
      <c r="Z702" s="175">
        <f t="shared" si="2043"/>
        <v>9.8538403055547404E-5</v>
      </c>
      <c r="AA702" s="175"/>
      <c r="AB702" s="175"/>
      <c r="AC702" s="170">
        <f t="shared" ref="AC702:AC765" si="2068">+J702+P702+V702</f>
        <v>69480.760785921797</v>
      </c>
      <c r="AD702" s="175">
        <f t="shared" si="2039"/>
        <v>-0.11797330586320479</v>
      </c>
      <c r="AE702" s="170"/>
      <c r="AF702" s="170"/>
      <c r="AG702" s="121">
        <f t="shared" si="2044"/>
        <v>435.18223705473412</v>
      </c>
      <c r="AH702" s="119">
        <f>+AZ702/$BB$54</f>
        <v>4.2850894794628121E-3</v>
      </c>
      <c r="AI702" s="119"/>
      <c r="AJ702" s="176">
        <f t="shared" si="2045"/>
        <v>1.8647948256523328</v>
      </c>
      <c r="AK702" s="176">
        <f t="shared" si="2046"/>
        <v>0</v>
      </c>
      <c r="AL702" s="120">
        <f t="shared" si="2028"/>
        <v>0.26374235091901943</v>
      </c>
      <c r="AM702" s="120">
        <f t="shared" si="2029"/>
        <v>0.38194818440695411</v>
      </c>
      <c r="AN702" s="120">
        <f t="shared" si="2030"/>
        <v>0.35430946467402646</v>
      </c>
      <c r="AO702" s="120">
        <f t="shared" si="2033"/>
        <v>-0.12832669353982576</v>
      </c>
      <c r="AP702" s="173">
        <f t="shared" si="2050"/>
        <v>93.067463672222488</v>
      </c>
      <c r="AQ702" s="175">
        <f t="shared" si="2051"/>
        <v>-0.12832669353982559</v>
      </c>
      <c r="AR702" s="177">
        <f>+AC702/$AE$54</f>
        <v>5.8397568196410718E-3</v>
      </c>
      <c r="AS702" s="177">
        <f t="shared" si="2047"/>
        <v>-7.4939668374118633E-4</v>
      </c>
      <c r="AT702" s="177"/>
      <c r="AU702" s="177"/>
      <c r="AV702" s="177"/>
      <c r="AW702" s="190"/>
      <c r="AX702" s="120"/>
      <c r="AY702" s="120"/>
      <c r="AZ702" s="118">
        <f>IFERROR(INDEX('Total Customers'!$F$7:$AB$91,MATCH($C702,'Total Customers'!$D$7:$D$91,0),MATCH($G702,'Total Customers'!$F$5:$AB$5,0)),"NA")</f>
        <v>159659</v>
      </c>
      <c r="BA702" s="119">
        <f t="shared" si="2009"/>
        <v>5.8041457689710458E-3</v>
      </c>
      <c r="BB702" s="119"/>
      <c r="BC702" s="121"/>
      <c r="BD702" s="119"/>
      <c r="BE702" s="119"/>
      <c r="BF702" s="119"/>
      <c r="BG702" s="173"/>
      <c r="BH702" s="173"/>
      <c r="BI702" s="173"/>
      <c r="BJ702" s="173"/>
      <c r="BK702" s="173"/>
      <c r="BL702" s="173"/>
      <c r="BM702" s="173"/>
      <c r="BN702" s="173"/>
      <c r="BO702" s="173"/>
      <c r="BP702" s="173"/>
      <c r="BQ702" s="118"/>
      <c r="BR702" s="118"/>
      <c r="BS702" s="118">
        <f>INDEX('Dist. Plant Gas Additions'!$F$7:$AE$91,MATCH($C702,'Dist. Plant Gas Additions'!$D$7:$D$91,0),MATCH(Calculation!$G702,'Dist. Plant Gas Additions'!$F$5:$AE$5,0))</f>
        <v>17652</v>
      </c>
      <c r="BT702" s="118">
        <f>INDEX('Gen. Plant Additions'!$F$7:$AE$91,MATCH($C702,'Gen. Plant Additions'!$D$7:$D$91,0),MATCH(Calculation!$G702,'Gen. Plant Additions'!$F$5:$AE$5,0))</f>
        <v>2378</v>
      </c>
      <c r="BU702" s="118"/>
      <c r="BV702" s="118"/>
      <c r="BW702" s="118">
        <f>INDEX('Dist Plant Depreciation'!$E$7:$AD$94,MATCH($C702,'Dist Plant Depreciation'!$D$7:$D$94,0),MATCH(Calculation!$G702,'Dist Plant Depreciation'!$E$5:$AD$5,0))</f>
        <v>166455</v>
      </c>
      <c r="BX702" s="118">
        <f>INDEX('Gen. Plant Depreciation'!$E$7:$AD$94,MATCH($C702,'Gen. Plant Depreciation'!$D$7:$D$94,0),MATCH(Calculation!$G702,'Gen. Plant Depreciation'!$E$5:$AD$5,0))</f>
        <v>7188</v>
      </c>
      <c r="BY702" s="118"/>
      <c r="BZ702" s="118"/>
      <c r="CA702" s="118"/>
      <c r="CB702" s="118"/>
      <c r="CC702" s="118"/>
      <c r="CD702" s="118"/>
      <c r="CE702" s="118">
        <f>INDEX('Gross Dx Plant'!$E$7:$AD$91,MATCH($C702,'Gross Dx Plant'!$D$7:$D$91,0),MATCH(Calculation!$G702,'Gross Dx Plant'!$E$5:$AD$5,0))</f>
        <v>460824</v>
      </c>
      <c r="CF702" s="118">
        <f>INDEX('Gross Gen Plant'!$E$7:$AD$91,MATCH($C702,'Gross Gen Plant'!$D$7:$D$91,0),MATCH(Calculation!$G702,'Gross Gen Plant'!$E$5:$AD$5,0))</f>
        <v>17170</v>
      </c>
      <c r="CG702" s="118">
        <f t="shared" si="1923"/>
        <v>304351</v>
      </c>
      <c r="CH702" s="118"/>
      <c r="CI702" s="121">
        <v>2016</v>
      </c>
      <c r="CJ702" s="118"/>
      <c r="CK702" s="118"/>
      <c r="CL702" s="118"/>
      <c r="CM702" s="183"/>
      <c r="CN702" s="118">
        <f t="shared" si="2010"/>
        <v>20030</v>
      </c>
      <c r="CO702" s="118">
        <f t="shared" si="2011"/>
        <v>29.830678779990709</v>
      </c>
      <c r="CP702" s="186">
        <v>0.88</v>
      </c>
      <c r="CQ702" s="118">
        <f>+CQ684*CP702+CO685*CP701+CO686*CP700+CO687*CP699+CO688*CP698+CO689*CP697+CO690*CP696+CO691*CP695+CO692*CP694+CO693*CP693+CO694*CP692+CO695*CP691+CO696*CP690+CO697*CP689+CO698*CP688+CO699*CP687+CO700*CP686+CO701*CP685+CO702</f>
        <v>1176.3176694417671</v>
      </c>
      <c r="CR702" s="119">
        <f t="shared" si="2012"/>
        <v>1.6873716851381469E-2</v>
      </c>
      <c r="CS702" s="119"/>
      <c r="CT702" s="177">
        <f t="shared" si="2013"/>
        <v>8.7740285420119732E-3</v>
      </c>
      <c r="CU702" s="177">
        <f t="shared" si="2021"/>
        <v>8.54139943306962E-3</v>
      </c>
      <c r="CV702" s="119">
        <f>VLOOKUP($H702,RoR!$E:$F,2,FALSE)</f>
        <v>3.6658333333333334E-2</v>
      </c>
      <c r="CW702" s="177">
        <v>1.0483662879041455E-2</v>
      </c>
      <c r="CX702" s="177">
        <f t="shared" si="2019"/>
        <v>2.6174670454291879E-2</v>
      </c>
      <c r="CY702" s="177">
        <f t="shared" si="2022"/>
        <v>2.2360542175464005E-2</v>
      </c>
      <c r="CZ702" s="177">
        <f t="shared" si="2023"/>
        <v>4.301363574220729E-3</v>
      </c>
      <c r="DA702" s="187">
        <f t="shared" si="2014"/>
        <v>0.84971312500000007</v>
      </c>
      <c r="DB702" s="188">
        <f t="shared" si="2015"/>
        <v>1.3989193348138562</v>
      </c>
      <c r="DC702" s="188">
        <f t="shared" si="2016"/>
        <v>0.29302682427824522</v>
      </c>
      <c r="DD702" s="188">
        <f t="shared" si="2017"/>
        <v>0.76309497491941802</v>
      </c>
      <c r="DE702" s="188">
        <f t="shared" si="2018"/>
        <v>0.31280857135128509</v>
      </c>
      <c r="DF702" s="189">
        <f>INDEX('State Tax Lookup'!$D$7:$Z$91,MATCH(Calculation!$C702,'State Tax Lookup'!$B$7:$B$91,0),MATCH($H702,'State Tax Lookup'!$D$6:$Z$6,0))</f>
        <v>0.40076499999999998</v>
      </c>
      <c r="DG702" s="189">
        <v>0.375</v>
      </c>
      <c r="DH702" s="190">
        <f t="shared" si="2020"/>
        <v>21.283882881435556</v>
      </c>
      <c r="DI702" s="190">
        <v>20.892074203253422</v>
      </c>
      <c r="DJ702" s="177"/>
      <c r="DK702" s="189">
        <f>VLOOKUP($H702,RoR!$E:$F,2,FALSE)</f>
        <v>3.6658333333333334E-2</v>
      </c>
      <c r="DL702" s="191">
        <f>HLOOKUP($H702,'GDP-PI'!$D$8:$CQ$11,3,FALSE)</f>
        <v>1.0483662879041455E-2</v>
      </c>
      <c r="DM702" s="189">
        <f>VLOOKUP(H702,'HW Dx Data'!$E:$F,2,FALSE)</f>
        <v>671.45639385971219</v>
      </c>
      <c r="DN702" s="183">
        <f>VLOOKUP(H702,'ECI - Input Price'!$G$17:$H$37,2,FALSE)</f>
        <v>126.4</v>
      </c>
      <c r="DO702" s="177">
        <f t="shared" ref="DO702" si="2069">LN(DN702/DN701)</f>
        <v>2.11880802639575E-2</v>
      </c>
      <c r="DP702" s="183">
        <f>HLOOKUP(H702,'GDP-PI'!$8:$9,2,FALSE)</f>
        <v>105.736</v>
      </c>
      <c r="DQ702" s="177">
        <f t="shared" ref="DQ702" si="2070">LN(DP702/DP701)</f>
        <v>1.0429090367205095E-2</v>
      </c>
    </row>
    <row r="703" spans="1:121" s="167" customFormat="1" ht="21" x14ac:dyDescent="0.35">
      <c r="A703" s="167" t="s">
        <v>74</v>
      </c>
      <c r="B703" s="168" t="s">
        <v>74</v>
      </c>
      <c r="C703" s="168">
        <v>4057130</v>
      </c>
      <c r="D703" s="168" t="s">
        <v>142</v>
      </c>
      <c r="E703" s="168"/>
      <c r="F703" s="168"/>
      <c r="G703" s="168" t="s">
        <v>23</v>
      </c>
      <c r="H703" s="169">
        <v>2017</v>
      </c>
      <c r="I703" s="170"/>
      <c r="J703" s="166">
        <f>IFERROR(INDEX('Labor Expenditures'!$F$7:$X$91,MATCH($C703,'Labor Expenditures'!$D$7:$D$91,0),MATCH($G703,'Labor Expenditures'!$F$5:$X$5,0)),"NA")</f>
        <v>16619.858035695579</v>
      </c>
      <c r="K703" s="166">
        <f t="shared" si="2026"/>
        <v>128.33867209031334</v>
      </c>
      <c r="L703" s="172">
        <f t="shared" si="2036"/>
        <v>-0.12189844696792083</v>
      </c>
      <c r="M703" s="172">
        <f t="shared" si="2037"/>
        <v>-6.5102598824388002E-4</v>
      </c>
      <c r="N703" s="196"/>
      <c r="O703" s="172"/>
      <c r="P703" s="166">
        <f>IFERROR(INDEX('Non-Labor Expenditures'!$F$7:$AB$91,MATCH($C703,'Non-Labor Expenditures'!$D$7:$D$91,0),MATCH($G703,'Non-Labor Expenditures'!$F$5:$AB$5,0)),"NA")</f>
        <v>24068.658596981826</v>
      </c>
      <c r="Q703" s="166">
        <f t="shared" si="2027"/>
        <v>223.37294871492446</v>
      </c>
      <c r="R703" s="172">
        <f t="shared" si="2038"/>
        <v>-0.11654663576883034</v>
      </c>
      <c r="S703" s="172">
        <f t="shared" si="2042"/>
        <v>-6.2244344054579936E-4</v>
      </c>
      <c r="T703" s="172"/>
      <c r="U703" s="172"/>
      <c r="V703" s="166">
        <f t="shared" si="2008"/>
        <v>22585.027318274228</v>
      </c>
      <c r="W703" s="170"/>
      <c r="X703" s="174">
        <v>1209.2517993301542</v>
      </c>
      <c r="Y703" s="175">
        <v>2.7612880616841449E-2</v>
      </c>
      <c r="Z703" s="175">
        <f t="shared" si="2043"/>
        <v>1.4747278032648182E-4</v>
      </c>
      <c r="AA703" s="175"/>
      <c r="AB703" s="175"/>
      <c r="AC703" s="170">
        <f t="shared" si="2068"/>
        <v>63273.543950951629</v>
      </c>
      <c r="AD703" s="175">
        <f t="shared" si="2039"/>
        <v>-9.3582596300440191E-2</v>
      </c>
      <c r="AE703" s="170"/>
      <c r="AF703" s="170"/>
      <c r="AG703" s="121">
        <f t="shared" si="2044"/>
        <v>395.14600255392048</v>
      </c>
      <c r="AH703" s="119">
        <f>+AZ703/$BB$55</f>
        <v>4.2653608589242782E-3</v>
      </c>
      <c r="AI703" s="119"/>
      <c r="AJ703" s="176">
        <f t="shared" si="2045"/>
        <v>1.6854402928538852</v>
      </c>
      <c r="AK703" s="176">
        <f t="shared" si="2046"/>
        <v>0</v>
      </c>
      <c r="AL703" s="120">
        <f t="shared" si="2028"/>
        <v>0.26266677979313052</v>
      </c>
      <c r="AM703" s="120">
        <f t="shared" si="2029"/>
        <v>0.38039055652769133</v>
      </c>
      <c r="AN703" s="120">
        <f t="shared" si="2030"/>
        <v>0.35694266367917821</v>
      </c>
      <c r="AO703" s="120">
        <f t="shared" si="2033"/>
        <v>-6.6688375483515847E-2</v>
      </c>
      <c r="AP703" s="173">
        <f t="shared" si="2050"/>
        <v>87.063372281221902</v>
      </c>
      <c r="AQ703" s="175">
        <f t="shared" si="2051"/>
        <v>-6.6688375483515791E-2</v>
      </c>
      <c r="AR703" s="177">
        <f>+AC703/$AE$55</f>
        <v>5.3407242211642447E-3</v>
      </c>
      <c r="AS703" s="177">
        <f t="shared" si="2047"/>
        <v>-3.561642222149086E-4</v>
      </c>
      <c r="AT703" s="177"/>
      <c r="AU703" s="177"/>
      <c r="AV703" s="177"/>
      <c r="AW703" s="190"/>
      <c r="AX703" s="120"/>
      <c r="AY703" s="120"/>
      <c r="AZ703" s="118">
        <f>IFERROR(INDEX('Total Customers'!$F$7:$AB$91,MATCH($C703,'Total Customers'!$D$7:$D$91,0),MATCH($G703,'Total Customers'!$F$5:$AB$5,0)),"NA")</f>
        <v>160127</v>
      </c>
      <c r="BA703" s="119">
        <f t="shared" si="2009"/>
        <v>2.9269594923889814E-3</v>
      </c>
      <c r="BB703" s="119"/>
      <c r="BC703" s="121"/>
      <c r="BD703" s="119"/>
      <c r="BE703" s="119"/>
      <c r="BF703" s="119"/>
      <c r="BG703" s="173"/>
      <c r="BH703" s="173"/>
      <c r="BI703" s="173"/>
      <c r="BJ703" s="173"/>
      <c r="BK703" s="173"/>
      <c r="BL703" s="173"/>
      <c r="BM703" s="173"/>
      <c r="BN703" s="173"/>
      <c r="BO703" s="173"/>
      <c r="BP703" s="173"/>
      <c r="BQ703" s="118"/>
      <c r="BR703" s="118"/>
      <c r="BS703" s="118">
        <f>INDEX('Dist. Plant Gas Additions'!$F$7:$AE$91,MATCH($C703,'Dist. Plant Gas Additions'!$D$7:$D$91,0),MATCH(Calculation!$G703,'Dist. Plant Gas Additions'!$F$5:$AE$5,0))</f>
        <v>30029</v>
      </c>
      <c r="BT703" s="118">
        <f>INDEX('Gen. Plant Additions'!$F$7:$AE$91,MATCH($C703,'Gen. Plant Additions'!$D$7:$D$91,0),MATCH(Calculation!$G703,'Gen. Plant Additions'!$F$5:$AE$5,0))</f>
        <v>1053</v>
      </c>
      <c r="BU703" s="118"/>
      <c r="BV703" s="118"/>
      <c r="BW703" s="118">
        <f>INDEX('Dist Plant Depreciation'!$E$7:$AD$94,MATCH($C703,'Dist Plant Depreciation'!$D$7:$D$94,0),MATCH(Calculation!$G703,'Dist Plant Depreciation'!$E$5:$AD$5,0))</f>
        <v>171669</v>
      </c>
      <c r="BX703" s="118">
        <f>INDEX('Gen. Plant Depreciation'!$E$7:$AD$94,MATCH($C703,'Gen. Plant Depreciation'!$D$7:$D$94,0),MATCH(Calculation!$G703,'Gen. Plant Depreciation'!$E$5:$AD$5,0))</f>
        <v>7440</v>
      </c>
      <c r="BY703" s="118"/>
      <c r="BZ703" s="118"/>
      <c r="CA703" s="118"/>
      <c r="CB703" s="118"/>
      <c r="CC703" s="118"/>
      <c r="CD703" s="118"/>
      <c r="CE703" s="118">
        <f>INDEX('Gross Dx Plant'!$E$7:$AD$91,MATCH($C703,'Gross Dx Plant'!$D$7:$D$91,0),MATCH(Calculation!$G703,'Gross Dx Plant'!$E$5:$AD$5,0))</f>
        <v>486023</v>
      </c>
      <c r="CF703" s="118">
        <f>INDEX('Gross Gen Plant'!$E$7:$AD$91,MATCH($C703,'Gross Gen Plant'!$D$7:$D$91,0),MATCH(Calculation!$G703,'Gross Gen Plant'!$E$5:$AD$5,0))</f>
        <v>17573</v>
      </c>
      <c r="CG703" s="118">
        <f t="shared" si="1923"/>
        <v>324487</v>
      </c>
      <c r="CH703" s="118"/>
      <c r="CI703" s="121">
        <v>2017</v>
      </c>
      <c r="CJ703" s="118"/>
      <c r="CK703" s="118"/>
      <c r="CL703" s="118"/>
      <c r="CM703" s="183"/>
      <c r="CN703" s="118">
        <f t="shared" si="2010"/>
        <v>31082</v>
      </c>
      <c r="CO703" s="118">
        <f t="shared" si="2011"/>
        <v>43.628232655230249</v>
      </c>
      <c r="CP703" s="186">
        <v>0.87074829931972786</v>
      </c>
      <c r="CQ703" s="118">
        <f>+CQ684*CP703+CO685*CP702+CO686*CP701+CO687*CP700+CO688*CP699+CO689*CP698+CO690*CP697+CO691*CP696+CO692*CP695+CO693*CP694+CO694*CP693+CO695*CP692+CO696*CP691+CO697*CP690+CO698*CP689+CO699*CP688+CO700*CP687+CO701*CP686+CO702*CP685+CO703</f>
        <v>1209.2517993301542</v>
      </c>
      <c r="CR703" s="119">
        <f t="shared" si="2012"/>
        <v>2.7612880616841449E-2</v>
      </c>
      <c r="CS703" s="119"/>
      <c r="CT703" s="177">
        <f t="shared" si="2013"/>
        <v>9.0911690308266013E-3</v>
      </c>
      <c r="CU703" s="177">
        <f t="shared" si="2021"/>
        <v>8.8008506505523384E-3</v>
      </c>
      <c r="CV703" s="119">
        <f>VLOOKUP($H703,RoR!$E:$F,2,FALSE)</f>
        <v>3.7433333333333339E-2</v>
      </c>
      <c r="CW703" s="177">
        <v>1.9056896421275615E-2</v>
      </c>
      <c r="CX703" s="177">
        <f t="shared" si="2019"/>
        <v>1.8376436912057724E-2</v>
      </c>
      <c r="CY703" s="177">
        <f t="shared" si="2022"/>
        <v>2.2101090957981288E-2</v>
      </c>
      <c r="CZ703" s="177">
        <f t="shared" si="2023"/>
        <v>1.3976271617800498E-2</v>
      </c>
      <c r="DA703" s="187">
        <f t="shared" si="2014"/>
        <v>0.90221312500000006</v>
      </c>
      <c r="DB703" s="188">
        <f t="shared" si="2015"/>
        <v>1.3699568463593395</v>
      </c>
      <c r="DC703" s="188">
        <f t="shared" si="2016"/>
        <v>0.30714603739982199</v>
      </c>
      <c r="DD703" s="188">
        <f t="shared" si="2017"/>
        <v>0.77007188472689425</v>
      </c>
      <c r="DE703" s="188">
        <f t="shared" si="2018"/>
        <v>0.32402839633793828</v>
      </c>
      <c r="DF703" s="189">
        <f>INDEX('State Tax Lookup'!$D$7:$Z$91,MATCH(Calculation!$C703,'State Tax Lookup'!$B$7:$B$91,0),MATCH($H703,'State Tax Lookup'!$D$6:$Z$6,0))</f>
        <v>0.26076499999999997</v>
      </c>
      <c r="DG703" s="189">
        <v>0.375</v>
      </c>
      <c r="DH703" s="190">
        <f t="shared" si="2020"/>
        <v>19.199768825195129</v>
      </c>
      <c r="DI703" s="190">
        <v>18.828554712096288</v>
      </c>
      <c r="DJ703" s="177"/>
      <c r="DK703" s="189">
        <f>VLOOKUP($H703,RoR!$E:$F,2,FALSE)</f>
        <v>3.7433333333333339E-2</v>
      </c>
      <c r="DL703" s="191">
        <f>HLOOKUP($H703,'GDP-PI'!$D$8:$CQ$11,3,FALSE)</f>
        <v>1.9056896421275615E-2</v>
      </c>
      <c r="DM703" s="189">
        <f>VLOOKUP(H703,'HW Dx Data'!$E:$F,2,FALSE)</f>
        <v>712.42858370229726</v>
      </c>
      <c r="DN703" s="183">
        <f>VLOOKUP(H703,'ECI - Input Price'!$G$17:$H$37,2,FALSE)</f>
        <v>129.5</v>
      </c>
      <c r="DO703" s="177">
        <f t="shared" ref="DO703" si="2071">LN(DN703/DN702)</f>
        <v>2.4229399426835413E-2</v>
      </c>
      <c r="DP703" s="183">
        <f>HLOOKUP(H703,'GDP-PI'!$8:$9,2,FALSE)</f>
        <v>107.751</v>
      </c>
      <c r="DQ703" s="177">
        <f t="shared" ref="DQ703" si="2072">LN(DP703/DP702)</f>
        <v>1.8877588227745139E-2</v>
      </c>
    </row>
    <row r="704" spans="1:121" s="167" customFormat="1" ht="21" x14ac:dyDescent="0.35">
      <c r="A704" s="167" t="s">
        <v>74</v>
      </c>
      <c r="B704" s="168" t="s">
        <v>74</v>
      </c>
      <c r="C704" s="168">
        <v>4057130</v>
      </c>
      <c r="D704" s="168" t="s">
        <v>142</v>
      </c>
      <c r="E704" s="168"/>
      <c r="F704" s="168"/>
      <c r="G704" s="168" t="s">
        <v>24</v>
      </c>
      <c r="H704" s="169">
        <v>2018</v>
      </c>
      <c r="I704" s="170"/>
      <c r="J704" s="166">
        <f>IFERROR(INDEX('Labor Expenditures'!$F$7:$X$91,MATCH($C704,'Labor Expenditures'!$D$7:$D$91,0),MATCH($G704,'Labor Expenditures'!$F$5:$X$5,0)),"NA")</f>
        <v>17033.83902273218</v>
      </c>
      <c r="K704" s="166">
        <f t="shared" si="2026"/>
        <v>127.83368872594507</v>
      </c>
      <c r="L704" s="172">
        <f t="shared" si="2036"/>
        <v>-3.9425331980596978E-3</v>
      </c>
      <c r="M704" s="172">
        <f t="shared" si="2037"/>
        <v>-2.0188544046221607E-5</v>
      </c>
      <c r="N704" s="196"/>
      <c r="O704" s="172"/>
      <c r="P704" s="166">
        <f>IFERROR(INDEX('Non-Labor Expenditures'!$F$7:$AB$91,MATCH($C704,'Non-Labor Expenditures'!$D$7:$D$91,0),MATCH($G704,'Non-Labor Expenditures'!$F$5:$AB$5,0)),"NA")</f>
        <v>24668.180387193584</v>
      </c>
      <c r="Q704" s="166">
        <f t="shared" si="2027"/>
        <v>223.60164234870274</v>
      </c>
      <c r="R704" s="172">
        <f t="shared" si="2038"/>
        <v>1.0232959917930984E-3</v>
      </c>
      <c r="S704" s="172">
        <f t="shared" si="2042"/>
        <v>5.2399954965006172E-6</v>
      </c>
      <c r="T704" s="172"/>
      <c r="U704" s="172"/>
      <c r="V704" s="166">
        <f t="shared" si="2008"/>
        <v>24263.307228420752</v>
      </c>
      <c r="W704" s="170"/>
      <c r="X704" s="174">
        <v>1271.0300788629718</v>
      </c>
      <c r="Y704" s="175">
        <v>4.9825836745246412E-2</v>
      </c>
      <c r="Z704" s="175">
        <f t="shared" si="2043"/>
        <v>2.5514334293147092E-4</v>
      </c>
      <c r="AA704" s="175"/>
      <c r="AB704" s="175"/>
      <c r="AC704" s="170">
        <f t="shared" si="2068"/>
        <v>65965.326638346509</v>
      </c>
      <c r="AD704" s="175">
        <f t="shared" si="2039"/>
        <v>4.1661955291695467E-2</v>
      </c>
      <c r="AE704" s="170"/>
      <c r="AF704" s="170"/>
      <c r="AG704" s="121">
        <f t="shared" si="2044"/>
        <v>405.61348474981099</v>
      </c>
      <c r="AH704" s="119">
        <f>+AZ704/$BB$56</f>
        <v>4.2944313532384797E-3</v>
      </c>
      <c r="AI704" s="119"/>
      <c r="AJ704" s="176">
        <f t="shared" si="2045"/>
        <v>1.7418792662059064</v>
      </c>
      <c r="AK704" s="176">
        <f t="shared" si="2046"/>
        <v>0</v>
      </c>
      <c r="AL704" s="120">
        <f t="shared" si="2028"/>
        <v>0.25822412911134113</v>
      </c>
      <c r="AM704" s="120">
        <f t="shared" si="2029"/>
        <v>0.37395676856777132</v>
      </c>
      <c r="AN704" s="120">
        <f t="shared" si="2030"/>
        <v>0.36781910232088766</v>
      </c>
      <c r="AO704" s="120">
        <f t="shared" si="2033"/>
        <v>1.7415076162591213E-2</v>
      </c>
      <c r="AP704" s="173">
        <f t="shared" si="2050"/>
        <v>88.592867018282874</v>
      </c>
      <c r="AQ704" s="175">
        <f t="shared" si="2051"/>
        <v>1.7415076162591192E-2</v>
      </c>
      <c r="AR704" s="177">
        <f>+AC704/$AE$56</f>
        <v>5.1207036268349805E-3</v>
      </c>
      <c r="AS704" s="177">
        <f t="shared" si="2047"/>
        <v>8.9177443667388137E-5</v>
      </c>
      <c r="AT704" s="177"/>
      <c r="AU704" s="177"/>
      <c r="AV704" s="177"/>
      <c r="AW704" s="190"/>
      <c r="AX704" s="120"/>
      <c r="AY704" s="120"/>
      <c r="AZ704" s="118">
        <f>IFERROR(INDEX('Total Customers'!$F$7:$AB$91,MATCH($C704,'Total Customers'!$D$7:$D$91,0),MATCH($G704,'Total Customers'!$F$5:$AB$5,0)),"NA")</f>
        <v>162631</v>
      </c>
      <c r="BA704" s="119">
        <f t="shared" si="2009"/>
        <v>1.5516580467569938E-2</v>
      </c>
      <c r="BB704" s="119"/>
      <c r="BC704" s="121"/>
      <c r="BD704" s="119"/>
      <c r="BE704" s="119"/>
      <c r="BF704" s="119"/>
      <c r="BG704" s="173"/>
      <c r="BH704" s="173"/>
      <c r="BI704" s="173"/>
      <c r="BJ704" s="173"/>
      <c r="BK704" s="173"/>
      <c r="BL704" s="173"/>
      <c r="BM704" s="173"/>
      <c r="BN704" s="173"/>
      <c r="BO704" s="173"/>
      <c r="BP704" s="173"/>
      <c r="BQ704" s="118"/>
      <c r="BR704" s="118"/>
      <c r="BS704" s="118">
        <f>INDEX('Dist. Plant Gas Additions'!$F$7:$AE$91,MATCH($C704,'Dist. Plant Gas Additions'!$D$7:$D$91,0),MATCH(Calculation!$G704,'Dist. Plant Gas Additions'!$F$5:$AE$5,0))</f>
        <v>53291</v>
      </c>
      <c r="BT704" s="118">
        <f>INDEX('Gen. Plant Additions'!$F$7:$AE$91,MATCH($C704,'Gen. Plant Additions'!$D$7:$D$91,0),MATCH(Calculation!$G704,'Gen. Plant Additions'!$F$5:$AE$5,0))</f>
        <v>1921</v>
      </c>
      <c r="BU704" s="118"/>
      <c r="BV704" s="118"/>
      <c r="BW704" s="118">
        <f>INDEX('Dist Plant Depreciation'!$E$7:$AD$94,MATCH($C704,'Dist Plant Depreciation'!$D$7:$D$94,0),MATCH(Calculation!$G704,'Dist Plant Depreciation'!$E$5:$AD$5,0))</f>
        <v>188787</v>
      </c>
      <c r="BX704" s="118">
        <f>INDEX('Gen. Plant Depreciation'!$E$7:$AD$94,MATCH($C704,'Gen. Plant Depreciation'!$D$7:$D$94,0),MATCH(Calculation!$G704,'Gen. Plant Depreciation'!$E$5:$AD$5,0))</f>
        <v>7650</v>
      </c>
      <c r="BY704" s="118"/>
      <c r="BZ704" s="118"/>
      <c r="CA704" s="118"/>
      <c r="CB704" s="118"/>
      <c r="CC704" s="118"/>
      <c r="CD704" s="118"/>
      <c r="CE704" s="118">
        <f>INDEX('Gross Dx Plant'!$E$7:$AD$91,MATCH($C704,'Gross Dx Plant'!$D$7:$D$91,0),MATCH(Calculation!$G704,'Gross Dx Plant'!$E$5:$AD$5,0))</f>
        <v>536477</v>
      </c>
      <c r="CF704" s="118">
        <f>INDEX('Gross Gen Plant'!$E$7:$AD$91,MATCH($C704,'Gross Gen Plant'!$D$7:$D$91,0),MATCH(Calculation!$G704,'Gross Gen Plant'!$E$5:$AD$5,0))</f>
        <v>18704</v>
      </c>
      <c r="CG704" s="118">
        <f t="shared" si="1923"/>
        <v>358744</v>
      </c>
      <c r="CH704" s="118"/>
      <c r="CI704" s="121">
        <v>2018</v>
      </c>
      <c r="CJ704" s="118"/>
      <c r="CK704" s="118"/>
      <c r="CL704" s="118"/>
      <c r="CM704" s="183"/>
      <c r="CN704" s="118">
        <f t="shared" si="2010"/>
        <v>55212</v>
      </c>
      <c r="CO704" s="118">
        <f t="shared" si="2011"/>
        <v>73.115237216519418</v>
      </c>
      <c r="CP704" s="186">
        <v>0.86111111111111116</v>
      </c>
      <c r="CQ704" s="118">
        <f>+CQ684*CP704++CO685*CP703+CO686*CP702+CO687*CP701+CO688*CP700+CO689*CP699+CO690*CP698+CO691*CP697+CO692*CP696+CO693*CP695+CO694*CP694+CO695*CP693+CO696*CP692+CO697*CP691+CO698*CP690+CO699*CP689+CO700*CP688+CO701*CP687+CO702*CP686+CO703*CP685+CO704</f>
        <v>1271.0300788629718</v>
      </c>
      <c r="CR704" s="119">
        <f t="shared" si="2012"/>
        <v>4.9825836745246412E-2</v>
      </c>
      <c r="CS704" s="119"/>
      <c r="CT704" s="177">
        <f t="shared" si="2013"/>
        <v>9.3751836383305504E-3</v>
      </c>
      <c r="CU704" s="177">
        <f t="shared" si="2021"/>
        <v>9.0801270703897083E-3</v>
      </c>
      <c r="CV704" s="119">
        <f>VLOOKUP($H704,RoR!$E:$F,2,FALSE)</f>
        <v>3.9299999999999995E-2</v>
      </c>
      <c r="CW704" s="177">
        <v>2.386056741932796E-2</v>
      </c>
      <c r="CX704" s="177">
        <f t="shared" si="2019"/>
        <v>1.5439432580672034E-2</v>
      </c>
      <c r="CY704" s="177">
        <f t="shared" si="2022"/>
        <v>2.1821814538143917E-2</v>
      </c>
      <c r="CZ704" s="177">
        <f t="shared" si="2023"/>
        <v>3.8270792163076606E-2</v>
      </c>
      <c r="DA704" s="187">
        <f t="shared" si="2014"/>
        <v>0.90221312500000006</v>
      </c>
      <c r="DB704" s="188">
        <f t="shared" si="2015"/>
        <v>1.3048868010700074</v>
      </c>
      <c r="DC704" s="188">
        <f t="shared" si="2016"/>
        <v>0.33886768447837151</v>
      </c>
      <c r="DD704" s="188">
        <f t="shared" si="2017"/>
        <v>0.78602506232557801</v>
      </c>
      <c r="DE704" s="188">
        <f t="shared" si="2018"/>
        <v>0.34756768162358759</v>
      </c>
      <c r="DF704" s="189">
        <f>INDEX('State Tax Lookup'!$D$7:$Z$91,MATCH(Calculation!$C704,'State Tax Lookup'!$B$7:$B$91,0),MATCH($H704,'State Tax Lookup'!$D$6:$Z$6,0))</f>
        <v>0.26076499999999997</v>
      </c>
      <c r="DG704" s="189">
        <v>0.375</v>
      </c>
      <c r="DH704" s="190">
        <f t="shared" si="2020"/>
        <v>20.064727000498181</v>
      </c>
      <c r="DI704" s="190">
        <v>19.684134180159813</v>
      </c>
      <c r="DJ704" s="177"/>
      <c r="DK704" s="189">
        <f>VLOOKUP($H704,RoR!$E:$F,2,FALSE)</f>
        <v>3.9299999999999995E-2</v>
      </c>
      <c r="DL704" s="191">
        <f>HLOOKUP($H704,'GDP-PI'!$D$8:$CQ$11,3,FALSE)</f>
        <v>2.386056741932796E-2</v>
      </c>
      <c r="DM704" s="189">
        <f>VLOOKUP(H704,'HW Dx Data'!$E:$F,2,FALSE)</f>
        <v>755.13671434174842</v>
      </c>
      <c r="DN704" s="183">
        <f>VLOOKUP(H704,'ECI - Input Price'!$G$17:$H$37,2,FALSE)</f>
        <v>133.25</v>
      </c>
      <c r="DO704" s="177">
        <f t="shared" ref="DO704" si="2073">LN(DN704/DN703)</f>
        <v>2.8546181906361531E-2</v>
      </c>
      <c r="DP704" s="183">
        <f>HLOOKUP(H704,'GDP-PI'!$8:$9,2,FALSE)</f>
        <v>110.322</v>
      </c>
      <c r="DQ704" s="177">
        <f t="shared" ref="DQ704" si="2074">LN(DP704/DP703)</f>
        <v>2.3580352716508712E-2</v>
      </c>
    </row>
    <row r="705" spans="1:121" s="167" customFormat="1" ht="21" x14ac:dyDescent="0.35">
      <c r="A705" s="167" t="s">
        <v>74</v>
      </c>
      <c r="B705" s="168" t="s">
        <v>74</v>
      </c>
      <c r="C705" s="168">
        <v>4057130</v>
      </c>
      <c r="D705" s="168" t="s">
        <v>142</v>
      </c>
      <c r="E705" s="168"/>
      <c r="F705" s="168"/>
      <c r="G705" s="168" t="s">
        <v>25</v>
      </c>
      <c r="H705" s="169">
        <v>2019</v>
      </c>
      <c r="I705" s="170"/>
      <c r="J705" s="166">
        <f>IFERROR(INDEX('Labor Expenditures'!$F$7:$X$91,MATCH($C705,'Labor Expenditures'!$D$7:$D$91,0),MATCH($G705,'Labor Expenditures'!$F$5:$X$5,0)),"NA")</f>
        <v>15728.230746896625</v>
      </c>
      <c r="K705" s="166">
        <f t="shared" si="2026"/>
        <v>114.93044024038454</v>
      </c>
      <c r="L705" s="172">
        <f t="shared" si="2036"/>
        <v>-0.10640303437786798</v>
      </c>
      <c r="M705" s="172">
        <f t="shared" si="2037"/>
        <v>-5.149761151048214E-4</v>
      </c>
      <c r="N705" s="196"/>
      <c r="O705" s="172"/>
      <c r="P705" s="166">
        <f>IFERROR(INDEX('Non-Labor Expenditures'!$F$7:$AB$91,MATCH($C705,'Non-Labor Expenditures'!$D$7:$D$91,0),MATCH($G705,'Non-Labor Expenditures'!$F$5:$AB$5,0)),"NA")</f>
        <v>22777.415749794869</v>
      </c>
      <c r="Q705" s="166">
        <f t="shared" si="2027"/>
        <v>202.79399339193068</v>
      </c>
      <c r="R705" s="172">
        <f t="shared" si="2038"/>
        <v>-9.7675433388535585E-2</v>
      </c>
      <c r="S705" s="172">
        <f t="shared" si="2042"/>
        <v>-4.7273572151125055E-4</v>
      </c>
      <c r="T705" s="172"/>
      <c r="U705" s="172"/>
      <c r="V705" s="166">
        <f t="shared" si="2008"/>
        <v>25793.081805399852</v>
      </c>
      <c r="W705" s="170"/>
      <c r="X705" s="174">
        <v>1298.1797674679285</v>
      </c>
      <c r="Y705" s="175">
        <v>2.1135446993146637E-2</v>
      </c>
      <c r="Z705" s="175">
        <f t="shared" si="2043"/>
        <v>1.0229266906882945E-4</v>
      </c>
      <c r="AA705" s="175"/>
      <c r="AB705" s="175"/>
      <c r="AC705" s="170">
        <f t="shared" si="2068"/>
        <v>64298.728302091346</v>
      </c>
      <c r="AD705" s="175">
        <f t="shared" si="2039"/>
        <v>-2.5589396539690543E-2</v>
      </c>
      <c r="AE705" s="170"/>
      <c r="AF705" s="170"/>
      <c r="AG705" s="121">
        <f t="shared" si="2044"/>
        <v>394.39571800511158</v>
      </c>
      <c r="AH705" s="119">
        <f>+AZ705/$BB$57</f>
        <v>4.2697734370441311E-3</v>
      </c>
      <c r="AI705" s="119"/>
      <c r="AJ705" s="176">
        <f t="shared" si="2045"/>
        <v>1.683980360422173</v>
      </c>
      <c r="AK705" s="176">
        <f t="shared" si="2046"/>
        <v>0</v>
      </c>
      <c r="AL705" s="120">
        <f t="shared" si="2028"/>
        <v>0.24461184788914492</v>
      </c>
      <c r="AM705" s="120">
        <f t="shared" si="2029"/>
        <v>0.35424364293459942</v>
      </c>
      <c r="AN705" s="120">
        <f t="shared" si="2030"/>
        <v>0.40114450917625566</v>
      </c>
      <c r="AO705" s="120">
        <f t="shared" si="2033"/>
        <v>-5.4189087441979547E-2</v>
      </c>
      <c r="AP705" s="173">
        <f t="shared" si="2050"/>
        <v>83.919856928755095</v>
      </c>
      <c r="AQ705" s="175">
        <f t="shared" si="2051"/>
        <v>-5.4189087441979554E-2</v>
      </c>
      <c r="AR705" s="177">
        <f>+AC705/$AE$57</f>
        <v>4.8398630557470014E-3</v>
      </c>
      <c r="AS705" s="177">
        <f t="shared" si="2047"/>
        <v>-2.6226776233508064E-4</v>
      </c>
      <c r="AT705" s="177"/>
      <c r="AU705" s="177"/>
      <c r="AV705" s="177"/>
      <c r="AW705" s="190"/>
      <c r="AX705" s="120"/>
      <c r="AY705" s="120"/>
      <c r="AZ705" s="118">
        <f>IFERROR(INDEX('Total Customers'!$F$7:$AB$91,MATCH($C705,'Total Customers'!$D$7:$D$91,0),MATCH($G705,'Total Customers'!$F$5:$AB$5,0)),"NA")</f>
        <v>163031</v>
      </c>
      <c r="BA705" s="119">
        <f t="shared" si="2009"/>
        <v>2.4565359246842356E-3</v>
      </c>
      <c r="BB705" s="119"/>
      <c r="BC705" s="121"/>
      <c r="BD705" s="119"/>
      <c r="BE705" s="119"/>
      <c r="BF705" s="119"/>
      <c r="BG705" s="173"/>
      <c r="BH705" s="173"/>
      <c r="BI705" s="173"/>
      <c r="BJ705" s="173"/>
      <c r="BK705" s="173"/>
      <c r="BL705" s="173"/>
      <c r="BM705" s="173"/>
      <c r="BN705" s="173"/>
      <c r="BO705" s="173"/>
      <c r="BP705" s="173"/>
      <c r="BQ705" s="118"/>
      <c r="BR705" s="118"/>
      <c r="BS705" s="118">
        <f>INDEX('Dist. Plant Gas Additions'!$F$7:$AE$91,MATCH($C705,'Dist. Plant Gas Additions'!$D$7:$D$91,0),MATCH(Calculation!$G705,'Dist. Plant Gas Additions'!$F$5:$AE$5,0))</f>
        <v>27330</v>
      </c>
      <c r="BT705" s="118">
        <f>INDEX('Gen. Plant Additions'!$F$7:$AE$91,MATCH($C705,'Gen. Plant Additions'!$D$7:$D$91,0),MATCH(Calculation!$G705,'Gen. Plant Additions'!$F$5:$AE$5,0))</f>
        <v>3077</v>
      </c>
      <c r="BU705" s="118"/>
      <c r="BV705" s="118"/>
      <c r="BW705" s="118">
        <f>INDEX('Dist Plant Depreciation'!$E$7:$AD$94,MATCH($C705,'Dist Plant Depreciation'!$D$7:$D$94,0),MATCH(Calculation!$G705,'Dist Plant Depreciation'!$E$5:$AD$5,0))</f>
        <v>198985</v>
      </c>
      <c r="BX705" s="118">
        <f>INDEX('Gen. Plant Depreciation'!$E$7:$AD$94,MATCH($C705,'Gen. Plant Depreciation'!$D$7:$D$94,0),MATCH(Calculation!$G705,'Gen. Plant Depreciation'!$E$5:$AD$5,0))</f>
        <v>7687</v>
      </c>
      <c r="BY705" s="118"/>
      <c r="BZ705" s="118"/>
      <c r="CA705" s="118"/>
      <c r="CB705" s="118"/>
      <c r="CC705" s="118"/>
      <c r="CD705" s="118"/>
      <c r="CE705" s="118">
        <f>INDEX('Gross Dx Plant'!$E$7:$AD$91,MATCH($C705,'Gross Dx Plant'!$D$7:$D$91,0),MATCH(Calculation!$G705,'Gross Dx Plant'!$E$5:$AD$5,0))</f>
        <v>560846</v>
      </c>
      <c r="CF705" s="118">
        <f>INDEX('Gross Gen Plant'!$E$7:$AD$91,MATCH($C705,'Gross Gen Plant'!$D$7:$D$91,0),MATCH(Calculation!$G705,'Gross Gen Plant'!$E$5:$AD$5,0))</f>
        <v>20520</v>
      </c>
      <c r="CG705" s="118">
        <f t="shared" si="1923"/>
        <v>374694</v>
      </c>
      <c r="CH705" s="118"/>
      <c r="CI705" s="121">
        <v>2019</v>
      </c>
      <c r="CJ705" s="118"/>
      <c r="CK705" s="118"/>
      <c r="CL705" s="118"/>
      <c r="CM705" s="183"/>
      <c r="CN705" s="118">
        <f t="shared" si="2010"/>
        <v>30407</v>
      </c>
      <c r="CO705" s="118">
        <f t="shared" si="2011"/>
        <v>39.308927265880968</v>
      </c>
      <c r="CP705" s="186">
        <v>0.85106382978723405</v>
      </c>
      <c r="CQ705" s="118">
        <f>CQ684*CP705+CO685*CP704+CO686*CP703+CO687*CP702+CO688*CP701+CO689*CP700+CO690*CP699+CO691*CP698+CO692*CP697+CO693*CP696+CO694*CP695+CO695*CP694+CO696*CP693+CO697*CP692+CO698*CP691+CO699*CP690+CO700*CP689+CO701*CP688+CO702*CP687+CO703*CP686+CO704*CP685+CO705</f>
        <v>1298.1797674679285</v>
      </c>
      <c r="CR705" s="119">
        <f t="shared" si="2012"/>
        <v>2.1135446993146637E-2</v>
      </c>
      <c r="CS705" s="119"/>
      <c r="CT705" s="177">
        <f t="shared" si="2013"/>
        <v>9.5664444635342929E-3</v>
      </c>
      <c r="CU705" s="177">
        <f t="shared" si="2021"/>
        <v>9.3442657108971493E-3</v>
      </c>
      <c r="CV705" s="119">
        <f>VLOOKUP($H705,RoR!$E:$F,2,FALSE)</f>
        <v>3.3875000000000009E-2</v>
      </c>
      <c r="CW705" s="177">
        <v>1.8092492884465461E-2</v>
      </c>
      <c r="CX705" s="177">
        <f t="shared" si="2019"/>
        <v>1.5782507115534548E-2</v>
      </c>
      <c r="CY705" s="177">
        <f t="shared" si="2022"/>
        <v>2.1557675897636477E-2</v>
      </c>
      <c r="CZ705" s="177">
        <f t="shared" si="2023"/>
        <v>4.8445665544254078E-2</v>
      </c>
      <c r="DA705" s="187">
        <f t="shared" si="2014"/>
        <v>0.90221312500000006</v>
      </c>
      <c r="DB705" s="188">
        <f t="shared" si="2015"/>
        <v>1.513861292459078</v>
      </c>
      <c r="DC705" s="188">
        <f t="shared" si="2016"/>
        <v>0.23699261992619944</v>
      </c>
      <c r="DD705" s="188">
        <f t="shared" si="2017"/>
        <v>0.73619765810468829</v>
      </c>
      <c r="DE705" s="188">
        <f t="shared" si="2018"/>
        <v>0.26412854465362851</v>
      </c>
      <c r="DF705" s="189">
        <f>INDEX('State Tax Lookup'!$D$7:$Z$91,MATCH(Calculation!$C705,'State Tax Lookup'!$B$7:$B$91,0),MATCH($H705,'State Tax Lookup'!$D$6:$Z$6,0))</f>
        <v>0.26076499999999997</v>
      </c>
      <c r="DG705" s="189">
        <v>0.375</v>
      </c>
      <c r="DH705" s="190">
        <f t="shared" si="2020"/>
        <v>20.293053826447306</v>
      </c>
      <c r="DI705" s="190">
        <v>19.982907953074871</v>
      </c>
      <c r="DJ705" s="177"/>
      <c r="DK705" s="189">
        <f>VLOOKUP($H705,RoR!$E:$F,2,FALSE)</f>
        <v>3.3875000000000009E-2</v>
      </c>
      <c r="DL705" s="191">
        <f>HLOOKUP($H705,'GDP-PI'!$D$8:$CQ$11,3,FALSE)</f>
        <v>1.8092492884465461E-2</v>
      </c>
      <c r="DM705" s="189">
        <f>VLOOKUP(H705,'HW Dx Data'!$E:$F,2,FALSE)</f>
        <v>773.53929793938721</v>
      </c>
      <c r="DN705" s="183">
        <f>VLOOKUP(H705,'ECI - Input Price'!$G$17:$H$37,2,FALSE)</f>
        <v>136.85</v>
      </c>
      <c r="DO705" s="177">
        <f t="shared" ref="DO705" si="2075">LN(DN705/DN704)</f>
        <v>2.6658372440734168E-2</v>
      </c>
      <c r="DP705" s="183">
        <f>HLOOKUP(H705,'GDP-PI'!$8:$9,2,FALSE)</f>
        <v>112.318</v>
      </c>
      <c r="DQ705" s="177">
        <f t="shared" ref="DQ705" si="2076">LN(DP705/DP704)</f>
        <v>1.7930771451401852E-2</v>
      </c>
    </row>
    <row r="706" spans="1:121" s="167" customFormat="1" ht="21" x14ac:dyDescent="0.35">
      <c r="A706" s="167" t="s">
        <v>74</v>
      </c>
      <c r="B706" s="167" t="s">
        <v>74</v>
      </c>
      <c r="C706" s="167">
        <v>4057130</v>
      </c>
      <c r="D706" s="167" t="s">
        <v>142</v>
      </c>
      <c r="G706" s="168" t="s">
        <v>26</v>
      </c>
      <c r="H706" s="169">
        <v>2020</v>
      </c>
      <c r="I706" s="170"/>
      <c r="J706" s="166">
        <f>IFERROR(INDEX('Labor Expenditures'!$F$7:$X$91,MATCH($C706,'Labor Expenditures'!$D$7:$D$91,0),MATCH($G706,'Labor Expenditures'!$F$5:$X$5,0)),"NA")</f>
        <v>14566.847653664079</v>
      </c>
      <c r="K706" s="166">
        <f t="shared" si="2026"/>
        <v>103.71554043192653</v>
      </c>
      <c r="L706" s="172">
        <f t="shared" si="2036"/>
        <v>-0.10267511435740456</v>
      </c>
      <c r="M706" s="172">
        <f t="shared" si="2037"/>
        <v>-4.7237924715728036E-4</v>
      </c>
      <c r="N706" s="196"/>
      <c r="O706" s="172"/>
      <c r="P706" s="166">
        <f>IFERROR(INDEX('Non-Labor Expenditures'!$F$7:$AB$91,MATCH($C706,'Non-Labor Expenditures'!$D$7:$D$91,0),MATCH($G706,'Non-Labor Expenditures'!$F$5:$AB$5,0)),"NA")</f>
        <v>21095.516114353668</v>
      </c>
      <c r="Q706" s="166">
        <f t="shared" si="2027"/>
        <v>185.6623757016948</v>
      </c>
      <c r="R706" s="172">
        <f t="shared" si="2038"/>
        <v>-8.8260813025233184E-2</v>
      </c>
      <c r="S706" s="172">
        <f t="shared" si="2042"/>
        <v>-4.0606311150743232E-4</v>
      </c>
      <c r="T706" s="172"/>
      <c r="U706" s="172"/>
      <c r="V706" s="166">
        <f t="shared" si="2008"/>
        <v>27352.148894014994</v>
      </c>
      <c r="W706" s="170"/>
      <c r="X706" s="174">
        <v>1311.2565573337818</v>
      </c>
      <c r="Y706" s="175">
        <v>1.0022777112138967E-2</v>
      </c>
      <c r="Z706" s="175">
        <f t="shared" si="2043"/>
        <v>4.6111971107008433E-5</v>
      </c>
      <c r="AA706" s="175"/>
      <c r="AB706" s="175"/>
      <c r="AC706" s="170">
        <f t="shared" si="2068"/>
        <v>63014.512662032743</v>
      </c>
      <c r="AD706" s="175">
        <f t="shared" si="2039"/>
        <v>-2.0174793897929977E-2</v>
      </c>
      <c r="AE706" s="170"/>
      <c r="AF706" s="170"/>
      <c r="AG706" s="121">
        <f t="shared" si="2044"/>
        <v>385.66461431424273</v>
      </c>
      <c r="AH706" s="119">
        <f>+AZ706/$BB$58</f>
        <v>4.2491423801813205E-3</v>
      </c>
      <c r="AI706" s="119"/>
      <c r="AJ706" s="176">
        <f t="shared" si="2045"/>
        <v>1.6387438572189323</v>
      </c>
      <c r="AK706" s="176">
        <f t="shared" si="2046"/>
        <v>0</v>
      </c>
      <c r="AL706" s="120">
        <f t="shared" si="2028"/>
        <v>0.23116655256529245</v>
      </c>
      <c r="AM706" s="120">
        <f t="shared" si="2029"/>
        <v>0.33477234407089296</v>
      </c>
      <c r="AN706" s="120">
        <f t="shared" si="2030"/>
        <v>0.43406110336381454</v>
      </c>
      <c r="AO706" s="120">
        <f t="shared" si="2033"/>
        <v>-5.0646316589317002E-2</v>
      </c>
      <c r="AP706" s="173">
        <f t="shared" si="2050"/>
        <v>79.775460341385269</v>
      </c>
      <c r="AQ706" s="175">
        <f t="shared" si="2051"/>
        <v>-5.0646316589316925E-2</v>
      </c>
      <c r="AR706" s="177">
        <f>+AC706/$AE$58</f>
        <v>4.6007180037118123E-3</v>
      </c>
      <c r="AS706" s="177">
        <f t="shared" si="2047"/>
        <v>-2.3300942055415861E-4</v>
      </c>
      <c r="AT706" s="177"/>
      <c r="AU706" s="177"/>
      <c r="AV706" s="177"/>
      <c r="AW706" s="190"/>
      <c r="AX706" s="120"/>
      <c r="AY706" s="120"/>
      <c r="AZ706" s="118">
        <f>IFERROR(INDEX('Total Customers'!$F$7:$AB$91,MATCH($C706,'Total Customers'!$D$7:$D$91,0),MATCH($G706,'Total Customers'!$F$5:$AB$5,0)),"NA")</f>
        <v>163392</v>
      </c>
      <c r="BA706" s="119">
        <f t="shared" si="2009"/>
        <v>2.2118548458701644E-3</v>
      </c>
      <c r="BB706" s="119"/>
      <c r="BC706" s="121"/>
      <c r="BD706" s="119"/>
      <c r="BE706" s="119"/>
      <c r="BF706" s="119"/>
      <c r="BG706" s="173"/>
      <c r="BH706" s="173"/>
      <c r="BI706" s="173"/>
      <c r="BJ706" s="173"/>
      <c r="BK706" s="173"/>
      <c r="BL706" s="173"/>
      <c r="BM706" s="173"/>
      <c r="BN706" s="173"/>
      <c r="BO706" s="173"/>
      <c r="BP706" s="173"/>
      <c r="BQ706" s="118"/>
      <c r="BR706" s="118"/>
      <c r="BS706" s="118">
        <f>INDEX('Dist. Plant Gas Additions'!$F$7:$AE$91,MATCH($C706,'Dist. Plant Gas Additions'!$D$7:$D$91,0),MATCH(Calculation!$G706,'Dist. Plant Gas Additions'!$F$5:$AE$5,0))</f>
        <v>19592</v>
      </c>
      <c r="BT706" s="118">
        <f>INDEX('Gen. Plant Additions'!$F$7:$AE$91,MATCH($C706,'Gen. Plant Additions'!$D$7:$D$91,0),MATCH(Calculation!$G706,'Gen. Plant Additions'!$F$5:$AE$5,0))</f>
        <v>1491</v>
      </c>
      <c r="BU706" s="118"/>
      <c r="BV706" s="118"/>
      <c r="BW706" s="118">
        <f>INDEX('Dist Plant Depreciation'!$E$7:$AD$94,MATCH($C706,'Dist Plant Depreciation'!$D$7:$D$94,0),MATCH(Calculation!$G706,'Dist Plant Depreciation'!$E$5:$AD$5,0))</f>
        <v>209645</v>
      </c>
      <c r="BX706" s="118">
        <f>INDEX('Gen. Plant Depreciation'!$E$7:$AD$94,MATCH($C706,'Gen. Plant Depreciation'!$D$7:$D$94,0),MATCH(Calculation!$G706,'Gen. Plant Depreciation'!$E$5:$AD$5,0))</f>
        <v>8137</v>
      </c>
      <c r="BY706" s="118"/>
      <c r="BZ706" s="118"/>
      <c r="CA706" s="118"/>
      <c r="CB706" s="118"/>
      <c r="CC706" s="118"/>
      <c r="CD706" s="118"/>
      <c r="CE706" s="118">
        <f>INDEX('Gross Dx Plant'!$E$7:$AD$91,MATCH($C706,'Gross Dx Plant'!$D$7:$D$91,0),MATCH(Calculation!$G706,'Gross Dx Plant'!$E$5:$AD$5,0))</f>
        <v>577515</v>
      </c>
      <c r="CF706" s="118">
        <f>INDEX('Gross Gen Plant'!$E$7:$AD$91,MATCH($C706,'Gross Gen Plant'!$D$7:$D$91,0),MATCH(Calculation!$G706,'Gross Gen Plant'!$E$5:$AD$5,0))</f>
        <v>21394</v>
      </c>
      <c r="CG706" s="118">
        <f t="shared" si="1923"/>
        <v>381127</v>
      </c>
      <c r="CH706" s="118"/>
      <c r="CI706" s="121">
        <v>2020</v>
      </c>
      <c r="CJ706" s="118"/>
      <c r="CK706" s="118"/>
      <c r="CL706" s="118"/>
      <c r="CM706" s="183"/>
      <c r="CN706" s="118">
        <f t="shared" si="2010"/>
        <v>21083</v>
      </c>
      <c r="CO706" s="118">
        <f t="shared" si="2011"/>
        <v>25.929792624927622</v>
      </c>
      <c r="CP706" s="186">
        <v>0.84057971014492749</v>
      </c>
      <c r="CQ706" s="118">
        <f>CQ684*CP706+CO685*CP705+CO686*CP704+CO687*CP703+CO688*CP702+CO689*CP701+CO690*CP700+CO691*CP699+CO692*CP698+CO693*CP697+CO694*CP696+CO695*CP695+CO696*CP694+CO697*CP693+CO698*CP692+CO699*CP691+CO700*CP690+CO701*CP689+CO702*CP688+CO703*CP687+CO704*CP686+CO705*CP685+CO706</f>
        <v>1311.2565573337818</v>
      </c>
      <c r="CR706" s="119">
        <f t="shared" si="2012"/>
        <v>1.0022777112138967E-2</v>
      </c>
      <c r="CS706" s="119"/>
      <c r="CT706" s="177">
        <f t="shared" si="2013"/>
        <v>9.9007880735530809E-3</v>
      </c>
      <c r="CU706" s="177">
        <f t="shared" si="2021"/>
        <v>9.6141387251393092E-3</v>
      </c>
      <c r="CV706" s="119">
        <f>VLOOKUP($H706,RoR!$E:$F,2,FALSE)</f>
        <v>2.4766666666666666E-2</v>
      </c>
      <c r="CW706" s="177">
        <v>1.1618796630994188E-2</v>
      </c>
      <c r="CX706" s="177">
        <f t="shared" si="2019"/>
        <v>1.3147870035672478E-2</v>
      </c>
      <c r="CY706" s="177">
        <f t="shared" si="2022"/>
        <v>2.1287802883394318E-2</v>
      </c>
      <c r="CZ706" s="177">
        <f t="shared" si="2023"/>
        <v>4.5144642961987357E-2</v>
      </c>
      <c r="DA706" s="187">
        <f t="shared" si="2014"/>
        <v>0.90221312500000006</v>
      </c>
      <c r="DB706" s="188">
        <f t="shared" si="2015"/>
        <v>2.0706077233668081</v>
      </c>
      <c r="DC706" s="188">
        <f t="shared" si="2016"/>
        <v>-3.4421265141318998E-2</v>
      </c>
      <c r="DD706" s="188">
        <f t="shared" si="2017"/>
        <v>0.62416226176410472</v>
      </c>
      <c r="DE706" s="188">
        <f t="shared" si="2018"/>
        <v>-4.4485877841158712E-2</v>
      </c>
      <c r="DF706" s="189">
        <f>INDEX('State Tax Lookup'!$D$7:$Z$91,MATCH(Calculation!$C706,'State Tax Lookup'!$B$7:$B$91,0),MATCH($H706,'State Tax Lookup'!$D$6:$Z$6,0))</f>
        <v>0.26076499999999997</v>
      </c>
      <c r="DG706" s="189">
        <v>0.375</v>
      </c>
      <c r="DH706" s="190">
        <f t="shared" si="2020"/>
        <v>21.069615764667759</v>
      </c>
      <c r="DI706" s="190">
        <v>20.719172062208212</v>
      </c>
      <c r="DJ706" s="177"/>
      <c r="DK706" s="189">
        <f>VLOOKUP($H706,RoR!$E:$F,2,FALSE)</f>
        <v>2.4766666666666666E-2</v>
      </c>
      <c r="DL706" s="191">
        <f>HLOOKUP($H706,'GDP-PI'!$D$8:$CQ$11,3,FALSE)</f>
        <v>1.1618796630994188E-2</v>
      </c>
      <c r="DM706" s="189">
        <f>VLOOKUP(H706,'HW Dx Data'!$E:$F,2,FALSE)</f>
        <v>813.080162458833</v>
      </c>
      <c r="DN706" s="183">
        <f>VLOOKUP(H706,'ECI - Input Price'!$G$17:$H$37,2,FALSE)</f>
        <v>140.44999999999999</v>
      </c>
      <c r="DO706" s="177">
        <f t="shared" ref="DO706" si="2077">LN(DN706/DN705)</f>
        <v>2.5966118063564539E-2</v>
      </c>
      <c r="DP706" s="183">
        <f>HLOOKUP(H706,'GDP-PI'!$8:$9,2,FALSE)</f>
        <v>113.623</v>
      </c>
      <c r="DQ706" s="177">
        <f t="shared" ref="DQ706" si="2078">LN(DP706/DP705)</f>
        <v>1.1551816731392881E-2</v>
      </c>
    </row>
    <row r="707" spans="1:121" s="167" customFormat="1" ht="21" x14ac:dyDescent="0.35">
      <c r="A707" s="167" t="s">
        <v>74</v>
      </c>
      <c r="B707" s="167" t="s">
        <v>74</v>
      </c>
      <c r="C707" s="167">
        <v>4057130</v>
      </c>
      <c r="D707" s="167" t="s">
        <v>142</v>
      </c>
      <c r="G707" s="168" t="s">
        <v>462</v>
      </c>
      <c r="H707" s="169">
        <v>2021</v>
      </c>
      <c r="I707" s="170"/>
      <c r="J707" s="166">
        <f>IFERROR(INDEX('Labor Expenditures'!$E$7:$X$91,MATCH($C707,'Labor Expenditures'!$D$7:$D$91,0),MATCH($G707,'Labor Expenditures'!$E$5:$X$5,0)),"NA")</f>
        <v>16104.580314140641</v>
      </c>
      <c r="K707" s="166">
        <f t="shared" si="2026"/>
        <v>110.7034219909994</v>
      </c>
      <c r="L707" s="171">
        <f t="shared" si="2036"/>
        <v>6.5202788006502949E-2</v>
      </c>
      <c r="M707" s="172">
        <f t="shared" si="2037"/>
        <v>2.868658280131759E-4</v>
      </c>
      <c r="N707" s="196"/>
      <c r="O707" s="172"/>
      <c r="P707" s="166">
        <f>IFERROR(INDEX('Non-Labor Expenditures'!$E$7:$AB$91,MATCH($C707,'Non-Labor Expenditures'!$D$7:$D$91,0),MATCH($G707,'Non-Labor Expenditures'!$E$5:$AB$5,0)),"NA")</f>
        <v>22701.637310294638</v>
      </c>
      <c r="Q707" s="166">
        <f t="shared" si="2027"/>
        <v>191.59116643003324</v>
      </c>
      <c r="R707" s="172">
        <f t="shared" si="2038"/>
        <v>3.1433920376366525E-2</v>
      </c>
      <c r="S707" s="172">
        <f t="shared" si="2042"/>
        <v>1.3829650344962687E-4</v>
      </c>
      <c r="T707" s="172"/>
      <c r="U707" s="172"/>
      <c r="V707" s="166">
        <f t="shared" si="2008"/>
        <v>26080.881729444012</v>
      </c>
      <c r="W707" s="170"/>
      <c r="X707" s="174">
        <v>1320.6697023635118</v>
      </c>
      <c r="Y707" s="175"/>
      <c r="Z707" s="175">
        <f t="shared" si="2043"/>
        <v>0</v>
      </c>
      <c r="AA707" s="175"/>
      <c r="AB707" s="175"/>
      <c r="AC707" s="170">
        <f t="shared" si="2068"/>
        <v>64887.099353879297</v>
      </c>
      <c r="AD707" s="175">
        <f t="shared" si="2039"/>
        <v>2.928376708361189E-2</v>
      </c>
      <c r="AE707" s="118"/>
      <c r="AF707" s="119"/>
      <c r="AG707" s="121">
        <f t="shared" si="2044"/>
        <v>396.453203440354</v>
      </c>
      <c r="AH707" s="119">
        <f>+AZ707/$BB$59</f>
        <v>4.1992063541337488E-3</v>
      </c>
      <c r="AI707" s="119"/>
      <c r="AJ707" s="176">
        <f t="shared" si="2045"/>
        <v>1.6647888110034144</v>
      </c>
      <c r="AK707" s="176">
        <f t="shared" si="2046"/>
        <v>0</v>
      </c>
      <c r="AL707" s="120">
        <f t="shared" si="2028"/>
        <v>0.24819387019151479</v>
      </c>
      <c r="AM707" s="120">
        <f t="shared" si="2029"/>
        <v>0.34986364834225575</v>
      </c>
      <c r="AN707" s="120">
        <f t="shared" si="2030"/>
        <v>0.40194248146622935</v>
      </c>
      <c r="AO707" s="120">
        <f t="shared" si="2033"/>
        <v>2.6388214648014663E-2</v>
      </c>
      <c r="AP707" s="173">
        <f t="shared" si="2050"/>
        <v>81.908613583824589</v>
      </c>
      <c r="AQ707" s="175">
        <f t="shared" si="2051"/>
        <v>2.6388214648014593E-2</v>
      </c>
      <c r="AR707" s="177">
        <f>+AC707/$AE$59</f>
        <v>4.3995945078999623E-3</v>
      </c>
      <c r="AS707" s="177">
        <f t="shared" si="2047"/>
        <v>1.1609744423869035E-4</v>
      </c>
      <c r="AT707" s="177"/>
      <c r="AU707" s="177"/>
      <c r="AV707" s="177"/>
      <c r="AW707" s="190"/>
      <c r="AX707" s="120"/>
      <c r="AY707" s="120"/>
      <c r="AZ707" s="118">
        <f>INDEX('Total Customers'!$E$7:$E$91,MATCH(Calculation!$C707,'Total Customers'!$D$7:$D$91,0))</f>
        <v>163669</v>
      </c>
      <c r="BA707" s="119">
        <f t="shared" si="2009"/>
        <v>1.6938740249121881E-3</v>
      </c>
      <c r="BB707" s="118"/>
      <c r="BC707" s="121"/>
      <c r="BD707" s="118"/>
      <c r="BE707" s="119"/>
      <c r="BF707" s="119"/>
      <c r="BG707" s="173"/>
      <c r="BH707" s="173"/>
      <c r="BI707" s="173"/>
      <c r="BJ707" s="173"/>
      <c r="BK707" s="173"/>
      <c r="BL707" s="173"/>
      <c r="BM707" s="173"/>
      <c r="BN707" s="173"/>
      <c r="BO707" s="173"/>
      <c r="BP707" s="173"/>
      <c r="BQ707" s="118"/>
      <c r="BR707" s="118"/>
      <c r="BS707" s="118">
        <f>INDEX('Dist. Plant Gas Additions'!$E$7:$AE$91,MATCH($C707,'Dist. Plant Gas Additions'!$D$7:$D$91,0),MATCH(Calculation!$G707,'Dist. Plant Gas Additions'!$E$5:$AE$5,0))</f>
        <v>31660</v>
      </c>
      <c r="BT707" s="118">
        <f>INDEX('Gen. Plant Additions'!$E$7:$AE$91,MATCH($C707,'Gen. Plant Additions'!$D$7:$D$91,0),MATCH(Calculation!$G707,'Gen. Plant Additions'!$E$5:$AE$5,0))</f>
        <v>2324</v>
      </c>
      <c r="BU707" s="118"/>
      <c r="BV707" s="118"/>
      <c r="BW707" s="118"/>
      <c r="BX707" s="118"/>
      <c r="BY707" s="183"/>
      <c r="BZ707" s="183"/>
      <c r="CA707" s="178"/>
      <c r="CB707" s="184"/>
      <c r="CC707" s="185"/>
      <c r="CD707" s="185"/>
      <c r="CE707" s="118"/>
      <c r="CF707" s="118"/>
      <c r="CG707" s="118"/>
      <c r="CH707" s="118"/>
      <c r="CI707" s="121">
        <v>2021</v>
      </c>
      <c r="CJ707" s="118"/>
      <c r="CK707" s="118"/>
      <c r="CL707" s="118"/>
      <c r="CM707" s="183"/>
      <c r="CN707" s="118">
        <f t="shared" si="2010"/>
        <v>33984</v>
      </c>
      <c r="CO707" s="118">
        <f t="shared" si="2011"/>
        <v>36.423558947971003</v>
      </c>
      <c r="CP707" s="186">
        <f>+(51-23)/(51-23*0.75)</f>
        <v>0.82962962962962961</v>
      </c>
      <c r="CQ707" s="118">
        <f>CQ684*CP707+CO685*CP706+CO686*CP705+CO687*CP704+CO688*CP703+CO689*CP702+CO690*CP701+CO691*CP700+CO692*CP699+CO693*CP698+CO694*CP697+CO695*CP696+CO696*CP695+CO697*CP694+CO698*CP693+CO689*CP692+CO700*CP691+CO701*CP690+CO702*CP689+CO703*CP688+CO704*CP687+CO705*CP686+CO707+CO706*CP685</f>
        <v>1320.6697023635118</v>
      </c>
      <c r="CR707" s="119"/>
      <c r="CS707" s="118"/>
      <c r="CT707" s="177">
        <f t="shared" si="2013"/>
        <v>2.0598878051113129E-2</v>
      </c>
      <c r="CU707" s="177">
        <f t="shared" si="2021"/>
        <v>1.3355370196066835E-2</v>
      </c>
      <c r="CV707" s="119">
        <f>VLOOKUP($H707,RoR!$E:$F,2,FALSE)</f>
        <v>2.7033333333333336E-2</v>
      </c>
      <c r="CW707" s="177"/>
      <c r="CX707" s="177"/>
      <c r="CY707" s="177">
        <f t="shared" si="2022"/>
        <v>1.754657141246679E-2</v>
      </c>
      <c r="CZ707" s="177">
        <f t="shared" si="2023"/>
        <v>7.433422950153494E-2</v>
      </c>
      <c r="DA707" s="187">
        <f t="shared" si="2014"/>
        <v>0.90221312500000006</v>
      </c>
      <c r="DB707" s="188">
        <f t="shared" si="2015"/>
        <v>1.8969932656739068</v>
      </c>
      <c r="DC707" s="188">
        <f t="shared" si="2016"/>
        <v>5.0215782983970621E-2</v>
      </c>
      <c r="DD707" s="188">
        <f t="shared" si="2017"/>
        <v>0.655952481704143</v>
      </c>
      <c r="DE707" s="188">
        <f t="shared" si="2018"/>
        <v>6.2485378865697057E-2</v>
      </c>
      <c r="DF707" s="189">
        <f>DF706</f>
        <v>0.26076499999999997</v>
      </c>
      <c r="DG707" s="189">
        <v>0.375</v>
      </c>
      <c r="DH707" s="190">
        <f t="shared" si="2020"/>
        <v>19.889991461682428</v>
      </c>
      <c r="DI707" s="190"/>
      <c r="DJ707" s="177">
        <f t="shared" ref="DJ707" si="2079">LN(DH707/DH706)</f>
        <v>-5.7615327927458902E-2</v>
      </c>
      <c r="DK707" s="189">
        <f>VLOOKUP($H707,RoR!$E:$F,2,FALSE)</f>
        <v>2.7033333333333336E-2</v>
      </c>
      <c r="DL707" s="191">
        <f>HLOOKUP($H707,'GDP-PI'!$D$8:$CR$11,3,FALSE)</f>
        <v>4.2834637353352578E-2</v>
      </c>
      <c r="DM707" s="189">
        <f>VLOOKUP(H707,'HW Dx Data'!$E:$F,2,FALSE)</f>
        <v>933.02249921662576</v>
      </c>
      <c r="DN707" s="183">
        <f>VLOOKUP(H707,'ECI - Input Price'!$G$17:$H$37,2,FALSE)</f>
        <v>145.47500000000002</v>
      </c>
      <c r="DO707" s="177">
        <f t="shared" ref="DO707" si="2080">LN(DN707/DN706)</f>
        <v>3.5152696992481205E-2</v>
      </c>
      <c r="DP707" s="183">
        <f>HLOOKUP(H707,'GDP-PI'!$8:$9,2,FALSE)</f>
        <v>118.49</v>
      </c>
      <c r="DQ707" s="177">
        <f t="shared" ref="DQ707" si="2081">LN(DP707/DP706)</f>
        <v>4.194261824609434E-2</v>
      </c>
    </row>
    <row r="708" spans="1:121" s="167" customFormat="1" ht="21" x14ac:dyDescent="0.35">
      <c r="A708" s="167" t="s">
        <v>75</v>
      </c>
      <c r="B708" s="168" t="s">
        <v>75</v>
      </c>
      <c r="C708" s="168">
        <v>4057131</v>
      </c>
      <c r="D708" s="168" t="s">
        <v>142</v>
      </c>
      <c r="E708" s="168"/>
      <c r="F708" s="168"/>
      <c r="G708" s="168" t="s">
        <v>4</v>
      </c>
      <c r="H708" s="169">
        <v>1998</v>
      </c>
      <c r="I708" s="170"/>
      <c r="J708" s="166"/>
      <c r="K708" s="166"/>
      <c r="L708" s="166"/>
      <c r="M708" s="166"/>
      <c r="N708" s="196"/>
      <c r="O708" s="166"/>
      <c r="P708" s="172"/>
      <c r="Q708" s="172"/>
      <c r="R708" s="172"/>
      <c r="S708" s="166"/>
      <c r="T708" s="172"/>
      <c r="U708" s="172"/>
      <c r="V708" s="166"/>
      <c r="W708" s="170"/>
      <c r="X708" s="174">
        <v>5985.6601220638559</v>
      </c>
      <c r="Y708" s="175"/>
      <c r="Z708" s="166"/>
      <c r="AA708" s="175"/>
      <c r="AB708" s="175"/>
      <c r="AC708" s="170">
        <f t="shared" si="2068"/>
        <v>0</v>
      </c>
      <c r="AD708" s="170"/>
      <c r="AE708" s="170"/>
      <c r="AF708" s="119"/>
      <c r="AG708" s="174"/>
      <c r="AH708" s="175"/>
      <c r="AI708" s="175"/>
      <c r="AJ708" s="174"/>
      <c r="AK708" s="174"/>
      <c r="AL708" s="120"/>
      <c r="AM708" s="120"/>
      <c r="AN708" s="120"/>
      <c r="AO708" s="120"/>
      <c r="AP708" s="120"/>
      <c r="AQ708" s="175">
        <f>AVERAGE(AQ717:AQ731)</f>
        <v>2.3435625330011752E-2</v>
      </c>
      <c r="AR708" s="120"/>
      <c r="AS708" s="120"/>
      <c r="AT708" s="120"/>
      <c r="AU708" s="120"/>
      <c r="AV708" s="120"/>
      <c r="AW708" s="120"/>
      <c r="AX708" s="120"/>
      <c r="AY708" s="120"/>
      <c r="AZ708" s="118">
        <f>IFERROR(INDEX('Total Customers'!$F$7:$AB$91,MATCH($C708,'Total Customers'!$D$7:$D$91,0),MATCH($G708,'Total Customers'!$F$5:$AB$5,0)),"NA")</f>
        <v>1898034</v>
      </c>
      <c r="BA708" s="119"/>
      <c r="BB708" s="119"/>
      <c r="BC708" s="121"/>
      <c r="BD708" s="119"/>
      <c r="BE708" s="119"/>
      <c r="BF708" s="119"/>
      <c r="BG708" s="173"/>
      <c r="BH708" s="173"/>
      <c r="BI708" s="173"/>
      <c r="BJ708" s="173"/>
      <c r="BK708" s="173"/>
      <c r="BL708" s="173"/>
      <c r="BM708" s="173"/>
      <c r="BN708" s="173"/>
      <c r="BO708" s="173"/>
      <c r="BP708" s="173"/>
      <c r="BQ708" s="118">
        <f>INDEX('Gross Dx Plant'!$E$7:$AD$91,MATCH($C708,'Gross Dx Plant'!$D$7:$D$91,0),MATCH(Calculation!$G708,'Gross Dx Plant'!$E$5:$AD$5,0))</f>
        <v>2104253</v>
      </c>
      <c r="BR708" s="118">
        <f>INDEX('Gross Gen Plant'!$E$7:$AD$91,MATCH($C708,'Gross Gen Plant'!$D$7:$D$91,0),MATCH(Calculation!$G708,'Gross Gen Plant'!$E$5:$AD$5,0))</f>
        <v>225670</v>
      </c>
      <c r="BS708" s="118">
        <f>INDEX('Dist. Plant Gas Additions'!$F$7:$AE$91,MATCH($C708,'Dist. Plant Gas Additions'!$D$7:$D$91,0),MATCH(Calculation!$G708,'Dist. Plant Gas Additions'!$F$5:$AE$5,0))</f>
        <v>69195</v>
      </c>
      <c r="BT708" s="118">
        <f>INDEX('Gen. Plant Additions'!$F$7:$AE$91,MATCH($C708,'Gen. Plant Additions'!$D$7:$D$91,0),MATCH(Calculation!$G708,'Gen. Plant Additions'!$F$5:$AE$5,0))</f>
        <v>17269</v>
      </c>
      <c r="BU708" s="118" t="e">
        <f>INDEX('Dist Plant Depreciation'!$E$7:$AA$94,MATCH($C708,'Dist Plant Depreciation'!$D$7:$D$94,0),MATCH(#REF!,'Dist Plant Depreciation'!$E$5:$AA$5,0))</f>
        <v>#REF!</v>
      </c>
      <c r="BV708" s="118" t="e">
        <f>INDEX('Gen. Plant Depreciation'!$E$7:$AA$94,MATCH($C708,'Gen. Plant Depreciation'!$D$7:$D$94,0),MATCH(#REF!,'Gen. Plant Depreciation'!$E$5:$AA$5,0))</f>
        <v>#REF!</v>
      </c>
      <c r="BW708" s="118">
        <f>INDEX('Dist Plant Depreciation'!$E$7:$AD$94,MATCH($C708,'Dist Plant Depreciation'!$D$7:$D$94,0),MATCH(Calculation!$G708,'Dist Plant Depreciation'!$E$5:$AD$5,0))</f>
        <v>1040376</v>
      </c>
      <c r="BX708" s="118">
        <f>INDEX('Gen. Plant Depreciation'!$E$7:$AD$94,MATCH($C708,'Gen. Plant Depreciation'!$D$7:$D$94,0),MATCH(Calculation!$G708,'Gen. Plant Depreciation'!$E$5:$AD$5,0))</f>
        <v>82123</v>
      </c>
      <c r="BY708" s="118"/>
      <c r="BZ708" s="118"/>
      <c r="CA708" s="118"/>
      <c r="CB708" s="118"/>
      <c r="CC708" s="118"/>
      <c r="CD708" s="118"/>
      <c r="CE708" s="118">
        <f>INDEX('Gross Dx Plant'!$E$7:$AD$91,MATCH($C708,'Gross Dx Plant'!$D$7:$D$91,0),MATCH(Calculation!$G708,'Gross Dx Plant'!$E$5:$AD$5,0))</f>
        <v>2104253</v>
      </c>
      <c r="CF708" s="118">
        <f>INDEX('Gross Gen Plant'!$E$7:$AD$91,MATCH($C708,'Gross Gen Plant'!$D$7:$D$91,0),MATCH(Calculation!$G708,'Gross Gen Plant'!$E$5:$AD$5,0))</f>
        <v>225670</v>
      </c>
      <c r="CG708" s="118">
        <f t="shared" si="1923"/>
        <v>1207424</v>
      </c>
      <c r="CH708" s="118"/>
      <c r="CI708" s="121">
        <v>1998</v>
      </c>
      <c r="CJ708" s="118">
        <f>BQ708+BR708</f>
        <v>2329923</v>
      </c>
      <c r="CK708" s="118">
        <f>1040376+82123</f>
        <v>1122499</v>
      </c>
      <c r="CL708" s="118">
        <f>+CJ708-CK708</f>
        <v>1207424</v>
      </c>
      <c r="CM708" s="118">
        <f>CL708/$CD$36</f>
        <v>5985.6601220638559</v>
      </c>
      <c r="CN708" s="183"/>
      <c r="CO708" s="183"/>
      <c r="CP708" s="186">
        <v>1</v>
      </c>
      <c r="CQ708" s="118">
        <f>+CM708</f>
        <v>5985.6601220638559</v>
      </c>
      <c r="CR708" s="119"/>
      <c r="CS708" s="119"/>
      <c r="CT708" s="177"/>
      <c r="CU708" s="177"/>
      <c r="CV708" s="119" t="e">
        <f>VLOOKUP($H708,RoR!$E:$F,2,FALSE)</f>
        <v>#N/A</v>
      </c>
      <c r="CW708" s="177">
        <v>1.1028127770464469E-2</v>
      </c>
      <c r="CX708" s="177"/>
      <c r="CY708" s="177"/>
      <c r="CZ708" s="177"/>
      <c r="DA708" s="187"/>
      <c r="DB708" s="190" t="e">
        <f>2/(DK708*39)</f>
        <v>#N/A</v>
      </c>
      <c r="DC708" s="188" t="e">
        <f>+(DK708*40-(1+DK708))/(DK708*40)</f>
        <v>#N/A</v>
      </c>
      <c r="DD708" s="188" t="e">
        <f>+(1-(1/(1+DK708)^40))</f>
        <v>#N/A</v>
      </c>
      <c r="DE708" s="188" t="e">
        <f>+DD708*DC708*DB708</f>
        <v>#N/A</v>
      </c>
      <c r="DF708" s="189">
        <f>INDEX('State Tax Lookup'!$D$7:$Z$91,MATCH(Calculation!$C708,'State Tax Lookup'!$B$7:$B$91,0),MATCH($H708,'State Tax Lookup'!$D$6:$Z$6,0))</f>
        <v>0.40076499999999998</v>
      </c>
      <c r="DG708" s="189">
        <v>0.375</v>
      </c>
      <c r="DH708" s="183"/>
      <c r="DI708" s="183"/>
      <c r="DJ708" s="177"/>
      <c r="DK708" s="189" t="e">
        <f>VLOOKUP($H708,RoR!$E:$F,2,FALSE)</f>
        <v>#N/A</v>
      </c>
      <c r="DL708" s="191">
        <f>HLOOKUP($H708,'GDP-PI'!$D$8:$CQ$11,3,FALSE)</f>
        <v>1.1028127770464469E-2</v>
      </c>
      <c r="DM708" s="189">
        <f>VLOOKUP(H708,'HW Dx Data'!$E:$F,2,FALSE)</f>
        <v>329.24564746449528</v>
      </c>
      <c r="DN708" s="183" t="e">
        <f>VLOOKUP(H708,'ECI - Input Price'!$G$17:$H$37,2,FALSE)</f>
        <v>#N/A</v>
      </c>
      <c r="DO708" s="177"/>
      <c r="DP708" s="183">
        <f>HLOOKUP(H708,'GDP-PI'!$8:$9,2,FALSE)</f>
        <v>75.266999999999996</v>
      </c>
    </row>
    <row r="709" spans="1:121" s="167" customFormat="1" ht="21" x14ac:dyDescent="0.35">
      <c r="A709" s="167" t="s">
        <v>75</v>
      </c>
      <c r="B709" s="168" t="s">
        <v>75</v>
      </c>
      <c r="C709" s="168">
        <v>4057131</v>
      </c>
      <c r="D709" s="168" t="s">
        <v>142</v>
      </c>
      <c r="E709" s="168"/>
      <c r="F709" s="168"/>
      <c r="G709" s="168" t="s">
        <v>5</v>
      </c>
      <c r="H709" s="169">
        <v>1999</v>
      </c>
      <c r="I709" s="170"/>
      <c r="J709" s="166"/>
      <c r="K709" s="170"/>
      <c r="L709" s="170"/>
      <c r="M709" s="166"/>
      <c r="N709" s="173"/>
      <c r="O709" s="170"/>
      <c r="P709" s="177"/>
      <c r="Q709" s="177"/>
      <c r="R709" s="177"/>
      <c r="S709" s="195"/>
      <c r="T709" s="177"/>
      <c r="U709" s="177"/>
      <c r="V709" s="166">
        <f t="shared" ref="V709:V731" si="2082">+CQ708*DH709</f>
        <v>0</v>
      </c>
      <c r="W709" s="170"/>
      <c r="X709" s="174">
        <v>6249.6524399560385</v>
      </c>
      <c r="Y709" s="175">
        <v>4.3159223583047732E-2</v>
      </c>
      <c r="Z709" s="175"/>
      <c r="AA709" s="175"/>
      <c r="AB709" s="175"/>
      <c r="AC709" s="170">
        <f t="shared" si="2068"/>
        <v>0</v>
      </c>
      <c r="AD709" s="175"/>
      <c r="AE709" s="170"/>
      <c r="AF709" s="119"/>
      <c r="AG709" s="174"/>
      <c r="AH709" s="175"/>
      <c r="AI709" s="175"/>
      <c r="AJ709" s="174"/>
      <c r="AK709" s="174"/>
      <c r="AL709" s="120"/>
      <c r="AM709" s="120"/>
      <c r="AN709" s="120"/>
      <c r="AO709" s="120"/>
      <c r="AP709" s="120"/>
      <c r="AQ709" s="175"/>
      <c r="AR709" s="120"/>
      <c r="AS709" s="120"/>
      <c r="AT709" s="120"/>
      <c r="AU709" s="120"/>
      <c r="AV709" s="120"/>
      <c r="AW709" s="120"/>
      <c r="AX709" s="120"/>
      <c r="AY709" s="120"/>
      <c r="AZ709" s="118">
        <f>IFERROR(INDEX('Total Customers'!$F$7:$AB$91,MATCH($C709,'Total Customers'!$D$7:$D$91,0),MATCH($G709,'Total Customers'!$F$5:$AB$5,0)),"NA")</f>
        <v>1929041</v>
      </c>
      <c r="BA709" s="119">
        <f t="shared" ref="BA709:BA731" si="2083">LN(AZ709/AZ708)</f>
        <v>1.6204374613200991E-2</v>
      </c>
      <c r="BB709" s="119"/>
      <c r="BC709" s="121"/>
      <c r="BD709" s="119"/>
      <c r="BE709" s="119"/>
      <c r="BF709" s="119"/>
      <c r="BG709" s="173"/>
      <c r="BH709" s="173"/>
      <c r="BI709" s="173"/>
      <c r="BJ709" s="173"/>
      <c r="BK709" s="173"/>
      <c r="BL709" s="173"/>
      <c r="BM709" s="173"/>
      <c r="BN709" s="173"/>
      <c r="BO709" s="173"/>
      <c r="BP709" s="173"/>
      <c r="BQ709" s="118"/>
      <c r="BR709" s="118"/>
      <c r="BS709" s="118">
        <f>INDEX('Dist. Plant Gas Additions'!$F$7:$AE$91,MATCH($C709,'Dist. Plant Gas Additions'!$D$7:$D$91,0),MATCH(Calculation!$G709,'Dist. Plant Gas Additions'!$F$5:$AE$5,0))</f>
        <v>83643</v>
      </c>
      <c r="BT709" s="118">
        <f>INDEX('Gen. Plant Additions'!$F$7:$AE$91,MATCH($C709,'Gen. Plant Additions'!$D$7:$D$91,0),MATCH(Calculation!$G709,'Gen. Plant Additions'!$F$5:$AE$5,0))</f>
        <v>14866</v>
      </c>
      <c r="BU709" s="118"/>
      <c r="BV709" s="118"/>
      <c r="BW709" s="118">
        <f>INDEX('Dist Plant Depreciation'!$E$7:$AD$94,MATCH($C709,'Dist Plant Depreciation'!$D$7:$D$94,0),MATCH(Calculation!$G709,'Dist Plant Depreciation'!$E$5:$AD$5,0))</f>
        <v>1107660</v>
      </c>
      <c r="BX709" s="118">
        <f>INDEX('Gen. Plant Depreciation'!$E$7:$AD$94,MATCH($C709,'Gen. Plant Depreciation'!$D$7:$D$94,0),MATCH(Calculation!$G709,'Gen. Plant Depreciation'!$E$5:$AD$5,0))</f>
        <v>91914</v>
      </c>
      <c r="BY709" s="118"/>
      <c r="BZ709" s="118"/>
      <c r="CA709" s="118"/>
      <c r="CB709" s="118"/>
      <c r="CC709" s="118"/>
      <c r="CD709" s="118"/>
      <c r="CE709" s="118">
        <f>INDEX('Gross Dx Plant'!$E$7:$AD$91,MATCH($C709,'Gross Dx Plant'!$D$7:$D$91,0),MATCH(Calculation!$G709,'Gross Dx Plant'!$E$5:$AD$5,0))</f>
        <v>2178632</v>
      </c>
      <c r="CF709" s="118">
        <f>INDEX('Gross Gen Plant'!$E$7:$AD$91,MATCH($C709,'Gross Gen Plant'!$D$7:$D$91,0),MATCH(Calculation!$G709,'Gross Gen Plant'!$E$5:$AD$5,0))</f>
        <v>228645</v>
      </c>
      <c r="CG709" s="118">
        <f t="shared" si="1923"/>
        <v>1207703</v>
      </c>
      <c r="CH709" s="118"/>
      <c r="CI709" s="121">
        <v>1999</v>
      </c>
      <c r="CJ709" s="118"/>
      <c r="CK709" s="118"/>
      <c r="CL709" s="118"/>
      <c r="CM709" s="183"/>
      <c r="CN709" s="118">
        <f t="shared" ref="CN709:CN731" si="2084">+BT709+BS709</f>
        <v>98509</v>
      </c>
      <c r="CO709" s="118">
        <f t="shared" ref="CO709:CO731" si="2085">+CN709/$DM709</f>
        <v>293.77172148453991</v>
      </c>
      <c r="CP709" s="186">
        <v>0.99502487562189057</v>
      </c>
      <c r="CQ709" s="118">
        <f>+CQ708*CP709+CO709</f>
        <v>6249.6524399560385</v>
      </c>
      <c r="CR709" s="119">
        <f t="shared" ref="CR709:CR730" si="2086">LN(CQ709/CQ708)</f>
        <v>4.3159223583047732E-2</v>
      </c>
      <c r="CS709" s="119"/>
      <c r="CT709" s="177">
        <f t="shared" ref="CT709:CT731" si="2087">+(CQ708-CQ709+CO709)/CQ708</f>
        <v>4.9751243781094136E-3</v>
      </c>
      <c r="CU709" s="177"/>
      <c r="CV709" s="119">
        <f>VLOOKUP($H709,RoR!$E:$F,2,FALSE)</f>
        <v>7.0416666666666669E-2</v>
      </c>
      <c r="CW709" s="177">
        <v>1.4335631817396832E-2</v>
      </c>
      <c r="CX709" s="177">
        <f>+CV709-CW709</f>
        <v>5.6081034849269837E-2</v>
      </c>
      <c r="CY709" s="177"/>
      <c r="CZ709" s="177"/>
      <c r="DA709" s="187">
        <f t="shared" ref="DA709:DA731" si="2088">1-DF709*DG709</f>
        <v>0.84971312500000007</v>
      </c>
      <c r="DB709" s="188">
        <f t="shared" ref="DB709:DB731" si="2089">2/(DK709*39)</f>
        <v>0.72826581702321336</v>
      </c>
      <c r="DC709" s="188">
        <f t="shared" ref="DC709:DC731" si="2090">+(DK709*40-(1+DK709))/(DK709*40)</f>
        <v>0.61997041420118348</v>
      </c>
      <c r="DD709" s="188">
        <f t="shared" ref="DD709:DD731" si="2091">+(1-(1/(1+DK709)^40))</f>
        <v>0.93425155319585029</v>
      </c>
      <c r="DE709" s="188">
        <f t="shared" ref="DE709:DE731" si="2092">+DD709*DC709*DB709</f>
        <v>0.42181762214141483</v>
      </c>
      <c r="DF709" s="189">
        <f>INDEX('State Tax Lookup'!$D$7:$Z$91,MATCH(Calculation!$C709,'State Tax Lookup'!$B$7:$B$91,0),MATCH($H709,'State Tax Lookup'!$D$6:$Z$6,0))</f>
        <v>0.40076499999999998</v>
      </c>
      <c r="DG709" s="189">
        <v>0.375</v>
      </c>
      <c r="DH709" s="190"/>
      <c r="DI709" s="190"/>
      <c r="DJ709" s="177"/>
      <c r="DK709" s="189">
        <f>VLOOKUP($H709,RoR!$E:$F,2,FALSE)</f>
        <v>7.0416666666666669E-2</v>
      </c>
      <c r="DL709" s="191">
        <f>HLOOKUP($H709,'GDP-PI'!$D$8:$CQ$11,3,FALSE)</f>
        <v>1.4335631817396832E-2</v>
      </c>
      <c r="DM709" s="189">
        <f>VLOOKUP(H709,'HW Dx Data'!$E:$F,2,FALSE)</f>
        <v>335.32499146683239</v>
      </c>
      <c r="DN709" s="183" t="e">
        <f>VLOOKUP(H709,'ECI - Input Price'!$G$17:$H$37,2,FALSE)</f>
        <v>#N/A</v>
      </c>
      <c r="DO709" s="177"/>
      <c r="DP709" s="183">
        <f>HLOOKUP(H709,'GDP-PI'!$8:$9,2,FALSE)</f>
        <v>76.346000000000004</v>
      </c>
    </row>
    <row r="710" spans="1:121" s="167" customFormat="1" ht="21" x14ac:dyDescent="0.35">
      <c r="A710" s="167" t="s">
        <v>75</v>
      </c>
      <c r="B710" s="168" t="s">
        <v>75</v>
      </c>
      <c r="C710" s="168">
        <v>4057131</v>
      </c>
      <c r="D710" s="168" t="s">
        <v>142</v>
      </c>
      <c r="E710" s="168"/>
      <c r="F710" s="168"/>
      <c r="G710" s="168" t="s">
        <v>6</v>
      </c>
      <c r="H710" s="169">
        <v>2000</v>
      </c>
      <c r="I710" s="170"/>
      <c r="J710" s="166"/>
      <c r="K710" s="166"/>
      <c r="L710" s="166"/>
      <c r="M710" s="166"/>
      <c r="N710" s="196"/>
      <c r="O710" s="166"/>
      <c r="P710" s="166"/>
      <c r="Q710" s="166"/>
      <c r="R710" s="166"/>
      <c r="S710" s="166"/>
      <c r="T710" s="166"/>
      <c r="U710" s="166"/>
      <c r="V710" s="166">
        <f t="shared" si="2082"/>
        <v>0</v>
      </c>
      <c r="W710" s="170"/>
      <c r="X710" s="174">
        <v>6537.4894861455568</v>
      </c>
      <c r="Y710" s="175">
        <v>4.5027368556970038E-2</v>
      </c>
      <c r="Z710" s="175"/>
      <c r="AA710" s="175"/>
      <c r="AB710" s="175"/>
      <c r="AC710" s="170">
        <f t="shared" si="2068"/>
        <v>0</v>
      </c>
      <c r="AD710" s="175"/>
      <c r="AE710" s="170"/>
      <c r="AF710" s="170"/>
      <c r="AG710" s="174"/>
      <c r="AH710" s="175"/>
      <c r="AI710" s="175"/>
      <c r="AJ710" s="174"/>
      <c r="AK710" s="174"/>
      <c r="AL710" s="120"/>
      <c r="AM710" s="120"/>
      <c r="AN710" s="120"/>
      <c r="AO710" s="120"/>
      <c r="AP710" s="120"/>
      <c r="AQ710" s="175"/>
      <c r="AR710" s="120"/>
      <c r="AS710" s="120"/>
      <c r="AT710" s="120"/>
      <c r="AU710" s="120"/>
      <c r="AV710" s="120"/>
      <c r="AW710" s="120"/>
      <c r="AX710" s="120"/>
      <c r="AY710" s="120"/>
      <c r="AZ710" s="118">
        <f>IFERROR(INDEX('Total Customers'!$F$7:$AB$91,MATCH($C710,'Total Customers'!$D$7:$D$91,0),MATCH($G710,'Total Customers'!$F$5:$AB$5,0)),"NA")</f>
        <v>1962235</v>
      </c>
      <c r="BA710" s="119">
        <f t="shared" si="2083"/>
        <v>1.7061141475925422E-2</v>
      </c>
      <c r="BB710" s="119"/>
      <c r="BC710" s="121"/>
      <c r="BD710" s="119"/>
      <c r="BE710" s="119"/>
      <c r="BF710" s="119"/>
      <c r="BG710" s="173"/>
      <c r="BH710" s="173"/>
      <c r="BI710" s="173"/>
      <c r="BJ710" s="173"/>
      <c r="BK710" s="173"/>
      <c r="BL710" s="173"/>
      <c r="BM710" s="173"/>
      <c r="BN710" s="173"/>
      <c r="BO710" s="173"/>
      <c r="BP710" s="173"/>
      <c r="BQ710" s="118"/>
      <c r="BR710" s="118"/>
      <c r="BS710" s="118">
        <f>INDEX('Dist. Plant Gas Additions'!$F$7:$AE$91,MATCH($C710,'Dist. Plant Gas Additions'!$D$7:$D$91,0),MATCH(Calculation!$G710,'Dist. Plant Gas Additions'!$F$5:$AE$5,0))</f>
        <v>86506</v>
      </c>
      <c r="BT710" s="118">
        <f>INDEX('Gen. Plant Additions'!$F$7:$AE$91,MATCH($C710,'Gen. Plant Additions'!$D$7:$D$91,0),MATCH(Calculation!$G710,'Gen. Plant Additions'!$F$5:$AE$5,0))</f>
        <v>24378</v>
      </c>
      <c r="BU710" s="118"/>
      <c r="BV710" s="118"/>
      <c r="BW710" s="118">
        <f>INDEX('Dist Plant Depreciation'!$E$7:$AD$94,MATCH($C710,'Dist Plant Depreciation'!$D$7:$D$94,0),MATCH(Calculation!$G710,'Dist Plant Depreciation'!$E$5:$AD$5,0))</f>
        <v>1181107</v>
      </c>
      <c r="BX710" s="118">
        <f>INDEX('Gen. Plant Depreciation'!$E$7:$AD$94,MATCH($C710,'Gen. Plant Depreciation'!$D$7:$D$94,0),MATCH(Calculation!$G710,'Gen. Plant Depreciation'!$E$5:$AD$5,0))</f>
        <v>99562</v>
      </c>
      <c r="BY710" s="118"/>
      <c r="BZ710" s="118"/>
      <c r="CA710" s="118"/>
      <c r="CB710" s="118"/>
      <c r="CC710" s="118"/>
      <c r="CD710" s="118"/>
      <c r="CE710" s="118">
        <f>INDEX('Gross Dx Plant'!$E$7:$AD$91,MATCH($C710,'Gross Dx Plant'!$D$7:$D$91,0),MATCH(Calculation!$G710,'Gross Dx Plant'!$E$5:$AD$5,0))</f>
        <v>2256923</v>
      </c>
      <c r="CF710" s="118">
        <f>INDEX('Gross Gen Plant'!$E$7:$AD$91,MATCH($C710,'Gross Gen Plant'!$D$7:$D$91,0),MATCH(Calculation!$G710,'Gross Gen Plant'!$E$5:$AD$5,0))</f>
        <v>237149</v>
      </c>
      <c r="CG710" s="118">
        <f t="shared" si="1923"/>
        <v>1213403</v>
      </c>
      <c r="CH710" s="118"/>
      <c r="CI710" s="121">
        <v>2000</v>
      </c>
      <c r="CJ710" s="118"/>
      <c r="CK710" s="118"/>
      <c r="CL710" s="118"/>
      <c r="CM710" s="183"/>
      <c r="CN710" s="118">
        <f t="shared" si="2084"/>
        <v>110884</v>
      </c>
      <c r="CO710" s="118">
        <f t="shared" si="2085"/>
        <v>319.98040680449867</v>
      </c>
      <c r="CP710" s="186">
        <v>0.98989898989898994</v>
      </c>
      <c r="CQ710" s="118">
        <f>+CQ708*CP710+CO709*CP709+CO710</f>
        <v>6537.4894861455568</v>
      </c>
      <c r="CR710" s="119">
        <f t="shared" si="2086"/>
        <v>4.5027368556970038E-2</v>
      </c>
      <c r="CS710" s="119"/>
      <c r="CT710" s="177">
        <f t="shared" si="2087"/>
        <v>5.1432237110463127E-3</v>
      </c>
      <c r="CU710" s="177"/>
      <c r="CV710" s="119">
        <f>VLOOKUP($H710,RoR!$E:$F,2,FALSE)</f>
        <v>7.6225000000000001E-2</v>
      </c>
      <c r="CW710" s="177">
        <v>2.2568307442433211E-2</v>
      </c>
      <c r="CX710" s="177">
        <f t="shared" ref="CX710:CX730" si="2093">+CV710-CW710</f>
        <v>5.365669255756679E-2</v>
      </c>
      <c r="CY710" s="177"/>
      <c r="CZ710" s="177"/>
      <c r="DA710" s="187">
        <f t="shared" si="2088"/>
        <v>0.84971312500000007</v>
      </c>
      <c r="DB710" s="188">
        <f t="shared" si="2089"/>
        <v>0.67277207323124022</v>
      </c>
      <c r="DC710" s="188">
        <f t="shared" si="2090"/>
        <v>0.6470236142997704</v>
      </c>
      <c r="DD710" s="188">
        <f t="shared" si="2091"/>
        <v>0.94704866037543145</v>
      </c>
      <c r="DE710" s="188">
        <f t="shared" si="2092"/>
        <v>0.41224973107878493</v>
      </c>
      <c r="DF710" s="189">
        <f>INDEX('State Tax Lookup'!$D$7:$Z$91,MATCH(Calculation!$C710,'State Tax Lookup'!$B$7:$B$91,0),MATCH($H710,'State Tax Lookup'!$D$6:$Z$6,0))</f>
        <v>0.40076499999999998</v>
      </c>
      <c r="DG710" s="189">
        <v>0.375</v>
      </c>
      <c r="DH710" s="190"/>
      <c r="DI710" s="190"/>
      <c r="DJ710" s="177"/>
      <c r="DK710" s="189">
        <f>VLOOKUP($H710,RoR!$E:$F,2,FALSE)</f>
        <v>7.6225000000000001E-2</v>
      </c>
      <c r="DL710" s="191">
        <f>HLOOKUP($H710,'GDP-PI'!$D$8:$CQ$11,3,FALSE)</f>
        <v>2.2568307442433211E-2</v>
      </c>
      <c r="DM710" s="189">
        <f>VLOOKUP(H710,'HW Dx Data'!$E:$F,2,FALSE)</f>
        <v>346.53371782150339</v>
      </c>
      <c r="DN710" s="183" t="e">
        <f>VLOOKUP(H710,'ECI - Input Price'!$G$17:$H$37,2,FALSE)</f>
        <v>#N/A</v>
      </c>
      <c r="DO710" s="177"/>
      <c r="DP710" s="183">
        <f>HLOOKUP(H710,'GDP-PI'!$8:$9,2,FALSE)</f>
        <v>78.069000000000003</v>
      </c>
    </row>
    <row r="711" spans="1:121" s="167" customFormat="1" ht="21" x14ac:dyDescent="0.35">
      <c r="A711" s="167" t="s">
        <v>75</v>
      </c>
      <c r="B711" s="168" t="s">
        <v>75</v>
      </c>
      <c r="C711" s="168">
        <v>4057131</v>
      </c>
      <c r="D711" s="168" t="s">
        <v>142</v>
      </c>
      <c r="E711" s="168"/>
      <c r="F711" s="168"/>
      <c r="G711" s="168" t="s">
        <v>7</v>
      </c>
      <c r="H711" s="169">
        <v>2001</v>
      </c>
      <c r="I711" s="170"/>
      <c r="J711" s="166"/>
      <c r="K711" s="166"/>
      <c r="L711" s="166"/>
      <c r="M711" s="166"/>
      <c r="N711" s="196"/>
      <c r="O711" s="166"/>
      <c r="P711" s="166"/>
      <c r="Q711" s="166"/>
      <c r="R711" s="166"/>
      <c r="S711" s="166"/>
      <c r="T711" s="166"/>
      <c r="U711" s="166"/>
      <c r="V711" s="166">
        <f t="shared" si="2082"/>
        <v>84442.389392794663</v>
      </c>
      <c r="W711" s="170"/>
      <c r="X711" s="174">
        <v>6851.011927188455</v>
      </c>
      <c r="Y711" s="175">
        <v>4.6843146808514743E-2</v>
      </c>
      <c r="Z711" s="175"/>
      <c r="AA711" s="175"/>
      <c r="AB711" s="175"/>
      <c r="AC711" s="170">
        <f t="shared" si="2068"/>
        <v>84442.389392794663</v>
      </c>
      <c r="AD711" s="175"/>
      <c r="AE711" s="170"/>
      <c r="AF711" s="170"/>
      <c r="AG711" s="174"/>
      <c r="AH711" s="175"/>
      <c r="AI711" s="175"/>
      <c r="AJ711" s="174"/>
      <c r="AK711" s="174"/>
      <c r="AL711" s="120"/>
      <c r="AM711" s="120"/>
      <c r="AN711" s="120"/>
      <c r="AO711" s="120"/>
      <c r="AP711" s="120"/>
      <c r="AQ711" s="175"/>
      <c r="AR711" s="120"/>
      <c r="AS711" s="120"/>
      <c r="AT711" s="120"/>
      <c r="AU711" s="120"/>
      <c r="AV711" s="120"/>
      <c r="AW711" s="120"/>
      <c r="AX711" s="120"/>
      <c r="AY711" s="120"/>
      <c r="AZ711" s="118">
        <f>IFERROR(INDEX('Total Customers'!$F$7:$AB$91,MATCH($C711,'Total Customers'!$D$7:$D$91,0),MATCH($G711,'Total Customers'!$F$5:$AB$5,0)),"NA")</f>
        <v>1991684</v>
      </c>
      <c r="BA711" s="119">
        <f t="shared" si="2083"/>
        <v>1.4896382330792634E-2</v>
      </c>
      <c r="BB711" s="119"/>
      <c r="BC711" s="121"/>
      <c r="BD711" s="119"/>
      <c r="BE711" s="119"/>
      <c r="BF711" s="119"/>
      <c r="BG711" s="173"/>
      <c r="BH711" s="173"/>
      <c r="BI711" s="173"/>
      <c r="BJ711" s="173"/>
      <c r="BK711" s="173"/>
      <c r="BL711" s="173"/>
      <c r="BM711" s="173"/>
      <c r="BN711" s="173"/>
      <c r="BO711" s="173"/>
      <c r="BP711" s="173"/>
      <c r="BQ711" s="118"/>
      <c r="BR711" s="118"/>
      <c r="BS711" s="118">
        <f>INDEX('Dist. Plant Gas Additions'!$F$7:$AE$91,MATCH($C711,'Dist. Plant Gas Additions'!$D$7:$D$91,0),MATCH(Calculation!$G711,'Dist. Plant Gas Additions'!$F$5:$AE$5,0))</f>
        <v>105964</v>
      </c>
      <c r="BT711" s="118">
        <f>INDEX('Gen. Plant Additions'!$F$7:$AE$91,MATCH($C711,'Gen. Plant Additions'!$D$7:$D$91,0),MATCH(Calculation!$G711,'Gen. Plant Additions'!$F$5:$AE$5,0))</f>
        <v>16560</v>
      </c>
      <c r="BU711" s="118"/>
      <c r="BV711" s="118"/>
      <c r="BW711" s="118">
        <f>INDEX('Dist Plant Depreciation'!$E$7:$AD$94,MATCH($C711,'Dist Plant Depreciation'!$D$7:$D$94,0),MATCH(Calculation!$G711,'Dist Plant Depreciation'!$E$5:$AD$5,0))</f>
        <v>1268622</v>
      </c>
      <c r="BX711" s="118">
        <f>INDEX('Gen. Plant Depreciation'!$E$7:$AD$94,MATCH($C711,'Gen. Plant Depreciation'!$D$7:$D$94,0),MATCH(Calculation!$G711,'Gen. Plant Depreciation'!$E$5:$AD$5,0))</f>
        <v>100711</v>
      </c>
      <c r="BY711" s="118"/>
      <c r="BZ711" s="118"/>
      <c r="CA711" s="118"/>
      <c r="CB711" s="118"/>
      <c r="CC711" s="118"/>
      <c r="CD711" s="118"/>
      <c r="CE711" s="118">
        <f>INDEX('Gross Dx Plant'!$E$7:$AD$91,MATCH($C711,'Gross Dx Plant'!$D$7:$D$91,0),MATCH(Calculation!$G711,'Gross Dx Plant'!$E$5:$AD$5,0))</f>
        <v>2355594</v>
      </c>
      <c r="CF711" s="118">
        <f>INDEX('Gross Gen Plant'!$E$7:$AD$91,MATCH($C711,'Gross Gen Plant'!$D$7:$D$91,0),MATCH(Calculation!$G711,'Gross Gen Plant'!$E$5:$AD$5,0))</f>
        <v>240469</v>
      </c>
      <c r="CG711" s="118">
        <f t="shared" si="1923"/>
        <v>1226730</v>
      </c>
      <c r="CH711" s="118"/>
      <c r="CI711" s="121">
        <v>2001</v>
      </c>
      <c r="CJ711" s="118"/>
      <c r="CK711" s="118"/>
      <c r="CL711" s="118"/>
      <c r="CM711" s="183"/>
      <c r="CN711" s="118">
        <f t="shared" si="2084"/>
        <v>122524</v>
      </c>
      <c r="CO711" s="118">
        <f t="shared" si="2085"/>
        <v>346.65414676264959</v>
      </c>
      <c r="CP711" s="186">
        <v>0.98461538461538467</v>
      </c>
      <c r="CQ711" s="118">
        <f>+CQ708*CP711+CO709*CP710+CO710*CP708+CO711</f>
        <v>6851.011927188455</v>
      </c>
      <c r="CR711" s="119">
        <f t="shared" si="2086"/>
        <v>4.6843146808514743E-2</v>
      </c>
      <c r="CS711" s="119"/>
      <c r="CT711" s="177">
        <f t="shared" si="2087"/>
        <v>5.0679554881067242E-3</v>
      </c>
      <c r="CU711" s="177">
        <f>+(CT711+CT710+CT709)/3</f>
        <v>5.0621011924208174E-3</v>
      </c>
      <c r="CV711" s="119">
        <f>VLOOKUP($H711,RoR!$E:$F,2,FALSE)</f>
        <v>7.0824999999999999E-2</v>
      </c>
      <c r="CW711" s="177">
        <v>2.2454495382290052E-2</v>
      </c>
      <c r="CX711" s="177">
        <f t="shared" si="2093"/>
        <v>4.8370504617709947E-2</v>
      </c>
      <c r="CY711" s="177">
        <f>+$CX$35-CU711</f>
        <v>2.5839840416112807E-2</v>
      </c>
      <c r="CZ711" s="177">
        <f>+((DM709/DM708-1)+(DM710/DM709-1)+(DM711/DM710-1))/3</f>
        <v>2.3947275901631187E-2</v>
      </c>
      <c r="DA711" s="187">
        <f t="shared" si="2088"/>
        <v>0.84971312500000007</v>
      </c>
      <c r="DB711" s="188">
        <f t="shared" si="2089"/>
        <v>0.72406708481540816</v>
      </c>
      <c r="DC711" s="188">
        <f t="shared" si="2090"/>
        <v>0.62201729615248857</v>
      </c>
      <c r="DD711" s="188">
        <f t="shared" si="2091"/>
        <v>0.9352469954311422</v>
      </c>
      <c r="DE711" s="188">
        <f t="shared" si="2092"/>
        <v>0.42121864641655071</v>
      </c>
      <c r="DF711" s="189">
        <f>INDEX('State Tax Lookup'!$D$7:$Z$91,MATCH(Calculation!$C711,'State Tax Lookup'!$B$7:$B$91,0),MATCH($H711,'State Tax Lookup'!$D$6:$Z$6,0))</f>
        <v>0.40076499999999998</v>
      </c>
      <c r="DG711" s="189">
        <v>0.375</v>
      </c>
      <c r="DH711" s="190">
        <f t="shared" ref="DH711:DH731" si="2094">+(DM711*CY711-CZ711)*DA711/(1-DF711)</f>
        <v>12.916638653377188</v>
      </c>
      <c r="DI711" s="190"/>
      <c r="DJ711" s="177"/>
      <c r="DK711" s="189">
        <f>VLOOKUP($H711,RoR!$E:$F,2,FALSE)</f>
        <v>7.0824999999999999E-2</v>
      </c>
      <c r="DL711" s="191">
        <f>HLOOKUP($H711,'GDP-PI'!$D$8:$CQ$11,3,FALSE)</f>
        <v>2.2454495382290052E-2</v>
      </c>
      <c r="DM711" s="189">
        <f>VLOOKUP(H711,'HW Dx Data'!$E:$F,2,FALSE)</f>
        <v>353.44738017483138</v>
      </c>
      <c r="DN711" s="183">
        <f>VLOOKUP(H711,'ECI - Input Price'!$G$17:$H$37,2,FALSE)</f>
        <v>86.2</v>
      </c>
      <c r="DO711" s="177"/>
      <c r="DP711" s="183">
        <f>HLOOKUP(H711,'GDP-PI'!$8:$9,2,FALSE)</f>
        <v>79.822000000000003</v>
      </c>
    </row>
    <row r="712" spans="1:121" s="167" customFormat="1" ht="21" x14ac:dyDescent="0.35">
      <c r="A712" s="167" t="s">
        <v>75</v>
      </c>
      <c r="B712" s="168" t="s">
        <v>75</v>
      </c>
      <c r="C712" s="168">
        <v>4057131</v>
      </c>
      <c r="D712" s="168" t="s">
        <v>142</v>
      </c>
      <c r="E712" s="168"/>
      <c r="F712" s="168"/>
      <c r="G712" s="168" t="s">
        <v>8</v>
      </c>
      <c r="H712" s="169">
        <v>2002</v>
      </c>
      <c r="I712" s="170"/>
      <c r="J712" s="166"/>
      <c r="K712" s="166"/>
      <c r="L712" s="166"/>
      <c r="M712" s="166"/>
      <c r="N712" s="196"/>
      <c r="O712" s="166"/>
      <c r="P712" s="166"/>
      <c r="Q712" s="166"/>
      <c r="R712" s="166"/>
      <c r="S712" s="166"/>
      <c r="T712" s="166"/>
      <c r="U712" s="166"/>
      <c r="V712" s="166">
        <f t="shared" si="2082"/>
        <v>89602.202034562622</v>
      </c>
      <c r="W712" s="170"/>
      <c r="X712" s="174">
        <v>7149.3528140007083</v>
      </c>
      <c r="Y712" s="175">
        <v>4.262546912427316E-2</v>
      </c>
      <c r="Z712" s="175"/>
      <c r="AA712" s="175"/>
      <c r="AB712" s="175"/>
      <c r="AC712" s="170">
        <f t="shared" si="2068"/>
        <v>89602.202034562622</v>
      </c>
      <c r="AD712" s="175"/>
      <c r="AE712" s="170"/>
      <c r="AF712" s="170"/>
      <c r="AG712" s="174"/>
      <c r="AH712" s="175"/>
      <c r="AI712" s="175"/>
      <c r="AJ712" s="174"/>
      <c r="AK712" s="174"/>
      <c r="AL712" s="120"/>
      <c r="AM712" s="120"/>
      <c r="AN712" s="120"/>
      <c r="AO712" s="120"/>
      <c r="AP712" s="120"/>
      <c r="AQ712" s="175"/>
      <c r="AR712" s="120"/>
      <c r="AS712" s="120"/>
      <c r="AT712" s="120"/>
      <c r="AU712" s="120"/>
      <c r="AV712" s="120"/>
      <c r="AW712" s="120"/>
      <c r="AX712" s="120"/>
      <c r="AY712" s="120"/>
      <c r="AZ712" s="118">
        <f>IFERROR(INDEX('Total Customers'!$F$7:$AB$91,MATCH($C712,'Total Customers'!$D$7:$D$91,0),MATCH($G712,'Total Customers'!$F$5:$AB$5,0)),"NA")</f>
        <v>2023255</v>
      </c>
      <c r="BA712" s="119">
        <f t="shared" si="2083"/>
        <v>1.5727088621625133E-2</v>
      </c>
      <c r="BB712" s="119"/>
      <c r="BC712" s="121"/>
      <c r="BD712" s="119"/>
      <c r="BE712" s="119"/>
      <c r="BF712" s="119"/>
      <c r="BG712" s="173"/>
      <c r="BH712" s="173"/>
      <c r="BI712" s="173"/>
      <c r="BJ712" s="173"/>
      <c r="BK712" s="173"/>
      <c r="BL712" s="173"/>
      <c r="BM712" s="173"/>
      <c r="BN712" s="173"/>
      <c r="BO712" s="173"/>
      <c r="BP712" s="173"/>
      <c r="BQ712" s="118"/>
      <c r="BR712" s="118"/>
      <c r="BS712" s="118">
        <f>INDEX('Dist. Plant Gas Additions'!$F$7:$AE$91,MATCH($C712,'Dist. Plant Gas Additions'!$D$7:$D$91,0),MATCH(Calculation!$G712,'Dist. Plant Gas Additions'!$F$5:$AE$5,0))</f>
        <v>101672</v>
      </c>
      <c r="BT712" s="118">
        <f>INDEX('Gen. Plant Additions'!$F$7:$AE$91,MATCH($C712,'Gen. Plant Additions'!$D$7:$D$91,0),MATCH(Calculation!$G712,'Gen. Plant Additions'!$F$5:$AE$5,0))</f>
        <v>20270</v>
      </c>
      <c r="BU712" s="118"/>
      <c r="BV712" s="118"/>
      <c r="BW712" s="118">
        <f>INDEX('Dist Plant Depreciation'!$E$7:$AD$94,MATCH($C712,'Dist Plant Depreciation'!$D$7:$D$94,0),MATCH(Calculation!$G712,'Dist Plant Depreciation'!$E$5:$AD$5,0))</f>
        <v>1344731</v>
      </c>
      <c r="BX712" s="118">
        <f>INDEX('Gen. Plant Depreciation'!$E$7:$AD$94,MATCH($C712,'Gen. Plant Depreciation'!$D$7:$D$94,0),MATCH(Calculation!$G712,'Gen. Plant Depreciation'!$E$5:$AD$5,0))</f>
        <v>108022</v>
      </c>
      <c r="BY712" s="118"/>
      <c r="BZ712" s="118"/>
      <c r="CA712" s="118"/>
      <c r="CB712" s="118"/>
      <c r="CC712" s="118"/>
      <c r="CD712" s="118"/>
      <c r="CE712" s="118">
        <f>INDEX('Gross Dx Plant'!$E$7:$AD$91,MATCH($C712,'Gross Dx Plant'!$D$7:$D$91,0),MATCH(Calculation!$G712,'Gross Dx Plant'!$E$5:$AD$5,0))</f>
        <v>2445101</v>
      </c>
      <c r="CF712" s="118">
        <f>INDEX('Gross Gen Plant'!$E$7:$AD$91,MATCH($C712,'Gross Gen Plant'!$D$7:$D$91,0),MATCH(Calculation!$G712,'Gross Gen Plant'!$E$5:$AD$5,0))</f>
        <v>245200</v>
      </c>
      <c r="CG712" s="118">
        <f t="shared" si="1923"/>
        <v>1237548</v>
      </c>
      <c r="CH712" s="118"/>
      <c r="CI712" s="121">
        <v>2002</v>
      </c>
      <c r="CJ712" s="118"/>
      <c r="CK712" s="118"/>
      <c r="CL712" s="118"/>
      <c r="CM712" s="183"/>
      <c r="CN712" s="118">
        <f t="shared" si="2084"/>
        <v>121942</v>
      </c>
      <c r="CO712" s="118">
        <f t="shared" si="2085"/>
        <v>337.46400719166661</v>
      </c>
      <c r="CP712" s="186">
        <v>0.97916666666666663</v>
      </c>
      <c r="CQ712" s="118">
        <f>+CQ708*CP712+CO709*CP711+CO710*CP710+CO711*CP709+CO712</f>
        <v>7149.3528140007083</v>
      </c>
      <c r="CR712" s="119">
        <f t="shared" si="2086"/>
        <v>4.262546912427316E-2</v>
      </c>
      <c r="CS712" s="119"/>
      <c r="CT712" s="177">
        <f t="shared" si="2087"/>
        <v>5.7105608332328221E-3</v>
      </c>
      <c r="CU712" s="177">
        <f t="shared" ref="CU712:CU731" si="2095">+(CT712+CT711+CT710)/3</f>
        <v>5.3072466774619536E-3</v>
      </c>
      <c r="CV712" s="119">
        <f>VLOOKUP($H712,RoR!$E:$F,2,FALSE)</f>
        <v>6.4916666666666664E-2</v>
      </c>
      <c r="CW712" s="177">
        <v>1.5246423291824351E-2</v>
      </c>
      <c r="CX712" s="177">
        <f t="shared" si="2093"/>
        <v>4.9670243374842313E-2</v>
      </c>
      <c r="CY712" s="177">
        <f t="shared" ref="CY712:CY731" si="2096">+$CX$35-CU712</f>
        <v>2.5594694931071672E-2</v>
      </c>
      <c r="CZ712" s="177">
        <f t="shared" ref="CZ712:CZ731" si="2097">+((DM710/DM709-1)+(DM711/DM710-1)+(DM712/DM711-1))/3</f>
        <v>2.5243621214759093E-2</v>
      </c>
      <c r="DA712" s="187">
        <f t="shared" si="2088"/>
        <v>0.84971312500000007</v>
      </c>
      <c r="DB712" s="188">
        <f t="shared" si="2089"/>
        <v>0.78996741384417901</v>
      </c>
      <c r="DC712" s="188">
        <f t="shared" si="2090"/>
        <v>0.58989088575096271</v>
      </c>
      <c r="DD712" s="188">
        <f t="shared" si="2091"/>
        <v>0.91920675783645744</v>
      </c>
      <c r="DE712" s="188">
        <f t="shared" si="2092"/>
        <v>0.42834536472275586</v>
      </c>
      <c r="DF712" s="189">
        <f>INDEX('State Tax Lookup'!$D$7:$Z$91,MATCH(Calculation!$C712,'State Tax Lookup'!$B$7:$B$91,0),MATCH($H712,'State Tax Lookup'!$D$6:$Z$6,0))</f>
        <v>0.40076499999999998</v>
      </c>
      <c r="DG712" s="189">
        <v>0.375</v>
      </c>
      <c r="DH712" s="190">
        <f t="shared" si="2094"/>
        <v>13.078681366612935</v>
      </c>
      <c r="DI712" s="190"/>
      <c r="DJ712" s="177"/>
      <c r="DK712" s="189">
        <f>VLOOKUP($H712,RoR!$E:$F,2,FALSE)</f>
        <v>6.4916666666666664E-2</v>
      </c>
      <c r="DL712" s="191">
        <f>HLOOKUP($H712,'GDP-PI'!$D$8:$CQ$11,3,FALSE)</f>
        <v>1.5246423291824351E-2</v>
      </c>
      <c r="DM712" s="189">
        <f>VLOOKUP(H712,'HW Dx Data'!$E:$F,2,FALSE)</f>
        <v>361.34816573413599</v>
      </c>
      <c r="DN712" s="183">
        <f>VLOOKUP(H712,'ECI - Input Price'!$G$17:$H$37,2,FALSE)</f>
        <v>89.275000000000006</v>
      </c>
      <c r="DO712" s="177">
        <f>LN(DN712/DN711)</f>
        <v>3.5051315810864674E-2</v>
      </c>
      <c r="DP712" s="183">
        <f>HLOOKUP(H712,'GDP-PI'!$8:$9,2,FALSE)</f>
        <v>81.039000000000001</v>
      </c>
      <c r="DQ712" s="177">
        <f>LN(DP712/DP711)</f>
        <v>1.513136459537477E-2</v>
      </c>
    </row>
    <row r="713" spans="1:121" s="167" customFormat="1" ht="21" x14ac:dyDescent="0.35">
      <c r="A713" s="167" t="s">
        <v>75</v>
      </c>
      <c r="B713" s="168" t="s">
        <v>75</v>
      </c>
      <c r="C713" s="168">
        <v>4057131</v>
      </c>
      <c r="D713" s="168" t="s">
        <v>142</v>
      </c>
      <c r="E713" s="168"/>
      <c r="F713" s="168"/>
      <c r="G713" s="168" t="s">
        <v>9</v>
      </c>
      <c r="H713" s="169">
        <v>2003</v>
      </c>
      <c r="I713" s="170"/>
      <c r="J713" s="166"/>
      <c r="K713" s="166"/>
      <c r="L713" s="166"/>
      <c r="M713" s="172"/>
      <c r="N713" s="196"/>
      <c r="O713" s="172"/>
      <c r="P713" s="166"/>
      <c r="Q713" s="166"/>
      <c r="R713" s="166"/>
      <c r="S713" s="166"/>
      <c r="T713" s="166"/>
      <c r="U713" s="166"/>
      <c r="V713" s="166">
        <f t="shared" si="2082"/>
        <v>94956.408507545304</v>
      </c>
      <c r="W713" s="170"/>
      <c r="X713" s="174">
        <v>7480.1201018312895</v>
      </c>
      <c r="Y713" s="175">
        <v>4.5227011167278314E-2</v>
      </c>
      <c r="Z713" s="175"/>
      <c r="AA713" s="175"/>
      <c r="AB713" s="175"/>
      <c r="AC713" s="170">
        <f t="shared" si="2068"/>
        <v>94956.408507545304</v>
      </c>
      <c r="AD713" s="175"/>
      <c r="AE713" s="170"/>
      <c r="AF713" s="170"/>
      <c r="AG713" s="174"/>
      <c r="AH713" s="175"/>
      <c r="AI713" s="175"/>
      <c r="AJ713" s="174"/>
      <c r="AK713" s="174"/>
      <c r="AL713" s="120"/>
      <c r="AM713" s="120"/>
      <c r="AN713" s="120"/>
      <c r="AO713" s="120"/>
      <c r="AP713" s="120"/>
      <c r="AQ713" s="175"/>
      <c r="AR713" s="120"/>
      <c r="AS713" s="120"/>
      <c r="AT713" s="120"/>
      <c r="AU713" s="120"/>
      <c r="AV713" s="120"/>
      <c r="AW713" s="120"/>
      <c r="AX713" s="120"/>
      <c r="AY713" s="120"/>
      <c r="AZ713" s="118">
        <f>IFERROR(INDEX('Total Customers'!$F$7:$AB$91,MATCH($C713,'Total Customers'!$D$7:$D$91,0),MATCH($G713,'Total Customers'!$F$5:$AB$5,0)),"NA")</f>
        <v>2056612</v>
      </c>
      <c r="BA713" s="119">
        <f t="shared" si="2083"/>
        <v>1.6352368006932152E-2</v>
      </c>
      <c r="BB713" s="119"/>
      <c r="BC713" s="121"/>
      <c r="BD713" s="119"/>
      <c r="BE713" s="119"/>
      <c r="BF713" s="119"/>
      <c r="BG713" s="173"/>
      <c r="BH713" s="173"/>
      <c r="BI713" s="173"/>
      <c r="BJ713" s="173"/>
      <c r="BK713" s="173"/>
      <c r="BL713" s="173"/>
      <c r="BM713" s="173"/>
      <c r="BN713" s="173"/>
      <c r="BO713" s="173"/>
      <c r="BP713" s="173"/>
      <c r="BQ713" s="118"/>
      <c r="BR713" s="118"/>
      <c r="BS713" s="118">
        <f>INDEX('Dist. Plant Gas Additions'!$F$7:$AE$91,MATCH($C713,'Dist. Plant Gas Additions'!$D$7:$D$91,0),MATCH(Calculation!$G713,'Dist. Plant Gas Additions'!$F$5:$AE$5,0))</f>
        <v>117190</v>
      </c>
      <c r="BT713" s="118">
        <f>INDEX('Gen. Plant Additions'!$F$7:$AE$91,MATCH($C713,'Gen. Plant Additions'!$D$7:$D$91,0),MATCH(Calculation!$G713,'Gen. Plant Additions'!$F$5:$AE$5,0))</f>
        <v>19856</v>
      </c>
      <c r="BU713" s="118"/>
      <c r="BV713" s="118"/>
      <c r="BW713" s="118">
        <f>INDEX('Dist Plant Depreciation'!$E$7:$AD$94,MATCH($C713,'Dist Plant Depreciation'!$D$7:$D$94,0),MATCH(Calculation!$G713,'Dist Plant Depreciation'!$E$5:$AD$5,0))</f>
        <v>1423003</v>
      </c>
      <c r="BX713" s="118">
        <f>INDEX('Gen. Plant Depreciation'!$E$7:$AD$94,MATCH($C713,'Gen. Plant Depreciation'!$D$7:$D$94,0),MATCH(Calculation!$G713,'Gen. Plant Depreciation'!$E$5:$AD$5,0))</f>
        <v>116381</v>
      </c>
      <c r="BY713" s="118"/>
      <c r="BZ713" s="118"/>
      <c r="CA713" s="118"/>
      <c r="CB713" s="118"/>
      <c r="CC713" s="118"/>
      <c r="CD713" s="118"/>
      <c r="CE713" s="118">
        <f>INDEX('Gross Dx Plant'!$E$7:$AD$91,MATCH($C713,'Gross Dx Plant'!$D$7:$D$91,0),MATCH(Calculation!$G713,'Gross Dx Plant'!$E$5:$AD$5,0))</f>
        <v>2552582</v>
      </c>
      <c r="CF713" s="118">
        <f>INDEX('Gross Gen Plant'!$E$7:$AD$91,MATCH($C713,'Gross Gen Plant'!$D$7:$D$91,0),MATCH(Calculation!$G713,'Gross Gen Plant'!$E$5:$AD$5,0))</f>
        <v>247081</v>
      </c>
      <c r="CG713" s="118">
        <f t="shared" si="1923"/>
        <v>1260279</v>
      </c>
      <c r="CH713" s="118"/>
      <c r="CI713" s="121">
        <v>2003</v>
      </c>
      <c r="CJ713" s="118"/>
      <c r="CK713" s="118"/>
      <c r="CL713" s="118"/>
      <c r="CM713" s="183"/>
      <c r="CN713" s="118">
        <f t="shared" si="2084"/>
        <v>137046</v>
      </c>
      <c r="CO713" s="118">
        <f t="shared" si="2085"/>
        <v>371.16399653789074</v>
      </c>
      <c r="CP713" s="186">
        <v>0.97354497354497349</v>
      </c>
      <c r="CQ713" s="118">
        <f>+CQ708*CP713+CO709*CP712+CO710*CP711+CO711*CP710+CO712*CP709+CO713</f>
        <v>7480.1201018312895</v>
      </c>
      <c r="CR713" s="119">
        <f t="shared" si="2086"/>
        <v>4.5227011167278314E-2</v>
      </c>
      <c r="CS713" s="119"/>
      <c r="CT713" s="177">
        <f t="shared" si="2087"/>
        <v>5.6504007786830675E-3</v>
      </c>
      <c r="CU713" s="177">
        <f t="shared" si="2095"/>
        <v>5.4763057000075379E-3</v>
      </c>
      <c r="CV713" s="119">
        <f>VLOOKUP($H713,RoR!$E:$F,2,FALSE)</f>
        <v>5.6666666666666671E-2</v>
      </c>
      <c r="CW713" s="177">
        <v>1.8855119140166909E-2</v>
      </c>
      <c r="CX713" s="177">
        <f t="shared" si="2093"/>
        <v>3.7811547526499761E-2</v>
      </c>
      <c r="CY713" s="177">
        <f t="shared" si="2096"/>
        <v>2.5425635908526086E-2</v>
      </c>
      <c r="CZ713" s="177">
        <f t="shared" si="2097"/>
        <v>2.1375012817671957E-2</v>
      </c>
      <c r="DA713" s="187">
        <f t="shared" si="2088"/>
        <v>0.84971312500000007</v>
      </c>
      <c r="DB713" s="188">
        <f t="shared" si="2089"/>
        <v>0.90497737556561086</v>
      </c>
      <c r="DC713" s="188">
        <f t="shared" si="2090"/>
        <v>0.5338235294117647</v>
      </c>
      <c r="DD713" s="188">
        <f t="shared" si="2091"/>
        <v>0.88972433127405692</v>
      </c>
      <c r="DE713" s="188">
        <f t="shared" si="2092"/>
        <v>0.42982423775949252</v>
      </c>
      <c r="DF713" s="189">
        <f>INDEX('State Tax Lookup'!$D$7:$Z$91,MATCH(Calculation!$C713,'State Tax Lookup'!$B$7:$B$91,0),MATCH($H713,'State Tax Lookup'!$D$6:$Z$6,0))</f>
        <v>0.40076499999999998</v>
      </c>
      <c r="DG713" s="189">
        <v>0.375</v>
      </c>
      <c r="DH713" s="190">
        <f t="shared" si="2094"/>
        <v>13.281818785273883</v>
      </c>
      <c r="DI713" s="190"/>
      <c r="DJ713" s="177"/>
      <c r="DK713" s="189">
        <f>VLOOKUP($H713,RoR!$E:$F,2,FALSE)</f>
        <v>5.6666666666666671E-2</v>
      </c>
      <c r="DL713" s="191">
        <f>HLOOKUP($H713,'GDP-PI'!$D$8:$CQ$11,3,FALSE)</f>
        <v>1.8855119140166909E-2</v>
      </c>
      <c r="DM713" s="189">
        <f>VLOOKUP(H713,'HW Dx Data'!$E:$F,2,FALSE)</f>
        <v>369.23301095560191</v>
      </c>
      <c r="DN713" s="183">
        <f>VLOOKUP(H713,'ECI - Input Price'!$G$17:$H$37,2,FALSE)</f>
        <v>92.625</v>
      </c>
      <c r="DO713" s="177">
        <f t="shared" ref="DO713" si="2098">LN(DN713/DN712)</f>
        <v>3.6837590135738785E-2</v>
      </c>
      <c r="DP713" s="183">
        <f>HLOOKUP(H713,'GDP-PI'!$8:$9,2,FALSE)</f>
        <v>82.566999999999993</v>
      </c>
      <c r="DQ713" s="177">
        <f t="shared" ref="DQ713" si="2099">LN(DP713/DP712)</f>
        <v>1.8679564681853753E-2</v>
      </c>
    </row>
    <row r="714" spans="1:121" s="167" customFormat="1" ht="21" x14ac:dyDescent="0.35">
      <c r="A714" s="167" t="s">
        <v>75</v>
      </c>
      <c r="B714" s="168" t="s">
        <v>75</v>
      </c>
      <c r="C714" s="168">
        <v>4057131</v>
      </c>
      <c r="D714" s="168" t="s">
        <v>142</v>
      </c>
      <c r="E714" s="168"/>
      <c r="F714" s="168"/>
      <c r="G714" s="168" t="s">
        <v>10</v>
      </c>
      <c r="H714" s="169">
        <v>2004</v>
      </c>
      <c r="I714" s="170"/>
      <c r="J714" s="166">
        <f>IFERROR(INDEX('Labor Expenditures'!$F$7:$X$91,MATCH($C714,'Labor Expenditures'!$D$7:$D$91,0),MATCH($G714,'Labor Expenditures'!$F$5:$X$5,0)),"NA")</f>
        <v>64527.2722849407</v>
      </c>
      <c r="K714" s="166">
        <f t="shared" ref="K714:K731" si="2100">+J714/DN714</f>
        <v>670.93602583769905</v>
      </c>
      <c r="L714" s="172"/>
      <c r="M714" s="172"/>
      <c r="N714" s="196"/>
      <c r="O714" s="172"/>
      <c r="P714" s="166">
        <f>IFERROR(INDEX('Non-Labor Expenditures'!$F$7:$AB$91,MATCH($C714,'Non-Labor Expenditures'!$D$7:$D$91,0),MATCH($G714,'Non-Labor Expenditures'!$F$5:$AB$5,0)),"NA")</f>
        <v>93447.542300605739</v>
      </c>
      <c r="Q714" s="166">
        <f t="shared" ref="Q714:Q731" si="2101">+P714/DP714</f>
        <v>1102.2616987969252</v>
      </c>
      <c r="R714" s="166"/>
      <c r="S714" s="166"/>
      <c r="T714" s="166"/>
      <c r="U714" s="166"/>
      <c r="V714" s="166">
        <f t="shared" si="2082"/>
        <v>110191.31595407681</v>
      </c>
      <c r="W714" s="170"/>
      <c r="X714" s="174">
        <v>7738.6256879023222</v>
      </c>
      <c r="Y714" s="175">
        <v>3.3975263881462464E-2</v>
      </c>
      <c r="Z714" s="175"/>
      <c r="AA714" s="175"/>
      <c r="AB714" s="175"/>
      <c r="AC714" s="170">
        <f t="shared" si="2068"/>
        <v>268166.13053962326</v>
      </c>
      <c r="AD714" s="175"/>
      <c r="AE714" s="170"/>
      <c r="AF714" s="170"/>
      <c r="AG714" s="174"/>
      <c r="AH714" s="175"/>
      <c r="AI714" s="175"/>
      <c r="AJ714" s="174"/>
      <c r="AK714" s="174"/>
      <c r="AL714" s="120">
        <f t="shared" ref="AL714:AL731" si="2102">+J714/AC714</f>
        <v>0.24062424346838379</v>
      </c>
      <c r="AM714" s="120">
        <f t="shared" ref="AM714:AM731" si="2103">+P714/AC714</f>
        <v>0.34846884695156632</v>
      </c>
      <c r="AN714" s="120">
        <f t="shared" ref="AN714:AN731" si="2104">+V714/AC714</f>
        <v>0.41090690958004983</v>
      </c>
      <c r="AO714" s="120"/>
      <c r="AP714" s="120"/>
      <c r="AQ714" s="175"/>
      <c r="AR714" s="120"/>
      <c r="AS714" s="120"/>
      <c r="AT714" s="120"/>
      <c r="AU714" s="120"/>
      <c r="AV714" s="120"/>
      <c r="AW714" s="120"/>
      <c r="AX714" s="120"/>
      <c r="AY714" s="120"/>
      <c r="AZ714" s="118">
        <f>IFERROR(INDEX('Total Customers'!$F$7:$AB$91,MATCH($C714,'Total Customers'!$D$7:$D$91,0),MATCH($G714,'Total Customers'!$F$5:$AB$5,0)),"NA")</f>
        <v>2092607</v>
      </c>
      <c r="BA714" s="119">
        <f t="shared" si="2083"/>
        <v>1.7350688411095216E-2</v>
      </c>
      <c r="BB714" s="119"/>
      <c r="BC714" s="121"/>
      <c r="BD714" s="119"/>
      <c r="BE714" s="119"/>
      <c r="BF714" s="119"/>
      <c r="BG714" s="173"/>
      <c r="BH714" s="173"/>
      <c r="BI714" s="173"/>
      <c r="BJ714" s="173"/>
      <c r="BK714" s="173"/>
      <c r="BL714" s="173"/>
      <c r="BM714" s="173"/>
      <c r="BN714" s="173"/>
      <c r="BO714" s="173"/>
      <c r="BP714" s="173"/>
      <c r="BQ714" s="118"/>
      <c r="BR714" s="118"/>
      <c r="BS714" s="118">
        <f>INDEX('Dist. Plant Gas Additions'!$F$7:$AE$91,MATCH($C714,'Dist. Plant Gas Additions'!$D$7:$D$91,0),MATCH(Calculation!$G714,'Dist. Plant Gas Additions'!$F$5:$AE$5,0))</f>
        <v>107642</v>
      </c>
      <c r="BT714" s="118">
        <f>INDEX('Gen. Plant Additions'!$F$7:$AE$91,MATCH($C714,'Gen. Plant Additions'!$D$7:$D$91,0),MATCH(Calculation!$G714,'Gen. Plant Additions'!$F$5:$AE$5,0))</f>
        <v>17672</v>
      </c>
      <c r="BU714" s="118"/>
      <c r="BV714" s="118"/>
      <c r="BW714" s="118">
        <f>INDEX('Dist Plant Depreciation'!$E$7:$AD$94,MATCH($C714,'Dist Plant Depreciation'!$D$7:$D$94,0),MATCH(Calculation!$G714,'Dist Plant Depreciation'!$E$5:$AD$5,0))</f>
        <v>1507331</v>
      </c>
      <c r="BX714" s="118">
        <f>INDEX('Gen. Plant Depreciation'!$E$7:$AD$94,MATCH($C714,'Gen. Plant Depreciation'!$D$7:$D$94,0),MATCH(Calculation!$G714,'Gen. Plant Depreciation'!$E$5:$AD$5,0))</f>
        <v>126079</v>
      </c>
      <c r="BY714" s="118"/>
      <c r="BZ714" s="118"/>
      <c r="CA714" s="118"/>
      <c r="CB714" s="118"/>
      <c r="CC714" s="118"/>
      <c r="CD714" s="118"/>
      <c r="CE714" s="118">
        <f>INDEX('Gross Dx Plant'!$E$7:$AD$91,MATCH($C714,'Gross Dx Plant'!$D$7:$D$91,0),MATCH(Calculation!$G714,'Gross Dx Plant'!$E$5:$AD$5,0))</f>
        <v>2651669</v>
      </c>
      <c r="CF714" s="118">
        <f>INDEX('Gross Gen Plant'!$E$7:$AD$91,MATCH($C714,'Gross Gen Plant'!$D$7:$D$91,0),MATCH(Calculation!$G714,'Gross Gen Plant'!$E$5:$AD$5,0))</f>
        <v>246221</v>
      </c>
      <c r="CG714" s="118">
        <f t="shared" si="1923"/>
        <v>1264480</v>
      </c>
      <c r="CH714" s="118"/>
      <c r="CI714" s="121">
        <v>2004</v>
      </c>
      <c r="CJ714" s="118"/>
      <c r="CK714" s="118"/>
      <c r="CL714" s="118"/>
      <c r="CM714" s="183"/>
      <c r="CN714" s="118">
        <f t="shared" si="2084"/>
        <v>125314</v>
      </c>
      <c r="CO714" s="118">
        <f t="shared" si="2085"/>
        <v>302.04354969733203</v>
      </c>
      <c r="CP714" s="186">
        <v>0.967741935483871</v>
      </c>
      <c r="CQ714" s="118">
        <f>+CQ708*CP714+CO709*CP713+CO710*CP712+CO711*CP711+CO712*CP710+CO713*CP709+CO714</f>
        <v>7738.6256879023222</v>
      </c>
      <c r="CR714" s="119">
        <f t="shared" si="2086"/>
        <v>3.3975263881462464E-2</v>
      </c>
      <c r="CS714" s="119"/>
      <c r="CT714" s="177">
        <f t="shared" si="2087"/>
        <v>5.8204899164172987E-3</v>
      </c>
      <c r="CU714" s="177">
        <f t="shared" si="2095"/>
        <v>5.7271505094443967E-3</v>
      </c>
      <c r="CV714" s="119">
        <f>VLOOKUP($H714,RoR!$E:$F,2,FALSE)</f>
        <v>5.6283333333333331E-2</v>
      </c>
      <c r="CW714" s="177">
        <v>2.6778252812867276E-2</v>
      </c>
      <c r="CX714" s="177">
        <f t="shared" si="2093"/>
        <v>2.9505080520466055E-2</v>
      </c>
      <c r="CY714" s="177">
        <f t="shared" si="2096"/>
        <v>2.5174791099089228E-2</v>
      </c>
      <c r="CZ714" s="177">
        <f t="shared" si="2097"/>
        <v>5.5940039414565046E-2</v>
      </c>
      <c r="DA714" s="187">
        <f t="shared" si="2088"/>
        <v>0.84971312500000007</v>
      </c>
      <c r="DB714" s="188">
        <f t="shared" si="2089"/>
        <v>0.91114097628755619</v>
      </c>
      <c r="DC714" s="188">
        <f t="shared" si="2090"/>
        <v>0.53081877405981637</v>
      </c>
      <c r="DD714" s="188">
        <f t="shared" si="2091"/>
        <v>0.88811215519385678</v>
      </c>
      <c r="DE714" s="188">
        <f t="shared" si="2092"/>
        <v>0.42953609753547711</v>
      </c>
      <c r="DF714" s="189">
        <f>INDEX('State Tax Lookup'!$D$7:$Z$91,MATCH(Calculation!$C714,'State Tax Lookup'!$B$7:$B$91,0),MATCH($H714,'State Tax Lookup'!$D$6:$Z$6,0))</f>
        <v>0.40076499999999998</v>
      </c>
      <c r="DG714" s="189">
        <v>0.375</v>
      </c>
      <c r="DH714" s="190">
        <f t="shared" si="2094"/>
        <v>14.731222821823366</v>
      </c>
      <c r="DI714" s="190"/>
      <c r="DJ714" s="177"/>
      <c r="DK714" s="189">
        <f>VLOOKUP($H714,RoR!$E:$F,2,FALSE)</f>
        <v>5.6283333333333331E-2</v>
      </c>
      <c r="DL714" s="191">
        <f>HLOOKUP($H714,'GDP-PI'!$D$8:$CQ$11,3,FALSE)</f>
        <v>2.6778252812867276E-2</v>
      </c>
      <c r="DM714" s="189">
        <f>VLOOKUP(H714,'HW Dx Data'!$E:$F,2,FALSE)</f>
        <v>414.88719135228365</v>
      </c>
      <c r="DN714" s="183">
        <f>VLOOKUP(H714,'ECI - Input Price'!$G$17:$H$37,2,FALSE)</f>
        <v>96.174999999999997</v>
      </c>
      <c r="DO714" s="177">
        <f t="shared" ref="DO714" si="2105">LN(DN714/DN713)</f>
        <v>3.7610365022107912E-2</v>
      </c>
      <c r="DP714" s="183">
        <f>HLOOKUP(H714,'GDP-PI'!$8:$9,2,FALSE)</f>
        <v>84.778000000000006</v>
      </c>
      <c r="DQ714" s="177">
        <f t="shared" ref="DQ714" si="2106">LN(DP714/DP713)</f>
        <v>2.6425990216022755E-2</v>
      </c>
    </row>
    <row r="715" spans="1:121" s="167" customFormat="1" ht="21" x14ac:dyDescent="0.35">
      <c r="A715" s="167" t="s">
        <v>75</v>
      </c>
      <c r="B715" s="168" t="s">
        <v>75</v>
      </c>
      <c r="C715" s="168">
        <v>4057131</v>
      </c>
      <c r="D715" s="168" t="s">
        <v>142</v>
      </c>
      <c r="E715" s="168"/>
      <c r="F715" s="168"/>
      <c r="G715" s="168" t="s">
        <v>11</v>
      </c>
      <c r="H715" s="169">
        <v>2005</v>
      </c>
      <c r="I715" s="170"/>
      <c r="J715" s="166">
        <f>IFERROR(INDEX('Labor Expenditures'!$F$7:$X$91,MATCH($C715,'Labor Expenditures'!$D$7:$D$91,0),MATCH($G715,'Labor Expenditures'!$F$5:$X$5,0)),"NA")</f>
        <v>68307.586646397118</v>
      </c>
      <c r="K715" s="166">
        <f t="shared" si="2100"/>
        <v>688.93178665050038</v>
      </c>
      <c r="L715" s="172">
        <f t="shared" ref="L715:L731" si="2107">LN(K715/K714)</f>
        <v>2.646847179964203E-2</v>
      </c>
      <c r="M715" s="172"/>
      <c r="N715" s="196"/>
      <c r="O715" s="172"/>
      <c r="P715" s="166">
        <f>IFERROR(INDEX('Non-Labor Expenditures'!$F$7:$AB$91,MATCH($C715,'Non-Labor Expenditures'!$D$7:$D$91,0),MATCH($G715,'Non-Labor Expenditures'!$F$5:$AB$5,0)),"NA")</f>
        <v>98922.143561323071</v>
      </c>
      <c r="Q715" s="166">
        <f t="shared" si="2101"/>
        <v>1131.741663268652</v>
      </c>
      <c r="R715" s="172">
        <f>LN(Q715/Q714)</f>
        <v>2.6393582316354892E-2</v>
      </c>
      <c r="S715" s="172"/>
      <c r="T715" s="172"/>
      <c r="U715" s="172"/>
      <c r="V715" s="166">
        <f t="shared" si="2082"/>
        <v>128105.9131889948</v>
      </c>
      <c r="W715" s="170"/>
      <c r="X715" s="174">
        <v>7981.0810039255948</v>
      </c>
      <c r="Y715" s="175">
        <v>3.0849754304851696E-2</v>
      </c>
      <c r="Z715" s="175"/>
      <c r="AA715" s="175"/>
      <c r="AB715" s="175"/>
      <c r="AC715" s="170">
        <f t="shared" si="2068"/>
        <v>295335.64339671499</v>
      </c>
      <c r="AD715" s="175">
        <f>LN(AC715/AC714)</f>
        <v>9.650580525983006E-2</v>
      </c>
      <c r="AE715" s="170"/>
      <c r="AF715" s="170"/>
      <c r="AG715" s="121"/>
      <c r="AH715" s="119"/>
      <c r="AI715" s="119"/>
      <c r="AJ715" s="121"/>
      <c r="AK715" s="121"/>
      <c r="AL715" s="120">
        <f t="shared" si="2102"/>
        <v>0.23128798766304581</v>
      </c>
      <c r="AM715" s="120">
        <f t="shared" si="2103"/>
        <v>0.3349482047733876</v>
      </c>
      <c r="AN715" s="120">
        <f t="shared" si="2104"/>
        <v>0.43376380756356658</v>
      </c>
      <c r="AO715" s="120">
        <f t="shared" ref="AO715:AO731" si="2108">+(((AL715+AL714)/2)*L715+((AM714+AM715)/2)*R715+((AN714+AN715)/2)*Y715)</f>
        <v>2.829325194254749E-2</v>
      </c>
      <c r="AP715" s="173">
        <v>100</v>
      </c>
      <c r="AQ715" s="175"/>
      <c r="AR715" s="120"/>
      <c r="AS715" s="120"/>
      <c r="AT715" s="120"/>
      <c r="AU715" s="120"/>
      <c r="AV715" s="120"/>
      <c r="AW715" s="120"/>
      <c r="AX715" s="120"/>
      <c r="AY715" s="120"/>
      <c r="AZ715" s="118">
        <f>IFERROR(INDEX('Total Customers'!$F$7:$AB$91,MATCH($C715,'Total Customers'!$D$7:$D$91,0),MATCH($G715,'Total Customers'!$F$5:$AB$5,0)),"NA")</f>
        <v>2106684</v>
      </c>
      <c r="BA715" s="119">
        <f t="shared" si="2083"/>
        <v>6.7044902247918297E-3</v>
      </c>
      <c r="BB715" s="119"/>
      <c r="BC715" s="121"/>
      <c r="BD715" s="119"/>
      <c r="BE715" s="119"/>
      <c r="BF715" s="119"/>
      <c r="BG715" s="173"/>
      <c r="BH715" s="173"/>
      <c r="BI715" s="173"/>
      <c r="BJ715" s="173"/>
      <c r="BK715" s="173"/>
      <c r="BL715" s="173"/>
      <c r="BM715" s="173"/>
      <c r="BN715" s="173"/>
      <c r="BO715" s="173"/>
      <c r="BP715" s="173"/>
      <c r="BQ715" s="118"/>
      <c r="BR715" s="118"/>
      <c r="BS715" s="118">
        <f>INDEX('Dist. Plant Gas Additions'!$F$7:$AE$91,MATCH($C715,'Dist. Plant Gas Additions'!$D$7:$D$91,0),MATCH(Calculation!$G715,'Dist. Plant Gas Additions'!$F$5:$AE$5,0))</f>
        <v>114566</v>
      </c>
      <c r="BT715" s="118">
        <f>INDEX('Gen. Plant Additions'!$F$7:$AE$91,MATCH($C715,'Gen. Plant Additions'!$D$7:$D$91,0),MATCH(Calculation!$G715,'Gen. Plant Additions'!$F$5:$AE$5,0))</f>
        <v>20992</v>
      </c>
      <c r="BU715" s="118"/>
      <c r="BV715" s="118"/>
      <c r="BW715" s="118">
        <f>INDEX('Dist Plant Depreciation'!$E$7:$AD$94,MATCH($C715,'Dist Plant Depreciation'!$D$7:$D$94,0),MATCH(Calculation!$G715,'Dist Plant Depreciation'!$E$5:$AD$5,0))</f>
        <v>1501953</v>
      </c>
      <c r="BX715" s="118">
        <f>INDEX('Gen. Plant Depreciation'!$E$7:$AD$94,MATCH($C715,'Gen. Plant Depreciation'!$D$7:$D$94,0),MATCH(Calculation!$G715,'Gen. Plant Depreciation'!$E$5:$AD$5,0))</f>
        <v>130135</v>
      </c>
      <c r="BY715" s="118"/>
      <c r="BZ715" s="118"/>
      <c r="CA715" s="118"/>
      <c r="CB715" s="118"/>
      <c r="CC715" s="118"/>
      <c r="CD715" s="118"/>
      <c r="CE715" s="118">
        <f>INDEX('Gross Dx Plant'!$E$7:$AD$91,MATCH($C715,'Gross Dx Plant'!$D$7:$D$91,0),MATCH(Calculation!$G715,'Gross Dx Plant'!$E$5:$AD$5,0))</f>
        <v>2822164</v>
      </c>
      <c r="CF715" s="118">
        <f>INDEX('Gross Gen Plant'!$E$7:$AD$91,MATCH($C715,'Gross Gen Plant'!$D$7:$D$91,0),MATCH(Calculation!$G715,'Gross Gen Plant'!$E$5:$AD$5,0))</f>
        <v>243507</v>
      </c>
      <c r="CG715" s="118">
        <f t="shared" si="1923"/>
        <v>1433583</v>
      </c>
      <c r="CH715" s="118"/>
      <c r="CI715" s="121">
        <v>2005</v>
      </c>
      <c r="CJ715" s="118"/>
      <c r="CK715" s="118"/>
      <c r="CL715" s="118"/>
      <c r="CM715" s="183"/>
      <c r="CN715" s="118">
        <f t="shared" si="2084"/>
        <v>135558</v>
      </c>
      <c r="CO715" s="118">
        <f t="shared" si="2085"/>
        <v>288.9098783083785</v>
      </c>
      <c r="CP715" s="186">
        <v>0.96174863387978138</v>
      </c>
      <c r="CQ715" s="118">
        <f>+CQ708*CP715+CO709*CP714+CO710*CP713+CO711*CP712+CO712*CP711+CO713*CP710+CO714*CP709+CO715</f>
        <v>7981.0810039255948</v>
      </c>
      <c r="CR715" s="119">
        <f t="shared" si="2086"/>
        <v>3.0849754304851696E-2</v>
      </c>
      <c r="CS715" s="119"/>
      <c r="CT715" s="177">
        <f t="shared" si="2087"/>
        <v>6.0029473137236207E-3</v>
      </c>
      <c r="CU715" s="177">
        <f t="shared" si="2095"/>
        <v>5.8246126696079965E-3</v>
      </c>
      <c r="CV715" s="119">
        <f>VLOOKUP($H715,RoR!$E:$F,2,FALSE)</f>
        <v>5.2350000000000001E-2</v>
      </c>
      <c r="CW715" s="177">
        <v>3.1010403642454332E-2</v>
      </c>
      <c r="CX715" s="177">
        <f t="shared" si="2093"/>
        <v>2.1339596357545669E-2</v>
      </c>
      <c r="CY715" s="177">
        <f t="shared" si="2096"/>
        <v>2.5077328938925628E-2</v>
      </c>
      <c r="CZ715" s="177">
        <f t="shared" si="2097"/>
        <v>9.2129610649277341E-2</v>
      </c>
      <c r="DA715" s="187">
        <f t="shared" si="2088"/>
        <v>0.84971312500000007</v>
      </c>
      <c r="DB715" s="188">
        <f t="shared" si="2089"/>
        <v>0.97959983346802826</v>
      </c>
      <c r="DC715" s="188">
        <f t="shared" si="2090"/>
        <v>0.49744508118433622</v>
      </c>
      <c r="DD715" s="188">
        <f t="shared" si="2091"/>
        <v>0.87010519444335932</v>
      </c>
      <c r="DE715" s="188">
        <f t="shared" si="2092"/>
        <v>0.42399975420741998</v>
      </c>
      <c r="DF715" s="189">
        <f>INDEX('State Tax Lookup'!$D$7:$Z$91,MATCH(Calculation!$C715,'State Tax Lookup'!$B$7:$B$91,0),MATCH($H715,'State Tax Lookup'!$D$6:$Z$6,0))</f>
        <v>0.40076499999999998</v>
      </c>
      <c r="DG715" s="189">
        <v>0.375</v>
      </c>
      <c r="DH715" s="190">
        <f t="shared" si="2094"/>
        <v>16.554090914264126</v>
      </c>
      <c r="DI715" s="190"/>
      <c r="DJ715" s="177"/>
      <c r="DK715" s="189">
        <f>VLOOKUP($H715,RoR!$E:$F,2,FALSE)</f>
        <v>5.2350000000000001E-2</v>
      </c>
      <c r="DL715" s="191">
        <f>HLOOKUP($H715,'GDP-PI'!$D$8:$CQ$11,3,FALSE)</f>
        <v>3.1010403642454332E-2</v>
      </c>
      <c r="DM715" s="189">
        <f>VLOOKUP(H715,'HW Dx Data'!$E:$F,2,FALSE)</f>
        <v>469.20514034936258</v>
      </c>
      <c r="DN715" s="183">
        <f>VLOOKUP(H715,'ECI - Input Price'!$G$17:$H$37,2,FALSE)</f>
        <v>99.15</v>
      </c>
      <c r="DO715" s="177">
        <f t="shared" ref="DO715" si="2109">LN(DN715/DN714)</f>
        <v>3.046440632744625E-2</v>
      </c>
      <c r="DP715" s="183">
        <f>HLOOKUP(H715,'GDP-PI'!$8:$9,2,FALSE)</f>
        <v>87.406999999999996</v>
      </c>
      <c r="DQ715" s="177">
        <f t="shared" ref="DQ715" si="2110">LN(DP715/DP714)</f>
        <v>3.0539295810733648E-2</v>
      </c>
    </row>
    <row r="716" spans="1:121" s="167" customFormat="1" ht="21" x14ac:dyDescent="0.35">
      <c r="A716" s="167" t="s">
        <v>75</v>
      </c>
      <c r="B716" s="168" t="s">
        <v>75</v>
      </c>
      <c r="C716" s="168">
        <v>4057131</v>
      </c>
      <c r="D716" s="168" t="s">
        <v>142</v>
      </c>
      <c r="E716" s="168"/>
      <c r="F716" s="168"/>
      <c r="G716" s="168" t="s">
        <v>12</v>
      </c>
      <c r="H716" s="169">
        <v>2006</v>
      </c>
      <c r="I716" s="170"/>
      <c r="J716" s="166">
        <f>IFERROR(INDEX('Labor Expenditures'!$F$7:$X$91,MATCH($C716,'Labor Expenditures'!$D$7:$D$91,0),MATCH($G716,'Labor Expenditures'!$F$5:$X$5,0)),"NA")</f>
        <v>72860.734558007287</v>
      </c>
      <c r="K716" s="166">
        <f t="shared" si="2100"/>
        <v>713.97094128375591</v>
      </c>
      <c r="L716" s="172">
        <f t="shared" si="2107"/>
        <v>3.5700000326760573E-2</v>
      </c>
      <c r="M716" s="172">
        <f t="shared" ref="M716:M731" si="2111">+L716*AR716</f>
        <v>1.3795984449214112E-3</v>
      </c>
      <c r="N716" s="196"/>
      <c r="O716" s="172"/>
      <c r="P716" s="166">
        <f>IFERROR(INDEX('Non-Labor Expenditures'!$F$7:$AB$91,MATCH($C716,'Non-Labor Expenditures'!$D$7:$D$91,0),MATCH($G716,'Non-Labor Expenditures'!$F$5:$AB$5,0)),"NA")</f>
        <v>105515.95214805925</v>
      </c>
      <c r="Q716" s="166">
        <f t="shared" si="2101"/>
        <v>1171.4362873643811</v>
      </c>
      <c r="R716" s="172">
        <f t="shared" ref="R716:R731" si="2112">LN(Q716/Q715)</f>
        <v>3.4472850891354899E-2</v>
      </c>
      <c r="S716" s="172">
        <f>+R716*AR716</f>
        <v>1.3321762197876258E-3</v>
      </c>
      <c r="T716" s="172"/>
      <c r="U716" s="172"/>
      <c r="V716" s="166">
        <f t="shared" si="2082"/>
        <v>129020.19307286835</v>
      </c>
      <c r="W716" s="170"/>
      <c r="X716" s="174">
        <v>8218.2289074911132</v>
      </c>
      <c r="Y716" s="175">
        <v>2.9280858038819874E-2</v>
      </c>
      <c r="Z716" s="175">
        <f>+Y716*AR716</f>
        <v>1.1315357379994184E-3</v>
      </c>
      <c r="AA716" s="175"/>
      <c r="AB716" s="175"/>
      <c r="AC716" s="170">
        <f t="shared" si="2068"/>
        <v>307396.87977893488</v>
      </c>
      <c r="AD716" s="175">
        <f t="shared" ref="AD716:AD731" si="2113">LN(AC716/AC715)</f>
        <v>4.0027196900255323E-2</v>
      </c>
      <c r="AE716" s="170"/>
      <c r="AF716" s="170"/>
      <c r="AG716" s="121">
        <f t="shared" ref="AG716:AG731" si="2114">+(AC716*1000)/AZ716</f>
        <v>143.30756651069336</v>
      </c>
      <c r="AH716" s="119">
        <f>+AZ716/$BB$44</f>
        <v>6.1016951756068395E-2</v>
      </c>
      <c r="AI716" s="119"/>
      <c r="AJ716" s="176">
        <f>+AH716*AG716</f>
        <v>8.7441908720625392</v>
      </c>
      <c r="AK716" s="176">
        <f>+AI716*AG716</f>
        <v>0</v>
      </c>
      <c r="AL716" s="120">
        <f t="shared" si="2102"/>
        <v>0.23702496463336012</v>
      </c>
      <c r="AM716" s="120">
        <f t="shared" si="2103"/>
        <v>0.34325641894589587</v>
      </c>
      <c r="AN716" s="120">
        <f t="shared" si="2104"/>
        <v>0.4197186164207441</v>
      </c>
      <c r="AO716" s="120">
        <f t="shared" si="2108"/>
        <v>3.2544558556311345E-2</v>
      </c>
      <c r="AP716" s="173">
        <f>+AP715*EXP(AO716)</f>
        <v>103.30799246684133</v>
      </c>
      <c r="AQ716" s="175">
        <f>LN(AP716/AP715)</f>
        <v>3.2544558556311283E-2</v>
      </c>
      <c r="AR716" s="177">
        <f>+AC716/$AE$44</f>
        <v>3.8644213789748062E-2</v>
      </c>
      <c r="AS716" s="177">
        <f>+AR716*AQ716</f>
        <v>1.2576588785430678E-3</v>
      </c>
      <c r="AT716" s="177"/>
      <c r="AU716" s="177"/>
      <c r="AV716" s="177"/>
      <c r="AW716" s="190"/>
      <c r="AX716" s="120"/>
      <c r="AY716" s="120"/>
      <c r="AZ716" s="118">
        <f>IFERROR(INDEX('Total Customers'!$F$7:$AB$91,MATCH($C716,'Total Customers'!$D$7:$D$91,0),MATCH($G716,'Total Customers'!$F$5:$AB$5,0)),"NA")</f>
        <v>2145015</v>
      </c>
      <c r="BA716" s="119">
        <f t="shared" si="2083"/>
        <v>1.8031398057613349E-2</v>
      </c>
      <c r="BB716" s="119"/>
      <c r="BC716" s="121"/>
      <c r="BD716" s="119"/>
      <c r="BE716" s="119"/>
      <c r="BF716" s="119"/>
      <c r="BG716" s="173"/>
      <c r="BH716" s="173"/>
      <c r="BI716" s="173"/>
      <c r="BJ716" s="173"/>
      <c r="BK716" s="173"/>
      <c r="BL716" s="173"/>
      <c r="BM716" s="173"/>
      <c r="BN716" s="173"/>
      <c r="BO716" s="173"/>
      <c r="BP716" s="173"/>
      <c r="BQ716" s="118"/>
      <c r="BR716" s="118"/>
      <c r="BS716" s="118">
        <f>INDEX('Dist. Plant Gas Additions'!$F$7:$AE$91,MATCH($C716,'Dist. Plant Gas Additions'!$D$7:$D$91,0),MATCH(Calculation!$G716,'Dist. Plant Gas Additions'!$F$5:$AE$5,0))</f>
        <v>111073</v>
      </c>
      <c r="BT716" s="118">
        <f>INDEX('Gen. Plant Additions'!$F$7:$AE$91,MATCH($C716,'Gen. Plant Additions'!$D$7:$D$91,0),MATCH(Calculation!$G716,'Gen. Plant Additions'!$F$5:$AE$5,0))</f>
        <v>21060</v>
      </c>
      <c r="BU716" s="118"/>
      <c r="BV716" s="118"/>
      <c r="BW716" s="118">
        <f>INDEX('Dist Plant Depreciation'!$E$7:$AD$94,MATCH($C716,'Dist Plant Depreciation'!$D$7:$D$94,0),MATCH(Calculation!$G716,'Dist Plant Depreciation'!$E$5:$AD$5,0))</f>
        <v>1588374</v>
      </c>
      <c r="BX716" s="118">
        <f>INDEX('Gen. Plant Depreciation'!$E$7:$AD$94,MATCH($C716,'Gen. Plant Depreciation'!$D$7:$D$94,0),MATCH(Calculation!$G716,'Gen. Plant Depreciation'!$E$5:$AD$5,0))</f>
        <v>126980</v>
      </c>
      <c r="BY716" s="118"/>
      <c r="BZ716" s="118"/>
      <c r="CA716" s="118"/>
      <c r="CB716" s="118"/>
      <c r="CC716" s="118"/>
      <c r="CD716" s="118"/>
      <c r="CE716" s="118">
        <f>INDEX('Gross Dx Plant'!$E$7:$AD$91,MATCH($C716,'Gross Dx Plant'!$D$7:$D$91,0),MATCH(Calculation!$G716,'Gross Dx Plant'!$E$5:$AD$5,0))</f>
        <v>2926410</v>
      </c>
      <c r="CF716" s="118">
        <f>INDEX('Gross Gen Plant'!$E$7:$AD$91,MATCH($C716,'Gross Gen Plant'!$D$7:$D$91,0),MATCH(Calculation!$G716,'Gross Gen Plant'!$E$5:$AD$5,0))</f>
        <v>250885</v>
      </c>
      <c r="CG716" s="118">
        <f t="shared" si="1923"/>
        <v>1461941</v>
      </c>
      <c r="CH716" s="119" t="e">
        <f>SUM(#REF!)/15</f>
        <v>#REF!</v>
      </c>
      <c r="CI716" s="121">
        <v>2006</v>
      </c>
      <c r="CJ716" s="118"/>
      <c r="CK716" s="118"/>
      <c r="CL716" s="118"/>
      <c r="CM716" s="183"/>
      <c r="CN716" s="118">
        <f t="shared" si="2084"/>
        <v>132133</v>
      </c>
      <c r="CO716" s="118">
        <f t="shared" si="2085"/>
        <v>286.56930330918016</v>
      </c>
      <c r="CP716" s="186">
        <v>0.9555555555555556</v>
      </c>
      <c r="CQ716" s="118">
        <f>+CQ708*CP716+CO709*CP715+CO710*CP714+CO711*CP713+CO712*CP712+CO713*CP711+CO714*CP710+CO715*CP709+CO716</f>
        <v>8218.2289074911132</v>
      </c>
      <c r="CR716" s="119">
        <f t="shared" si="2086"/>
        <v>2.9280858038819874E-2</v>
      </c>
      <c r="CS716" s="119"/>
      <c r="CT716" s="177">
        <f t="shared" si="2087"/>
        <v>6.192319025374286E-3</v>
      </c>
      <c r="CU716" s="177">
        <f t="shared" si="2095"/>
        <v>6.0052520851717342E-3</v>
      </c>
      <c r="CV716" s="119">
        <f>VLOOKUP($H716,RoR!$E:$F,2,FALSE)</f>
        <v>5.5874999999999994E-2</v>
      </c>
      <c r="CW716" s="177">
        <v>3.0512430354548314E-2</v>
      </c>
      <c r="CX716" s="177">
        <f t="shared" si="2093"/>
        <v>2.536256964545168E-2</v>
      </c>
      <c r="CY716" s="177">
        <f t="shared" si="2096"/>
        <v>2.4896689523361892E-2</v>
      </c>
      <c r="CZ716" s="177">
        <f t="shared" si="2097"/>
        <v>7.9087823893859641E-2</v>
      </c>
      <c r="DA716" s="187">
        <f t="shared" si="2088"/>
        <v>0.84971312500000007</v>
      </c>
      <c r="DB716" s="188">
        <f t="shared" si="2089"/>
        <v>0.91779957551769631</v>
      </c>
      <c r="DC716" s="188">
        <f t="shared" si="2090"/>
        <v>0.52757270693512304</v>
      </c>
      <c r="DD716" s="188">
        <f t="shared" si="2091"/>
        <v>0.88636824549024895</v>
      </c>
      <c r="DE716" s="188">
        <f t="shared" si="2092"/>
        <v>0.42918482841932087</v>
      </c>
      <c r="DF716" s="189">
        <f>INDEX('State Tax Lookup'!$D$7:$Z$91,MATCH(Calculation!$C716,'State Tax Lookup'!$B$7:$B$91,0),MATCH($H716,'State Tax Lookup'!$D$6:$Z$6,0))</f>
        <v>0.40076499999999998</v>
      </c>
      <c r="DG716" s="189">
        <v>0.375</v>
      </c>
      <c r="DH716" s="190">
        <f t="shared" si="2094"/>
        <v>16.165754113936213</v>
      </c>
      <c r="DI716" s="190">
        <v>15.700645562631328</v>
      </c>
      <c r="DJ716" s="177"/>
      <c r="DK716" s="189">
        <f>VLOOKUP($H716,RoR!$E:$F,2,FALSE)</f>
        <v>5.5874999999999994E-2</v>
      </c>
      <c r="DL716" s="191">
        <f>HLOOKUP($H716,'GDP-PI'!$D$8:$CQ$11,3,FALSE)</f>
        <v>3.0512430354548314E-2</v>
      </c>
      <c r="DM716" s="189">
        <f>VLOOKUP(H716,'HW Dx Data'!$E:$F,2,FALSE)</f>
        <v>461.08567272971823</v>
      </c>
      <c r="DN716" s="183">
        <f>VLOOKUP(H716,'ECI - Input Price'!$G$17:$H$37,2,FALSE)</f>
        <v>102.05</v>
      </c>
      <c r="DO716" s="177">
        <f t="shared" ref="DO716" si="2115">LN(DN716/DN715)</f>
        <v>2.8829034290048662E-2</v>
      </c>
      <c r="DP716" s="183">
        <f>HLOOKUP(H716,'GDP-PI'!$8:$9,2,FALSE)</f>
        <v>90.073999999999998</v>
      </c>
      <c r="DQ716" s="177">
        <f t="shared" ref="DQ716" si="2116">LN(DP716/DP715)</f>
        <v>3.005618372545445E-2</v>
      </c>
    </row>
    <row r="717" spans="1:121" s="167" customFormat="1" ht="21" x14ac:dyDescent="0.35">
      <c r="A717" s="167" t="s">
        <v>75</v>
      </c>
      <c r="B717" s="168" t="s">
        <v>75</v>
      </c>
      <c r="C717" s="168">
        <v>4057131</v>
      </c>
      <c r="D717" s="168" t="s">
        <v>142</v>
      </c>
      <c r="E717" s="168"/>
      <c r="F717" s="168"/>
      <c r="G717" s="168" t="s">
        <v>13</v>
      </c>
      <c r="H717" s="169">
        <v>2007</v>
      </c>
      <c r="I717" s="170"/>
      <c r="J717" s="166">
        <f>IFERROR(INDEX('Labor Expenditures'!$F$7:$X$91,MATCH($C717,'Labor Expenditures'!$D$7:$D$91,0),MATCH($G717,'Labor Expenditures'!$F$5:$X$5,0)),"NA")</f>
        <v>67648.578433905044</v>
      </c>
      <c r="K717" s="166">
        <f t="shared" si="2100"/>
        <v>642.8945443944408</v>
      </c>
      <c r="L717" s="172">
        <f t="shared" si="2107"/>
        <v>-0.10486155784941657</v>
      </c>
      <c r="M717" s="172">
        <f t="shared" si="2111"/>
        <v>-3.8472496855279145E-3</v>
      </c>
      <c r="N717" s="196"/>
      <c r="O717" s="172"/>
      <c r="P717" s="166">
        <f>IFERROR(INDEX('Non-Labor Expenditures'!$F$7:$AB$91,MATCH($C717,'Non-Labor Expenditures'!$D$7:$D$91,0),MATCH($G717,'Non-Labor Expenditures'!$F$5:$AB$5,0)),"NA")</f>
        <v>97967.776583878833</v>
      </c>
      <c r="Q717" s="166">
        <f t="shared" si="2101"/>
        <v>1059.1339983986554</v>
      </c>
      <c r="R717" s="172">
        <f t="shared" si="2112"/>
        <v>-0.10077900039867388</v>
      </c>
      <c r="S717" s="172">
        <f t="shared" ref="S717:S731" si="2117">+R717*AR717</f>
        <v>-3.6974653585481981E-3</v>
      </c>
      <c r="T717" s="172"/>
      <c r="U717" s="172"/>
      <c r="V717" s="166">
        <f t="shared" si="2082"/>
        <v>142641.84316298828</v>
      </c>
      <c r="W717" s="170"/>
      <c r="X717" s="174">
        <v>8408.8194071644648</v>
      </c>
      <c r="Y717" s="175">
        <v>2.2926360006030051E-2</v>
      </c>
      <c r="Z717" s="175">
        <f t="shared" ref="Z717:Z731" si="2118">+Y717*AR717</f>
        <v>8.4114172183252203E-4</v>
      </c>
      <c r="AA717" s="175"/>
      <c r="AB717" s="175"/>
      <c r="AC717" s="170">
        <f t="shared" si="2068"/>
        <v>308258.19818077213</v>
      </c>
      <c r="AD717" s="175">
        <f t="shared" si="2113"/>
        <v>2.7980568815866515E-3</v>
      </c>
      <c r="AE717" s="170"/>
      <c r="AF717" s="170"/>
      <c r="AG717" s="121">
        <f t="shared" si="2114"/>
        <v>142.53310456855445</v>
      </c>
      <c r="AH717" s="119">
        <f>+AZ717/$BB$45</f>
        <v>6.1059121142943186E-2</v>
      </c>
      <c r="AI717" s="119"/>
      <c r="AJ717" s="176">
        <f t="shared" ref="AJ717:AJ731" si="2119">+AH717*AG717</f>
        <v>8.7029460987311555</v>
      </c>
      <c r="AK717" s="176">
        <f t="shared" ref="AK717:AK731" si="2120">+AI717*AG717</f>
        <v>0</v>
      </c>
      <c r="AL717" s="120">
        <f t="shared" si="2102"/>
        <v>0.21945427188357802</v>
      </c>
      <c r="AM717" s="120">
        <f t="shared" si="2103"/>
        <v>0.31781077409148906</v>
      </c>
      <c r="AN717" s="120">
        <f t="shared" si="2104"/>
        <v>0.46273495402493303</v>
      </c>
      <c r="AO717" s="120">
        <f t="shared" si="2108"/>
        <v>-4.712868326654953E-2</v>
      </c>
      <c r="AP717" s="173">
        <f>+AP716*EXP(AO717)</f>
        <v>98.552170851686981</v>
      </c>
      <c r="AQ717" s="175">
        <f>LN(AP717/AP716)</f>
        <v>-4.7128683266549641E-2</v>
      </c>
      <c r="AR717" s="177">
        <f>+AC717/$AE$45</f>
        <v>3.6688847318601225E-2</v>
      </c>
      <c r="AS717" s="177">
        <f t="shared" ref="AS717:AS731" si="2121">+AR717*AQ717</f>
        <v>-1.7290970646931562E-3</v>
      </c>
      <c r="AT717" s="177"/>
      <c r="AU717" s="177"/>
      <c r="AV717" s="177"/>
      <c r="AW717" s="190"/>
      <c r="AX717" s="120"/>
      <c r="AY717" s="120"/>
      <c r="AZ717" s="118">
        <f>IFERROR(INDEX('Total Customers'!$F$7:$AB$91,MATCH($C717,'Total Customers'!$D$7:$D$91,0),MATCH($G717,'Total Customers'!$F$5:$AB$5,0)),"NA")</f>
        <v>2162713</v>
      </c>
      <c r="BA717" s="119">
        <f t="shared" si="2083"/>
        <v>8.2169067206796838E-3</v>
      </c>
      <c r="BB717" s="119"/>
      <c r="BC717" s="121"/>
      <c r="BD717" s="119"/>
      <c r="BE717" s="119"/>
      <c r="BF717" s="119"/>
      <c r="BG717" s="173"/>
      <c r="BH717" s="173"/>
      <c r="BI717" s="173"/>
      <c r="BJ717" s="173"/>
      <c r="BK717" s="173"/>
      <c r="BL717" s="173"/>
      <c r="BM717" s="173"/>
      <c r="BN717" s="173"/>
      <c r="BO717" s="173"/>
      <c r="BP717" s="173"/>
      <c r="BQ717" s="118"/>
      <c r="BR717" s="118"/>
      <c r="BS717" s="118">
        <f>INDEX('Dist. Plant Gas Additions'!$F$7:$AE$91,MATCH($C717,'Dist. Plant Gas Additions'!$D$7:$D$91,0),MATCH(Calculation!$G717,'Dist. Plant Gas Additions'!$F$5:$AE$5,0))</f>
        <v>105278</v>
      </c>
      <c r="BT717" s="118">
        <f>INDEX('Gen. Plant Additions'!$F$7:$AE$91,MATCH($C717,'Gen. Plant Additions'!$D$7:$D$91,0),MATCH(Calculation!$G717,'Gen. Plant Additions'!$F$5:$AE$5,0))</f>
        <v>15785</v>
      </c>
      <c r="BU717" s="118"/>
      <c r="BV717" s="118"/>
      <c r="BW717" s="118">
        <f>INDEX('Dist Plant Depreciation'!$E$7:$AD$94,MATCH($C717,'Dist Plant Depreciation'!$D$7:$D$94,0),MATCH(Calculation!$G717,'Dist Plant Depreciation'!$E$5:$AD$5,0))</f>
        <v>1675408</v>
      </c>
      <c r="BX717" s="118">
        <f>INDEX('Gen. Plant Depreciation'!$E$7:$AD$94,MATCH($C717,'Gen. Plant Depreciation'!$D$7:$D$94,0),MATCH(Calculation!$G717,'Gen. Plant Depreciation'!$E$5:$AD$5,0))</f>
        <v>143255</v>
      </c>
      <c r="BY717" s="118"/>
      <c r="BZ717" s="118"/>
      <c r="CA717" s="118"/>
      <c r="CB717" s="118"/>
      <c r="CC717" s="118"/>
      <c r="CD717" s="118"/>
      <c r="CE717" s="118">
        <f>INDEX('Gross Dx Plant'!$E$7:$AD$91,MATCH($C717,'Gross Dx Plant'!$D$7:$D$91,0),MATCH(Calculation!$G717,'Gross Dx Plant'!$E$5:$AD$5,0))</f>
        <v>3014304</v>
      </c>
      <c r="CF717" s="118">
        <f>INDEX('Gross Gen Plant'!$E$7:$AD$91,MATCH($C717,'Gross Gen Plant'!$D$7:$D$91,0),MATCH(Calculation!$G717,'Gross Gen Plant'!$E$5:$AD$5,0))</f>
        <v>255573</v>
      </c>
      <c r="CG717" s="118">
        <f t="shared" si="1923"/>
        <v>1451214</v>
      </c>
      <c r="CH717" s="118"/>
      <c r="CI717" s="121">
        <v>2007</v>
      </c>
      <c r="CJ717" s="118"/>
      <c r="CK717" s="118"/>
      <c r="CL717" s="118"/>
      <c r="CM717" s="183"/>
      <c r="CN717" s="118">
        <f t="shared" si="2084"/>
        <v>121063</v>
      </c>
      <c r="CO717" s="118">
        <f t="shared" si="2085"/>
        <v>243.08750077591034</v>
      </c>
      <c r="CP717" s="186">
        <v>0.94915254237288138</v>
      </c>
      <c r="CQ717" s="118">
        <f>+CQ708*CP717+CO709*CP716+CO710*CP715+CO711*CP714+CO712*CP713+CO713*CP712+CO714*CP711+CO715*CP710+CO716*CP709+CO717</f>
        <v>8408.8194071644648</v>
      </c>
      <c r="CR717" s="119">
        <f t="shared" si="2086"/>
        <v>2.2926360006030051E-2</v>
      </c>
      <c r="CS717" s="119"/>
      <c r="CT717" s="177">
        <f t="shared" si="2087"/>
        <v>6.3878728243632246E-3</v>
      </c>
      <c r="CU717" s="177">
        <f t="shared" si="2095"/>
        <v>6.1943797211537104E-3</v>
      </c>
      <c r="CV717" s="119">
        <f>VLOOKUP($H717,RoR!$E:$F,2,FALSE)</f>
        <v>5.5558333333333321E-2</v>
      </c>
      <c r="CW717" s="177">
        <v>2.691120634145272E-2</v>
      </c>
      <c r="CX717" s="177">
        <f t="shared" si="2093"/>
        <v>2.86471269918806E-2</v>
      </c>
      <c r="CY717" s="177">
        <f t="shared" si="2096"/>
        <v>2.4707561887379915E-2</v>
      </c>
      <c r="CZ717" s="177">
        <f t="shared" si="2097"/>
        <v>6.4575155250632399E-2</v>
      </c>
      <c r="DA717" s="187">
        <f t="shared" si="2088"/>
        <v>0.84971312500000007</v>
      </c>
      <c r="DB717" s="188">
        <f t="shared" si="2089"/>
        <v>0.92303077153834634</v>
      </c>
      <c r="DC717" s="188">
        <f t="shared" si="2090"/>
        <v>0.52502249887505614</v>
      </c>
      <c r="DD717" s="188">
        <f t="shared" si="2091"/>
        <v>0.88499666072084604</v>
      </c>
      <c r="DE717" s="188">
        <f t="shared" si="2092"/>
        <v>0.42887993290280618</v>
      </c>
      <c r="DF717" s="189">
        <f>INDEX('State Tax Lookup'!$D$7:$Z$91,MATCH(Calculation!$C717,'State Tax Lookup'!$B$7:$B$91,0),MATCH($H717,'State Tax Lookup'!$D$6:$Z$6,0))</f>
        <v>0.40076499999999998</v>
      </c>
      <c r="DG717" s="189">
        <v>0.375</v>
      </c>
      <c r="DH717" s="190">
        <f t="shared" si="2094"/>
        <v>17.356761994420332</v>
      </c>
      <c r="DI717" s="190">
        <v>17.109191054444082</v>
      </c>
      <c r="DJ717" s="177"/>
      <c r="DK717" s="189">
        <f>VLOOKUP($H717,RoR!$E:$F,2,FALSE)</f>
        <v>5.5558333333333321E-2</v>
      </c>
      <c r="DL717" s="191">
        <f>HLOOKUP($H717,'GDP-PI'!$D$8:$CQ$11,3,FALSE)</f>
        <v>2.691120634145272E-2</v>
      </c>
      <c r="DM717" s="189">
        <f>VLOOKUP(H717,'HW Dx Data'!$E:$F,2,FALSE)</f>
        <v>498.0223154772637</v>
      </c>
      <c r="DN717" s="183">
        <f>VLOOKUP(H717,'ECI - Input Price'!$G$17:$H$37,2,FALSE)</f>
        <v>105.22500000000001</v>
      </c>
      <c r="DO717" s="177">
        <f t="shared" ref="DO717" si="2122">LN(DN717/DN716)</f>
        <v>3.0638025400780679E-2</v>
      </c>
      <c r="DP717" s="183">
        <f>HLOOKUP(H717,'GDP-PI'!$8:$9,2,FALSE)</f>
        <v>92.498000000000005</v>
      </c>
      <c r="DQ717" s="177">
        <f t="shared" ref="DQ717" si="2123">LN(DP717/DP716)</f>
        <v>2.6555467950038037E-2</v>
      </c>
    </row>
    <row r="718" spans="1:121" s="167" customFormat="1" ht="21" x14ac:dyDescent="0.35">
      <c r="A718" s="167" t="s">
        <v>75</v>
      </c>
      <c r="B718" s="168" t="s">
        <v>75</v>
      </c>
      <c r="C718" s="168">
        <v>4057131</v>
      </c>
      <c r="D718" s="168" t="s">
        <v>142</v>
      </c>
      <c r="E718" s="168"/>
      <c r="F718" s="168"/>
      <c r="G718" s="168" t="s">
        <v>14</v>
      </c>
      <c r="H718" s="169">
        <v>2008</v>
      </c>
      <c r="I718" s="170"/>
      <c r="J718" s="166">
        <f>IFERROR(INDEX('Labor Expenditures'!$F$7:$X$91,MATCH($C718,'Labor Expenditures'!$D$7:$D$91,0),MATCH($G718,'Labor Expenditures'!$F$5:$X$5,0)),"NA")</f>
        <v>72149.571579223761</v>
      </c>
      <c r="K718" s="166">
        <f t="shared" si="2100"/>
        <v>666.66270805473562</v>
      </c>
      <c r="L718" s="172">
        <f t="shared" si="2107"/>
        <v>3.6303527758618948E-2</v>
      </c>
      <c r="M718" s="172">
        <f t="shared" si="2111"/>
        <v>1.3837222996205428E-3</v>
      </c>
      <c r="N718" s="196"/>
      <c r="O718" s="172"/>
      <c r="P718" s="166">
        <f>IFERROR(INDEX('Non-Labor Expenditures'!$F$7:$AB$91,MATCH($C718,'Non-Labor Expenditures'!$D$7:$D$91,0),MATCH($G718,'Non-Labor Expenditures'!$F$5:$AB$5,0)),"NA")</f>
        <v>104486.05532785834</v>
      </c>
      <c r="Q718" s="166">
        <f t="shared" si="2101"/>
        <v>1108.440712550479</v>
      </c>
      <c r="R718" s="172">
        <f t="shared" si="2112"/>
        <v>4.550267268199662E-2</v>
      </c>
      <c r="S718" s="172">
        <f t="shared" si="2117"/>
        <v>1.7343510884411208E-3</v>
      </c>
      <c r="T718" s="172"/>
      <c r="U718" s="172"/>
      <c r="V718" s="166">
        <f t="shared" si="2082"/>
        <v>165718.33759902217</v>
      </c>
      <c r="W718" s="170"/>
      <c r="X718" s="174">
        <v>8606.406113588293</v>
      </c>
      <c r="Y718" s="175">
        <v>2.3225738407108405E-2</v>
      </c>
      <c r="Z718" s="175">
        <f t="shared" si="2118"/>
        <v>8.8525755328114678E-4</v>
      </c>
      <c r="AA718" s="175"/>
      <c r="AB718" s="175"/>
      <c r="AC718" s="170">
        <f t="shared" si="2068"/>
        <v>342353.96450610424</v>
      </c>
      <c r="AD718" s="175">
        <f t="shared" si="2113"/>
        <v>0.10490744819871552</v>
      </c>
      <c r="AE718" s="170"/>
      <c r="AF718" s="170"/>
      <c r="AG718" s="121">
        <f t="shared" si="2114"/>
        <v>157.51688197302815</v>
      </c>
      <c r="AH718" s="119">
        <f>+AZ718/$BB$46</f>
        <v>6.1034882334381937E-2</v>
      </c>
      <c r="AI718" s="119"/>
      <c r="AJ718" s="176">
        <f t="shared" si="2119"/>
        <v>9.614024356902501</v>
      </c>
      <c r="AK718" s="176">
        <f t="shared" si="2120"/>
        <v>0</v>
      </c>
      <c r="AL718" s="120">
        <f t="shared" si="2102"/>
        <v>0.21074554133850937</v>
      </c>
      <c r="AM718" s="120">
        <f t="shared" si="2103"/>
        <v>0.30519890569573155</v>
      </c>
      <c r="AN718" s="120">
        <f t="shared" si="2104"/>
        <v>0.48405555296575914</v>
      </c>
      <c r="AO718" s="120">
        <f t="shared" si="2108"/>
        <v>3.2978142519916764E-2</v>
      </c>
      <c r="AP718" s="173">
        <f t="shared" ref="AP718:AP731" si="2124">+AP717*EXP(AO718)</f>
        <v>101.85642297809466</v>
      </c>
      <c r="AQ718" s="175">
        <f t="shared" ref="AQ718:AQ731" si="2125">LN(AP718/AP717)</f>
        <v>3.2978142519916827E-2</v>
      </c>
      <c r="AR718" s="177">
        <f>+AC718/$AE$46</f>
        <v>3.8115367432632725E-2</v>
      </c>
      <c r="AS718" s="177">
        <f t="shared" si="2121"/>
        <v>1.2569740193923583E-3</v>
      </c>
      <c r="AT718" s="177"/>
      <c r="AU718" s="177"/>
      <c r="AV718" s="177"/>
      <c r="AW718" s="190"/>
      <c r="AX718" s="120"/>
      <c r="AY718" s="120"/>
      <c r="AZ718" s="118">
        <f>IFERROR(INDEX('Total Customers'!$F$7:$AB$91,MATCH($C718,'Total Customers'!$D$7:$D$91,0),MATCH($G718,'Total Customers'!$F$5:$AB$5,0)),"NA")</f>
        <v>2173443</v>
      </c>
      <c r="BA718" s="119">
        <f t="shared" si="2083"/>
        <v>4.9490940368799472E-3</v>
      </c>
      <c r="BB718" s="119"/>
      <c r="BC718" s="121"/>
      <c r="BD718" s="119"/>
      <c r="BE718" s="119"/>
      <c r="BF718" s="119"/>
      <c r="BG718" s="173"/>
      <c r="BH718" s="173"/>
      <c r="BI718" s="173"/>
      <c r="BJ718" s="173"/>
      <c r="BK718" s="173"/>
      <c r="BL718" s="173"/>
      <c r="BM718" s="173"/>
      <c r="BN718" s="173"/>
      <c r="BO718" s="173"/>
      <c r="BP718" s="173"/>
      <c r="BQ718" s="118"/>
      <c r="BR718" s="118"/>
      <c r="BS718" s="118">
        <f>INDEX('Dist. Plant Gas Additions'!$F$7:$AE$91,MATCH($C718,'Dist. Plant Gas Additions'!$D$7:$D$91,0),MATCH(Calculation!$G718,'Dist. Plant Gas Additions'!$F$5:$AE$5,0))</f>
        <v>121628</v>
      </c>
      <c r="BT718" s="118">
        <f>INDEX('Gen. Plant Additions'!$F$7:$AE$91,MATCH($C718,'Gen. Plant Additions'!$D$7:$D$91,0),MATCH(Calculation!$G718,'Gen. Plant Additions'!$F$5:$AE$5,0))</f>
        <v>22592</v>
      </c>
      <c r="BU718" s="118"/>
      <c r="BV718" s="118"/>
      <c r="BW718" s="118">
        <f>INDEX('Dist Plant Depreciation'!$E$7:$AD$94,MATCH($C718,'Dist Plant Depreciation'!$D$7:$D$94,0),MATCH(Calculation!$G718,'Dist Plant Depreciation'!$E$5:$AD$5,0))</f>
        <v>1754092</v>
      </c>
      <c r="BX718" s="118">
        <f>INDEX('Gen. Plant Depreciation'!$E$7:$AD$94,MATCH($C718,'Gen. Plant Depreciation'!$D$7:$D$94,0),MATCH(Calculation!$G718,'Gen. Plant Depreciation'!$E$5:$AD$5,0))</f>
        <v>159930</v>
      </c>
      <c r="BY718" s="118"/>
      <c r="BZ718" s="118"/>
      <c r="CA718" s="118"/>
      <c r="CB718" s="118"/>
      <c r="CC718" s="118"/>
      <c r="CD718" s="118"/>
      <c r="CE718" s="118">
        <f>INDEX('Gross Dx Plant'!$E$7:$AD$91,MATCH($C718,'Gross Dx Plant'!$D$7:$D$91,0),MATCH(Calculation!$G718,'Gross Dx Plant'!$E$5:$AD$5,0))</f>
        <v>3122237</v>
      </c>
      <c r="CF718" s="118">
        <f>INDEX('Gross Gen Plant'!$E$7:$AD$91,MATCH($C718,'Gross Gen Plant'!$D$7:$D$91,0),MATCH(Calculation!$G718,'Gross Gen Plant'!$E$5:$AD$5,0))</f>
        <v>262758</v>
      </c>
      <c r="CG718" s="118">
        <f t="shared" si="1923"/>
        <v>1470973</v>
      </c>
      <c r="CH718" s="118"/>
      <c r="CI718" s="121">
        <v>2008</v>
      </c>
      <c r="CJ718" s="118"/>
      <c r="CK718" s="118"/>
      <c r="CL718" s="118"/>
      <c r="CM718" s="183"/>
      <c r="CN718" s="118">
        <f t="shared" si="2084"/>
        <v>144220</v>
      </c>
      <c r="CO718" s="118">
        <f t="shared" si="2085"/>
        <v>253.07028755462093</v>
      </c>
      <c r="CP718" s="186">
        <v>0.94252873563218387</v>
      </c>
      <c r="CQ718" s="118">
        <f>+CQ708*CP718+CO709*CP717+CO710*CP716+CO711*CP715+CO712*CP714+CO713*CP713+CO714*CP712+CO715*CP711+CO716*CP710+CO717*CP709+CO718</f>
        <v>8606.406113588293</v>
      </c>
      <c r="CR718" s="119">
        <f t="shared" si="2086"/>
        <v>2.3225738407108405E-2</v>
      </c>
      <c r="CS718" s="119"/>
      <c r="CT718" s="177">
        <f t="shared" si="2087"/>
        <v>6.5982605219847756E-3</v>
      </c>
      <c r="CU718" s="177">
        <f t="shared" si="2095"/>
        <v>6.3928174572407612E-3</v>
      </c>
      <c r="CV718" s="119">
        <f>VLOOKUP($H718,RoR!$E:$F,2,FALSE)</f>
        <v>5.6316666666666668E-2</v>
      </c>
      <c r="CW718" s="177">
        <v>1.9092304698479889E-2</v>
      </c>
      <c r="CX718" s="177">
        <f t="shared" si="2093"/>
        <v>3.7224361968186778E-2</v>
      </c>
      <c r="CY718" s="177">
        <f t="shared" si="2096"/>
        <v>2.4509124151292864E-2</v>
      </c>
      <c r="CZ718" s="177">
        <f t="shared" si="2097"/>
        <v>6.9030581091053131E-2</v>
      </c>
      <c r="DA718" s="187">
        <f t="shared" si="2088"/>
        <v>0.84971312500000007</v>
      </c>
      <c r="DB718" s="188">
        <f t="shared" si="2089"/>
        <v>0.91060168006009956</v>
      </c>
      <c r="DC718" s="188">
        <f t="shared" si="2090"/>
        <v>0.53108168097070152</v>
      </c>
      <c r="DD718" s="188">
        <f t="shared" si="2091"/>
        <v>0.88825329850328805</v>
      </c>
      <c r="DE718" s="188">
        <f t="shared" si="2092"/>
        <v>0.4295627335323573</v>
      </c>
      <c r="DF718" s="189">
        <f>INDEX('State Tax Lookup'!$D$7:$Z$91,MATCH(Calculation!$C718,'State Tax Lookup'!$B$7:$B$91,0),MATCH($H718,'State Tax Lookup'!$D$6:$Z$6,0))</f>
        <v>0.40076499999999998</v>
      </c>
      <c r="DG718" s="189">
        <v>0.375</v>
      </c>
      <c r="DH718" s="190">
        <f t="shared" si="2094"/>
        <v>19.707681848634682</v>
      </c>
      <c r="DI718" s="190">
        <v>19.430149680353967</v>
      </c>
      <c r="DJ718" s="177"/>
      <c r="DK718" s="189">
        <f>VLOOKUP($H718,RoR!$E:$F,2,FALSE)</f>
        <v>5.6316666666666668E-2</v>
      </c>
      <c r="DL718" s="191">
        <f>HLOOKUP($H718,'GDP-PI'!$D$8:$CQ$11,3,FALSE)</f>
        <v>1.9092304698479889E-2</v>
      </c>
      <c r="DM718" s="189">
        <f>VLOOKUP(H718,'HW Dx Data'!$E:$F,2,FALSE)</f>
        <v>569.88120333515076</v>
      </c>
      <c r="DN718" s="183">
        <f>VLOOKUP(H718,'ECI - Input Price'!$G$17:$H$37,2,FALSE)</f>
        <v>108.22499999999999</v>
      </c>
      <c r="DO718" s="177">
        <f t="shared" ref="DO718" si="2126">LN(DN718/DN717)</f>
        <v>2.8111478671409691E-2</v>
      </c>
      <c r="DP718" s="183">
        <f>HLOOKUP(H718,'GDP-PI'!$8:$9,2,FALSE)</f>
        <v>94.263999999999996</v>
      </c>
      <c r="DQ718" s="177">
        <f t="shared" ref="DQ718" si="2127">LN(DP718/DP717)</f>
        <v>1.8912333748032254E-2</v>
      </c>
    </row>
    <row r="719" spans="1:121" s="167" customFormat="1" ht="21" x14ac:dyDescent="0.35">
      <c r="A719" s="167" t="s">
        <v>75</v>
      </c>
      <c r="B719" s="168" t="s">
        <v>75</v>
      </c>
      <c r="C719" s="168">
        <v>4057131</v>
      </c>
      <c r="D719" s="168" t="s">
        <v>142</v>
      </c>
      <c r="E719" s="168"/>
      <c r="F719" s="168"/>
      <c r="G719" s="168" t="s">
        <v>15</v>
      </c>
      <c r="H719" s="169">
        <v>2009</v>
      </c>
      <c r="I719" s="170"/>
      <c r="J719" s="166">
        <f>IFERROR(INDEX('Labor Expenditures'!$F$7:$X$91,MATCH($C719,'Labor Expenditures'!$D$7:$D$91,0),MATCH($G719,'Labor Expenditures'!$F$5:$X$5,0)),"NA")</f>
        <v>77318.023482481367</v>
      </c>
      <c r="K719" s="166">
        <f t="shared" si="2100"/>
        <v>704.33180125239232</v>
      </c>
      <c r="L719" s="172">
        <f t="shared" si="2107"/>
        <v>5.4965320785732255E-2</v>
      </c>
      <c r="M719" s="172">
        <f t="shared" si="2111"/>
        <v>2.0645623999554336E-3</v>
      </c>
      <c r="N719" s="196"/>
      <c r="O719" s="172"/>
      <c r="P719" s="166">
        <f>IFERROR(INDEX('Non-Labor Expenditures'!$F$7:$AB$91,MATCH($C719,'Non-Labor Expenditures'!$D$7:$D$91,0),MATCH($G719,'Non-Labor Expenditures'!$F$5:$AB$5,0)),"NA")</f>
        <v>111970.93901743327</v>
      </c>
      <c r="Q719" s="166">
        <f t="shared" si="2101"/>
        <v>1178.6538702242474</v>
      </c>
      <c r="R719" s="172">
        <f t="shared" si="2112"/>
        <v>6.1418735087159587E-2</v>
      </c>
      <c r="S719" s="172">
        <f t="shared" si="2117"/>
        <v>2.306960266966882E-3</v>
      </c>
      <c r="T719" s="172"/>
      <c r="U719" s="172"/>
      <c r="V719" s="166">
        <f t="shared" si="2082"/>
        <v>162617.44702550676</v>
      </c>
      <c r="W719" s="170"/>
      <c r="X719" s="174">
        <v>8812.6646650201383</v>
      </c>
      <c r="Y719" s="175">
        <v>2.368303046586025E-2</v>
      </c>
      <c r="Z719" s="175">
        <f t="shared" si="2118"/>
        <v>8.89562609984915E-4</v>
      </c>
      <c r="AA719" s="175"/>
      <c r="AB719" s="175"/>
      <c r="AC719" s="170">
        <f t="shared" si="2068"/>
        <v>351906.40952542139</v>
      </c>
      <c r="AD719" s="175">
        <f t="shared" si="2113"/>
        <v>2.7520072443173293E-2</v>
      </c>
      <c r="AE719" s="170"/>
      <c r="AF719" s="170"/>
      <c r="AG719" s="121">
        <f t="shared" si="2114"/>
        <v>161.9655370518397</v>
      </c>
      <c r="AH719" s="119">
        <f>+AZ719/$BB$47</f>
        <v>6.0926655305893217E-2</v>
      </c>
      <c r="AI719" s="119"/>
      <c r="AJ719" s="176">
        <f t="shared" si="2119"/>
        <v>9.8680184473913144</v>
      </c>
      <c r="AK719" s="176">
        <f t="shared" si="2120"/>
        <v>0</v>
      </c>
      <c r="AL719" s="120">
        <f t="shared" si="2102"/>
        <v>0.21971189324670709</v>
      </c>
      <c r="AM719" s="120">
        <f t="shared" si="2103"/>
        <v>0.31818385794233334</v>
      </c>
      <c r="AN719" s="120">
        <f t="shared" si="2104"/>
        <v>0.46210424881095957</v>
      </c>
      <c r="AO719" s="120">
        <f t="shared" si="2108"/>
        <v>4.2177771602708913E-2</v>
      </c>
      <c r="AP719" s="173">
        <f t="shared" si="2124"/>
        <v>106.24438670535318</v>
      </c>
      <c r="AQ719" s="175">
        <f t="shared" si="2125"/>
        <v>4.2177771602708823E-2</v>
      </c>
      <c r="AR719" s="177">
        <f>+AC719/$AE$47</f>
        <v>3.756118167678095E-2</v>
      </c>
      <c r="AS719" s="177">
        <f t="shared" si="2121"/>
        <v>1.5842469418911186E-3</v>
      </c>
      <c r="AT719" s="177"/>
      <c r="AU719" s="177"/>
      <c r="AV719" s="177"/>
      <c r="AW719" s="190"/>
      <c r="AX719" s="120"/>
      <c r="AY719" s="120"/>
      <c r="AZ719" s="118">
        <f>IFERROR(INDEX('Total Customers'!$F$7:$AB$91,MATCH($C719,'Total Customers'!$D$7:$D$91,0),MATCH($G719,'Total Customers'!$F$5:$AB$5,0)),"NA")</f>
        <v>2172724</v>
      </c>
      <c r="BA719" s="119">
        <f t="shared" si="2083"/>
        <v>-3.308662582727146E-4</v>
      </c>
      <c r="BB719" s="119"/>
      <c r="BC719" s="121"/>
      <c r="BD719" s="119"/>
      <c r="BE719" s="119"/>
      <c r="BF719" s="119"/>
      <c r="BG719" s="173"/>
      <c r="BH719" s="173"/>
      <c r="BI719" s="173"/>
      <c r="BJ719" s="173"/>
      <c r="BK719" s="173"/>
      <c r="BL719" s="173"/>
      <c r="BM719" s="173"/>
      <c r="BN719" s="173"/>
      <c r="BO719" s="173"/>
      <c r="BP719" s="173"/>
      <c r="BQ719" s="118"/>
      <c r="BR719" s="118"/>
      <c r="BS719" s="118">
        <f>INDEX('Dist. Plant Gas Additions'!$F$7:$AE$91,MATCH($C719,'Dist. Plant Gas Additions'!$D$7:$D$91,0),MATCH(Calculation!$G719,'Dist. Plant Gas Additions'!$F$5:$AE$5,0))</f>
        <v>112762</v>
      </c>
      <c r="BT719" s="118">
        <f>INDEX('Gen. Plant Additions'!$F$7:$AE$91,MATCH($C719,'Gen. Plant Additions'!$D$7:$D$91,0),MATCH(Calculation!$G719,'Gen. Plant Additions'!$F$5:$AE$5,0))</f>
        <v>33186</v>
      </c>
      <c r="BU719" s="118"/>
      <c r="BV719" s="118"/>
      <c r="BW719" s="118">
        <f>INDEX('Dist Plant Depreciation'!$E$7:$AD$94,MATCH($C719,'Dist Plant Depreciation'!$D$7:$D$94,0),MATCH(Calculation!$G719,'Dist Plant Depreciation'!$E$5:$AD$5,0))</f>
        <v>1832394</v>
      </c>
      <c r="BX719" s="118">
        <f>INDEX('Gen. Plant Depreciation'!$E$7:$AD$94,MATCH($C719,'Gen. Plant Depreciation'!$D$7:$D$94,0),MATCH(Calculation!$G719,'Gen. Plant Depreciation'!$E$5:$AD$5,0))</f>
        <v>172593</v>
      </c>
      <c r="BY719" s="118"/>
      <c r="BZ719" s="118"/>
      <c r="CA719" s="118"/>
      <c r="CB719" s="118"/>
      <c r="CC719" s="118"/>
      <c r="CD719" s="118"/>
      <c r="CE719" s="118">
        <f>INDEX('Gross Dx Plant'!$E$7:$AD$91,MATCH($C719,'Gross Dx Plant'!$D$7:$D$91,0),MATCH(Calculation!$G719,'Gross Dx Plant'!$E$5:$AD$5,0))</f>
        <v>3222584</v>
      </c>
      <c r="CF719" s="118">
        <f>INDEX('Gross Gen Plant'!$E$7:$AD$91,MATCH($C719,'Gross Gen Plant'!$D$7:$D$91,0),MATCH(Calculation!$G719,'Gross Gen Plant'!$E$5:$AD$5,0))</f>
        <v>275588</v>
      </c>
      <c r="CG719" s="118">
        <f t="shared" si="1923"/>
        <v>1493185</v>
      </c>
      <c r="CH719" s="118"/>
      <c r="CI719" s="121">
        <v>2009</v>
      </c>
      <c r="CJ719" s="118"/>
      <c r="CK719" s="118"/>
      <c r="CL719" s="118"/>
      <c r="CM719" s="183"/>
      <c r="CN719" s="118">
        <f t="shared" si="2084"/>
        <v>145948</v>
      </c>
      <c r="CO719" s="118">
        <f t="shared" si="2085"/>
        <v>264.90694323895946</v>
      </c>
      <c r="CP719" s="186">
        <v>0.93567251461988299</v>
      </c>
      <c r="CQ719" s="118">
        <f>+CQ708*CP719+CO709*CP718+CO710*CP717+CO711*CP716+CO712*CP715+CO713*CP714+CO714*CP713+CO715*CP712+CO716*CP711+CO717*CP710+CO718*CP709+CO719</f>
        <v>8812.6646650201383</v>
      </c>
      <c r="CR719" s="119">
        <f t="shared" si="2086"/>
        <v>2.368303046586025E-2</v>
      </c>
      <c r="CS719" s="119"/>
      <c r="CT719" s="177">
        <f t="shared" si="2087"/>
        <v>6.8145043393335472E-3</v>
      </c>
      <c r="CU719" s="177">
        <f t="shared" si="2095"/>
        <v>6.6002125618938494E-3</v>
      </c>
      <c r="CV719" s="119">
        <f>VLOOKUP($H719,RoR!$E:$F,2,FALSE)</f>
        <v>5.3133333333333324E-2</v>
      </c>
      <c r="CW719" s="177">
        <v>7.7972502758210105E-3</v>
      </c>
      <c r="CX719" s="177">
        <f t="shared" si="2093"/>
        <v>4.5336083057512314E-2</v>
      </c>
      <c r="CY719" s="177">
        <f t="shared" si="2096"/>
        <v>2.4301729046639776E-2</v>
      </c>
      <c r="CZ719" s="177">
        <f t="shared" si="2097"/>
        <v>6.3720160300892073E-2</v>
      </c>
      <c r="DA719" s="187">
        <f t="shared" si="2088"/>
        <v>0.84971312500000007</v>
      </c>
      <c r="DB719" s="188">
        <f t="shared" si="2089"/>
        <v>0.96515780330083989</v>
      </c>
      <c r="DC719" s="188">
        <f t="shared" si="2090"/>
        <v>0.50448557089084056</v>
      </c>
      <c r="DD719" s="188">
        <f t="shared" si="2091"/>
        <v>0.87391435735465484</v>
      </c>
      <c r="DE719" s="188">
        <f t="shared" si="2092"/>
        <v>0.42551605393279146</v>
      </c>
      <c r="DF719" s="189">
        <f>INDEX('State Tax Lookup'!$D$7:$Z$91,MATCH(Calculation!$C719,'State Tax Lookup'!$B$7:$B$91,0),MATCH($H719,'State Tax Lookup'!$D$6:$Z$6,0))</f>
        <v>0.40076499999999998</v>
      </c>
      <c r="DG719" s="189">
        <v>0.375</v>
      </c>
      <c r="DH719" s="190">
        <f t="shared" si="2094"/>
        <v>18.894930692238297</v>
      </c>
      <c r="DI719" s="190">
        <v>18.557058054102757</v>
      </c>
      <c r="DJ719" s="177"/>
      <c r="DK719" s="189">
        <f>VLOOKUP($H719,RoR!$E:$F,2,FALSE)</f>
        <v>5.3133333333333324E-2</v>
      </c>
      <c r="DL719" s="191">
        <f>HLOOKUP($H719,'GDP-PI'!$D$8:$CQ$11,3,FALSE)</f>
        <v>7.7972502758210105E-3</v>
      </c>
      <c r="DM719" s="189">
        <f>VLOOKUP(H719,'HW Dx Data'!$E:$F,2,FALSE)</f>
        <v>550.94063679692806</v>
      </c>
      <c r="DN719" s="183">
        <f>VLOOKUP(H719,'ECI - Input Price'!$G$17:$H$37,2,FALSE)</f>
        <v>109.77499999999999</v>
      </c>
      <c r="DO719" s="177">
        <f t="shared" ref="DO719" si="2128">LN(DN719/DN718)</f>
        <v>1.4220423119736749E-2</v>
      </c>
      <c r="DP719" s="183">
        <f>HLOOKUP(H719,'GDP-PI'!$8:$9,2,FALSE)</f>
        <v>94.998999999999995</v>
      </c>
      <c r="DQ719" s="177">
        <f t="shared" ref="DQ719" si="2129">LN(DP719/DP718)</f>
        <v>7.7670088183096342E-3</v>
      </c>
    </row>
    <row r="720" spans="1:121" s="167" customFormat="1" ht="21" x14ac:dyDescent="0.35">
      <c r="A720" s="167" t="s">
        <v>75</v>
      </c>
      <c r="B720" s="168" t="s">
        <v>75</v>
      </c>
      <c r="C720" s="168">
        <v>4057131</v>
      </c>
      <c r="D720" s="168" t="s">
        <v>142</v>
      </c>
      <c r="E720" s="168"/>
      <c r="F720" s="168"/>
      <c r="G720" s="168" t="s">
        <v>16</v>
      </c>
      <c r="H720" s="169">
        <v>2010</v>
      </c>
      <c r="I720" s="170"/>
      <c r="J720" s="166">
        <f>IFERROR(INDEX('Labor Expenditures'!$F$7:$X$91,MATCH($C720,'Labor Expenditures'!$D$7:$D$91,0),MATCH($G720,'Labor Expenditures'!$F$5:$X$5,0)),"NA")</f>
        <v>85135.003723387475</v>
      </c>
      <c r="K720" s="166">
        <f t="shared" si="2100"/>
        <v>760.98327350513944</v>
      </c>
      <c r="L720" s="172">
        <f t="shared" si="2107"/>
        <v>7.7361824270641866E-2</v>
      </c>
      <c r="M720" s="172">
        <f t="shared" si="2111"/>
        <v>3.0198749067011166E-3</v>
      </c>
      <c r="N720" s="196"/>
      <c r="O720" s="172"/>
      <c r="P720" s="166">
        <f>IFERROR(INDEX('Non-Labor Expenditures'!$F$7:$AB$91,MATCH($C720,'Non-Labor Expenditures'!$D$7:$D$91,0),MATCH($G720,'Non-Labor Expenditures'!$F$5:$AB$5,0)),"NA")</f>
        <v>123291.38641678118</v>
      </c>
      <c r="Q720" s="166">
        <f t="shared" si="2101"/>
        <v>1282.8287300542218</v>
      </c>
      <c r="R720" s="172">
        <f t="shared" si="2112"/>
        <v>8.4694585610729664E-2</v>
      </c>
      <c r="S720" s="172">
        <f t="shared" si="2117"/>
        <v>3.3061145627140197E-3</v>
      </c>
      <c r="T720" s="172"/>
      <c r="U720" s="172"/>
      <c r="V720" s="166">
        <f t="shared" si="2082"/>
        <v>170655.72962935449</v>
      </c>
      <c r="W720" s="170"/>
      <c r="X720" s="174">
        <v>8981.2051806924428</v>
      </c>
      <c r="Y720" s="175">
        <v>1.8944227157011845E-2</v>
      </c>
      <c r="Z720" s="175">
        <f t="shared" si="2118"/>
        <v>7.3950164383618721E-4</v>
      </c>
      <c r="AA720" s="175"/>
      <c r="AB720" s="175"/>
      <c r="AC720" s="170">
        <f t="shared" si="2068"/>
        <v>379082.11976952315</v>
      </c>
      <c r="AD720" s="175">
        <f t="shared" si="2113"/>
        <v>7.4387598250292938E-2</v>
      </c>
      <c r="AE720" s="170"/>
      <c r="AF720" s="170"/>
      <c r="AG720" s="121">
        <f t="shared" si="2114"/>
        <v>174.12907002584413</v>
      </c>
      <c r="AH720" s="119">
        <f>+AZ720/$BB$48</f>
        <v>6.0710994584834713E-2</v>
      </c>
      <c r="AI720" s="119"/>
      <c r="AJ720" s="176">
        <f t="shared" si="2119"/>
        <v>10.571549027401327</v>
      </c>
      <c r="AK720" s="176">
        <f t="shared" si="2120"/>
        <v>0</v>
      </c>
      <c r="AL720" s="120">
        <f t="shared" si="2102"/>
        <v>0.2245819554220822</v>
      </c>
      <c r="AM720" s="120">
        <f t="shared" si="2103"/>
        <v>0.32523661757442079</v>
      </c>
      <c r="AN720" s="120">
        <f t="shared" si="2104"/>
        <v>0.450181427003497</v>
      </c>
      <c r="AO720" s="120">
        <f t="shared" si="2108"/>
        <v>5.3074080133654639E-2</v>
      </c>
      <c r="AP720" s="173">
        <f t="shared" si="2124"/>
        <v>112.03553026929518</v>
      </c>
      <c r="AQ720" s="175">
        <f t="shared" si="2125"/>
        <v>5.3074080133654659E-2</v>
      </c>
      <c r="AR720" s="177">
        <f>+AC720/$AE$48</f>
        <v>3.9035725116000564E-2</v>
      </c>
      <c r="AS720" s="177">
        <f t="shared" si="2121"/>
        <v>2.0717852028819296E-3</v>
      </c>
      <c r="AT720" s="177"/>
      <c r="AU720" s="177"/>
      <c r="AV720" s="177"/>
      <c r="AW720" s="190"/>
      <c r="AX720" s="120"/>
      <c r="AY720" s="120"/>
      <c r="AZ720" s="118">
        <f>IFERROR(INDEX('Total Customers'!$F$7:$AB$91,MATCH($C720,'Total Customers'!$D$7:$D$91,0),MATCH($G720,'Total Customers'!$F$5:$AB$5,0)),"NA")</f>
        <v>2177018</v>
      </c>
      <c r="BA720" s="119">
        <f t="shared" si="2083"/>
        <v>1.9743706154911767E-3</v>
      </c>
      <c r="BB720" s="119"/>
      <c r="BC720" s="121"/>
      <c r="BD720" s="119"/>
      <c r="BE720" s="119"/>
      <c r="BF720" s="119"/>
      <c r="BG720" s="173"/>
      <c r="BH720" s="173"/>
      <c r="BI720" s="173"/>
      <c r="BJ720" s="173"/>
      <c r="BK720" s="173"/>
      <c r="BL720" s="173"/>
      <c r="BM720" s="173"/>
      <c r="BN720" s="173"/>
      <c r="BO720" s="173"/>
      <c r="BP720" s="173"/>
      <c r="BQ720" s="118"/>
      <c r="BR720" s="118"/>
      <c r="BS720" s="118">
        <f>INDEX('Dist. Plant Gas Additions'!$F$7:$AE$91,MATCH($C720,'Dist. Plant Gas Additions'!$D$7:$D$91,0),MATCH(Calculation!$G720,'Dist. Plant Gas Additions'!$F$5:$AE$5,0))</f>
        <v>110513</v>
      </c>
      <c r="BT720" s="118">
        <f>INDEX('Gen. Plant Additions'!$F$7:$AE$91,MATCH($C720,'Gen. Plant Additions'!$D$7:$D$91,0),MATCH(Calculation!$G720,'Gen. Plant Additions'!$F$5:$AE$5,0))</f>
        <v>20668</v>
      </c>
      <c r="BU720" s="118"/>
      <c r="BV720" s="118"/>
      <c r="BW720" s="118">
        <f>INDEX('Dist Plant Depreciation'!$E$7:$AD$94,MATCH($C720,'Dist Plant Depreciation'!$D$7:$D$94,0),MATCH(Calculation!$G720,'Dist Plant Depreciation'!$E$5:$AD$5,0))</f>
        <v>1924415</v>
      </c>
      <c r="BX720" s="118">
        <f>INDEX('Gen. Plant Depreciation'!$E$7:$AD$94,MATCH($C720,'Gen. Plant Depreciation'!$D$7:$D$94,0),MATCH(Calculation!$G720,'Gen. Plant Depreciation'!$E$5:$AD$5,0))</f>
        <v>183792</v>
      </c>
      <c r="BY720" s="118"/>
      <c r="BZ720" s="118"/>
      <c r="CA720" s="118"/>
      <c r="CB720" s="118"/>
      <c r="CC720" s="118"/>
      <c r="CD720" s="118"/>
      <c r="CE720" s="118">
        <f>INDEX('Gross Dx Plant'!$E$7:$AD$91,MATCH($C720,'Gross Dx Plant'!$D$7:$D$91,0),MATCH(Calculation!$G720,'Gross Dx Plant'!$E$5:$AD$5,0))</f>
        <v>3321232</v>
      </c>
      <c r="CF720" s="118">
        <f>INDEX('Gross Gen Plant'!$E$7:$AD$91,MATCH($C720,'Gross Gen Plant'!$D$7:$D$91,0),MATCH(Calculation!$G720,'Gross Gen Plant'!$E$5:$AD$5,0))</f>
        <v>275292</v>
      </c>
      <c r="CG720" s="118">
        <f t="shared" si="1923"/>
        <v>1488317</v>
      </c>
      <c r="CH720" s="118"/>
      <c r="CI720" s="121">
        <v>2010</v>
      </c>
      <c r="CJ720" s="118"/>
      <c r="CK720" s="118"/>
      <c r="CL720" s="118"/>
      <c r="CM720" s="183"/>
      <c r="CN720" s="118">
        <f t="shared" si="2084"/>
        <v>131181</v>
      </c>
      <c r="CO720" s="118">
        <f t="shared" si="2085"/>
        <v>230.5508263223073</v>
      </c>
      <c r="CP720" s="186">
        <v>0.9285714285714286</v>
      </c>
      <c r="CQ720" s="118">
        <f>+CQ708*CP720+CO709*CP719+CO710*CP718+CO711*CP717+CO712*CP716+CO713*CP715+CO714*CP714+CO715*CP713+CO716*CP712+CO717*CP711+CO718*CP710+CO719*CP709+CO720</f>
        <v>8981.2051806924428</v>
      </c>
      <c r="CR720" s="119">
        <f t="shared" si="2086"/>
        <v>1.8944227157011845E-2</v>
      </c>
      <c r="CS720" s="119"/>
      <c r="CT720" s="177">
        <f t="shared" si="2087"/>
        <v>7.0364995159907249E-3</v>
      </c>
      <c r="CU720" s="177">
        <f t="shared" si="2095"/>
        <v>6.8164214591030156E-3</v>
      </c>
      <c r="CV720" s="119">
        <f>VLOOKUP($H720,RoR!$E:$F,2,FALSE)</f>
        <v>4.9433333333333322E-2</v>
      </c>
      <c r="CW720" s="177">
        <v>1.1684333519300205E-2</v>
      </c>
      <c r="CX720" s="177">
        <f t="shared" si="2093"/>
        <v>3.7748999814033117E-2</v>
      </c>
      <c r="CY720" s="177">
        <f t="shared" si="2096"/>
        <v>2.4085520149430609E-2</v>
      </c>
      <c r="CZ720" s="177">
        <f t="shared" si="2097"/>
        <v>4.7937530248493419E-2</v>
      </c>
      <c r="DA720" s="187">
        <f t="shared" si="2088"/>
        <v>0.84971312500000007</v>
      </c>
      <c r="DB720" s="188">
        <f t="shared" si="2089"/>
        <v>1.037398205301105</v>
      </c>
      <c r="DC720" s="188">
        <f t="shared" si="2090"/>
        <v>0.46926837491571133</v>
      </c>
      <c r="DD720" s="188">
        <f t="shared" si="2091"/>
        <v>0.8548537519972772</v>
      </c>
      <c r="DE720" s="188">
        <f t="shared" si="2092"/>
        <v>0.41615833911547367</v>
      </c>
      <c r="DF720" s="189">
        <f>INDEX('State Tax Lookup'!$D$7:$Z$91,MATCH(Calculation!$C720,'State Tax Lookup'!$B$7:$B$91,0),MATCH($H720,'State Tax Lookup'!$D$6:$Z$6,0))</f>
        <v>0.40076499999999998</v>
      </c>
      <c r="DG720" s="189">
        <v>0.375</v>
      </c>
      <c r="DH720" s="190">
        <f t="shared" si="2094"/>
        <v>19.364827338402364</v>
      </c>
      <c r="DI720" s="190">
        <v>19.04367575655619</v>
      </c>
      <c r="DJ720" s="177"/>
      <c r="DK720" s="189">
        <f>VLOOKUP($H720,RoR!$E:$F,2,FALSE)</f>
        <v>4.9433333333333322E-2</v>
      </c>
      <c r="DL720" s="191">
        <f>HLOOKUP($H720,'GDP-PI'!$D$8:$CQ$11,3,FALSE)</f>
        <v>1.1684333519300205E-2</v>
      </c>
      <c r="DM720" s="189">
        <f>VLOOKUP(H720,'HW Dx Data'!$E:$F,2,FALSE)</f>
        <v>568.98950262971744</v>
      </c>
      <c r="DN720" s="183">
        <f>VLOOKUP(H720,'ECI - Input Price'!$G$17:$H$37,2,FALSE)</f>
        <v>111.875</v>
      </c>
      <c r="DO720" s="177">
        <f t="shared" ref="DO720" si="2130">LN(DN720/DN719)</f>
        <v>1.8949360147238387E-2</v>
      </c>
      <c r="DP720" s="183">
        <f>HLOOKUP(H720,'GDP-PI'!$8:$9,2,FALSE)</f>
        <v>96.108999999999995</v>
      </c>
      <c r="DQ720" s="177">
        <f t="shared" ref="DQ720" si="2131">LN(DP720/DP719)</f>
        <v>1.1616598807150427E-2</v>
      </c>
    </row>
    <row r="721" spans="1:121" s="167" customFormat="1" ht="21" x14ac:dyDescent="0.35">
      <c r="A721" s="167" t="s">
        <v>75</v>
      </c>
      <c r="B721" s="168" t="s">
        <v>75</v>
      </c>
      <c r="C721" s="168">
        <v>4057131</v>
      </c>
      <c r="D721" s="168" t="s">
        <v>142</v>
      </c>
      <c r="E721" s="168"/>
      <c r="F721" s="168"/>
      <c r="G721" s="168" t="s">
        <v>17</v>
      </c>
      <c r="H721" s="169">
        <v>2011</v>
      </c>
      <c r="I721" s="170"/>
      <c r="J721" s="166">
        <f>IFERROR(INDEX('Labor Expenditures'!$F$7:$X$91,MATCH($C721,'Labor Expenditures'!$D$7:$D$91,0),MATCH($G721,'Labor Expenditures'!$F$5:$X$5,0)),"NA")</f>
        <v>84659.048029339086</v>
      </c>
      <c r="K721" s="166">
        <f t="shared" si="2100"/>
        <v>740.67408599596752</v>
      </c>
      <c r="L721" s="172">
        <f t="shared" si="2107"/>
        <v>-2.7050679417260144E-2</v>
      </c>
      <c r="M721" s="172">
        <f t="shared" si="2111"/>
        <v>-1.0418026687170759E-3</v>
      </c>
      <c r="N721" s="196"/>
      <c r="O721" s="172"/>
      <c r="P721" s="166">
        <f>IFERROR(INDEX('Non-Labor Expenditures'!$F$7:$AB$91,MATCH($C721,'Non-Labor Expenditures'!$D$7:$D$91,0),MATCH($G721,'Non-Labor Expenditures'!$F$5:$AB$5,0)),"NA")</f>
        <v>122602.11367553778</v>
      </c>
      <c r="Q721" s="166">
        <f t="shared" si="2101"/>
        <v>1249.613846171088</v>
      </c>
      <c r="R721" s="172">
        <f t="shared" si="2112"/>
        <v>-2.6233004424363951E-2</v>
      </c>
      <c r="S721" s="172">
        <f t="shared" si="2117"/>
        <v>-1.0103115561796612E-3</v>
      </c>
      <c r="T721" s="172"/>
      <c r="U721" s="172"/>
      <c r="V721" s="166">
        <f t="shared" si="2082"/>
        <v>185527.11853263335</v>
      </c>
      <c r="W721" s="170"/>
      <c r="X721" s="174">
        <v>9125.457119735067</v>
      </c>
      <c r="Y721" s="175">
        <v>1.5933913014073573E-2</v>
      </c>
      <c r="Z721" s="175">
        <f t="shared" si="2118"/>
        <v>6.1366270492177314E-4</v>
      </c>
      <c r="AA721" s="175"/>
      <c r="AB721" s="175"/>
      <c r="AC721" s="170">
        <f t="shared" si="2068"/>
        <v>392788.28023751022</v>
      </c>
      <c r="AD721" s="175">
        <f t="shared" si="2113"/>
        <v>3.5517883107200783E-2</v>
      </c>
      <c r="AE721" s="170"/>
      <c r="AF721" s="170"/>
      <c r="AG721" s="121">
        <f t="shared" si="2114"/>
        <v>179.7750183247426</v>
      </c>
      <c r="AH721" s="119">
        <f>+AZ721/$BB$49</f>
        <v>6.0634260817097697E-2</v>
      </c>
      <c r="AI721" s="119"/>
      <c r="AJ721" s="176">
        <f t="shared" si="2119"/>
        <v>10.900525349500962</v>
      </c>
      <c r="AK721" s="176">
        <f t="shared" si="2120"/>
        <v>0</v>
      </c>
      <c r="AL721" s="120">
        <f t="shared" si="2102"/>
        <v>0.21553353877602374</v>
      </c>
      <c r="AM721" s="120">
        <f t="shared" si="2103"/>
        <v>0.31213282025981798</v>
      </c>
      <c r="AN721" s="120">
        <f t="shared" si="2104"/>
        <v>0.47233364096415831</v>
      </c>
      <c r="AO721" s="120">
        <f t="shared" si="2108"/>
        <v>-6.9631317878065691E-3</v>
      </c>
      <c r="AP721" s="173">
        <f t="shared" si="2124"/>
        <v>111.25812184682722</v>
      </c>
      <c r="AQ721" s="175">
        <f t="shared" si="2125"/>
        <v>-6.9631317878066151E-3</v>
      </c>
      <c r="AR721" s="177">
        <f>+AC721/$AE$49</f>
        <v>3.8512994540622743E-2</v>
      </c>
      <c r="AS721" s="177">
        <f t="shared" si="2121"/>
        <v>-2.6817105652943287E-4</v>
      </c>
      <c r="AT721" s="177"/>
      <c r="AU721" s="177"/>
      <c r="AV721" s="177"/>
      <c r="AW721" s="190"/>
      <c r="AX721" s="120"/>
      <c r="AY721" s="120"/>
      <c r="AZ721" s="118">
        <f>IFERROR(INDEX('Total Customers'!$F$7:$AB$91,MATCH($C721,'Total Customers'!$D$7:$D$91,0),MATCH($G721,'Total Customers'!$F$5:$AB$5,0)),"NA")</f>
        <v>2184888</v>
      </c>
      <c r="BA721" s="119">
        <f t="shared" si="2083"/>
        <v>3.6085181752512122E-3</v>
      </c>
      <c r="BB721" s="119"/>
      <c r="BC721" s="121"/>
      <c r="BD721" s="119"/>
      <c r="BE721" s="119"/>
      <c r="BF721" s="119"/>
      <c r="BG721" s="173"/>
      <c r="BH721" s="173"/>
      <c r="BI721" s="173"/>
      <c r="BJ721" s="173"/>
      <c r="BK721" s="173"/>
      <c r="BL721" s="173"/>
      <c r="BM721" s="173"/>
      <c r="BN721" s="173"/>
      <c r="BO721" s="173"/>
      <c r="BP721" s="173"/>
      <c r="BQ721" s="118"/>
      <c r="BR721" s="118"/>
      <c r="BS721" s="118">
        <f>INDEX('Dist. Plant Gas Additions'!$F$7:$AE$91,MATCH($C721,'Dist. Plant Gas Additions'!$D$7:$D$91,0),MATCH(Calculation!$G721,'Dist. Plant Gas Additions'!$F$5:$AE$5,0))</f>
        <v>106288</v>
      </c>
      <c r="BT721" s="118">
        <f>INDEX('Gen. Plant Additions'!$F$7:$AE$91,MATCH($C721,'Gen. Plant Additions'!$D$7:$D$91,0),MATCH(Calculation!$G721,'Gen. Plant Additions'!$F$5:$AE$5,0))</f>
        <v>21907</v>
      </c>
      <c r="BU721" s="118"/>
      <c r="BV721" s="118"/>
      <c r="BW721" s="118">
        <f>INDEX('Dist Plant Depreciation'!$E$7:$AD$94,MATCH($C721,'Dist Plant Depreciation'!$D$7:$D$94,0),MATCH(Calculation!$G721,'Dist Plant Depreciation'!$E$5:$AD$5,0))</f>
        <v>2016234</v>
      </c>
      <c r="BX721" s="118">
        <f>INDEX('Gen. Plant Depreciation'!$E$7:$AD$94,MATCH($C721,'Gen. Plant Depreciation'!$D$7:$D$94,0),MATCH(Calculation!$G721,'Gen. Plant Depreciation'!$E$5:$AD$5,0))</f>
        <v>200428</v>
      </c>
      <c r="BY721" s="118"/>
      <c r="BZ721" s="118"/>
      <c r="CA721" s="118"/>
      <c r="CB721" s="118"/>
      <c r="CC721" s="118"/>
      <c r="CD721" s="118"/>
      <c r="CE721" s="118">
        <f>INDEX('Gross Dx Plant'!$E$7:$AD$91,MATCH($C721,'Gross Dx Plant'!$D$7:$D$91,0),MATCH(Calculation!$G721,'Gross Dx Plant'!$E$5:$AD$5,0))</f>
        <v>3413491</v>
      </c>
      <c r="CF721" s="118">
        <f>INDEX('Gross Gen Plant'!$E$7:$AD$91,MATCH($C721,'Gross Gen Plant'!$D$7:$D$91,0),MATCH(Calculation!$G721,'Gross Gen Plant'!$E$5:$AD$5,0))</f>
        <v>282793</v>
      </c>
      <c r="CG721" s="118">
        <f t="shared" si="1923"/>
        <v>1479622</v>
      </c>
      <c r="CH721" s="118"/>
      <c r="CI721" s="121">
        <v>2011</v>
      </c>
      <c r="CJ721" s="118"/>
      <c r="CK721" s="118"/>
      <c r="CL721" s="118"/>
      <c r="CM721" s="183"/>
      <c r="CN721" s="118">
        <f t="shared" si="2084"/>
        <v>128195</v>
      </c>
      <c r="CO721" s="118">
        <f t="shared" si="2085"/>
        <v>209.60214883716588</v>
      </c>
      <c r="CP721" s="186">
        <v>0.92121212121212126</v>
      </c>
      <c r="CQ721" s="118">
        <f>+CQ708*CP721+CO709*CP720+CO710*CP719+CO711*CP718+CO712*CP717+CO713*CP716+CO714*CP715+CO715*CP714+CO716*CP713+CO717*CP712+CO718*CP711+CO719*CP710+CO720*CP709+CO721</f>
        <v>9125.457119735067</v>
      </c>
      <c r="CR721" s="119">
        <f t="shared" si="2086"/>
        <v>1.5933913014073573E-2</v>
      </c>
      <c r="CS721" s="119"/>
      <c r="CT721" s="177">
        <f t="shared" si="2087"/>
        <v>7.2763296773388376E-3</v>
      </c>
      <c r="CU721" s="177">
        <f t="shared" si="2095"/>
        <v>7.0424445108877029E-3</v>
      </c>
      <c r="CV721" s="119">
        <f>VLOOKUP($H721,RoR!$E:$F,2,FALSE)</f>
        <v>4.6391666666666664E-2</v>
      </c>
      <c r="CW721" s="177">
        <v>2.0840920205183799E-2</v>
      </c>
      <c r="CX721" s="177">
        <f t="shared" si="2093"/>
        <v>2.5550746461482865E-2</v>
      </c>
      <c r="CY721" s="177">
        <f t="shared" si="2096"/>
        <v>2.3859497097645923E-2</v>
      </c>
      <c r="CZ721" s="177">
        <f t="shared" si="2097"/>
        <v>2.4810540821321614E-2</v>
      </c>
      <c r="DA721" s="187">
        <f t="shared" si="2088"/>
        <v>0.84971312500000007</v>
      </c>
      <c r="DB721" s="188">
        <f t="shared" si="2089"/>
        <v>1.1054151524782025</v>
      </c>
      <c r="DC721" s="188">
        <f t="shared" si="2090"/>
        <v>0.43611011316687626</v>
      </c>
      <c r="DD721" s="188">
        <f t="shared" si="2091"/>
        <v>0.83698442246886229</v>
      </c>
      <c r="DE721" s="188">
        <f t="shared" si="2092"/>
        <v>0.40349573304423936</v>
      </c>
      <c r="DF721" s="189">
        <f>INDEX('State Tax Lookup'!$D$7:$Z$91,MATCH(Calculation!$C721,'State Tax Lookup'!$B$7:$B$91,0),MATCH($H721,'State Tax Lookup'!$D$6:$Z$6,0))</f>
        <v>0.40076499999999998</v>
      </c>
      <c r="DG721" s="189">
        <v>0.375</v>
      </c>
      <c r="DH721" s="190">
        <f t="shared" si="2094"/>
        <v>20.657263117813478</v>
      </c>
      <c r="DI721" s="190">
        <v>20.307069254828839</v>
      </c>
      <c r="DJ721" s="177"/>
      <c r="DK721" s="189">
        <f>VLOOKUP($H721,RoR!$E:$F,2,FALSE)</f>
        <v>4.6391666666666664E-2</v>
      </c>
      <c r="DL721" s="191">
        <f>HLOOKUP($H721,'GDP-PI'!$D$8:$CQ$11,3,FALSE)</f>
        <v>2.0840920205183799E-2</v>
      </c>
      <c r="DM721" s="189">
        <f>VLOOKUP(H721,'HW Dx Data'!$E:$F,2,FALSE)</f>
        <v>611.61109612283201</v>
      </c>
      <c r="DN721" s="183">
        <f>VLOOKUP(H721,'ECI - Input Price'!$G$17:$H$37,2,FALSE)</f>
        <v>114.3</v>
      </c>
      <c r="DO721" s="177">
        <f t="shared" ref="DO721" si="2132">LN(DN721/DN720)</f>
        <v>2.1444394205745516E-2</v>
      </c>
      <c r="DP721" s="183">
        <f>HLOOKUP(H721,'GDP-PI'!$8:$9,2,FALSE)</f>
        <v>98.111999999999995</v>
      </c>
      <c r="DQ721" s="177">
        <f t="shared" ref="DQ721" si="2133">LN(DP721/DP720)</f>
        <v>2.0626719212849295E-2</v>
      </c>
    </row>
    <row r="722" spans="1:121" s="167" customFormat="1" ht="21" x14ac:dyDescent="0.35">
      <c r="A722" s="167" t="s">
        <v>75</v>
      </c>
      <c r="B722" s="168" t="s">
        <v>75</v>
      </c>
      <c r="C722" s="168">
        <v>4057131</v>
      </c>
      <c r="D722" s="168" t="s">
        <v>142</v>
      </c>
      <c r="E722" s="168"/>
      <c r="F722" s="168"/>
      <c r="G722" s="168" t="s">
        <v>18</v>
      </c>
      <c r="H722" s="169">
        <v>2012</v>
      </c>
      <c r="I722" s="170"/>
      <c r="J722" s="166">
        <f>IFERROR(INDEX('Labor Expenditures'!$F$7:$X$91,MATCH($C722,'Labor Expenditures'!$D$7:$D$91,0),MATCH($G722,'Labor Expenditures'!$F$5:$X$5,0)),"NA")</f>
        <v>84205.961880325092</v>
      </c>
      <c r="K722" s="166">
        <f t="shared" si="2100"/>
        <v>722.79795605429263</v>
      </c>
      <c r="L722" s="172">
        <f t="shared" si="2107"/>
        <v>-2.4430967679904072E-2</v>
      </c>
      <c r="M722" s="172">
        <f t="shared" si="2111"/>
        <v>-9.3671728255066071E-4</v>
      </c>
      <c r="N722" s="196"/>
      <c r="O722" s="172"/>
      <c r="P722" s="166">
        <f>IFERROR(INDEX('Non-Labor Expenditures'!$F$7:$AB$91,MATCH($C722,'Non-Labor Expenditures'!$D$7:$D$91,0),MATCH($G722,'Non-Labor Expenditures'!$F$5:$AB$5,0)),"NA")</f>
        <v>121945.96030694597</v>
      </c>
      <c r="Q722" s="166">
        <f t="shared" si="2101"/>
        <v>1219.4596030694597</v>
      </c>
      <c r="R722" s="172">
        <f t="shared" si="2112"/>
        <v>-2.4426768213656375E-2</v>
      </c>
      <c r="S722" s="172">
        <f t="shared" si="2117"/>
        <v>-9.3655626917357119E-4</v>
      </c>
      <c r="T722" s="172"/>
      <c r="U722" s="172"/>
      <c r="V722" s="166">
        <f t="shared" si="2082"/>
        <v>203580.54552321695</v>
      </c>
      <c r="W722" s="170"/>
      <c r="X722" s="174">
        <v>9268.9481390541241</v>
      </c>
      <c r="Y722" s="175">
        <v>1.5601910254670668E-2</v>
      </c>
      <c r="Z722" s="175">
        <f t="shared" si="2118"/>
        <v>5.9819894028903964E-4</v>
      </c>
      <c r="AA722" s="175"/>
      <c r="AB722" s="175"/>
      <c r="AC722" s="170">
        <f t="shared" si="2068"/>
        <v>409732.46771048801</v>
      </c>
      <c r="AD722" s="175">
        <f t="shared" si="2113"/>
        <v>4.2233689364030623E-2</v>
      </c>
      <c r="AE722" s="170"/>
      <c r="AF722" s="170"/>
      <c r="AG722" s="121">
        <f t="shared" si="2114"/>
        <v>187.27382442561404</v>
      </c>
      <c r="AH722" s="119">
        <f>+AZ722/$BB$50</f>
        <v>6.042508620287123E-2</v>
      </c>
      <c r="AI722" s="119"/>
      <c r="AJ722" s="176">
        <f t="shared" si="2119"/>
        <v>11.3160369844591</v>
      </c>
      <c r="AK722" s="176">
        <f t="shared" si="2120"/>
        <v>0</v>
      </c>
      <c r="AL722" s="120">
        <f t="shared" si="2102"/>
        <v>0.2055144966930568</v>
      </c>
      <c r="AM722" s="120">
        <f t="shared" si="2103"/>
        <v>0.29762337602474676</v>
      </c>
      <c r="AN722" s="120">
        <f t="shared" si="2104"/>
        <v>0.49686212728219648</v>
      </c>
      <c r="AO722" s="120">
        <f t="shared" si="2108"/>
        <v>-5.0298394121649076E-3</v>
      </c>
      <c r="AP722" s="173">
        <f t="shared" si="2124"/>
        <v>110.69991637941806</v>
      </c>
      <c r="AQ722" s="175">
        <f t="shared" si="2125"/>
        <v>-5.0298394121648556E-3</v>
      </c>
      <c r="AR722" s="177">
        <f>+AC722/$AE$50</f>
        <v>3.8341390927432092E-2</v>
      </c>
      <c r="AS722" s="177">
        <f t="shared" si="2121"/>
        <v>-1.9285103920401795E-4</v>
      </c>
      <c r="AT722" s="177"/>
      <c r="AU722" s="177"/>
      <c r="AV722" s="177"/>
      <c r="AW722" s="190"/>
      <c r="AX722" s="120"/>
      <c r="AY722" s="120"/>
      <c r="AZ722" s="118">
        <f>IFERROR(INDEX('Total Customers'!$F$7:$AB$91,MATCH($C722,'Total Customers'!$D$7:$D$91,0),MATCH($G722,'Total Customers'!$F$5:$AB$5,0)),"NA")</f>
        <v>2187879</v>
      </c>
      <c r="BA722" s="119">
        <f t="shared" si="2083"/>
        <v>1.3680127326523501E-3</v>
      </c>
      <c r="BB722" s="119"/>
      <c r="BC722" s="121"/>
      <c r="BD722" s="119"/>
      <c r="BE722" s="119"/>
      <c r="BF722" s="119"/>
      <c r="BG722" s="173"/>
      <c r="BH722" s="173"/>
      <c r="BI722" s="173"/>
      <c r="BJ722" s="173"/>
      <c r="BK722" s="173"/>
      <c r="BL722" s="173"/>
      <c r="BM722" s="173"/>
      <c r="BN722" s="173"/>
      <c r="BO722" s="173"/>
      <c r="BP722" s="173"/>
      <c r="BQ722" s="118"/>
      <c r="BR722" s="118"/>
      <c r="BS722" s="118">
        <f>INDEX('Dist. Plant Gas Additions'!$F$7:$AE$91,MATCH($C722,'Dist. Plant Gas Additions'!$D$7:$D$91,0),MATCH(Calculation!$G722,'Dist. Plant Gas Additions'!$F$5:$AE$5,0))</f>
        <v>111344</v>
      </c>
      <c r="BT722" s="118">
        <f>INDEX('Gen. Plant Additions'!$F$7:$AE$91,MATCH($C722,'Gen. Plant Additions'!$D$7:$D$91,0),MATCH(Calculation!$G722,'Gen. Plant Additions'!$F$5:$AE$5,0))</f>
        <v>30621</v>
      </c>
      <c r="BU722" s="118"/>
      <c r="BV722" s="118"/>
      <c r="BW722" s="118">
        <f>INDEX('Dist Plant Depreciation'!$E$7:$AD$94,MATCH($C722,'Dist Plant Depreciation'!$D$7:$D$94,0),MATCH(Calculation!$G722,'Dist Plant Depreciation'!$E$5:$AD$5,0))</f>
        <v>2116200</v>
      </c>
      <c r="BX722" s="118">
        <f>INDEX('Gen. Plant Depreciation'!$E$7:$AD$94,MATCH($C722,'Gen. Plant Depreciation'!$D$7:$D$94,0),MATCH(Calculation!$G722,'Gen. Plant Depreciation'!$E$5:$AD$5,0))</f>
        <v>208885</v>
      </c>
      <c r="BY722" s="118"/>
      <c r="BZ722" s="118"/>
      <c r="CA722" s="118"/>
      <c r="CB722" s="118"/>
      <c r="CC722" s="118"/>
      <c r="CD722" s="118"/>
      <c r="CE722" s="118">
        <f>INDEX('Gross Dx Plant'!$E$7:$AD$91,MATCH($C722,'Gross Dx Plant'!$D$7:$D$91,0),MATCH(Calculation!$G722,'Gross Dx Plant'!$E$5:$AD$5,0))</f>
        <v>3511380</v>
      </c>
      <c r="CF722" s="118">
        <f>INDEX('Gross Gen Plant'!$E$7:$AD$91,MATCH($C722,'Gross Gen Plant'!$D$7:$D$91,0),MATCH(Calculation!$G722,'Gross Gen Plant'!$E$5:$AD$5,0))</f>
        <v>297495</v>
      </c>
      <c r="CG722" s="118">
        <f t="shared" si="1923"/>
        <v>1483790</v>
      </c>
      <c r="CH722" s="118"/>
      <c r="CI722" s="121">
        <v>2012</v>
      </c>
      <c r="CJ722" s="118"/>
      <c r="CK722" s="118"/>
      <c r="CL722" s="118"/>
      <c r="CM722" s="183"/>
      <c r="CN722" s="118">
        <f t="shared" si="2084"/>
        <v>141965</v>
      </c>
      <c r="CO722" s="118">
        <f t="shared" si="2085"/>
        <v>212.23037712774914</v>
      </c>
      <c r="CP722" s="186">
        <v>0.9135802469135802</v>
      </c>
      <c r="CQ722" s="118">
        <f>+CQ708*CP722+CO709*CP721+CO710*CP720+CO711*CP719+CO712*CP718+CO713*CP717+CO714*CP716+CO715*CP715+CO716*CP714+CO717*CP713+CO718*CP712+CO719*CP711+CO720*CP710+CO721*CP709+CO722</f>
        <v>9268.9481390541241</v>
      </c>
      <c r="CR722" s="119">
        <f t="shared" si="2086"/>
        <v>1.5601910254670668E-2</v>
      </c>
      <c r="CS722" s="119"/>
      <c r="CT722" s="177">
        <f t="shared" si="2087"/>
        <v>7.5327029546863556E-3</v>
      </c>
      <c r="CU722" s="177">
        <f t="shared" si="2095"/>
        <v>7.2818440493386391E-3</v>
      </c>
      <c r="CV722" s="119">
        <f>VLOOKUP($H722,RoR!$E:$F,2,FALSE)</f>
        <v>3.6733333333333333E-2</v>
      </c>
      <c r="CW722" s="177">
        <v>1.924331376386168E-2</v>
      </c>
      <c r="CX722" s="177">
        <f t="shared" si="2093"/>
        <v>1.7490019569471653E-2</v>
      </c>
      <c r="CY722" s="177">
        <f t="shared" si="2096"/>
        <v>2.3620097559194985E-2</v>
      </c>
      <c r="CZ722" s="177">
        <f t="shared" si="2097"/>
        <v>6.7122682943869583E-2</v>
      </c>
      <c r="DA722" s="187">
        <f t="shared" si="2088"/>
        <v>0.84971312500000007</v>
      </c>
      <c r="DB722" s="188">
        <f t="shared" si="2089"/>
        <v>1.3960631020522127</v>
      </c>
      <c r="DC722" s="188">
        <f t="shared" si="2090"/>
        <v>0.29441923774954631</v>
      </c>
      <c r="DD722" s="188">
        <f t="shared" si="2091"/>
        <v>0.76377954189366437</v>
      </c>
      <c r="DE722" s="188">
        <f t="shared" si="2092"/>
        <v>0.31393465103033691</v>
      </c>
      <c r="DF722" s="189">
        <f>INDEX('State Tax Lookup'!$D$7:$Z$91,MATCH(Calculation!$C722,'State Tax Lookup'!$B$7:$B$91,0),MATCH($H722,'State Tax Lookup'!$D$6:$Z$6,0))</f>
        <v>0.40076499999999998</v>
      </c>
      <c r="DG722" s="189">
        <v>0.375</v>
      </c>
      <c r="DH722" s="190">
        <f t="shared" si="2094"/>
        <v>22.309079189353241</v>
      </c>
      <c r="DI722" s="190">
        <v>21.961603949324552</v>
      </c>
      <c r="DJ722" s="177"/>
      <c r="DK722" s="189">
        <f>VLOOKUP($H722,RoR!$E:$F,2,FALSE)</f>
        <v>3.6733333333333333E-2</v>
      </c>
      <c r="DL722" s="191">
        <f>HLOOKUP($H722,'GDP-PI'!$D$8:$CQ$11,3,FALSE)</f>
        <v>1.924331376386168E-2</v>
      </c>
      <c r="DM722" s="189">
        <f>VLOOKUP(H722,'HW Dx Data'!$E:$F,2,FALSE)</f>
        <v>668.91932211262167</v>
      </c>
      <c r="DN722" s="183">
        <f>VLOOKUP(H722,'ECI - Input Price'!$G$17:$H$37,2,FALSE)</f>
        <v>116.5</v>
      </c>
      <c r="DO722" s="177">
        <f t="shared" ref="DO722" si="2134">LN(DN722/DN721)</f>
        <v>1.9064702204990347E-2</v>
      </c>
      <c r="DP722" s="183">
        <f>HLOOKUP(H722,'GDP-PI'!$8:$9,2,FALSE)</f>
        <v>100</v>
      </c>
      <c r="DQ722" s="177">
        <f t="shared" ref="DQ722" si="2135">LN(DP722/DP721)</f>
        <v>1.9060502738742411E-2</v>
      </c>
    </row>
    <row r="723" spans="1:121" s="167" customFormat="1" ht="21" x14ac:dyDescent="0.35">
      <c r="A723" s="167" t="s">
        <v>75</v>
      </c>
      <c r="B723" s="168" t="s">
        <v>75</v>
      </c>
      <c r="C723" s="168">
        <v>4057131</v>
      </c>
      <c r="D723" s="168" t="s">
        <v>142</v>
      </c>
      <c r="E723" s="168"/>
      <c r="F723" s="168"/>
      <c r="G723" s="168" t="s">
        <v>19</v>
      </c>
      <c r="H723" s="169">
        <v>2013</v>
      </c>
      <c r="I723" s="170"/>
      <c r="J723" s="166">
        <f>IFERROR(INDEX('Labor Expenditures'!$F$7:$X$91,MATCH($C723,'Labor Expenditures'!$D$7:$D$91,0),MATCH($G723,'Labor Expenditures'!$F$5:$X$5,0)),"NA")</f>
        <v>91947.353295889945</v>
      </c>
      <c r="K723" s="166">
        <f t="shared" si="2100"/>
        <v>774.45654492221479</v>
      </c>
      <c r="L723" s="172">
        <f t="shared" si="2107"/>
        <v>6.9031820118849022E-2</v>
      </c>
      <c r="M723" s="172">
        <f t="shared" si="2111"/>
        <v>2.6659375026389081E-3</v>
      </c>
      <c r="N723" s="196"/>
      <c r="O723" s="172"/>
      <c r="P723" s="166">
        <f>IFERROR(INDEX('Non-Labor Expenditures'!$F$7:$AB$91,MATCH($C723,'Non-Labor Expenditures'!$D$7:$D$91,0),MATCH($G723,'Non-Labor Expenditures'!$F$5:$AB$5,0)),"NA")</f>
        <v>133156.94096915462</v>
      </c>
      <c r="Q723" s="166">
        <f t="shared" si="2101"/>
        <v>1308.3719745822038</v>
      </c>
      <c r="R723" s="172">
        <f t="shared" si="2112"/>
        <v>7.0375784531768695E-2</v>
      </c>
      <c r="S723" s="172">
        <f t="shared" si="2117"/>
        <v>2.7178400183837641E-3</v>
      </c>
      <c r="T723" s="172"/>
      <c r="U723" s="172"/>
      <c r="V723" s="166">
        <f t="shared" si="2082"/>
        <v>202981.89866267974</v>
      </c>
      <c r="W723" s="170"/>
      <c r="X723" s="174">
        <v>9410.9125222173843</v>
      </c>
      <c r="Y723" s="175">
        <v>1.5200018781876323E-2</v>
      </c>
      <c r="Z723" s="175">
        <f t="shared" si="2118"/>
        <v>5.8700900601569564E-4</v>
      </c>
      <c r="AA723" s="175"/>
      <c r="AB723" s="175"/>
      <c r="AC723" s="170">
        <f t="shared" si="2068"/>
        <v>428086.19292772433</v>
      </c>
      <c r="AD723" s="175">
        <f t="shared" si="2113"/>
        <v>4.3820131714965641E-2</v>
      </c>
      <c r="AE723" s="170"/>
      <c r="AF723" s="170"/>
      <c r="AG723" s="121">
        <f t="shared" si="2114"/>
        <v>194.99820661809289</v>
      </c>
      <c r="AH723" s="119">
        <f>+AZ723/$BB$51</f>
        <v>6.0243346259241638E-2</v>
      </c>
      <c r="AI723" s="119"/>
      <c r="AJ723" s="176">
        <f t="shared" si="2119"/>
        <v>11.747344481224914</v>
      </c>
      <c r="AK723" s="176">
        <f t="shared" si="2120"/>
        <v>0</v>
      </c>
      <c r="AL723" s="120">
        <f t="shared" si="2102"/>
        <v>0.21478700975393014</v>
      </c>
      <c r="AM723" s="120">
        <f t="shared" si="2103"/>
        <v>0.31105170680343824</v>
      </c>
      <c r="AN723" s="120">
        <f t="shared" si="2104"/>
        <v>0.47416128344263153</v>
      </c>
      <c r="AO723" s="120">
        <f t="shared" si="2108"/>
        <v>4.3304869274180736E-2</v>
      </c>
      <c r="AP723" s="173">
        <f t="shared" si="2124"/>
        <v>115.5990748996812</v>
      </c>
      <c r="AQ723" s="175">
        <f t="shared" si="2125"/>
        <v>4.3304869274180723E-2</v>
      </c>
      <c r="AR723" s="177">
        <f>+AC723/$AE$51</f>
        <v>3.8618965834148394E-2</v>
      </c>
      <c r="AS723" s="177">
        <f t="shared" si="2121"/>
        <v>1.6723892669518478E-3</v>
      </c>
      <c r="AT723" s="177"/>
      <c r="AU723" s="177"/>
      <c r="AV723" s="177"/>
      <c r="AW723" s="190"/>
      <c r="AX723" s="120"/>
      <c r="AY723" s="120"/>
      <c r="AZ723" s="118">
        <f>IFERROR(INDEX('Total Customers'!$F$7:$AB$91,MATCH($C723,'Total Customers'!$D$7:$D$91,0),MATCH($G723,'Total Customers'!$F$5:$AB$5,0)),"NA")</f>
        <v>2195334</v>
      </c>
      <c r="BA723" s="119">
        <f t="shared" si="2083"/>
        <v>3.4016175752735992E-3</v>
      </c>
      <c r="BB723" s="119"/>
      <c r="BC723" s="121"/>
      <c r="BD723" s="119"/>
      <c r="BE723" s="119"/>
      <c r="BF723" s="119"/>
      <c r="BG723" s="173"/>
      <c r="BH723" s="173"/>
      <c r="BI723" s="173"/>
      <c r="BJ723" s="173"/>
      <c r="BK723" s="173"/>
      <c r="BL723" s="173"/>
      <c r="BM723" s="173"/>
      <c r="BN723" s="173"/>
      <c r="BO723" s="173"/>
      <c r="BP723" s="173"/>
      <c r="BQ723" s="118"/>
      <c r="BR723" s="118"/>
      <c r="BS723" s="118">
        <f>INDEX('Dist. Plant Gas Additions'!$F$7:$AE$91,MATCH($C723,'Dist. Plant Gas Additions'!$D$7:$D$91,0),MATCH(Calculation!$G723,'Dist. Plant Gas Additions'!$F$5:$AE$5,0))</f>
        <v>127289</v>
      </c>
      <c r="BT723" s="118">
        <f>INDEX('Gen. Plant Additions'!$F$7:$AE$91,MATCH($C723,'Gen. Plant Additions'!$D$7:$D$91,0),MATCH(Calculation!$G723,'Gen. Plant Additions'!$F$5:$AE$5,0))</f>
        <v>14823</v>
      </c>
      <c r="BU723" s="118"/>
      <c r="BV723" s="118"/>
      <c r="BW723" s="118">
        <f>INDEX('Dist Plant Depreciation'!$E$7:$AD$94,MATCH($C723,'Dist Plant Depreciation'!$D$7:$D$94,0),MATCH(Calculation!$G723,'Dist Plant Depreciation'!$E$5:$AD$5,0))</f>
        <v>2349285</v>
      </c>
      <c r="BX723" s="118">
        <f>INDEX('Gen. Plant Depreciation'!$E$7:$AD$94,MATCH($C723,'Gen. Plant Depreciation'!$D$7:$D$94,0),MATCH(Calculation!$G723,'Gen. Plant Depreciation'!$E$5:$AD$5,0))</f>
        <v>155472</v>
      </c>
      <c r="BY723" s="118"/>
      <c r="BZ723" s="118"/>
      <c r="CA723" s="118"/>
      <c r="CB723" s="118"/>
      <c r="CC723" s="118"/>
      <c r="CD723" s="118"/>
      <c r="CE723" s="118">
        <f>INDEX('Gross Dx Plant'!$E$7:$AD$91,MATCH($C723,'Gross Dx Plant'!$D$7:$D$91,0),MATCH(Calculation!$G723,'Gross Dx Plant'!$E$5:$AD$5,0))</f>
        <v>3559561</v>
      </c>
      <c r="CF723" s="118">
        <f>INDEX('Gross Gen Plant'!$E$7:$AD$91,MATCH($C723,'Gross Gen Plant'!$D$7:$D$91,0),MATCH(Calculation!$G723,'Gross Gen Plant'!$E$5:$AD$5,0))</f>
        <v>286883</v>
      </c>
      <c r="CG723" s="118">
        <f t="shared" ref="CG723:CG789" si="2136">IF(OR(BW723="NA",BX723="NA"),"NA",(SUM(CE723:CF723)-SUM(BW723:BX723)))</f>
        <v>1341687</v>
      </c>
      <c r="CH723" s="118"/>
      <c r="CI723" s="121">
        <v>2013</v>
      </c>
      <c r="CJ723" s="118"/>
      <c r="CK723" s="118"/>
      <c r="CL723" s="118"/>
      <c r="CM723" s="183"/>
      <c r="CN723" s="118">
        <f t="shared" si="2084"/>
        <v>142112</v>
      </c>
      <c r="CO723" s="118">
        <f t="shared" si="2085"/>
        <v>214.26662894936331</v>
      </c>
      <c r="CP723" s="186">
        <v>0.90566037735849059</v>
      </c>
      <c r="CQ723" s="118">
        <f>+CQ708*CP723+CO709*CP722+CO710*CP721+CO711*CP720+CO712*CP719+CO713*CP718+CO714*CP717+CO715*CP716+CO716*CP715+CO717*CP714+CO718*CP713+CO719*CP712+CO720*CP711+CO721*CP710+CO722*CP709+CO723</f>
        <v>9410.9125222173843</v>
      </c>
      <c r="CR723" s="119">
        <f t="shared" si="2086"/>
        <v>1.5200018781876323E-2</v>
      </c>
      <c r="CS723" s="119"/>
      <c r="CT723" s="177">
        <f t="shared" si="2087"/>
        <v>7.8004801301522209E-3</v>
      </c>
      <c r="CU723" s="177">
        <f t="shared" si="2095"/>
        <v>7.5365042540591386E-3</v>
      </c>
      <c r="CV723" s="119">
        <f>VLOOKUP($H723,RoR!$E:$F,2,FALSE)</f>
        <v>4.2350000000000006E-2</v>
      </c>
      <c r="CW723" s="177">
        <v>1.7730000000000024E-2</v>
      </c>
      <c r="CX723" s="177">
        <f t="shared" si="2093"/>
        <v>2.4619999999999982E-2</v>
      </c>
      <c r="CY723" s="177">
        <f t="shared" si="2096"/>
        <v>2.3365437354474487E-2</v>
      </c>
      <c r="CZ723" s="177">
        <f t="shared" si="2097"/>
        <v>5.3376742735721204E-2</v>
      </c>
      <c r="DA723" s="187">
        <f t="shared" si="2088"/>
        <v>0.84971312500000007</v>
      </c>
      <c r="DB723" s="188">
        <f t="shared" si="2089"/>
        <v>1.2109103018193925</v>
      </c>
      <c r="DC723" s="188">
        <f t="shared" si="2090"/>
        <v>0.38468122786304604</v>
      </c>
      <c r="DD723" s="188">
        <f t="shared" si="2091"/>
        <v>0.80969194503422559</v>
      </c>
      <c r="DE723" s="188">
        <f t="shared" si="2092"/>
        <v>0.37716621754800816</v>
      </c>
      <c r="DF723" s="189">
        <f>INDEX('State Tax Lookup'!$D$7:$Z$91,MATCH(Calculation!$C723,'State Tax Lookup'!$B$7:$B$91,0),MATCH($H723,'State Tax Lookup'!$D$6:$Z$6,0))</f>
        <v>0.40076499999999998</v>
      </c>
      <c r="DG723" s="189">
        <v>0.375</v>
      </c>
      <c r="DH723" s="190">
        <f t="shared" si="2094"/>
        <v>21.899129827626115</v>
      </c>
      <c r="DI723" s="190">
        <v>21.540348162241127</v>
      </c>
      <c r="DJ723" s="177"/>
      <c r="DK723" s="189">
        <f>VLOOKUP($H723,RoR!$E:$F,2,FALSE)</f>
        <v>4.2350000000000006E-2</v>
      </c>
      <c r="DL723" s="191">
        <f>HLOOKUP($H723,'GDP-PI'!$D$8:$CQ$11,3,FALSE)</f>
        <v>1.7730000000000024E-2</v>
      </c>
      <c r="DM723" s="189">
        <f>VLOOKUP(H723,'HW Dx Data'!$E:$F,2,FALSE)</f>
        <v>663.24840548821396</v>
      </c>
      <c r="DN723" s="183">
        <f>VLOOKUP(H723,'ECI - Input Price'!$G$17:$H$37,2,FALSE)</f>
        <v>118.72499999999999</v>
      </c>
      <c r="DO723" s="177">
        <f t="shared" ref="DO723" si="2137">LN(DN723/DN722)</f>
        <v>1.8918621429430321E-2</v>
      </c>
      <c r="DP723" s="183">
        <f>HLOOKUP(H723,'GDP-PI'!$8:$9,2,FALSE)</f>
        <v>101.773</v>
      </c>
      <c r="DQ723" s="177">
        <f t="shared" ref="DQ723" si="2138">LN(DP723/DP722)</f>
        <v>1.7574657016510519E-2</v>
      </c>
    </row>
    <row r="724" spans="1:121" s="167" customFormat="1" ht="21" x14ac:dyDescent="0.35">
      <c r="A724" s="167" t="s">
        <v>75</v>
      </c>
      <c r="B724" s="168" t="s">
        <v>75</v>
      </c>
      <c r="C724" s="168">
        <v>4057131</v>
      </c>
      <c r="D724" s="168" t="s">
        <v>142</v>
      </c>
      <c r="E724" s="168"/>
      <c r="F724" s="168"/>
      <c r="G724" s="168" t="s">
        <v>20</v>
      </c>
      <c r="H724" s="169">
        <v>2014</v>
      </c>
      <c r="I724" s="170"/>
      <c r="J724" s="166">
        <f>IFERROR(INDEX('Labor Expenditures'!$F$7:$X$91,MATCH($C724,'Labor Expenditures'!$D$7:$D$91,0),MATCH($G724,'Labor Expenditures'!$F$5:$X$5,0)),"NA")</f>
        <v>88050.747616550449</v>
      </c>
      <c r="K724" s="166">
        <f t="shared" si="2100"/>
        <v>726.49131696823804</v>
      </c>
      <c r="L724" s="172">
        <f t="shared" si="2107"/>
        <v>-6.3935019945123961E-2</v>
      </c>
      <c r="M724" s="172">
        <f t="shared" si="2111"/>
        <v>-2.3934680040314173E-3</v>
      </c>
      <c r="N724" s="196"/>
      <c r="O724" s="172"/>
      <c r="P724" s="166">
        <f>IFERROR(INDEX('Non-Labor Expenditures'!$F$7:$AB$91,MATCH($C724,'Non-Labor Expenditures'!$D$7:$D$91,0),MATCH($G724,'Non-Labor Expenditures'!$F$5:$AB$5,0)),"NA")</f>
        <v>127513.92815992053</v>
      </c>
      <c r="Q724" s="166">
        <f t="shared" si="2101"/>
        <v>1230.2712877354918</v>
      </c>
      <c r="R724" s="172">
        <f t="shared" si="2112"/>
        <v>-6.1548892643351304E-2</v>
      </c>
      <c r="S724" s="172">
        <f t="shared" si="2117"/>
        <v>-2.304141069352417E-3</v>
      </c>
      <c r="T724" s="172"/>
      <c r="U724" s="172"/>
      <c r="V724" s="166">
        <f t="shared" si="2082"/>
        <v>210449.11377385943</v>
      </c>
      <c r="W724" s="170"/>
      <c r="X724" s="174">
        <v>9566.2312330710338</v>
      </c>
      <c r="Y724" s="175">
        <v>1.6369394790928034E-2</v>
      </c>
      <c r="Z724" s="175">
        <f t="shared" si="2118"/>
        <v>6.1280379221079532E-4</v>
      </c>
      <c r="AA724" s="175"/>
      <c r="AB724" s="175"/>
      <c r="AC724" s="170">
        <f t="shared" si="2068"/>
        <v>426013.78955033037</v>
      </c>
      <c r="AD724" s="175">
        <f t="shared" si="2113"/>
        <v>-4.8528450697056429E-3</v>
      </c>
      <c r="AE724" s="170"/>
      <c r="AF724" s="170"/>
      <c r="AG724" s="121">
        <f t="shared" si="2114"/>
        <v>194.0768344224353</v>
      </c>
      <c r="AH724" s="119">
        <f>+AZ724/$BB$52</f>
        <v>5.9912967932573835E-2</v>
      </c>
      <c r="AI724" s="119"/>
      <c r="AJ724" s="176">
        <f t="shared" si="2119"/>
        <v>11.627719157206808</v>
      </c>
      <c r="AK724" s="176">
        <f t="shared" si="2120"/>
        <v>0</v>
      </c>
      <c r="AL724" s="120">
        <f t="shared" si="2102"/>
        <v>0.20668520544720045</v>
      </c>
      <c r="AM724" s="120">
        <f t="shared" si="2103"/>
        <v>0.29931878095898046</v>
      </c>
      <c r="AN724" s="120">
        <f t="shared" si="2104"/>
        <v>0.49399601359381917</v>
      </c>
      <c r="AO724" s="120">
        <f t="shared" si="2108"/>
        <v>-2.4333156547125756E-2</v>
      </c>
      <c r="AP724" s="173">
        <f t="shared" si="2124"/>
        <v>112.82013185838288</v>
      </c>
      <c r="AQ724" s="175">
        <f t="shared" si="2125"/>
        <v>-2.4333156547125725E-2</v>
      </c>
      <c r="AR724" s="177">
        <f>+AC724/$AE$52</f>
        <v>3.7435946779804774E-2</v>
      </c>
      <c r="AS724" s="177">
        <f t="shared" si="2121"/>
        <v>-9.1093475348285669E-4</v>
      </c>
      <c r="AT724" s="177"/>
      <c r="AU724" s="177"/>
      <c r="AV724" s="177"/>
      <c r="AW724" s="190"/>
      <c r="AX724" s="120"/>
      <c r="AY724" s="120"/>
      <c r="AZ724" s="118">
        <f>IFERROR(INDEX('Total Customers'!$F$7:$AB$91,MATCH($C724,'Total Customers'!$D$7:$D$91,0),MATCH($G724,'Total Customers'!$F$5:$AB$5,0)),"NA")</f>
        <v>2195078</v>
      </c>
      <c r="BA724" s="119">
        <f t="shared" si="2083"/>
        <v>-1.1661775719006148E-4</v>
      </c>
      <c r="BB724" s="119"/>
      <c r="BC724" s="121"/>
      <c r="BD724" s="119"/>
      <c r="BE724" s="119"/>
      <c r="BF724" s="119"/>
      <c r="BG724" s="173"/>
      <c r="BH724" s="173"/>
      <c r="BI724" s="173"/>
      <c r="BJ724" s="173"/>
      <c r="BK724" s="173"/>
      <c r="BL724" s="173"/>
      <c r="BM724" s="173"/>
      <c r="BN724" s="173"/>
      <c r="BO724" s="173"/>
      <c r="BP724" s="173"/>
      <c r="BQ724" s="118"/>
      <c r="BR724" s="118"/>
      <c r="BS724" s="118">
        <f>INDEX('Dist. Plant Gas Additions'!$F$7:$AE$91,MATCH($C724,'Dist. Plant Gas Additions'!$D$7:$D$91,0),MATCH(Calculation!$G724,'Dist. Plant Gas Additions'!$F$5:$AE$5,0))</f>
        <v>138561</v>
      </c>
      <c r="BT724" s="118">
        <f>INDEX('Gen. Plant Additions'!$F$7:$AE$91,MATCH($C724,'Gen. Plant Additions'!$D$7:$D$91,0),MATCH(Calculation!$G724,'Gen. Plant Additions'!$F$5:$AE$5,0))</f>
        <v>19802</v>
      </c>
      <c r="BU724" s="118"/>
      <c r="BV724" s="118"/>
      <c r="BW724" s="118">
        <f>INDEX('Dist Plant Depreciation'!$E$7:$AD$94,MATCH($C724,'Dist Plant Depreciation'!$D$7:$D$94,0),MATCH(Calculation!$G724,'Dist Plant Depreciation'!$E$5:$AD$5,0))</f>
        <v>2423803</v>
      </c>
      <c r="BX724" s="118">
        <f>INDEX('Gen. Plant Depreciation'!$E$7:$AD$94,MATCH($C724,'Gen. Plant Depreciation'!$D$7:$D$94,0),MATCH(Calculation!$G724,'Gen. Plant Depreciation'!$E$5:$AD$5,0))</f>
        <v>158457</v>
      </c>
      <c r="BY724" s="118"/>
      <c r="BZ724" s="118"/>
      <c r="CA724" s="118"/>
      <c r="CB724" s="118"/>
      <c r="CC724" s="118"/>
      <c r="CD724" s="118"/>
      <c r="CE724" s="118">
        <f>INDEX('Gross Dx Plant'!$E$7:$AD$91,MATCH($C724,'Gross Dx Plant'!$D$7:$D$91,0),MATCH(Calculation!$G724,'Gross Dx Plant'!$E$5:$AD$5,0))</f>
        <v>3687702</v>
      </c>
      <c r="CF724" s="118">
        <f>INDEX('Gross Gen Plant'!$E$7:$AD$91,MATCH($C724,'Gross Gen Plant'!$D$7:$D$91,0),MATCH(Calculation!$G724,'Gross Gen Plant'!$E$5:$AD$5,0))</f>
        <v>293083</v>
      </c>
      <c r="CG724" s="118">
        <f t="shared" si="2136"/>
        <v>1398525</v>
      </c>
      <c r="CH724" s="118"/>
      <c r="CI724" s="121">
        <v>2014</v>
      </c>
      <c r="CJ724" s="118"/>
      <c r="CK724" s="118"/>
      <c r="CL724" s="118"/>
      <c r="CM724" s="183"/>
      <c r="CN724" s="118">
        <f t="shared" si="2084"/>
        <v>158363</v>
      </c>
      <c r="CO724" s="118">
        <f t="shared" si="2085"/>
        <v>231.366164061841</v>
      </c>
      <c r="CP724" s="186">
        <v>0.89743589743589747</v>
      </c>
      <c r="CQ724" s="118">
        <f>+CQ708*CP724+CO709*CP723+CO710*CP722+CO711*CP721+CO712*CP720+CO713*CP719+CO714*CP718+CO715*CP717+CO716*CP716+CO717*CP715+CO718*CP714+CO719*CP713+CO720*CP712+CO721*CP711+CO722*CP710+CO723*CP709+CO724</f>
        <v>9566.2312330710338</v>
      </c>
      <c r="CR724" s="119">
        <f t="shared" si="2086"/>
        <v>1.6369394790928034E-2</v>
      </c>
      <c r="CS724" s="119"/>
      <c r="CT724" s="177">
        <f t="shared" si="2087"/>
        <v>8.0807735730895267E-3</v>
      </c>
      <c r="CU724" s="177">
        <f t="shared" si="2095"/>
        <v>7.804652219309368E-3</v>
      </c>
      <c r="CV724" s="119">
        <f>VLOOKUP($H724,RoR!$E:$F,2,FALSE)</f>
        <v>4.1625000000000002E-2</v>
      </c>
      <c r="CW724" s="177">
        <v>1.841352814597208E-2</v>
      </c>
      <c r="CX724" s="177">
        <f t="shared" si="2093"/>
        <v>2.3211471854027922E-2</v>
      </c>
      <c r="CY724" s="177">
        <f t="shared" si="2096"/>
        <v>2.3097289389224257E-2</v>
      </c>
      <c r="CZ724" s="177">
        <f t="shared" si="2097"/>
        <v>3.9072621432650924E-2</v>
      </c>
      <c r="DA724" s="187">
        <f t="shared" si="2088"/>
        <v>0.84971312500000007</v>
      </c>
      <c r="DB724" s="188">
        <f t="shared" si="2089"/>
        <v>1.2320012320012319</v>
      </c>
      <c r="DC724" s="188">
        <f t="shared" si="2090"/>
        <v>0.37439939939939942</v>
      </c>
      <c r="DD724" s="188">
        <f t="shared" si="2091"/>
        <v>0.80432100613819935</v>
      </c>
      <c r="DE724" s="188">
        <f t="shared" si="2092"/>
        <v>0.37100152660040037</v>
      </c>
      <c r="DF724" s="189">
        <f>INDEX('State Tax Lookup'!$D$7:$Z$91,MATCH(Calculation!$C724,'State Tax Lookup'!$B$7:$B$91,0),MATCH($H724,'State Tax Lookup'!$D$6:$Z$6,0))</f>
        <v>0.40076499999999998</v>
      </c>
      <c r="DG724" s="189">
        <v>0.375</v>
      </c>
      <c r="DH724" s="190">
        <f t="shared" si="2094"/>
        <v>22.362243116916545</v>
      </c>
      <c r="DI724" s="190">
        <v>21.969225948101581</v>
      </c>
      <c r="DJ724" s="177"/>
      <c r="DK724" s="189">
        <f>VLOOKUP($H724,RoR!$E:$F,2,FALSE)</f>
        <v>4.1625000000000002E-2</v>
      </c>
      <c r="DL724" s="191">
        <f>HLOOKUP($H724,'GDP-PI'!$D$8:$CQ$11,3,FALSE)</f>
        <v>1.841352814597208E-2</v>
      </c>
      <c r="DM724" s="189">
        <f>VLOOKUP(H724,'HW Dx Data'!$E:$F,2,FALSE)</f>
        <v>684.46914285042885</v>
      </c>
      <c r="DN724" s="183">
        <f>VLOOKUP(H724,'ECI - Input Price'!$G$17:$H$37,2,FALSE)</f>
        <v>121.2</v>
      </c>
      <c r="DO724" s="177">
        <f t="shared" ref="DO724" si="2139">LN(DN724/DN723)</f>
        <v>2.0632179200028689E-2</v>
      </c>
      <c r="DP724" s="183">
        <f>HLOOKUP(H724,'GDP-PI'!$8:$9,2,FALSE)</f>
        <v>103.64700000000001</v>
      </c>
      <c r="DQ724" s="177">
        <f t="shared" ref="DQ724" si="2140">LN(DP724/DP723)</f>
        <v>1.8246051898256087E-2</v>
      </c>
    </row>
    <row r="725" spans="1:121" s="167" customFormat="1" ht="21" x14ac:dyDescent="0.35">
      <c r="A725" s="167" t="s">
        <v>75</v>
      </c>
      <c r="B725" s="168" t="s">
        <v>75</v>
      </c>
      <c r="C725" s="168">
        <v>4057131</v>
      </c>
      <c r="D725" s="168" t="s">
        <v>142</v>
      </c>
      <c r="E725" s="168"/>
      <c r="F725" s="168"/>
      <c r="G725" s="168" t="s">
        <v>21</v>
      </c>
      <c r="H725" s="169">
        <v>2015</v>
      </c>
      <c r="I725" s="170"/>
      <c r="J725" s="166">
        <f>IFERROR(INDEX('Labor Expenditures'!$F$7:$X$91,MATCH($C725,'Labor Expenditures'!$D$7:$D$91,0),MATCH($G725,'Labor Expenditures'!$F$5:$X$5,0)),"NA")</f>
        <v>91111.757839461323</v>
      </c>
      <c r="K725" s="166">
        <f t="shared" si="2100"/>
        <v>736.2566290057481</v>
      </c>
      <c r="L725" s="172">
        <f t="shared" si="2107"/>
        <v>1.3352207596833074E-2</v>
      </c>
      <c r="M725" s="172">
        <f t="shared" si="2111"/>
        <v>5.0196304923025314E-4</v>
      </c>
      <c r="N725" s="196"/>
      <c r="O725" s="172"/>
      <c r="P725" s="166">
        <f>IFERROR(INDEX('Non-Labor Expenditures'!$F$7:$AB$91,MATCH($C725,'Non-Labor Expenditures'!$D$7:$D$91,0),MATCH($G725,'Non-Labor Expenditures'!$F$5:$AB$5,0)),"NA")</f>
        <v>131946.84268054261</v>
      </c>
      <c r="Q725" s="166">
        <f t="shared" si="2101"/>
        <v>1260.9719385749349</v>
      </c>
      <c r="R725" s="172">
        <f t="shared" si="2112"/>
        <v>2.4648099224975604E-2</v>
      </c>
      <c r="S725" s="172">
        <f t="shared" si="2117"/>
        <v>9.2662093178008502E-4</v>
      </c>
      <c r="T725" s="172"/>
      <c r="U725" s="172"/>
      <c r="V725" s="166">
        <f t="shared" si="2082"/>
        <v>209074.7196123091</v>
      </c>
      <c r="W725" s="170"/>
      <c r="X725" s="174">
        <v>9929.7219930261072</v>
      </c>
      <c r="Y725" s="175">
        <v>3.7293163636325066E-2</v>
      </c>
      <c r="Z725" s="175">
        <f t="shared" si="2118"/>
        <v>1.4019996317891697E-3</v>
      </c>
      <c r="AA725" s="175"/>
      <c r="AB725" s="175"/>
      <c r="AC725" s="170">
        <f t="shared" si="2068"/>
        <v>432133.32013231306</v>
      </c>
      <c r="AD725" s="175">
        <f t="shared" si="2113"/>
        <v>1.4262436468858579E-2</v>
      </c>
      <c r="AE725" s="170"/>
      <c r="AF725" s="170"/>
      <c r="AG725" s="121">
        <f t="shared" si="2114"/>
        <v>196.57962368086095</v>
      </c>
      <c r="AH725" s="119">
        <f>+AZ725/$BB$53</f>
        <v>5.9513356870465578E-2</v>
      </c>
      <c r="AI725" s="119"/>
      <c r="AJ725" s="176">
        <f t="shared" si="2119"/>
        <v>11.699113297580904</v>
      </c>
      <c r="AK725" s="176">
        <f t="shared" si="2120"/>
        <v>0</v>
      </c>
      <c r="AL725" s="120">
        <f t="shared" si="2102"/>
        <v>0.21084177867044412</v>
      </c>
      <c r="AM725" s="120">
        <f t="shared" si="2103"/>
        <v>0.30533827532702723</v>
      </c>
      <c r="AN725" s="120">
        <f t="shared" si="2104"/>
        <v>0.48381994600252859</v>
      </c>
      <c r="AO725" s="120">
        <f t="shared" si="2108"/>
        <v>2.8472202338537204E-2</v>
      </c>
      <c r="AP725" s="173">
        <f t="shared" si="2124"/>
        <v>116.07853633605706</v>
      </c>
      <c r="AQ725" s="175">
        <f t="shared" si="2125"/>
        <v>2.8472202338537297E-2</v>
      </c>
      <c r="AR725" s="177">
        <f>+AC725/$AE$53</f>
        <v>3.7594011745991023E-2</v>
      </c>
      <c r="AS725" s="177">
        <f t="shared" si="2121"/>
        <v>1.0703843091492042E-3</v>
      </c>
      <c r="AT725" s="177"/>
      <c r="AU725" s="177"/>
      <c r="AV725" s="177"/>
      <c r="AW725" s="190"/>
      <c r="AX725" s="120"/>
      <c r="AY725" s="120"/>
      <c r="AZ725" s="118">
        <f>IFERROR(INDEX('Total Customers'!$F$7:$AB$91,MATCH($C725,'Total Customers'!$D$7:$D$91,0),MATCH($G725,'Total Customers'!$F$5:$AB$5,0)),"NA")</f>
        <v>2198261</v>
      </c>
      <c r="BA725" s="119">
        <f t="shared" si="2083"/>
        <v>1.4490120416059569E-3</v>
      </c>
      <c r="BB725" s="119"/>
      <c r="BC725" s="121"/>
      <c r="BD725" s="119"/>
      <c r="BE725" s="119"/>
      <c r="BF725" s="119"/>
      <c r="BG725" s="173"/>
      <c r="BH725" s="173"/>
      <c r="BI725" s="173"/>
      <c r="BJ725" s="173"/>
      <c r="BK725" s="173"/>
      <c r="BL725" s="173"/>
      <c r="BM725" s="173"/>
      <c r="BN725" s="173"/>
      <c r="BO725" s="173"/>
      <c r="BP725" s="173"/>
      <c r="BQ725" s="118"/>
      <c r="BR725" s="118"/>
      <c r="BS725" s="118">
        <f>INDEX('Dist. Plant Gas Additions'!$F$7:$AE$91,MATCH($C725,'Dist. Plant Gas Additions'!$D$7:$D$91,0),MATCH(Calculation!$G725,'Dist. Plant Gas Additions'!$F$5:$AE$5,0))</f>
        <v>250988</v>
      </c>
      <c r="BT725" s="118">
        <f>INDEX('Gen. Plant Additions'!$F$7:$AE$91,MATCH($C725,'Gen. Plant Additions'!$D$7:$D$91,0),MATCH(Calculation!$G725,'Gen. Plant Additions'!$F$5:$AE$5,0))</f>
        <v>48683</v>
      </c>
      <c r="BU725" s="118"/>
      <c r="BV725" s="118"/>
      <c r="BW725" s="118">
        <f>INDEX('Dist Plant Depreciation'!$E$7:$AD$94,MATCH($C725,'Dist Plant Depreciation'!$D$7:$D$94,0),MATCH(Calculation!$G725,'Dist Plant Depreciation'!$E$5:$AD$5,0))</f>
        <v>2471127</v>
      </c>
      <c r="BX725" s="118">
        <f>INDEX('Gen. Plant Depreciation'!$E$7:$AD$94,MATCH($C725,'Gen. Plant Depreciation'!$D$7:$D$94,0),MATCH(Calculation!$G725,'Gen. Plant Depreciation'!$E$5:$AD$5,0))</f>
        <v>157151</v>
      </c>
      <c r="BY725" s="118"/>
      <c r="BZ725" s="118"/>
      <c r="CA725" s="118"/>
      <c r="CB725" s="118"/>
      <c r="CC725" s="118"/>
      <c r="CD725" s="118"/>
      <c r="CE725" s="118">
        <f>INDEX('Gross Dx Plant'!$E$7:$AD$91,MATCH($C725,'Gross Dx Plant'!$D$7:$D$91,0),MATCH(Calculation!$G725,'Gross Dx Plant'!$E$5:$AD$5,0))</f>
        <v>3917155</v>
      </c>
      <c r="CF725" s="118">
        <f>INDEX('Gross Gen Plant'!$E$7:$AD$91,MATCH($C725,'Gross Gen Plant'!$D$7:$D$91,0),MATCH(Calculation!$G725,'Gross Gen Plant'!$E$5:$AD$5,0))</f>
        <v>319280</v>
      </c>
      <c r="CG725" s="118">
        <f t="shared" si="2136"/>
        <v>1608157</v>
      </c>
      <c r="CH725" s="118"/>
      <c r="CI725" s="121">
        <v>2015</v>
      </c>
      <c r="CJ725" s="118"/>
      <c r="CK725" s="118"/>
      <c r="CL725" s="118"/>
      <c r="CM725" s="183"/>
      <c r="CN725" s="118">
        <f t="shared" si="2084"/>
        <v>299671</v>
      </c>
      <c r="CO725" s="118">
        <f t="shared" si="2085"/>
        <v>443.55315193648664</v>
      </c>
      <c r="CP725" s="186">
        <v>0.88888888888888884</v>
      </c>
      <c r="CQ725" s="118">
        <f>+CQ708*CP725+CO709*CP724+CO710*CP723+CO711*CP722+CO712*CP721+CO713*CP720+CO714*CP719+CO715*CP718+CO716*CP717+CO717*CP716+CO718*CP715+CO719*CP714+CO720*CP713+CO721*CP712+CO722*CP711+CO723*CP710+CO724*CP709+CO725</f>
        <v>9929.7219930261072</v>
      </c>
      <c r="CR725" s="119">
        <f t="shared" si="2086"/>
        <v>3.7293163636325066E-2</v>
      </c>
      <c r="CS725" s="119"/>
      <c r="CT725" s="177">
        <f t="shared" si="2087"/>
        <v>8.3692720812176061E-3</v>
      </c>
      <c r="CU725" s="177">
        <f t="shared" si="2095"/>
        <v>8.0835085948197851E-3</v>
      </c>
      <c r="CV725" s="119">
        <f>VLOOKUP($H725,RoR!$E:$F,2,FALSE)</f>
        <v>3.8866666666666674E-2</v>
      </c>
      <c r="CW725" s="177">
        <v>9.5709475431029478E-3</v>
      </c>
      <c r="CX725" s="177">
        <f t="shared" si="2093"/>
        <v>2.9295719123563727E-2</v>
      </c>
      <c r="CY725" s="177">
        <f t="shared" si="2096"/>
        <v>2.2818433013713842E-2</v>
      </c>
      <c r="CZ725" s="177">
        <f t="shared" si="2097"/>
        <v>3.5270373279175926E-3</v>
      </c>
      <c r="DA725" s="187">
        <f t="shared" si="2088"/>
        <v>0.84971312500000007</v>
      </c>
      <c r="DB725" s="188">
        <f t="shared" si="2089"/>
        <v>1.3194352816994324</v>
      </c>
      <c r="DC725" s="188">
        <f t="shared" si="2090"/>
        <v>0.33177530017152673</v>
      </c>
      <c r="DD725" s="188">
        <f t="shared" si="2091"/>
        <v>0.78242572977668579</v>
      </c>
      <c r="DE725" s="188">
        <f t="shared" si="2092"/>
        <v>0.34251158643433932</v>
      </c>
      <c r="DF725" s="189">
        <f>INDEX('State Tax Lookup'!$D$7:$Z$91,MATCH(Calculation!$C725,'State Tax Lookup'!$B$7:$B$91,0),MATCH($H725,'State Tax Lookup'!$D$6:$Z$6,0))</f>
        <v>0.40076499999999998</v>
      </c>
      <c r="DG725" s="189">
        <v>0.375</v>
      </c>
      <c r="DH725" s="190">
        <f t="shared" si="2094"/>
        <v>21.855495076214055</v>
      </c>
      <c r="DI725" s="190">
        <v>21.432332668141179</v>
      </c>
      <c r="DJ725" s="177"/>
      <c r="DK725" s="189">
        <f>VLOOKUP($H725,RoR!$E:$F,2,FALSE)</f>
        <v>3.8866666666666674E-2</v>
      </c>
      <c r="DL725" s="191">
        <f>HLOOKUP($H725,'GDP-PI'!$D$8:$CQ$11,3,FALSE)</f>
        <v>9.5709475431029478E-3</v>
      </c>
      <c r="DM725" s="189">
        <f>VLOOKUP(H725,'HW Dx Data'!$E:$F,2,FALSE)</f>
        <v>675.61463308665782</v>
      </c>
      <c r="DN725" s="183">
        <f>VLOOKUP(H725,'ECI - Input Price'!$G$17:$H$37,2,FALSE)</f>
        <v>123.75</v>
      </c>
      <c r="DO725" s="177">
        <f t="shared" ref="DO725" si="2141">LN(DN725/DN724)</f>
        <v>2.0821327813585516E-2</v>
      </c>
      <c r="DP725" s="183">
        <f>HLOOKUP(H725,'GDP-PI'!$8:$9,2,FALSE)</f>
        <v>104.639</v>
      </c>
      <c r="DQ725" s="177">
        <f t="shared" ref="DQ725" si="2142">LN(DP725/DP724)</f>
        <v>9.5254361854427965E-3</v>
      </c>
    </row>
    <row r="726" spans="1:121" s="167" customFormat="1" ht="21" x14ac:dyDescent="0.35">
      <c r="A726" s="167" t="s">
        <v>75</v>
      </c>
      <c r="B726" s="168" t="s">
        <v>75</v>
      </c>
      <c r="C726" s="168">
        <v>4057131</v>
      </c>
      <c r="D726" s="168" t="s">
        <v>142</v>
      </c>
      <c r="E726" s="168"/>
      <c r="F726" s="168"/>
      <c r="G726" s="168" t="s">
        <v>22</v>
      </c>
      <c r="H726" s="169">
        <v>2016</v>
      </c>
      <c r="I726" s="170"/>
      <c r="J726" s="166">
        <f>IFERROR(INDEX('Labor Expenditures'!$F$7:$X$91,MATCH($C726,'Labor Expenditures'!$D$7:$D$91,0),MATCH($G726,'Labor Expenditures'!$F$5:$X$5,0)),"NA")</f>
        <v>90403.351230088912</v>
      </c>
      <c r="K726" s="166">
        <f t="shared" si="2100"/>
        <v>715.21638631399458</v>
      </c>
      <c r="L726" s="172">
        <f t="shared" si="2107"/>
        <v>-2.8993603558518988E-2</v>
      </c>
      <c r="M726" s="172">
        <f t="shared" si="2111"/>
        <v>-1.0588114086838257E-3</v>
      </c>
      <c r="N726" s="196"/>
      <c r="O726" s="172"/>
      <c r="P726" s="166">
        <f>IFERROR(INDEX('Non-Labor Expenditures'!$F$7:$AB$91,MATCH($C726,'Non-Labor Expenditures'!$D$7:$D$91,0),MATCH($G726,'Non-Labor Expenditures'!$F$5:$AB$5,0)),"NA")</f>
        <v>130920.9375980678</v>
      </c>
      <c r="Q726" s="166">
        <f t="shared" si="2101"/>
        <v>1238.186971306535</v>
      </c>
      <c r="R726" s="172">
        <f t="shared" si="2112"/>
        <v>-1.8234613661766541E-2</v>
      </c>
      <c r="S726" s="172">
        <f t="shared" si="2117"/>
        <v>-6.6590608301076522E-4</v>
      </c>
      <c r="T726" s="172"/>
      <c r="U726" s="172"/>
      <c r="V726" s="166">
        <f t="shared" si="2082"/>
        <v>213172.14720447539</v>
      </c>
      <c r="W726" s="170"/>
      <c r="X726" s="174">
        <v>10255.563334515544</v>
      </c>
      <c r="Y726" s="175">
        <v>3.2287841693048686E-2</v>
      </c>
      <c r="Z726" s="175">
        <f t="shared" si="2118"/>
        <v>1.179113009439366E-3</v>
      </c>
      <c r="AA726" s="175"/>
      <c r="AB726" s="175"/>
      <c r="AC726" s="170">
        <f t="shared" si="2068"/>
        <v>434496.43603263213</v>
      </c>
      <c r="AD726" s="175">
        <f t="shared" si="2113"/>
        <v>5.4535901644700473E-3</v>
      </c>
      <c r="AE726" s="170"/>
      <c r="AF726" s="170"/>
      <c r="AG726" s="121">
        <f t="shared" si="2114"/>
        <v>196.80232597011755</v>
      </c>
      <c r="AH726" s="119">
        <f>+AZ726/$BB$54</f>
        <v>5.9254656086145392E-2</v>
      </c>
      <c r="AI726" s="119"/>
      <c r="AJ726" s="176">
        <f t="shared" si="2119"/>
        <v>11.661454142312795</v>
      </c>
      <c r="AK726" s="176">
        <f t="shared" si="2120"/>
        <v>0</v>
      </c>
      <c r="AL726" s="120">
        <f t="shared" si="2102"/>
        <v>0.20806465538718324</v>
      </c>
      <c r="AM726" s="120">
        <f t="shared" si="2103"/>
        <v>0.30131648211778472</v>
      </c>
      <c r="AN726" s="120">
        <f t="shared" si="2104"/>
        <v>0.49061886249503195</v>
      </c>
      <c r="AO726" s="120">
        <f t="shared" si="2108"/>
        <v>4.1274018915368298E-3</v>
      </c>
      <c r="AP726" s="173">
        <f t="shared" si="2124"/>
        <v>116.55862919303082</v>
      </c>
      <c r="AQ726" s="175">
        <f t="shared" si="2125"/>
        <v>4.1274018915367248E-3</v>
      </c>
      <c r="AR726" s="177">
        <f>+AC726/$AE$54</f>
        <v>3.6518793069194824E-2</v>
      </c>
      <c r="AS726" s="177">
        <f t="shared" si="2121"/>
        <v>1.5072773559043296E-4</v>
      </c>
      <c r="AT726" s="177"/>
      <c r="AU726" s="177"/>
      <c r="AV726" s="177"/>
      <c r="AW726" s="190"/>
      <c r="AX726" s="120"/>
      <c r="AY726" s="120"/>
      <c r="AZ726" s="118">
        <f>IFERROR(INDEX('Total Customers'!$F$7:$AB$91,MATCH($C726,'Total Customers'!$D$7:$D$91,0),MATCH($G726,'Total Customers'!$F$5:$AB$5,0)),"NA")</f>
        <v>2207781</v>
      </c>
      <c r="BA726" s="119">
        <f t="shared" si="2083"/>
        <v>4.321345468210694E-3</v>
      </c>
      <c r="BB726" s="119"/>
      <c r="BC726" s="121"/>
      <c r="BD726" s="119"/>
      <c r="BE726" s="119"/>
      <c r="BF726" s="119"/>
      <c r="BG726" s="173"/>
      <c r="BH726" s="173"/>
      <c r="BI726" s="173"/>
      <c r="BJ726" s="173"/>
      <c r="BK726" s="173"/>
      <c r="BL726" s="173"/>
      <c r="BM726" s="173"/>
      <c r="BN726" s="173"/>
      <c r="BO726" s="173"/>
      <c r="BP726" s="173"/>
      <c r="BQ726" s="118"/>
      <c r="BR726" s="118"/>
      <c r="BS726" s="118">
        <f>INDEX('Dist. Plant Gas Additions'!$F$7:$AE$91,MATCH($C726,'Dist. Plant Gas Additions'!$D$7:$D$91,0),MATCH(Calculation!$G726,'Dist. Plant Gas Additions'!$F$5:$AE$5,0))</f>
        <v>239184</v>
      </c>
      <c r="BT726" s="118">
        <f>INDEX('Gen. Plant Additions'!$F$7:$AE$91,MATCH($C726,'Gen. Plant Additions'!$D$7:$D$91,0),MATCH(Calculation!$G726,'Gen. Plant Additions'!$F$5:$AE$5,0))</f>
        <v>36902</v>
      </c>
      <c r="BU726" s="118"/>
      <c r="BV726" s="118"/>
      <c r="BW726" s="118">
        <f>INDEX('Dist Plant Depreciation'!$E$7:$AD$94,MATCH($C726,'Dist Plant Depreciation'!$D$7:$D$94,0),MATCH(Calculation!$G726,'Dist Plant Depreciation'!$E$5:$AD$5,0))</f>
        <v>2524941</v>
      </c>
      <c r="BX726" s="118">
        <f>INDEX('Gen. Plant Depreciation'!$E$7:$AD$94,MATCH($C726,'Gen. Plant Depreciation'!$D$7:$D$94,0),MATCH(Calculation!$G726,'Gen. Plant Depreciation'!$E$5:$AD$5,0))</f>
        <v>150737</v>
      </c>
      <c r="BY726" s="118"/>
      <c r="BZ726" s="118"/>
      <c r="CA726" s="118"/>
      <c r="CB726" s="118"/>
      <c r="CC726" s="118"/>
      <c r="CD726" s="118"/>
      <c r="CE726" s="118">
        <f>INDEX('Gross Dx Plant'!$E$7:$AD$91,MATCH($C726,'Gross Dx Plant'!$D$7:$D$91,0),MATCH(Calculation!$G726,'Gross Dx Plant'!$E$5:$AD$5,0))</f>
        <v>4134797</v>
      </c>
      <c r="CF726" s="118">
        <f>INDEX('Gross Gen Plant'!$E$7:$AD$91,MATCH($C726,'Gross Gen Plant'!$D$7:$D$91,0),MATCH(Calculation!$G726,'Gross Gen Plant'!$E$5:$AD$5,0))</f>
        <v>330620</v>
      </c>
      <c r="CG726" s="118">
        <f t="shared" si="2136"/>
        <v>1789739</v>
      </c>
      <c r="CH726" s="118"/>
      <c r="CI726" s="121">
        <v>2016</v>
      </c>
      <c r="CJ726" s="118"/>
      <c r="CK726" s="118"/>
      <c r="CL726" s="118"/>
      <c r="CM726" s="183"/>
      <c r="CN726" s="118">
        <f t="shared" si="2084"/>
        <v>276086</v>
      </c>
      <c r="CO726" s="118">
        <f t="shared" si="2085"/>
        <v>411.17487676747453</v>
      </c>
      <c r="CP726" s="186">
        <v>0.88</v>
      </c>
      <c r="CQ726" s="118">
        <f>+CQ708*CP726+CO709*CP725+CO710*CP724+CO711*CP723+CO712*CP722+CO713*CP721+CO714*CP720+CO715*CP719+CO716*CP718+CO717*CP717+CO718*CP716+CO719*CP715+CO720*CP714+CO721*CP713+CO722*CP712+CO723*CP711+CO724*CP710+CO725*CP709+CO726</f>
        <v>10255.563334515544</v>
      </c>
      <c r="CR726" s="119">
        <f t="shared" si="2086"/>
        <v>3.2287841693048686E-2</v>
      </c>
      <c r="CS726" s="119"/>
      <c r="CT726" s="177">
        <f t="shared" si="2087"/>
        <v>8.5937486807757292E-3</v>
      </c>
      <c r="CU726" s="177">
        <f t="shared" si="2095"/>
        <v>8.3479314450276201E-3</v>
      </c>
      <c r="CV726" s="119">
        <f>VLOOKUP($H726,RoR!$E:$F,2,FALSE)</f>
        <v>3.6658333333333334E-2</v>
      </c>
      <c r="CW726" s="177">
        <v>1.0483662879041455E-2</v>
      </c>
      <c r="CX726" s="177">
        <f t="shared" si="2093"/>
        <v>2.6174670454291879E-2</v>
      </c>
      <c r="CY726" s="177">
        <f t="shared" si="2096"/>
        <v>2.2554010163506007E-2</v>
      </c>
      <c r="CZ726" s="177">
        <f t="shared" si="2097"/>
        <v>4.301363574220729E-3</v>
      </c>
      <c r="DA726" s="187">
        <f t="shared" si="2088"/>
        <v>0.84971312500000007</v>
      </c>
      <c r="DB726" s="188">
        <f t="shared" si="2089"/>
        <v>1.3989193348138562</v>
      </c>
      <c r="DC726" s="188">
        <f t="shared" si="2090"/>
        <v>0.29302682427824522</v>
      </c>
      <c r="DD726" s="188">
        <f t="shared" si="2091"/>
        <v>0.76309497491941802</v>
      </c>
      <c r="DE726" s="188">
        <f t="shared" si="2092"/>
        <v>0.31280857135128509</v>
      </c>
      <c r="DF726" s="189">
        <f>INDEX('State Tax Lookup'!$D$7:$Z$91,MATCH(Calculation!$C726,'State Tax Lookup'!$B$7:$B$91,0),MATCH($H726,'State Tax Lookup'!$D$6:$Z$6,0))</f>
        <v>0.40076499999999998</v>
      </c>
      <c r="DG726" s="189">
        <v>0.375</v>
      </c>
      <c r="DH726" s="190">
        <f t="shared" si="2094"/>
        <v>21.468088165428149</v>
      </c>
      <c r="DI726" s="190">
        <v>21.061858321475977</v>
      </c>
      <c r="DJ726" s="177"/>
      <c r="DK726" s="189">
        <f>VLOOKUP($H726,RoR!$E:$F,2,FALSE)</f>
        <v>3.6658333333333334E-2</v>
      </c>
      <c r="DL726" s="191">
        <f>HLOOKUP($H726,'GDP-PI'!$D$8:$CQ$11,3,FALSE)</f>
        <v>1.0483662879041455E-2</v>
      </c>
      <c r="DM726" s="189">
        <f>VLOOKUP(H726,'HW Dx Data'!$E:$F,2,FALSE)</f>
        <v>671.45639385971219</v>
      </c>
      <c r="DN726" s="183">
        <f>VLOOKUP(H726,'ECI - Input Price'!$G$17:$H$37,2,FALSE)</f>
        <v>126.4</v>
      </c>
      <c r="DO726" s="177">
        <f t="shared" ref="DO726" si="2143">LN(DN726/DN725)</f>
        <v>2.11880802639575E-2</v>
      </c>
      <c r="DP726" s="183">
        <f>HLOOKUP(H726,'GDP-PI'!$8:$9,2,FALSE)</f>
        <v>105.736</v>
      </c>
      <c r="DQ726" s="177">
        <f t="shared" ref="DQ726" si="2144">LN(DP726/DP725)</f>
        <v>1.0429090367205095E-2</v>
      </c>
    </row>
    <row r="727" spans="1:121" s="167" customFormat="1" ht="21" x14ac:dyDescent="0.35">
      <c r="A727" s="167" t="s">
        <v>75</v>
      </c>
      <c r="B727" s="168" t="s">
        <v>75</v>
      </c>
      <c r="C727" s="168">
        <v>4057131</v>
      </c>
      <c r="D727" s="168" t="s">
        <v>142</v>
      </c>
      <c r="E727" s="168"/>
      <c r="F727" s="168"/>
      <c r="G727" s="168" t="s">
        <v>23</v>
      </c>
      <c r="H727" s="169">
        <v>2017</v>
      </c>
      <c r="I727" s="170"/>
      <c r="J727" s="166">
        <f>IFERROR(INDEX('Labor Expenditures'!$F$7:$X$91,MATCH($C727,'Labor Expenditures'!$D$7:$D$91,0),MATCH($G727,'Labor Expenditures'!$F$5:$X$5,0)),"NA")</f>
        <v>89915.426275135251</v>
      </c>
      <c r="K727" s="166">
        <f t="shared" si="2100"/>
        <v>694.32761602421044</v>
      </c>
      <c r="L727" s="172">
        <f t="shared" si="2107"/>
        <v>-2.9641216793350675E-2</v>
      </c>
      <c r="M727" s="172">
        <f t="shared" si="2111"/>
        <v>-1.0478232436343462E-3</v>
      </c>
      <c r="N727" s="196"/>
      <c r="O727" s="172"/>
      <c r="P727" s="166">
        <f>IFERROR(INDEX('Non-Labor Expenditures'!$F$7:$AB$91,MATCH($C727,'Non-Labor Expenditures'!$D$7:$D$91,0),MATCH($G727,'Non-Labor Expenditures'!$F$5:$AB$5,0)),"NA")</f>
        <v>130214.33113148401</v>
      </c>
      <c r="Q727" s="166">
        <f t="shared" si="2101"/>
        <v>1208.474456213715</v>
      </c>
      <c r="R727" s="172">
        <f t="shared" si="2112"/>
        <v>-2.4289405594260256E-2</v>
      </c>
      <c r="S727" s="172">
        <f t="shared" si="2117"/>
        <v>-8.5863559290310114E-4</v>
      </c>
      <c r="T727" s="172"/>
      <c r="U727" s="172"/>
      <c r="V727" s="166">
        <f t="shared" si="2082"/>
        <v>198677.31535564255</v>
      </c>
      <c r="W727" s="170"/>
      <c r="X727" s="174">
        <v>10606.417116735422</v>
      </c>
      <c r="Y727" s="175">
        <v>3.3638883631563733E-2</v>
      </c>
      <c r="Z727" s="175">
        <f t="shared" si="2118"/>
        <v>1.1891416065945852E-3</v>
      </c>
      <c r="AA727" s="175"/>
      <c r="AB727" s="175"/>
      <c r="AC727" s="170">
        <f t="shared" si="2068"/>
        <v>418807.07276226184</v>
      </c>
      <c r="AD727" s="175">
        <f t="shared" si="2113"/>
        <v>-3.677737519944637E-2</v>
      </c>
      <c r="AE727" s="170"/>
      <c r="AF727" s="170"/>
      <c r="AG727" s="121">
        <f t="shared" si="2114"/>
        <v>188.85915428885758</v>
      </c>
      <c r="AH727" s="119">
        <f>+AZ727/$BB$55</f>
        <v>5.9070028305024752E-2</v>
      </c>
      <c r="AI727" s="119"/>
      <c r="AJ727" s="176">
        <f t="shared" si="2119"/>
        <v>11.155915589505854</v>
      </c>
      <c r="AK727" s="176">
        <f t="shared" si="2120"/>
        <v>0</v>
      </c>
      <c r="AL727" s="120">
        <f t="shared" si="2102"/>
        <v>0.21469414468598585</v>
      </c>
      <c r="AM727" s="120">
        <f t="shared" si="2103"/>
        <v>0.31091722084025286</v>
      </c>
      <c r="AN727" s="120">
        <f t="shared" si="2104"/>
        <v>0.47438863447376123</v>
      </c>
      <c r="AO727" s="120">
        <f t="shared" si="2108"/>
        <v>2.5299484601152972E-3</v>
      </c>
      <c r="AP727" s="173">
        <f t="shared" si="2124"/>
        <v>116.85388985711403</v>
      </c>
      <c r="AQ727" s="175">
        <f t="shared" si="2125"/>
        <v>2.5299484601152369E-3</v>
      </c>
      <c r="AR727" s="177">
        <f>+AC727/$AE$55</f>
        <v>3.5350210179947848E-2</v>
      </c>
      <c r="AS727" s="177">
        <f t="shared" si="2121"/>
        <v>8.9434209809509025E-5</v>
      </c>
      <c r="AT727" s="177"/>
      <c r="AU727" s="177"/>
      <c r="AV727" s="177"/>
      <c r="AW727" s="190"/>
      <c r="AX727" s="120"/>
      <c r="AY727" s="120"/>
      <c r="AZ727" s="118">
        <f>IFERROR(INDEX('Total Customers'!$F$7:$AB$91,MATCH($C727,'Total Customers'!$D$7:$D$91,0),MATCH($G727,'Total Customers'!$F$5:$AB$5,0)),"NA")</f>
        <v>2217563</v>
      </c>
      <c r="BA727" s="119">
        <f t="shared" si="2083"/>
        <v>4.4209064569668173E-3</v>
      </c>
      <c r="BB727" s="119"/>
      <c r="BC727" s="121"/>
      <c r="BD727" s="119"/>
      <c r="BE727" s="119"/>
      <c r="BF727" s="119"/>
      <c r="BG727" s="173"/>
      <c r="BH727" s="173"/>
      <c r="BI727" s="173"/>
      <c r="BJ727" s="173"/>
      <c r="BK727" s="173"/>
      <c r="BL727" s="173"/>
      <c r="BM727" s="173"/>
      <c r="BN727" s="173"/>
      <c r="BO727" s="173"/>
      <c r="BP727" s="173"/>
      <c r="BQ727" s="118"/>
      <c r="BR727" s="118"/>
      <c r="BS727" s="118">
        <f>INDEX('Dist. Plant Gas Additions'!$F$7:$AE$91,MATCH($C727,'Dist. Plant Gas Additions'!$D$7:$D$91,0),MATCH(Calculation!$G727,'Dist. Plant Gas Additions'!$F$5:$AE$5,0))</f>
        <v>267330</v>
      </c>
      <c r="BT727" s="118">
        <f>INDEX('Gen. Plant Additions'!$F$7:$AE$91,MATCH($C727,'Gen. Plant Additions'!$D$7:$D$91,0),MATCH(Calculation!$G727,'Gen. Plant Additions'!$F$5:$AE$5,0))</f>
        <v>47239</v>
      </c>
      <c r="BU727" s="118"/>
      <c r="BV727" s="118"/>
      <c r="BW727" s="118">
        <f>INDEX('Dist Plant Depreciation'!$E$7:$AD$94,MATCH($C727,'Dist Plant Depreciation'!$D$7:$D$94,0),MATCH(Calculation!$G727,'Dist Plant Depreciation'!$E$5:$AD$5,0))</f>
        <v>2573746</v>
      </c>
      <c r="BX727" s="118">
        <f>INDEX('Gen. Plant Depreciation'!$E$7:$AD$94,MATCH($C727,'Gen. Plant Depreciation'!$D$7:$D$94,0),MATCH(Calculation!$G727,'Gen. Plant Depreciation'!$E$5:$AD$5,0))</f>
        <v>145649</v>
      </c>
      <c r="BY727" s="118"/>
      <c r="BZ727" s="118"/>
      <c r="CA727" s="118"/>
      <c r="CB727" s="118"/>
      <c r="CC727" s="118"/>
      <c r="CD727" s="118"/>
      <c r="CE727" s="118">
        <f>INDEX('Gross Dx Plant'!$E$7:$AD$91,MATCH($C727,'Gross Dx Plant'!$D$7:$D$91,0),MATCH(Calculation!$G727,'Gross Dx Plant'!$E$5:$AD$5,0))</f>
        <v>4371057</v>
      </c>
      <c r="CF727" s="118">
        <f>INDEX('Gross Gen Plant'!$E$7:$AD$91,MATCH($C727,'Gross Gen Plant'!$D$7:$D$91,0),MATCH(Calculation!$G727,'Gross Gen Plant'!$E$5:$AD$5,0))</f>
        <v>363920</v>
      </c>
      <c r="CG727" s="118">
        <f t="shared" si="2136"/>
        <v>2015582</v>
      </c>
      <c r="CH727" s="118"/>
      <c r="CI727" s="121">
        <v>2017</v>
      </c>
      <c r="CJ727" s="118"/>
      <c r="CK727" s="118"/>
      <c r="CL727" s="118"/>
      <c r="CM727" s="183"/>
      <c r="CN727" s="118">
        <f t="shared" si="2084"/>
        <v>314569</v>
      </c>
      <c r="CO727" s="118">
        <f t="shared" si="2085"/>
        <v>441.54460839466969</v>
      </c>
      <c r="CP727" s="186">
        <v>0.87074829931972786</v>
      </c>
      <c r="CQ727" s="118">
        <f>+CQ708*CP727+CO709*CP726+CO710*CP725+CO711*CP724+CO712*CP723+CO713*CP722+CO714*CP721+CO715*CP720+CO716*CP719+CO717*CP718+CO718*CP717+CO719*CP716+CO720*CP715+CO721*CP714+CO722*CP713+CO723*CP712+CO724*CP711+CO725*CP710+CO726*CP709+CO727</f>
        <v>10606.417116735422</v>
      </c>
      <c r="CR727" s="119">
        <f t="shared" si="2086"/>
        <v>3.3638883631563733E-2</v>
      </c>
      <c r="CS727" s="119"/>
      <c r="CT727" s="177">
        <f t="shared" si="2087"/>
        <v>8.8430857688302725E-3</v>
      </c>
      <c r="CU727" s="177">
        <f t="shared" si="2095"/>
        <v>8.6020355102745371E-3</v>
      </c>
      <c r="CV727" s="119">
        <f>VLOOKUP($H727,RoR!$E:$F,2,FALSE)</f>
        <v>3.7433333333333339E-2</v>
      </c>
      <c r="CW727" s="177">
        <v>1.9056896421275615E-2</v>
      </c>
      <c r="CX727" s="177">
        <f t="shared" si="2093"/>
        <v>1.8376436912057724E-2</v>
      </c>
      <c r="CY727" s="177">
        <f t="shared" si="2096"/>
        <v>2.229990609825909E-2</v>
      </c>
      <c r="CZ727" s="177">
        <f t="shared" si="2097"/>
        <v>1.3976271617800498E-2</v>
      </c>
      <c r="DA727" s="187">
        <f t="shared" si="2088"/>
        <v>0.90221312500000006</v>
      </c>
      <c r="DB727" s="188">
        <f t="shared" si="2089"/>
        <v>1.3699568463593395</v>
      </c>
      <c r="DC727" s="188">
        <f t="shared" si="2090"/>
        <v>0.30714603739982199</v>
      </c>
      <c r="DD727" s="188">
        <f t="shared" si="2091"/>
        <v>0.77007188472689425</v>
      </c>
      <c r="DE727" s="188">
        <f t="shared" si="2092"/>
        <v>0.32402839633793828</v>
      </c>
      <c r="DF727" s="189">
        <f>INDEX('State Tax Lookup'!$D$7:$Z$91,MATCH(Calculation!$C727,'State Tax Lookup'!$B$7:$B$91,0),MATCH($H727,'State Tax Lookup'!$D$6:$Z$6,0))</f>
        <v>0.26076499999999997</v>
      </c>
      <c r="DG727" s="189">
        <v>0.375</v>
      </c>
      <c r="DH727" s="190">
        <f t="shared" si="2094"/>
        <v>19.372637940520089</v>
      </c>
      <c r="DI727" s="190">
        <v>19.042276303429652</v>
      </c>
      <c r="DJ727" s="177"/>
      <c r="DK727" s="189">
        <f>VLOOKUP($H727,RoR!$E:$F,2,FALSE)</f>
        <v>3.7433333333333339E-2</v>
      </c>
      <c r="DL727" s="191">
        <f>HLOOKUP($H727,'GDP-PI'!$D$8:$CQ$11,3,FALSE)</f>
        <v>1.9056896421275615E-2</v>
      </c>
      <c r="DM727" s="189">
        <f>VLOOKUP(H727,'HW Dx Data'!$E:$F,2,FALSE)</f>
        <v>712.42858370229726</v>
      </c>
      <c r="DN727" s="183">
        <f>VLOOKUP(H727,'ECI - Input Price'!$G$17:$H$37,2,FALSE)</f>
        <v>129.5</v>
      </c>
      <c r="DO727" s="177">
        <f t="shared" ref="DO727" si="2145">LN(DN727/DN726)</f>
        <v>2.4229399426835413E-2</v>
      </c>
      <c r="DP727" s="183">
        <f>HLOOKUP(H727,'GDP-PI'!$8:$9,2,FALSE)</f>
        <v>107.751</v>
      </c>
      <c r="DQ727" s="177">
        <f t="shared" ref="DQ727" si="2146">LN(DP727/DP726)</f>
        <v>1.8877588227745139E-2</v>
      </c>
    </row>
    <row r="728" spans="1:121" s="167" customFormat="1" ht="21" x14ac:dyDescent="0.35">
      <c r="A728" s="167" t="s">
        <v>75</v>
      </c>
      <c r="B728" s="168" t="s">
        <v>75</v>
      </c>
      <c r="C728" s="168">
        <v>4057131</v>
      </c>
      <c r="D728" s="168" t="s">
        <v>142</v>
      </c>
      <c r="E728" s="168"/>
      <c r="F728" s="168"/>
      <c r="G728" s="168" t="s">
        <v>24</v>
      </c>
      <c r="H728" s="169">
        <v>2018</v>
      </c>
      <c r="I728" s="170"/>
      <c r="J728" s="166">
        <f>IFERROR(INDEX('Labor Expenditures'!$F$7:$X$91,MATCH($C728,'Labor Expenditures'!$D$7:$D$91,0),MATCH($G728,'Labor Expenditures'!$F$5:$X$5,0)),"NA")</f>
        <v>89526.937494975733</v>
      </c>
      <c r="K728" s="166">
        <f t="shared" si="2100"/>
        <v>671.87195118180659</v>
      </c>
      <c r="L728" s="172">
        <f t="shared" si="2107"/>
        <v>-3.2876144786528824E-2</v>
      </c>
      <c r="M728" s="172">
        <f t="shared" si="2111"/>
        <v>-1.1083802409913785E-3</v>
      </c>
      <c r="N728" s="196"/>
      <c r="O728" s="172"/>
      <c r="P728" s="166">
        <f>IFERROR(INDEX('Non-Labor Expenditures'!$F$7:$AB$91,MATCH($C728,'Non-Labor Expenditures'!$D$7:$D$91,0),MATCH($G728,'Non-Labor Expenditures'!$F$5:$AB$5,0)),"NA")</f>
        <v>129651.72681811774</v>
      </c>
      <c r="Q728" s="166">
        <f t="shared" si="2101"/>
        <v>1175.2118962502286</v>
      </c>
      <c r="R728" s="172">
        <f t="shared" si="2112"/>
        <v>-2.7910315596676057E-2</v>
      </c>
      <c r="S728" s="172">
        <f t="shared" si="2117"/>
        <v>-9.4096319772460433E-4</v>
      </c>
      <c r="T728" s="172"/>
      <c r="U728" s="172"/>
      <c r="V728" s="166">
        <f t="shared" si="2082"/>
        <v>215125.47357750699</v>
      </c>
      <c r="W728" s="170"/>
      <c r="X728" s="174">
        <v>11078.117327908009</v>
      </c>
      <c r="Y728" s="175">
        <v>4.3512544312274526E-2</v>
      </c>
      <c r="Z728" s="175">
        <f t="shared" si="2118"/>
        <v>1.4669738396683525E-3</v>
      </c>
      <c r="AA728" s="175"/>
      <c r="AB728" s="175"/>
      <c r="AC728" s="170">
        <f t="shared" si="2068"/>
        <v>434304.13789060048</v>
      </c>
      <c r="AD728" s="175">
        <f t="shared" si="2113"/>
        <v>3.6334700203725367E-2</v>
      </c>
      <c r="AE728" s="170"/>
      <c r="AF728" s="170"/>
      <c r="AG728" s="121">
        <f t="shared" si="2114"/>
        <v>195.02860866425334</v>
      </c>
      <c r="AH728" s="119">
        <f>+AZ728/$BB$56</f>
        <v>5.8802796055558819E-2</v>
      </c>
      <c r="AI728" s="119"/>
      <c r="AJ728" s="176">
        <f t="shared" si="2119"/>
        <v>11.468227500283481</v>
      </c>
      <c r="AK728" s="176">
        <f t="shared" si="2120"/>
        <v>0</v>
      </c>
      <c r="AL728" s="120">
        <f t="shared" si="2102"/>
        <v>0.20613880846221</v>
      </c>
      <c r="AM728" s="120">
        <f t="shared" si="2103"/>
        <v>0.2985274960718346</v>
      </c>
      <c r="AN728" s="120">
        <f t="shared" si="2104"/>
        <v>0.49533369546595535</v>
      </c>
      <c r="AO728" s="120">
        <f t="shared" si="2108"/>
        <v>5.6749631828590871E-3</v>
      </c>
      <c r="AP728" s="173">
        <f t="shared" si="2124"/>
        <v>117.51891659618092</v>
      </c>
      <c r="AQ728" s="175">
        <f t="shared" si="2125"/>
        <v>5.6749631828591799E-3</v>
      </c>
      <c r="AR728" s="177">
        <f>+AC728/$AE$56</f>
        <v>3.3713814323069392E-2</v>
      </c>
      <c r="AS728" s="177">
        <f t="shared" si="2121"/>
        <v>1.9132465503716929E-4</v>
      </c>
      <c r="AT728" s="177"/>
      <c r="AU728" s="177"/>
      <c r="AV728" s="177"/>
      <c r="AW728" s="190"/>
      <c r="AX728" s="120"/>
      <c r="AY728" s="120"/>
      <c r="AZ728" s="118">
        <f>IFERROR(INDEX('Total Customers'!$F$7:$AB$91,MATCH($C728,'Total Customers'!$D$7:$D$91,0),MATCH($G728,'Total Customers'!$F$5:$AB$5,0)),"NA")</f>
        <v>2226874</v>
      </c>
      <c r="BA728" s="119">
        <f t="shared" si="2083"/>
        <v>4.1899631480104126E-3</v>
      </c>
      <c r="BB728" s="119"/>
      <c r="BC728" s="121"/>
      <c r="BD728" s="119"/>
      <c r="BE728" s="119"/>
      <c r="BF728" s="119"/>
      <c r="BG728" s="173"/>
      <c r="BH728" s="173"/>
      <c r="BI728" s="173"/>
      <c r="BJ728" s="173"/>
      <c r="BK728" s="173"/>
      <c r="BL728" s="173"/>
      <c r="BM728" s="173"/>
      <c r="BN728" s="173"/>
      <c r="BO728" s="173"/>
      <c r="BP728" s="173"/>
      <c r="BQ728" s="118"/>
      <c r="BR728" s="118"/>
      <c r="BS728" s="118">
        <f>INDEX('Dist. Plant Gas Additions'!$F$7:$AE$91,MATCH($C728,'Dist. Plant Gas Additions'!$D$7:$D$91,0),MATCH(Calculation!$G728,'Dist. Plant Gas Additions'!$F$5:$AE$5,0))</f>
        <v>371808</v>
      </c>
      <c r="BT728" s="118">
        <f>INDEX('Gen. Plant Additions'!$F$7:$AE$91,MATCH($C728,'Gen. Plant Additions'!$D$7:$D$91,0),MATCH(Calculation!$G728,'Gen. Plant Additions'!$F$5:$AE$5,0))</f>
        <v>57230</v>
      </c>
      <c r="BU728" s="118"/>
      <c r="BV728" s="118"/>
      <c r="BW728" s="118">
        <f>INDEX('Dist Plant Depreciation'!$E$7:$AD$94,MATCH($C728,'Dist Plant Depreciation'!$D$7:$D$94,0),MATCH(Calculation!$G728,'Dist Plant Depreciation'!$E$5:$AD$5,0))</f>
        <v>2639154</v>
      </c>
      <c r="BX728" s="118">
        <f>INDEX('Gen. Plant Depreciation'!$E$7:$AD$94,MATCH($C728,'Gen. Plant Depreciation'!$D$7:$D$94,0),MATCH(Calculation!$G728,'Gen. Plant Depreciation'!$E$5:$AD$5,0))</f>
        <v>151760</v>
      </c>
      <c r="BY728" s="118"/>
      <c r="BZ728" s="118"/>
      <c r="CA728" s="118"/>
      <c r="CB728" s="118"/>
      <c r="CC728" s="118"/>
      <c r="CD728" s="118"/>
      <c r="CE728" s="118">
        <f>INDEX('Gross Dx Plant'!$E$7:$AD$91,MATCH($C728,'Gross Dx Plant'!$D$7:$D$91,0),MATCH(Calculation!$G728,'Gross Dx Plant'!$E$5:$AD$5,0))</f>
        <v>4718665</v>
      </c>
      <c r="CF728" s="118">
        <f>INDEX('Gross Gen Plant'!$E$7:$AD$91,MATCH($C728,'Gross Gen Plant'!$D$7:$D$91,0),MATCH(Calculation!$G728,'Gross Gen Plant'!$E$5:$AD$5,0))</f>
        <v>398430</v>
      </c>
      <c r="CG728" s="118">
        <f t="shared" si="2136"/>
        <v>2326181</v>
      </c>
      <c r="CH728" s="118"/>
      <c r="CI728" s="121">
        <v>2018</v>
      </c>
      <c r="CJ728" s="118"/>
      <c r="CK728" s="118"/>
      <c r="CL728" s="118"/>
      <c r="CM728" s="183"/>
      <c r="CN728" s="118">
        <f t="shared" si="2084"/>
        <v>429038</v>
      </c>
      <c r="CO728" s="118">
        <f t="shared" si="2085"/>
        <v>568.15937015324675</v>
      </c>
      <c r="CP728" s="186">
        <v>0.86111111111111116</v>
      </c>
      <c r="CQ728" s="118">
        <f>+CQ708*CP728++CO709*CP727+CO710*CP726+CO711*CP725+CO712*CP724+CO713*CP723+CO714*CP722+CO715*CP721+CO716*CP720+CO717*CP719+CO718*CP718+CO719*CP717+CO720*CP716+CO721*CP715+CO722*CP714+CO723*CP713+CO724*CP712+CO725*CP711+CO726*CP710+CO727*CP709+CO728</f>
        <v>11078.117327908009</v>
      </c>
      <c r="CR728" s="119">
        <f t="shared" si="2086"/>
        <v>4.3512544312274526E-2</v>
      </c>
      <c r="CS728" s="119"/>
      <c r="CT728" s="177">
        <f t="shared" si="2087"/>
        <v>9.0944150054650362E-3</v>
      </c>
      <c r="CU728" s="177">
        <f t="shared" si="2095"/>
        <v>8.8437498183570138E-3</v>
      </c>
      <c r="CV728" s="119">
        <f>VLOOKUP($H728,RoR!$E:$F,2,FALSE)</f>
        <v>3.9299999999999995E-2</v>
      </c>
      <c r="CW728" s="177">
        <v>2.386056741932796E-2</v>
      </c>
      <c r="CX728" s="177">
        <f t="shared" si="2093"/>
        <v>1.5439432580672034E-2</v>
      </c>
      <c r="CY728" s="177">
        <f t="shared" si="2096"/>
        <v>2.2058191790176609E-2</v>
      </c>
      <c r="CZ728" s="177">
        <f t="shared" si="2097"/>
        <v>3.8270792163076606E-2</v>
      </c>
      <c r="DA728" s="187">
        <f t="shared" si="2088"/>
        <v>0.90221312500000006</v>
      </c>
      <c r="DB728" s="188">
        <f t="shared" si="2089"/>
        <v>1.3048868010700074</v>
      </c>
      <c r="DC728" s="188">
        <f t="shared" si="2090"/>
        <v>0.33886768447837151</v>
      </c>
      <c r="DD728" s="188">
        <f t="shared" si="2091"/>
        <v>0.78602506232557801</v>
      </c>
      <c r="DE728" s="188">
        <f t="shared" si="2092"/>
        <v>0.34756768162358759</v>
      </c>
      <c r="DF728" s="189">
        <f>INDEX('State Tax Lookup'!$D$7:$Z$91,MATCH(Calculation!$C728,'State Tax Lookup'!$B$7:$B$91,0),MATCH($H728,'State Tax Lookup'!$D$6:$Z$6,0))</f>
        <v>0.26076499999999997</v>
      </c>
      <c r="DG728" s="189">
        <v>0.375</v>
      </c>
      <c r="DH728" s="190">
        <f t="shared" si="2094"/>
        <v>20.282577161525122</v>
      </c>
      <c r="DI728" s="190">
        <v>19.940464283696233</v>
      </c>
      <c r="DJ728" s="177"/>
      <c r="DK728" s="189">
        <f>VLOOKUP($H728,RoR!$E:$F,2,FALSE)</f>
        <v>3.9299999999999995E-2</v>
      </c>
      <c r="DL728" s="191">
        <f>HLOOKUP($H728,'GDP-PI'!$D$8:$CQ$11,3,FALSE)</f>
        <v>2.386056741932796E-2</v>
      </c>
      <c r="DM728" s="189">
        <f>VLOOKUP(H728,'HW Dx Data'!$E:$F,2,FALSE)</f>
        <v>755.13671434174842</v>
      </c>
      <c r="DN728" s="183">
        <f>VLOOKUP(H728,'ECI - Input Price'!$G$17:$H$37,2,FALSE)</f>
        <v>133.25</v>
      </c>
      <c r="DO728" s="177">
        <f t="shared" ref="DO728" si="2147">LN(DN728/DN727)</f>
        <v>2.8546181906361531E-2</v>
      </c>
      <c r="DP728" s="183">
        <f>HLOOKUP(H728,'GDP-PI'!$8:$9,2,FALSE)</f>
        <v>110.322</v>
      </c>
      <c r="DQ728" s="177">
        <f t="shared" ref="DQ728" si="2148">LN(DP728/DP727)</f>
        <v>2.3580352716508712E-2</v>
      </c>
    </row>
    <row r="729" spans="1:121" s="167" customFormat="1" ht="21" x14ac:dyDescent="0.35">
      <c r="A729" s="167" t="s">
        <v>75</v>
      </c>
      <c r="B729" s="168" t="s">
        <v>75</v>
      </c>
      <c r="C729" s="168">
        <v>4057131</v>
      </c>
      <c r="D729" s="168" t="s">
        <v>142</v>
      </c>
      <c r="E729" s="168"/>
      <c r="F729" s="168"/>
      <c r="G729" s="168" t="s">
        <v>25</v>
      </c>
      <c r="H729" s="169">
        <v>2019</v>
      </c>
      <c r="I729" s="170"/>
      <c r="J729" s="166">
        <f>IFERROR(INDEX('Labor Expenditures'!$F$7:$X$91,MATCH($C729,'Labor Expenditures'!$D$7:$D$91,0),MATCH($G729,'Labor Expenditures'!$F$5:$X$5,0)),"NA")</f>
        <v>108080.99902040682</v>
      </c>
      <c r="K729" s="166">
        <f t="shared" si="2100"/>
        <v>789.77712108444882</v>
      </c>
      <c r="L729" s="172">
        <f t="shared" si="2107"/>
        <v>0.16168300691688886</v>
      </c>
      <c r="M729" s="172">
        <f t="shared" si="2111"/>
        <v>5.9895011043787239E-3</v>
      </c>
      <c r="N729" s="196"/>
      <c r="O729" s="172"/>
      <c r="P729" s="166">
        <f>IFERROR(INDEX('Non-Labor Expenditures'!$F$7:$AB$91,MATCH($C729,'Non-Labor Expenditures'!$D$7:$D$91,0),MATCH($G729,'Non-Labor Expenditures'!$F$5:$AB$5,0)),"NA")</f>
        <v>156521.47332761652</v>
      </c>
      <c r="Q729" s="166">
        <f t="shared" si="2101"/>
        <v>1393.5564497909197</v>
      </c>
      <c r="R729" s="172">
        <f t="shared" si="2112"/>
        <v>0.17041060790622123</v>
      </c>
      <c r="S729" s="172">
        <f t="shared" si="2117"/>
        <v>6.3128126060695228E-3</v>
      </c>
      <c r="T729" s="172"/>
      <c r="U729" s="172"/>
      <c r="V729" s="166">
        <f t="shared" si="2082"/>
        <v>227545.36614470198</v>
      </c>
      <c r="W729" s="170"/>
      <c r="X729" s="174">
        <v>11662.857342899339</v>
      </c>
      <c r="Y729" s="175">
        <v>5.1437455410459458E-2</v>
      </c>
      <c r="Z729" s="175">
        <f t="shared" si="2118"/>
        <v>1.9054859373424779E-3</v>
      </c>
      <c r="AA729" s="175"/>
      <c r="AB729" s="175"/>
      <c r="AC729" s="170">
        <f t="shared" si="2068"/>
        <v>492147.83849272528</v>
      </c>
      <c r="AD729" s="175">
        <f t="shared" si="2113"/>
        <v>0.12503408887757875</v>
      </c>
      <c r="AE729" s="170"/>
      <c r="AF729" s="170"/>
      <c r="AG729" s="121">
        <f t="shared" si="2114"/>
        <v>220.07443547639863</v>
      </c>
      <c r="AH729" s="119">
        <f>+AZ729/$BB$57</f>
        <v>5.8568031061697549E-2</v>
      </c>
      <c r="AI729" s="119"/>
      <c r="AJ729" s="176">
        <f t="shared" si="2119"/>
        <v>12.889326372867268</v>
      </c>
      <c r="AK729" s="176">
        <f t="shared" si="2120"/>
        <v>0</v>
      </c>
      <c r="AL729" s="120">
        <f t="shared" si="2102"/>
        <v>0.21961083757153274</v>
      </c>
      <c r="AM729" s="120">
        <f t="shared" si="2103"/>
        <v>0.31803751045008433</v>
      </c>
      <c r="AN729" s="120">
        <f t="shared" si="2104"/>
        <v>0.46235165197838307</v>
      </c>
      <c r="AO729" s="120">
        <f t="shared" si="2108"/>
        <v>0.11158329894802931</v>
      </c>
      <c r="AP729" s="173">
        <f t="shared" si="2124"/>
        <v>131.39165713116108</v>
      </c>
      <c r="AQ729" s="175">
        <f t="shared" si="2125"/>
        <v>0.11158329894802937</v>
      </c>
      <c r="AR729" s="177">
        <f>+AC729/$AE$57</f>
        <v>3.7044716192453996E-2</v>
      </c>
      <c r="AS729" s="177">
        <f t="shared" si="2121"/>
        <v>4.1335716413474985E-3</v>
      </c>
      <c r="AT729" s="177"/>
      <c r="AU729" s="177"/>
      <c r="AV729" s="177"/>
      <c r="AW729" s="190"/>
      <c r="AX729" s="120"/>
      <c r="AY729" s="120"/>
      <c r="AZ729" s="118">
        <f>IFERROR(INDEX('Total Customers'!$F$7:$AB$91,MATCH($C729,'Total Customers'!$D$7:$D$91,0),MATCH($G729,'Total Customers'!$F$5:$AB$5,0)),"NA")</f>
        <v>2236279</v>
      </c>
      <c r="BA729" s="119">
        <f t="shared" si="2083"/>
        <v>4.2145155772495948E-3</v>
      </c>
      <c r="BB729" s="119"/>
      <c r="BC729" s="121"/>
      <c r="BD729" s="119"/>
      <c r="BE729" s="119"/>
      <c r="BF729" s="119"/>
      <c r="BG729" s="173"/>
      <c r="BH729" s="173"/>
      <c r="BI729" s="173"/>
      <c r="BJ729" s="173"/>
      <c r="BK729" s="173"/>
      <c r="BL729" s="173"/>
      <c r="BM729" s="173"/>
      <c r="BN729" s="173"/>
      <c r="BO729" s="173"/>
      <c r="BP729" s="173"/>
      <c r="BQ729" s="118"/>
      <c r="BR729" s="118"/>
      <c r="BS729" s="118">
        <f>INDEX('Dist. Plant Gas Additions'!$F$7:$AE$91,MATCH($C729,'Dist. Plant Gas Additions'!$D$7:$D$91,0),MATCH(Calculation!$G729,'Dist. Plant Gas Additions'!$F$5:$AE$5,0))</f>
        <v>473456</v>
      </c>
      <c r="BT729" s="118">
        <f>INDEX('Gen. Plant Additions'!$F$7:$AE$91,MATCH($C729,'Gen. Plant Additions'!$D$7:$D$91,0),MATCH(Calculation!$G729,'Gen. Plant Additions'!$F$5:$AE$5,0))</f>
        <v>58647</v>
      </c>
      <c r="BU729" s="118"/>
      <c r="BV729" s="118"/>
      <c r="BW729" s="118">
        <f>INDEX('Dist Plant Depreciation'!$E$7:$AD$94,MATCH($C729,'Dist Plant Depreciation'!$D$7:$D$94,0),MATCH(Calculation!$G729,'Dist Plant Depreciation'!$E$5:$AD$5,0))</f>
        <v>2710187</v>
      </c>
      <c r="BX729" s="118">
        <f>INDEX('Gen. Plant Depreciation'!$E$7:$AD$94,MATCH($C729,'Gen. Plant Depreciation'!$D$7:$D$94,0),MATCH(Calculation!$G729,'Gen. Plant Depreciation'!$E$5:$AD$5,0))</f>
        <v>163976</v>
      </c>
      <c r="BY729" s="118"/>
      <c r="BZ729" s="118"/>
      <c r="CA729" s="118"/>
      <c r="CB729" s="118"/>
      <c r="CC729" s="118"/>
      <c r="CD729" s="118"/>
      <c r="CE729" s="118">
        <f>INDEX('Gross Dx Plant'!$E$7:$AD$91,MATCH($C729,'Gross Dx Plant'!$D$7:$D$91,0),MATCH(Calculation!$G729,'Gross Dx Plant'!$E$5:$AD$5,0))</f>
        <v>5167315</v>
      </c>
      <c r="CF729" s="118">
        <f>INDEX('Gross Gen Plant'!$E$7:$AD$91,MATCH($C729,'Gross Gen Plant'!$D$7:$D$91,0),MATCH(Calculation!$G729,'Gross Gen Plant'!$E$5:$AD$5,0))</f>
        <v>440637</v>
      </c>
      <c r="CG729" s="118">
        <f t="shared" si="2136"/>
        <v>2733789</v>
      </c>
      <c r="CH729" s="118"/>
      <c r="CI729" s="121">
        <v>2019</v>
      </c>
      <c r="CJ729" s="118"/>
      <c r="CK729" s="118"/>
      <c r="CL729" s="118"/>
      <c r="CM729" s="183"/>
      <c r="CN729" s="118">
        <f t="shared" si="2084"/>
        <v>532103</v>
      </c>
      <c r="CO729" s="118">
        <f t="shared" si="2085"/>
        <v>687.88101834962549</v>
      </c>
      <c r="CP729" s="186">
        <v>0.85106382978723405</v>
      </c>
      <c r="CQ729" s="118">
        <f>CQ708*CP729+CO709*CP728+CO710*CP727+CO711*CP726+CO712*CP725+CO713*CP724+CO714*CP723+CO715*CP722+CO716*CP721+CO717*CP720+CO718*CP719+CO719*CP718+CO720*CP717+CO721*CP716+CO722*CP715+CO723*CP714+CO724*CP713+CO725*CP712+CO726*CP711+CO727*CP710+CO728*CP709+CO729</f>
        <v>11662.857342899339</v>
      </c>
      <c r="CR729" s="119">
        <f t="shared" si="2086"/>
        <v>5.1437455410459458E-2</v>
      </c>
      <c r="CS729" s="119"/>
      <c r="CT729" s="177">
        <f t="shared" si="2087"/>
        <v>9.3103367932800673E-3</v>
      </c>
      <c r="CU729" s="177">
        <f t="shared" si="2095"/>
        <v>9.0826125225251242E-3</v>
      </c>
      <c r="CV729" s="119">
        <f>VLOOKUP($H729,RoR!$E:$F,2,FALSE)</f>
        <v>3.3875000000000009E-2</v>
      </c>
      <c r="CW729" s="177">
        <v>1.8092492884465461E-2</v>
      </c>
      <c r="CX729" s="177">
        <f t="shared" si="2093"/>
        <v>1.5782507115534548E-2</v>
      </c>
      <c r="CY729" s="177">
        <f t="shared" si="2096"/>
        <v>2.1819329086008501E-2</v>
      </c>
      <c r="CZ729" s="177">
        <f t="shared" si="2097"/>
        <v>4.8445665544254078E-2</v>
      </c>
      <c r="DA729" s="187">
        <f t="shared" si="2088"/>
        <v>0.90221312500000006</v>
      </c>
      <c r="DB729" s="188">
        <f t="shared" si="2089"/>
        <v>1.513861292459078</v>
      </c>
      <c r="DC729" s="188">
        <f t="shared" si="2090"/>
        <v>0.23699261992619944</v>
      </c>
      <c r="DD729" s="188">
        <f t="shared" si="2091"/>
        <v>0.73619765810468829</v>
      </c>
      <c r="DE729" s="188">
        <f t="shared" si="2092"/>
        <v>0.26412854465362851</v>
      </c>
      <c r="DF729" s="189">
        <f>INDEX('State Tax Lookup'!$D$7:$Z$91,MATCH(Calculation!$C729,'State Tax Lookup'!$B$7:$B$91,0),MATCH($H729,'State Tax Lookup'!$D$6:$Z$6,0))</f>
        <v>0.26076499999999997</v>
      </c>
      <c r="DG729" s="189">
        <v>0.375</v>
      </c>
      <c r="DH729" s="190">
        <f t="shared" si="2094"/>
        <v>20.540075484800056</v>
      </c>
      <c r="DI729" s="190">
        <v>20.222126814475811</v>
      </c>
      <c r="DJ729" s="177"/>
      <c r="DK729" s="189">
        <f>VLOOKUP($H729,RoR!$E:$F,2,FALSE)</f>
        <v>3.3875000000000009E-2</v>
      </c>
      <c r="DL729" s="191">
        <f>HLOOKUP($H729,'GDP-PI'!$D$8:$CQ$11,3,FALSE)</f>
        <v>1.8092492884465461E-2</v>
      </c>
      <c r="DM729" s="189">
        <f>VLOOKUP(H729,'HW Dx Data'!$E:$F,2,FALSE)</f>
        <v>773.53929793938721</v>
      </c>
      <c r="DN729" s="183">
        <f>VLOOKUP(H729,'ECI - Input Price'!$G$17:$H$37,2,FALSE)</f>
        <v>136.85</v>
      </c>
      <c r="DO729" s="177">
        <f t="shared" ref="DO729" si="2149">LN(DN729/DN728)</f>
        <v>2.6658372440734168E-2</v>
      </c>
      <c r="DP729" s="183">
        <f>HLOOKUP(H729,'GDP-PI'!$8:$9,2,FALSE)</f>
        <v>112.318</v>
      </c>
      <c r="DQ729" s="177">
        <f t="shared" ref="DQ729" si="2150">LN(DP729/DP728)</f>
        <v>1.7930771451401852E-2</v>
      </c>
    </row>
    <row r="730" spans="1:121" s="167" customFormat="1" ht="21" x14ac:dyDescent="0.35">
      <c r="A730" s="167" t="s">
        <v>75</v>
      </c>
      <c r="B730" s="167" t="s">
        <v>75</v>
      </c>
      <c r="C730" s="167">
        <v>4057131</v>
      </c>
      <c r="D730" s="167" t="s">
        <v>142</v>
      </c>
      <c r="G730" s="168" t="s">
        <v>26</v>
      </c>
      <c r="H730" s="169">
        <v>2020</v>
      </c>
      <c r="I730" s="170"/>
      <c r="J730" s="166">
        <f>IFERROR(INDEX('Labor Expenditures'!$F$7:$X$91,MATCH($C730,'Labor Expenditures'!$D$7:$D$91,0),MATCH($G730,'Labor Expenditures'!$F$5:$X$5,0)),"NA")</f>
        <v>114243.80814133145</v>
      </c>
      <c r="K730" s="166">
        <f t="shared" si="2100"/>
        <v>813.41266031563873</v>
      </c>
      <c r="L730" s="172">
        <f t="shared" si="2107"/>
        <v>2.9487777591347582E-2</v>
      </c>
      <c r="M730" s="172">
        <f t="shared" si="2111"/>
        <v>1.1390165395293703E-3</v>
      </c>
      <c r="N730" s="196"/>
      <c r="O730" s="172"/>
      <c r="P730" s="166">
        <f>IFERROR(INDEX('Non-Labor Expenditures'!$F$7:$AB$91,MATCH($C730,'Non-Labor Expenditures'!$D$7:$D$91,0),MATCH($G730,'Non-Labor Expenditures'!$F$5:$AB$5,0)),"NA")</f>
        <v>165446.37198868339</v>
      </c>
      <c r="Q730" s="166">
        <f t="shared" si="2101"/>
        <v>1456.0993107793613</v>
      </c>
      <c r="R730" s="172">
        <f t="shared" si="2112"/>
        <v>4.3902078923519362E-2</v>
      </c>
      <c r="S730" s="172">
        <f t="shared" si="2117"/>
        <v>1.6957939220311076E-3</v>
      </c>
      <c r="T730" s="172"/>
      <c r="U730" s="172"/>
      <c r="V730" s="166">
        <f t="shared" si="2082"/>
        <v>249367.41762928109</v>
      </c>
      <c r="W730" s="170"/>
      <c r="X730" s="174">
        <v>12137.803905961067</v>
      </c>
      <c r="Y730" s="175">
        <v>3.9915665861752152E-2</v>
      </c>
      <c r="Z730" s="175">
        <f t="shared" si="2118"/>
        <v>1.5418118053157031E-3</v>
      </c>
      <c r="AA730" s="175"/>
      <c r="AB730" s="175"/>
      <c r="AC730" s="170">
        <f t="shared" si="2068"/>
        <v>529057.59775929595</v>
      </c>
      <c r="AD730" s="175">
        <f t="shared" si="2113"/>
        <v>7.231815028648711E-2</v>
      </c>
      <c r="AE730" s="170"/>
      <c r="AF730" s="170"/>
      <c r="AG730" s="121">
        <f t="shared" si="2114"/>
        <v>235.50640283293416</v>
      </c>
      <c r="AH730" s="119">
        <f>+AZ730/$BB$58</f>
        <v>5.842123472704399E-2</v>
      </c>
      <c r="AI730" s="119"/>
      <c r="AJ730" s="176">
        <f t="shared" si="2119"/>
        <v>13.758574839624623</v>
      </c>
      <c r="AK730" s="176">
        <f t="shared" si="2120"/>
        <v>0</v>
      </c>
      <c r="AL730" s="120">
        <f t="shared" si="2102"/>
        <v>0.2159383186730241</v>
      </c>
      <c r="AM730" s="120">
        <f t="shared" si="2103"/>
        <v>0.31271901715313066</v>
      </c>
      <c r="AN730" s="120">
        <f t="shared" si="2104"/>
        <v>0.47134266417384518</v>
      </c>
      <c r="AO730" s="120">
        <f t="shared" si="2108"/>
        <v>3.8901964923174735E-2</v>
      </c>
      <c r="AP730" s="173">
        <f t="shared" si="2124"/>
        <v>136.60377426489595</v>
      </c>
      <c r="AQ730" s="175">
        <f t="shared" si="2125"/>
        <v>3.8901964923174631E-2</v>
      </c>
      <c r="AR730" s="177">
        <f>+AC730/$AE$58</f>
        <v>3.8626733940898446E-2</v>
      </c>
      <c r="AS730" s="177">
        <f t="shared" si="2121"/>
        <v>1.5026558488656302E-3</v>
      </c>
      <c r="AT730" s="177"/>
      <c r="AU730" s="177"/>
      <c r="AV730" s="177"/>
      <c r="AW730" s="190"/>
      <c r="AX730" s="120"/>
      <c r="AY730" s="120"/>
      <c r="AZ730" s="118">
        <f>IFERROR(INDEX('Total Customers'!$F$7:$AB$91,MATCH($C730,'Total Customers'!$D$7:$D$91,0),MATCH($G730,'Total Customers'!$F$5:$AB$5,0)),"NA")</f>
        <v>2246468</v>
      </c>
      <c r="BA730" s="119">
        <f t="shared" si="2083"/>
        <v>4.5458811511473983E-3</v>
      </c>
      <c r="BB730" s="119"/>
      <c r="BC730" s="121"/>
      <c r="BD730" s="119"/>
      <c r="BE730" s="119"/>
      <c r="BF730" s="119"/>
      <c r="BG730" s="173"/>
      <c r="BH730" s="173"/>
      <c r="BI730" s="173"/>
      <c r="BJ730" s="173"/>
      <c r="BK730" s="173"/>
      <c r="BL730" s="173"/>
      <c r="BM730" s="173"/>
      <c r="BN730" s="173"/>
      <c r="BO730" s="173"/>
      <c r="BP730" s="173"/>
      <c r="BQ730" s="118"/>
      <c r="BR730" s="118"/>
      <c r="BS730" s="118">
        <f>INDEX('Dist. Plant Gas Additions'!$F$7:$AE$91,MATCH($C730,'Dist. Plant Gas Additions'!$D$7:$D$91,0),MATCH(Calculation!$G730,'Dist. Plant Gas Additions'!$F$5:$AE$5,0))</f>
        <v>411692</v>
      </c>
      <c r="BT730" s="118">
        <f>INDEX('Gen. Plant Additions'!$F$7:$AE$91,MATCH($C730,'Gen. Plant Additions'!$D$7:$D$91,0),MATCH(Calculation!$G730,'Gen. Plant Additions'!$F$5:$AE$5,0))</f>
        <v>64520</v>
      </c>
      <c r="BU730" s="118"/>
      <c r="BV730" s="118"/>
      <c r="BW730" s="118">
        <f>INDEX('Dist Plant Depreciation'!$E$7:$AD$94,MATCH($C730,'Dist Plant Depreciation'!$D$7:$D$94,0),MATCH(Calculation!$G730,'Dist Plant Depreciation'!$E$5:$AD$5,0))</f>
        <v>2789253</v>
      </c>
      <c r="BX730" s="118">
        <f>INDEX('Gen. Plant Depreciation'!$E$7:$AD$94,MATCH($C730,'Gen. Plant Depreciation'!$D$7:$D$94,0),MATCH(Calculation!$G730,'Gen. Plant Depreciation'!$E$5:$AD$5,0))</f>
        <v>174352</v>
      </c>
      <c r="BY730" s="118"/>
      <c r="BZ730" s="118"/>
      <c r="CA730" s="118"/>
      <c r="CB730" s="118"/>
      <c r="CC730" s="118"/>
      <c r="CD730" s="118"/>
      <c r="CE730" s="118">
        <f>INDEX('Gross Dx Plant'!$E$7:$AD$91,MATCH($C730,'Gross Dx Plant'!$D$7:$D$91,0),MATCH(Calculation!$G730,'Gross Dx Plant'!$E$5:$AD$5,0))</f>
        <v>5556566</v>
      </c>
      <c r="CF730" s="118">
        <f>INDEX('Gross Gen Plant'!$E$7:$AD$91,MATCH($C730,'Gross Gen Plant'!$D$7:$D$91,0),MATCH(Calculation!$G730,'Gross Gen Plant'!$E$5:$AD$5,0))</f>
        <v>483192</v>
      </c>
      <c r="CG730" s="118">
        <f t="shared" si="2136"/>
        <v>3076153</v>
      </c>
      <c r="CH730" s="118"/>
      <c r="CI730" s="121">
        <v>2020</v>
      </c>
      <c r="CJ730" s="118"/>
      <c r="CK730" s="118"/>
      <c r="CL730" s="118"/>
      <c r="CM730" s="183"/>
      <c r="CN730" s="118">
        <f t="shared" si="2084"/>
        <v>476212</v>
      </c>
      <c r="CO730" s="118">
        <f t="shared" si="2085"/>
        <v>585.6888680691568</v>
      </c>
      <c r="CP730" s="186">
        <v>0.84057971014492749</v>
      </c>
      <c r="CQ730" s="118">
        <f>CQ708*CP730+CO709*CP729+CO710*CP728+CO711*CP727+CO712*CP726+CO713*CP725+CO714*CP724+CO715*CP723+CO716*CP722+CO717*CP721+CO718*CP720+CO719*CP719+CO720*CP718+CO721*CP717+CO722*CP716+CO723*CP715+CO724*CP714+CO725*CP713+CO726*CP712+CO727*CP711+CO728*CP710+CO729*CP709+CO730</f>
        <v>12137.803905961067</v>
      </c>
      <c r="CR730" s="119">
        <f t="shared" si="2086"/>
        <v>3.9915665861752152E-2</v>
      </c>
      <c r="CS730" s="119"/>
      <c r="CT730" s="177">
        <f t="shared" si="2087"/>
        <v>9.4952979146959177E-3</v>
      </c>
      <c r="CU730" s="177">
        <f t="shared" si="2095"/>
        <v>9.3000165711470077E-3</v>
      </c>
      <c r="CV730" s="119">
        <f>VLOOKUP($H730,RoR!$E:$F,2,FALSE)</f>
        <v>2.4766666666666666E-2</v>
      </c>
      <c r="CW730" s="177">
        <v>1.1618796630994188E-2</v>
      </c>
      <c r="CX730" s="177">
        <f t="shared" si="2093"/>
        <v>1.3147870035672478E-2</v>
      </c>
      <c r="CY730" s="177">
        <f t="shared" si="2096"/>
        <v>2.1601925037386616E-2</v>
      </c>
      <c r="CZ730" s="177">
        <f t="shared" si="2097"/>
        <v>4.5144642961987357E-2</v>
      </c>
      <c r="DA730" s="187">
        <f t="shared" si="2088"/>
        <v>0.90221312500000006</v>
      </c>
      <c r="DB730" s="188">
        <f t="shared" si="2089"/>
        <v>2.0706077233668081</v>
      </c>
      <c r="DC730" s="188">
        <f t="shared" si="2090"/>
        <v>-3.4421265141318998E-2</v>
      </c>
      <c r="DD730" s="188">
        <f t="shared" si="2091"/>
        <v>0.62416226176410472</v>
      </c>
      <c r="DE730" s="188">
        <f t="shared" si="2092"/>
        <v>-4.4485877841158712E-2</v>
      </c>
      <c r="DF730" s="189">
        <f>INDEX('State Tax Lookup'!$D$7:$Z$91,MATCH(Calculation!$C730,'State Tax Lookup'!$B$7:$B$91,0),MATCH($H730,'State Tax Lookup'!$D$6:$Z$6,0))</f>
        <v>0.26076499999999997</v>
      </c>
      <c r="DG730" s="189">
        <v>0.375</v>
      </c>
      <c r="DH730" s="190">
        <f t="shared" si="2094"/>
        <v>21.381331375119895</v>
      </c>
      <c r="DI730" s="190">
        <v>21.117897890427042</v>
      </c>
      <c r="DJ730" s="177"/>
      <c r="DK730" s="189">
        <f>VLOOKUP($H730,RoR!$E:$F,2,FALSE)</f>
        <v>2.4766666666666666E-2</v>
      </c>
      <c r="DL730" s="191">
        <f>HLOOKUP($H730,'GDP-PI'!$D$8:$CQ$11,3,FALSE)</f>
        <v>1.1618796630994188E-2</v>
      </c>
      <c r="DM730" s="189">
        <f>VLOOKUP(H730,'HW Dx Data'!$E:$F,2,FALSE)</f>
        <v>813.080162458833</v>
      </c>
      <c r="DN730" s="183">
        <f>VLOOKUP(H730,'ECI - Input Price'!$G$17:$H$37,2,FALSE)</f>
        <v>140.44999999999999</v>
      </c>
      <c r="DO730" s="177">
        <f t="shared" ref="DO730" si="2151">LN(DN730/DN729)</f>
        <v>2.5966118063564539E-2</v>
      </c>
      <c r="DP730" s="183">
        <f>HLOOKUP(H730,'GDP-PI'!$8:$9,2,FALSE)</f>
        <v>113.623</v>
      </c>
      <c r="DQ730" s="177">
        <f t="shared" ref="DQ730" si="2152">LN(DP730/DP729)</f>
        <v>1.1551816731392881E-2</v>
      </c>
    </row>
    <row r="731" spans="1:121" s="167" customFormat="1" ht="21" x14ac:dyDescent="0.35">
      <c r="A731" s="167" t="s">
        <v>75</v>
      </c>
      <c r="B731" s="167" t="s">
        <v>75</v>
      </c>
      <c r="C731" s="167">
        <v>4057131</v>
      </c>
      <c r="D731" s="167" t="s">
        <v>142</v>
      </c>
      <c r="G731" s="168" t="s">
        <v>462</v>
      </c>
      <c r="H731" s="169">
        <v>2021</v>
      </c>
      <c r="I731" s="170"/>
      <c r="J731" s="166">
        <f>IFERROR(INDEX('Labor Expenditures'!$E$7:$X$91,MATCH($C731,'Labor Expenditures'!$D$7:$D$91,0),MATCH($G731,'Labor Expenditures'!$E$5:$X$5,0)),"NA")</f>
        <v>139113.88806601489</v>
      </c>
      <c r="K731" s="166">
        <f t="shared" si="2100"/>
        <v>956.273504492283</v>
      </c>
      <c r="L731" s="171">
        <f t="shared" si="2107"/>
        <v>0.16180540666182405</v>
      </c>
      <c r="M731" s="172">
        <f t="shared" si="2111"/>
        <v>7.5330107407659908E-3</v>
      </c>
      <c r="N731" s="196"/>
      <c r="O731" s="172"/>
      <c r="P731" s="166">
        <f>IFERROR(INDEX('Non-Labor Expenditures'!$E$7:$AB$91,MATCH($C731,'Non-Labor Expenditures'!$D$7:$D$91,0),MATCH($G731,'Non-Labor Expenditures'!$E$5:$AB$5,0)),"NA")</f>
        <v>196100.30004486439</v>
      </c>
      <c r="Q731" s="166">
        <f t="shared" si="2101"/>
        <v>1654.9945146836392</v>
      </c>
      <c r="R731" s="172">
        <f t="shared" si="2112"/>
        <v>0.12803653903168757</v>
      </c>
      <c r="S731" s="172">
        <f t="shared" si="2117"/>
        <v>5.9608677091491057E-3</v>
      </c>
      <c r="T731" s="172"/>
      <c r="U731" s="172"/>
      <c r="V731" s="166">
        <f t="shared" si="2082"/>
        <v>351413.42758780537</v>
      </c>
      <c r="W731" s="170"/>
      <c r="X731" s="174">
        <v>12630.897272189439</v>
      </c>
      <c r="Y731" s="175"/>
      <c r="Z731" s="175">
        <f t="shared" si="2118"/>
        <v>0</v>
      </c>
      <c r="AA731" s="175"/>
      <c r="AB731" s="175"/>
      <c r="AC731" s="170">
        <f t="shared" si="2068"/>
        <v>686627.61569868471</v>
      </c>
      <c r="AD731" s="175">
        <f t="shared" si="2113"/>
        <v>0.26069479477300822</v>
      </c>
      <c r="AE731" s="118"/>
      <c r="AF731" s="119"/>
      <c r="AG731" s="121">
        <f t="shared" si="2114"/>
        <v>304.78041942183921</v>
      </c>
      <c r="AH731" s="119">
        <f>+AZ731/$BB$59</f>
        <v>5.7800952086062465E-2</v>
      </c>
      <c r="AI731" s="119"/>
      <c r="AJ731" s="176">
        <f t="shared" si="2119"/>
        <v>17.616598419771751</v>
      </c>
      <c r="AK731" s="176">
        <f t="shared" si="2120"/>
        <v>0</v>
      </c>
      <c r="AL731" s="120">
        <f t="shared" si="2102"/>
        <v>0.20260456306357294</v>
      </c>
      <c r="AM731" s="120">
        <f t="shared" si="2103"/>
        <v>0.28559920335467515</v>
      </c>
      <c r="AN731" s="120">
        <f t="shared" si="2104"/>
        <v>0.51179623358175186</v>
      </c>
      <c r="AO731" s="120">
        <f t="shared" si="2108"/>
        <v>7.2164547689109682E-2</v>
      </c>
      <c r="AP731" s="173">
        <f t="shared" si="2124"/>
        <v>146.82613394648016</v>
      </c>
      <c r="AQ731" s="175">
        <f t="shared" si="2125"/>
        <v>7.216454768910964E-2</v>
      </c>
      <c r="AR731" s="177">
        <f>+AC731/$AE$59</f>
        <v>4.6555989049921594E-2</v>
      </c>
      <c r="AS731" s="177">
        <f t="shared" si="2121"/>
        <v>3.359691892006733E-3</v>
      </c>
      <c r="AT731" s="177"/>
      <c r="AU731" s="177"/>
      <c r="AV731" s="177"/>
      <c r="AW731" s="190"/>
      <c r="AX731" s="120"/>
      <c r="AY731" s="120"/>
      <c r="AZ731" s="118">
        <f>INDEX('Total Customers'!$E$7:$E$91,MATCH(Calculation!$C731,'Total Customers'!$D$7:$D$91,0))</f>
        <v>2252860</v>
      </c>
      <c r="BA731" s="119">
        <f t="shared" si="2083"/>
        <v>2.8413151031690099E-3</v>
      </c>
      <c r="BB731" s="118"/>
      <c r="BC731" s="121"/>
      <c r="BD731" s="118"/>
      <c r="BE731" s="119"/>
      <c r="BF731" s="119"/>
      <c r="BG731" s="173"/>
      <c r="BH731" s="173"/>
      <c r="BI731" s="173"/>
      <c r="BJ731" s="173"/>
      <c r="BK731" s="173"/>
      <c r="BL731" s="173"/>
      <c r="BM731" s="173"/>
      <c r="BN731" s="173"/>
      <c r="BO731" s="173"/>
      <c r="BP731" s="173"/>
      <c r="BQ731" s="118"/>
      <c r="BR731" s="118"/>
      <c r="BS731" s="118">
        <f>INDEX('Dist. Plant Gas Additions'!$E$7:$AE$91,MATCH($C731,'Dist. Plant Gas Additions'!$D$7:$D$91,0),MATCH(Calculation!$G731,'Dist. Plant Gas Additions'!$E$5:$AE$5,0))</f>
        <v>378489</v>
      </c>
      <c r="BT731" s="118">
        <f>INDEX('Gen. Plant Additions'!$E$7:$AE$91,MATCH($C731,'Gen. Plant Additions'!$D$7:$D$91,0),MATCH(Calculation!$G731,'Gen. Plant Additions'!$E$5:$AE$5,0))</f>
        <v>51980</v>
      </c>
      <c r="BU731" s="118"/>
      <c r="BV731" s="118"/>
      <c r="BW731" s="118"/>
      <c r="BX731" s="118"/>
      <c r="BY731" s="183"/>
      <c r="BZ731" s="183"/>
      <c r="CA731" s="178"/>
      <c r="CB731" s="184"/>
      <c r="CC731" s="185"/>
      <c r="CD731" s="185"/>
      <c r="CE731" s="118"/>
      <c r="CF731" s="118"/>
      <c r="CG731" s="118"/>
      <c r="CH731" s="118"/>
      <c r="CI731" s="121">
        <v>2021</v>
      </c>
      <c r="CJ731" s="118"/>
      <c r="CK731" s="118"/>
      <c r="CL731" s="118"/>
      <c r="CM731" s="183"/>
      <c r="CN731" s="118">
        <f t="shared" si="2084"/>
        <v>430469</v>
      </c>
      <c r="CO731" s="118">
        <f t="shared" si="2085"/>
        <v>461.37043893520865</v>
      </c>
      <c r="CP731" s="186">
        <f>+(51-23)/(51-23*0.75)</f>
        <v>0.82962962962962961</v>
      </c>
      <c r="CQ731" s="118">
        <f>CQ708*CP731+CO709*CP730+CO710*CP729+CO711*CP728+CO712*CP727+CO713*CP726+CO714*CP725+CO715*CP724+CO716*CP723+CO717*CP722+CO718*CP721+CO719*CP720+CO720*CP719+CO721*CP718+CO722*CP717+CO713*CP716+CO724*CP715+CO725*CP714+CO726*CP713+CO727*CP712+CO728*CP711+CO729*CP710+CO731+CO730*CP709</f>
        <v>12630.897272189439</v>
      </c>
      <c r="CR731" s="119"/>
      <c r="CS731" s="118"/>
      <c r="CT731" s="177">
        <f t="shared" si="2087"/>
        <v>-2.613563997156287E-3</v>
      </c>
      <c r="CU731" s="177">
        <f t="shared" si="2095"/>
        <v>5.3973569036065662E-3</v>
      </c>
      <c r="CV731" s="119">
        <f>VLOOKUP($H731,RoR!$E:$F,2,FALSE)</f>
        <v>2.7033333333333336E-2</v>
      </c>
      <c r="CW731" s="177"/>
      <c r="CX731" s="177"/>
      <c r="CY731" s="177">
        <f t="shared" si="2096"/>
        <v>2.5504584704927058E-2</v>
      </c>
      <c r="CZ731" s="177">
        <f t="shared" si="2097"/>
        <v>7.433422950153494E-2</v>
      </c>
      <c r="DA731" s="187">
        <f t="shared" si="2088"/>
        <v>0.90221312500000006</v>
      </c>
      <c r="DB731" s="188">
        <f t="shared" si="2089"/>
        <v>1.8969932656739068</v>
      </c>
      <c r="DC731" s="188">
        <f t="shared" si="2090"/>
        <v>5.0215782983970621E-2</v>
      </c>
      <c r="DD731" s="188">
        <f t="shared" si="2091"/>
        <v>0.655952481704143</v>
      </c>
      <c r="DE731" s="188">
        <f t="shared" si="2092"/>
        <v>6.2485378865697057E-2</v>
      </c>
      <c r="DF731" s="189">
        <f>DF730</f>
        <v>0.26076499999999997</v>
      </c>
      <c r="DG731" s="189">
        <v>0.375</v>
      </c>
      <c r="DH731" s="190">
        <f t="shared" si="2094"/>
        <v>28.951977665022309</v>
      </c>
      <c r="DI731" s="190"/>
      <c r="DJ731" s="177">
        <f t="shared" ref="DJ731" si="2153">LN(DH731/DH730)</f>
        <v>0.30312033916576991</v>
      </c>
      <c r="DK731" s="189">
        <f>VLOOKUP($H731,RoR!$E:$F,2,FALSE)</f>
        <v>2.7033333333333336E-2</v>
      </c>
      <c r="DL731" s="191">
        <f>HLOOKUP($H731,'GDP-PI'!$D$8:$CR$11,3,FALSE)</f>
        <v>4.2834637353352578E-2</v>
      </c>
      <c r="DM731" s="189">
        <f>VLOOKUP(H731,'HW Dx Data'!$E:$F,2,FALSE)</f>
        <v>933.02249921662576</v>
      </c>
      <c r="DN731" s="183">
        <f>VLOOKUP(H731,'ECI - Input Price'!$G$17:$H$37,2,FALSE)</f>
        <v>145.47500000000002</v>
      </c>
      <c r="DO731" s="177">
        <f t="shared" ref="DO731" si="2154">LN(DN731/DN730)</f>
        <v>3.5152696992481205E-2</v>
      </c>
      <c r="DP731" s="183">
        <f>HLOOKUP(H731,'GDP-PI'!$8:$9,2,FALSE)</f>
        <v>118.49</v>
      </c>
      <c r="DQ731" s="177">
        <f t="shared" ref="DQ731" si="2155">LN(DP731/DP730)</f>
        <v>4.194261824609434E-2</v>
      </c>
    </row>
    <row r="732" spans="1:121" s="167" customFormat="1" ht="21" x14ac:dyDescent="0.35">
      <c r="A732" s="167" t="s">
        <v>76</v>
      </c>
      <c r="B732" s="168" t="s">
        <v>76</v>
      </c>
      <c r="C732" s="168">
        <v>4012860</v>
      </c>
      <c r="D732" s="168" t="s">
        <v>143</v>
      </c>
      <c r="E732" s="168"/>
      <c r="F732" s="168"/>
      <c r="G732" s="168" t="s">
        <v>4</v>
      </c>
      <c r="H732" s="169">
        <v>1998</v>
      </c>
      <c r="I732" s="170"/>
      <c r="J732" s="166"/>
      <c r="K732" s="166"/>
      <c r="L732" s="166"/>
      <c r="M732" s="166"/>
      <c r="N732" s="196"/>
      <c r="O732" s="166"/>
      <c r="P732" s="172"/>
      <c r="Q732" s="172"/>
      <c r="R732" s="172"/>
      <c r="S732" s="166"/>
      <c r="T732" s="172"/>
      <c r="U732" s="172"/>
      <c r="V732" s="166"/>
      <c r="W732" s="170"/>
      <c r="X732" s="174">
        <v>1798.8499391037922</v>
      </c>
      <c r="Y732" s="175"/>
      <c r="Z732" s="166"/>
      <c r="AA732" s="175"/>
      <c r="AB732" s="175"/>
      <c r="AC732" s="170">
        <f t="shared" si="2068"/>
        <v>0</v>
      </c>
      <c r="AD732" s="170"/>
      <c r="AE732" s="170"/>
      <c r="AF732" s="119"/>
      <c r="AG732" s="174"/>
      <c r="AH732" s="175"/>
      <c r="AI732" s="175"/>
      <c r="AJ732" s="174"/>
      <c r="AK732" s="174"/>
      <c r="AL732" s="120"/>
      <c r="AM732" s="120"/>
      <c r="AN732" s="120"/>
      <c r="AO732" s="120"/>
      <c r="AP732" s="120"/>
      <c r="AQ732" s="175">
        <f>AVERAGE(AQ741:AQ755)</f>
        <v>6.6847858514950302E-3</v>
      </c>
      <c r="AR732" s="120"/>
      <c r="AS732" s="120"/>
      <c r="AT732" s="120"/>
      <c r="AU732" s="120"/>
      <c r="AV732" s="120"/>
      <c r="AW732" s="120"/>
      <c r="AX732" s="120"/>
      <c r="AY732" s="120"/>
      <c r="AZ732" s="118">
        <f>IFERROR(INDEX('Total Customers'!$F$7:$AB$91,MATCH($C732,'Total Customers'!$D$7:$D$91,0),MATCH($G732,'Total Customers'!$F$5:$AB$5,0)),"NA")</f>
        <v>659531</v>
      </c>
      <c r="BA732" s="119"/>
      <c r="BB732" s="119"/>
      <c r="BC732" s="121"/>
      <c r="BD732" s="119"/>
      <c r="BE732" s="119"/>
      <c r="BF732" s="119"/>
      <c r="BG732" s="173"/>
      <c r="BH732" s="173"/>
      <c r="BI732" s="173"/>
      <c r="BJ732" s="173"/>
      <c r="BK732" s="173"/>
      <c r="BL732" s="173"/>
      <c r="BM732" s="173"/>
      <c r="BN732" s="173"/>
      <c r="BO732" s="173"/>
      <c r="BP732" s="173"/>
      <c r="BQ732" s="118">
        <f>INDEX('Gross Dx Plant'!$E$7:$AD$91,MATCH($C732,'Gross Dx Plant'!$D$7:$D$91,0),MATCH(Calculation!$G732,'Gross Dx Plant'!$E$5:$AD$5,0))</f>
        <v>844327</v>
      </c>
      <c r="BR732" s="118">
        <f>INDEX('Gross Gen Plant'!$E$7:$AD$91,MATCH($C732,'Gross Gen Plant'!$D$7:$D$91,0),MATCH(Calculation!$G732,'Gross Gen Plant'!$E$5:$AD$5,0))</f>
        <v>85950</v>
      </c>
      <c r="BS732" s="118">
        <f>INDEX('Dist. Plant Gas Additions'!$F$7:$AE$91,MATCH($C732,'Dist. Plant Gas Additions'!$D$7:$D$91,0),MATCH(Calculation!$G732,'Dist. Plant Gas Additions'!$F$5:$AE$5,0))</f>
        <v>36444</v>
      </c>
      <c r="BT732" s="118">
        <f>INDEX('Gen. Plant Additions'!$F$7:$AE$91,MATCH($C732,'Gen. Plant Additions'!$D$7:$D$91,0),MATCH(Calculation!$G732,'Gen. Plant Additions'!$F$5:$AE$5,0))</f>
        <v>4375</v>
      </c>
      <c r="BU732" s="118" t="e">
        <f>INDEX('Dist Plant Depreciation'!$E$7:$AA$94,MATCH($C732,'Dist Plant Depreciation'!$D$7:$D$94,0),MATCH(#REF!,'Dist Plant Depreciation'!$E$5:$AA$5,0))</f>
        <v>#REF!</v>
      </c>
      <c r="BV732" s="118" t="e">
        <f>INDEX('Gen. Plant Depreciation'!$E$7:$AA$94,MATCH($C732,'Gen. Plant Depreciation'!$D$7:$D$94,0),MATCH(#REF!,'Gen. Plant Depreciation'!$E$5:$AA$5,0))</f>
        <v>#REF!</v>
      </c>
      <c r="BW732" s="118">
        <f>INDEX('Dist Plant Depreciation'!$E$7:$AD$94,MATCH($C732,'Dist Plant Depreciation'!$D$7:$D$94,0),MATCH(Calculation!$G732,'Dist Plant Depreciation'!$E$5:$AD$5,0))</f>
        <v>532951</v>
      </c>
      <c r="BX732" s="118">
        <f>INDEX('Gen. Plant Depreciation'!$E$7:$AD$94,MATCH($C732,'Gen. Plant Depreciation'!$D$7:$D$94,0),MATCH(Calculation!$G732,'Gen. Plant Depreciation'!$E$5:$AD$5,0))</f>
        <v>34463</v>
      </c>
      <c r="BY732" s="118"/>
      <c r="BZ732" s="118"/>
      <c r="CA732" s="118"/>
      <c r="CB732" s="118"/>
      <c r="CC732" s="118"/>
      <c r="CD732" s="118"/>
      <c r="CE732" s="118">
        <f>INDEX('Gross Dx Plant'!$E$7:$AD$91,MATCH($C732,'Gross Dx Plant'!$D$7:$D$91,0),MATCH(Calculation!$G732,'Gross Dx Plant'!$E$5:$AD$5,0))</f>
        <v>844327</v>
      </c>
      <c r="CF732" s="118">
        <f>INDEX('Gross Gen Plant'!$E$7:$AD$91,MATCH($C732,'Gross Gen Plant'!$D$7:$D$91,0),MATCH(Calculation!$G732,'Gross Gen Plant'!$E$5:$AD$5,0))</f>
        <v>85950</v>
      </c>
      <c r="CG732" s="118">
        <f t="shared" si="2136"/>
        <v>362863</v>
      </c>
      <c r="CH732" s="118"/>
      <c r="CI732" s="121">
        <v>1998</v>
      </c>
      <c r="CJ732" s="118">
        <f>BQ732+BR732</f>
        <v>930277</v>
      </c>
      <c r="CK732" s="118">
        <f>532951+34463</f>
        <v>567414</v>
      </c>
      <c r="CL732" s="118">
        <f>+CJ732-CK732</f>
        <v>362863</v>
      </c>
      <c r="CM732" s="118">
        <f>CL732/$CD$36</f>
        <v>1798.8499391037922</v>
      </c>
      <c r="CN732" s="183"/>
      <c r="CO732" s="183"/>
      <c r="CP732" s="186">
        <v>1</v>
      </c>
      <c r="CQ732" s="118">
        <f>+CM732</f>
        <v>1798.8499391037922</v>
      </c>
      <c r="CR732" s="119"/>
      <c r="CS732" s="119"/>
      <c r="CT732" s="177"/>
      <c r="CU732" s="177"/>
      <c r="CV732" s="119" t="e">
        <f>VLOOKUP($H732,RoR!$E:$F,2,FALSE)</f>
        <v>#N/A</v>
      </c>
      <c r="CW732" s="177">
        <v>1.1028127770464469E-2</v>
      </c>
      <c r="CX732" s="177"/>
      <c r="CY732" s="177"/>
      <c r="CZ732" s="177"/>
      <c r="DA732" s="187"/>
      <c r="DB732" s="190" t="e">
        <f>2/(DK732*39)</f>
        <v>#N/A</v>
      </c>
      <c r="DC732" s="188" t="e">
        <f>+(DK732*40-(1+DK732))/(DK732*40)</f>
        <v>#N/A</v>
      </c>
      <c r="DD732" s="188" t="e">
        <f>+(1-(1/(1+DK732)^40))</f>
        <v>#N/A</v>
      </c>
      <c r="DE732" s="188" t="e">
        <f>+DD732*DC732*DB732</f>
        <v>#N/A</v>
      </c>
      <c r="DF732" s="189">
        <f>INDEX('State Tax Lookup'!$D$7:$Z$91,MATCH(Calculation!$C732,'State Tax Lookup'!$B$7:$B$91,0),MATCH($H732,'State Tax Lookup'!$D$6:$Z$6,0))</f>
        <v>0.39989833000000002</v>
      </c>
      <c r="DG732" s="189">
        <v>0.375</v>
      </c>
      <c r="DH732" s="183"/>
      <c r="DI732" s="183"/>
      <c r="DJ732" s="177"/>
      <c r="DK732" s="189" t="e">
        <f>VLOOKUP($H732,RoR!$E:$F,2,FALSE)</f>
        <v>#N/A</v>
      </c>
      <c r="DL732" s="191">
        <f>HLOOKUP($H732,'GDP-PI'!$D$8:$CQ$11,3,FALSE)</f>
        <v>1.1028127770464469E-2</v>
      </c>
      <c r="DM732" s="189">
        <f>VLOOKUP(H732,'HW Dx Data'!$E:$F,2,FALSE)</f>
        <v>329.24564746449528</v>
      </c>
      <c r="DN732" s="183" t="e">
        <f>VLOOKUP(H732,'ECI - Input Price'!$G$17:$H$37,2,FALSE)</f>
        <v>#N/A</v>
      </c>
      <c r="DO732" s="177"/>
      <c r="DP732" s="183">
        <f>HLOOKUP(H732,'GDP-PI'!$8:$9,2,FALSE)</f>
        <v>75.266999999999996</v>
      </c>
    </row>
    <row r="733" spans="1:121" s="167" customFormat="1" ht="21" x14ac:dyDescent="0.35">
      <c r="A733" s="167" t="s">
        <v>76</v>
      </c>
      <c r="B733" s="168" t="s">
        <v>76</v>
      </c>
      <c r="C733" s="168">
        <v>4012860</v>
      </c>
      <c r="D733" s="168" t="s">
        <v>143</v>
      </c>
      <c r="E733" s="168"/>
      <c r="F733" s="168"/>
      <c r="G733" s="168" t="s">
        <v>5</v>
      </c>
      <c r="H733" s="169">
        <v>1999</v>
      </c>
      <c r="I733" s="170"/>
      <c r="J733" s="166"/>
      <c r="K733" s="170"/>
      <c r="L733" s="170"/>
      <c r="M733" s="166"/>
      <c r="N733" s="173"/>
      <c r="O733" s="170"/>
      <c r="P733" s="177"/>
      <c r="Q733" s="177"/>
      <c r="R733" s="177"/>
      <c r="S733" s="195"/>
      <c r="T733" s="177"/>
      <c r="U733" s="177"/>
      <c r="V733" s="166">
        <f t="shared" ref="V733:V755" si="2156">+CQ732*DH733</f>
        <v>0</v>
      </c>
      <c r="W733" s="170"/>
      <c r="X733" s="174">
        <v>1888.5867884948532</v>
      </c>
      <c r="Y733" s="175">
        <v>4.8681280442325586E-2</v>
      </c>
      <c r="Z733" s="175"/>
      <c r="AA733" s="175"/>
      <c r="AB733" s="175"/>
      <c r="AC733" s="170">
        <f t="shared" si="2068"/>
        <v>0</v>
      </c>
      <c r="AD733" s="175"/>
      <c r="AE733" s="170"/>
      <c r="AF733" s="119"/>
      <c r="AG733" s="174"/>
      <c r="AH733" s="175"/>
      <c r="AI733" s="175"/>
      <c r="AJ733" s="174"/>
      <c r="AK733" s="174"/>
      <c r="AL733" s="120"/>
      <c r="AM733" s="120"/>
      <c r="AN733" s="120"/>
      <c r="AO733" s="120"/>
      <c r="AP733" s="120"/>
      <c r="AQ733" s="175"/>
      <c r="AR733" s="120"/>
      <c r="AS733" s="120"/>
      <c r="AT733" s="120"/>
      <c r="AU733" s="120"/>
      <c r="AV733" s="120"/>
      <c r="AW733" s="120"/>
      <c r="AX733" s="120"/>
      <c r="AY733" s="120"/>
      <c r="AZ733" s="118">
        <f>IFERROR(INDEX('Total Customers'!$F$7:$AB$91,MATCH($C733,'Total Customers'!$D$7:$D$91,0),MATCH($G733,'Total Customers'!$F$5:$AB$5,0)),"NA")</f>
        <v>691549</v>
      </c>
      <c r="BA733" s="119">
        <f t="shared" ref="BA733:BA755" si="2157">LN(AZ733/AZ732)</f>
        <v>4.7405032682925424E-2</v>
      </c>
      <c r="BB733" s="119"/>
      <c r="BC733" s="121"/>
      <c r="BD733" s="119"/>
      <c r="BE733" s="119"/>
      <c r="BF733" s="119"/>
      <c r="BG733" s="173"/>
      <c r="BH733" s="173"/>
      <c r="BI733" s="173"/>
      <c r="BJ733" s="173"/>
      <c r="BK733" s="173"/>
      <c r="BL733" s="173"/>
      <c r="BM733" s="173"/>
      <c r="BN733" s="173"/>
      <c r="BO733" s="173"/>
      <c r="BP733" s="173"/>
      <c r="BQ733" s="118"/>
      <c r="BR733" s="118"/>
      <c r="BS733" s="118">
        <f>INDEX('Dist. Plant Gas Additions'!$F$7:$AE$91,MATCH($C733,'Dist. Plant Gas Additions'!$D$7:$D$91,0),MATCH(Calculation!$G733,'Dist. Plant Gas Additions'!$F$5:$AE$5,0))</f>
        <v>31879</v>
      </c>
      <c r="BT733" s="118">
        <f>INDEX('Gen. Plant Additions'!$F$7:$AE$91,MATCH($C733,'Gen. Plant Additions'!$D$7:$D$91,0),MATCH(Calculation!$G733,'Gen. Plant Additions'!$F$5:$AE$5,0))</f>
        <v>1213</v>
      </c>
      <c r="BU733" s="118"/>
      <c r="BV733" s="118"/>
      <c r="BW733" s="118">
        <f>INDEX('Dist Plant Depreciation'!$E$7:$AD$94,MATCH($C733,'Dist Plant Depreciation'!$D$7:$D$94,0),MATCH(Calculation!$G733,'Dist Plant Depreciation'!$E$5:$AD$5,0))</f>
        <v>576582</v>
      </c>
      <c r="BX733" s="118">
        <f>INDEX('Gen. Plant Depreciation'!$E$7:$AD$94,MATCH($C733,'Gen. Plant Depreciation'!$D$7:$D$94,0),MATCH(Calculation!$G733,'Gen. Plant Depreciation'!$E$5:$AD$5,0))</f>
        <v>37753</v>
      </c>
      <c r="BY733" s="118"/>
      <c r="BZ733" s="118"/>
      <c r="CA733" s="118"/>
      <c r="CB733" s="118"/>
      <c r="CC733" s="118"/>
      <c r="CD733" s="118"/>
      <c r="CE733" s="118">
        <f>INDEX('Gross Dx Plant'!$E$7:$AD$91,MATCH($C733,'Gross Dx Plant'!$D$7:$D$91,0),MATCH(Calculation!$G733,'Gross Dx Plant'!$E$5:$AD$5,0))</f>
        <v>871376</v>
      </c>
      <c r="CF733" s="118">
        <f>INDEX('Gross Gen Plant'!$E$7:$AD$91,MATCH($C733,'Gross Gen Plant'!$D$7:$D$91,0),MATCH(Calculation!$G733,'Gross Gen Plant'!$E$5:$AD$5,0))</f>
        <v>85149</v>
      </c>
      <c r="CG733" s="118">
        <f t="shared" si="2136"/>
        <v>342190</v>
      </c>
      <c r="CH733" s="118"/>
      <c r="CI733" s="121">
        <v>1999</v>
      </c>
      <c r="CJ733" s="118"/>
      <c r="CK733" s="118"/>
      <c r="CL733" s="118"/>
      <c r="CM733" s="183"/>
      <c r="CN733" s="118">
        <f t="shared" ref="CN733:CN755" si="2158">+BT733+BS733</f>
        <v>33092</v>
      </c>
      <c r="CO733" s="118">
        <f t="shared" ref="CO733:CO755" si="2159">+CN733/$DM733</f>
        <v>98.686351575656985</v>
      </c>
      <c r="CP733" s="186">
        <v>0.99502487562189057</v>
      </c>
      <c r="CQ733" s="118">
        <f>+CQ732*CP733+CO733</f>
        <v>1888.5867884948532</v>
      </c>
      <c r="CR733" s="119">
        <f t="shared" ref="CR733:CR754" si="2160">LN(CQ733/CQ732)</f>
        <v>4.8681280442325586E-2</v>
      </c>
      <c r="CS733" s="119"/>
      <c r="CT733" s="177">
        <f t="shared" ref="CT733:CT755" si="2161">+(CQ732-CQ733+CO733)/CQ732</f>
        <v>4.9751243781094474E-3</v>
      </c>
      <c r="CU733" s="177"/>
      <c r="CV733" s="119">
        <f>VLOOKUP($H733,RoR!$E:$F,2,FALSE)</f>
        <v>7.0416666666666669E-2</v>
      </c>
      <c r="CW733" s="177">
        <v>1.4335631817396832E-2</v>
      </c>
      <c r="CX733" s="177">
        <f>+CV733-CW733</f>
        <v>5.6081034849269837E-2</v>
      </c>
      <c r="CY733" s="177"/>
      <c r="CZ733" s="177"/>
      <c r="DA733" s="187">
        <f t="shared" ref="DA733:DA755" si="2162">1-DF733*DG733</f>
        <v>0.85003812624999997</v>
      </c>
      <c r="DB733" s="188">
        <f t="shared" ref="DB733:DB755" si="2163">2/(DK733*39)</f>
        <v>0.72826581702321336</v>
      </c>
      <c r="DC733" s="188">
        <f t="shared" ref="DC733:DC755" si="2164">+(DK733*40-(1+DK733))/(DK733*40)</f>
        <v>0.61997041420118348</v>
      </c>
      <c r="DD733" s="188">
        <f t="shared" ref="DD733:DD755" si="2165">+(1-(1/(1+DK733)^40))</f>
        <v>0.93425155319585029</v>
      </c>
      <c r="DE733" s="188">
        <f t="shared" ref="DE733:DE755" si="2166">+DD733*DC733*DB733</f>
        <v>0.42181762214141483</v>
      </c>
      <c r="DF733" s="189">
        <f>INDEX('State Tax Lookup'!$D$7:$Z$91,MATCH(Calculation!$C733,'State Tax Lookup'!$B$7:$B$91,0),MATCH($H733,'State Tax Lookup'!$D$6:$Z$6,0))</f>
        <v>0.39989833000000002</v>
      </c>
      <c r="DG733" s="189">
        <v>0.375</v>
      </c>
      <c r="DH733" s="190"/>
      <c r="DI733" s="190"/>
      <c r="DJ733" s="177"/>
      <c r="DK733" s="189">
        <f>VLOOKUP($H733,RoR!$E:$F,2,FALSE)</f>
        <v>7.0416666666666669E-2</v>
      </c>
      <c r="DL733" s="191">
        <f>HLOOKUP($H733,'GDP-PI'!$D$8:$CQ$11,3,FALSE)</f>
        <v>1.4335631817396832E-2</v>
      </c>
      <c r="DM733" s="189">
        <f>VLOOKUP(H733,'HW Dx Data'!$E:$F,2,FALSE)</f>
        <v>335.32499146683239</v>
      </c>
      <c r="DN733" s="183" t="e">
        <f>VLOOKUP(H733,'ECI - Input Price'!$G$17:$H$37,2,FALSE)</f>
        <v>#N/A</v>
      </c>
      <c r="DO733" s="177"/>
      <c r="DP733" s="183">
        <f>HLOOKUP(H733,'GDP-PI'!$8:$9,2,FALSE)</f>
        <v>76.346000000000004</v>
      </c>
    </row>
    <row r="734" spans="1:121" s="167" customFormat="1" ht="21" x14ac:dyDescent="0.35">
      <c r="A734" s="167" t="s">
        <v>76</v>
      </c>
      <c r="B734" s="168" t="s">
        <v>76</v>
      </c>
      <c r="C734" s="168">
        <v>4012860</v>
      </c>
      <c r="D734" s="168" t="s">
        <v>143</v>
      </c>
      <c r="E734" s="168"/>
      <c r="F734" s="168"/>
      <c r="G734" s="168" t="s">
        <v>6</v>
      </c>
      <c r="H734" s="169">
        <v>2000</v>
      </c>
      <c r="I734" s="170"/>
      <c r="J734" s="166"/>
      <c r="K734" s="166"/>
      <c r="L734" s="166"/>
      <c r="M734" s="166"/>
      <c r="N734" s="196"/>
      <c r="O734" s="166"/>
      <c r="P734" s="166"/>
      <c r="Q734" s="166"/>
      <c r="R734" s="166"/>
      <c r="S734" s="166"/>
      <c r="T734" s="166"/>
      <c r="U734" s="166"/>
      <c r="V734" s="166">
        <f t="shared" si="2156"/>
        <v>0</v>
      </c>
      <c r="W734" s="170"/>
      <c r="X734" s="174">
        <v>2057.6427093592197</v>
      </c>
      <c r="Y734" s="175">
        <v>8.5732193300941464E-2</v>
      </c>
      <c r="Z734" s="175"/>
      <c r="AA734" s="175"/>
      <c r="AB734" s="175"/>
      <c r="AC734" s="170">
        <f t="shared" si="2068"/>
        <v>0</v>
      </c>
      <c r="AD734" s="175"/>
      <c r="AE734" s="170"/>
      <c r="AF734" s="170"/>
      <c r="AG734" s="174"/>
      <c r="AH734" s="175"/>
      <c r="AI734" s="175"/>
      <c r="AJ734" s="174"/>
      <c r="AK734" s="174"/>
      <c r="AL734" s="120"/>
      <c r="AM734" s="120"/>
      <c r="AN734" s="120"/>
      <c r="AO734" s="120"/>
      <c r="AP734" s="120"/>
      <c r="AQ734" s="175"/>
      <c r="AR734" s="120"/>
      <c r="AS734" s="120"/>
      <c r="AT734" s="120"/>
      <c r="AU734" s="120"/>
      <c r="AV734" s="120"/>
      <c r="AW734" s="120"/>
      <c r="AX734" s="120"/>
      <c r="AY734" s="120"/>
      <c r="AZ734" s="118">
        <f>IFERROR(INDEX('Total Customers'!$F$7:$AB$91,MATCH($C734,'Total Customers'!$D$7:$D$91,0),MATCH($G734,'Total Customers'!$F$5:$AB$5,0)),"NA")</f>
        <v>698076</v>
      </c>
      <c r="BA734" s="119">
        <f t="shared" si="2157"/>
        <v>9.3939703139602152E-3</v>
      </c>
      <c r="BB734" s="119"/>
      <c r="BC734" s="121"/>
      <c r="BD734" s="119"/>
      <c r="BE734" s="119"/>
      <c r="BF734" s="119"/>
      <c r="BG734" s="173"/>
      <c r="BH734" s="173"/>
      <c r="BI734" s="173"/>
      <c r="BJ734" s="173"/>
      <c r="BK734" s="173"/>
      <c r="BL734" s="173"/>
      <c r="BM734" s="173"/>
      <c r="BN734" s="173"/>
      <c r="BO734" s="173"/>
      <c r="BP734" s="173"/>
      <c r="BQ734" s="118"/>
      <c r="BR734" s="118"/>
      <c r="BS734" s="118">
        <f>INDEX('Dist. Plant Gas Additions'!$F$7:$AE$91,MATCH($C734,'Dist. Plant Gas Additions'!$D$7:$D$91,0),MATCH(Calculation!$G734,'Dist. Plant Gas Additions'!$F$5:$AE$5,0))</f>
        <v>44945</v>
      </c>
      <c r="BT734" s="118">
        <f>INDEX('Gen. Plant Additions'!$F$7:$AE$91,MATCH($C734,'Gen. Plant Additions'!$D$7:$D$91,0),MATCH(Calculation!$G734,'Gen. Plant Additions'!$F$5:$AE$5,0))</f>
        <v>17004</v>
      </c>
      <c r="BU734" s="118"/>
      <c r="BV734" s="118"/>
      <c r="BW734" s="118">
        <f>INDEX('Dist Plant Depreciation'!$E$7:$AD$94,MATCH($C734,'Dist Plant Depreciation'!$D$7:$D$94,0),MATCH(Calculation!$G734,'Dist Plant Depreciation'!$E$5:$AD$5,0))</f>
        <v>624198</v>
      </c>
      <c r="BX734" s="118">
        <f>INDEX('Gen. Plant Depreciation'!$E$7:$AD$94,MATCH($C734,'Gen. Plant Depreciation'!$D$7:$D$94,0),MATCH(Calculation!$G734,'Gen. Plant Depreciation'!$E$5:$AD$5,0))</f>
        <v>39483</v>
      </c>
      <c r="BY734" s="118"/>
      <c r="BZ734" s="118"/>
      <c r="CA734" s="118"/>
      <c r="CB734" s="118"/>
      <c r="CC734" s="118"/>
      <c r="CD734" s="118"/>
      <c r="CE734" s="118">
        <f>INDEX('Gross Dx Plant'!$E$7:$AD$91,MATCH($C734,'Gross Dx Plant'!$D$7:$D$91,0),MATCH(Calculation!$G734,'Gross Dx Plant'!$E$5:$AD$5,0))</f>
        <v>913099</v>
      </c>
      <c r="CF734" s="118">
        <f>INDEX('Gross Gen Plant'!$E$7:$AD$91,MATCH($C734,'Gross Gen Plant'!$D$7:$D$91,0),MATCH(Calculation!$G734,'Gross Gen Plant'!$E$5:$AD$5,0))</f>
        <v>98033</v>
      </c>
      <c r="CG734" s="118">
        <f t="shared" si="2136"/>
        <v>347451</v>
      </c>
      <c r="CH734" s="118"/>
      <c r="CI734" s="121">
        <v>2000</v>
      </c>
      <c r="CJ734" s="118"/>
      <c r="CK734" s="118"/>
      <c r="CL734" s="118"/>
      <c r="CM734" s="183"/>
      <c r="CN734" s="118">
        <f t="shared" si="2158"/>
        <v>61949</v>
      </c>
      <c r="CO734" s="118">
        <f t="shared" si="2159"/>
        <v>178.76759695836989</v>
      </c>
      <c r="CP734" s="186">
        <v>0.98989898989898994</v>
      </c>
      <c r="CQ734" s="118">
        <f>+CQ732*CP734+CO733*CP733+CO734</f>
        <v>2057.6427093592197</v>
      </c>
      <c r="CR734" s="119">
        <f t="shared" si="2160"/>
        <v>8.5732193300941464E-2</v>
      </c>
      <c r="CS734" s="119"/>
      <c r="CT734" s="177">
        <f t="shared" si="2161"/>
        <v>5.142298015196489E-3</v>
      </c>
      <c r="CU734" s="177"/>
      <c r="CV734" s="119">
        <f>VLOOKUP($H734,RoR!$E:$F,2,FALSE)</f>
        <v>7.6225000000000001E-2</v>
      </c>
      <c r="CW734" s="177">
        <v>2.2568307442433211E-2</v>
      </c>
      <c r="CX734" s="177">
        <f t="shared" ref="CX734:CX754" si="2167">+CV734-CW734</f>
        <v>5.365669255756679E-2</v>
      </c>
      <c r="CY734" s="177"/>
      <c r="CZ734" s="177"/>
      <c r="DA734" s="187">
        <f t="shared" si="2162"/>
        <v>0.85003812624999997</v>
      </c>
      <c r="DB734" s="188">
        <f t="shared" si="2163"/>
        <v>0.67277207323124022</v>
      </c>
      <c r="DC734" s="188">
        <f t="shared" si="2164"/>
        <v>0.6470236142997704</v>
      </c>
      <c r="DD734" s="188">
        <f t="shared" si="2165"/>
        <v>0.94704866037543145</v>
      </c>
      <c r="DE734" s="188">
        <f t="shared" si="2166"/>
        <v>0.41224973107878493</v>
      </c>
      <c r="DF734" s="189">
        <f>INDEX('State Tax Lookup'!$D$7:$Z$91,MATCH(Calculation!$C734,'State Tax Lookup'!$B$7:$B$91,0),MATCH($H734,'State Tax Lookup'!$D$6:$Z$6,0))</f>
        <v>0.39989833000000002</v>
      </c>
      <c r="DG734" s="189">
        <v>0.375</v>
      </c>
      <c r="DH734" s="190"/>
      <c r="DI734" s="190"/>
      <c r="DJ734" s="177"/>
      <c r="DK734" s="189">
        <f>VLOOKUP($H734,RoR!$E:$F,2,FALSE)</f>
        <v>7.6225000000000001E-2</v>
      </c>
      <c r="DL734" s="191">
        <f>HLOOKUP($H734,'GDP-PI'!$D$8:$CQ$11,3,FALSE)</f>
        <v>2.2568307442433211E-2</v>
      </c>
      <c r="DM734" s="189">
        <f>VLOOKUP(H734,'HW Dx Data'!$E:$F,2,FALSE)</f>
        <v>346.53371782150339</v>
      </c>
      <c r="DN734" s="183" t="e">
        <f>VLOOKUP(H734,'ECI - Input Price'!$G$17:$H$37,2,FALSE)</f>
        <v>#N/A</v>
      </c>
      <c r="DO734" s="177"/>
      <c r="DP734" s="183">
        <f>HLOOKUP(H734,'GDP-PI'!$8:$9,2,FALSE)</f>
        <v>78.069000000000003</v>
      </c>
    </row>
    <row r="735" spans="1:121" s="167" customFormat="1" ht="21" x14ac:dyDescent="0.35">
      <c r="A735" s="167" t="s">
        <v>76</v>
      </c>
      <c r="B735" s="168" t="s">
        <v>76</v>
      </c>
      <c r="C735" s="168">
        <v>4012860</v>
      </c>
      <c r="D735" s="168" t="s">
        <v>143</v>
      </c>
      <c r="E735" s="168"/>
      <c r="F735" s="168"/>
      <c r="G735" s="168" t="s">
        <v>7</v>
      </c>
      <c r="H735" s="169">
        <v>2001</v>
      </c>
      <c r="I735" s="170"/>
      <c r="J735" s="166"/>
      <c r="K735" s="166"/>
      <c r="L735" s="166"/>
      <c r="M735" s="166"/>
      <c r="N735" s="196"/>
      <c r="O735" s="166"/>
      <c r="P735" s="166"/>
      <c r="Q735" s="166"/>
      <c r="R735" s="166"/>
      <c r="S735" s="166"/>
      <c r="T735" s="166"/>
      <c r="U735" s="166"/>
      <c r="V735" s="166">
        <f t="shared" si="2156"/>
        <v>26619.632410959683</v>
      </c>
      <c r="W735" s="170"/>
      <c r="X735" s="174">
        <v>2169.2799691399714</v>
      </c>
      <c r="Y735" s="175">
        <v>5.2834289307365286E-2</v>
      </c>
      <c r="Z735" s="175"/>
      <c r="AA735" s="175"/>
      <c r="AB735" s="175"/>
      <c r="AC735" s="170">
        <f t="shared" si="2068"/>
        <v>26619.632410959683</v>
      </c>
      <c r="AD735" s="175"/>
      <c r="AE735" s="170"/>
      <c r="AF735" s="170"/>
      <c r="AG735" s="174"/>
      <c r="AH735" s="175"/>
      <c r="AI735" s="175"/>
      <c r="AJ735" s="174"/>
      <c r="AK735" s="174"/>
      <c r="AL735" s="120"/>
      <c r="AM735" s="120"/>
      <c r="AN735" s="120"/>
      <c r="AO735" s="120"/>
      <c r="AP735" s="120"/>
      <c r="AQ735" s="175"/>
      <c r="AR735" s="120"/>
      <c r="AS735" s="120"/>
      <c r="AT735" s="120"/>
      <c r="AU735" s="120"/>
      <c r="AV735" s="120"/>
      <c r="AW735" s="120"/>
      <c r="AX735" s="120"/>
      <c r="AY735" s="120"/>
      <c r="AZ735" s="118">
        <f>IFERROR(INDEX('Total Customers'!$F$7:$AB$91,MATCH($C735,'Total Customers'!$D$7:$D$91,0),MATCH($G735,'Total Customers'!$F$5:$AB$5,0)),"NA")</f>
        <v>702194</v>
      </c>
      <c r="BA735" s="119">
        <f t="shared" si="2157"/>
        <v>5.8817397670405131E-3</v>
      </c>
      <c r="BB735" s="119"/>
      <c r="BC735" s="121"/>
      <c r="BD735" s="119"/>
      <c r="BE735" s="119"/>
      <c r="BF735" s="119"/>
      <c r="BG735" s="173"/>
      <c r="BH735" s="173"/>
      <c r="BI735" s="173"/>
      <c r="BJ735" s="173"/>
      <c r="BK735" s="173"/>
      <c r="BL735" s="173"/>
      <c r="BM735" s="173"/>
      <c r="BN735" s="173"/>
      <c r="BO735" s="173"/>
      <c r="BP735" s="173"/>
      <c r="BQ735" s="118"/>
      <c r="BR735" s="118"/>
      <c r="BS735" s="118">
        <f>INDEX('Dist. Plant Gas Additions'!$F$7:$AE$91,MATCH($C735,'Dist. Plant Gas Additions'!$D$7:$D$91,0),MATCH(Calculation!$G735,'Dist. Plant Gas Additions'!$F$5:$AE$5,0))</f>
        <v>40816</v>
      </c>
      <c r="BT735" s="118">
        <f>INDEX('Gen. Plant Additions'!$F$7:$AE$91,MATCH($C735,'Gen. Plant Additions'!$D$7:$D$91,0),MATCH(Calculation!$G735,'Gen. Plant Additions'!$F$5:$AE$5,0))</f>
        <v>2180</v>
      </c>
      <c r="BU735" s="118"/>
      <c r="BV735" s="118"/>
      <c r="BW735" s="118">
        <f>INDEX('Dist Plant Depreciation'!$E$7:$AD$94,MATCH($C735,'Dist Plant Depreciation'!$D$7:$D$94,0),MATCH(Calculation!$G735,'Dist Plant Depreciation'!$E$5:$AD$5,0))</f>
        <v>740726</v>
      </c>
      <c r="BX735" s="118">
        <f>INDEX('Gen. Plant Depreciation'!$E$7:$AD$94,MATCH($C735,'Gen. Plant Depreciation'!$D$7:$D$94,0),MATCH(Calculation!$G735,'Gen. Plant Depreciation'!$E$5:$AD$5,0))</f>
        <v>107836</v>
      </c>
      <c r="BY735" s="118"/>
      <c r="BZ735" s="118"/>
      <c r="CA735" s="118"/>
      <c r="CB735" s="118"/>
      <c r="CC735" s="118"/>
      <c r="CD735" s="118"/>
      <c r="CE735" s="118">
        <f>INDEX('Gross Dx Plant'!$E$7:$AD$91,MATCH($C735,'Gross Dx Plant'!$D$7:$D$91,0),MATCH(Calculation!$G735,'Gross Dx Plant'!$E$5:$AD$5,0))</f>
        <v>950739</v>
      </c>
      <c r="CF735" s="118">
        <f>INDEX('Gross Gen Plant'!$E$7:$AD$91,MATCH($C735,'Gross Gen Plant'!$D$7:$D$91,0),MATCH(Calculation!$G735,'Gross Gen Plant'!$E$5:$AD$5,0))</f>
        <v>96115</v>
      </c>
      <c r="CG735" s="118">
        <f t="shared" si="2136"/>
        <v>198292</v>
      </c>
      <c r="CH735" s="118"/>
      <c r="CI735" s="121">
        <v>2001</v>
      </c>
      <c r="CJ735" s="118"/>
      <c r="CK735" s="118"/>
      <c r="CL735" s="118"/>
      <c r="CM735" s="183"/>
      <c r="CN735" s="118">
        <f t="shared" si="2158"/>
        <v>42996</v>
      </c>
      <c r="CO735" s="118">
        <f t="shared" si="2159"/>
        <v>121.64752778400053</v>
      </c>
      <c r="CP735" s="186">
        <v>0.98461538461538467</v>
      </c>
      <c r="CQ735" s="118">
        <f>+CQ732*CP735+CO733*CP734+CO734*CP732+CO735</f>
        <v>2169.2799691399714</v>
      </c>
      <c r="CR735" s="119">
        <f t="shared" si="2160"/>
        <v>5.2834289307365286E-2</v>
      </c>
      <c r="CS735" s="119"/>
      <c r="CT735" s="177">
        <f t="shared" si="2161"/>
        <v>4.8649204051398002E-3</v>
      </c>
      <c r="CU735" s="177">
        <f>+(CT735+CT734+CT733)/3</f>
        <v>4.9941142661485789E-3</v>
      </c>
      <c r="CV735" s="119">
        <f>VLOOKUP($H735,RoR!$E:$F,2,FALSE)</f>
        <v>7.0824999999999999E-2</v>
      </c>
      <c r="CW735" s="177">
        <v>2.2454495382290052E-2</v>
      </c>
      <c r="CX735" s="177">
        <f t="shared" si="2167"/>
        <v>4.8370504617709947E-2</v>
      </c>
      <c r="CY735" s="177">
        <f>+$CX$35-CU735</f>
        <v>2.5907827342385045E-2</v>
      </c>
      <c r="CZ735" s="177">
        <f>+((DM733/DM732-1)+(DM734/DM733-1)+(DM735/DM734-1))/3</f>
        <v>2.3947275901631187E-2</v>
      </c>
      <c r="DA735" s="187">
        <f t="shared" si="2162"/>
        <v>0.85003812624999997</v>
      </c>
      <c r="DB735" s="188">
        <f t="shared" si="2163"/>
        <v>0.72406708481540816</v>
      </c>
      <c r="DC735" s="188">
        <f t="shared" si="2164"/>
        <v>0.62201729615248857</v>
      </c>
      <c r="DD735" s="188">
        <f t="shared" si="2165"/>
        <v>0.9352469954311422</v>
      </c>
      <c r="DE735" s="188">
        <f t="shared" si="2166"/>
        <v>0.42121864641655071</v>
      </c>
      <c r="DF735" s="189">
        <f>INDEX('State Tax Lookup'!$D$7:$Z$91,MATCH(Calculation!$C735,'State Tax Lookup'!$B$7:$B$91,0),MATCH($H735,'State Tax Lookup'!$D$6:$Z$6,0))</f>
        <v>0.39989833000000002</v>
      </c>
      <c r="DG735" s="189">
        <v>0.375</v>
      </c>
      <c r="DH735" s="190">
        <f t="shared" ref="DH735:DH755" si="2168">+(DM735*CY735-CZ735)*DA735/(1-DF735)</f>
        <v>12.936955619107181</v>
      </c>
      <c r="DI735" s="190"/>
      <c r="DJ735" s="177"/>
      <c r="DK735" s="189">
        <f>VLOOKUP($H735,RoR!$E:$F,2,FALSE)</f>
        <v>7.0824999999999999E-2</v>
      </c>
      <c r="DL735" s="191">
        <f>HLOOKUP($H735,'GDP-PI'!$D$8:$CQ$11,3,FALSE)</f>
        <v>2.2454495382290052E-2</v>
      </c>
      <c r="DM735" s="189">
        <f>VLOOKUP(H735,'HW Dx Data'!$E:$F,2,FALSE)</f>
        <v>353.44738017483138</v>
      </c>
      <c r="DN735" s="183">
        <f>VLOOKUP(H735,'ECI - Input Price'!$G$17:$H$37,2,FALSE)</f>
        <v>86.2</v>
      </c>
      <c r="DO735" s="177"/>
      <c r="DP735" s="183">
        <f>HLOOKUP(H735,'GDP-PI'!$8:$9,2,FALSE)</f>
        <v>79.822000000000003</v>
      </c>
    </row>
    <row r="736" spans="1:121" s="167" customFormat="1" ht="21" x14ac:dyDescent="0.35">
      <c r="A736" s="167" t="s">
        <v>76</v>
      </c>
      <c r="B736" s="168" t="s">
        <v>76</v>
      </c>
      <c r="C736" s="168">
        <v>4012860</v>
      </c>
      <c r="D736" s="168" t="s">
        <v>143</v>
      </c>
      <c r="E736" s="168"/>
      <c r="F736" s="168"/>
      <c r="G736" s="168" t="s">
        <v>8</v>
      </c>
      <c r="H736" s="169">
        <v>2002</v>
      </c>
      <c r="I736" s="170"/>
      <c r="J736" s="166"/>
      <c r="K736" s="166"/>
      <c r="L736" s="166"/>
      <c r="M736" s="166"/>
      <c r="N736" s="196"/>
      <c r="O736" s="166"/>
      <c r="P736" s="166"/>
      <c r="Q736" s="166"/>
      <c r="R736" s="166"/>
      <c r="S736" s="166"/>
      <c r="T736" s="166"/>
      <c r="U736" s="166"/>
      <c r="V736" s="166">
        <f t="shared" si="2156"/>
        <v>28357.641409014195</v>
      </c>
      <c r="W736" s="170"/>
      <c r="X736" s="174">
        <v>2265.1727158680715</v>
      </c>
      <c r="Y736" s="175">
        <v>4.3255709239647104E-2</v>
      </c>
      <c r="Z736" s="175"/>
      <c r="AA736" s="175"/>
      <c r="AB736" s="175"/>
      <c r="AC736" s="170">
        <f t="shared" si="2068"/>
        <v>28357.641409014195</v>
      </c>
      <c r="AD736" s="175"/>
      <c r="AE736" s="170"/>
      <c r="AF736" s="170"/>
      <c r="AG736" s="174"/>
      <c r="AH736" s="175"/>
      <c r="AI736" s="175"/>
      <c r="AJ736" s="174"/>
      <c r="AK736" s="174"/>
      <c r="AL736" s="120"/>
      <c r="AM736" s="120"/>
      <c r="AN736" s="120"/>
      <c r="AO736" s="120"/>
      <c r="AP736" s="120"/>
      <c r="AQ736" s="175"/>
      <c r="AR736" s="120"/>
      <c r="AS736" s="120"/>
      <c r="AT736" s="120"/>
      <c r="AU736" s="120"/>
      <c r="AV736" s="120"/>
      <c r="AW736" s="120"/>
      <c r="AX736" s="120"/>
      <c r="AY736" s="120"/>
      <c r="AZ736" s="118">
        <f>IFERROR(INDEX('Total Customers'!$F$7:$AB$91,MATCH($C736,'Total Customers'!$D$7:$D$91,0),MATCH($G736,'Total Customers'!$F$5:$AB$5,0)),"NA")</f>
        <v>735439</v>
      </c>
      <c r="BA736" s="119">
        <f t="shared" si="2157"/>
        <v>4.6257880700713905E-2</v>
      </c>
      <c r="BB736" s="119"/>
      <c r="BC736" s="121"/>
      <c r="BD736" s="119"/>
      <c r="BE736" s="119"/>
      <c r="BF736" s="119"/>
      <c r="BG736" s="173"/>
      <c r="BH736" s="173"/>
      <c r="BI736" s="173"/>
      <c r="BJ736" s="173"/>
      <c r="BK736" s="173"/>
      <c r="BL736" s="173"/>
      <c r="BM736" s="173"/>
      <c r="BN736" s="173"/>
      <c r="BO736" s="173"/>
      <c r="BP736" s="173"/>
      <c r="BQ736" s="118"/>
      <c r="BR736" s="118"/>
      <c r="BS736" s="118">
        <f>INDEX('Dist. Plant Gas Additions'!$F$7:$AE$91,MATCH($C736,'Dist. Plant Gas Additions'!$D$7:$D$91,0),MATCH(Calculation!$G736,'Dist. Plant Gas Additions'!$F$5:$AE$5,0))</f>
        <v>37118</v>
      </c>
      <c r="BT736" s="118">
        <f>INDEX('Gen. Plant Additions'!$F$7:$AE$91,MATCH($C736,'Gen. Plant Additions'!$D$7:$D$91,0),MATCH(Calculation!$G736,'Gen. Plant Additions'!$F$5:$AE$5,0))</f>
        <v>2134</v>
      </c>
      <c r="BU736" s="118"/>
      <c r="BV736" s="118"/>
      <c r="BW736" s="118">
        <f>INDEX('Dist Plant Depreciation'!$E$7:$AD$94,MATCH($C736,'Dist Plant Depreciation'!$D$7:$D$94,0),MATCH(Calculation!$G736,'Dist Plant Depreciation'!$E$5:$AD$5,0))</f>
        <v>724461</v>
      </c>
      <c r="BX736" s="118">
        <f>INDEX('Gen. Plant Depreciation'!$E$7:$AD$94,MATCH($C736,'Gen. Plant Depreciation'!$D$7:$D$94,0),MATCH(Calculation!$G736,'Gen. Plant Depreciation'!$E$5:$AD$5,0))</f>
        <v>43750</v>
      </c>
      <c r="BY736" s="118"/>
      <c r="BZ736" s="118"/>
      <c r="CA736" s="118"/>
      <c r="CB736" s="118"/>
      <c r="CC736" s="118"/>
      <c r="CD736" s="118"/>
      <c r="CE736" s="118">
        <f>INDEX('Gross Dx Plant'!$E$7:$AD$91,MATCH($C736,'Gross Dx Plant'!$D$7:$D$91,0),MATCH(Calculation!$G736,'Gross Dx Plant'!$E$5:$AD$5,0))</f>
        <v>977287</v>
      </c>
      <c r="CF736" s="118">
        <f>INDEX('Gross Gen Plant'!$E$7:$AD$91,MATCH($C736,'Gross Gen Plant'!$D$7:$D$91,0),MATCH(Calculation!$G736,'Gross Gen Plant'!$E$5:$AD$5,0))</f>
        <v>90770</v>
      </c>
      <c r="CG736" s="118">
        <f t="shared" si="2136"/>
        <v>299846</v>
      </c>
      <c r="CH736" s="118"/>
      <c r="CI736" s="121">
        <v>2002</v>
      </c>
      <c r="CJ736" s="118"/>
      <c r="CK736" s="118"/>
      <c r="CL736" s="118"/>
      <c r="CM736" s="183"/>
      <c r="CN736" s="118">
        <f t="shared" si="2158"/>
        <v>39252</v>
      </c>
      <c r="CO736" s="118">
        <f t="shared" si="2159"/>
        <v>108.626537290575</v>
      </c>
      <c r="CP736" s="186">
        <v>0.97916666666666663</v>
      </c>
      <c r="CQ736" s="118">
        <f>+CQ732*CP736+CO733*CP735+CO734*CP734+CO735*CP733+CO736</f>
        <v>2265.1727158680715</v>
      </c>
      <c r="CR736" s="119">
        <f t="shared" si="2160"/>
        <v>4.3255709239647104E-2</v>
      </c>
      <c r="CS736" s="119"/>
      <c r="CT736" s="177">
        <f t="shared" si="2161"/>
        <v>5.8700540011547477E-3</v>
      </c>
      <c r="CU736" s="177">
        <f t="shared" ref="CU736:CU755" si="2169">+(CT736+CT735+CT734)/3</f>
        <v>5.2924241404970129E-3</v>
      </c>
      <c r="CV736" s="119">
        <f>VLOOKUP($H736,RoR!$E:$F,2,FALSE)</f>
        <v>6.4916666666666664E-2</v>
      </c>
      <c r="CW736" s="177">
        <v>1.5246423291824351E-2</v>
      </c>
      <c r="CX736" s="177">
        <f t="shared" si="2167"/>
        <v>4.9670243374842313E-2</v>
      </c>
      <c r="CY736" s="177">
        <f t="shared" ref="CY736:CY755" si="2170">+$CX$35-CU736</f>
        <v>2.5609517468036611E-2</v>
      </c>
      <c r="CZ736" s="177">
        <f t="shared" ref="CZ736:CZ755" si="2171">+((DM734/DM733-1)+(DM735/DM734-1)+(DM736/DM735-1))/3</f>
        <v>2.5243621214759093E-2</v>
      </c>
      <c r="DA736" s="187">
        <f t="shared" si="2162"/>
        <v>0.85003812624999997</v>
      </c>
      <c r="DB736" s="188">
        <f t="shared" si="2163"/>
        <v>0.78996741384417901</v>
      </c>
      <c r="DC736" s="188">
        <f t="shared" si="2164"/>
        <v>0.58989088575096271</v>
      </c>
      <c r="DD736" s="188">
        <f t="shared" si="2165"/>
        <v>0.91920675783645744</v>
      </c>
      <c r="DE736" s="188">
        <f t="shared" si="2166"/>
        <v>0.42834536472275586</v>
      </c>
      <c r="DF736" s="189">
        <f>INDEX('State Tax Lookup'!$D$7:$Z$91,MATCH(Calculation!$C736,'State Tax Lookup'!$B$7:$B$91,0),MATCH($H736,'State Tax Lookup'!$D$6:$Z$6,0))</f>
        <v>0.39989833000000002</v>
      </c>
      <c r="DG736" s="189">
        <v>0.375</v>
      </c>
      <c r="DH736" s="190">
        <f t="shared" si="2168"/>
        <v>13.07237507948631</v>
      </c>
      <c r="DI736" s="190"/>
      <c r="DJ736" s="177"/>
      <c r="DK736" s="189">
        <f>VLOOKUP($H736,RoR!$E:$F,2,FALSE)</f>
        <v>6.4916666666666664E-2</v>
      </c>
      <c r="DL736" s="191">
        <f>HLOOKUP($H736,'GDP-PI'!$D$8:$CQ$11,3,FALSE)</f>
        <v>1.5246423291824351E-2</v>
      </c>
      <c r="DM736" s="189">
        <f>VLOOKUP(H736,'HW Dx Data'!$E:$F,2,FALSE)</f>
        <v>361.34816573413599</v>
      </c>
      <c r="DN736" s="183">
        <f>VLOOKUP(H736,'ECI - Input Price'!$G$17:$H$37,2,FALSE)</f>
        <v>89.275000000000006</v>
      </c>
      <c r="DO736" s="177">
        <f>LN(DN736/DN735)</f>
        <v>3.5051315810864674E-2</v>
      </c>
      <c r="DP736" s="183">
        <f>HLOOKUP(H736,'GDP-PI'!$8:$9,2,FALSE)</f>
        <v>81.039000000000001</v>
      </c>
      <c r="DQ736" s="177">
        <f>LN(DP736/DP735)</f>
        <v>1.513136459537477E-2</v>
      </c>
    </row>
    <row r="737" spans="1:121" s="167" customFormat="1" ht="21" x14ac:dyDescent="0.35">
      <c r="A737" s="167" t="s">
        <v>76</v>
      </c>
      <c r="B737" s="168" t="s">
        <v>76</v>
      </c>
      <c r="C737" s="168">
        <v>4012860</v>
      </c>
      <c r="D737" s="168" t="s">
        <v>143</v>
      </c>
      <c r="E737" s="168"/>
      <c r="F737" s="168"/>
      <c r="G737" s="168" t="s">
        <v>9</v>
      </c>
      <c r="H737" s="169">
        <v>2003</v>
      </c>
      <c r="I737" s="170"/>
      <c r="J737" s="166"/>
      <c r="K737" s="166"/>
      <c r="L737" s="166"/>
      <c r="M737" s="172"/>
      <c r="N737" s="196"/>
      <c r="O737" s="172"/>
      <c r="P737" s="166"/>
      <c r="Q737" s="166"/>
      <c r="R737" s="166"/>
      <c r="S737" s="166"/>
      <c r="T737" s="166"/>
      <c r="U737" s="166"/>
      <c r="V737" s="166">
        <f t="shared" si="2156"/>
        <v>30077.878307359992</v>
      </c>
      <c r="W737" s="170"/>
      <c r="X737" s="174">
        <v>2365.518630133437</v>
      </c>
      <c r="Y737" s="175">
        <v>4.3346281553662255E-2</v>
      </c>
      <c r="Z737" s="175"/>
      <c r="AA737" s="175"/>
      <c r="AB737" s="175"/>
      <c r="AC737" s="170">
        <f t="shared" si="2068"/>
        <v>30077.878307359992</v>
      </c>
      <c r="AD737" s="175"/>
      <c r="AE737" s="170"/>
      <c r="AF737" s="170"/>
      <c r="AG737" s="174"/>
      <c r="AH737" s="175"/>
      <c r="AI737" s="175"/>
      <c r="AJ737" s="174"/>
      <c r="AK737" s="174"/>
      <c r="AL737" s="120"/>
      <c r="AM737" s="120"/>
      <c r="AN737" s="120"/>
      <c r="AO737" s="120"/>
      <c r="AP737" s="120"/>
      <c r="AQ737" s="175"/>
      <c r="AR737" s="120"/>
      <c r="AS737" s="120"/>
      <c r="AT737" s="120"/>
      <c r="AU737" s="120"/>
      <c r="AV737" s="120"/>
      <c r="AW737" s="120"/>
      <c r="AX737" s="120"/>
      <c r="AY737" s="120"/>
      <c r="AZ737" s="118">
        <f>IFERROR(INDEX('Total Customers'!$F$7:$AB$91,MATCH($C737,'Total Customers'!$D$7:$D$91,0),MATCH($G737,'Total Customers'!$F$5:$AB$5,0)),"NA")</f>
        <v>715066</v>
      </c>
      <c r="BA737" s="119">
        <f t="shared" si="2157"/>
        <v>-2.8092753698122797E-2</v>
      </c>
      <c r="BB737" s="119"/>
      <c r="BC737" s="121"/>
      <c r="BD737" s="119"/>
      <c r="BE737" s="119"/>
      <c r="BF737" s="119"/>
      <c r="BG737" s="173"/>
      <c r="BH737" s="173"/>
      <c r="BI737" s="173"/>
      <c r="BJ737" s="173"/>
      <c r="BK737" s="173"/>
      <c r="BL737" s="173"/>
      <c r="BM737" s="173"/>
      <c r="BN737" s="173"/>
      <c r="BO737" s="173"/>
      <c r="BP737" s="173"/>
      <c r="BQ737" s="118"/>
      <c r="BR737" s="118"/>
      <c r="BS737" s="118">
        <f>INDEX('Dist. Plant Gas Additions'!$F$7:$AE$91,MATCH($C737,'Dist. Plant Gas Additions'!$D$7:$D$91,0),MATCH(Calculation!$G737,'Dist. Plant Gas Additions'!$F$5:$AE$5,0))</f>
        <v>40086</v>
      </c>
      <c r="BT737" s="118">
        <f>INDEX('Gen. Plant Additions'!$F$7:$AE$91,MATCH($C737,'Gen. Plant Additions'!$D$7:$D$91,0),MATCH(Calculation!$G737,'Gen. Plant Additions'!$F$5:$AE$5,0))</f>
        <v>1676</v>
      </c>
      <c r="BU737" s="118"/>
      <c r="BV737" s="118"/>
      <c r="BW737" s="118">
        <f>INDEX('Dist Plant Depreciation'!$E$7:$AD$94,MATCH($C737,'Dist Plant Depreciation'!$D$7:$D$94,0),MATCH(Calculation!$G737,'Dist Plant Depreciation'!$E$5:$AD$5,0))</f>
        <v>776416</v>
      </c>
      <c r="BX737" s="118">
        <f>INDEX('Gen. Plant Depreciation'!$E$7:$AD$94,MATCH($C737,'Gen. Plant Depreciation'!$D$7:$D$94,0),MATCH(Calculation!$G737,'Gen. Plant Depreciation'!$E$5:$AD$5,0))</f>
        <v>46909</v>
      </c>
      <c r="BY737" s="118"/>
      <c r="BZ737" s="118"/>
      <c r="CA737" s="118"/>
      <c r="CB737" s="118"/>
      <c r="CC737" s="118"/>
      <c r="CD737" s="118"/>
      <c r="CE737" s="118">
        <f>INDEX('Gross Dx Plant'!$E$7:$AD$91,MATCH($C737,'Gross Dx Plant'!$D$7:$D$91,0),MATCH(Calculation!$G737,'Gross Dx Plant'!$E$5:$AD$5,0))</f>
        <v>1013836</v>
      </c>
      <c r="CF737" s="118">
        <f>INDEX('Gross Gen Plant'!$E$7:$AD$91,MATCH($C737,'Gross Gen Plant'!$D$7:$D$91,0),MATCH(Calculation!$G737,'Gross Gen Plant'!$E$5:$AD$5,0))</f>
        <v>90959</v>
      </c>
      <c r="CG737" s="118">
        <f t="shared" si="2136"/>
        <v>281470</v>
      </c>
      <c r="CH737" s="118"/>
      <c r="CI737" s="121">
        <v>2003</v>
      </c>
      <c r="CJ737" s="118"/>
      <c r="CK737" s="118"/>
      <c r="CL737" s="118"/>
      <c r="CM737" s="183"/>
      <c r="CN737" s="118">
        <f t="shared" si="2158"/>
        <v>41762</v>
      </c>
      <c r="CO737" s="118">
        <f t="shared" si="2159"/>
        <v>113.10472996961161</v>
      </c>
      <c r="CP737" s="186">
        <v>0.97354497354497349</v>
      </c>
      <c r="CQ737" s="118">
        <f>+CQ732*CP737+CO733*CP736+CO734*CP735+CO735*CP734+CO736*CP733+CO737</f>
        <v>2365.518630133437</v>
      </c>
      <c r="CR737" s="119">
        <f t="shared" si="2160"/>
        <v>4.3346281553662255E-2</v>
      </c>
      <c r="CS737" s="119"/>
      <c r="CT737" s="177">
        <f t="shared" si="2161"/>
        <v>5.6326017062043651E-3</v>
      </c>
      <c r="CU737" s="177">
        <f t="shared" si="2169"/>
        <v>5.4558587041663052E-3</v>
      </c>
      <c r="CV737" s="119">
        <f>VLOOKUP($H737,RoR!$E:$F,2,FALSE)</f>
        <v>5.6666666666666671E-2</v>
      </c>
      <c r="CW737" s="177">
        <v>1.8855119140166909E-2</v>
      </c>
      <c r="CX737" s="177">
        <f t="shared" si="2167"/>
        <v>3.7811547526499761E-2</v>
      </c>
      <c r="CY737" s="177">
        <f t="shared" si="2170"/>
        <v>2.5446082904367319E-2</v>
      </c>
      <c r="CZ737" s="177">
        <f t="shared" si="2171"/>
        <v>2.1375012817671957E-2</v>
      </c>
      <c r="DA737" s="187">
        <f t="shared" si="2162"/>
        <v>0.85003812624999997</v>
      </c>
      <c r="DB737" s="188">
        <f t="shared" si="2163"/>
        <v>0.90497737556561086</v>
      </c>
      <c r="DC737" s="188">
        <f t="shared" si="2164"/>
        <v>0.5338235294117647</v>
      </c>
      <c r="DD737" s="188">
        <f t="shared" si="2165"/>
        <v>0.88972433127405692</v>
      </c>
      <c r="DE737" s="188">
        <f t="shared" si="2166"/>
        <v>0.42982423775949252</v>
      </c>
      <c r="DF737" s="189">
        <f>INDEX('State Tax Lookup'!$D$7:$Z$91,MATCH(Calculation!$C737,'State Tax Lookup'!$B$7:$B$91,0),MATCH($H737,'State Tax Lookup'!$D$6:$Z$6,0))</f>
        <v>0.39989833000000002</v>
      </c>
      <c r="DG737" s="189">
        <v>0.375</v>
      </c>
      <c r="DH737" s="190">
        <f t="shared" si="2168"/>
        <v>13.278403936555181</v>
      </c>
      <c r="DI737" s="190"/>
      <c r="DJ737" s="177"/>
      <c r="DK737" s="189">
        <f>VLOOKUP($H737,RoR!$E:$F,2,FALSE)</f>
        <v>5.6666666666666671E-2</v>
      </c>
      <c r="DL737" s="191">
        <f>HLOOKUP($H737,'GDP-PI'!$D$8:$CQ$11,3,FALSE)</f>
        <v>1.8855119140166909E-2</v>
      </c>
      <c r="DM737" s="189">
        <f>VLOOKUP(H737,'HW Dx Data'!$E:$F,2,FALSE)</f>
        <v>369.23301095560191</v>
      </c>
      <c r="DN737" s="183">
        <f>VLOOKUP(H737,'ECI - Input Price'!$G$17:$H$37,2,FALSE)</f>
        <v>92.625</v>
      </c>
      <c r="DO737" s="177">
        <f t="shared" ref="DO737" si="2172">LN(DN737/DN736)</f>
        <v>3.6837590135738785E-2</v>
      </c>
      <c r="DP737" s="183">
        <f>HLOOKUP(H737,'GDP-PI'!$8:$9,2,FALSE)</f>
        <v>82.566999999999993</v>
      </c>
      <c r="DQ737" s="177">
        <f t="shared" ref="DQ737" si="2173">LN(DP737/DP736)</f>
        <v>1.8679564681853753E-2</v>
      </c>
    </row>
    <row r="738" spans="1:121" s="167" customFormat="1" ht="21" x14ac:dyDescent="0.35">
      <c r="A738" s="167" t="s">
        <v>76</v>
      </c>
      <c r="B738" s="168" t="s">
        <v>76</v>
      </c>
      <c r="C738" s="168">
        <v>4012860</v>
      </c>
      <c r="D738" s="168" t="s">
        <v>143</v>
      </c>
      <c r="E738" s="168"/>
      <c r="F738" s="168"/>
      <c r="G738" s="168" t="s">
        <v>10</v>
      </c>
      <c r="H738" s="169">
        <v>2004</v>
      </c>
      <c r="I738" s="170"/>
      <c r="J738" s="166">
        <f>IFERROR(INDEX('Labor Expenditures'!$F$7:$X$91,MATCH($C738,'Labor Expenditures'!$D$7:$D$91,0),MATCH($G738,'Labor Expenditures'!$F$5:$X$5,0)),"NA")</f>
        <v>55225.789681167189</v>
      </c>
      <c r="K738" s="166">
        <f t="shared" ref="K738:K755" si="2174">+J738/DN738</f>
        <v>574.22188386968742</v>
      </c>
      <c r="L738" s="172"/>
      <c r="M738" s="172"/>
      <c r="N738" s="196"/>
      <c r="O738" s="172"/>
      <c r="P738" s="166">
        <f>IFERROR(INDEX('Non-Labor Expenditures'!$F$7:$AB$91,MATCH($C738,'Non-Labor Expenditures'!$D$7:$D$91,0),MATCH($G738,'Non-Labor Expenditures'!$F$5:$AB$5,0)),"NA")</f>
        <v>79977.258213030465</v>
      </c>
      <c r="Q738" s="166">
        <f t="shared" ref="Q738:Q755" si="2175">+P738/DP738</f>
        <v>943.37278790524033</v>
      </c>
      <c r="R738" s="166"/>
      <c r="S738" s="166"/>
      <c r="T738" s="166"/>
      <c r="U738" s="166"/>
      <c r="V738" s="166">
        <f t="shared" si="2156"/>
        <v>34751.86446386348</v>
      </c>
      <c r="W738" s="170"/>
      <c r="X738" s="174">
        <v>2440.8948912991741</v>
      </c>
      <c r="Y738" s="175">
        <v>3.1367438966896054E-2</v>
      </c>
      <c r="Z738" s="175"/>
      <c r="AA738" s="175"/>
      <c r="AB738" s="175"/>
      <c r="AC738" s="170">
        <f t="shared" si="2068"/>
        <v>169954.91235806115</v>
      </c>
      <c r="AD738" s="175"/>
      <c r="AE738" s="170"/>
      <c r="AF738" s="170"/>
      <c r="AG738" s="174"/>
      <c r="AH738" s="175"/>
      <c r="AI738" s="175"/>
      <c r="AJ738" s="174"/>
      <c r="AK738" s="174"/>
      <c r="AL738" s="120">
        <f t="shared" ref="AL738:AL755" si="2176">+J738/AC738</f>
        <v>0.32494376840851441</v>
      </c>
      <c r="AM738" s="120">
        <f t="shared" ref="AM738:AM755" si="2177">+P738/AC738</f>
        <v>0.4705792677797645</v>
      </c>
      <c r="AN738" s="120">
        <f t="shared" ref="AN738:AN755" si="2178">+V738/AC738</f>
        <v>0.20447696381172098</v>
      </c>
      <c r="AO738" s="120"/>
      <c r="AP738" s="120"/>
      <c r="AQ738" s="175"/>
      <c r="AR738" s="120"/>
      <c r="AS738" s="120"/>
      <c r="AT738" s="120"/>
      <c r="AU738" s="120"/>
      <c r="AV738" s="120"/>
      <c r="AW738" s="120"/>
      <c r="AX738" s="120"/>
      <c r="AY738" s="120"/>
      <c r="AZ738" s="118">
        <f>IFERROR(INDEX('Total Customers'!$F$7:$AB$91,MATCH($C738,'Total Customers'!$D$7:$D$91,0),MATCH($G738,'Total Customers'!$F$5:$AB$5,0)),"NA")</f>
        <v>654096</v>
      </c>
      <c r="BA738" s="119">
        <f t="shared" si="2157"/>
        <v>-8.9120716450647799E-2</v>
      </c>
      <c r="BB738" s="119"/>
      <c r="BC738" s="121"/>
      <c r="BD738" s="119"/>
      <c r="BE738" s="119"/>
      <c r="BF738" s="119"/>
      <c r="BG738" s="173"/>
      <c r="BH738" s="173"/>
      <c r="BI738" s="173"/>
      <c r="BJ738" s="173"/>
      <c r="BK738" s="173"/>
      <c r="BL738" s="173"/>
      <c r="BM738" s="173"/>
      <c r="BN738" s="173"/>
      <c r="BO738" s="173"/>
      <c r="BP738" s="173"/>
      <c r="BQ738" s="118"/>
      <c r="BR738" s="118"/>
      <c r="BS738" s="118">
        <f>INDEX('Dist. Plant Gas Additions'!$F$7:$AE$91,MATCH($C738,'Dist. Plant Gas Additions'!$D$7:$D$91,0),MATCH(Calculation!$G738,'Dist. Plant Gas Additions'!$F$5:$AE$5,0))</f>
        <v>36162</v>
      </c>
      <c r="BT738" s="118">
        <f>INDEX('Gen. Plant Additions'!$F$7:$AE$91,MATCH($C738,'Gen. Plant Additions'!$D$7:$D$91,0),MATCH(Calculation!$G738,'Gen. Plant Additions'!$F$5:$AE$5,0))</f>
        <v>807</v>
      </c>
      <c r="BU738" s="118"/>
      <c r="BV738" s="118"/>
      <c r="BW738" s="118">
        <f>INDEX('Dist Plant Depreciation'!$E$7:$AD$94,MATCH($C738,'Dist Plant Depreciation'!$D$7:$D$94,0),MATCH(Calculation!$G738,'Dist Plant Depreciation'!$E$5:$AD$5,0))</f>
        <v>832691</v>
      </c>
      <c r="BX738" s="118">
        <f>INDEX('Gen. Plant Depreciation'!$E$7:$AD$94,MATCH($C738,'Gen. Plant Depreciation'!$D$7:$D$94,0),MATCH(Calculation!$G738,'Gen. Plant Depreciation'!$E$5:$AD$5,0))</f>
        <v>43241</v>
      </c>
      <c r="BY738" s="118"/>
      <c r="BZ738" s="118"/>
      <c r="CA738" s="118"/>
      <c r="CB738" s="118"/>
      <c r="CC738" s="118"/>
      <c r="CD738" s="118"/>
      <c r="CE738" s="118">
        <f>INDEX('Gross Dx Plant'!$E$7:$AD$91,MATCH($C738,'Gross Dx Plant'!$D$7:$D$91,0),MATCH(Calculation!$G738,'Gross Dx Plant'!$E$5:$AD$5,0))</f>
        <v>1051384</v>
      </c>
      <c r="CF738" s="118">
        <f>INDEX('Gross Gen Plant'!$E$7:$AD$91,MATCH($C738,'Gross Gen Plant'!$D$7:$D$91,0),MATCH(Calculation!$G738,'Gross Gen Plant'!$E$5:$AD$5,0))</f>
        <v>82681</v>
      </c>
      <c r="CG738" s="118">
        <f t="shared" si="2136"/>
        <v>258133</v>
      </c>
      <c r="CH738" s="118"/>
      <c r="CI738" s="121">
        <v>2004</v>
      </c>
      <c r="CJ738" s="118"/>
      <c r="CK738" s="118"/>
      <c r="CL738" s="118"/>
      <c r="CM738" s="183"/>
      <c r="CN738" s="118">
        <f t="shared" si="2158"/>
        <v>36969</v>
      </c>
      <c r="CO738" s="118">
        <f t="shared" si="2159"/>
        <v>89.106149263136345</v>
      </c>
      <c r="CP738" s="186">
        <v>0.967741935483871</v>
      </c>
      <c r="CQ738" s="118">
        <f>+CQ732*CP738+CO733*CP737+CO734*CP736+CO735*CP735+CO736*CP734+CO737*CP733+CO738</f>
        <v>2440.8948912991741</v>
      </c>
      <c r="CR738" s="119">
        <f t="shared" si="2160"/>
        <v>3.1367438966896054E-2</v>
      </c>
      <c r="CS738" s="119"/>
      <c r="CT738" s="177">
        <f t="shared" si="2161"/>
        <v>5.8041766919522198E-3</v>
      </c>
      <c r="CU738" s="177">
        <f t="shared" si="2169"/>
        <v>5.7689441331037787E-3</v>
      </c>
      <c r="CV738" s="119">
        <f>VLOOKUP($H738,RoR!$E:$F,2,FALSE)</f>
        <v>5.6283333333333331E-2</v>
      </c>
      <c r="CW738" s="177">
        <v>2.6778252812867276E-2</v>
      </c>
      <c r="CX738" s="177">
        <f t="shared" si="2167"/>
        <v>2.9505080520466055E-2</v>
      </c>
      <c r="CY738" s="177">
        <f t="shared" si="2170"/>
        <v>2.5132997475429845E-2</v>
      </c>
      <c r="CZ738" s="177">
        <f t="shared" si="2171"/>
        <v>5.5940039414565046E-2</v>
      </c>
      <c r="DA738" s="187">
        <f t="shared" si="2162"/>
        <v>0.85003812624999997</v>
      </c>
      <c r="DB738" s="188">
        <f t="shared" si="2163"/>
        <v>0.91114097628755619</v>
      </c>
      <c r="DC738" s="188">
        <f t="shared" si="2164"/>
        <v>0.53081877405981637</v>
      </c>
      <c r="DD738" s="188">
        <f t="shared" si="2165"/>
        <v>0.88811215519385678</v>
      </c>
      <c r="DE738" s="188">
        <f t="shared" si="2166"/>
        <v>0.42953609753547711</v>
      </c>
      <c r="DF738" s="189">
        <f>INDEX('State Tax Lookup'!$D$7:$Z$91,MATCH(Calculation!$C738,'State Tax Lookup'!$B$7:$B$91,0),MATCH($H738,'State Tax Lookup'!$D$6:$Z$6,0))</f>
        <v>0.39989833000000002</v>
      </c>
      <c r="DG738" s="189">
        <v>0.375</v>
      </c>
      <c r="DH738" s="190">
        <f t="shared" si="2168"/>
        <v>14.691012795744987</v>
      </c>
      <c r="DI738" s="190"/>
      <c r="DJ738" s="177"/>
      <c r="DK738" s="189">
        <f>VLOOKUP($H738,RoR!$E:$F,2,FALSE)</f>
        <v>5.6283333333333331E-2</v>
      </c>
      <c r="DL738" s="191">
        <f>HLOOKUP($H738,'GDP-PI'!$D$8:$CQ$11,3,FALSE)</f>
        <v>2.6778252812867276E-2</v>
      </c>
      <c r="DM738" s="189">
        <f>VLOOKUP(H738,'HW Dx Data'!$E:$F,2,FALSE)</f>
        <v>414.88719135228365</v>
      </c>
      <c r="DN738" s="183">
        <f>VLOOKUP(H738,'ECI - Input Price'!$G$17:$H$37,2,FALSE)</f>
        <v>96.174999999999997</v>
      </c>
      <c r="DO738" s="177">
        <f t="shared" ref="DO738" si="2179">LN(DN738/DN737)</f>
        <v>3.7610365022107912E-2</v>
      </c>
      <c r="DP738" s="183">
        <f>HLOOKUP(H738,'GDP-PI'!$8:$9,2,FALSE)</f>
        <v>84.778000000000006</v>
      </c>
      <c r="DQ738" s="177">
        <f t="shared" ref="DQ738" si="2180">LN(DP738/DP737)</f>
        <v>2.6425990216022755E-2</v>
      </c>
    </row>
    <row r="739" spans="1:121" s="167" customFormat="1" ht="21" x14ac:dyDescent="0.35">
      <c r="A739" s="167" t="s">
        <v>76</v>
      </c>
      <c r="B739" s="168" t="s">
        <v>76</v>
      </c>
      <c r="C739" s="168">
        <v>4012860</v>
      </c>
      <c r="D739" s="168" t="s">
        <v>143</v>
      </c>
      <c r="E739" s="168"/>
      <c r="F739" s="168"/>
      <c r="G739" s="168" t="s">
        <v>11</v>
      </c>
      <c r="H739" s="169">
        <v>2005</v>
      </c>
      <c r="I739" s="170"/>
      <c r="J739" s="166">
        <f>IFERROR(INDEX('Labor Expenditures'!$F$7:$X$91,MATCH($C739,'Labor Expenditures'!$D$7:$D$91,0),MATCH($G739,'Labor Expenditures'!$F$5:$X$5,0)),"NA")</f>
        <v>57117.807367375484</v>
      </c>
      <c r="K739" s="166">
        <f t="shared" si="2174"/>
        <v>576.07470869768508</v>
      </c>
      <c r="L739" s="172">
        <f t="shared" ref="L739:L755" si="2181">LN(K739/K738)</f>
        <v>3.2214759955646408E-3</v>
      </c>
      <c r="M739" s="172"/>
      <c r="N739" s="196"/>
      <c r="O739" s="172"/>
      <c r="P739" s="166">
        <f>IFERROR(INDEX('Non-Labor Expenditures'!$F$7:$AB$91,MATCH($C739,'Non-Labor Expenditures'!$D$7:$D$91,0),MATCH($G739,'Non-Labor Expenditures'!$F$5:$AB$5,0)),"NA")</f>
        <v>82717.253202818785</v>
      </c>
      <c r="Q739" s="166">
        <f t="shared" si="2175"/>
        <v>946.34586706806988</v>
      </c>
      <c r="R739" s="172">
        <f>LN(Q739/Q738)</f>
        <v>3.146586512277335E-3</v>
      </c>
      <c r="S739" s="172"/>
      <c r="T739" s="172"/>
      <c r="U739" s="172"/>
      <c r="V739" s="166">
        <f t="shared" si="2156"/>
        <v>40389.855588388091</v>
      </c>
      <c r="W739" s="170"/>
      <c r="X739" s="174">
        <v>2501.6314443599899</v>
      </c>
      <c r="Y739" s="175">
        <v>2.457836598714731E-2</v>
      </c>
      <c r="Z739" s="175"/>
      <c r="AA739" s="175"/>
      <c r="AB739" s="175"/>
      <c r="AC739" s="170">
        <f t="shared" si="2068"/>
        <v>180224.91615858237</v>
      </c>
      <c r="AD739" s="175">
        <f>LN(AC739/AC738)</f>
        <v>5.8672424636715355E-2</v>
      </c>
      <c r="AE739" s="170"/>
      <c r="AF739" s="170"/>
      <c r="AG739" s="121"/>
      <c r="AH739" s="119"/>
      <c r="AI739" s="119"/>
      <c r="AJ739" s="121"/>
      <c r="AK739" s="121"/>
      <c r="AL739" s="120">
        <f t="shared" si="2176"/>
        <v>0.31692514323112098</v>
      </c>
      <c r="AM739" s="120">
        <f t="shared" si="2177"/>
        <v>0.45896680085030384</v>
      </c>
      <c r="AN739" s="120">
        <f t="shared" si="2178"/>
        <v>0.22410805591857511</v>
      </c>
      <c r="AO739" s="120">
        <f t="shared" ref="AO739:AO755" si="2182">+(((AL739+AL738)/2)*L739+((AM738+AM739)/2)*R739+((AN738+AN739)/2)*Y739)</f>
        <v>7.7632909423890253E-3</v>
      </c>
      <c r="AP739" s="173">
        <v>100</v>
      </c>
      <c r="AQ739" s="175"/>
      <c r="AR739" s="120"/>
      <c r="AS739" s="120"/>
      <c r="AT739" s="120"/>
      <c r="AU739" s="120"/>
      <c r="AV739" s="120"/>
      <c r="AW739" s="120"/>
      <c r="AX739" s="120"/>
      <c r="AY739" s="120"/>
      <c r="AZ739" s="118">
        <f>IFERROR(INDEX('Total Customers'!$F$7:$AB$91,MATCH($C739,'Total Customers'!$D$7:$D$91,0),MATCH($G739,'Total Customers'!$F$5:$AB$5,0)),"NA")</f>
        <v>764604</v>
      </c>
      <c r="BA739" s="119">
        <f t="shared" si="2157"/>
        <v>0.15610392306664495</v>
      </c>
      <c r="BB739" s="119"/>
      <c r="BC739" s="121"/>
      <c r="BD739" s="119"/>
      <c r="BE739" s="119"/>
      <c r="BF739" s="119"/>
      <c r="BG739" s="173"/>
      <c r="BH739" s="173"/>
      <c r="BI739" s="173"/>
      <c r="BJ739" s="173"/>
      <c r="BK739" s="173"/>
      <c r="BL739" s="173"/>
      <c r="BM739" s="173"/>
      <c r="BN739" s="173"/>
      <c r="BO739" s="173"/>
      <c r="BP739" s="173"/>
      <c r="BQ739" s="118"/>
      <c r="BR739" s="118"/>
      <c r="BS739" s="118">
        <f>INDEX('Dist. Plant Gas Additions'!$F$7:$AE$91,MATCH($C739,'Dist. Plant Gas Additions'!$D$7:$D$91,0),MATCH(Calculation!$G739,'Dist. Plant Gas Additions'!$F$5:$AE$5,0))</f>
        <v>32919</v>
      </c>
      <c r="BT739" s="118">
        <f>INDEX('Gen. Plant Additions'!$F$7:$AE$91,MATCH($C739,'Gen. Plant Additions'!$D$7:$D$91,0),MATCH(Calculation!$G739,'Gen. Plant Additions'!$F$5:$AE$5,0))</f>
        <v>2438</v>
      </c>
      <c r="BU739" s="118"/>
      <c r="BV739" s="118"/>
      <c r="BW739" s="118">
        <f>INDEX('Dist Plant Depreciation'!$E$7:$AD$94,MATCH($C739,'Dist Plant Depreciation'!$D$7:$D$94,0),MATCH(Calculation!$G739,'Dist Plant Depreciation'!$E$5:$AD$5,0))</f>
        <v>890318</v>
      </c>
      <c r="BX739" s="118">
        <f>INDEX('Gen. Plant Depreciation'!$E$7:$AD$94,MATCH($C739,'Gen. Plant Depreciation'!$D$7:$D$94,0),MATCH(Calculation!$G739,'Gen. Plant Depreciation'!$E$5:$AD$5,0))</f>
        <v>45731</v>
      </c>
      <c r="BY739" s="118"/>
      <c r="BZ739" s="118"/>
      <c r="CA739" s="118"/>
      <c r="CB739" s="118"/>
      <c r="CC739" s="118"/>
      <c r="CD739" s="118"/>
      <c r="CE739" s="118">
        <f>INDEX('Gross Dx Plant'!$E$7:$AD$91,MATCH($C739,'Gross Dx Plant'!$D$7:$D$91,0),MATCH(Calculation!$G739,'Gross Dx Plant'!$E$5:$AD$5,0))</f>
        <v>1079119</v>
      </c>
      <c r="CF739" s="118">
        <f>INDEX('Gross Gen Plant'!$E$7:$AD$91,MATCH($C739,'Gross Gen Plant'!$D$7:$D$91,0),MATCH(Calculation!$G739,'Gross Gen Plant'!$E$5:$AD$5,0))</f>
        <v>85186</v>
      </c>
      <c r="CG739" s="118">
        <f t="shared" si="2136"/>
        <v>228256</v>
      </c>
      <c r="CH739" s="118"/>
      <c r="CI739" s="121">
        <v>2005</v>
      </c>
      <c r="CJ739" s="118"/>
      <c r="CK739" s="118"/>
      <c r="CL739" s="118"/>
      <c r="CM739" s="183"/>
      <c r="CN739" s="118">
        <f t="shared" si="2158"/>
        <v>35357</v>
      </c>
      <c r="CO739" s="118">
        <f t="shared" si="2159"/>
        <v>75.355099421276051</v>
      </c>
      <c r="CP739" s="186">
        <v>0.96174863387978138</v>
      </c>
      <c r="CQ739" s="118">
        <f>+CQ732*CP739+CO733*CP738+CO734*CP737+CO735*CP736+CO736*CP735+CO737*CP734+CO738*CP733+CO739</f>
        <v>2501.6314443599899</v>
      </c>
      <c r="CR739" s="119">
        <f t="shared" si="2160"/>
        <v>2.457836598714731E-2</v>
      </c>
      <c r="CS739" s="119"/>
      <c r="CT739" s="177">
        <f t="shared" si="2161"/>
        <v>5.9890110027144431E-3</v>
      </c>
      <c r="CU739" s="177">
        <f t="shared" si="2169"/>
        <v>5.8085964669570096E-3</v>
      </c>
      <c r="CV739" s="119">
        <f>VLOOKUP($H739,RoR!$E:$F,2,FALSE)</f>
        <v>5.2350000000000001E-2</v>
      </c>
      <c r="CW739" s="177">
        <v>3.1010403642454332E-2</v>
      </c>
      <c r="CX739" s="177">
        <f t="shared" si="2167"/>
        <v>2.1339596357545669E-2</v>
      </c>
      <c r="CY739" s="177">
        <f t="shared" si="2170"/>
        <v>2.5093345141576615E-2</v>
      </c>
      <c r="CZ739" s="177">
        <f t="shared" si="2171"/>
        <v>9.2129610649277341E-2</v>
      </c>
      <c r="DA739" s="187">
        <f t="shared" si="2162"/>
        <v>0.85003812624999997</v>
      </c>
      <c r="DB739" s="188">
        <f t="shared" si="2163"/>
        <v>0.97959983346802826</v>
      </c>
      <c r="DC739" s="188">
        <f t="shared" si="2164"/>
        <v>0.49744508118433622</v>
      </c>
      <c r="DD739" s="188">
        <f t="shared" si="2165"/>
        <v>0.87010519444335932</v>
      </c>
      <c r="DE739" s="188">
        <f t="shared" si="2166"/>
        <v>0.42399975420741998</v>
      </c>
      <c r="DF739" s="189">
        <f>INDEX('State Tax Lookup'!$D$7:$Z$91,MATCH(Calculation!$C739,'State Tax Lookup'!$B$7:$B$91,0),MATCH($H739,'State Tax Lookup'!$D$6:$Z$6,0))</f>
        <v>0.39989833000000002</v>
      </c>
      <c r="DG739" s="189">
        <v>0.375</v>
      </c>
      <c r="DH739" s="190">
        <f t="shared" si="2168"/>
        <v>16.547150691478755</v>
      </c>
      <c r="DI739" s="190"/>
      <c r="DJ739" s="177"/>
      <c r="DK739" s="189">
        <f>VLOOKUP($H739,RoR!$E:$F,2,FALSE)</f>
        <v>5.2350000000000001E-2</v>
      </c>
      <c r="DL739" s="191">
        <f>HLOOKUP($H739,'GDP-PI'!$D$8:$CQ$11,3,FALSE)</f>
        <v>3.1010403642454332E-2</v>
      </c>
      <c r="DM739" s="189">
        <f>VLOOKUP(H739,'HW Dx Data'!$E:$F,2,FALSE)</f>
        <v>469.20514034936258</v>
      </c>
      <c r="DN739" s="183">
        <f>VLOOKUP(H739,'ECI - Input Price'!$G$17:$H$37,2,FALSE)</f>
        <v>99.15</v>
      </c>
      <c r="DO739" s="177">
        <f t="shared" ref="DO739" si="2183">LN(DN739/DN738)</f>
        <v>3.046440632744625E-2</v>
      </c>
      <c r="DP739" s="183">
        <f>HLOOKUP(H739,'GDP-PI'!$8:$9,2,FALSE)</f>
        <v>87.406999999999996</v>
      </c>
      <c r="DQ739" s="177">
        <f t="shared" ref="DQ739" si="2184">LN(DP739/DP738)</f>
        <v>3.0539295810733648E-2</v>
      </c>
    </row>
    <row r="740" spans="1:121" s="167" customFormat="1" ht="21" x14ac:dyDescent="0.35">
      <c r="A740" s="167" t="s">
        <v>76</v>
      </c>
      <c r="B740" s="168" t="s">
        <v>76</v>
      </c>
      <c r="C740" s="168">
        <v>4012860</v>
      </c>
      <c r="D740" s="168" t="s">
        <v>143</v>
      </c>
      <c r="E740" s="168"/>
      <c r="F740" s="168"/>
      <c r="G740" s="168" t="s">
        <v>12</v>
      </c>
      <c r="H740" s="169">
        <v>2006</v>
      </c>
      <c r="I740" s="170"/>
      <c r="J740" s="166">
        <f>IFERROR(INDEX('Labor Expenditures'!$F$7:$X$91,MATCH($C740,'Labor Expenditures'!$D$7:$D$91,0),MATCH($G740,'Labor Expenditures'!$F$5:$X$5,0)),"NA")</f>
        <v>55777.59994864391</v>
      </c>
      <c r="K740" s="166">
        <f t="shared" si="2174"/>
        <v>546.57128808078312</v>
      </c>
      <c r="L740" s="172">
        <f t="shared" si="2181"/>
        <v>-5.2572610980395756E-2</v>
      </c>
      <c r="M740" s="172">
        <f t="shared" ref="M740:M755" si="2185">+L740*AR740</f>
        <v>-1.1696308920221825E-3</v>
      </c>
      <c r="N740" s="196"/>
      <c r="O740" s="172"/>
      <c r="P740" s="166">
        <f>IFERROR(INDEX('Non-Labor Expenditures'!$F$7:$AB$91,MATCH($C740,'Non-Labor Expenditures'!$D$7:$D$91,0),MATCH($G740,'Non-Labor Expenditures'!$F$5:$AB$5,0)),"NA")</f>
        <v>80776.382544278138</v>
      </c>
      <c r="Q740" s="166">
        <f t="shared" si="2175"/>
        <v>896.77801079421522</v>
      </c>
      <c r="R740" s="172">
        <f t="shared" ref="R740:R755" si="2186">LN(Q740/Q739)</f>
        <v>-5.3799760415801534E-2</v>
      </c>
      <c r="S740" s="172">
        <f>+R740*AR740</f>
        <v>-1.1969324062900092E-3</v>
      </c>
      <c r="T740" s="172"/>
      <c r="U740" s="172"/>
      <c r="V740" s="166">
        <f t="shared" si="2156"/>
        <v>40417.89673655355</v>
      </c>
      <c r="W740" s="170"/>
      <c r="X740" s="174">
        <v>2593.6751631410334</v>
      </c>
      <c r="Y740" s="175">
        <v>3.6132755033834646E-2</v>
      </c>
      <c r="Z740" s="175">
        <f>+Y740*AR740</f>
        <v>8.0387840195348954E-4</v>
      </c>
      <c r="AA740" s="175"/>
      <c r="AB740" s="175"/>
      <c r="AC740" s="170">
        <f t="shared" si="2068"/>
        <v>176971.8792294756</v>
      </c>
      <c r="AD740" s="175">
        <f t="shared" ref="AD740:AD755" si="2187">LN(AC740/AC739)</f>
        <v>-1.8214759544175015E-2</v>
      </c>
      <c r="AE740" s="170"/>
      <c r="AF740" s="170"/>
      <c r="AG740" s="121">
        <f t="shared" ref="AG740:AG755" si="2188">+(AC740*1000)/AZ740</f>
        <v>249.09022472279113</v>
      </c>
      <c r="AH740" s="119">
        <f>+AZ740/$BB$44</f>
        <v>2.0210066952906707E-2</v>
      </c>
      <c r="AI740" s="119"/>
      <c r="AJ740" s="176">
        <f>+AH740*AG740</f>
        <v>5.0341301189621861</v>
      </c>
      <c r="AK740" s="176">
        <f>+AI740*AG740</f>
        <v>0</v>
      </c>
      <c r="AL740" s="120">
        <f t="shared" si="2176"/>
        <v>0.31517775700578005</v>
      </c>
      <c r="AM740" s="120">
        <f t="shared" si="2177"/>
        <v>0.45643625922928216</v>
      </c>
      <c r="AN740" s="120">
        <f t="shared" si="2178"/>
        <v>0.22838598376493782</v>
      </c>
      <c r="AO740" s="120">
        <f t="shared" si="2182"/>
        <v>-3.3064954449876588E-2</v>
      </c>
      <c r="AP740" s="173">
        <f>+AP739*EXP(AO740)</f>
        <v>96.747571569517689</v>
      </c>
      <c r="AQ740" s="175">
        <f>LN(AP740/AP739)</f>
        <v>-3.3064954449876602E-2</v>
      </c>
      <c r="AR740" s="177">
        <f>+AC740/$AE$44</f>
        <v>2.2247913318559277E-2</v>
      </c>
      <c r="AS740" s="177">
        <f>+AR740*AQ740</f>
        <v>-7.3562624048296554E-4</v>
      </c>
      <c r="AT740" s="177"/>
      <c r="AU740" s="177"/>
      <c r="AV740" s="177"/>
      <c r="AW740" s="190"/>
      <c r="AX740" s="120"/>
      <c r="AY740" s="120"/>
      <c r="AZ740" s="118">
        <f>IFERROR(INDEX('Total Customers'!$F$7:$AB$91,MATCH($C740,'Total Customers'!$D$7:$D$91,0),MATCH($G740,'Total Customers'!$F$5:$AB$5,0)),"NA")</f>
        <v>710473</v>
      </c>
      <c r="BA740" s="119">
        <f t="shared" si="2157"/>
        <v>-7.342710733459562E-2</v>
      </c>
      <c r="BB740" s="119"/>
      <c r="BC740" s="121"/>
      <c r="BD740" s="119"/>
      <c r="BE740" s="119"/>
      <c r="BF740" s="119"/>
      <c r="BG740" s="173"/>
      <c r="BH740" s="173"/>
      <c r="BI740" s="173"/>
      <c r="BJ740" s="173"/>
      <c r="BK740" s="173"/>
      <c r="BL740" s="173"/>
      <c r="BM740" s="173"/>
      <c r="BN740" s="173"/>
      <c r="BO740" s="173"/>
      <c r="BP740" s="173"/>
      <c r="BQ740" s="118"/>
      <c r="BR740" s="118"/>
      <c r="BS740" s="118">
        <f>INDEX('Dist. Plant Gas Additions'!$F$7:$AE$91,MATCH($C740,'Dist. Plant Gas Additions'!$D$7:$D$91,0),MATCH(Calculation!$G740,'Dist. Plant Gas Additions'!$F$5:$AE$5,0))</f>
        <v>46886</v>
      </c>
      <c r="BT740" s="118">
        <f>INDEX('Gen. Plant Additions'!$F$7:$AE$91,MATCH($C740,'Gen. Plant Additions'!$D$7:$D$91,0),MATCH(Calculation!$G740,'Gen. Plant Additions'!$F$5:$AE$5,0))</f>
        <v>2689</v>
      </c>
      <c r="BU740" s="118"/>
      <c r="BV740" s="118"/>
      <c r="BW740" s="118">
        <f>INDEX('Dist Plant Depreciation'!$E$7:$AD$94,MATCH($C740,'Dist Plant Depreciation'!$D$7:$D$94,0),MATCH(Calculation!$G740,'Dist Plant Depreciation'!$E$5:$AD$5,0))</f>
        <v>949185</v>
      </c>
      <c r="BX740" s="118">
        <f>INDEX('Gen. Plant Depreciation'!$E$7:$AD$94,MATCH($C740,'Gen. Plant Depreciation'!$D$7:$D$94,0),MATCH(Calculation!$G740,'Gen. Plant Depreciation'!$E$5:$AD$5,0))</f>
        <v>46327</v>
      </c>
      <c r="BY740" s="118"/>
      <c r="BZ740" s="118"/>
      <c r="CA740" s="118"/>
      <c r="CB740" s="118"/>
      <c r="CC740" s="118"/>
      <c r="CD740" s="118"/>
      <c r="CE740" s="118">
        <f>INDEX('Gross Dx Plant'!$E$7:$AD$91,MATCH($C740,'Gross Dx Plant'!$D$7:$D$91,0),MATCH(Calculation!$G740,'Gross Dx Plant'!$E$5:$AD$5,0))</f>
        <v>1121122</v>
      </c>
      <c r="CF740" s="118">
        <f>INDEX('Gross Gen Plant'!$E$7:$AD$91,MATCH($C740,'Gross Gen Plant'!$D$7:$D$91,0),MATCH(Calculation!$G740,'Gross Gen Plant'!$E$5:$AD$5,0))</f>
        <v>84994</v>
      </c>
      <c r="CG740" s="118">
        <f t="shared" si="2136"/>
        <v>210604</v>
      </c>
      <c r="CH740" s="119" t="e">
        <f>SUM(#REF!)/15</f>
        <v>#REF!</v>
      </c>
      <c r="CI740" s="121">
        <v>2006</v>
      </c>
      <c r="CJ740" s="118"/>
      <c r="CK740" s="118"/>
      <c r="CL740" s="118"/>
      <c r="CM740" s="183"/>
      <c r="CN740" s="118">
        <f t="shared" si="2158"/>
        <v>49575</v>
      </c>
      <c r="CO740" s="118">
        <f t="shared" si="2159"/>
        <v>107.51797969888375</v>
      </c>
      <c r="CP740" s="186">
        <v>0.9555555555555556</v>
      </c>
      <c r="CQ740" s="118">
        <f>+CQ732*CP740+CO733*CP739+CO734*CP738+CO735*CP737+CO736*CP736+CO737*CP735+CO738*CP734+CO739*CP733+CO740</f>
        <v>2593.6751631410334</v>
      </c>
      <c r="CR740" s="119">
        <f t="shared" si="2160"/>
        <v>3.6132755033834646E-2</v>
      </c>
      <c r="CS740" s="119"/>
      <c r="CT740" s="177">
        <f t="shared" si="2161"/>
        <v>6.1856677380385094E-3</v>
      </c>
      <c r="CU740" s="177">
        <f t="shared" si="2169"/>
        <v>5.9929518109017241E-3</v>
      </c>
      <c r="CV740" s="119">
        <f>VLOOKUP($H740,RoR!$E:$F,2,FALSE)</f>
        <v>5.5874999999999994E-2</v>
      </c>
      <c r="CW740" s="177">
        <v>3.0512430354548314E-2</v>
      </c>
      <c r="CX740" s="177">
        <f t="shared" si="2167"/>
        <v>2.536256964545168E-2</v>
      </c>
      <c r="CY740" s="177">
        <f t="shared" si="2170"/>
        <v>2.4908989797631901E-2</v>
      </c>
      <c r="CZ740" s="177">
        <f t="shared" si="2171"/>
        <v>7.9087823893859641E-2</v>
      </c>
      <c r="DA740" s="187">
        <f t="shared" si="2162"/>
        <v>0.85003812624999997</v>
      </c>
      <c r="DB740" s="188">
        <f t="shared" si="2163"/>
        <v>0.91779957551769631</v>
      </c>
      <c r="DC740" s="188">
        <f t="shared" si="2164"/>
        <v>0.52757270693512304</v>
      </c>
      <c r="DD740" s="188">
        <f t="shared" si="2165"/>
        <v>0.88636824549024895</v>
      </c>
      <c r="DE740" s="188">
        <f t="shared" si="2166"/>
        <v>0.42918482841932087</v>
      </c>
      <c r="DF740" s="189">
        <f>INDEX('State Tax Lookup'!$D$7:$Z$91,MATCH(Calculation!$C740,'State Tax Lookup'!$B$7:$B$91,0),MATCH($H740,'State Tax Lookup'!$D$6:$Z$6,0))</f>
        <v>0.39989833000000002</v>
      </c>
      <c r="DG740" s="189">
        <v>0.375</v>
      </c>
      <c r="DH740" s="190">
        <f t="shared" si="2168"/>
        <v>16.156615247092862</v>
      </c>
      <c r="DI740" s="190">
        <v>15.688196400203816</v>
      </c>
      <c r="DJ740" s="177"/>
      <c r="DK740" s="189">
        <f>VLOOKUP($H740,RoR!$E:$F,2,FALSE)</f>
        <v>5.5874999999999994E-2</v>
      </c>
      <c r="DL740" s="191">
        <f>HLOOKUP($H740,'GDP-PI'!$D$8:$CQ$11,3,FALSE)</f>
        <v>3.0512430354548314E-2</v>
      </c>
      <c r="DM740" s="189">
        <f>VLOOKUP(H740,'HW Dx Data'!$E:$F,2,FALSE)</f>
        <v>461.08567272971823</v>
      </c>
      <c r="DN740" s="183">
        <f>VLOOKUP(H740,'ECI - Input Price'!$G$17:$H$37,2,FALSE)</f>
        <v>102.05</v>
      </c>
      <c r="DO740" s="177">
        <f t="shared" ref="DO740" si="2189">LN(DN740/DN739)</f>
        <v>2.8829034290048662E-2</v>
      </c>
      <c r="DP740" s="183">
        <f>HLOOKUP(H740,'GDP-PI'!$8:$9,2,FALSE)</f>
        <v>90.073999999999998</v>
      </c>
      <c r="DQ740" s="177">
        <f t="shared" ref="DQ740" si="2190">LN(DP740/DP739)</f>
        <v>3.005618372545445E-2</v>
      </c>
    </row>
    <row r="741" spans="1:121" s="167" customFormat="1" ht="21" x14ac:dyDescent="0.35">
      <c r="A741" s="167" t="s">
        <v>76</v>
      </c>
      <c r="B741" s="168" t="s">
        <v>76</v>
      </c>
      <c r="C741" s="168">
        <v>4012860</v>
      </c>
      <c r="D741" s="168" t="s">
        <v>143</v>
      </c>
      <c r="E741" s="168"/>
      <c r="F741" s="168"/>
      <c r="G741" s="168" t="s">
        <v>13</v>
      </c>
      <c r="H741" s="169">
        <v>2007</v>
      </c>
      <c r="I741" s="170"/>
      <c r="J741" s="166">
        <f>IFERROR(INDEX('Labor Expenditures'!$F$7:$X$91,MATCH($C741,'Labor Expenditures'!$D$7:$D$91,0),MATCH($G741,'Labor Expenditures'!$F$5:$X$5,0)),"NA")</f>
        <v>57300.331631253488</v>
      </c>
      <c r="K741" s="166">
        <f t="shared" si="2174"/>
        <v>544.55055007130898</v>
      </c>
      <c r="L741" s="172">
        <f t="shared" si="2181"/>
        <v>-3.7039682445890476E-3</v>
      </c>
      <c r="M741" s="172">
        <f t="shared" si="2185"/>
        <v>-8.1677465656233758E-5</v>
      </c>
      <c r="N741" s="196"/>
      <c r="O741" s="172"/>
      <c r="P741" s="166">
        <f>IFERROR(INDEX('Non-Labor Expenditures'!$F$7:$AB$91,MATCH($C741,'Non-Labor Expenditures'!$D$7:$D$91,0),MATCH($G741,'Non-Labor Expenditures'!$F$5:$AB$5,0)),"NA")</f>
        <v>82981.582427744157</v>
      </c>
      <c r="Q741" s="166">
        <f t="shared" si="2175"/>
        <v>897.11758554502967</v>
      </c>
      <c r="R741" s="172">
        <f t="shared" si="2186"/>
        <v>3.7858920615375859E-4</v>
      </c>
      <c r="S741" s="172">
        <f t="shared" ref="S741:S755" si="2191">+R741*AR741</f>
        <v>8.3483995654166881E-6</v>
      </c>
      <c r="T741" s="172"/>
      <c r="U741" s="172"/>
      <c r="V741" s="166">
        <f t="shared" si="2156"/>
        <v>44992.550649504541</v>
      </c>
      <c r="W741" s="170"/>
      <c r="X741" s="174">
        <v>2645.1887979305352</v>
      </c>
      <c r="Y741" s="175">
        <v>1.9666590126957088E-2</v>
      </c>
      <c r="Z741" s="175">
        <f t="shared" ref="Z741:Z755" si="2192">+Y741*AR741</f>
        <v>4.3367467904627867E-4</v>
      </c>
      <c r="AA741" s="175"/>
      <c r="AB741" s="175"/>
      <c r="AC741" s="170">
        <f t="shared" si="2068"/>
        <v>185274.46470850217</v>
      </c>
      <c r="AD741" s="175">
        <f t="shared" si="2187"/>
        <v>4.5847473118198548E-2</v>
      </c>
      <c r="AE741" s="170"/>
      <c r="AF741" s="170"/>
      <c r="AG741" s="121">
        <f t="shared" si="2188"/>
        <v>257.04539454692059</v>
      </c>
      <c r="AH741" s="119">
        <f>+AZ741/$BB$45</f>
        <v>2.0349671284639388E-2</v>
      </c>
      <c r="AI741" s="119"/>
      <c r="AJ741" s="176">
        <f t="shared" ref="AJ741:AJ755" si="2193">+AH741*AG741</f>
        <v>5.2307892842602719</v>
      </c>
      <c r="AK741" s="176">
        <f t="shared" ref="AK741:AK755" si="2194">+AI741*AG741</f>
        <v>0</v>
      </c>
      <c r="AL741" s="120">
        <f t="shared" si="2176"/>
        <v>0.30927268753093312</v>
      </c>
      <c r="AM741" s="120">
        <f t="shared" si="2177"/>
        <v>0.44788461571486149</v>
      </c>
      <c r="AN741" s="120">
        <f t="shared" si="2178"/>
        <v>0.2428426967542055</v>
      </c>
      <c r="AO741" s="120">
        <f t="shared" si="2182"/>
        <v>3.6484414105533384E-3</v>
      </c>
      <c r="AP741" s="173">
        <f>+AP740*EXP(AO741)</f>
        <v>97.101194109301929</v>
      </c>
      <c r="AQ741" s="175">
        <f>LN(AP741/AP740)</f>
        <v>3.6484414105533987E-3</v>
      </c>
      <c r="AR741" s="177">
        <f>+AC741/$AE$45</f>
        <v>2.2051340687262239E-2</v>
      </c>
      <c r="AS741" s="177">
        <f t="shared" ref="AS741:AS755" si="2195">+AR741*AQ741</f>
        <v>8.0453024521628594E-5</v>
      </c>
      <c r="AT741" s="177"/>
      <c r="AU741" s="177"/>
      <c r="AV741" s="177"/>
      <c r="AW741" s="190"/>
      <c r="AX741" s="120"/>
      <c r="AY741" s="120"/>
      <c r="AZ741" s="118">
        <f>IFERROR(INDEX('Total Customers'!$F$7:$AB$91,MATCH($C741,'Total Customers'!$D$7:$D$91,0),MATCH($G741,'Total Customers'!$F$5:$AB$5,0)),"NA")</f>
        <v>720785</v>
      </c>
      <c r="BA741" s="119">
        <f t="shared" si="2157"/>
        <v>1.440995045909186E-2</v>
      </c>
      <c r="BB741" s="119"/>
      <c r="BC741" s="121"/>
      <c r="BD741" s="119"/>
      <c r="BE741" s="119"/>
      <c r="BF741" s="119"/>
      <c r="BG741" s="173"/>
      <c r="BH741" s="173"/>
      <c r="BI741" s="173"/>
      <c r="BJ741" s="173"/>
      <c r="BK741" s="173"/>
      <c r="BL741" s="173"/>
      <c r="BM741" s="173"/>
      <c r="BN741" s="173"/>
      <c r="BO741" s="173"/>
      <c r="BP741" s="173"/>
      <c r="BQ741" s="118"/>
      <c r="BR741" s="118"/>
      <c r="BS741" s="118">
        <f>INDEX('Dist. Plant Gas Additions'!$F$7:$AE$91,MATCH($C741,'Dist. Plant Gas Additions'!$D$7:$D$91,0),MATCH(Calculation!$G741,'Dist. Plant Gas Additions'!$F$5:$AE$5,0))</f>
        <v>37090</v>
      </c>
      <c r="BT741" s="118">
        <f>INDEX('Gen. Plant Additions'!$F$7:$AE$91,MATCH($C741,'Gen. Plant Additions'!$D$7:$D$91,0),MATCH(Calculation!$G741,'Gen. Plant Additions'!$F$5:$AE$5,0))</f>
        <v>-3205</v>
      </c>
      <c r="BU741" s="118"/>
      <c r="BV741" s="118"/>
      <c r="BW741" s="118">
        <f>INDEX('Dist Plant Depreciation'!$E$7:$AD$94,MATCH($C741,'Dist Plant Depreciation'!$D$7:$D$94,0),MATCH(Calculation!$G741,'Dist Plant Depreciation'!$E$5:$AD$5,0))</f>
        <v>1010440</v>
      </c>
      <c r="BX741" s="118">
        <f>INDEX('Gen. Plant Depreciation'!$E$7:$AD$94,MATCH($C741,'Gen. Plant Depreciation'!$D$7:$D$94,0),MATCH(Calculation!$G741,'Gen. Plant Depreciation'!$E$5:$AD$5,0))</f>
        <v>40600</v>
      </c>
      <c r="BY741" s="118"/>
      <c r="BZ741" s="118"/>
      <c r="CA741" s="118"/>
      <c r="CB741" s="118"/>
      <c r="CC741" s="118"/>
      <c r="CD741" s="118"/>
      <c r="CE741" s="118">
        <f>INDEX('Gross Dx Plant'!$E$7:$AD$91,MATCH($C741,'Gross Dx Plant'!$D$7:$D$91,0),MATCH(Calculation!$G741,'Gross Dx Plant'!$E$5:$AD$5,0))</f>
        <v>1153626</v>
      </c>
      <c r="CF741" s="118">
        <f>INDEX('Gross Gen Plant'!$E$7:$AD$91,MATCH($C741,'Gross Gen Plant'!$D$7:$D$91,0),MATCH(Calculation!$G741,'Gross Gen Plant'!$E$5:$AD$5,0))</f>
        <v>71225</v>
      </c>
      <c r="CG741" s="118">
        <f t="shared" si="2136"/>
        <v>173811</v>
      </c>
      <c r="CH741" s="118"/>
      <c r="CI741" s="121">
        <v>2007</v>
      </c>
      <c r="CJ741" s="118"/>
      <c r="CK741" s="118"/>
      <c r="CL741" s="118"/>
      <c r="CM741" s="183"/>
      <c r="CN741" s="118">
        <f t="shared" si="2158"/>
        <v>33885</v>
      </c>
      <c r="CO741" s="118">
        <f t="shared" si="2159"/>
        <v>68.039119828450652</v>
      </c>
      <c r="CP741" s="186">
        <v>0.94915254237288138</v>
      </c>
      <c r="CQ741" s="118">
        <f>+CQ732*CP741+CO733*CP740+CO734*CP739+CO735*CP738+CO736*CP737+CO737*CP736+CO738*CP735+CO739*CP734+CO740*CP733+CO741</f>
        <v>2645.1887979305352</v>
      </c>
      <c r="CR741" s="119">
        <f t="shared" si="2160"/>
        <v>1.9666590126957088E-2</v>
      </c>
      <c r="CS741" s="119"/>
      <c r="CT741" s="177">
        <f t="shared" si="2161"/>
        <v>6.3714551744158679E-3</v>
      </c>
      <c r="CU741" s="177">
        <f t="shared" si="2169"/>
        <v>6.1820446383896062E-3</v>
      </c>
      <c r="CV741" s="119">
        <f>VLOOKUP($H741,RoR!$E:$F,2,FALSE)</f>
        <v>5.5558333333333321E-2</v>
      </c>
      <c r="CW741" s="177">
        <v>2.691120634145272E-2</v>
      </c>
      <c r="CX741" s="177">
        <f t="shared" si="2167"/>
        <v>2.86471269918806E-2</v>
      </c>
      <c r="CY741" s="177">
        <f t="shared" si="2170"/>
        <v>2.4719896970144019E-2</v>
      </c>
      <c r="CZ741" s="177">
        <f t="shared" si="2171"/>
        <v>6.4575155250632399E-2</v>
      </c>
      <c r="DA741" s="187">
        <f t="shared" si="2162"/>
        <v>0.85003812624999997</v>
      </c>
      <c r="DB741" s="188">
        <f t="shared" si="2163"/>
        <v>0.92303077153834634</v>
      </c>
      <c r="DC741" s="188">
        <f t="shared" si="2164"/>
        <v>0.52502249887505614</v>
      </c>
      <c r="DD741" s="188">
        <f t="shared" si="2165"/>
        <v>0.88499666072084604</v>
      </c>
      <c r="DE741" s="188">
        <f t="shared" si="2166"/>
        <v>0.42887993290280618</v>
      </c>
      <c r="DF741" s="189">
        <f>INDEX('State Tax Lookup'!$D$7:$Z$91,MATCH(Calculation!$C741,'State Tax Lookup'!$B$7:$B$91,0),MATCH($H741,'State Tax Lookup'!$D$6:$Z$6,0))</f>
        <v>0.39989833000000002</v>
      </c>
      <c r="DG741" s="189">
        <v>0.375</v>
      </c>
      <c r="DH741" s="190">
        <f t="shared" si="2168"/>
        <v>17.347026061280918</v>
      </c>
      <c r="DI741" s="190">
        <v>17.102583718839675</v>
      </c>
      <c r="DJ741" s="177"/>
      <c r="DK741" s="189">
        <f>VLOOKUP($H741,RoR!$E:$F,2,FALSE)</f>
        <v>5.5558333333333321E-2</v>
      </c>
      <c r="DL741" s="191">
        <f>HLOOKUP($H741,'GDP-PI'!$D$8:$CQ$11,3,FALSE)</f>
        <v>2.691120634145272E-2</v>
      </c>
      <c r="DM741" s="189">
        <f>VLOOKUP(H741,'HW Dx Data'!$E:$F,2,FALSE)</f>
        <v>498.0223154772637</v>
      </c>
      <c r="DN741" s="183">
        <f>VLOOKUP(H741,'ECI - Input Price'!$G$17:$H$37,2,FALSE)</f>
        <v>105.22500000000001</v>
      </c>
      <c r="DO741" s="177">
        <f t="shared" ref="DO741" si="2196">LN(DN741/DN740)</f>
        <v>3.0638025400780679E-2</v>
      </c>
      <c r="DP741" s="183">
        <f>HLOOKUP(H741,'GDP-PI'!$8:$9,2,FALSE)</f>
        <v>92.498000000000005</v>
      </c>
      <c r="DQ741" s="177">
        <f t="shared" ref="DQ741" si="2197">LN(DP741/DP740)</f>
        <v>2.6555467950038037E-2</v>
      </c>
    </row>
    <row r="742" spans="1:121" s="167" customFormat="1" ht="21" x14ac:dyDescent="0.35">
      <c r="A742" s="167" t="s">
        <v>76</v>
      </c>
      <c r="B742" s="168" t="s">
        <v>76</v>
      </c>
      <c r="C742" s="168">
        <v>4012860</v>
      </c>
      <c r="D742" s="168" t="s">
        <v>143</v>
      </c>
      <c r="E742" s="168"/>
      <c r="F742" s="168"/>
      <c r="G742" s="168" t="s">
        <v>14</v>
      </c>
      <c r="H742" s="169">
        <v>2008</v>
      </c>
      <c r="I742" s="170"/>
      <c r="J742" s="166">
        <f>IFERROR(INDEX('Labor Expenditures'!$F$7:$X$91,MATCH($C742,'Labor Expenditures'!$D$7:$D$91,0),MATCH($G742,'Labor Expenditures'!$F$5:$X$5,0)),"NA")</f>
        <v>58336.005173820064</v>
      </c>
      <c r="K742" s="166">
        <f t="shared" si="2174"/>
        <v>539.02522683132429</v>
      </c>
      <c r="L742" s="172">
        <f t="shared" si="2181"/>
        <v>-1.0198402820053836E-2</v>
      </c>
      <c r="M742" s="172">
        <f t="shared" si="2185"/>
        <v>-2.2131320739424739E-4</v>
      </c>
      <c r="N742" s="196"/>
      <c r="O742" s="172"/>
      <c r="P742" s="166">
        <f>IFERROR(INDEX('Non-Labor Expenditures'!$F$7:$AB$91,MATCH($C742,'Non-Labor Expenditures'!$D$7:$D$91,0),MATCH($G742,'Non-Labor Expenditures'!$F$5:$AB$5,0)),"NA")</f>
        <v>84481.431154515682</v>
      </c>
      <c r="Q742" s="166">
        <f t="shared" si="2175"/>
        <v>896.22158145756259</v>
      </c>
      <c r="R742" s="172">
        <f t="shared" si="2186"/>
        <v>-9.9925789667653893E-4</v>
      </c>
      <c r="S742" s="172">
        <f t="shared" si="2191"/>
        <v>-2.1684667102249927E-5</v>
      </c>
      <c r="T742" s="172"/>
      <c r="U742" s="172"/>
      <c r="V742" s="166">
        <f t="shared" si="2156"/>
        <v>52099.879010842313</v>
      </c>
      <c r="W742" s="170"/>
      <c r="X742" s="174">
        <v>2697.6735409178964</v>
      </c>
      <c r="Y742" s="175">
        <v>1.9647308120672023E-2</v>
      </c>
      <c r="Z742" s="175">
        <f t="shared" si="2192"/>
        <v>4.2636174051673858E-4</v>
      </c>
      <c r="AA742" s="175"/>
      <c r="AB742" s="175"/>
      <c r="AC742" s="170">
        <f t="shared" si="2068"/>
        <v>194917.31533917808</v>
      </c>
      <c r="AD742" s="175">
        <f t="shared" si="2187"/>
        <v>5.073712607813121E-2</v>
      </c>
      <c r="AE742" s="170"/>
      <c r="AF742" s="170"/>
      <c r="AG742" s="121">
        <f t="shared" si="2188"/>
        <v>270.7858138887002</v>
      </c>
      <c r="AH742" s="119">
        <f>+AZ742/$BB$46</f>
        <v>2.0214098109229063E-2</v>
      </c>
      <c r="AI742" s="119"/>
      <c r="AJ742" s="176">
        <f t="shared" si="2193"/>
        <v>5.4736910085336277</v>
      </c>
      <c r="AK742" s="176">
        <f t="shared" si="2194"/>
        <v>0</v>
      </c>
      <c r="AL742" s="120">
        <f t="shared" si="2176"/>
        <v>0.29928590526864607</v>
      </c>
      <c r="AM742" s="120">
        <f t="shared" si="2177"/>
        <v>0.4334218897254381</v>
      </c>
      <c r="AN742" s="120">
        <f t="shared" si="2178"/>
        <v>0.26729220500591572</v>
      </c>
      <c r="AO742" s="120">
        <f t="shared" si="2182"/>
        <v>1.4678997220305039E-3</v>
      </c>
      <c r="AP742" s="173">
        <f t="shared" ref="AP742:AP755" si="2198">+AP741*EXP(AO742)</f>
        <v>97.243833589758196</v>
      </c>
      <c r="AQ742" s="175">
        <f t="shared" ref="AQ742:AQ755" si="2199">LN(AP742/AP741)</f>
        <v>1.4678997220304421E-3</v>
      </c>
      <c r="AR742" s="177">
        <f>+AC742/$AE$46</f>
        <v>2.1700771316765767E-2</v>
      </c>
      <c r="AS742" s="177">
        <f t="shared" si="2195"/>
        <v>3.1854556183726662E-5</v>
      </c>
      <c r="AT742" s="177"/>
      <c r="AU742" s="177"/>
      <c r="AV742" s="177"/>
      <c r="AW742" s="190"/>
      <c r="AX742" s="120"/>
      <c r="AY742" s="120"/>
      <c r="AZ742" s="118">
        <f>IFERROR(INDEX('Total Customers'!$F$7:$AB$91,MATCH($C742,'Total Customers'!$D$7:$D$91,0),MATCH($G742,'Total Customers'!$F$5:$AB$5,0)),"NA")</f>
        <v>719821</v>
      </c>
      <c r="BA742" s="119">
        <f t="shared" si="2157"/>
        <v>-1.3383258765912545E-3</v>
      </c>
      <c r="BB742" s="119"/>
      <c r="BC742" s="121"/>
      <c r="BD742" s="119"/>
      <c r="BE742" s="119"/>
      <c r="BF742" s="119"/>
      <c r="BG742" s="173"/>
      <c r="BH742" s="173"/>
      <c r="BI742" s="173"/>
      <c r="BJ742" s="173"/>
      <c r="BK742" s="173"/>
      <c r="BL742" s="173"/>
      <c r="BM742" s="173"/>
      <c r="BN742" s="173"/>
      <c r="BO742" s="173"/>
      <c r="BP742" s="173"/>
      <c r="BQ742" s="118"/>
      <c r="BR742" s="118"/>
      <c r="BS742" s="118">
        <f>INDEX('Dist. Plant Gas Additions'!$F$7:$AE$91,MATCH($C742,'Dist. Plant Gas Additions'!$D$7:$D$91,0),MATCH(Calculation!$G742,'Dist. Plant Gas Additions'!$F$5:$AE$5,0))</f>
        <v>37490</v>
      </c>
      <c r="BT742" s="118">
        <f>INDEX('Gen. Plant Additions'!$F$7:$AE$91,MATCH($C742,'Gen. Plant Additions'!$D$7:$D$91,0),MATCH(Calculation!$G742,'Gen. Plant Additions'!$F$5:$AE$5,0))</f>
        <v>2349</v>
      </c>
      <c r="BU742" s="118"/>
      <c r="BV742" s="118"/>
      <c r="BW742" s="118">
        <f>INDEX('Dist Plant Depreciation'!$E$7:$AD$94,MATCH($C742,'Dist Plant Depreciation'!$D$7:$D$94,0),MATCH(Calculation!$G742,'Dist Plant Depreciation'!$E$5:$AD$5,0))</f>
        <v>1081021</v>
      </c>
      <c r="BX742" s="118">
        <f>INDEX('Gen. Plant Depreciation'!$E$7:$AD$94,MATCH($C742,'Gen. Plant Depreciation'!$D$7:$D$94,0),MATCH(Calculation!$G742,'Gen. Plant Depreciation'!$E$5:$AD$5,0))</f>
        <v>39348</v>
      </c>
      <c r="BY742" s="118"/>
      <c r="BZ742" s="118"/>
      <c r="CA742" s="118"/>
      <c r="CB742" s="118"/>
      <c r="CC742" s="118"/>
      <c r="CD742" s="118"/>
      <c r="CE742" s="118">
        <f>INDEX('Gross Dx Plant'!$E$7:$AD$91,MATCH($C742,'Gross Dx Plant'!$D$7:$D$91,0),MATCH(Calculation!$G742,'Gross Dx Plant'!$E$5:$AD$5,0))</f>
        <v>1192299</v>
      </c>
      <c r="CF742" s="118">
        <f>INDEX('Gross Gen Plant'!$E$7:$AD$91,MATCH($C742,'Gross Gen Plant'!$D$7:$D$91,0),MATCH(Calculation!$G742,'Gross Gen Plant'!$E$5:$AD$5,0))</f>
        <v>69276</v>
      </c>
      <c r="CG742" s="118">
        <f t="shared" si="2136"/>
        <v>141206</v>
      </c>
      <c r="CH742" s="118"/>
      <c r="CI742" s="121">
        <v>2008</v>
      </c>
      <c r="CJ742" s="118"/>
      <c r="CK742" s="118"/>
      <c r="CL742" s="118"/>
      <c r="CM742" s="183"/>
      <c r="CN742" s="118">
        <f t="shared" si="2158"/>
        <v>39839</v>
      </c>
      <c r="CO742" s="118">
        <f t="shared" si="2159"/>
        <v>69.907552252728763</v>
      </c>
      <c r="CP742" s="186">
        <v>0.94252873563218387</v>
      </c>
      <c r="CQ742" s="118">
        <f>+CQ732*CP742+CO733*CP741+CO734*CP740+CO735*CP739+CO736*CP738+CO737*CP737+CO738*CP736+CO739*CP735+CO740*CP734+CO741*CP733+CO742</f>
        <v>2697.6735409178964</v>
      </c>
      <c r="CR742" s="119">
        <f t="shared" si="2160"/>
        <v>1.9647308120672023E-2</v>
      </c>
      <c r="CS742" s="119"/>
      <c r="CT742" s="177">
        <f t="shared" si="2161"/>
        <v>6.5866032999226066E-3</v>
      </c>
      <c r="CU742" s="177">
        <f t="shared" si="2169"/>
        <v>6.3812420707923282E-3</v>
      </c>
      <c r="CV742" s="119">
        <f>VLOOKUP($H742,RoR!$E:$F,2,FALSE)</f>
        <v>5.6316666666666668E-2</v>
      </c>
      <c r="CW742" s="177">
        <v>1.9092304698479889E-2</v>
      </c>
      <c r="CX742" s="177">
        <f t="shared" si="2167"/>
        <v>3.7224361968186778E-2</v>
      </c>
      <c r="CY742" s="177">
        <f t="shared" si="2170"/>
        <v>2.4520699537741296E-2</v>
      </c>
      <c r="CZ742" s="177">
        <f t="shared" si="2171"/>
        <v>6.9030581091053131E-2</v>
      </c>
      <c r="DA742" s="187">
        <f t="shared" si="2162"/>
        <v>0.85003812624999997</v>
      </c>
      <c r="DB742" s="188">
        <f t="shared" si="2163"/>
        <v>0.91060168006009956</v>
      </c>
      <c r="DC742" s="188">
        <f t="shared" si="2164"/>
        <v>0.53108168097070152</v>
      </c>
      <c r="DD742" s="188">
        <f t="shared" si="2165"/>
        <v>0.88825329850328805</v>
      </c>
      <c r="DE742" s="188">
        <f t="shared" si="2166"/>
        <v>0.4295627335323573</v>
      </c>
      <c r="DF742" s="189">
        <f>INDEX('State Tax Lookup'!$D$7:$Z$91,MATCH(Calculation!$C742,'State Tax Lookup'!$B$7:$B$91,0),MATCH($H742,'State Tax Lookup'!$D$6:$Z$6,0))</f>
        <v>0.39989833000000002</v>
      </c>
      <c r="DG742" s="189">
        <v>0.375</v>
      </c>
      <c r="DH742" s="190">
        <f t="shared" si="2168"/>
        <v>19.69609089967517</v>
      </c>
      <c r="DI742" s="190">
        <v>19.418916766654387</v>
      </c>
      <c r="DJ742" s="177"/>
      <c r="DK742" s="189">
        <f>VLOOKUP($H742,RoR!$E:$F,2,FALSE)</f>
        <v>5.6316666666666668E-2</v>
      </c>
      <c r="DL742" s="191">
        <f>HLOOKUP($H742,'GDP-PI'!$D$8:$CQ$11,3,FALSE)</f>
        <v>1.9092304698479889E-2</v>
      </c>
      <c r="DM742" s="189">
        <f>VLOOKUP(H742,'HW Dx Data'!$E:$F,2,FALSE)</f>
        <v>569.88120333515076</v>
      </c>
      <c r="DN742" s="183">
        <f>VLOOKUP(H742,'ECI - Input Price'!$G$17:$H$37,2,FALSE)</f>
        <v>108.22499999999999</v>
      </c>
      <c r="DO742" s="177">
        <f t="shared" ref="DO742" si="2200">LN(DN742/DN741)</f>
        <v>2.8111478671409691E-2</v>
      </c>
      <c r="DP742" s="183">
        <f>HLOOKUP(H742,'GDP-PI'!$8:$9,2,FALSE)</f>
        <v>94.263999999999996</v>
      </c>
      <c r="DQ742" s="177">
        <f t="shared" ref="DQ742" si="2201">LN(DP742/DP741)</f>
        <v>1.8912333748032254E-2</v>
      </c>
    </row>
    <row r="743" spans="1:121" s="167" customFormat="1" ht="21" x14ac:dyDescent="0.35">
      <c r="A743" s="167" t="s">
        <v>76</v>
      </c>
      <c r="B743" s="168" t="s">
        <v>76</v>
      </c>
      <c r="C743" s="168">
        <v>4012860</v>
      </c>
      <c r="D743" s="168" t="s">
        <v>143</v>
      </c>
      <c r="E743" s="168"/>
      <c r="F743" s="168"/>
      <c r="G743" s="168" t="s">
        <v>15</v>
      </c>
      <c r="H743" s="169">
        <v>2009</v>
      </c>
      <c r="I743" s="170"/>
      <c r="J743" s="166">
        <f>IFERROR(INDEX('Labor Expenditures'!$F$7:$X$91,MATCH($C743,'Labor Expenditures'!$D$7:$D$91,0),MATCH($G743,'Labor Expenditures'!$F$5:$X$5,0)),"NA")</f>
        <v>65460.433223629181</v>
      </c>
      <c r="K743" s="166">
        <f t="shared" si="2174"/>
        <v>596.3145818595234</v>
      </c>
      <c r="L743" s="172">
        <f t="shared" si="2181"/>
        <v>0.10100597688796806</v>
      </c>
      <c r="M743" s="172">
        <f t="shared" si="2185"/>
        <v>2.2769597167455794E-3</v>
      </c>
      <c r="N743" s="196"/>
      <c r="O743" s="172"/>
      <c r="P743" s="166">
        <f>IFERROR(INDEX('Non-Labor Expenditures'!$F$7:$AB$91,MATCH($C743,'Non-Labor Expenditures'!$D$7:$D$91,0),MATCH($G743,'Non-Labor Expenditures'!$F$5:$AB$5,0)),"NA")</f>
        <v>94798.933630248488</v>
      </c>
      <c r="Q743" s="166">
        <f t="shared" si="2175"/>
        <v>997.8940160448899</v>
      </c>
      <c r="R743" s="172">
        <f t="shared" si="2186"/>
        <v>0.10745939118939547</v>
      </c>
      <c r="S743" s="172">
        <f t="shared" si="2191"/>
        <v>2.422437884004119E-3</v>
      </c>
      <c r="T743" s="172"/>
      <c r="U743" s="172"/>
      <c r="V743" s="166">
        <f t="shared" si="2156"/>
        <v>50941.746982131954</v>
      </c>
      <c r="W743" s="170"/>
      <c r="X743" s="174">
        <v>2745.2304169817412</v>
      </c>
      <c r="Y743" s="175">
        <v>1.7475261987985172E-2</v>
      </c>
      <c r="Z743" s="175">
        <f t="shared" si="2192"/>
        <v>3.9394171327456748E-4</v>
      </c>
      <c r="AA743" s="175"/>
      <c r="AB743" s="175"/>
      <c r="AC743" s="170">
        <f t="shared" si="2068"/>
        <v>211201.11383600964</v>
      </c>
      <c r="AD743" s="175">
        <f t="shared" si="2187"/>
        <v>8.0235380924401786E-2</v>
      </c>
      <c r="AE743" s="170"/>
      <c r="AF743" s="170"/>
      <c r="AG743" s="121">
        <f t="shared" si="2188"/>
        <v>294.02706905285311</v>
      </c>
      <c r="AH743" s="119">
        <f>+AZ743/$BB$47</f>
        <v>2.0142420822662994E-2</v>
      </c>
      <c r="AI743" s="119"/>
      <c r="AJ743" s="176">
        <f t="shared" si="2193"/>
        <v>5.9224169581167585</v>
      </c>
      <c r="AK743" s="176">
        <f t="shared" si="2194"/>
        <v>0</v>
      </c>
      <c r="AL743" s="120">
        <f t="shared" si="2176"/>
        <v>0.30994359847200875</v>
      </c>
      <c r="AM743" s="120">
        <f t="shared" si="2177"/>
        <v>0.44885622006641773</v>
      </c>
      <c r="AN743" s="120">
        <f t="shared" si="2178"/>
        <v>0.24120018146157343</v>
      </c>
      <c r="AO743" s="120">
        <f t="shared" si="2182"/>
        <v>8.2615463692337715E-2</v>
      </c>
      <c r="AP743" s="173">
        <f t="shared" si="2198"/>
        <v>105.61886871914751</v>
      </c>
      <c r="AQ743" s="175">
        <f t="shared" si="2199"/>
        <v>8.2615463692337771E-2</v>
      </c>
      <c r="AR743" s="177">
        <f>+AC743/$AE$47</f>
        <v>2.2542821592340969E-2</v>
      </c>
      <c r="AS743" s="177">
        <f t="shared" si="2195"/>
        <v>1.8623856587848932E-3</v>
      </c>
      <c r="AT743" s="177"/>
      <c r="AU743" s="177"/>
      <c r="AV743" s="177"/>
      <c r="AW743" s="190"/>
      <c r="AX743" s="120"/>
      <c r="AY743" s="120"/>
      <c r="AZ743" s="118">
        <f>IFERROR(INDEX('Total Customers'!$F$7:$AB$91,MATCH($C743,'Total Customers'!$D$7:$D$91,0),MATCH($G743,'Total Customers'!$F$5:$AB$5,0)),"NA")</f>
        <v>718305</v>
      </c>
      <c r="BA743" s="119">
        <f t="shared" si="2157"/>
        <v>-2.1083000537403269E-3</v>
      </c>
      <c r="BB743" s="119"/>
      <c r="BC743" s="121"/>
      <c r="BD743" s="119"/>
      <c r="BE743" s="119"/>
      <c r="BF743" s="119"/>
      <c r="BG743" s="173"/>
      <c r="BH743" s="173"/>
      <c r="BI743" s="173"/>
      <c r="BJ743" s="173"/>
      <c r="BK743" s="173"/>
      <c r="BL743" s="173"/>
      <c r="BM743" s="173"/>
      <c r="BN743" s="173"/>
      <c r="BO743" s="173"/>
      <c r="BP743" s="173"/>
      <c r="BQ743" s="118"/>
      <c r="BR743" s="118"/>
      <c r="BS743" s="118">
        <f>INDEX('Dist. Plant Gas Additions'!$F$7:$AE$91,MATCH($C743,'Dist. Plant Gas Additions'!$D$7:$D$91,0),MATCH(Calculation!$G743,'Dist. Plant Gas Additions'!$F$5:$AE$5,0))</f>
        <v>34996</v>
      </c>
      <c r="BT743" s="118">
        <f>INDEX('Gen. Plant Additions'!$F$7:$AE$91,MATCH($C743,'Gen. Plant Additions'!$D$7:$D$91,0),MATCH(Calculation!$G743,'Gen. Plant Additions'!$F$5:$AE$5,0))</f>
        <v>1325</v>
      </c>
      <c r="BU743" s="118"/>
      <c r="BV743" s="118"/>
      <c r="BW743" s="118">
        <f>INDEX('Dist Plant Depreciation'!$E$7:$AD$94,MATCH($C743,'Dist Plant Depreciation'!$D$7:$D$94,0),MATCH(Calculation!$G743,'Dist Plant Depreciation'!$E$5:$AD$5,0))</f>
        <v>1143360</v>
      </c>
      <c r="BX743" s="118">
        <f>INDEX('Gen. Plant Depreciation'!$E$7:$AD$94,MATCH($C743,'Gen. Plant Depreciation'!$D$7:$D$94,0),MATCH(Calculation!$G743,'Gen. Plant Depreciation'!$E$5:$AD$5,0))</f>
        <v>38248</v>
      </c>
      <c r="BY743" s="118"/>
      <c r="BZ743" s="118"/>
      <c r="CA743" s="118"/>
      <c r="CB743" s="118"/>
      <c r="CC743" s="118"/>
      <c r="CD743" s="118"/>
      <c r="CE743" s="118">
        <f>INDEX('Gross Dx Plant'!$E$7:$AD$91,MATCH($C743,'Gross Dx Plant'!$D$7:$D$91,0),MATCH(Calculation!$G743,'Gross Dx Plant'!$E$5:$AD$5,0))</f>
        <v>1221102</v>
      </c>
      <c r="CF743" s="118">
        <f>INDEX('Gross Gen Plant'!$E$7:$AD$91,MATCH($C743,'Gross Gen Plant'!$D$7:$D$91,0),MATCH(Calculation!$G743,'Gross Gen Plant'!$E$5:$AD$5,0))</f>
        <v>65526</v>
      </c>
      <c r="CG743" s="118">
        <f t="shared" si="2136"/>
        <v>105020</v>
      </c>
      <c r="CH743" s="118"/>
      <c r="CI743" s="121">
        <v>2009</v>
      </c>
      <c r="CJ743" s="118"/>
      <c r="CK743" s="118"/>
      <c r="CL743" s="118"/>
      <c r="CM743" s="183"/>
      <c r="CN743" s="118">
        <f t="shared" si="2158"/>
        <v>36321</v>
      </c>
      <c r="CO743" s="118">
        <f t="shared" si="2159"/>
        <v>65.925432930785249</v>
      </c>
      <c r="CP743" s="186">
        <v>0.93567251461988299</v>
      </c>
      <c r="CQ743" s="118">
        <f>+CQ732*CP743+CO733*CP742+CO734*CP741+CO735*CP740+CO736*CP739+CO737*CP738+CO738*CP737+CO739*CP736+CO740*CP735+CO741*CP734+CO742*CP733+CO743</f>
        <v>2745.2304169817412</v>
      </c>
      <c r="CR743" s="119">
        <f t="shared" si="2160"/>
        <v>1.7475261987985172E-2</v>
      </c>
      <c r="CS743" s="119"/>
      <c r="CT743" s="177">
        <f t="shared" si="2161"/>
        <v>6.8090362263368781E-3</v>
      </c>
      <c r="CU743" s="177">
        <f t="shared" si="2169"/>
        <v>6.5890315668917848E-3</v>
      </c>
      <c r="CV743" s="119">
        <f>VLOOKUP($H743,RoR!$E:$F,2,FALSE)</f>
        <v>5.3133333333333324E-2</v>
      </c>
      <c r="CW743" s="177">
        <v>7.7972502758210105E-3</v>
      </c>
      <c r="CX743" s="177">
        <f t="shared" si="2167"/>
        <v>4.5336083057512314E-2</v>
      </c>
      <c r="CY743" s="177">
        <f t="shared" si="2170"/>
        <v>2.4312910041641839E-2</v>
      </c>
      <c r="CZ743" s="177">
        <f t="shared" si="2171"/>
        <v>6.3720160300892073E-2</v>
      </c>
      <c r="DA743" s="187">
        <f t="shared" si="2162"/>
        <v>0.85003812624999997</v>
      </c>
      <c r="DB743" s="188">
        <f t="shared" si="2163"/>
        <v>0.96515780330083989</v>
      </c>
      <c r="DC743" s="188">
        <f t="shared" si="2164"/>
        <v>0.50448557089084056</v>
      </c>
      <c r="DD743" s="188">
        <f t="shared" si="2165"/>
        <v>0.87391435735465484</v>
      </c>
      <c r="DE743" s="188">
        <f t="shared" si="2166"/>
        <v>0.42551605393279146</v>
      </c>
      <c r="DF743" s="189">
        <f>INDEX('State Tax Lookup'!$D$7:$Z$91,MATCH(Calculation!$C743,'State Tax Lookup'!$B$7:$B$91,0),MATCH($H743,'State Tax Lookup'!$D$6:$Z$6,0))</f>
        <v>0.39989833000000002</v>
      </c>
      <c r="DG743" s="189">
        <v>0.375</v>
      </c>
      <c r="DH743" s="190">
        <f t="shared" si="2168"/>
        <v>18.883584766449829</v>
      </c>
      <c r="DI743" s="190">
        <v>18.541611526591605</v>
      </c>
      <c r="DJ743" s="177"/>
      <c r="DK743" s="189">
        <f>VLOOKUP($H743,RoR!$E:$F,2,FALSE)</f>
        <v>5.3133333333333324E-2</v>
      </c>
      <c r="DL743" s="191">
        <f>HLOOKUP($H743,'GDP-PI'!$D$8:$CQ$11,3,FALSE)</f>
        <v>7.7972502758210105E-3</v>
      </c>
      <c r="DM743" s="189">
        <f>VLOOKUP(H743,'HW Dx Data'!$E:$F,2,FALSE)</f>
        <v>550.94063679692806</v>
      </c>
      <c r="DN743" s="183">
        <f>VLOOKUP(H743,'ECI - Input Price'!$G$17:$H$37,2,FALSE)</f>
        <v>109.77499999999999</v>
      </c>
      <c r="DO743" s="177">
        <f t="shared" ref="DO743" si="2202">LN(DN743/DN742)</f>
        <v>1.4220423119736749E-2</v>
      </c>
      <c r="DP743" s="183">
        <f>HLOOKUP(H743,'GDP-PI'!$8:$9,2,FALSE)</f>
        <v>94.998999999999995</v>
      </c>
      <c r="DQ743" s="177">
        <f t="shared" ref="DQ743" si="2203">LN(DP743/DP742)</f>
        <v>7.7670088183096342E-3</v>
      </c>
    </row>
    <row r="744" spans="1:121" s="167" customFormat="1" ht="21" x14ac:dyDescent="0.35">
      <c r="A744" s="167" t="s">
        <v>76</v>
      </c>
      <c r="B744" s="168" t="s">
        <v>76</v>
      </c>
      <c r="C744" s="168">
        <v>4012860</v>
      </c>
      <c r="D744" s="168" t="s">
        <v>143</v>
      </c>
      <c r="E744" s="168"/>
      <c r="F744" s="168"/>
      <c r="G744" s="168" t="s">
        <v>16</v>
      </c>
      <c r="H744" s="169">
        <v>2010</v>
      </c>
      <c r="I744" s="170"/>
      <c r="J744" s="166">
        <f>IFERROR(INDEX('Labor Expenditures'!$F$7:$X$91,MATCH($C744,'Labor Expenditures'!$D$7:$D$91,0),MATCH($G744,'Labor Expenditures'!$F$5:$X$5,0)),"NA")</f>
        <v>69623.825830962989</v>
      </c>
      <c r="K744" s="166">
        <f t="shared" si="2174"/>
        <v>622.33587334938989</v>
      </c>
      <c r="L744" s="172">
        <f t="shared" si="2181"/>
        <v>4.271158657680426E-2</v>
      </c>
      <c r="M744" s="172">
        <f t="shared" si="2185"/>
        <v>9.8327819191722037E-4</v>
      </c>
      <c r="N744" s="196"/>
      <c r="O744" s="172"/>
      <c r="P744" s="166">
        <f>IFERROR(INDEX('Non-Labor Expenditures'!$F$7:$AB$91,MATCH($C744,'Non-Labor Expenditures'!$D$7:$D$91,0),MATCH($G744,'Non-Labor Expenditures'!$F$5:$AB$5,0)),"NA")</f>
        <v>100828.30374014312</v>
      </c>
      <c r="Q744" s="166">
        <f t="shared" si="2175"/>
        <v>1049.1036608449065</v>
      </c>
      <c r="R744" s="172">
        <f t="shared" si="2186"/>
        <v>5.0044347916891774E-2</v>
      </c>
      <c r="S744" s="172">
        <f t="shared" si="2191"/>
        <v>1.15208822427873E-3</v>
      </c>
      <c r="T744" s="172"/>
      <c r="U744" s="172"/>
      <c r="V744" s="166">
        <f t="shared" si="2156"/>
        <v>53111.80911347863</v>
      </c>
      <c r="W744" s="170"/>
      <c r="X744" s="174">
        <v>2769.4800565853811</v>
      </c>
      <c r="Y744" s="175">
        <v>8.7945853252530889E-3</v>
      </c>
      <c r="Z744" s="175">
        <f t="shared" si="2192"/>
        <v>2.0246318740060244E-4</v>
      </c>
      <c r="AA744" s="175"/>
      <c r="AB744" s="175"/>
      <c r="AC744" s="170">
        <f t="shared" si="2068"/>
        <v>223563.93868458475</v>
      </c>
      <c r="AD744" s="175">
        <f t="shared" si="2187"/>
        <v>5.6886626603509648E-2</v>
      </c>
      <c r="AE744" s="170"/>
      <c r="AF744" s="170"/>
      <c r="AG744" s="121">
        <f t="shared" si="2188"/>
        <v>281.2057808487404</v>
      </c>
      <c r="AH744" s="119">
        <f>+AZ744/$BB$48</f>
        <v>2.2170875116255678E-2</v>
      </c>
      <c r="AI744" s="119"/>
      <c r="AJ744" s="176">
        <f t="shared" si="2193"/>
        <v>6.234578249166586</v>
      </c>
      <c r="AK744" s="176">
        <f t="shared" si="2194"/>
        <v>0</v>
      </c>
      <c r="AL744" s="120">
        <f t="shared" si="2176"/>
        <v>0.31142690650656224</v>
      </c>
      <c r="AM744" s="120">
        <f t="shared" si="2177"/>
        <v>0.45100432714417671</v>
      </c>
      <c r="AN744" s="120">
        <f t="shared" si="2178"/>
        <v>0.23756876634926102</v>
      </c>
      <c r="AO744" s="120">
        <f t="shared" si="2182"/>
        <v>3.7891614391780223E-2</v>
      </c>
      <c r="AP744" s="173">
        <f t="shared" si="2198"/>
        <v>109.69772742060847</v>
      </c>
      <c r="AQ744" s="175">
        <f t="shared" si="2199"/>
        <v>3.7891614391780314E-2</v>
      </c>
      <c r="AR744" s="177">
        <f>+AC744/$AE$48</f>
        <v>2.3021345511225227E-2</v>
      </c>
      <c r="AS744" s="177">
        <f t="shared" si="2195"/>
        <v>8.7231594689128893E-4</v>
      </c>
      <c r="AT744" s="177"/>
      <c r="AU744" s="177"/>
      <c r="AV744" s="177"/>
      <c r="AW744" s="190"/>
      <c r="AX744" s="120"/>
      <c r="AY744" s="120"/>
      <c r="AZ744" s="118">
        <f>IFERROR(INDEX('Total Customers'!$F$7:$AB$91,MATCH($C744,'Total Customers'!$D$7:$D$91,0),MATCH($G744,'Total Customers'!$F$5:$AB$5,0)),"NA")</f>
        <v>795019</v>
      </c>
      <c r="BA744" s="119">
        <f t="shared" si="2157"/>
        <v>0.10147174380343141</v>
      </c>
      <c r="BB744" s="119"/>
      <c r="BC744" s="121"/>
      <c r="BD744" s="119"/>
      <c r="BE744" s="119"/>
      <c r="BF744" s="119"/>
      <c r="BG744" s="173"/>
      <c r="BH744" s="173"/>
      <c r="BI744" s="173"/>
      <c r="BJ744" s="173"/>
      <c r="BK744" s="173"/>
      <c r="BL744" s="173"/>
      <c r="BM744" s="173"/>
      <c r="BN744" s="173"/>
      <c r="BO744" s="173"/>
      <c r="BP744" s="173"/>
      <c r="BQ744" s="118"/>
      <c r="BR744" s="118"/>
      <c r="BS744" s="118">
        <f>INDEX('Dist. Plant Gas Additions'!$F$7:$AE$91,MATCH($C744,'Dist. Plant Gas Additions'!$D$7:$D$91,0),MATCH(Calculation!$G744,'Dist. Plant Gas Additions'!$F$5:$AE$5,0))</f>
        <v>24429</v>
      </c>
      <c r="BT744" s="118">
        <f>INDEX('Gen. Plant Additions'!$F$7:$AE$91,MATCH($C744,'Gen. Plant Additions'!$D$7:$D$91,0),MATCH(Calculation!$G744,'Gen. Plant Additions'!$F$5:$AE$5,0))</f>
        <v>371</v>
      </c>
      <c r="BU744" s="118"/>
      <c r="BV744" s="118"/>
      <c r="BW744" s="118">
        <f>INDEX('Dist Plant Depreciation'!$E$7:$AD$94,MATCH($C744,'Dist Plant Depreciation'!$D$7:$D$94,0),MATCH(Calculation!$G744,'Dist Plant Depreciation'!$E$5:$AD$5,0))</f>
        <v>1198204</v>
      </c>
      <c r="BX744" s="118">
        <f>INDEX('Gen. Plant Depreciation'!$E$7:$AD$94,MATCH($C744,'Gen. Plant Depreciation'!$D$7:$D$94,0),MATCH(Calculation!$G744,'Gen. Plant Depreciation'!$E$5:$AD$5,0))</f>
        <v>36658</v>
      </c>
      <c r="BY744" s="118"/>
      <c r="BZ744" s="118"/>
      <c r="CA744" s="118"/>
      <c r="CB744" s="118"/>
      <c r="CC744" s="118"/>
      <c r="CD744" s="118"/>
      <c r="CE744" s="118">
        <f>INDEX('Gross Dx Plant'!$E$7:$AD$91,MATCH($C744,'Gross Dx Plant'!$D$7:$D$91,0),MATCH(Calculation!$G744,'Gross Dx Plant'!$E$5:$AD$5,0))</f>
        <v>1356310</v>
      </c>
      <c r="CF744" s="118">
        <f>INDEX('Gross Gen Plant'!$E$7:$AD$91,MATCH($C744,'Gross Gen Plant'!$D$7:$D$91,0),MATCH(Calculation!$G744,'Gross Gen Plant'!$E$5:$AD$5,0))</f>
        <v>69307</v>
      </c>
      <c r="CG744" s="118">
        <f t="shared" si="2136"/>
        <v>190755</v>
      </c>
      <c r="CH744" s="118"/>
      <c r="CI744" s="121">
        <v>2010</v>
      </c>
      <c r="CJ744" s="118"/>
      <c r="CK744" s="118"/>
      <c r="CL744" s="118"/>
      <c r="CM744" s="183"/>
      <c r="CN744" s="118">
        <f t="shared" si="2158"/>
        <v>24800</v>
      </c>
      <c r="CO744" s="118">
        <f t="shared" si="2159"/>
        <v>43.586041368744112</v>
      </c>
      <c r="CP744" s="186">
        <v>0.9285714285714286</v>
      </c>
      <c r="CQ744" s="118">
        <f>+CQ732*CP744+CO733*CP743+CO734*CP742+CO735*CP741+CO736*CP740+CO737*CP739+CO738*CP738+CO739*CP737+CO740*CP736+CO741*CP735+CO742*CP734+CO743*CP733+CO744</f>
        <v>2769.4800565853811</v>
      </c>
      <c r="CR744" s="119">
        <f t="shared" si="2160"/>
        <v>8.7945853252530889E-3</v>
      </c>
      <c r="CS744" s="119"/>
      <c r="CT744" s="177">
        <f t="shared" si="2161"/>
        <v>7.0436352611755234E-3</v>
      </c>
      <c r="CU744" s="177">
        <f t="shared" si="2169"/>
        <v>6.8130915958116703E-3</v>
      </c>
      <c r="CV744" s="119">
        <f>VLOOKUP($H744,RoR!$E:$F,2,FALSE)</f>
        <v>4.9433333333333322E-2</v>
      </c>
      <c r="CW744" s="177">
        <v>1.1684333519300205E-2</v>
      </c>
      <c r="CX744" s="177">
        <f t="shared" si="2167"/>
        <v>3.7748999814033117E-2</v>
      </c>
      <c r="CY744" s="177">
        <f t="shared" si="2170"/>
        <v>2.4088850012721954E-2</v>
      </c>
      <c r="CZ744" s="177">
        <f t="shared" si="2171"/>
        <v>4.7937530248493419E-2</v>
      </c>
      <c r="DA744" s="187">
        <f t="shared" si="2162"/>
        <v>0.85003812624999997</v>
      </c>
      <c r="DB744" s="188">
        <f t="shared" si="2163"/>
        <v>1.037398205301105</v>
      </c>
      <c r="DC744" s="188">
        <f t="shared" si="2164"/>
        <v>0.46926837491571133</v>
      </c>
      <c r="DD744" s="188">
        <f t="shared" si="2165"/>
        <v>0.8548537519972772</v>
      </c>
      <c r="DE744" s="188">
        <f t="shared" si="2166"/>
        <v>0.41615833911547367</v>
      </c>
      <c r="DF744" s="189">
        <f>INDEX('State Tax Lookup'!$D$7:$Z$91,MATCH(Calculation!$C744,'State Tax Lookup'!$B$7:$B$91,0),MATCH($H744,'State Tax Lookup'!$D$6:$Z$6,0))</f>
        <v>0.39989833000000002</v>
      </c>
      <c r="DG744" s="189">
        <v>0.375</v>
      </c>
      <c r="DH744" s="190">
        <f t="shared" si="2168"/>
        <v>19.346940346039407</v>
      </c>
      <c r="DI744" s="190">
        <v>19.017739880777683</v>
      </c>
      <c r="DJ744" s="177"/>
      <c r="DK744" s="189">
        <f>VLOOKUP($H744,RoR!$E:$F,2,FALSE)</f>
        <v>4.9433333333333322E-2</v>
      </c>
      <c r="DL744" s="191">
        <f>HLOOKUP($H744,'GDP-PI'!$D$8:$CQ$11,3,FALSE)</f>
        <v>1.1684333519300205E-2</v>
      </c>
      <c r="DM744" s="189">
        <f>VLOOKUP(H744,'HW Dx Data'!$E:$F,2,FALSE)</f>
        <v>568.98950262971744</v>
      </c>
      <c r="DN744" s="183">
        <f>VLOOKUP(H744,'ECI - Input Price'!$G$17:$H$37,2,FALSE)</f>
        <v>111.875</v>
      </c>
      <c r="DO744" s="177">
        <f t="shared" ref="DO744" si="2204">LN(DN744/DN743)</f>
        <v>1.8949360147238387E-2</v>
      </c>
      <c r="DP744" s="183">
        <f>HLOOKUP(H744,'GDP-PI'!$8:$9,2,FALSE)</f>
        <v>96.108999999999995</v>
      </c>
      <c r="DQ744" s="177">
        <f t="shared" ref="DQ744" si="2205">LN(DP744/DP743)</f>
        <v>1.1616598807150427E-2</v>
      </c>
    </row>
    <row r="745" spans="1:121" s="167" customFormat="1" ht="21" x14ac:dyDescent="0.35">
      <c r="A745" s="167" t="s">
        <v>76</v>
      </c>
      <c r="B745" s="168" t="s">
        <v>76</v>
      </c>
      <c r="C745" s="168">
        <v>4012860</v>
      </c>
      <c r="D745" s="168" t="s">
        <v>143</v>
      </c>
      <c r="E745" s="168"/>
      <c r="F745" s="168"/>
      <c r="G745" s="168" t="s">
        <v>17</v>
      </c>
      <c r="H745" s="169">
        <v>2011</v>
      </c>
      <c r="I745" s="170"/>
      <c r="J745" s="166">
        <f>IFERROR(INDEX('Labor Expenditures'!$F$7:$X$91,MATCH($C745,'Labor Expenditures'!$D$7:$D$91,0),MATCH($G745,'Labor Expenditures'!$F$5:$X$5,0)),"NA")</f>
        <v>79700.076581267931</v>
      </c>
      <c r="K745" s="166">
        <f t="shared" si="2174"/>
        <v>697.28850902246666</v>
      </c>
      <c r="L745" s="172">
        <f t="shared" si="2181"/>
        <v>0.1137193185410706</v>
      </c>
      <c r="M745" s="172">
        <f t="shared" si="2185"/>
        <v>2.8125706734152423E-3</v>
      </c>
      <c r="N745" s="196"/>
      <c r="O745" s="172"/>
      <c r="P745" s="166">
        <f>IFERROR(INDEX('Non-Labor Expenditures'!$F$7:$AB$91,MATCH($C745,'Non-Labor Expenditures'!$D$7:$D$91,0),MATCH($G745,'Non-Labor Expenditures'!$F$5:$AB$5,0)),"NA")</f>
        <v>115420.59681062493</v>
      </c>
      <c r="Q745" s="166">
        <f t="shared" si="2175"/>
        <v>1176.4167156986398</v>
      </c>
      <c r="R745" s="172">
        <f t="shared" si="2186"/>
        <v>0.11453699353396735</v>
      </c>
      <c r="S745" s="172">
        <f t="shared" si="2191"/>
        <v>2.8327938750217115E-3</v>
      </c>
      <c r="T745" s="172"/>
      <c r="U745" s="172"/>
      <c r="V745" s="166">
        <f t="shared" si="2156"/>
        <v>57123.084921142639</v>
      </c>
      <c r="W745" s="170"/>
      <c r="X745" s="174">
        <v>2830.6999112543108</v>
      </c>
      <c r="Y745" s="175">
        <v>2.1864402164810084E-2</v>
      </c>
      <c r="Z745" s="175">
        <f t="shared" si="2192"/>
        <v>5.4076279307189242E-4</v>
      </c>
      <c r="AA745" s="175"/>
      <c r="AB745" s="175"/>
      <c r="AC745" s="170">
        <f t="shared" si="2068"/>
        <v>252243.75831303551</v>
      </c>
      <c r="AD745" s="175">
        <f t="shared" si="2187"/>
        <v>0.12069846260973188</v>
      </c>
      <c r="AE745" s="170"/>
      <c r="AF745" s="170"/>
      <c r="AG745" s="121">
        <f t="shared" si="2188"/>
        <v>317.29532946452247</v>
      </c>
      <c r="AH745" s="119">
        <f>+AZ745/$BB$49</f>
        <v>2.2062039472337779E-2</v>
      </c>
      <c r="AI745" s="119"/>
      <c r="AJ745" s="176">
        <f t="shared" si="2193"/>
        <v>7.0001820830347148</v>
      </c>
      <c r="AK745" s="176">
        <f t="shared" si="2194"/>
        <v>0</v>
      </c>
      <c r="AL745" s="120">
        <f t="shared" si="2176"/>
        <v>0.315964514302708</v>
      </c>
      <c r="AM745" s="120">
        <f t="shared" si="2177"/>
        <v>0.45757563074122737</v>
      </c>
      <c r="AN745" s="120">
        <f t="shared" si="2178"/>
        <v>0.22645985495606463</v>
      </c>
      <c r="AO745" s="120">
        <f t="shared" si="2182"/>
        <v>9.2779124993279574E-2</v>
      </c>
      <c r="AP745" s="173">
        <f t="shared" si="2198"/>
        <v>120.36247029234733</v>
      </c>
      <c r="AQ745" s="175">
        <f t="shared" si="2199"/>
        <v>9.2779124993279477E-2</v>
      </c>
      <c r="AR745" s="177">
        <f>+AC745/$AE$49</f>
        <v>2.4732567073900119E-2</v>
      </c>
      <c r="AS745" s="177">
        <f t="shared" si="2195"/>
        <v>2.2946659319540478E-3</v>
      </c>
      <c r="AT745" s="177"/>
      <c r="AU745" s="177"/>
      <c r="AV745" s="177"/>
      <c r="AW745" s="190"/>
      <c r="AX745" s="120"/>
      <c r="AY745" s="120"/>
      <c r="AZ745" s="118">
        <f>IFERROR(INDEX('Total Customers'!$F$7:$AB$91,MATCH($C745,'Total Customers'!$D$7:$D$91,0),MATCH($G745,'Total Customers'!$F$5:$AB$5,0)),"NA")</f>
        <v>794981</v>
      </c>
      <c r="BA745" s="119">
        <f t="shared" si="2157"/>
        <v>-4.7798742147451226E-5</v>
      </c>
      <c r="BB745" s="119"/>
      <c r="BC745" s="121"/>
      <c r="BD745" s="119"/>
      <c r="BE745" s="119"/>
      <c r="BF745" s="119"/>
      <c r="BG745" s="173"/>
      <c r="BH745" s="173"/>
      <c r="BI745" s="173"/>
      <c r="BJ745" s="173"/>
      <c r="BK745" s="173"/>
      <c r="BL745" s="173"/>
      <c r="BM745" s="173"/>
      <c r="BN745" s="173"/>
      <c r="BO745" s="173"/>
      <c r="BP745" s="173"/>
      <c r="BQ745" s="118"/>
      <c r="BR745" s="118"/>
      <c r="BS745" s="118">
        <f>INDEX('Dist. Plant Gas Additions'!$F$7:$AE$91,MATCH($C745,'Dist. Plant Gas Additions'!$D$7:$D$91,0),MATCH(Calculation!$G745,'Dist. Plant Gas Additions'!$F$5:$AE$5,0))</f>
        <v>44416</v>
      </c>
      <c r="BT745" s="118">
        <f>INDEX('Gen. Plant Additions'!$F$7:$AE$91,MATCH($C745,'Gen. Plant Additions'!$D$7:$D$91,0),MATCH(Calculation!$G745,'Gen. Plant Additions'!$F$5:$AE$5,0))</f>
        <v>5404</v>
      </c>
      <c r="BU745" s="118"/>
      <c r="BV745" s="118"/>
      <c r="BW745" s="118">
        <f>INDEX('Dist Plant Depreciation'!$E$7:$AD$94,MATCH($C745,'Dist Plant Depreciation'!$D$7:$D$94,0),MATCH(Calculation!$G745,'Dist Plant Depreciation'!$E$5:$AD$5,0))</f>
        <v>1256274</v>
      </c>
      <c r="BX745" s="118">
        <f>INDEX('Gen. Plant Depreciation'!$E$7:$AD$94,MATCH($C745,'Gen. Plant Depreciation'!$D$7:$D$94,0),MATCH(Calculation!$G745,'Gen. Plant Depreciation'!$E$5:$AD$5,0))</f>
        <v>40576</v>
      </c>
      <c r="BY745" s="118"/>
      <c r="BZ745" s="118"/>
      <c r="CA745" s="118"/>
      <c r="CB745" s="118"/>
      <c r="CC745" s="118"/>
      <c r="CD745" s="118"/>
      <c r="CE745" s="118">
        <f>INDEX('Gross Dx Plant'!$E$7:$AD$91,MATCH($C745,'Gross Dx Plant'!$D$7:$D$91,0),MATCH(Calculation!$G745,'Gross Dx Plant'!$E$5:$AD$5,0))</f>
        <v>1396279</v>
      </c>
      <c r="CF745" s="118">
        <f>INDEX('Gross Gen Plant'!$E$7:$AD$91,MATCH($C745,'Gross Gen Plant'!$D$7:$D$91,0),MATCH(Calculation!$G745,'Gross Gen Plant'!$E$5:$AD$5,0))</f>
        <v>71742</v>
      </c>
      <c r="CG745" s="118">
        <f t="shared" si="2136"/>
        <v>171171</v>
      </c>
      <c r="CH745" s="118"/>
      <c r="CI745" s="121">
        <v>2011</v>
      </c>
      <c r="CJ745" s="118"/>
      <c r="CK745" s="118"/>
      <c r="CL745" s="118"/>
      <c r="CM745" s="183"/>
      <c r="CN745" s="118">
        <f t="shared" si="2158"/>
        <v>49820</v>
      </c>
      <c r="CO745" s="118">
        <f t="shared" si="2159"/>
        <v>81.456991731874126</v>
      </c>
      <c r="CP745" s="186">
        <v>0.92121212121212126</v>
      </c>
      <c r="CQ745" s="118">
        <f>+CQ732*CP745+CO733*CP744+CO734*CP743+CO735*CP742+CO736*CP741+CO737*CP740+CO738*CP739+CO739*CP738+CO740*CP737+CO741*CP736+CO742*CP735+CO743*CP734+CO744*CP733+CO745</f>
        <v>2830.6999112543108</v>
      </c>
      <c r="CR745" s="119">
        <f t="shared" si="2160"/>
        <v>2.1864402164810084E-2</v>
      </c>
      <c r="CS745" s="119"/>
      <c r="CT745" s="177">
        <f t="shared" si="2161"/>
        <v>7.3071972534424975E-3</v>
      </c>
      <c r="CU745" s="177">
        <f t="shared" si="2169"/>
        <v>7.0532895803183003E-3</v>
      </c>
      <c r="CV745" s="119">
        <f>VLOOKUP($H745,RoR!$E:$F,2,FALSE)</f>
        <v>4.6391666666666664E-2</v>
      </c>
      <c r="CW745" s="177">
        <v>2.0840920205183799E-2</v>
      </c>
      <c r="CX745" s="177">
        <f t="shared" si="2167"/>
        <v>2.5550746461482865E-2</v>
      </c>
      <c r="CY745" s="177">
        <f t="shared" si="2170"/>
        <v>2.3848652028215324E-2</v>
      </c>
      <c r="CZ745" s="177">
        <f t="shared" si="2171"/>
        <v>2.4810540821321614E-2</v>
      </c>
      <c r="DA745" s="187">
        <f t="shared" si="2162"/>
        <v>0.85003812624999997</v>
      </c>
      <c r="DB745" s="188">
        <f t="shared" si="2163"/>
        <v>1.1054151524782025</v>
      </c>
      <c r="DC745" s="188">
        <f t="shared" si="2164"/>
        <v>0.43611011316687626</v>
      </c>
      <c r="DD745" s="188">
        <f t="shared" si="2165"/>
        <v>0.83698442246886229</v>
      </c>
      <c r="DE745" s="188">
        <f t="shared" si="2166"/>
        <v>0.40349573304423936</v>
      </c>
      <c r="DF745" s="189">
        <f>INDEX('State Tax Lookup'!$D$7:$Z$91,MATCH(Calculation!$C745,'State Tax Lookup'!$B$7:$B$91,0),MATCH($H745,'State Tax Lookup'!$D$6:$Z$6,0))</f>
        <v>0.39989833000000002</v>
      </c>
      <c r="DG745" s="189">
        <v>0.375</v>
      </c>
      <c r="DH745" s="190">
        <f t="shared" si="2168"/>
        <v>20.625923911354072</v>
      </c>
      <c r="DI745" s="190">
        <v>20.258934253451216</v>
      </c>
      <c r="DJ745" s="177"/>
      <c r="DK745" s="189">
        <f>VLOOKUP($H745,RoR!$E:$F,2,FALSE)</f>
        <v>4.6391666666666664E-2</v>
      </c>
      <c r="DL745" s="191">
        <f>HLOOKUP($H745,'GDP-PI'!$D$8:$CQ$11,3,FALSE)</f>
        <v>2.0840920205183799E-2</v>
      </c>
      <c r="DM745" s="189">
        <f>VLOOKUP(H745,'HW Dx Data'!$E:$F,2,FALSE)</f>
        <v>611.61109612283201</v>
      </c>
      <c r="DN745" s="183">
        <f>VLOOKUP(H745,'ECI - Input Price'!$G$17:$H$37,2,FALSE)</f>
        <v>114.3</v>
      </c>
      <c r="DO745" s="177">
        <f t="shared" ref="DO745" si="2206">LN(DN745/DN744)</f>
        <v>2.1444394205745516E-2</v>
      </c>
      <c r="DP745" s="183">
        <f>HLOOKUP(H745,'GDP-PI'!$8:$9,2,FALSE)</f>
        <v>98.111999999999995</v>
      </c>
      <c r="DQ745" s="177">
        <f t="shared" ref="DQ745" si="2207">LN(DP745/DP744)</f>
        <v>2.0626719212849295E-2</v>
      </c>
    </row>
    <row r="746" spans="1:121" s="167" customFormat="1" ht="21" x14ac:dyDescent="0.35">
      <c r="A746" s="167" t="s">
        <v>76</v>
      </c>
      <c r="B746" s="168" t="s">
        <v>76</v>
      </c>
      <c r="C746" s="168">
        <v>4012860</v>
      </c>
      <c r="D746" s="168" t="s">
        <v>143</v>
      </c>
      <c r="E746" s="168"/>
      <c r="F746" s="168"/>
      <c r="G746" s="168" t="s">
        <v>18</v>
      </c>
      <c r="H746" s="169">
        <v>2012</v>
      </c>
      <c r="I746" s="170"/>
      <c r="J746" s="166">
        <f>IFERROR(INDEX('Labor Expenditures'!$F$7:$X$91,MATCH($C746,'Labor Expenditures'!$D$7:$D$91,0),MATCH($G746,'Labor Expenditures'!$F$5:$X$5,0)),"NA")</f>
        <v>67311.612741434088</v>
      </c>
      <c r="K746" s="166">
        <f t="shared" si="2174"/>
        <v>577.78208361745999</v>
      </c>
      <c r="L746" s="172">
        <f t="shared" si="2181"/>
        <v>-0.18800247522582339</v>
      </c>
      <c r="M746" s="172">
        <f t="shared" si="2185"/>
        <v>-4.0080573793710664E-3</v>
      </c>
      <c r="N746" s="196"/>
      <c r="O746" s="172"/>
      <c r="P746" s="166">
        <f>IFERROR(INDEX('Non-Labor Expenditures'!$F$7:$AB$91,MATCH($C746,'Non-Labor Expenditures'!$D$7:$D$91,0),MATCH($G746,'Non-Labor Expenditures'!$F$5:$AB$5,0)),"NA")</f>
        <v>97479.787324670979</v>
      </c>
      <c r="Q746" s="166">
        <f t="shared" si="2175"/>
        <v>974.79787324670974</v>
      </c>
      <c r="R746" s="172">
        <f t="shared" si="2186"/>
        <v>-0.18799827575957562</v>
      </c>
      <c r="S746" s="172">
        <f t="shared" si="2191"/>
        <v>-4.0079678502217102E-3</v>
      </c>
      <c r="T746" s="172"/>
      <c r="U746" s="172"/>
      <c r="V746" s="166">
        <f t="shared" si="2156"/>
        <v>63034.386586599016</v>
      </c>
      <c r="W746" s="170"/>
      <c r="X746" s="174">
        <v>2924.6772769441313</v>
      </c>
      <c r="Y746" s="175">
        <v>3.2660142386653011E-2</v>
      </c>
      <c r="Z746" s="175">
        <f t="shared" si="2192"/>
        <v>6.9628724061689292E-4</v>
      </c>
      <c r="AA746" s="175"/>
      <c r="AB746" s="175"/>
      <c r="AC746" s="170">
        <f t="shared" si="2068"/>
        <v>227825.78665270409</v>
      </c>
      <c r="AD746" s="175">
        <f t="shared" si="2187"/>
        <v>-0.10181467161855824</v>
      </c>
      <c r="AE746" s="170"/>
      <c r="AF746" s="170"/>
      <c r="AG746" s="121">
        <f t="shared" si="2188"/>
        <v>285.50599100307289</v>
      </c>
      <c r="AH746" s="119">
        <f>+AZ746/$BB$50</f>
        <v>2.2038479681681464E-2</v>
      </c>
      <c r="AI746" s="119"/>
      <c r="AJ746" s="176">
        <f t="shared" si="2193"/>
        <v>6.2921179817195529</v>
      </c>
      <c r="AK746" s="176">
        <f t="shared" si="2194"/>
        <v>0</v>
      </c>
      <c r="AL746" s="120">
        <f t="shared" si="2176"/>
        <v>0.29545212475900895</v>
      </c>
      <c r="AM746" s="120">
        <f t="shared" si="2177"/>
        <v>0.42786985949605622</v>
      </c>
      <c r="AN746" s="120">
        <f t="shared" si="2178"/>
        <v>0.27667801574493478</v>
      </c>
      <c r="AO746" s="120">
        <f t="shared" si="2182"/>
        <v>-0.13248875624217304</v>
      </c>
      <c r="AP746" s="173">
        <f t="shared" si="2198"/>
        <v>105.42702627462545</v>
      </c>
      <c r="AQ746" s="175">
        <f t="shared" si="2199"/>
        <v>-0.1324887562421731</v>
      </c>
      <c r="AR746" s="177">
        <f>+AC746/$AE$50</f>
        <v>2.1319173455331894E-2</v>
      </c>
      <c r="AS746" s="177">
        <f t="shared" si="2195"/>
        <v>-2.8245507752080747E-3</v>
      </c>
      <c r="AT746" s="177"/>
      <c r="AU746" s="177"/>
      <c r="AV746" s="177"/>
      <c r="AW746" s="190"/>
      <c r="AX746" s="120"/>
      <c r="AY746" s="120"/>
      <c r="AZ746" s="118">
        <f>IFERROR(INDEX('Total Customers'!$F$7:$AB$91,MATCH($C746,'Total Customers'!$D$7:$D$91,0),MATCH($G746,'Total Customers'!$F$5:$AB$5,0)),"NA")</f>
        <v>797972</v>
      </c>
      <c r="BA746" s="119">
        <f t="shared" si="2157"/>
        <v>3.7552941172539198E-3</v>
      </c>
      <c r="BB746" s="119"/>
      <c r="BC746" s="121"/>
      <c r="BD746" s="119"/>
      <c r="BE746" s="119"/>
      <c r="BF746" s="119"/>
      <c r="BG746" s="173"/>
      <c r="BH746" s="173"/>
      <c r="BI746" s="173"/>
      <c r="BJ746" s="173"/>
      <c r="BK746" s="173"/>
      <c r="BL746" s="173"/>
      <c r="BM746" s="173"/>
      <c r="BN746" s="173"/>
      <c r="BO746" s="173"/>
      <c r="BP746" s="173"/>
      <c r="BQ746" s="118"/>
      <c r="BR746" s="118"/>
      <c r="BS746" s="118">
        <f>INDEX('Dist. Plant Gas Additions'!$F$7:$AE$91,MATCH($C746,'Dist. Plant Gas Additions'!$D$7:$D$91,0),MATCH(Calculation!$G746,'Dist. Plant Gas Additions'!$F$5:$AE$5,0))</f>
        <v>75555</v>
      </c>
      <c r="BT746" s="118">
        <f>INDEX('Gen. Plant Additions'!$F$7:$AE$91,MATCH($C746,'Gen. Plant Additions'!$D$7:$D$91,0),MATCH(Calculation!$G746,'Gen. Plant Additions'!$F$5:$AE$5,0))</f>
        <v>1603</v>
      </c>
      <c r="BU746" s="118"/>
      <c r="BV746" s="118"/>
      <c r="BW746" s="118">
        <f>INDEX('Dist Plant Depreciation'!$E$7:$AD$94,MATCH($C746,'Dist Plant Depreciation'!$D$7:$D$94,0),MATCH(Calculation!$G746,'Dist Plant Depreciation'!$E$5:$AD$5,0))</f>
        <v>1240285</v>
      </c>
      <c r="BX746" s="118">
        <f>INDEX('Gen. Plant Depreciation'!$E$7:$AD$94,MATCH($C746,'Gen. Plant Depreciation'!$D$7:$D$94,0),MATCH(Calculation!$G746,'Gen. Plant Depreciation'!$E$5:$AD$5,0))</f>
        <v>33278</v>
      </c>
      <c r="BY746" s="118"/>
      <c r="BZ746" s="118"/>
      <c r="CA746" s="118"/>
      <c r="CB746" s="118"/>
      <c r="CC746" s="118"/>
      <c r="CD746" s="118"/>
      <c r="CE746" s="118">
        <f>INDEX('Gross Dx Plant'!$E$7:$AD$91,MATCH($C746,'Gross Dx Plant'!$D$7:$D$91,0),MATCH(Calculation!$G746,'Gross Dx Plant'!$E$5:$AD$5,0))</f>
        <v>1464497</v>
      </c>
      <c r="CF746" s="118">
        <f>INDEX('Gross Gen Plant'!$E$7:$AD$91,MATCH($C746,'Gross Gen Plant'!$D$7:$D$91,0),MATCH(Calculation!$G746,'Gross Gen Plant'!$E$5:$AD$5,0))</f>
        <v>68760</v>
      </c>
      <c r="CG746" s="118">
        <f t="shared" si="2136"/>
        <v>259694</v>
      </c>
      <c r="CH746" s="118"/>
      <c r="CI746" s="121">
        <v>2012</v>
      </c>
      <c r="CJ746" s="118"/>
      <c r="CK746" s="118"/>
      <c r="CL746" s="118"/>
      <c r="CM746" s="183"/>
      <c r="CN746" s="118">
        <f t="shared" si="2158"/>
        <v>77158</v>
      </c>
      <c r="CO746" s="118">
        <f t="shared" si="2159"/>
        <v>115.34724360527501</v>
      </c>
      <c r="CP746" s="186">
        <v>0.9135802469135802</v>
      </c>
      <c r="CQ746" s="118">
        <f>+CQ732*CP746+CO733*CP745+CO734*CP744+CO735*CP743+CO736*CP742+CO737*CP741+CO738*CP740+CO739*CP739+CO740*CP738+CO741*CP737+CO742*CP736+CO743*CP735+CO744*CP734+CO745*CP733+CO746</f>
        <v>2924.6772769441313</v>
      </c>
      <c r="CR746" s="119">
        <f t="shared" si="2160"/>
        <v>3.2660142386653011E-2</v>
      </c>
      <c r="CS746" s="119"/>
      <c r="CT746" s="177">
        <f t="shared" si="2161"/>
        <v>7.5493265218584283E-3</v>
      </c>
      <c r="CU746" s="177">
        <f t="shared" si="2169"/>
        <v>7.3000530121588164E-3</v>
      </c>
      <c r="CV746" s="119">
        <f>VLOOKUP($H746,RoR!$E:$F,2,FALSE)</f>
        <v>3.6733333333333333E-2</v>
      </c>
      <c r="CW746" s="177">
        <v>1.924331376386168E-2</v>
      </c>
      <c r="CX746" s="177">
        <f t="shared" si="2167"/>
        <v>1.7490019569471653E-2</v>
      </c>
      <c r="CY746" s="177">
        <f t="shared" si="2170"/>
        <v>2.3601888596374809E-2</v>
      </c>
      <c r="CZ746" s="177">
        <f t="shared" si="2171"/>
        <v>6.7122682943869583E-2</v>
      </c>
      <c r="DA746" s="187">
        <f t="shared" si="2162"/>
        <v>0.85003812624999997</v>
      </c>
      <c r="DB746" s="188">
        <f t="shared" si="2163"/>
        <v>1.3960631020522127</v>
      </c>
      <c r="DC746" s="188">
        <f t="shared" si="2164"/>
        <v>0.29441923774954631</v>
      </c>
      <c r="DD746" s="188">
        <f t="shared" si="2165"/>
        <v>0.76377954189366437</v>
      </c>
      <c r="DE746" s="188">
        <f t="shared" si="2166"/>
        <v>0.31393465103033691</v>
      </c>
      <c r="DF746" s="189">
        <f>INDEX('State Tax Lookup'!$D$7:$Z$91,MATCH(Calculation!$C746,'State Tax Lookup'!$B$7:$B$91,0),MATCH($H746,'State Tax Lookup'!$D$6:$Z$6,0))</f>
        <v>0.39989833000000002</v>
      </c>
      <c r="DG746" s="189">
        <v>0.375</v>
      </c>
      <c r="DH746" s="190">
        <f t="shared" si="2168"/>
        <v>22.268127517151001</v>
      </c>
      <c r="DI746" s="190">
        <v>21.922566062423908</v>
      </c>
      <c r="DJ746" s="177"/>
      <c r="DK746" s="189">
        <f>VLOOKUP($H746,RoR!$E:$F,2,FALSE)</f>
        <v>3.6733333333333333E-2</v>
      </c>
      <c r="DL746" s="191">
        <f>HLOOKUP($H746,'GDP-PI'!$D$8:$CQ$11,3,FALSE)</f>
        <v>1.924331376386168E-2</v>
      </c>
      <c r="DM746" s="189">
        <f>VLOOKUP(H746,'HW Dx Data'!$E:$F,2,FALSE)</f>
        <v>668.91932211262167</v>
      </c>
      <c r="DN746" s="183">
        <f>VLOOKUP(H746,'ECI - Input Price'!$G$17:$H$37,2,FALSE)</f>
        <v>116.5</v>
      </c>
      <c r="DO746" s="177">
        <f t="shared" ref="DO746" si="2208">LN(DN746/DN745)</f>
        <v>1.9064702204990347E-2</v>
      </c>
      <c r="DP746" s="183">
        <f>HLOOKUP(H746,'GDP-PI'!$8:$9,2,FALSE)</f>
        <v>100</v>
      </c>
      <c r="DQ746" s="177">
        <f t="shared" ref="DQ746" si="2209">LN(DP746/DP745)</f>
        <v>1.9060502738742411E-2</v>
      </c>
    </row>
    <row r="747" spans="1:121" s="167" customFormat="1" ht="21" x14ac:dyDescent="0.35">
      <c r="A747" s="167" t="s">
        <v>76</v>
      </c>
      <c r="B747" s="168" t="s">
        <v>76</v>
      </c>
      <c r="C747" s="168">
        <v>4012860</v>
      </c>
      <c r="D747" s="168" t="s">
        <v>143</v>
      </c>
      <c r="E747" s="168"/>
      <c r="F747" s="168"/>
      <c r="G747" s="168" t="s">
        <v>19</v>
      </c>
      <c r="H747" s="169">
        <v>2013</v>
      </c>
      <c r="I747" s="170"/>
      <c r="J747" s="166">
        <f>IFERROR(INDEX('Labor Expenditures'!$F$7:$X$91,MATCH($C747,'Labor Expenditures'!$D$7:$D$91,0),MATCH($G747,'Labor Expenditures'!$F$5:$X$5,0)),"NA")</f>
        <v>68476.141857405091</v>
      </c>
      <c r="K747" s="166">
        <f t="shared" si="2174"/>
        <v>576.7626182977898</v>
      </c>
      <c r="L747" s="172">
        <f t="shared" si="2181"/>
        <v>-1.7660045261749776E-3</v>
      </c>
      <c r="M747" s="172">
        <f t="shared" si="2185"/>
        <v>-3.6898861033268493E-5</v>
      </c>
      <c r="N747" s="196"/>
      <c r="O747" s="172"/>
      <c r="P747" s="166">
        <f>IFERROR(INDEX('Non-Labor Expenditures'!$F$7:$AB$91,MATCH($C747,'Non-Labor Expenditures'!$D$7:$D$91,0),MATCH($G747,'Non-Labor Expenditures'!$F$5:$AB$5,0)),"NA")</f>
        <v>99166.242988633443</v>
      </c>
      <c r="Q747" s="166">
        <f t="shared" si="2175"/>
        <v>974.38655624412615</v>
      </c>
      <c r="R747" s="172">
        <f t="shared" si="2186"/>
        <v>-4.2204011325527147E-4</v>
      </c>
      <c r="S747" s="172">
        <f t="shared" si="2191"/>
        <v>-8.8180971558439771E-6</v>
      </c>
      <c r="T747" s="172"/>
      <c r="U747" s="172"/>
      <c r="V747" s="166">
        <f t="shared" si="2156"/>
        <v>63964.640945964187</v>
      </c>
      <c r="W747" s="170"/>
      <c r="X747" s="174">
        <v>3029.2649917429667</v>
      </c>
      <c r="Y747" s="175">
        <v>3.5135871184153344E-2</v>
      </c>
      <c r="Z747" s="175">
        <f t="shared" si="2192"/>
        <v>7.3412814570467371E-4</v>
      </c>
      <c r="AA747" s="175"/>
      <c r="AB747" s="175"/>
      <c r="AC747" s="170">
        <f t="shared" si="2068"/>
        <v>231607.02579200274</v>
      </c>
      <c r="AD747" s="175">
        <f t="shared" si="2187"/>
        <v>1.6460837870567235E-2</v>
      </c>
      <c r="AE747" s="170"/>
      <c r="AF747" s="170"/>
      <c r="AG747" s="121">
        <f t="shared" si="2188"/>
        <v>288.37798008559281</v>
      </c>
      <c r="AH747" s="119">
        <f>+AZ747/$BB$51</f>
        <v>2.2039316288368218E-2</v>
      </c>
      <c r="AI747" s="119"/>
      <c r="AJ747" s="176">
        <f t="shared" si="2193"/>
        <v>6.3556535137071313</v>
      </c>
      <c r="AK747" s="176">
        <f t="shared" si="2194"/>
        <v>0</v>
      </c>
      <c r="AL747" s="120">
        <f t="shared" si="2176"/>
        <v>0.29565658305590803</v>
      </c>
      <c r="AM747" s="120">
        <f t="shared" si="2177"/>
        <v>0.42816595329750828</v>
      </c>
      <c r="AN747" s="120">
        <f t="shared" si="2178"/>
        <v>0.27617746364658363</v>
      </c>
      <c r="AO747" s="120">
        <f t="shared" si="2182"/>
        <v>9.0099384012545906E-3</v>
      </c>
      <c r="AP747" s="173">
        <f t="shared" si="2198"/>
        <v>106.38120939780919</v>
      </c>
      <c r="AQ747" s="175">
        <f t="shared" si="2199"/>
        <v>9.0099384012545924E-3</v>
      </c>
      <c r="AR747" s="177">
        <f>+AC747/$AE$51</f>
        <v>2.0893978744883759E-2</v>
      </c>
      <c r="AS747" s="177">
        <f t="shared" si="2195"/>
        <v>1.882534614485254E-4</v>
      </c>
      <c r="AT747" s="177"/>
      <c r="AU747" s="177"/>
      <c r="AV747" s="177"/>
      <c r="AW747" s="190"/>
      <c r="AX747" s="120"/>
      <c r="AY747" s="120"/>
      <c r="AZ747" s="118">
        <f>IFERROR(INDEX('Total Customers'!$F$7:$AB$91,MATCH($C747,'Total Customers'!$D$7:$D$91,0),MATCH($G747,'Total Customers'!$F$5:$AB$5,0)),"NA")</f>
        <v>803137</v>
      </c>
      <c r="BA747" s="119">
        <f t="shared" si="2157"/>
        <v>6.4518004912787448E-3</v>
      </c>
      <c r="BB747" s="119"/>
      <c r="BC747" s="121"/>
      <c r="BD747" s="119"/>
      <c r="BE747" s="119"/>
      <c r="BF747" s="119"/>
      <c r="BG747" s="173"/>
      <c r="BH747" s="173"/>
      <c r="BI747" s="173"/>
      <c r="BJ747" s="173"/>
      <c r="BK747" s="173"/>
      <c r="BL747" s="173"/>
      <c r="BM747" s="173"/>
      <c r="BN747" s="173"/>
      <c r="BO747" s="173"/>
      <c r="BP747" s="173"/>
      <c r="BQ747" s="118"/>
      <c r="BR747" s="118"/>
      <c r="BS747" s="118">
        <f>INDEX('Dist. Plant Gas Additions'!$F$7:$AE$91,MATCH($C747,'Dist. Plant Gas Additions'!$D$7:$D$91,0),MATCH(Calculation!$G747,'Dist. Plant Gas Additions'!$F$5:$AE$5,0))</f>
        <v>83381</v>
      </c>
      <c r="BT747" s="118">
        <f>INDEX('Gen. Plant Additions'!$F$7:$AE$91,MATCH($C747,'Gen. Plant Additions'!$D$7:$D$91,0),MATCH(Calculation!$G747,'Gen. Plant Additions'!$F$5:$AE$5,0))</f>
        <v>1058</v>
      </c>
      <c r="BU747" s="118"/>
      <c r="BV747" s="118"/>
      <c r="BW747" s="118">
        <f>INDEX('Dist Plant Depreciation'!$E$7:$AD$94,MATCH($C747,'Dist Plant Depreciation'!$D$7:$D$94,0),MATCH(Calculation!$G747,'Dist Plant Depreciation'!$E$5:$AD$5,0))</f>
        <v>1213218</v>
      </c>
      <c r="BX747" s="118">
        <f>INDEX('Gen. Plant Depreciation'!$E$7:$AD$94,MATCH($C747,'Gen. Plant Depreciation'!$D$7:$D$94,0),MATCH(Calculation!$G747,'Gen. Plant Depreciation'!$E$5:$AD$5,0))</f>
        <v>30381</v>
      </c>
      <c r="BY747" s="118"/>
      <c r="BZ747" s="118"/>
      <c r="CA747" s="118"/>
      <c r="CB747" s="118"/>
      <c r="CC747" s="118"/>
      <c r="CD747" s="118"/>
      <c r="CE747" s="118">
        <f>INDEX('Gross Dx Plant'!$E$7:$AD$91,MATCH($C747,'Gross Dx Plant'!$D$7:$D$91,0),MATCH(Calculation!$G747,'Gross Dx Plant'!$E$5:$AD$5,0))</f>
        <v>1528398</v>
      </c>
      <c r="CF747" s="118">
        <f>INDEX('Gross Gen Plant'!$E$7:$AD$91,MATCH($C747,'Gross Gen Plant'!$D$7:$D$91,0),MATCH(Calculation!$G747,'Gross Gen Plant'!$E$5:$AD$5,0))</f>
        <v>67882</v>
      </c>
      <c r="CG747" s="118">
        <f t="shared" si="2136"/>
        <v>352681</v>
      </c>
      <c r="CH747" s="118"/>
      <c r="CI747" s="121">
        <v>2013</v>
      </c>
      <c r="CJ747" s="118"/>
      <c r="CK747" s="118"/>
      <c r="CL747" s="118"/>
      <c r="CM747" s="183"/>
      <c r="CN747" s="118">
        <f t="shared" si="2158"/>
        <v>84439</v>
      </c>
      <c r="CO747" s="118">
        <f t="shared" si="2159"/>
        <v>127.31127478225125</v>
      </c>
      <c r="CP747" s="186">
        <v>0.90566037735849059</v>
      </c>
      <c r="CQ747" s="118">
        <f>+CQ732*CP747+CO733*CP746+CO734*CP745+CO735*CP744+CO736*CP743+CO737*CP742+CO738*CP741+CO739*CP740+CO740*CP739+CO741*CP738+CO742*CP737+CO743*CP736+CO744*CP735+CO745*CP734+CO746*CP733+CO747</f>
        <v>3029.2649917429667</v>
      </c>
      <c r="CR747" s="119">
        <f t="shared" si="2160"/>
        <v>3.5135871184153344E-2</v>
      </c>
      <c r="CS747" s="119"/>
      <c r="CT747" s="177">
        <f t="shared" si="2161"/>
        <v>7.7695956960963436E-3</v>
      </c>
      <c r="CU747" s="177">
        <f t="shared" si="2169"/>
        <v>7.5420398237990892E-3</v>
      </c>
      <c r="CV747" s="119">
        <f>VLOOKUP($H747,RoR!$E:$F,2,FALSE)</f>
        <v>4.2350000000000006E-2</v>
      </c>
      <c r="CW747" s="177">
        <v>1.7730000000000024E-2</v>
      </c>
      <c r="CX747" s="177">
        <f t="shared" si="2167"/>
        <v>2.4619999999999982E-2</v>
      </c>
      <c r="CY747" s="177">
        <f t="shared" si="2170"/>
        <v>2.3359901784734537E-2</v>
      </c>
      <c r="CZ747" s="177">
        <f t="shared" si="2171"/>
        <v>5.3376742735721204E-2</v>
      </c>
      <c r="DA747" s="187">
        <f t="shared" si="2162"/>
        <v>0.85003812624999997</v>
      </c>
      <c r="DB747" s="188">
        <f t="shared" si="2163"/>
        <v>1.2109103018193925</v>
      </c>
      <c r="DC747" s="188">
        <f t="shared" si="2164"/>
        <v>0.38468122786304604</v>
      </c>
      <c r="DD747" s="188">
        <f t="shared" si="2165"/>
        <v>0.80969194503422559</v>
      </c>
      <c r="DE747" s="188">
        <f t="shared" si="2166"/>
        <v>0.37716621754800816</v>
      </c>
      <c r="DF747" s="189">
        <f>INDEX('State Tax Lookup'!$D$7:$Z$91,MATCH(Calculation!$C747,'State Tax Lookup'!$B$7:$B$91,0),MATCH($H747,'State Tax Lookup'!$D$6:$Z$6,0))</f>
        <v>0.39989833000000002</v>
      </c>
      <c r="DG747" s="189">
        <v>0.375</v>
      </c>
      <c r="DH747" s="190">
        <f t="shared" si="2168"/>
        <v>21.870666363845132</v>
      </c>
      <c r="DI747" s="190">
        <v>21.546148392565311</v>
      </c>
      <c r="DJ747" s="177"/>
      <c r="DK747" s="189">
        <f>VLOOKUP($H747,RoR!$E:$F,2,FALSE)</f>
        <v>4.2350000000000006E-2</v>
      </c>
      <c r="DL747" s="191">
        <f>HLOOKUP($H747,'GDP-PI'!$D$8:$CQ$11,3,FALSE)</f>
        <v>1.7730000000000024E-2</v>
      </c>
      <c r="DM747" s="189">
        <f>VLOOKUP(H747,'HW Dx Data'!$E:$F,2,FALSE)</f>
        <v>663.24840548821396</v>
      </c>
      <c r="DN747" s="183">
        <f>VLOOKUP(H747,'ECI - Input Price'!$G$17:$H$37,2,FALSE)</f>
        <v>118.72499999999999</v>
      </c>
      <c r="DO747" s="177">
        <f t="shared" ref="DO747" si="2210">LN(DN747/DN746)</f>
        <v>1.8918621429430321E-2</v>
      </c>
      <c r="DP747" s="183">
        <f>HLOOKUP(H747,'GDP-PI'!$8:$9,2,FALSE)</f>
        <v>101.773</v>
      </c>
      <c r="DQ747" s="177">
        <f t="shared" ref="DQ747" si="2211">LN(DP747/DP746)</f>
        <v>1.7574657016510519E-2</v>
      </c>
    </row>
    <row r="748" spans="1:121" s="167" customFormat="1" ht="21" x14ac:dyDescent="0.35">
      <c r="A748" s="167" t="s">
        <v>76</v>
      </c>
      <c r="B748" s="168" t="s">
        <v>76</v>
      </c>
      <c r="C748" s="168">
        <v>4012860</v>
      </c>
      <c r="D748" s="168" t="s">
        <v>143</v>
      </c>
      <c r="E748" s="168"/>
      <c r="F748" s="168"/>
      <c r="G748" s="168" t="s">
        <v>20</v>
      </c>
      <c r="H748" s="169">
        <v>2014</v>
      </c>
      <c r="I748" s="170"/>
      <c r="J748" s="166">
        <f>IFERROR(INDEX('Labor Expenditures'!$F$7:$X$91,MATCH($C748,'Labor Expenditures'!$D$7:$D$91,0),MATCH($G748,'Labor Expenditures'!$F$5:$X$5,0)),"NA")</f>
        <v>67458.197059734492</v>
      </c>
      <c r="K748" s="166">
        <f t="shared" si="2174"/>
        <v>556.5857843212417</v>
      </c>
      <c r="L748" s="172">
        <f t="shared" si="2181"/>
        <v>-3.5609466534733375E-2</v>
      </c>
      <c r="M748" s="172">
        <f t="shared" si="2185"/>
        <v>-7.2886205146931778E-4</v>
      </c>
      <c r="N748" s="196"/>
      <c r="O748" s="172"/>
      <c r="P748" s="166">
        <f>IFERROR(INDEX('Non-Labor Expenditures'!$F$7:$AB$91,MATCH($C748,'Non-Labor Expenditures'!$D$7:$D$91,0),MATCH($G748,'Non-Labor Expenditures'!$F$5:$AB$5,0)),"NA")</f>
        <v>97692.068795744068</v>
      </c>
      <c r="Q748" s="166">
        <f t="shared" si="2175"/>
        <v>942.54603409403126</v>
      </c>
      <c r="R748" s="172">
        <f t="shared" si="2186"/>
        <v>-3.3223339232961072E-2</v>
      </c>
      <c r="S748" s="172">
        <f t="shared" si="2191"/>
        <v>-6.8002229593576219E-4</v>
      </c>
      <c r="T748" s="172"/>
      <c r="U748" s="172"/>
      <c r="V748" s="166">
        <f t="shared" si="2156"/>
        <v>67773.984935544868</v>
      </c>
      <c r="W748" s="170"/>
      <c r="X748" s="174">
        <v>3149.8670225964015</v>
      </c>
      <c r="Y748" s="175">
        <v>3.9040223785496542E-2</v>
      </c>
      <c r="Z748" s="175">
        <f t="shared" si="2192"/>
        <v>7.9908351253629142E-4</v>
      </c>
      <c r="AA748" s="175"/>
      <c r="AB748" s="175"/>
      <c r="AC748" s="170">
        <f t="shared" si="2068"/>
        <v>232924.25079102343</v>
      </c>
      <c r="AD748" s="175">
        <f t="shared" si="2187"/>
        <v>5.6712156785910231E-3</v>
      </c>
      <c r="AE748" s="170"/>
      <c r="AF748" s="170"/>
      <c r="AG748" s="121">
        <f t="shared" si="2188"/>
        <v>288.55435665646706</v>
      </c>
      <c r="AH748" s="119">
        <f>+AZ748/$BB$52</f>
        <v>2.2032204212251619E-2</v>
      </c>
      <c r="AI748" s="119"/>
      <c r="AJ748" s="176">
        <f t="shared" si="2193"/>
        <v>6.3574885121901694</v>
      </c>
      <c r="AK748" s="176">
        <f t="shared" si="2194"/>
        <v>0</v>
      </c>
      <c r="AL748" s="120">
        <f t="shared" si="2176"/>
        <v>0.28961431379790975</v>
      </c>
      <c r="AM748" s="120">
        <f t="shared" si="2177"/>
        <v>0.41941561887169965</v>
      </c>
      <c r="AN748" s="120">
        <f t="shared" si="2178"/>
        <v>0.2909700673303906</v>
      </c>
      <c r="AO748" s="120">
        <f t="shared" si="2182"/>
        <v>-1.342955399316029E-2</v>
      </c>
      <c r="AP748" s="173">
        <f t="shared" si="2198"/>
        <v>104.96210748343451</v>
      </c>
      <c r="AQ748" s="175">
        <f t="shared" si="2199"/>
        <v>-1.3429553993160325E-2</v>
      </c>
      <c r="AR748" s="177">
        <f>+AC748/$AE$52</f>
        <v>2.046821034958184E-2</v>
      </c>
      <c r="AS748" s="177">
        <f t="shared" si="2195"/>
        <v>-2.7487893603307228E-4</v>
      </c>
      <c r="AT748" s="177"/>
      <c r="AU748" s="177"/>
      <c r="AV748" s="177"/>
      <c r="AW748" s="190"/>
      <c r="AX748" s="120"/>
      <c r="AY748" s="120"/>
      <c r="AZ748" s="118">
        <f>IFERROR(INDEX('Total Customers'!$F$7:$AB$91,MATCH($C748,'Total Customers'!$D$7:$D$91,0),MATCH($G748,'Total Customers'!$F$5:$AB$5,0)),"NA")</f>
        <v>807211</v>
      </c>
      <c r="BA748" s="119">
        <f t="shared" si="2157"/>
        <v>5.059786694162456E-3</v>
      </c>
      <c r="BB748" s="119"/>
      <c r="BC748" s="121"/>
      <c r="BD748" s="119"/>
      <c r="BE748" s="119"/>
      <c r="BF748" s="119"/>
      <c r="BG748" s="173"/>
      <c r="BH748" s="173"/>
      <c r="BI748" s="173"/>
      <c r="BJ748" s="173"/>
      <c r="BK748" s="173"/>
      <c r="BL748" s="173"/>
      <c r="BM748" s="173"/>
      <c r="BN748" s="173"/>
      <c r="BO748" s="173"/>
      <c r="BP748" s="173"/>
      <c r="BQ748" s="118"/>
      <c r="BR748" s="118"/>
      <c r="BS748" s="118">
        <f>INDEX('Dist. Plant Gas Additions'!$F$7:$AE$91,MATCH($C748,'Dist. Plant Gas Additions'!$D$7:$D$91,0),MATCH(Calculation!$G748,'Dist. Plant Gas Additions'!$F$5:$AE$5,0))</f>
        <v>97440</v>
      </c>
      <c r="BT748" s="118">
        <f>INDEX('Gen. Plant Additions'!$F$7:$AE$91,MATCH($C748,'Gen. Plant Additions'!$D$7:$D$91,0),MATCH(Calculation!$G748,'Gen. Plant Additions'!$F$5:$AE$5,0))</f>
        <v>1671</v>
      </c>
      <c r="BU748" s="118"/>
      <c r="BV748" s="118"/>
      <c r="BW748" s="118">
        <f>INDEX('Dist Plant Depreciation'!$E$7:$AD$94,MATCH($C748,'Dist Plant Depreciation'!$D$7:$D$94,0),MATCH(Calculation!$G748,'Dist Plant Depreciation'!$E$5:$AD$5,0))</f>
        <v>1203051</v>
      </c>
      <c r="BX748" s="118">
        <f>INDEX('Gen. Plant Depreciation'!$E$7:$AD$94,MATCH($C748,'Gen. Plant Depreciation'!$D$7:$D$94,0),MATCH(Calculation!$G748,'Gen. Plant Depreciation'!$E$5:$AD$5,0))</f>
        <v>24840</v>
      </c>
      <c r="BY748" s="118"/>
      <c r="BZ748" s="118"/>
      <c r="CA748" s="118"/>
      <c r="CB748" s="118"/>
      <c r="CC748" s="118"/>
      <c r="CD748" s="118"/>
      <c r="CE748" s="118">
        <f>INDEX('Gross Dx Plant'!$E$7:$AD$91,MATCH($C748,'Gross Dx Plant'!$D$7:$D$91,0),MATCH(Calculation!$G748,'Gross Dx Plant'!$E$5:$AD$5,0))</f>
        <v>1618467</v>
      </c>
      <c r="CF748" s="118">
        <f>INDEX('Gross Gen Plant'!$E$7:$AD$91,MATCH($C748,'Gross Gen Plant'!$D$7:$D$91,0),MATCH(Calculation!$G748,'Gross Gen Plant'!$E$5:$AD$5,0))</f>
        <v>67241</v>
      </c>
      <c r="CG748" s="118">
        <f t="shared" si="2136"/>
        <v>457817</v>
      </c>
      <c r="CH748" s="118"/>
      <c r="CI748" s="121">
        <v>2014</v>
      </c>
      <c r="CJ748" s="118"/>
      <c r="CK748" s="118"/>
      <c r="CL748" s="118"/>
      <c r="CM748" s="183"/>
      <c r="CN748" s="118">
        <f t="shared" si="2158"/>
        <v>99111</v>
      </c>
      <c r="CO748" s="118">
        <f t="shared" si="2159"/>
        <v>144.7998073182064</v>
      </c>
      <c r="CP748" s="186">
        <v>0.89743589743589747</v>
      </c>
      <c r="CQ748" s="118">
        <f>+CQ732*CP748+CO733*CP747+CO734*CP746+CO735*CP745+CO736*CP744+CO737*CP743+CO738*CP742+CO739*CP741+CO740*CP740+CO741*CP739+CO742*CP738+CO743*CP737+CO744*CP736+CO745*CP735+CO746*CP734+CO747*CP733+CO748</f>
        <v>3149.8670225964015</v>
      </c>
      <c r="CR748" s="119">
        <f t="shared" si="2160"/>
        <v>3.9040223785496542E-2</v>
      </c>
      <c r="CS748" s="119"/>
      <c r="CT748" s="177">
        <f t="shared" si="2161"/>
        <v>7.9880025454124298E-3</v>
      </c>
      <c r="CU748" s="177">
        <f t="shared" si="2169"/>
        <v>7.7689749211224011E-3</v>
      </c>
      <c r="CV748" s="119">
        <f>VLOOKUP($H748,RoR!$E:$F,2,FALSE)</f>
        <v>4.1625000000000002E-2</v>
      </c>
      <c r="CW748" s="177">
        <v>1.841352814597208E-2</v>
      </c>
      <c r="CX748" s="177">
        <f t="shared" si="2167"/>
        <v>2.3211471854027922E-2</v>
      </c>
      <c r="CY748" s="177">
        <f t="shared" si="2170"/>
        <v>2.3132966687411223E-2</v>
      </c>
      <c r="CZ748" s="177">
        <f t="shared" si="2171"/>
        <v>3.9072621432650924E-2</v>
      </c>
      <c r="DA748" s="187">
        <f t="shared" si="2162"/>
        <v>0.85003812624999997</v>
      </c>
      <c r="DB748" s="188">
        <f t="shared" si="2163"/>
        <v>1.2320012320012319</v>
      </c>
      <c r="DC748" s="188">
        <f t="shared" si="2164"/>
        <v>0.37439939939939942</v>
      </c>
      <c r="DD748" s="188">
        <f t="shared" si="2165"/>
        <v>0.80432100613819935</v>
      </c>
      <c r="DE748" s="188">
        <f t="shared" si="2166"/>
        <v>0.37100152660040037</v>
      </c>
      <c r="DF748" s="189">
        <f>INDEX('State Tax Lookup'!$D$7:$Z$91,MATCH(Calculation!$C748,'State Tax Lookup'!$B$7:$B$91,0),MATCH($H748,'State Tax Lookup'!$D$6:$Z$6,0))</f>
        <v>0.39989833000000002</v>
      </c>
      <c r="DG748" s="189">
        <v>0.375</v>
      </c>
      <c r="DH748" s="190">
        <f t="shared" si="2168"/>
        <v>22.373078987899749</v>
      </c>
      <c r="DI748" s="190">
        <v>22.034919344680461</v>
      </c>
      <c r="DJ748" s="177"/>
      <c r="DK748" s="189">
        <f>VLOOKUP($H748,RoR!$E:$F,2,FALSE)</f>
        <v>4.1625000000000002E-2</v>
      </c>
      <c r="DL748" s="191">
        <f>HLOOKUP($H748,'GDP-PI'!$D$8:$CQ$11,3,FALSE)</f>
        <v>1.841352814597208E-2</v>
      </c>
      <c r="DM748" s="189">
        <f>VLOOKUP(H748,'HW Dx Data'!$E:$F,2,FALSE)</f>
        <v>684.46914285042885</v>
      </c>
      <c r="DN748" s="183">
        <f>VLOOKUP(H748,'ECI - Input Price'!$G$17:$H$37,2,FALSE)</f>
        <v>121.2</v>
      </c>
      <c r="DO748" s="177">
        <f t="shared" ref="DO748" si="2212">LN(DN748/DN747)</f>
        <v>2.0632179200028689E-2</v>
      </c>
      <c r="DP748" s="183">
        <f>HLOOKUP(H748,'GDP-PI'!$8:$9,2,FALSE)</f>
        <v>103.64700000000001</v>
      </c>
      <c r="DQ748" s="177">
        <f t="shared" ref="DQ748" si="2213">LN(DP748/DP747)</f>
        <v>1.8246051898256087E-2</v>
      </c>
    </row>
    <row r="749" spans="1:121" s="167" customFormat="1" ht="21" x14ac:dyDescent="0.35">
      <c r="A749" s="167" t="s">
        <v>76</v>
      </c>
      <c r="B749" s="168" t="s">
        <v>76</v>
      </c>
      <c r="C749" s="168">
        <v>4012860</v>
      </c>
      <c r="D749" s="168" t="s">
        <v>143</v>
      </c>
      <c r="E749" s="168"/>
      <c r="F749" s="168"/>
      <c r="G749" s="168" t="s">
        <v>21</v>
      </c>
      <c r="H749" s="169">
        <v>2015</v>
      </c>
      <c r="I749" s="170"/>
      <c r="J749" s="166">
        <f>IFERROR(INDEX('Labor Expenditures'!$F$7:$X$91,MATCH($C749,'Labor Expenditures'!$D$7:$D$91,0),MATCH($G749,'Labor Expenditures'!$F$5:$X$5,0)),"NA")</f>
        <v>57577.594027725972</v>
      </c>
      <c r="K749" s="166">
        <f t="shared" si="2174"/>
        <v>465.27348709273514</v>
      </c>
      <c r="L749" s="172">
        <f t="shared" si="2181"/>
        <v>-0.17919593157571273</v>
      </c>
      <c r="M749" s="172">
        <f t="shared" si="2185"/>
        <v>-3.2741574637048707E-3</v>
      </c>
      <c r="N749" s="196"/>
      <c r="O749" s="172"/>
      <c r="P749" s="166">
        <f>IFERROR(INDEX('Non-Labor Expenditures'!$F$7:$AB$91,MATCH($C749,'Non-Labor Expenditures'!$D$7:$D$91,0),MATCH($G749,'Non-Labor Expenditures'!$F$5:$AB$5,0)),"NA")</f>
        <v>83383.110163308709</v>
      </c>
      <c r="Q749" s="166">
        <f t="shared" si="2175"/>
        <v>796.86455492988955</v>
      </c>
      <c r="R749" s="172">
        <f t="shared" si="2186"/>
        <v>-0.16790003994756972</v>
      </c>
      <c r="S749" s="172">
        <f t="shared" si="2191"/>
        <v>-3.0677659035937008E-3</v>
      </c>
      <c r="T749" s="172"/>
      <c r="U749" s="172"/>
      <c r="V749" s="166">
        <f t="shared" si="2156"/>
        <v>69064.056405886528</v>
      </c>
      <c r="W749" s="170"/>
      <c r="X749" s="174">
        <v>3267.1463267780118</v>
      </c>
      <c r="Y749" s="175">
        <v>3.6556684059515829E-2</v>
      </c>
      <c r="Z749" s="175">
        <f t="shared" si="2192"/>
        <v>6.6794116869329134E-4</v>
      </c>
      <c r="AA749" s="175"/>
      <c r="AB749" s="175"/>
      <c r="AC749" s="170">
        <f t="shared" si="2068"/>
        <v>210024.7605969212</v>
      </c>
      <c r="AD749" s="175">
        <f t="shared" si="2187"/>
        <v>-0.10348786543548368</v>
      </c>
      <c r="AE749" s="170"/>
      <c r="AF749" s="170"/>
      <c r="AG749" s="121">
        <f t="shared" si="2188"/>
        <v>258.70980689826416</v>
      </c>
      <c r="AH749" s="119">
        <f>+AZ749/$BB$53</f>
        <v>2.1978234304822715E-2</v>
      </c>
      <c r="AI749" s="119"/>
      <c r="AJ749" s="176">
        <f t="shared" si="2193"/>
        <v>5.6859847529654894</v>
      </c>
      <c r="AK749" s="176">
        <f t="shared" si="2194"/>
        <v>0</v>
      </c>
      <c r="AL749" s="120">
        <f t="shared" si="2176"/>
        <v>0.27414669519956597</v>
      </c>
      <c r="AM749" s="120">
        <f t="shared" si="2177"/>
        <v>0.39701561818864439</v>
      </c>
      <c r="AN749" s="120">
        <f t="shared" si="2178"/>
        <v>0.32883768661178969</v>
      </c>
      <c r="AO749" s="120">
        <f t="shared" si="2182"/>
        <v>-0.10772220013586976</v>
      </c>
      <c r="AP749" s="173">
        <f t="shared" si="2198"/>
        <v>94.243061330098925</v>
      </c>
      <c r="AQ749" s="175">
        <f t="shared" si="2199"/>
        <v>-0.10772220013586974</v>
      </c>
      <c r="AR749" s="177">
        <f>+AC749/$AE$53</f>
        <v>1.8271382809388698E-2</v>
      </c>
      <c r="AS749" s="177">
        <f t="shared" si="2195"/>
        <v>-1.9682335557520592E-3</v>
      </c>
      <c r="AT749" s="177"/>
      <c r="AU749" s="177"/>
      <c r="AV749" s="177"/>
      <c r="AW749" s="190"/>
      <c r="AX749" s="120"/>
      <c r="AY749" s="120"/>
      <c r="AZ749" s="118">
        <f>IFERROR(INDEX('Total Customers'!$F$7:$AB$91,MATCH($C749,'Total Customers'!$D$7:$D$91,0),MATCH($G749,'Total Customers'!$F$5:$AB$5,0)),"NA")</f>
        <v>811816</v>
      </c>
      <c r="BA749" s="119">
        <f t="shared" si="2157"/>
        <v>5.6886171982106016E-3</v>
      </c>
      <c r="BB749" s="119"/>
      <c r="BC749" s="121"/>
      <c r="BD749" s="119"/>
      <c r="BE749" s="119"/>
      <c r="BF749" s="119"/>
      <c r="BG749" s="173"/>
      <c r="BH749" s="173"/>
      <c r="BI749" s="173"/>
      <c r="BJ749" s="173"/>
      <c r="BK749" s="173"/>
      <c r="BL749" s="173"/>
      <c r="BM749" s="173"/>
      <c r="BN749" s="173"/>
      <c r="BO749" s="173"/>
      <c r="BP749" s="173"/>
      <c r="BQ749" s="118"/>
      <c r="BR749" s="118"/>
      <c r="BS749" s="118">
        <f>INDEX('Dist. Plant Gas Additions'!$F$7:$AE$91,MATCH($C749,'Dist. Plant Gas Additions'!$D$7:$D$91,0),MATCH(Calculation!$G749,'Dist. Plant Gas Additions'!$F$5:$AE$5,0))</f>
        <v>92122</v>
      </c>
      <c r="BT749" s="118">
        <f>INDEX('Gen. Plant Additions'!$F$7:$AE$91,MATCH($C749,'Gen. Plant Additions'!$D$7:$D$91,0),MATCH(Calculation!$G749,'Gen. Plant Additions'!$F$5:$AE$5,0))</f>
        <v>4562</v>
      </c>
      <c r="BU749" s="118"/>
      <c r="BV749" s="118"/>
      <c r="BW749" s="118">
        <f>INDEX('Dist Plant Depreciation'!$E$7:$AD$94,MATCH($C749,'Dist Plant Depreciation'!$D$7:$D$94,0),MATCH(Calculation!$G749,'Dist Plant Depreciation'!$E$5:$AD$5,0))</f>
        <v>1187830</v>
      </c>
      <c r="BX749" s="118">
        <f>INDEX('Gen. Plant Depreciation'!$E$7:$AD$94,MATCH($C749,'Gen. Plant Depreciation'!$D$7:$D$94,0),MATCH(Calculation!$G749,'Gen. Plant Depreciation'!$E$5:$AD$5,0))</f>
        <v>21757</v>
      </c>
      <c r="BY749" s="118"/>
      <c r="BZ749" s="118"/>
      <c r="CA749" s="118"/>
      <c r="CB749" s="118"/>
      <c r="CC749" s="118"/>
      <c r="CD749" s="118"/>
      <c r="CE749" s="118">
        <f>INDEX('Gross Dx Plant'!$E$7:$AD$91,MATCH($C749,'Gross Dx Plant'!$D$7:$D$91,0),MATCH(Calculation!$G749,'Gross Dx Plant'!$E$5:$AD$5,0))</f>
        <v>1703155</v>
      </c>
      <c r="CF749" s="118">
        <f>INDEX('Gross Gen Plant'!$E$7:$AD$91,MATCH($C749,'Gross Gen Plant'!$D$7:$D$91,0),MATCH(Calculation!$G749,'Gross Gen Plant'!$E$5:$AD$5,0))</f>
        <v>69827</v>
      </c>
      <c r="CG749" s="118">
        <f t="shared" si="2136"/>
        <v>563395</v>
      </c>
      <c r="CH749" s="118"/>
      <c r="CI749" s="121">
        <v>2015</v>
      </c>
      <c r="CJ749" s="118"/>
      <c r="CK749" s="118"/>
      <c r="CL749" s="118"/>
      <c r="CM749" s="183"/>
      <c r="CN749" s="118">
        <f t="shared" si="2158"/>
        <v>96684</v>
      </c>
      <c r="CO749" s="118">
        <f t="shared" si="2159"/>
        <v>143.10524856201391</v>
      </c>
      <c r="CP749" s="186">
        <v>0.88888888888888884</v>
      </c>
      <c r="CQ749" s="118">
        <f>+CQ732*CP749+CO733*CP748+CO734*CP747+CO735*CP746+CO736*CP745+CO737*CP744+CO738*CP743+CO739*CP742+CO740*CP741+CO741*CP740+CO742*CP739+CO743*CP738+CO744*CP737+CO745*CP736+CO746*CP735+CO747*CP734+CO748*CP733+CO749</f>
        <v>3267.1463267780118</v>
      </c>
      <c r="CR749" s="119">
        <f t="shared" si="2160"/>
        <v>3.6556684059515829E-2</v>
      </c>
      <c r="CS749" s="119"/>
      <c r="CT749" s="177">
        <f t="shared" si="2161"/>
        <v>8.1990586253750958E-3</v>
      </c>
      <c r="CU749" s="177">
        <f t="shared" si="2169"/>
        <v>7.9855522889612906E-3</v>
      </c>
      <c r="CV749" s="119">
        <f>VLOOKUP($H749,RoR!$E:$F,2,FALSE)</f>
        <v>3.8866666666666674E-2</v>
      </c>
      <c r="CW749" s="177">
        <v>9.5709475431029478E-3</v>
      </c>
      <c r="CX749" s="177">
        <f t="shared" si="2167"/>
        <v>2.9295719123563727E-2</v>
      </c>
      <c r="CY749" s="177">
        <f t="shared" si="2170"/>
        <v>2.2916389319572336E-2</v>
      </c>
      <c r="CZ749" s="177">
        <f t="shared" si="2171"/>
        <v>3.5270373279175926E-3</v>
      </c>
      <c r="DA749" s="187">
        <f t="shared" si="2162"/>
        <v>0.85003812624999997</v>
      </c>
      <c r="DB749" s="188">
        <f t="shared" si="2163"/>
        <v>1.3194352816994324</v>
      </c>
      <c r="DC749" s="188">
        <f t="shared" si="2164"/>
        <v>0.33177530017152673</v>
      </c>
      <c r="DD749" s="188">
        <f t="shared" si="2165"/>
        <v>0.78242572977668579</v>
      </c>
      <c r="DE749" s="188">
        <f t="shared" si="2166"/>
        <v>0.34251158643433932</v>
      </c>
      <c r="DF749" s="189">
        <f>INDEX('State Tax Lookup'!$D$7:$Z$91,MATCH(Calculation!$C749,'State Tax Lookup'!$B$7:$B$91,0),MATCH($H749,'State Tax Lookup'!$D$6:$Z$6,0))</f>
        <v>0.39989833000000002</v>
      </c>
      <c r="DG749" s="189">
        <v>0.375</v>
      </c>
      <c r="DH749" s="190">
        <f t="shared" si="2168"/>
        <v>21.926022879835024</v>
      </c>
      <c r="DI749" s="190">
        <v>21.57065787632332</v>
      </c>
      <c r="DJ749" s="177"/>
      <c r="DK749" s="189">
        <f>VLOOKUP($H749,RoR!$E:$F,2,FALSE)</f>
        <v>3.8866666666666674E-2</v>
      </c>
      <c r="DL749" s="191">
        <f>HLOOKUP($H749,'GDP-PI'!$D$8:$CQ$11,3,FALSE)</f>
        <v>9.5709475431029478E-3</v>
      </c>
      <c r="DM749" s="189">
        <f>VLOOKUP(H749,'HW Dx Data'!$E:$F,2,FALSE)</f>
        <v>675.61463308665782</v>
      </c>
      <c r="DN749" s="183">
        <f>VLOOKUP(H749,'ECI - Input Price'!$G$17:$H$37,2,FALSE)</f>
        <v>123.75</v>
      </c>
      <c r="DO749" s="177">
        <f t="shared" ref="DO749" si="2214">LN(DN749/DN748)</f>
        <v>2.0821327813585516E-2</v>
      </c>
      <c r="DP749" s="183">
        <f>HLOOKUP(H749,'GDP-PI'!$8:$9,2,FALSE)</f>
        <v>104.639</v>
      </c>
      <c r="DQ749" s="177">
        <f t="shared" ref="DQ749" si="2215">LN(DP749/DP748)</f>
        <v>9.5254361854427965E-3</v>
      </c>
    </row>
    <row r="750" spans="1:121" s="167" customFormat="1" ht="21" x14ac:dyDescent="0.35">
      <c r="A750" s="167" t="s">
        <v>76</v>
      </c>
      <c r="B750" s="168" t="s">
        <v>76</v>
      </c>
      <c r="C750" s="168">
        <v>4012860</v>
      </c>
      <c r="D750" s="168" t="s">
        <v>143</v>
      </c>
      <c r="E750" s="168"/>
      <c r="F750" s="168"/>
      <c r="G750" s="168" t="s">
        <v>22</v>
      </c>
      <c r="H750" s="169">
        <v>2016</v>
      </c>
      <c r="I750" s="170"/>
      <c r="J750" s="166">
        <f>IFERROR(INDEX('Labor Expenditures'!$F$7:$X$91,MATCH($C750,'Labor Expenditures'!$D$7:$D$91,0),MATCH($G750,'Labor Expenditures'!$F$5:$X$5,0)),"NA")</f>
        <v>60165.521599705586</v>
      </c>
      <c r="K750" s="166">
        <f t="shared" si="2174"/>
        <v>475.99305063058216</v>
      </c>
      <c r="L750" s="172">
        <f t="shared" si="2181"/>
        <v>2.2777877625518556E-2</v>
      </c>
      <c r="M750" s="172">
        <f t="shared" si="2185"/>
        <v>4.1698649558095084E-4</v>
      </c>
      <c r="N750" s="196"/>
      <c r="O750" s="172"/>
      <c r="P750" s="166">
        <f>IFERROR(INDEX('Non-Labor Expenditures'!$F$7:$AB$91,MATCH($C750,'Non-Labor Expenditures'!$D$7:$D$91,0),MATCH($G750,'Non-Labor Expenditures'!$F$5:$AB$5,0)),"NA")</f>
        <v>87130.912645731441</v>
      </c>
      <c r="Q750" s="166">
        <f t="shared" si="2175"/>
        <v>824.04207314189523</v>
      </c>
      <c r="R750" s="172">
        <f t="shared" si="2186"/>
        <v>3.3536867522270766E-2</v>
      </c>
      <c r="S750" s="172">
        <f t="shared" si="2191"/>
        <v>6.13947492860671E-4</v>
      </c>
      <c r="T750" s="172"/>
      <c r="U750" s="172"/>
      <c r="V750" s="166">
        <f t="shared" si="2156"/>
        <v>70513.928108073291</v>
      </c>
      <c r="W750" s="170"/>
      <c r="X750" s="174">
        <v>3428.7199200807304</v>
      </c>
      <c r="Y750" s="175">
        <v>4.8270069421110826E-2</v>
      </c>
      <c r="Z750" s="175">
        <f t="shared" si="2192"/>
        <v>8.8366297423638873E-4</v>
      </c>
      <c r="AA750" s="175"/>
      <c r="AB750" s="175"/>
      <c r="AC750" s="170">
        <f t="shared" si="2068"/>
        <v>217810.36235351034</v>
      </c>
      <c r="AD750" s="175">
        <f t="shared" si="2187"/>
        <v>3.6399355376464278E-2</v>
      </c>
      <c r="AE750" s="170"/>
      <c r="AF750" s="170"/>
      <c r="AG750" s="121">
        <f t="shared" si="2188"/>
        <v>265.65219799478763</v>
      </c>
      <c r="AH750" s="119">
        <f>+AZ750/$BB$54</f>
        <v>2.2005518917990189E-2</v>
      </c>
      <c r="AI750" s="119"/>
      <c r="AJ750" s="176">
        <f t="shared" si="2193"/>
        <v>5.8458144685799747</v>
      </c>
      <c r="AK750" s="176">
        <f t="shared" si="2194"/>
        <v>0</v>
      </c>
      <c r="AL750" s="120">
        <f t="shared" si="2176"/>
        <v>0.27622892202922744</v>
      </c>
      <c r="AM750" s="120">
        <f t="shared" si="2177"/>
        <v>0.40003107154432038</v>
      </c>
      <c r="AN750" s="120">
        <f t="shared" si="2178"/>
        <v>0.32374000642645206</v>
      </c>
      <c r="AO750" s="120">
        <f t="shared" si="2182"/>
        <v>3.5383404122784935E-2</v>
      </c>
      <c r="AP750" s="173">
        <f t="shared" si="2198"/>
        <v>97.637399137059859</v>
      </c>
      <c r="AQ750" s="175">
        <f t="shared" si="2199"/>
        <v>3.5383404122784901E-2</v>
      </c>
      <c r="AR750" s="177">
        <f>+AC750/$AE$54</f>
        <v>1.8306643947976597E-2</v>
      </c>
      <c r="AS750" s="177">
        <f t="shared" si="2195"/>
        <v>6.4775138094319042E-4</v>
      </c>
      <c r="AT750" s="177"/>
      <c r="AU750" s="177"/>
      <c r="AV750" s="177"/>
      <c r="AW750" s="190"/>
      <c r="AX750" s="120"/>
      <c r="AY750" s="120"/>
      <c r="AZ750" s="118">
        <f>IFERROR(INDEX('Total Customers'!$F$7:$AB$91,MATCH($C750,'Total Customers'!$D$7:$D$91,0),MATCH($G750,'Total Customers'!$F$5:$AB$5,0)),"NA")</f>
        <v>819908</v>
      </c>
      <c r="BA750" s="119">
        <f t="shared" si="2157"/>
        <v>9.9184253434301643E-3</v>
      </c>
      <c r="BB750" s="119"/>
      <c r="BC750" s="121"/>
      <c r="BD750" s="119"/>
      <c r="BE750" s="119"/>
      <c r="BF750" s="119"/>
      <c r="BG750" s="173"/>
      <c r="BH750" s="173"/>
      <c r="BI750" s="173"/>
      <c r="BJ750" s="173"/>
      <c r="BK750" s="173"/>
      <c r="BL750" s="173"/>
      <c r="BM750" s="173"/>
      <c r="BN750" s="173"/>
      <c r="BO750" s="173"/>
      <c r="BP750" s="173"/>
      <c r="BQ750" s="118"/>
      <c r="BR750" s="118"/>
      <c r="BS750" s="118">
        <f>INDEX('Dist. Plant Gas Additions'!$F$7:$AE$91,MATCH($C750,'Dist. Plant Gas Additions'!$D$7:$D$91,0),MATCH(Calculation!$G750,'Dist. Plant Gas Additions'!$F$5:$AE$5,0))</f>
        <v>124523</v>
      </c>
      <c r="BT750" s="118">
        <f>INDEX('Gen. Plant Additions'!$F$7:$AE$91,MATCH($C750,'Gen. Plant Additions'!$D$7:$D$91,0),MATCH(Calculation!$G750,'Gen. Plant Additions'!$F$5:$AE$5,0))</f>
        <v>2445</v>
      </c>
      <c r="BU750" s="118"/>
      <c r="BV750" s="118"/>
      <c r="BW750" s="118">
        <f>INDEX('Dist Plant Depreciation'!$E$7:$AD$94,MATCH($C750,'Dist Plant Depreciation'!$D$7:$D$94,0),MATCH(Calculation!$G750,'Dist Plant Depreciation'!$E$5:$AD$5,0))</f>
        <v>1165320</v>
      </c>
      <c r="BX750" s="118">
        <f>INDEX('Gen. Plant Depreciation'!$E$7:$AD$94,MATCH($C750,'Gen. Plant Depreciation'!$D$7:$D$94,0),MATCH(Calculation!$G750,'Gen. Plant Depreciation'!$E$5:$AD$5,0))</f>
        <v>6020</v>
      </c>
      <c r="BY750" s="118"/>
      <c r="BZ750" s="118"/>
      <c r="CA750" s="118"/>
      <c r="CB750" s="118"/>
      <c r="CC750" s="118"/>
      <c r="CD750" s="118"/>
      <c r="CE750" s="118">
        <f>INDEX('Gross Dx Plant'!$E$7:$AD$91,MATCH($C750,'Gross Dx Plant'!$D$7:$D$91,0),MATCH(Calculation!$G750,'Gross Dx Plant'!$E$5:$AD$5,0))</f>
        <v>1821297</v>
      </c>
      <c r="CF750" s="118">
        <f>INDEX('Gross Gen Plant'!$E$7:$AD$91,MATCH($C750,'Gross Gen Plant'!$D$7:$D$91,0),MATCH(Calculation!$G750,'Gross Gen Plant'!$E$5:$AD$5,0))</f>
        <v>64617</v>
      </c>
      <c r="CG750" s="118">
        <f t="shared" si="2136"/>
        <v>714574</v>
      </c>
      <c r="CH750" s="118"/>
      <c r="CI750" s="121">
        <v>2016</v>
      </c>
      <c r="CJ750" s="118"/>
      <c r="CK750" s="118"/>
      <c r="CL750" s="118"/>
      <c r="CM750" s="183"/>
      <c r="CN750" s="118">
        <f t="shared" si="2158"/>
        <v>126968</v>
      </c>
      <c r="CO750" s="118">
        <f t="shared" si="2159"/>
        <v>189.09344100538493</v>
      </c>
      <c r="CP750" s="186">
        <v>0.88</v>
      </c>
      <c r="CQ750" s="118">
        <f>+CQ732*CP750+CO733*CP749+CO734*CP748+CO735*CP747+CO736*CP746+CO737*CP745+CO738*CP744+CO739*CP743+CO740*CP742+CO741*CP741+CO742*CP740+CO743*CP739+CO744*CP738+CO745*CP737+CO746*CP736+CO747*CP735+CO748*CP734+CO749*CP733+CO750</f>
        <v>3428.7199200807304</v>
      </c>
      <c r="CR750" s="119">
        <f t="shared" si="2160"/>
        <v>4.8270069421110826E-2</v>
      </c>
      <c r="CS750" s="119"/>
      <c r="CT750" s="177">
        <f t="shared" si="2161"/>
        <v>8.4232063550719015E-3</v>
      </c>
      <c r="CU750" s="177">
        <f t="shared" si="2169"/>
        <v>8.2034225086198096E-3</v>
      </c>
      <c r="CV750" s="119">
        <f>VLOOKUP($H750,RoR!$E:$F,2,FALSE)</f>
        <v>3.6658333333333334E-2</v>
      </c>
      <c r="CW750" s="177">
        <v>1.0483662879041455E-2</v>
      </c>
      <c r="CX750" s="177">
        <f t="shared" si="2167"/>
        <v>2.6174670454291879E-2</v>
      </c>
      <c r="CY750" s="177">
        <f t="shared" si="2170"/>
        <v>2.2698519099913814E-2</v>
      </c>
      <c r="CZ750" s="177">
        <f t="shared" si="2171"/>
        <v>4.301363574220729E-3</v>
      </c>
      <c r="DA750" s="187">
        <f t="shared" si="2162"/>
        <v>0.85003812624999997</v>
      </c>
      <c r="DB750" s="188">
        <f t="shared" si="2163"/>
        <v>1.3989193348138562</v>
      </c>
      <c r="DC750" s="188">
        <f t="shared" si="2164"/>
        <v>0.29302682427824522</v>
      </c>
      <c r="DD750" s="188">
        <f t="shared" si="2165"/>
        <v>0.76309497491941802</v>
      </c>
      <c r="DE750" s="188">
        <f t="shared" si="2166"/>
        <v>0.31280857135128509</v>
      </c>
      <c r="DF750" s="189">
        <f>INDEX('State Tax Lookup'!$D$7:$Z$91,MATCH(Calculation!$C750,'State Tax Lookup'!$B$7:$B$91,0),MATCH($H750,'State Tax Lookup'!$D$6:$Z$6,0))</f>
        <v>0.39989833000000002</v>
      </c>
      <c r="DG750" s="189">
        <v>0.375</v>
      </c>
      <c r="DH750" s="190">
        <f t="shared" si="2168"/>
        <v>21.582727265727513</v>
      </c>
      <c r="DI750" s="190">
        <v>21.199549826277831</v>
      </c>
      <c r="DJ750" s="177"/>
      <c r="DK750" s="189">
        <f>VLOOKUP($H750,RoR!$E:$F,2,FALSE)</f>
        <v>3.6658333333333334E-2</v>
      </c>
      <c r="DL750" s="191">
        <f>HLOOKUP($H750,'GDP-PI'!$D$8:$CQ$11,3,FALSE)</f>
        <v>1.0483662879041455E-2</v>
      </c>
      <c r="DM750" s="189">
        <f>VLOOKUP(H750,'HW Dx Data'!$E:$F,2,FALSE)</f>
        <v>671.45639385971219</v>
      </c>
      <c r="DN750" s="183">
        <f>VLOOKUP(H750,'ECI - Input Price'!$G$17:$H$37,2,FALSE)</f>
        <v>126.4</v>
      </c>
      <c r="DO750" s="177">
        <f t="shared" ref="DO750" si="2216">LN(DN750/DN749)</f>
        <v>2.11880802639575E-2</v>
      </c>
      <c r="DP750" s="183">
        <f>HLOOKUP(H750,'GDP-PI'!$8:$9,2,FALSE)</f>
        <v>105.736</v>
      </c>
      <c r="DQ750" s="177">
        <f t="shared" ref="DQ750" si="2217">LN(DP750/DP749)</f>
        <v>1.0429090367205095E-2</v>
      </c>
    </row>
    <row r="751" spans="1:121" s="167" customFormat="1" ht="21" x14ac:dyDescent="0.35">
      <c r="A751" s="167" t="s">
        <v>76</v>
      </c>
      <c r="B751" s="168" t="s">
        <v>76</v>
      </c>
      <c r="C751" s="168">
        <v>4012860</v>
      </c>
      <c r="D751" s="168" t="s">
        <v>143</v>
      </c>
      <c r="E751" s="168"/>
      <c r="F751" s="168"/>
      <c r="G751" s="168" t="s">
        <v>23</v>
      </c>
      <c r="H751" s="169">
        <v>2017</v>
      </c>
      <c r="I751" s="170"/>
      <c r="J751" s="166">
        <f>IFERROR(INDEX('Labor Expenditures'!$F$7:$X$91,MATCH($C751,'Labor Expenditures'!$D$7:$D$91,0),MATCH($G751,'Labor Expenditures'!$F$5:$X$5,0)),"NA")</f>
        <v>68576.73338614589</v>
      </c>
      <c r="K751" s="166">
        <f t="shared" si="2174"/>
        <v>529.55006475788332</v>
      </c>
      <c r="L751" s="172">
        <f t="shared" si="2181"/>
        <v>0.10662445696892377</v>
      </c>
      <c r="M751" s="172">
        <f t="shared" si="2185"/>
        <v>2.1134130122467901E-3</v>
      </c>
      <c r="N751" s="196"/>
      <c r="O751" s="172"/>
      <c r="P751" s="166">
        <f>IFERROR(INDEX('Non-Labor Expenditures'!$F$7:$AB$91,MATCH($C751,'Non-Labor Expenditures'!$D$7:$D$91,0),MATCH($G751,'Non-Labor Expenditures'!$F$5:$AB$5,0)),"NA")</f>
        <v>99311.918310156107</v>
      </c>
      <c r="Q751" s="166">
        <f t="shared" si="2175"/>
        <v>921.67978311251034</v>
      </c>
      <c r="R751" s="172">
        <f t="shared" si="2186"/>
        <v>0.1119762681680142</v>
      </c>
      <c r="S751" s="172">
        <f t="shared" si="2191"/>
        <v>2.2194917464207174E-3</v>
      </c>
      <c r="T751" s="172"/>
      <c r="U751" s="172"/>
      <c r="V751" s="166">
        <f t="shared" si="2156"/>
        <v>66939.17120858538</v>
      </c>
      <c r="W751" s="170"/>
      <c r="X751" s="174">
        <v>3552.8600499108034</v>
      </c>
      <c r="Y751" s="175">
        <v>3.5565936611158561E-2</v>
      </c>
      <c r="Z751" s="175">
        <f t="shared" si="2192"/>
        <v>7.0495564867143357E-4</v>
      </c>
      <c r="AA751" s="175"/>
      <c r="AB751" s="175"/>
      <c r="AC751" s="170">
        <f t="shared" si="2068"/>
        <v>234827.82290488738</v>
      </c>
      <c r="AD751" s="175">
        <f t="shared" si="2187"/>
        <v>7.5227790373824058E-2</v>
      </c>
      <c r="AE751" s="170"/>
      <c r="AF751" s="170"/>
      <c r="AG751" s="121">
        <f t="shared" si="2188"/>
        <v>286.19146341910431</v>
      </c>
      <c r="AH751" s="119">
        <f>+AZ751/$BB$55</f>
        <v>2.1856674698773854E-2</v>
      </c>
      <c r="AI751" s="119"/>
      <c r="AJ751" s="176">
        <f t="shared" si="2193"/>
        <v>6.2551937175174004</v>
      </c>
      <c r="AK751" s="176">
        <f t="shared" si="2194"/>
        <v>0</v>
      </c>
      <c r="AL751" s="120">
        <f t="shared" si="2176"/>
        <v>0.29202984781714564</v>
      </c>
      <c r="AM751" s="120">
        <f t="shared" si="2177"/>
        <v>0.42291376329107538</v>
      </c>
      <c r="AN751" s="120">
        <f t="shared" si="2178"/>
        <v>0.28505638889177898</v>
      </c>
      <c r="AO751" s="120">
        <f t="shared" si="2182"/>
        <v>8.7196494135349314E-2</v>
      </c>
      <c r="AP751" s="173">
        <f t="shared" si="2198"/>
        <v>106.53324563644745</v>
      </c>
      <c r="AQ751" s="175">
        <f t="shared" si="2199"/>
        <v>8.7196494135349412E-2</v>
      </c>
      <c r="AR751" s="177">
        <f>+AC751/$AE$55</f>
        <v>1.9821090510807993E-2</v>
      </c>
      <c r="AS751" s="177">
        <f t="shared" si="2195"/>
        <v>1.728329602481899E-3</v>
      </c>
      <c r="AT751" s="177"/>
      <c r="AU751" s="177"/>
      <c r="AV751" s="177"/>
      <c r="AW751" s="190"/>
      <c r="AX751" s="120"/>
      <c r="AY751" s="120"/>
      <c r="AZ751" s="118">
        <f>IFERROR(INDEX('Total Customers'!$F$7:$AB$91,MATCH($C751,'Total Customers'!$D$7:$D$91,0),MATCH($G751,'Total Customers'!$F$5:$AB$5,0)),"NA")</f>
        <v>820527</v>
      </c>
      <c r="BA751" s="119">
        <f t="shared" si="2157"/>
        <v>7.5467791089405423E-4</v>
      </c>
      <c r="BB751" s="119"/>
      <c r="BC751" s="121"/>
      <c r="BD751" s="119"/>
      <c r="BE751" s="119"/>
      <c r="BF751" s="119"/>
      <c r="BG751" s="173"/>
      <c r="BH751" s="173"/>
      <c r="BI751" s="173"/>
      <c r="BJ751" s="173"/>
      <c r="BK751" s="173"/>
      <c r="BL751" s="173"/>
      <c r="BM751" s="173"/>
      <c r="BN751" s="173"/>
      <c r="BO751" s="173"/>
      <c r="BP751" s="173"/>
      <c r="BQ751" s="118"/>
      <c r="BR751" s="118"/>
      <c r="BS751" s="118">
        <f>INDEX('Dist. Plant Gas Additions'!$F$7:$AE$91,MATCH($C751,'Dist. Plant Gas Additions'!$D$7:$D$91,0),MATCH(Calculation!$G751,'Dist. Plant Gas Additions'!$F$5:$AE$5,0))</f>
        <v>105974</v>
      </c>
      <c r="BT751" s="118">
        <f>INDEX('Gen. Plant Additions'!$F$7:$AE$91,MATCH($C751,'Gen. Plant Additions'!$D$7:$D$91,0),MATCH(Calculation!$G751,'Gen. Plant Additions'!$F$5:$AE$5,0))</f>
        <v>3499</v>
      </c>
      <c r="BU751" s="118"/>
      <c r="BV751" s="118"/>
      <c r="BW751" s="118">
        <f>INDEX('Dist Plant Depreciation'!$E$7:$AD$94,MATCH($C751,'Dist Plant Depreciation'!$D$7:$D$94,0),MATCH(Calculation!$G751,'Dist Plant Depreciation'!$E$5:$AD$5,0))</f>
        <v>1144589</v>
      </c>
      <c r="BX751" s="118">
        <f>INDEX('Gen. Plant Depreciation'!$E$7:$AD$94,MATCH($C751,'Gen. Plant Depreciation'!$D$7:$D$94,0),MATCH(Calculation!$G751,'Gen. Plant Depreciation'!$E$5:$AD$5,0))</f>
        <v>-6494</v>
      </c>
      <c r="BY751" s="118"/>
      <c r="BZ751" s="118"/>
      <c r="CA751" s="118"/>
      <c r="CB751" s="118"/>
      <c r="CC751" s="118"/>
      <c r="CD751" s="118"/>
      <c r="CE751" s="118">
        <f>INDEX('Gross Dx Plant'!$E$7:$AD$91,MATCH($C751,'Gross Dx Plant'!$D$7:$D$91,0),MATCH(Calculation!$G751,'Gross Dx Plant'!$E$5:$AD$5,0))</f>
        <v>1916919</v>
      </c>
      <c r="CF751" s="118">
        <f>INDEX('Gross Gen Plant'!$E$7:$AD$91,MATCH($C751,'Gross Gen Plant'!$D$7:$D$91,0),MATCH(Calculation!$G751,'Gross Gen Plant'!$E$5:$AD$5,0))</f>
        <v>66335</v>
      </c>
      <c r="CG751" s="118">
        <f t="shared" si="2136"/>
        <v>845159</v>
      </c>
      <c r="CH751" s="118"/>
      <c r="CI751" s="121">
        <v>2017</v>
      </c>
      <c r="CJ751" s="118"/>
      <c r="CK751" s="118"/>
      <c r="CL751" s="118"/>
      <c r="CM751" s="183"/>
      <c r="CN751" s="118">
        <f t="shared" si="2158"/>
        <v>109473</v>
      </c>
      <c r="CO751" s="118">
        <f t="shared" si="2159"/>
        <v>153.66171782594495</v>
      </c>
      <c r="CP751" s="186">
        <v>0.87074829931972786</v>
      </c>
      <c r="CQ751" s="118">
        <f>+CQ732*CP751+CO733*CP750+CO734*CP749+CO735*CP748+CO736*CP747+CO737*CP746+CO738*CP745+CO739*CP744+CO740*CP743+CO741*CP742+CO742*CP741+CO743*CP740+CO744*CP739+CO745*CP738+CO746*CP737+CO747*CP736+CO748*CP735+CO749*CP734+CO750*CP733+CO751</f>
        <v>3552.8600499108034</v>
      </c>
      <c r="CR751" s="119">
        <f t="shared" si="2160"/>
        <v>3.5565936611158561E-2</v>
      </c>
      <c r="CS751" s="119"/>
      <c r="CT751" s="177">
        <f t="shared" si="2161"/>
        <v>8.6100902622506664E-3</v>
      </c>
      <c r="CU751" s="177">
        <f t="shared" si="2169"/>
        <v>8.4107850808992218E-3</v>
      </c>
      <c r="CV751" s="119">
        <f>VLOOKUP($H751,RoR!$E:$F,2,FALSE)</f>
        <v>3.7433333333333339E-2</v>
      </c>
      <c r="CW751" s="177">
        <v>1.9056896421275615E-2</v>
      </c>
      <c r="CX751" s="177">
        <f t="shared" si="2167"/>
        <v>1.8376436912057724E-2</v>
      </c>
      <c r="CY751" s="177">
        <f t="shared" si="2170"/>
        <v>2.2491156527634403E-2</v>
      </c>
      <c r="CZ751" s="177">
        <f t="shared" si="2171"/>
        <v>1.3976271617800498E-2</v>
      </c>
      <c r="DA751" s="187">
        <f t="shared" si="2162"/>
        <v>0.90253812624999996</v>
      </c>
      <c r="DB751" s="188">
        <f t="shared" si="2163"/>
        <v>1.3699568463593395</v>
      </c>
      <c r="DC751" s="188">
        <f t="shared" si="2164"/>
        <v>0.30714603739982199</v>
      </c>
      <c r="DD751" s="188">
        <f t="shared" si="2165"/>
        <v>0.77007188472689425</v>
      </c>
      <c r="DE751" s="188">
        <f t="shared" si="2166"/>
        <v>0.32402839633793828</v>
      </c>
      <c r="DF751" s="189">
        <f>INDEX('State Tax Lookup'!$D$7:$Z$91,MATCH(Calculation!$C751,'State Tax Lookup'!$B$7:$B$91,0),MATCH($H751,'State Tax Lookup'!$D$6:$Z$6,0))</f>
        <v>0.25989833000000001</v>
      </c>
      <c r="DG751" s="189">
        <v>0.375</v>
      </c>
      <c r="DH751" s="190">
        <f t="shared" si="2168"/>
        <v>19.52307939080929</v>
      </c>
      <c r="DI751" s="190">
        <v>19.227023082722386</v>
      </c>
      <c r="DJ751" s="177"/>
      <c r="DK751" s="189">
        <f>VLOOKUP($H751,RoR!$E:$F,2,FALSE)</f>
        <v>3.7433333333333339E-2</v>
      </c>
      <c r="DL751" s="191">
        <f>HLOOKUP($H751,'GDP-PI'!$D$8:$CQ$11,3,FALSE)</f>
        <v>1.9056896421275615E-2</v>
      </c>
      <c r="DM751" s="189">
        <f>VLOOKUP(H751,'HW Dx Data'!$E:$F,2,FALSE)</f>
        <v>712.42858370229726</v>
      </c>
      <c r="DN751" s="183">
        <f>VLOOKUP(H751,'ECI - Input Price'!$G$17:$H$37,2,FALSE)</f>
        <v>129.5</v>
      </c>
      <c r="DO751" s="177">
        <f t="shared" ref="DO751" si="2218">LN(DN751/DN750)</f>
        <v>2.4229399426835413E-2</v>
      </c>
      <c r="DP751" s="183">
        <f>HLOOKUP(H751,'GDP-PI'!$8:$9,2,FALSE)</f>
        <v>107.751</v>
      </c>
      <c r="DQ751" s="177">
        <f t="shared" ref="DQ751" si="2219">LN(DP751/DP750)</f>
        <v>1.8877588227745139E-2</v>
      </c>
    </row>
    <row r="752" spans="1:121" s="167" customFormat="1" ht="21" x14ac:dyDescent="0.35">
      <c r="A752" s="167" t="s">
        <v>76</v>
      </c>
      <c r="B752" s="168" t="s">
        <v>76</v>
      </c>
      <c r="C752" s="168">
        <v>4012860</v>
      </c>
      <c r="D752" s="168" t="s">
        <v>143</v>
      </c>
      <c r="E752" s="168"/>
      <c r="F752" s="168"/>
      <c r="G752" s="168" t="s">
        <v>24</v>
      </c>
      <c r="H752" s="169">
        <v>2018</v>
      </c>
      <c r="I752" s="170"/>
      <c r="J752" s="166">
        <f>IFERROR(INDEX('Labor Expenditures'!$F$7:$X$91,MATCH($C752,'Labor Expenditures'!$D$7:$D$91,0),MATCH($G752,'Labor Expenditures'!$F$5:$X$5,0)),"NA")</f>
        <v>62540.781337337976</v>
      </c>
      <c r="K752" s="166">
        <f t="shared" si="2174"/>
        <v>469.34920328208614</v>
      </c>
      <c r="L752" s="172">
        <f t="shared" si="2181"/>
        <v>-0.12068065028871908</v>
      </c>
      <c r="M752" s="172">
        <f t="shared" si="2185"/>
        <v>-2.1155246607538762E-3</v>
      </c>
      <c r="N752" s="196"/>
      <c r="O752" s="172"/>
      <c r="P752" s="166">
        <f>IFERROR(INDEX('Non-Labor Expenditures'!$F$7:$AB$91,MATCH($C752,'Non-Labor Expenditures'!$D$7:$D$91,0),MATCH($G752,'Non-Labor Expenditures'!$F$5:$AB$5,0)),"NA")</f>
        <v>90570.732383147028</v>
      </c>
      <c r="Q752" s="166">
        <f t="shared" si="2175"/>
        <v>820.96709979103923</v>
      </c>
      <c r="R752" s="172">
        <f t="shared" si="2186"/>
        <v>-0.11571482109886633</v>
      </c>
      <c r="S752" s="172">
        <f t="shared" si="2191"/>
        <v>-2.0284739688070583E-3</v>
      </c>
      <c r="T752" s="172"/>
      <c r="U752" s="172"/>
      <c r="V752" s="166">
        <f t="shared" si="2156"/>
        <v>72710.630674333457</v>
      </c>
      <c r="W752" s="170"/>
      <c r="X752" s="174">
        <v>3705.5536497606636</v>
      </c>
      <c r="Y752" s="175">
        <v>4.2079753728328811E-2</v>
      </c>
      <c r="Z752" s="175">
        <f t="shared" si="2192"/>
        <v>7.376555936494725E-4</v>
      </c>
      <c r="AA752" s="175"/>
      <c r="AB752" s="175"/>
      <c r="AC752" s="170">
        <f t="shared" si="2068"/>
        <v>225822.14439481846</v>
      </c>
      <c r="AD752" s="175">
        <f t="shared" si="2187"/>
        <v>-3.9104859378436801E-2</v>
      </c>
      <c r="AE752" s="170"/>
      <c r="AF752" s="170"/>
      <c r="AG752" s="121">
        <f t="shared" si="2188"/>
        <v>272.84607383619056</v>
      </c>
      <c r="AH752" s="119">
        <f>+AZ752/$BB$56</f>
        <v>2.1855017107643936E-2</v>
      </c>
      <c r="AI752" s="119"/>
      <c r="AJ752" s="176">
        <f t="shared" si="2193"/>
        <v>5.9630556114434254</v>
      </c>
      <c r="AK752" s="176">
        <f t="shared" si="2194"/>
        <v>0</v>
      </c>
      <c r="AL752" s="120">
        <f t="shared" si="2176"/>
        <v>0.27694707046973283</v>
      </c>
      <c r="AM752" s="120">
        <f t="shared" si="2177"/>
        <v>0.40107108461779883</v>
      </c>
      <c r="AN752" s="120">
        <f t="shared" si="2178"/>
        <v>0.32198184491246828</v>
      </c>
      <c r="AO752" s="120">
        <f t="shared" si="2182"/>
        <v>-6.9233872189960702E-2</v>
      </c>
      <c r="AP752" s="173">
        <f t="shared" si="2198"/>
        <v>99.407069200043225</v>
      </c>
      <c r="AQ752" s="175">
        <f t="shared" si="2199"/>
        <v>-6.9233872189960716E-2</v>
      </c>
      <c r="AR752" s="177">
        <f>+AC752/$AE$56</f>
        <v>1.7529940845468165E-2</v>
      </c>
      <c r="AS752" s="177">
        <f t="shared" si="2195"/>
        <v>-1.2136656839927147E-3</v>
      </c>
      <c r="AT752" s="177"/>
      <c r="AU752" s="177"/>
      <c r="AV752" s="177"/>
      <c r="AW752" s="190"/>
      <c r="AX752" s="120"/>
      <c r="AY752" s="120"/>
      <c r="AZ752" s="118">
        <f>IFERROR(INDEX('Total Customers'!$F$7:$AB$91,MATCH($C752,'Total Customers'!$D$7:$D$91,0),MATCH($G752,'Total Customers'!$F$5:$AB$5,0)),"NA")</f>
        <v>827654</v>
      </c>
      <c r="BA752" s="119">
        <f t="shared" si="2157"/>
        <v>8.6483759023903099E-3</v>
      </c>
      <c r="BB752" s="119"/>
      <c r="BC752" s="121"/>
      <c r="BD752" s="119"/>
      <c r="BE752" s="119"/>
      <c r="BF752" s="119"/>
      <c r="BG752" s="173"/>
      <c r="BH752" s="173"/>
      <c r="BI752" s="173"/>
      <c r="BJ752" s="173"/>
      <c r="BK752" s="173"/>
      <c r="BL752" s="173"/>
      <c r="BM752" s="173"/>
      <c r="BN752" s="173"/>
      <c r="BO752" s="173"/>
      <c r="BP752" s="173"/>
      <c r="BQ752" s="118"/>
      <c r="BR752" s="118"/>
      <c r="BS752" s="118">
        <f>INDEX('Dist. Plant Gas Additions'!$F$7:$AE$91,MATCH($C752,'Dist. Plant Gas Additions'!$D$7:$D$91,0),MATCH(Calculation!$G752,'Dist. Plant Gas Additions'!$F$5:$AE$5,0))</f>
        <v>135793</v>
      </c>
      <c r="BT752" s="118">
        <f>INDEX('Gen. Plant Additions'!$F$7:$AE$91,MATCH($C752,'Gen. Plant Additions'!$D$7:$D$91,0),MATCH(Calculation!$G752,'Gen. Plant Additions'!$F$5:$AE$5,0))</f>
        <v>3252</v>
      </c>
      <c r="BU752" s="118"/>
      <c r="BV752" s="118"/>
      <c r="BW752" s="118">
        <f>INDEX('Dist Plant Depreciation'!$E$7:$AD$94,MATCH($C752,'Dist Plant Depreciation'!$D$7:$D$94,0),MATCH(Calculation!$G752,'Dist Plant Depreciation'!$E$5:$AD$5,0))</f>
        <v>1142437</v>
      </c>
      <c r="BX752" s="118">
        <f>INDEX('Gen. Plant Depreciation'!$E$7:$AD$94,MATCH($C752,'Gen. Plant Depreciation'!$D$7:$D$94,0),MATCH(Calculation!$G752,'Gen. Plant Depreciation'!$E$5:$AD$5,0))</f>
        <v>-39625</v>
      </c>
      <c r="BY752" s="118"/>
      <c r="BZ752" s="118"/>
      <c r="CA752" s="118"/>
      <c r="CB752" s="118"/>
      <c r="CC752" s="118"/>
      <c r="CD752" s="118"/>
      <c r="CE752" s="118">
        <f>INDEX('Gross Dx Plant'!$E$7:$AD$91,MATCH($C752,'Gross Dx Plant'!$D$7:$D$91,0),MATCH(Calculation!$G752,'Gross Dx Plant'!$E$5:$AD$5,0))</f>
        <v>2038936</v>
      </c>
      <c r="CF752" s="118">
        <f>INDEX('Gross Gen Plant'!$E$7:$AD$91,MATCH($C752,'Gross Gen Plant'!$D$7:$D$91,0),MATCH(Calculation!$G752,'Gross Gen Plant'!$E$5:$AD$5,0))</f>
        <v>51573</v>
      </c>
      <c r="CG752" s="118">
        <f t="shared" si="2136"/>
        <v>987697</v>
      </c>
      <c r="CH752" s="118"/>
      <c r="CI752" s="121">
        <v>2018</v>
      </c>
      <c r="CJ752" s="118"/>
      <c r="CK752" s="118"/>
      <c r="CL752" s="118"/>
      <c r="CM752" s="183"/>
      <c r="CN752" s="118">
        <f t="shared" si="2158"/>
        <v>139045</v>
      </c>
      <c r="CO752" s="118">
        <f t="shared" si="2159"/>
        <v>184.13222050950776</v>
      </c>
      <c r="CP752" s="186">
        <v>0.86111111111111116</v>
      </c>
      <c r="CQ752" s="118">
        <f>+CQ732*CP752++CO733*CP751+CO734*CP750+CO735*CP749+CO736*CP748+CO737*CP747+CO738*CP746+CO739*CP745+CO740*CP744+CO741*CP743+CO742*CP742+CO743*CP741+CO744*CP740+CO745*CP739+CO746*CP738+CO747*CP737+CO748*CP736+CO749*CP735+CO750*CP734+CO751*CP733+CO752</f>
        <v>3705.5536497606636</v>
      </c>
      <c r="CR752" s="119">
        <f t="shared" si="2160"/>
        <v>4.2079753728328811E-2</v>
      </c>
      <c r="CS752" s="119"/>
      <c r="CT752" s="177">
        <f t="shared" si="2161"/>
        <v>8.8488204483136972E-3</v>
      </c>
      <c r="CU752" s="177">
        <f t="shared" si="2169"/>
        <v>8.6273723552120884E-3</v>
      </c>
      <c r="CV752" s="119">
        <f>VLOOKUP($H752,RoR!$E:$F,2,FALSE)</f>
        <v>3.9299999999999995E-2</v>
      </c>
      <c r="CW752" s="177">
        <v>2.386056741932796E-2</v>
      </c>
      <c r="CX752" s="177">
        <f t="shared" si="2167"/>
        <v>1.5439432580672034E-2</v>
      </c>
      <c r="CY752" s="177">
        <f t="shared" si="2170"/>
        <v>2.2274569253321538E-2</v>
      </c>
      <c r="CZ752" s="177">
        <f t="shared" si="2171"/>
        <v>3.8270792163076606E-2</v>
      </c>
      <c r="DA752" s="187">
        <f t="shared" si="2162"/>
        <v>0.90253812624999996</v>
      </c>
      <c r="DB752" s="188">
        <f t="shared" si="2163"/>
        <v>1.3048868010700074</v>
      </c>
      <c r="DC752" s="188">
        <f t="shared" si="2164"/>
        <v>0.33886768447837151</v>
      </c>
      <c r="DD752" s="188">
        <f t="shared" si="2165"/>
        <v>0.78602506232557801</v>
      </c>
      <c r="DE752" s="188">
        <f t="shared" si="2166"/>
        <v>0.34756768162358759</v>
      </c>
      <c r="DF752" s="189">
        <f>INDEX('State Tax Lookup'!$D$7:$Z$91,MATCH(Calculation!$C752,'State Tax Lookup'!$B$7:$B$91,0),MATCH($H752,'State Tax Lookup'!$D$6:$Z$6,0))</f>
        <v>0.25989833000000001</v>
      </c>
      <c r="DG752" s="189">
        <v>0.375</v>
      </c>
      <c r="DH752" s="190">
        <f t="shared" si="2168"/>
        <v>20.465379906016533</v>
      </c>
      <c r="DI752" s="190">
        <v>20.147985794702766</v>
      </c>
      <c r="DJ752" s="177"/>
      <c r="DK752" s="189">
        <f>VLOOKUP($H752,RoR!$E:$F,2,FALSE)</f>
        <v>3.9299999999999995E-2</v>
      </c>
      <c r="DL752" s="191">
        <f>HLOOKUP($H752,'GDP-PI'!$D$8:$CQ$11,3,FALSE)</f>
        <v>2.386056741932796E-2</v>
      </c>
      <c r="DM752" s="189">
        <f>VLOOKUP(H752,'HW Dx Data'!$E:$F,2,FALSE)</f>
        <v>755.13671434174842</v>
      </c>
      <c r="DN752" s="183">
        <f>VLOOKUP(H752,'ECI - Input Price'!$G$17:$H$37,2,FALSE)</f>
        <v>133.25</v>
      </c>
      <c r="DO752" s="177">
        <f t="shared" ref="DO752" si="2220">LN(DN752/DN751)</f>
        <v>2.8546181906361531E-2</v>
      </c>
      <c r="DP752" s="183">
        <f>HLOOKUP(H752,'GDP-PI'!$8:$9,2,FALSE)</f>
        <v>110.322</v>
      </c>
      <c r="DQ752" s="177">
        <f t="shared" ref="DQ752" si="2221">LN(DP752/DP751)</f>
        <v>2.3580352716508712E-2</v>
      </c>
    </row>
    <row r="753" spans="1:121" s="167" customFormat="1" ht="21" x14ac:dyDescent="0.35">
      <c r="A753" s="167" t="s">
        <v>76</v>
      </c>
      <c r="B753" s="168" t="s">
        <v>76</v>
      </c>
      <c r="C753" s="168">
        <v>4012860</v>
      </c>
      <c r="D753" s="168" t="s">
        <v>143</v>
      </c>
      <c r="E753" s="168"/>
      <c r="F753" s="168"/>
      <c r="G753" s="168" t="s">
        <v>25</v>
      </c>
      <c r="H753" s="169">
        <v>2019</v>
      </c>
      <c r="I753" s="170"/>
      <c r="J753" s="166">
        <f>IFERROR(INDEX('Labor Expenditures'!$F$7:$X$91,MATCH($C753,'Labor Expenditures'!$D$7:$D$91,0),MATCH($G753,'Labor Expenditures'!$F$5:$X$5,0)),"NA")</f>
        <v>75638.079796177262</v>
      </c>
      <c r="K753" s="166">
        <f t="shared" si="2174"/>
        <v>552.70792689935888</v>
      </c>
      <c r="L753" s="172">
        <f t="shared" si="2181"/>
        <v>0.16348263958433504</v>
      </c>
      <c r="M753" s="172">
        <f t="shared" si="2185"/>
        <v>3.2248931022173422E-3</v>
      </c>
      <c r="N753" s="196"/>
      <c r="O753" s="172"/>
      <c r="P753" s="166">
        <f>IFERROR(INDEX('Non-Labor Expenditures'!$F$7:$AB$91,MATCH($C753,'Non-Labor Expenditures'!$D$7:$D$91,0),MATCH($G753,'Non-Labor Expenditures'!$F$5:$AB$5,0)),"NA")</f>
        <v>109538.06678946562</v>
      </c>
      <c r="Q753" s="166">
        <f t="shared" si="2175"/>
        <v>975.24944166977355</v>
      </c>
      <c r="R753" s="172">
        <f t="shared" si="2186"/>
        <v>0.17221024057366754</v>
      </c>
      <c r="S753" s="172">
        <f t="shared" si="2191"/>
        <v>3.397055604003254E-3</v>
      </c>
      <c r="T753" s="172"/>
      <c r="U753" s="172"/>
      <c r="V753" s="166">
        <f t="shared" si="2156"/>
        <v>76891.248729191226</v>
      </c>
      <c r="W753" s="170"/>
      <c r="X753" s="174">
        <v>3845.9746168864017</v>
      </c>
      <c r="Y753" s="175">
        <v>3.7194366553464177E-2</v>
      </c>
      <c r="Z753" s="175">
        <f t="shared" si="2192"/>
        <v>7.3370393605452582E-4</v>
      </c>
      <c r="AA753" s="175"/>
      <c r="AB753" s="175"/>
      <c r="AC753" s="170">
        <f t="shared" si="2068"/>
        <v>262067.39531483411</v>
      </c>
      <c r="AD753" s="175">
        <f t="shared" si="2187"/>
        <v>0.14885398696503024</v>
      </c>
      <c r="AE753" s="170"/>
      <c r="AF753" s="170"/>
      <c r="AG753" s="121">
        <f t="shared" si="2188"/>
        <v>314.47156601944675</v>
      </c>
      <c r="AH753" s="119">
        <f>+AZ753/$BB$57</f>
        <v>2.1825602811417603E-2</v>
      </c>
      <c r="AI753" s="119"/>
      <c r="AJ753" s="176">
        <f t="shared" si="2193"/>
        <v>6.8635314954249331</v>
      </c>
      <c r="AK753" s="176">
        <f t="shared" si="2194"/>
        <v>0</v>
      </c>
      <c r="AL753" s="120">
        <f t="shared" si="2176"/>
        <v>0.28862071798481309</v>
      </c>
      <c r="AM753" s="120">
        <f t="shared" si="2177"/>
        <v>0.41797670655623642</v>
      </c>
      <c r="AN753" s="120">
        <f t="shared" si="2178"/>
        <v>0.29340257545895049</v>
      </c>
      <c r="AO753" s="120">
        <f t="shared" si="2182"/>
        <v>0.12819888289121062</v>
      </c>
      <c r="AP753" s="173">
        <f t="shared" si="2198"/>
        <v>113.00387529130718</v>
      </c>
      <c r="AQ753" s="175">
        <f t="shared" si="2199"/>
        <v>0.12819888289121054</v>
      </c>
      <c r="AR753" s="177">
        <f>+AC753/$AE$57</f>
        <v>1.9726211360526335E-2</v>
      </c>
      <c r="AS753" s="177">
        <f t="shared" si="2195"/>
        <v>2.5288782600953823E-3</v>
      </c>
      <c r="AT753" s="177"/>
      <c r="AU753" s="177"/>
      <c r="AV753" s="177"/>
      <c r="AW753" s="190"/>
      <c r="AX753" s="120"/>
      <c r="AY753" s="120"/>
      <c r="AZ753" s="118">
        <f>IFERROR(INDEX('Total Customers'!$F$7:$AB$91,MATCH($C753,'Total Customers'!$D$7:$D$91,0),MATCH($G753,'Total Customers'!$F$5:$AB$5,0)),"NA")</f>
        <v>833358</v>
      </c>
      <c r="BA753" s="119">
        <f t="shared" si="2157"/>
        <v>6.8681290948227865E-3</v>
      </c>
      <c r="BB753" s="119"/>
      <c r="BC753" s="121"/>
      <c r="BD753" s="119"/>
      <c r="BE753" s="119"/>
      <c r="BF753" s="119"/>
      <c r="BG753" s="173"/>
      <c r="BH753" s="173"/>
      <c r="BI753" s="173"/>
      <c r="BJ753" s="173"/>
      <c r="BK753" s="173"/>
      <c r="BL753" s="173"/>
      <c r="BM753" s="173"/>
      <c r="BN753" s="173"/>
      <c r="BO753" s="173"/>
      <c r="BP753" s="173"/>
      <c r="BQ753" s="118"/>
      <c r="BR753" s="118"/>
      <c r="BS753" s="118">
        <f>INDEX('Dist. Plant Gas Additions'!$F$7:$AE$91,MATCH($C753,'Dist. Plant Gas Additions'!$D$7:$D$91,0),MATCH(Calculation!$G753,'Dist. Plant Gas Additions'!$F$5:$AE$5,0))</f>
        <v>131761</v>
      </c>
      <c r="BT753" s="118">
        <f>INDEX('Gen. Plant Additions'!$F$7:$AE$91,MATCH($C753,'Gen. Plant Additions'!$D$7:$D$91,0),MATCH(Calculation!$G753,'Gen. Plant Additions'!$F$5:$AE$5,0))</f>
        <v>2851</v>
      </c>
      <c r="BU753" s="118"/>
      <c r="BV753" s="118"/>
      <c r="BW753" s="118">
        <f>INDEX('Dist Plant Depreciation'!$E$7:$AD$94,MATCH($C753,'Dist Plant Depreciation'!$D$7:$D$94,0),MATCH(Calculation!$G753,'Dist Plant Depreciation'!$E$5:$AD$5,0))</f>
        <v>1168899</v>
      </c>
      <c r="BX753" s="118">
        <f>INDEX('Gen. Plant Depreciation'!$E$7:$AD$94,MATCH($C753,'Gen. Plant Depreciation'!$D$7:$D$94,0),MATCH(Calculation!$G753,'Gen. Plant Depreciation'!$E$5:$AD$5,0))</f>
        <v>-59933</v>
      </c>
      <c r="BY753" s="118"/>
      <c r="BZ753" s="118"/>
      <c r="CA753" s="118"/>
      <c r="CB753" s="118"/>
      <c r="CC753" s="118"/>
      <c r="CD753" s="118"/>
      <c r="CE753" s="118">
        <f>INDEX('Gross Dx Plant'!$E$7:$AD$91,MATCH($C753,'Gross Dx Plant'!$D$7:$D$91,0),MATCH(Calculation!$G753,'Gross Dx Plant'!$E$5:$AD$5,0))</f>
        <v>2171088</v>
      </c>
      <c r="CF753" s="118">
        <f>INDEX('Gross Gen Plant'!$E$7:$AD$91,MATCH($C753,'Gross Gen Plant'!$D$7:$D$91,0),MATCH(Calculation!$G753,'Gross Gen Plant'!$E$5:$AD$5,0))</f>
        <v>52861</v>
      </c>
      <c r="CG753" s="118">
        <f t="shared" si="2136"/>
        <v>1114983</v>
      </c>
      <c r="CH753" s="118"/>
      <c r="CI753" s="121">
        <v>2019</v>
      </c>
      <c r="CJ753" s="118"/>
      <c r="CK753" s="118"/>
      <c r="CL753" s="118"/>
      <c r="CM753" s="183"/>
      <c r="CN753" s="118">
        <f t="shared" si="2158"/>
        <v>134612</v>
      </c>
      <c r="CO753" s="118">
        <f t="shared" si="2159"/>
        <v>174.02089377823424</v>
      </c>
      <c r="CP753" s="186">
        <v>0.85106382978723405</v>
      </c>
      <c r="CQ753" s="118">
        <f>CQ732*CP753+CO733*CP752+CO734*CP751+CO735*CP750+CO736*CP749+CO737*CP748+CO738*CP747+CO739*CP746+CO740*CP745+CO741*CP744+CO742*CP743+CO743*CP742+CO744*CP741+CO745*CP740+CO746*CP739+CO747*CP738+CO748*CP737+CO749*CP736+CO750*CP735+CO751*CP734+CO752*CP733+CO753</f>
        <v>3845.9746168864017</v>
      </c>
      <c r="CR753" s="119">
        <f t="shared" si="2160"/>
        <v>3.7194366553464177E-2</v>
      </c>
      <c r="CS753" s="119"/>
      <c r="CT753" s="177">
        <f t="shared" si="2161"/>
        <v>9.0674511363953107E-3</v>
      </c>
      <c r="CU753" s="177">
        <f t="shared" si="2169"/>
        <v>8.8421206156532248E-3</v>
      </c>
      <c r="CV753" s="119">
        <f>VLOOKUP($H753,RoR!$E:$F,2,FALSE)</f>
        <v>3.3875000000000009E-2</v>
      </c>
      <c r="CW753" s="177">
        <v>1.8092492884465461E-2</v>
      </c>
      <c r="CX753" s="177">
        <f t="shared" si="2167"/>
        <v>1.5782507115534548E-2</v>
      </c>
      <c r="CY753" s="177">
        <f t="shared" si="2170"/>
        <v>2.20598209928804E-2</v>
      </c>
      <c r="CZ753" s="177">
        <f t="shared" si="2171"/>
        <v>4.8445665544254078E-2</v>
      </c>
      <c r="DA753" s="187">
        <f t="shared" si="2162"/>
        <v>0.90253812624999996</v>
      </c>
      <c r="DB753" s="188">
        <f t="shared" si="2163"/>
        <v>1.513861292459078</v>
      </c>
      <c r="DC753" s="188">
        <f t="shared" si="2164"/>
        <v>0.23699261992619944</v>
      </c>
      <c r="DD753" s="188">
        <f t="shared" si="2165"/>
        <v>0.73619765810468829</v>
      </c>
      <c r="DE753" s="188">
        <f t="shared" si="2166"/>
        <v>0.26412854465362851</v>
      </c>
      <c r="DF753" s="189">
        <f>INDEX('State Tax Lookup'!$D$7:$Z$91,MATCH(Calculation!$C753,'State Tax Lookup'!$B$7:$B$91,0),MATCH($H753,'State Tax Lookup'!$D$6:$Z$6,0))</f>
        <v>0.25989833000000001</v>
      </c>
      <c r="DG753" s="189">
        <v>0.375</v>
      </c>
      <c r="DH753" s="190">
        <f t="shared" si="2168"/>
        <v>20.750272697888889</v>
      </c>
      <c r="DI753" s="190">
        <v>20.432261624043978</v>
      </c>
      <c r="DJ753" s="177"/>
      <c r="DK753" s="189">
        <f>VLOOKUP($H753,RoR!$E:$F,2,FALSE)</f>
        <v>3.3875000000000009E-2</v>
      </c>
      <c r="DL753" s="191">
        <f>HLOOKUP($H753,'GDP-PI'!$D$8:$CQ$11,3,FALSE)</f>
        <v>1.8092492884465461E-2</v>
      </c>
      <c r="DM753" s="189">
        <f>VLOOKUP(H753,'HW Dx Data'!$E:$F,2,FALSE)</f>
        <v>773.53929793938721</v>
      </c>
      <c r="DN753" s="183">
        <f>VLOOKUP(H753,'ECI - Input Price'!$G$17:$H$37,2,FALSE)</f>
        <v>136.85</v>
      </c>
      <c r="DO753" s="177">
        <f t="shared" ref="DO753" si="2222">LN(DN753/DN752)</f>
        <v>2.6658372440734168E-2</v>
      </c>
      <c r="DP753" s="183">
        <f>HLOOKUP(H753,'GDP-PI'!$8:$9,2,FALSE)</f>
        <v>112.318</v>
      </c>
      <c r="DQ753" s="177">
        <f t="shared" ref="DQ753" si="2223">LN(DP753/DP752)</f>
        <v>1.7930771451401852E-2</v>
      </c>
    </row>
    <row r="754" spans="1:121" s="167" customFormat="1" ht="21" x14ac:dyDescent="0.35">
      <c r="A754" s="167" t="s">
        <v>76</v>
      </c>
      <c r="B754" s="167" t="s">
        <v>76</v>
      </c>
      <c r="C754" s="167">
        <v>4012860</v>
      </c>
      <c r="D754" s="167" t="s">
        <v>143</v>
      </c>
      <c r="G754" s="168" t="s">
        <v>26</v>
      </c>
      <c r="H754" s="169">
        <v>2020</v>
      </c>
      <c r="I754" s="170"/>
      <c r="J754" s="166">
        <f>IFERROR(INDEX('Labor Expenditures'!$F$7:$X$91,MATCH($C754,'Labor Expenditures'!$D$7:$D$91,0),MATCH($G754,'Labor Expenditures'!$F$5:$X$5,0)),"NA")</f>
        <v>71808.601458848716</v>
      </c>
      <c r="K754" s="166">
        <f t="shared" si="2174"/>
        <v>511.27519728621377</v>
      </c>
      <c r="L754" s="172">
        <f t="shared" si="2181"/>
        <v>-7.7921709085882349E-2</v>
      </c>
      <c r="M754" s="172">
        <f t="shared" si="2185"/>
        <v>-1.4724509843500662E-3</v>
      </c>
      <c r="N754" s="196"/>
      <c r="O754" s="172"/>
      <c r="P754" s="166">
        <f>IFERROR(INDEX('Non-Labor Expenditures'!$F$7:$AB$91,MATCH($C754,'Non-Labor Expenditures'!$D$7:$D$91,0),MATCH($G754,'Non-Labor Expenditures'!$F$5:$AB$5,0)),"NA")</f>
        <v>103992.26690912139</v>
      </c>
      <c r="Q754" s="166">
        <f t="shared" si="2175"/>
        <v>915.23958097499087</v>
      </c>
      <c r="R754" s="172">
        <f t="shared" si="2186"/>
        <v>-6.3507407753710859E-2</v>
      </c>
      <c r="S754" s="172">
        <f t="shared" si="2191"/>
        <v>-1.2000705086872222E-3</v>
      </c>
      <c r="T754" s="172"/>
      <c r="U754" s="172"/>
      <c r="V754" s="166">
        <f t="shared" si="2156"/>
        <v>83018.840656887434</v>
      </c>
      <c r="W754" s="170"/>
      <c r="X754" s="174">
        <v>3973.5678352695031</v>
      </c>
      <c r="Y754" s="175">
        <v>3.2637342899933343E-2</v>
      </c>
      <c r="Z754" s="175">
        <f t="shared" si="2192"/>
        <v>6.1673297779712478E-4</v>
      </c>
      <c r="AA754" s="175"/>
      <c r="AB754" s="175"/>
      <c r="AC754" s="170">
        <f t="shared" si="2068"/>
        <v>258819.70902485756</v>
      </c>
      <c r="AD754" s="175">
        <f t="shared" si="2187"/>
        <v>-1.2469989552761445E-2</v>
      </c>
      <c r="AE754" s="170"/>
      <c r="AF754" s="170"/>
      <c r="AG754" s="121">
        <f t="shared" si="2188"/>
        <v>310.5744578258774</v>
      </c>
      <c r="AH754" s="119">
        <f>+AZ754/$BB$58</f>
        <v>2.1672155280938757E-2</v>
      </c>
      <c r="AI754" s="119"/>
      <c r="AJ754" s="176">
        <f t="shared" si="2193"/>
        <v>6.73081787629578</v>
      </c>
      <c r="AK754" s="176">
        <f t="shared" si="2194"/>
        <v>0</v>
      </c>
      <c r="AL754" s="120">
        <f t="shared" si="2176"/>
        <v>0.27744641908994683</v>
      </c>
      <c r="AM754" s="120">
        <f t="shared" si="2177"/>
        <v>0.40179423468532593</v>
      </c>
      <c r="AN754" s="120">
        <f t="shared" si="2178"/>
        <v>0.32075934622472718</v>
      </c>
      <c r="AO754" s="120">
        <f t="shared" si="2182"/>
        <v>-3.8062916487108384E-2</v>
      </c>
      <c r="AP754" s="173">
        <f t="shared" si="2198"/>
        <v>108.78344862604031</v>
      </c>
      <c r="AQ754" s="175">
        <f t="shared" si="2199"/>
        <v>-3.8062916487108342E-2</v>
      </c>
      <c r="AR754" s="177">
        <f>+AC754/$AE$58</f>
        <v>1.8896543744018585E-2</v>
      </c>
      <c r="AS754" s="177">
        <f t="shared" si="2195"/>
        <v>-7.1925756642356902E-4</v>
      </c>
      <c r="AT754" s="177"/>
      <c r="AU754" s="177"/>
      <c r="AV754" s="177"/>
      <c r="AW754" s="190"/>
      <c r="AX754" s="120"/>
      <c r="AY754" s="120"/>
      <c r="AZ754" s="118">
        <v>833358</v>
      </c>
      <c r="BA754" s="119">
        <f t="shared" si="2157"/>
        <v>0</v>
      </c>
      <c r="BB754" s="119"/>
      <c r="BC754" s="121"/>
      <c r="BD754" s="119"/>
      <c r="BE754" s="119"/>
      <c r="BF754" s="119"/>
      <c r="BG754" s="173"/>
      <c r="BH754" s="173"/>
      <c r="BI754" s="173"/>
      <c r="BJ754" s="173"/>
      <c r="BK754" s="173"/>
      <c r="BL754" s="173"/>
      <c r="BM754" s="173"/>
      <c r="BN754" s="173"/>
      <c r="BO754" s="173"/>
      <c r="BP754" s="173"/>
      <c r="BQ754" s="118"/>
      <c r="BR754" s="118"/>
      <c r="BS754" s="118">
        <f>INDEX('Dist. Plant Gas Additions'!$F$7:$AE$91,MATCH($C754,'Dist. Plant Gas Additions'!$D$7:$D$91,0),MATCH(Calculation!$G754,'Dist. Plant Gas Additions'!$F$5:$AE$5,0))</f>
        <v>130762</v>
      </c>
      <c r="BT754" s="118">
        <f>INDEX('Gen. Plant Additions'!$F$7:$AE$91,MATCH($C754,'Gen. Plant Additions'!$D$7:$D$91,0),MATCH(Calculation!$G754,'Gen. Plant Additions'!$F$5:$AE$5,0))</f>
        <v>2102</v>
      </c>
      <c r="BU754" s="118"/>
      <c r="BV754" s="118"/>
      <c r="BW754" s="118">
        <f>INDEX('Dist Plant Depreciation'!$E$7:$AD$94,MATCH($C754,'Dist Plant Depreciation'!$D$7:$D$94,0),MATCH(Calculation!$G754,'Dist Plant Depreciation'!$E$5:$AD$5,0))</f>
        <v>1182511</v>
      </c>
      <c r="BX754" s="118">
        <f>INDEX('Gen. Plant Depreciation'!$E$7:$AD$94,MATCH($C754,'Gen. Plant Depreciation'!$D$7:$D$94,0),MATCH(Calculation!$G754,'Gen. Plant Depreciation'!$E$5:$AD$5,0))</f>
        <v>-77207</v>
      </c>
      <c r="BY754" s="118"/>
      <c r="BZ754" s="118"/>
      <c r="CA754" s="118"/>
      <c r="CB754" s="118"/>
      <c r="CC754" s="118"/>
      <c r="CD754" s="118"/>
      <c r="CE754" s="118">
        <f>INDEX('Gross Dx Plant'!$E$7:$AD$91,MATCH($C754,'Gross Dx Plant'!$D$7:$D$91,0),MATCH(Calculation!$G754,'Gross Dx Plant'!$E$5:$AD$5,0))</f>
        <v>2288079</v>
      </c>
      <c r="CF754" s="118">
        <f>INDEX('Gross Gen Plant'!$E$7:$AD$91,MATCH($C754,'Gross Gen Plant'!$D$7:$D$91,0),MATCH(Calculation!$G754,'Gross Gen Plant'!$E$5:$AD$5,0))</f>
        <v>52637</v>
      </c>
      <c r="CG754" s="118">
        <f t="shared" si="2136"/>
        <v>1235412</v>
      </c>
      <c r="CH754" s="118"/>
      <c r="CI754" s="121">
        <v>2020</v>
      </c>
      <c r="CJ754" s="118"/>
      <c r="CK754" s="118"/>
      <c r="CL754" s="118"/>
      <c r="CM754" s="183"/>
      <c r="CN754" s="118">
        <f t="shared" si="2158"/>
        <v>132864</v>
      </c>
      <c r="CO754" s="118">
        <f t="shared" si="2159"/>
        <v>163.40824205845391</v>
      </c>
      <c r="CP754" s="186">
        <v>0.84057971014492749</v>
      </c>
      <c r="CQ754" s="118">
        <f>CQ732*CP754+CO733*CP753+CO734*CP752+CO735*CP751+CO736*CP750+CO737*CP749+CO738*CP748+CO739*CP747+CO740*CP746+CO741*CP745+CO742*CP744+CO743*CP743+CO744*CP742+CO745*CP741+CO746*CP740+CO747*CP739+CO748*CP738+CO749*CP737+CO750*CP736+CO751*CP735+CO752*CP734+CO753*CP733+CO754</f>
        <v>3973.5678352695031</v>
      </c>
      <c r="CR754" s="119">
        <f t="shared" si="2160"/>
        <v>3.2637342899933343E-2</v>
      </c>
      <c r="CS754" s="119"/>
      <c r="CT754" s="177">
        <f t="shared" si="2161"/>
        <v>9.3123401070044926E-3</v>
      </c>
      <c r="CU754" s="177">
        <f t="shared" si="2169"/>
        <v>9.0762038972378323E-3</v>
      </c>
      <c r="CV754" s="119">
        <f>VLOOKUP($H754,RoR!$E:$F,2,FALSE)</f>
        <v>2.4766666666666666E-2</v>
      </c>
      <c r="CW754" s="177">
        <v>1.1618796630994188E-2</v>
      </c>
      <c r="CX754" s="177">
        <f t="shared" si="2167"/>
        <v>1.3147870035672478E-2</v>
      </c>
      <c r="CY754" s="177">
        <f t="shared" si="2170"/>
        <v>2.1825737711295791E-2</v>
      </c>
      <c r="CZ754" s="177">
        <f t="shared" si="2171"/>
        <v>4.5144642961987357E-2</v>
      </c>
      <c r="DA754" s="187">
        <f t="shared" si="2162"/>
        <v>0.90253812624999996</v>
      </c>
      <c r="DB754" s="188">
        <f t="shared" si="2163"/>
        <v>2.0706077233668081</v>
      </c>
      <c r="DC754" s="188">
        <f t="shared" si="2164"/>
        <v>-3.4421265141318998E-2</v>
      </c>
      <c r="DD754" s="188">
        <f t="shared" si="2165"/>
        <v>0.62416226176410472</v>
      </c>
      <c r="DE754" s="188">
        <f t="shared" si="2166"/>
        <v>-4.4485877841158712E-2</v>
      </c>
      <c r="DF754" s="189">
        <f>INDEX('State Tax Lookup'!$D$7:$Z$91,MATCH(Calculation!$C754,'State Tax Lookup'!$B$7:$B$91,0),MATCH($H754,'State Tax Lookup'!$D$6:$Z$6,0))</f>
        <v>0.25989833000000001</v>
      </c>
      <c r="DG754" s="189">
        <v>0.375</v>
      </c>
      <c r="DH754" s="190">
        <f t="shared" si="2168"/>
        <v>21.585904465510296</v>
      </c>
      <c r="DI754" s="190">
        <v>21.280174667256638</v>
      </c>
      <c r="DJ754" s="177"/>
      <c r="DK754" s="189">
        <f>VLOOKUP($H754,RoR!$E:$F,2,FALSE)</f>
        <v>2.4766666666666666E-2</v>
      </c>
      <c r="DL754" s="191">
        <f>HLOOKUP($H754,'GDP-PI'!$D$8:$CQ$11,3,FALSE)</f>
        <v>1.1618796630994188E-2</v>
      </c>
      <c r="DM754" s="189">
        <f>VLOOKUP(H754,'HW Dx Data'!$E:$F,2,FALSE)</f>
        <v>813.080162458833</v>
      </c>
      <c r="DN754" s="183">
        <f>VLOOKUP(H754,'ECI - Input Price'!$G$17:$H$37,2,FALSE)</f>
        <v>140.44999999999999</v>
      </c>
      <c r="DO754" s="177">
        <f t="shared" ref="DO754" si="2224">LN(DN754/DN753)</f>
        <v>2.5966118063564539E-2</v>
      </c>
      <c r="DP754" s="183">
        <f>HLOOKUP(H754,'GDP-PI'!$8:$9,2,FALSE)</f>
        <v>113.623</v>
      </c>
      <c r="DQ754" s="177">
        <f t="shared" ref="DQ754" si="2225">LN(DP754/DP753)</f>
        <v>1.1551816731392881E-2</v>
      </c>
    </row>
    <row r="755" spans="1:121" s="167" customFormat="1" ht="21" x14ac:dyDescent="0.35">
      <c r="A755" s="167" t="s">
        <v>76</v>
      </c>
      <c r="B755" s="167" t="s">
        <v>76</v>
      </c>
      <c r="C755" s="167">
        <v>4012860</v>
      </c>
      <c r="D755" s="167" t="s">
        <v>143</v>
      </c>
      <c r="G755" s="168" t="s">
        <v>462</v>
      </c>
      <c r="H755" s="169">
        <v>2021</v>
      </c>
      <c r="I755" s="170"/>
      <c r="J755" s="166">
        <f>IFERROR(INDEX('Labor Expenditures'!$E$7:$X$91,MATCH($C755,'Labor Expenditures'!$D$7:$D$91,0),MATCH($G755,'Labor Expenditures'!$E$5:$X$5,0)),"NA")</f>
        <v>73969.422788119467</v>
      </c>
      <c r="K755" s="166">
        <f t="shared" si="2174"/>
        <v>508.46827831668298</v>
      </c>
      <c r="L755" s="171">
        <f t="shared" si="2181"/>
        <v>-5.5051611032438923E-3</v>
      </c>
      <c r="M755" s="172">
        <f t="shared" si="2185"/>
        <v>-1.0089439632213158E-4</v>
      </c>
      <c r="N755" s="196"/>
      <c r="O755" s="172"/>
      <c r="P755" s="166">
        <f>IFERROR(INDEX('Non-Labor Expenditures'!$E$7:$AB$91,MATCH($C755,'Non-Labor Expenditures'!$D$7:$D$91,0),MATCH($G755,'Non-Labor Expenditures'!$E$5:$AB$5,0)),"NA")</f>
        <v>104270.15019530093</v>
      </c>
      <c r="Q755" s="166">
        <f t="shared" si="2175"/>
        <v>879.991140140948</v>
      </c>
      <c r="R755" s="172">
        <f t="shared" si="2186"/>
        <v>-3.9274028733380539E-2</v>
      </c>
      <c r="S755" s="172">
        <f t="shared" si="2191"/>
        <v>-7.1978446150423761E-4</v>
      </c>
      <c r="T755" s="172"/>
      <c r="U755" s="172"/>
      <c r="V755" s="166">
        <f t="shared" si="2156"/>
        <v>92058.358750278174</v>
      </c>
      <c r="W755" s="170"/>
      <c r="X755" s="174">
        <v>4189.2448323549233</v>
      </c>
      <c r="Y755" s="175"/>
      <c r="Z755" s="175">
        <f t="shared" si="2192"/>
        <v>0</v>
      </c>
      <c r="AA755" s="175"/>
      <c r="AB755" s="175"/>
      <c r="AC755" s="170">
        <f t="shared" si="2068"/>
        <v>270297.93173369858</v>
      </c>
      <c r="AD755" s="175">
        <f t="shared" si="2187"/>
        <v>4.3393086354083406E-2</v>
      </c>
      <c r="AE755" s="118"/>
      <c r="AF755" s="119"/>
      <c r="AG755" s="121">
        <f t="shared" si="2188"/>
        <v>316.87916967608277</v>
      </c>
      <c r="AH755" s="119">
        <f>+AZ755/$BB$59</f>
        <v>2.1885164692617951E-2</v>
      </c>
      <c r="AI755" s="119"/>
      <c r="AJ755" s="176">
        <f t="shared" si="2193"/>
        <v>6.9349528160210996</v>
      </c>
      <c r="AK755" s="176">
        <f t="shared" si="2194"/>
        <v>0</v>
      </c>
      <c r="AL755" s="120">
        <f t="shared" si="2176"/>
        <v>0.27365885603962081</v>
      </c>
      <c r="AM755" s="120">
        <f t="shared" si="2177"/>
        <v>0.3857600741763329</v>
      </c>
      <c r="AN755" s="120">
        <f t="shared" si="2178"/>
        <v>0.34058106978404629</v>
      </c>
      <c r="AO755" s="120">
        <f t="shared" si="2182"/>
        <v>-1.6982176939883131E-2</v>
      </c>
      <c r="AP755" s="173">
        <f t="shared" si="2198"/>
        <v>106.95166669849573</v>
      </c>
      <c r="AQ755" s="175">
        <f t="shared" si="2199"/>
        <v>-1.6982176939883149E-2</v>
      </c>
      <c r="AR755" s="177">
        <f>+AC755/$AE$59</f>
        <v>1.8327237737453313E-2</v>
      </c>
      <c r="AS755" s="177">
        <f t="shared" si="2195"/>
        <v>-3.1123639407673587E-4</v>
      </c>
      <c r="AT755" s="177"/>
      <c r="AU755" s="177"/>
      <c r="AV755" s="177"/>
      <c r="AW755" s="190"/>
      <c r="AX755" s="120"/>
      <c r="AY755" s="120"/>
      <c r="AZ755" s="118">
        <f>INDEX('Total Customers'!$E$7:$E$91,MATCH(Calculation!$C755,'Total Customers'!$D$7:$D$91,0))</f>
        <v>853000</v>
      </c>
      <c r="BA755" s="119">
        <f t="shared" si="2157"/>
        <v>2.3296225741568099E-2</v>
      </c>
      <c r="BB755" s="118"/>
      <c r="BC755" s="121"/>
      <c r="BD755" s="118"/>
      <c r="BE755" s="119"/>
      <c r="BF755" s="119"/>
      <c r="BG755" s="173"/>
      <c r="BH755" s="173"/>
      <c r="BI755" s="173"/>
      <c r="BJ755" s="173"/>
      <c r="BK755" s="173"/>
      <c r="BL755" s="173"/>
      <c r="BM755" s="173"/>
      <c r="BN755" s="173"/>
      <c r="BO755" s="173"/>
      <c r="BP755" s="173"/>
      <c r="BQ755" s="118"/>
      <c r="BR755" s="118"/>
      <c r="BS755" s="118">
        <f>INDEX('Dist. Plant Gas Additions'!$E$7:$AE$91,MATCH($C755,'Dist. Plant Gas Additions'!$D$7:$D$91,0),MATCH(Calculation!$G755,'Dist. Plant Gas Additions'!$E$5:$AE$5,0))</f>
        <v>244298</v>
      </c>
      <c r="BT755" s="118">
        <f>INDEX('Gen. Plant Additions'!$E$7:$AE$91,MATCH($C755,'Gen. Plant Additions'!$D$7:$D$91,0),MATCH(Calculation!$G755,'Gen. Plant Additions'!$E$5:$AE$5,0))</f>
        <v>5136</v>
      </c>
      <c r="BU755" s="118"/>
      <c r="BV755" s="118"/>
      <c r="BW755" s="118"/>
      <c r="BX755" s="118"/>
      <c r="BY755" s="183"/>
      <c r="BZ755" s="183"/>
      <c r="CA755" s="178"/>
      <c r="CB755" s="184"/>
      <c r="CC755" s="185"/>
      <c r="CD755" s="185"/>
      <c r="CE755" s="118"/>
      <c r="CF755" s="118"/>
      <c r="CG755" s="118"/>
      <c r="CH755" s="118"/>
      <c r="CI755" s="121">
        <v>2021</v>
      </c>
      <c r="CJ755" s="118"/>
      <c r="CK755" s="118"/>
      <c r="CL755" s="118"/>
      <c r="CM755" s="183"/>
      <c r="CN755" s="118">
        <f t="shared" si="2158"/>
        <v>249434</v>
      </c>
      <c r="CO755" s="118">
        <f t="shared" si="2159"/>
        <v>267.33974819409724</v>
      </c>
      <c r="CP755" s="186">
        <f>+(51-23)/(51-23*0.75)</f>
        <v>0.82962962962962961</v>
      </c>
      <c r="CQ755" s="118">
        <f>CQ732*CP755+CO733*CP754+CO734*CP753+CO735*CP752+CO736*CP751+CO737*CP750+CO738*CP749+CO739*CP748+CO740*CP747+CO741*CP746+CO742*CP745+CO743*CP744+CO744*CP743+CO745*CP742+CO746*CP741+CO737*CP740+CO748*CP739+CO749*CP738+CO750*CP737+CO751*CP736+CO752*CP735+CO753*CP734+CO755+CO754*CP733</f>
        <v>4189.2448323549233</v>
      </c>
      <c r="CR755" s="119"/>
      <c r="CS755" s="118"/>
      <c r="CT755" s="177">
        <f t="shared" si="2161"/>
        <v>1.3001602904602998E-2</v>
      </c>
      <c r="CU755" s="177">
        <f t="shared" si="2169"/>
        <v>1.0460464716000933E-2</v>
      </c>
      <c r="CV755" s="119">
        <f>VLOOKUP($H755,RoR!$E:$F,2,FALSE)</f>
        <v>2.7033333333333336E-2</v>
      </c>
      <c r="CW755" s="177"/>
      <c r="CX755" s="177"/>
      <c r="CY755" s="177">
        <f t="shared" si="2170"/>
        <v>2.0441476892532694E-2</v>
      </c>
      <c r="CZ755" s="177">
        <f t="shared" si="2171"/>
        <v>7.433422950153494E-2</v>
      </c>
      <c r="DA755" s="187">
        <f t="shared" si="2162"/>
        <v>0.90253812624999996</v>
      </c>
      <c r="DB755" s="188">
        <f t="shared" si="2163"/>
        <v>1.8969932656739068</v>
      </c>
      <c r="DC755" s="188">
        <f t="shared" si="2164"/>
        <v>5.0215782983970621E-2</v>
      </c>
      <c r="DD755" s="188">
        <f t="shared" si="2165"/>
        <v>0.655952481704143</v>
      </c>
      <c r="DE755" s="188">
        <f t="shared" si="2166"/>
        <v>6.2485378865697057E-2</v>
      </c>
      <c r="DF755" s="189">
        <f>DF754</f>
        <v>0.25989833000000001</v>
      </c>
      <c r="DG755" s="189">
        <v>0.375</v>
      </c>
      <c r="DH755" s="190">
        <f t="shared" si="2168"/>
        <v>23.167682688883659</v>
      </c>
      <c r="DI755" s="190"/>
      <c r="DJ755" s="177">
        <f t="shared" ref="DJ755" si="2226">LN(DH755/DH754)</f>
        <v>7.0717789383288251E-2</v>
      </c>
      <c r="DK755" s="189">
        <f>VLOOKUP($H755,RoR!$E:$F,2,FALSE)</f>
        <v>2.7033333333333336E-2</v>
      </c>
      <c r="DL755" s="191">
        <f>HLOOKUP($H755,'GDP-PI'!$D$8:$CR$11,3,FALSE)</f>
        <v>4.2834637353352578E-2</v>
      </c>
      <c r="DM755" s="189">
        <f>VLOOKUP(H755,'HW Dx Data'!$E:$F,2,FALSE)</f>
        <v>933.02249921662576</v>
      </c>
      <c r="DN755" s="183">
        <f>VLOOKUP(H755,'ECI - Input Price'!$G$17:$H$37,2,FALSE)</f>
        <v>145.47500000000002</v>
      </c>
      <c r="DO755" s="177">
        <f t="shared" ref="DO755" si="2227">LN(DN755/DN754)</f>
        <v>3.5152696992481205E-2</v>
      </c>
      <c r="DP755" s="183">
        <f>HLOOKUP(H755,'GDP-PI'!$8:$9,2,FALSE)</f>
        <v>118.49</v>
      </c>
      <c r="DQ755" s="177">
        <f t="shared" ref="DQ755" si="2228">LN(DP755/DP754)</f>
        <v>4.194261824609434E-2</v>
      </c>
    </row>
    <row r="756" spans="1:121" s="167" customFormat="1" ht="21" x14ac:dyDescent="0.35">
      <c r="A756" s="167" t="s">
        <v>77</v>
      </c>
      <c r="B756" s="168" t="s">
        <v>78</v>
      </c>
      <c r="C756" s="168">
        <v>4061925</v>
      </c>
      <c r="D756" s="168" t="s">
        <v>144</v>
      </c>
      <c r="E756" s="168"/>
      <c r="F756" s="168"/>
      <c r="G756" s="168" t="s">
        <v>4</v>
      </c>
      <c r="H756" s="169">
        <v>1998</v>
      </c>
      <c r="I756" s="170"/>
      <c r="J756" s="166"/>
      <c r="K756" s="166"/>
      <c r="L756" s="166"/>
      <c r="M756" s="166"/>
      <c r="N756" s="196"/>
      <c r="O756" s="166"/>
      <c r="P756" s="172"/>
      <c r="Q756" s="172"/>
      <c r="R756" s="172"/>
      <c r="S756" s="166"/>
      <c r="T756" s="172"/>
      <c r="U756" s="172"/>
      <c r="V756" s="166"/>
      <c r="W756" s="170"/>
      <c r="X756" s="174">
        <v>298.67225683281367</v>
      </c>
      <c r="Y756" s="175"/>
      <c r="Z756" s="166"/>
      <c r="AA756" s="175"/>
      <c r="AB756" s="175"/>
      <c r="AC756" s="170">
        <f t="shared" si="2068"/>
        <v>0</v>
      </c>
      <c r="AD756" s="170"/>
      <c r="AE756" s="170"/>
      <c r="AF756" s="119"/>
      <c r="AG756" s="174"/>
      <c r="AH756" s="175"/>
      <c r="AI756" s="175"/>
      <c r="AJ756" s="174"/>
      <c r="AK756" s="174"/>
      <c r="AL756" s="120"/>
      <c r="AM756" s="120"/>
      <c r="AN756" s="120"/>
      <c r="AO756" s="120"/>
      <c r="AP756" s="120"/>
      <c r="AQ756" s="175">
        <f>AVERAGE(AQ765:AQ779)</f>
        <v>1.9250772414691628E-2</v>
      </c>
      <c r="AR756" s="120"/>
      <c r="AS756" s="120"/>
      <c r="AT756" s="120"/>
      <c r="AU756" s="120"/>
      <c r="AV756" s="120"/>
      <c r="AW756" s="120"/>
      <c r="AX756" s="120"/>
      <c r="AY756" s="120"/>
      <c r="AZ756" s="118">
        <f>IFERROR(INDEX('Total Customers'!$F$7:$AB$91,MATCH($C756,'Total Customers'!$D$7:$D$91,0),MATCH($G756,'Total Customers'!$F$5:$AB$5,0)),"NA")</f>
        <v>459034</v>
      </c>
      <c r="BA756" s="119"/>
      <c r="BB756" s="119"/>
      <c r="BC756" s="121"/>
      <c r="BD756" s="119"/>
      <c r="BE756" s="119"/>
      <c r="BF756" s="119"/>
      <c r="BG756" s="173"/>
      <c r="BH756" s="173"/>
      <c r="BI756" s="173"/>
      <c r="BJ756" s="173"/>
      <c r="BK756" s="173"/>
      <c r="BL756" s="173"/>
      <c r="BM756" s="173"/>
      <c r="BN756" s="173"/>
      <c r="BO756" s="173"/>
      <c r="BP756" s="173"/>
      <c r="BQ756" s="118">
        <f>INDEX('Gross Dx Plant'!$E$7:$AD$91,MATCH($C756,'Gross Dx Plant'!$D$7:$D$91,0),MATCH(Calculation!$G756,'Gross Dx Plant'!$E$5:$AD$5,0))</f>
        <v>103355</v>
      </c>
      <c r="BR756" s="118">
        <f>INDEX('Gross Gen Plant'!$E$7:$AD$91,MATCH($C756,'Gross Gen Plant'!$D$7:$D$91,0),MATCH(Calculation!$G756,'Gross Gen Plant'!$E$5:$AD$5,0))</f>
        <v>2828</v>
      </c>
      <c r="BS756" s="118">
        <f>INDEX('Dist. Plant Gas Additions'!$F$7:$AE$91,MATCH($C756,'Dist. Plant Gas Additions'!$D$7:$D$91,0),MATCH(Calculation!$G756,'Dist. Plant Gas Additions'!$F$5:$AE$5,0))</f>
        <v>6740</v>
      </c>
      <c r="BT756" s="118">
        <f>INDEX('Gen. Plant Additions'!$F$7:$AE$91,MATCH($C756,'Gen. Plant Additions'!$D$7:$D$91,0),MATCH(Calculation!$G756,'Gen. Plant Additions'!$F$5:$AE$5,0))</f>
        <v>61</v>
      </c>
      <c r="BU756" s="118" t="e">
        <f>INDEX('Dist Plant Depreciation'!$E$7:$AA$94,MATCH($C756,'Dist Plant Depreciation'!$D$7:$D$94,0),MATCH(#REF!,'Dist Plant Depreciation'!$E$5:$AA$5,0))</f>
        <v>#REF!</v>
      </c>
      <c r="BV756" s="118" t="e">
        <f>INDEX('Gen. Plant Depreciation'!$E$7:$AA$94,MATCH($C756,'Gen. Plant Depreciation'!$D$7:$D$94,0),MATCH(#REF!,'Gen. Plant Depreciation'!$E$5:$AA$5,0))</f>
        <v>#REF!</v>
      </c>
      <c r="BW756" s="118">
        <f>INDEX('Dist Plant Depreciation'!$E$7:$AD$94,MATCH($C756,'Dist Plant Depreciation'!$D$7:$D$94,0),MATCH(Calculation!$G756,'Dist Plant Depreciation'!$E$5:$AD$5,0))</f>
        <v>44476</v>
      </c>
      <c r="BX756" s="118">
        <f>INDEX('Gen. Plant Depreciation'!$E$7:$AD$94,MATCH($C756,'Gen. Plant Depreciation'!$D$7:$D$94,0),MATCH(Calculation!$G756,'Gen. Plant Depreciation'!$E$5:$AD$5,0))</f>
        <v>1459</v>
      </c>
      <c r="BY756" s="118"/>
      <c r="BZ756" s="118"/>
      <c r="CA756" s="118"/>
      <c r="CB756" s="118"/>
      <c r="CC756" s="118"/>
      <c r="CD756" s="118"/>
      <c r="CE756" s="118">
        <f>INDEX('Gross Dx Plant'!$E$7:$AD$91,MATCH($C756,'Gross Dx Plant'!$D$7:$D$91,0),MATCH(Calculation!$G756,'Gross Dx Plant'!$E$5:$AD$5,0))</f>
        <v>103355</v>
      </c>
      <c r="CF756" s="118">
        <f>INDEX('Gross Gen Plant'!$E$7:$AD$91,MATCH($C756,'Gross Gen Plant'!$D$7:$D$91,0),MATCH(Calculation!$G756,'Gross Gen Plant'!$E$5:$AD$5,0))</f>
        <v>2828</v>
      </c>
      <c r="CG756" s="118">
        <f t="shared" si="2136"/>
        <v>60248</v>
      </c>
      <c r="CH756" s="118"/>
      <c r="CI756" s="121">
        <v>1998</v>
      </c>
      <c r="CJ756" s="118">
        <f>BQ756+BR756</f>
        <v>106183</v>
      </c>
      <c r="CK756" s="118">
        <f>44476+1459</f>
        <v>45935</v>
      </c>
      <c r="CL756" s="118">
        <f>+CJ756-CK756</f>
        <v>60248</v>
      </c>
      <c r="CM756" s="118">
        <f>CL756/$CD$36</f>
        <v>298.67225683281367</v>
      </c>
      <c r="CN756" s="183"/>
      <c r="CO756" s="183"/>
      <c r="CP756" s="186">
        <v>1</v>
      </c>
      <c r="CQ756" s="118">
        <f>+CM756</f>
        <v>298.67225683281367</v>
      </c>
      <c r="CR756" s="119"/>
      <c r="CS756" s="119"/>
      <c r="CT756" s="177"/>
      <c r="CU756" s="177"/>
      <c r="CV756" s="119" t="e">
        <f>VLOOKUP($H756,RoR!$E:$F,2,FALSE)</f>
        <v>#N/A</v>
      </c>
      <c r="CW756" s="177">
        <v>1.1028127770464469E-2</v>
      </c>
      <c r="CX756" s="177"/>
      <c r="CY756" s="177"/>
      <c r="CZ756" s="177"/>
      <c r="DA756" s="187"/>
      <c r="DB756" s="190" t="e">
        <f>2/(DK756*39)</f>
        <v>#N/A</v>
      </c>
      <c r="DC756" s="188" t="e">
        <f>+(DK756*40-(1+DK756))/(DK756*40)</f>
        <v>#N/A</v>
      </c>
      <c r="DD756" s="188" t="e">
        <f>+(1-(1/(1+DK756)^40))</f>
        <v>#N/A</v>
      </c>
      <c r="DE756" s="188" t="e">
        <f>+DD756*DC756*DB756</f>
        <v>#N/A</v>
      </c>
      <c r="DF756" s="189">
        <f>INDEX('State Tax Lookup'!$D$7:$Z$91,MATCH(Calculation!$C756,'State Tax Lookup'!$B$7:$B$91,0),MATCH($H756,'State Tax Lookup'!$D$6:$Z$6,0))</f>
        <v>0.40134999999999998</v>
      </c>
      <c r="DG756" s="189">
        <v>0.375</v>
      </c>
      <c r="DH756" s="183"/>
      <c r="DI756" s="183"/>
      <c r="DJ756" s="177"/>
      <c r="DK756" s="189" t="e">
        <f>VLOOKUP($H756,RoR!$E:$F,2,FALSE)</f>
        <v>#N/A</v>
      </c>
      <c r="DL756" s="191">
        <f>HLOOKUP($H756,'GDP-PI'!$D$8:$CQ$11,3,FALSE)</f>
        <v>1.1028127770464469E-2</v>
      </c>
      <c r="DM756" s="189">
        <f>VLOOKUP(H756,'HW Dx Data'!$E:$F,2,FALSE)</f>
        <v>329.24564746449528</v>
      </c>
      <c r="DN756" s="183" t="e">
        <f>VLOOKUP(H756,'ECI - Input Price'!$G$17:$H$37,2,FALSE)</f>
        <v>#N/A</v>
      </c>
      <c r="DO756" s="177"/>
      <c r="DP756" s="183">
        <f>HLOOKUP(H756,'GDP-PI'!$8:$9,2,FALSE)</f>
        <v>75.266999999999996</v>
      </c>
    </row>
    <row r="757" spans="1:121" s="167" customFormat="1" ht="21" x14ac:dyDescent="0.35">
      <c r="A757" s="167" t="s">
        <v>77</v>
      </c>
      <c r="B757" s="168" t="s">
        <v>78</v>
      </c>
      <c r="C757" s="168">
        <v>4061925</v>
      </c>
      <c r="D757" s="168" t="s">
        <v>144</v>
      </c>
      <c r="E757" s="168"/>
      <c r="F757" s="168"/>
      <c r="G757" s="168" t="s">
        <v>5</v>
      </c>
      <c r="H757" s="169">
        <v>1999</v>
      </c>
      <c r="I757" s="170"/>
      <c r="J757" s="166"/>
      <c r="K757" s="170"/>
      <c r="L757" s="170"/>
      <c r="M757" s="166"/>
      <c r="N757" s="173"/>
      <c r="O757" s="170"/>
      <c r="P757" s="177"/>
      <c r="Q757" s="177"/>
      <c r="R757" s="177"/>
      <c r="S757" s="195"/>
      <c r="T757" s="177"/>
      <c r="U757" s="177"/>
      <c r="V757" s="166">
        <f t="shared" ref="V757:V779" si="2229">+CQ756*DH757</f>
        <v>0</v>
      </c>
      <c r="W757" s="170"/>
      <c r="X757" s="174">
        <v>316.19773253467815</v>
      </c>
      <c r="Y757" s="175">
        <v>5.7020912559276063E-2</v>
      </c>
      <c r="Z757" s="175"/>
      <c r="AA757" s="175"/>
      <c r="AB757" s="175"/>
      <c r="AC757" s="170">
        <f t="shared" si="2068"/>
        <v>0</v>
      </c>
      <c r="AD757" s="175"/>
      <c r="AE757" s="170"/>
      <c r="AF757" s="119"/>
      <c r="AG757" s="174"/>
      <c r="AH757" s="175"/>
      <c r="AI757" s="175"/>
      <c r="AJ757" s="174"/>
      <c r="AK757" s="174"/>
      <c r="AL757" s="120"/>
      <c r="AM757" s="120"/>
      <c r="AN757" s="120"/>
      <c r="AO757" s="120"/>
      <c r="AP757" s="120"/>
      <c r="AQ757" s="175"/>
      <c r="AR757" s="120"/>
      <c r="AS757" s="120"/>
      <c r="AT757" s="120"/>
      <c r="AU757" s="120"/>
      <c r="AV757" s="120"/>
      <c r="AW757" s="120"/>
      <c r="AX757" s="120"/>
      <c r="AY757" s="120"/>
      <c r="AZ757" s="118">
        <f>IFERROR(INDEX('Total Customers'!$F$7:$AB$91,MATCH($C757,'Total Customers'!$D$7:$D$91,0),MATCH($G757,'Total Customers'!$F$5:$AB$5,0)),"NA")</f>
        <v>474425</v>
      </c>
      <c r="BA757" s="119">
        <f t="shared" ref="BA757:BA779" si="2230">LN(AZ757/AZ756)</f>
        <v>3.2979263048771995E-2</v>
      </c>
      <c r="BB757" s="119"/>
      <c r="BC757" s="121"/>
      <c r="BD757" s="119"/>
      <c r="BE757" s="119"/>
      <c r="BF757" s="119"/>
      <c r="BG757" s="173"/>
      <c r="BH757" s="173"/>
      <c r="BI757" s="173"/>
      <c r="BJ757" s="173"/>
      <c r="BK757" s="173"/>
      <c r="BL757" s="173"/>
      <c r="BM757" s="173"/>
      <c r="BN757" s="173"/>
      <c r="BO757" s="173"/>
      <c r="BP757" s="173"/>
      <c r="BQ757" s="118"/>
      <c r="BR757" s="118"/>
      <c r="BS757" s="118">
        <f>INDEX('Dist. Plant Gas Additions'!$F$7:$AE$91,MATCH($C757,'Dist. Plant Gas Additions'!$D$7:$D$91,0),MATCH(Calculation!$G757,'Dist. Plant Gas Additions'!$F$5:$AE$5,0))</f>
        <v>6291</v>
      </c>
      <c r="BT757" s="118">
        <f>INDEX('Gen. Plant Additions'!$F$7:$AE$91,MATCH($C757,'Gen. Plant Additions'!$D$7:$D$91,0),MATCH(Calculation!$G757,'Gen. Plant Additions'!$F$5:$AE$5,0))</f>
        <v>84</v>
      </c>
      <c r="BU757" s="118"/>
      <c r="BV757" s="118"/>
      <c r="BW757" s="118">
        <f>INDEX('Dist Plant Depreciation'!$E$7:$AD$94,MATCH($C757,'Dist Plant Depreciation'!$D$7:$D$94,0),MATCH(Calculation!$G757,'Dist Plant Depreciation'!$E$5:$AD$5,0))</f>
        <v>47841</v>
      </c>
      <c r="BX757" s="118">
        <f>INDEX('Gen. Plant Depreciation'!$E$7:$AD$94,MATCH($C757,'Gen. Plant Depreciation'!$D$7:$D$94,0),MATCH(Calculation!$G757,'Gen. Plant Depreciation'!$E$5:$AD$5,0))</f>
        <v>1248</v>
      </c>
      <c r="BY757" s="118"/>
      <c r="BZ757" s="118"/>
      <c r="CA757" s="118"/>
      <c r="CB757" s="118"/>
      <c r="CC757" s="118"/>
      <c r="CD757" s="118"/>
      <c r="CE757" s="118">
        <f>INDEX('Gross Dx Plant'!$E$7:$AD$91,MATCH($C757,'Gross Dx Plant'!$D$7:$D$91,0),MATCH(Calculation!$G757,'Gross Dx Plant'!$E$5:$AD$5,0))</f>
        <v>108653</v>
      </c>
      <c r="CF757" s="118">
        <f>INDEX('Gross Gen Plant'!$E$7:$AD$91,MATCH($C757,'Gross Gen Plant'!$D$7:$D$91,0),MATCH(Calculation!$G757,'Gross Gen Plant'!$E$5:$AD$5,0))</f>
        <v>2551</v>
      </c>
      <c r="CG757" s="118">
        <f t="shared" si="2136"/>
        <v>62115</v>
      </c>
      <c r="CH757" s="118"/>
      <c r="CI757" s="121">
        <v>1999</v>
      </c>
      <c r="CJ757" s="118"/>
      <c r="CK757" s="118"/>
      <c r="CL757" s="118"/>
      <c r="CM757" s="183"/>
      <c r="CN757" s="118">
        <f t="shared" ref="CN757:CN779" si="2231">+BT757+BS757</f>
        <v>6375</v>
      </c>
      <c r="CO757" s="118">
        <f t="shared" ref="CO757:CO779" si="2232">+CN757/$DM757</f>
        <v>19.011407327898382</v>
      </c>
      <c r="CP757" s="186">
        <v>0.99502487562189057</v>
      </c>
      <c r="CQ757" s="118">
        <f>+CQ756*CP757+CO757</f>
        <v>316.19773253467815</v>
      </c>
      <c r="CR757" s="119">
        <f t="shared" ref="CR757:CR778" si="2233">LN(CQ757/CQ756)</f>
        <v>5.7020912559276063E-2</v>
      </c>
      <c r="CS757" s="119"/>
      <c r="CT757" s="177">
        <f t="shared" ref="CT757:CT779" si="2234">+(CQ756-CQ757+CO757)/CQ756</f>
        <v>4.9751243781094657E-3</v>
      </c>
      <c r="CU757" s="177"/>
      <c r="CV757" s="119">
        <f>VLOOKUP($H757,RoR!$E:$F,2,FALSE)</f>
        <v>7.0416666666666669E-2</v>
      </c>
      <c r="CW757" s="177">
        <v>1.4335631817396832E-2</v>
      </c>
      <c r="CX757" s="177">
        <f>+CV757-CW757</f>
        <v>5.6081034849269837E-2</v>
      </c>
      <c r="CY757" s="177"/>
      <c r="CZ757" s="177"/>
      <c r="DA757" s="187">
        <f t="shared" ref="DA757:DA779" si="2235">1-DF757*DG757</f>
        <v>0.84949374999999994</v>
      </c>
      <c r="DB757" s="188">
        <f t="shared" ref="DB757:DB779" si="2236">2/(DK757*39)</f>
        <v>0.72826581702321336</v>
      </c>
      <c r="DC757" s="188">
        <f t="shared" ref="DC757:DC779" si="2237">+(DK757*40-(1+DK757))/(DK757*40)</f>
        <v>0.61997041420118348</v>
      </c>
      <c r="DD757" s="188">
        <f t="shared" ref="DD757:DD779" si="2238">+(1-(1/(1+DK757)^40))</f>
        <v>0.93425155319585029</v>
      </c>
      <c r="DE757" s="188">
        <f t="shared" ref="DE757:DE779" si="2239">+DD757*DC757*DB757</f>
        <v>0.42181762214141483</v>
      </c>
      <c r="DF757" s="189">
        <f>INDEX('State Tax Lookup'!$D$7:$Z$91,MATCH(Calculation!$C757,'State Tax Lookup'!$B$7:$B$91,0),MATCH($H757,'State Tax Lookup'!$D$6:$Z$6,0))</f>
        <v>0.40134999999999998</v>
      </c>
      <c r="DG757" s="189">
        <v>0.375</v>
      </c>
      <c r="DH757" s="190"/>
      <c r="DI757" s="190"/>
      <c r="DJ757" s="177"/>
      <c r="DK757" s="189">
        <f>VLOOKUP($H757,RoR!$E:$F,2,FALSE)</f>
        <v>7.0416666666666669E-2</v>
      </c>
      <c r="DL757" s="191">
        <f>HLOOKUP($H757,'GDP-PI'!$D$8:$CQ$11,3,FALSE)</f>
        <v>1.4335631817396832E-2</v>
      </c>
      <c r="DM757" s="189">
        <f>VLOOKUP(H757,'HW Dx Data'!$E:$F,2,FALSE)</f>
        <v>335.32499146683239</v>
      </c>
      <c r="DN757" s="183" t="e">
        <f>VLOOKUP(H757,'ECI - Input Price'!$G$17:$H$37,2,FALSE)</f>
        <v>#N/A</v>
      </c>
      <c r="DO757" s="177"/>
      <c r="DP757" s="183">
        <f>HLOOKUP(H757,'GDP-PI'!$8:$9,2,FALSE)</f>
        <v>76.346000000000004</v>
      </c>
    </row>
    <row r="758" spans="1:121" s="167" customFormat="1" ht="21" x14ac:dyDescent="0.35">
      <c r="A758" s="167" t="s">
        <v>77</v>
      </c>
      <c r="B758" s="168" t="s">
        <v>78</v>
      </c>
      <c r="C758" s="168">
        <v>4061925</v>
      </c>
      <c r="D758" s="168" t="s">
        <v>144</v>
      </c>
      <c r="E758" s="168"/>
      <c r="F758" s="168"/>
      <c r="G758" s="168" t="s">
        <v>6</v>
      </c>
      <c r="H758" s="169">
        <v>2000</v>
      </c>
      <c r="I758" s="170"/>
      <c r="J758" s="166"/>
      <c r="K758" s="166"/>
      <c r="L758" s="166"/>
      <c r="M758" s="166"/>
      <c r="N758" s="196"/>
      <c r="O758" s="166"/>
      <c r="P758" s="166"/>
      <c r="Q758" s="166"/>
      <c r="R758" s="166"/>
      <c r="S758" s="166"/>
      <c r="T758" s="166"/>
      <c r="U758" s="166"/>
      <c r="V758" s="166">
        <f t="shared" si="2229"/>
        <v>0</v>
      </c>
      <c r="W758" s="170"/>
      <c r="X758" s="174">
        <v>336.0506179818413</v>
      </c>
      <c r="Y758" s="175">
        <v>6.0894043607212657E-2</v>
      </c>
      <c r="Z758" s="175"/>
      <c r="AA758" s="175"/>
      <c r="AB758" s="175"/>
      <c r="AC758" s="170">
        <f t="shared" si="2068"/>
        <v>0</v>
      </c>
      <c r="AD758" s="175"/>
      <c r="AE758" s="170"/>
      <c r="AF758" s="170"/>
      <c r="AG758" s="174"/>
      <c r="AH758" s="175"/>
      <c r="AI758" s="175"/>
      <c r="AJ758" s="174"/>
      <c r="AK758" s="174"/>
      <c r="AL758" s="120"/>
      <c r="AM758" s="120"/>
      <c r="AN758" s="120"/>
      <c r="AO758" s="120"/>
      <c r="AP758" s="120"/>
      <c r="AQ758" s="175"/>
      <c r="AR758" s="120"/>
      <c r="AS758" s="120"/>
      <c r="AT758" s="120"/>
      <c r="AU758" s="120"/>
      <c r="AV758" s="120"/>
      <c r="AW758" s="120"/>
      <c r="AX758" s="120"/>
      <c r="AY758" s="120"/>
      <c r="AZ758" s="118">
        <f>IFERROR(INDEX('Total Customers'!$F$7:$AB$91,MATCH($C758,'Total Customers'!$D$7:$D$91,0),MATCH($G758,'Total Customers'!$F$5:$AB$5,0)),"NA")</f>
        <v>493419</v>
      </c>
      <c r="BA758" s="119">
        <f t="shared" si="2230"/>
        <v>3.9255167223475843E-2</v>
      </c>
      <c r="BB758" s="119"/>
      <c r="BC758" s="121"/>
      <c r="BD758" s="119"/>
      <c r="BE758" s="119"/>
      <c r="BF758" s="119"/>
      <c r="BG758" s="173"/>
      <c r="BH758" s="173"/>
      <c r="BI758" s="173"/>
      <c r="BJ758" s="173"/>
      <c r="BK758" s="173"/>
      <c r="BL758" s="173"/>
      <c r="BM758" s="173"/>
      <c r="BN758" s="173"/>
      <c r="BO758" s="173"/>
      <c r="BP758" s="173"/>
      <c r="BQ758" s="118"/>
      <c r="BR758" s="118"/>
      <c r="BS758" s="118">
        <f>INDEX('Dist. Plant Gas Additions'!$F$7:$AE$91,MATCH($C758,'Dist. Plant Gas Additions'!$D$7:$D$91,0),MATCH(Calculation!$G758,'Dist. Plant Gas Additions'!$F$5:$AE$5,0))</f>
        <v>7313</v>
      </c>
      <c r="BT758" s="118">
        <f>INDEX('Gen. Plant Additions'!$F$7:$AE$91,MATCH($C758,'Gen. Plant Additions'!$D$7:$D$91,0),MATCH(Calculation!$G758,'Gen. Plant Additions'!$F$5:$AE$5,0))</f>
        <v>130</v>
      </c>
      <c r="BU758" s="118"/>
      <c r="BV758" s="118"/>
      <c r="BW758" s="118">
        <f>INDEX('Dist Plant Depreciation'!$E$7:$AD$94,MATCH($C758,'Dist Plant Depreciation'!$D$7:$D$94,0),MATCH(Calculation!$G758,'Dist Plant Depreciation'!$E$5:$AD$5,0))</f>
        <v>51310</v>
      </c>
      <c r="BX758" s="118">
        <f>INDEX('Gen. Plant Depreciation'!$E$7:$AD$94,MATCH($C758,'Gen. Plant Depreciation'!$D$7:$D$94,0),MATCH(Calculation!$G758,'Gen. Plant Depreciation'!$E$5:$AD$5,0))</f>
        <v>1349</v>
      </c>
      <c r="BY758" s="118"/>
      <c r="BZ758" s="118"/>
      <c r="CA758" s="118"/>
      <c r="CB758" s="118"/>
      <c r="CC758" s="118"/>
      <c r="CD758" s="118"/>
      <c r="CE758" s="118">
        <f>INDEX('Gross Dx Plant'!$E$7:$AD$91,MATCH($C758,'Gross Dx Plant'!$D$7:$D$91,0),MATCH(Calculation!$G758,'Gross Dx Plant'!$E$5:$AD$5,0))</f>
        <v>115310</v>
      </c>
      <c r="CF758" s="118">
        <f>INDEX('Gross Gen Plant'!$E$7:$AD$91,MATCH($C758,'Gross Gen Plant'!$D$7:$D$91,0),MATCH(Calculation!$G758,'Gross Gen Plant'!$E$5:$AD$5,0))</f>
        <v>2672</v>
      </c>
      <c r="CG758" s="118">
        <f t="shared" si="2136"/>
        <v>65323</v>
      </c>
      <c r="CH758" s="118"/>
      <c r="CI758" s="121">
        <v>2000</v>
      </c>
      <c r="CJ758" s="118"/>
      <c r="CK758" s="118"/>
      <c r="CL758" s="118"/>
      <c r="CM758" s="183"/>
      <c r="CN758" s="118">
        <f t="shared" si="2231"/>
        <v>7443</v>
      </c>
      <c r="CO758" s="118">
        <f t="shared" si="2232"/>
        <v>21.478429420348142</v>
      </c>
      <c r="CP758" s="186">
        <v>0.98989898989898994</v>
      </c>
      <c r="CQ758" s="118">
        <f>+CQ756*CP758+CO757*CP757+CO758</f>
        <v>336.0506179818413</v>
      </c>
      <c r="CR758" s="119">
        <f t="shared" si="2233"/>
        <v>6.0894043607212657E-2</v>
      </c>
      <c r="CS758" s="119"/>
      <c r="CT758" s="177">
        <f t="shared" si="2234"/>
        <v>5.1409096458549675E-3</v>
      </c>
      <c r="CU758" s="177"/>
      <c r="CV758" s="119">
        <f>VLOOKUP($H758,RoR!$E:$F,2,FALSE)</f>
        <v>7.6225000000000001E-2</v>
      </c>
      <c r="CW758" s="177">
        <v>2.2568307442433211E-2</v>
      </c>
      <c r="CX758" s="177">
        <f t="shared" ref="CX758:CX778" si="2240">+CV758-CW758</f>
        <v>5.365669255756679E-2</v>
      </c>
      <c r="CY758" s="177"/>
      <c r="CZ758" s="177"/>
      <c r="DA758" s="187">
        <f t="shared" si="2235"/>
        <v>0.84949374999999994</v>
      </c>
      <c r="DB758" s="188">
        <f t="shared" si="2236"/>
        <v>0.67277207323124022</v>
      </c>
      <c r="DC758" s="188">
        <f t="shared" si="2237"/>
        <v>0.6470236142997704</v>
      </c>
      <c r="DD758" s="188">
        <f t="shared" si="2238"/>
        <v>0.94704866037543145</v>
      </c>
      <c r="DE758" s="188">
        <f t="shared" si="2239"/>
        <v>0.41224973107878493</v>
      </c>
      <c r="DF758" s="189">
        <f>INDEX('State Tax Lookup'!$D$7:$Z$91,MATCH(Calculation!$C758,'State Tax Lookup'!$B$7:$B$91,0),MATCH($H758,'State Tax Lookup'!$D$6:$Z$6,0))</f>
        <v>0.40134999999999998</v>
      </c>
      <c r="DG758" s="189">
        <v>0.375</v>
      </c>
      <c r="DH758" s="190"/>
      <c r="DI758" s="190"/>
      <c r="DJ758" s="177"/>
      <c r="DK758" s="189">
        <f>VLOOKUP($H758,RoR!$E:$F,2,FALSE)</f>
        <v>7.6225000000000001E-2</v>
      </c>
      <c r="DL758" s="191">
        <f>HLOOKUP($H758,'GDP-PI'!$D$8:$CQ$11,3,FALSE)</f>
        <v>2.2568307442433211E-2</v>
      </c>
      <c r="DM758" s="189">
        <f>VLOOKUP(H758,'HW Dx Data'!$E:$F,2,FALSE)</f>
        <v>346.53371782150339</v>
      </c>
      <c r="DN758" s="183" t="e">
        <f>VLOOKUP(H758,'ECI - Input Price'!$G$17:$H$37,2,FALSE)</f>
        <v>#N/A</v>
      </c>
      <c r="DO758" s="177"/>
      <c r="DP758" s="183">
        <f>HLOOKUP(H758,'GDP-PI'!$8:$9,2,FALSE)</f>
        <v>78.069000000000003</v>
      </c>
    </row>
    <row r="759" spans="1:121" s="167" customFormat="1" ht="21" x14ac:dyDescent="0.35">
      <c r="A759" s="167" t="s">
        <v>77</v>
      </c>
      <c r="B759" s="168" t="s">
        <v>78</v>
      </c>
      <c r="C759" s="168">
        <v>4061925</v>
      </c>
      <c r="D759" s="168" t="s">
        <v>144</v>
      </c>
      <c r="E759" s="168"/>
      <c r="F759" s="168"/>
      <c r="G759" s="168" t="s">
        <v>7</v>
      </c>
      <c r="H759" s="169">
        <v>2001</v>
      </c>
      <c r="I759" s="170"/>
      <c r="J759" s="166"/>
      <c r="K759" s="166"/>
      <c r="L759" s="166"/>
      <c r="M759" s="166"/>
      <c r="N759" s="196"/>
      <c r="O759" s="166"/>
      <c r="P759" s="166"/>
      <c r="Q759" s="166"/>
      <c r="R759" s="166"/>
      <c r="S759" s="166"/>
      <c r="T759" s="166"/>
      <c r="U759" s="166"/>
      <c r="V759" s="166">
        <f t="shared" si="2229"/>
        <v>4348.5040544509311</v>
      </c>
      <c r="W759" s="170"/>
      <c r="X759" s="174">
        <v>345.36400726237986</v>
      </c>
      <c r="Y759" s="175">
        <v>2.7337156953250844E-2</v>
      </c>
      <c r="Z759" s="175"/>
      <c r="AA759" s="175"/>
      <c r="AB759" s="175"/>
      <c r="AC759" s="170">
        <f t="shared" si="2068"/>
        <v>4348.5040544509311</v>
      </c>
      <c r="AD759" s="175"/>
      <c r="AE759" s="170"/>
      <c r="AF759" s="170"/>
      <c r="AG759" s="174"/>
      <c r="AH759" s="175"/>
      <c r="AI759" s="175"/>
      <c r="AJ759" s="174"/>
      <c r="AK759" s="174"/>
      <c r="AL759" s="120"/>
      <c r="AM759" s="120"/>
      <c r="AN759" s="120"/>
      <c r="AO759" s="120"/>
      <c r="AP759" s="120"/>
      <c r="AQ759" s="175"/>
      <c r="AR759" s="120"/>
      <c r="AS759" s="120"/>
      <c r="AT759" s="120"/>
      <c r="AU759" s="120"/>
      <c r="AV759" s="120"/>
      <c r="AW759" s="120"/>
      <c r="AX759" s="120"/>
      <c r="AY759" s="120"/>
      <c r="AZ759" s="118">
        <f>IFERROR(INDEX('Total Customers'!$F$7:$AB$91,MATCH($C759,'Total Customers'!$D$7:$D$91,0),MATCH($G759,'Total Customers'!$F$5:$AB$5,0)),"NA")</f>
        <v>505720</v>
      </c>
      <c r="BA759" s="119">
        <f t="shared" si="2230"/>
        <v>2.4624444780178629E-2</v>
      </c>
      <c r="BB759" s="119"/>
      <c r="BC759" s="121"/>
      <c r="BD759" s="119"/>
      <c r="BE759" s="119"/>
      <c r="BF759" s="119"/>
      <c r="BG759" s="173"/>
      <c r="BH759" s="173"/>
      <c r="BI759" s="173"/>
      <c r="BJ759" s="173"/>
      <c r="BK759" s="173"/>
      <c r="BL759" s="173"/>
      <c r="BM759" s="173"/>
      <c r="BN759" s="173"/>
      <c r="BO759" s="173"/>
      <c r="BP759" s="173"/>
      <c r="BQ759" s="118"/>
      <c r="BR759" s="118"/>
      <c r="BS759" s="118">
        <f>INDEX('Dist. Plant Gas Additions'!$F$7:$AE$91,MATCH($C759,'Dist. Plant Gas Additions'!$D$7:$D$91,0),MATCH(Calculation!$G759,'Dist. Plant Gas Additions'!$F$5:$AE$5,0))</f>
        <v>3838</v>
      </c>
      <c r="BT759" s="118">
        <f>INDEX('Gen. Plant Additions'!$F$7:$AE$91,MATCH($C759,'Gen. Plant Additions'!$D$7:$D$91,0),MATCH(Calculation!$G759,'Gen. Plant Additions'!$F$5:$AE$5,0))</f>
        <v>46</v>
      </c>
      <c r="BU759" s="118"/>
      <c r="BV759" s="118"/>
      <c r="BW759" s="118">
        <f>INDEX('Dist Plant Depreciation'!$E$7:$AD$94,MATCH($C759,'Dist Plant Depreciation'!$D$7:$D$94,0),MATCH(Calculation!$G759,'Dist Plant Depreciation'!$E$5:$AD$5,0))</f>
        <v>55568</v>
      </c>
      <c r="BX759" s="118">
        <f>INDEX('Gen. Plant Depreciation'!$E$7:$AD$94,MATCH($C759,'Gen. Plant Depreciation'!$D$7:$D$94,0),MATCH(Calculation!$G759,'Gen. Plant Depreciation'!$E$5:$AD$5,0))</f>
        <v>1445</v>
      </c>
      <c r="BY759" s="118"/>
      <c r="BZ759" s="118"/>
      <c r="CA759" s="118"/>
      <c r="CB759" s="118"/>
      <c r="CC759" s="118"/>
      <c r="CD759" s="118"/>
      <c r="CE759" s="118">
        <f>INDEX('Gross Dx Plant'!$E$7:$AD$91,MATCH($C759,'Gross Dx Plant'!$D$7:$D$91,0),MATCH(Calculation!$G759,'Gross Dx Plant'!$E$5:$AD$5,0))</f>
        <v>118945</v>
      </c>
      <c r="CF759" s="118">
        <f>INDEX('Gross Gen Plant'!$E$7:$AD$91,MATCH($C759,'Gross Gen Plant'!$D$7:$D$91,0),MATCH(Calculation!$G759,'Gross Gen Plant'!$E$5:$AD$5,0))</f>
        <v>2693</v>
      </c>
      <c r="CG759" s="118">
        <f t="shared" si="2136"/>
        <v>64625</v>
      </c>
      <c r="CH759" s="118"/>
      <c r="CI759" s="121">
        <v>2001</v>
      </c>
      <c r="CJ759" s="118"/>
      <c r="CK759" s="118"/>
      <c r="CL759" s="118"/>
      <c r="CM759" s="183"/>
      <c r="CN759" s="118">
        <f t="shared" si="2231"/>
        <v>3884</v>
      </c>
      <c r="CO759" s="118">
        <f t="shared" si="2232"/>
        <v>10.988905896200997</v>
      </c>
      <c r="CP759" s="186">
        <v>0.98461538461538467</v>
      </c>
      <c r="CQ759" s="118">
        <f>+CQ756*CP759+CO757*CP758+CO758*CP756+CO759</f>
        <v>345.36400726237986</v>
      </c>
      <c r="CR759" s="119">
        <f t="shared" si="2233"/>
        <v>2.7337156953250844E-2</v>
      </c>
      <c r="CS759" s="119"/>
      <c r="CT759" s="177">
        <f t="shared" si="2234"/>
        <v>4.9859054737788813E-3</v>
      </c>
      <c r="CU759" s="177">
        <f>+(CT759+CT758+CT757)/3</f>
        <v>5.0339798325811048E-3</v>
      </c>
      <c r="CV759" s="119">
        <f>VLOOKUP($H759,RoR!$E:$F,2,FALSE)</f>
        <v>7.0824999999999999E-2</v>
      </c>
      <c r="CW759" s="177">
        <v>2.2454495382290052E-2</v>
      </c>
      <c r="CX759" s="177">
        <f t="shared" si="2240"/>
        <v>4.8370504617709947E-2</v>
      </c>
      <c r="CY759" s="177">
        <f>+$CX$35-CU759</f>
        <v>2.5867961775952519E-2</v>
      </c>
      <c r="CZ759" s="177">
        <f>+((DM757/DM756-1)+(DM758/DM757-1)+(DM759/DM758-1))/3</f>
        <v>2.3947275901631187E-2</v>
      </c>
      <c r="DA759" s="187">
        <f t="shared" si="2235"/>
        <v>0.84949374999999994</v>
      </c>
      <c r="DB759" s="188">
        <f t="shared" si="2236"/>
        <v>0.72406708481540816</v>
      </c>
      <c r="DC759" s="188">
        <f t="shared" si="2237"/>
        <v>0.62201729615248857</v>
      </c>
      <c r="DD759" s="188">
        <f t="shared" si="2238"/>
        <v>0.9352469954311422</v>
      </c>
      <c r="DE759" s="188">
        <f t="shared" si="2239"/>
        <v>0.42121864641655071</v>
      </c>
      <c r="DF759" s="189">
        <f>INDEX('State Tax Lookup'!$D$7:$Z$91,MATCH(Calculation!$C759,'State Tax Lookup'!$B$7:$B$91,0),MATCH($H759,'State Tax Lookup'!$D$6:$Z$6,0))</f>
        <v>0.40134999999999998</v>
      </c>
      <c r="DG759" s="189">
        <v>0.375</v>
      </c>
      <c r="DH759" s="190">
        <f t="shared" ref="DH759:DH779" si="2241">+(DM759*CY759-CZ759)*DA759/(1-DF759)</f>
        <v>12.940026953576099</v>
      </c>
      <c r="DI759" s="190"/>
      <c r="DJ759" s="177"/>
      <c r="DK759" s="189">
        <f>VLOOKUP($H759,RoR!$E:$F,2,FALSE)</f>
        <v>7.0824999999999999E-2</v>
      </c>
      <c r="DL759" s="191">
        <f>HLOOKUP($H759,'GDP-PI'!$D$8:$CQ$11,3,FALSE)</f>
        <v>2.2454495382290052E-2</v>
      </c>
      <c r="DM759" s="189">
        <f>VLOOKUP(H759,'HW Dx Data'!$E:$F,2,FALSE)</f>
        <v>353.44738017483138</v>
      </c>
      <c r="DN759" s="183">
        <f>VLOOKUP(H759,'ECI - Input Price'!$G$17:$H$37,2,FALSE)</f>
        <v>86.2</v>
      </c>
      <c r="DO759" s="177"/>
      <c r="DP759" s="183">
        <f>HLOOKUP(H759,'GDP-PI'!$8:$9,2,FALSE)</f>
        <v>79.822000000000003</v>
      </c>
    </row>
    <row r="760" spans="1:121" s="167" customFormat="1" ht="21" x14ac:dyDescent="0.35">
      <c r="A760" s="167" t="s">
        <v>77</v>
      </c>
      <c r="B760" s="168" t="s">
        <v>78</v>
      </c>
      <c r="C760" s="168">
        <v>4061925</v>
      </c>
      <c r="D760" s="168" t="s">
        <v>144</v>
      </c>
      <c r="E760" s="168"/>
      <c r="F760" s="168"/>
      <c r="G760" s="168" t="s">
        <v>8</v>
      </c>
      <c r="H760" s="169">
        <v>2002</v>
      </c>
      <c r="I760" s="170"/>
      <c r="J760" s="166"/>
      <c r="K760" s="166"/>
      <c r="L760" s="166"/>
      <c r="M760" s="166"/>
      <c r="N760" s="196"/>
      <c r="O760" s="166"/>
      <c r="P760" s="166"/>
      <c r="Q760" s="166"/>
      <c r="R760" s="166"/>
      <c r="S760" s="166"/>
      <c r="T760" s="166"/>
      <c r="U760" s="166"/>
      <c r="V760" s="166">
        <f t="shared" si="2229"/>
        <v>4520.4778284693411</v>
      </c>
      <c r="W760" s="170"/>
      <c r="X760" s="174">
        <v>356.98022984878327</v>
      </c>
      <c r="Y760" s="175">
        <v>3.3081447345801658E-2</v>
      </c>
      <c r="Z760" s="175"/>
      <c r="AA760" s="175"/>
      <c r="AB760" s="175"/>
      <c r="AC760" s="170">
        <f t="shared" si="2068"/>
        <v>4520.4778284693411</v>
      </c>
      <c r="AD760" s="175"/>
      <c r="AE760" s="170"/>
      <c r="AF760" s="170"/>
      <c r="AG760" s="174"/>
      <c r="AH760" s="175"/>
      <c r="AI760" s="175"/>
      <c r="AJ760" s="174"/>
      <c r="AK760" s="174"/>
      <c r="AL760" s="120"/>
      <c r="AM760" s="120"/>
      <c r="AN760" s="120"/>
      <c r="AO760" s="120"/>
      <c r="AP760" s="120"/>
      <c r="AQ760" s="175"/>
      <c r="AR760" s="120"/>
      <c r="AS760" s="120"/>
      <c r="AT760" s="120"/>
      <c r="AU760" s="120"/>
      <c r="AV760" s="120"/>
      <c r="AW760" s="120"/>
      <c r="AX760" s="120"/>
      <c r="AY760" s="120"/>
      <c r="AZ760" s="118">
        <f>IFERROR(INDEX('Total Customers'!$F$7:$AB$91,MATCH($C760,'Total Customers'!$D$7:$D$91,0),MATCH($G760,'Total Customers'!$F$5:$AB$5,0)),"NA")</f>
        <v>522217</v>
      </c>
      <c r="BA760" s="119">
        <f t="shared" si="2230"/>
        <v>3.2100053868233398E-2</v>
      </c>
      <c r="BB760" s="119"/>
      <c r="BC760" s="121"/>
      <c r="BD760" s="119"/>
      <c r="BE760" s="119"/>
      <c r="BF760" s="119"/>
      <c r="BG760" s="173"/>
      <c r="BH760" s="173"/>
      <c r="BI760" s="173"/>
      <c r="BJ760" s="173"/>
      <c r="BK760" s="173"/>
      <c r="BL760" s="173"/>
      <c r="BM760" s="173"/>
      <c r="BN760" s="173"/>
      <c r="BO760" s="173"/>
      <c r="BP760" s="173"/>
      <c r="BQ760" s="118"/>
      <c r="BR760" s="118"/>
      <c r="BS760" s="118">
        <f>INDEX('Dist. Plant Gas Additions'!$F$7:$AE$91,MATCH($C760,'Dist. Plant Gas Additions'!$D$7:$D$91,0),MATCH(Calculation!$G760,'Dist. Plant Gas Additions'!$F$5:$AE$5,0))</f>
        <v>4884</v>
      </c>
      <c r="BT760" s="118">
        <f>INDEX('Gen. Plant Additions'!$F$7:$AE$91,MATCH($C760,'Gen. Plant Additions'!$D$7:$D$91,0),MATCH(Calculation!$G760,'Gen. Plant Additions'!$F$5:$AE$5,0))</f>
        <v>36</v>
      </c>
      <c r="BU760" s="118"/>
      <c r="BV760" s="118"/>
      <c r="BW760" s="118">
        <f>INDEX('Dist Plant Depreciation'!$E$7:$AD$94,MATCH($C760,'Dist Plant Depreciation'!$D$7:$D$94,0),MATCH(Calculation!$G760,'Dist Plant Depreciation'!$E$5:$AD$5,0))</f>
        <v>59655</v>
      </c>
      <c r="BX760" s="118">
        <f>INDEX('Gen. Plant Depreciation'!$E$7:$AD$94,MATCH($C760,'Gen. Plant Depreciation'!$D$7:$D$94,0),MATCH(Calculation!$G760,'Gen. Plant Depreciation'!$E$5:$AD$5,0))</f>
        <v>1535</v>
      </c>
      <c r="BY760" s="118"/>
      <c r="BZ760" s="118"/>
      <c r="CA760" s="118"/>
      <c r="CB760" s="118"/>
      <c r="CC760" s="118"/>
      <c r="CD760" s="118"/>
      <c r="CE760" s="118">
        <f>INDEX('Gross Dx Plant'!$E$7:$AD$91,MATCH($C760,'Gross Dx Plant'!$D$7:$D$91,0),MATCH(Calculation!$G760,'Gross Dx Plant'!$E$5:$AD$5,0))</f>
        <v>123251</v>
      </c>
      <c r="CF760" s="118">
        <f>INDEX('Gross Gen Plant'!$E$7:$AD$91,MATCH($C760,'Gross Gen Plant'!$D$7:$D$91,0),MATCH(Calculation!$G760,'Gross Gen Plant'!$E$5:$AD$5,0))</f>
        <v>2703</v>
      </c>
      <c r="CG760" s="118">
        <f t="shared" si="2136"/>
        <v>64764</v>
      </c>
      <c r="CH760" s="118"/>
      <c r="CI760" s="121">
        <v>2002</v>
      </c>
      <c r="CJ760" s="118"/>
      <c r="CK760" s="118"/>
      <c r="CL760" s="118"/>
      <c r="CM760" s="183"/>
      <c r="CN760" s="118">
        <f t="shared" si="2231"/>
        <v>4920</v>
      </c>
      <c r="CO760" s="118">
        <f t="shared" si="2232"/>
        <v>13.615677251340799</v>
      </c>
      <c r="CP760" s="186">
        <v>0.97916666666666663</v>
      </c>
      <c r="CQ760" s="118">
        <f>+CQ756*CP760+CO757*CP759+CO758*CP758+CO759*CP757+CO760</f>
        <v>356.98022984878327</v>
      </c>
      <c r="CR760" s="119">
        <f t="shared" si="2233"/>
        <v>3.3081447345801658E-2</v>
      </c>
      <c r="CS760" s="119"/>
      <c r="CT760" s="177">
        <f t="shared" si="2234"/>
        <v>5.7894123964642432E-3</v>
      </c>
      <c r="CU760" s="177">
        <f t="shared" ref="CU760:CU779" si="2242">+(CT760+CT759+CT758)/3</f>
        <v>5.3054091720326976E-3</v>
      </c>
      <c r="CV760" s="119">
        <f>VLOOKUP($H760,RoR!$E:$F,2,FALSE)</f>
        <v>6.4916666666666664E-2</v>
      </c>
      <c r="CW760" s="177">
        <v>1.5246423291824351E-2</v>
      </c>
      <c r="CX760" s="177">
        <f t="shared" si="2240"/>
        <v>4.9670243374842313E-2</v>
      </c>
      <c r="CY760" s="177">
        <f t="shared" ref="CY760:CY779" si="2243">+$CX$35-CU760</f>
        <v>2.5596532436500927E-2</v>
      </c>
      <c r="CZ760" s="177">
        <f t="shared" ref="CZ760:CZ779" si="2244">+((DM758/DM757-1)+(DM759/DM758-1)+(DM760/DM759-1))/3</f>
        <v>2.5243621214759093E-2</v>
      </c>
      <c r="DA760" s="187">
        <f t="shared" si="2235"/>
        <v>0.84949374999999994</v>
      </c>
      <c r="DB760" s="188">
        <f t="shared" si="2236"/>
        <v>0.78996741384417901</v>
      </c>
      <c r="DC760" s="188">
        <f t="shared" si="2237"/>
        <v>0.58989088575096271</v>
      </c>
      <c r="DD760" s="188">
        <f t="shared" si="2238"/>
        <v>0.91920675783645744</v>
      </c>
      <c r="DE760" s="188">
        <f t="shared" si="2239"/>
        <v>0.42834536472275586</v>
      </c>
      <c r="DF760" s="189">
        <f>INDEX('State Tax Lookup'!$D$7:$Z$91,MATCH(Calculation!$C760,'State Tax Lookup'!$B$7:$B$91,0),MATCH($H760,'State Tax Lookup'!$D$6:$Z$6,0))</f>
        <v>0.40134999999999998</v>
      </c>
      <c r="DG760" s="189">
        <v>0.375</v>
      </c>
      <c r="DH760" s="190">
        <f t="shared" si="2241"/>
        <v>13.089024140940793</v>
      </c>
      <c r="DI760" s="190"/>
      <c r="DJ760" s="177"/>
      <c r="DK760" s="189">
        <f>VLOOKUP($H760,RoR!$E:$F,2,FALSE)</f>
        <v>6.4916666666666664E-2</v>
      </c>
      <c r="DL760" s="191">
        <f>HLOOKUP($H760,'GDP-PI'!$D$8:$CQ$11,3,FALSE)</f>
        <v>1.5246423291824351E-2</v>
      </c>
      <c r="DM760" s="189">
        <f>VLOOKUP(H760,'HW Dx Data'!$E:$F,2,FALSE)</f>
        <v>361.34816573413599</v>
      </c>
      <c r="DN760" s="183">
        <f>VLOOKUP(H760,'ECI - Input Price'!$G$17:$H$37,2,FALSE)</f>
        <v>89.275000000000006</v>
      </c>
      <c r="DO760" s="177">
        <f>LN(DN760/DN759)</f>
        <v>3.5051315810864674E-2</v>
      </c>
      <c r="DP760" s="183">
        <f>HLOOKUP(H760,'GDP-PI'!$8:$9,2,FALSE)</f>
        <v>81.039000000000001</v>
      </c>
      <c r="DQ760" s="177">
        <f>LN(DP760/DP759)</f>
        <v>1.513136459537477E-2</v>
      </c>
    </row>
    <row r="761" spans="1:121" s="167" customFormat="1" ht="21" x14ac:dyDescent="0.35">
      <c r="A761" s="167" t="s">
        <v>77</v>
      </c>
      <c r="B761" s="168" t="s">
        <v>78</v>
      </c>
      <c r="C761" s="168">
        <v>4061925</v>
      </c>
      <c r="D761" s="168" t="s">
        <v>144</v>
      </c>
      <c r="E761" s="168"/>
      <c r="F761" s="168"/>
      <c r="G761" s="168" t="s">
        <v>9</v>
      </c>
      <c r="H761" s="169">
        <v>2003</v>
      </c>
      <c r="I761" s="170"/>
      <c r="J761" s="166"/>
      <c r="K761" s="166"/>
      <c r="L761" s="166"/>
      <c r="M761" s="172"/>
      <c r="N761" s="196"/>
      <c r="O761" s="172"/>
      <c r="P761" s="166"/>
      <c r="Q761" s="166"/>
      <c r="R761" s="166"/>
      <c r="S761" s="166"/>
      <c r="T761" s="166"/>
      <c r="U761" s="166"/>
      <c r="V761" s="166">
        <f t="shared" si="2229"/>
        <v>4744.4124365497255</v>
      </c>
      <c r="W761" s="170"/>
      <c r="X761" s="174">
        <v>376.477624866582</v>
      </c>
      <c r="Y761" s="175">
        <v>5.3178214497377585E-2</v>
      </c>
      <c r="Z761" s="175"/>
      <c r="AA761" s="175"/>
      <c r="AB761" s="175"/>
      <c r="AC761" s="170">
        <f t="shared" si="2068"/>
        <v>4744.4124365497255</v>
      </c>
      <c r="AD761" s="175"/>
      <c r="AE761" s="170"/>
      <c r="AF761" s="170"/>
      <c r="AG761" s="174"/>
      <c r="AH761" s="175"/>
      <c r="AI761" s="175"/>
      <c r="AJ761" s="174"/>
      <c r="AK761" s="174"/>
      <c r="AL761" s="120"/>
      <c r="AM761" s="120"/>
      <c r="AN761" s="120"/>
      <c r="AO761" s="120"/>
      <c r="AP761" s="120"/>
      <c r="AQ761" s="175"/>
      <c r="AR761" s="120"/>
      <c r="AS761" s="120"/>
      <c r="AT761" s="120"/>
      <c r="AU761" s="120"/>
      <c r="AV761" s="120"/>
      <c r="AW761" s="120"/>
      <c r="AX761" s="120"/>
      <c r="AY761" s="120"/>
      <c r="AZ761" s="118">
        <f>IFERROR(INDEX('Total Customers'!$F$7:$AB$91,MATCH($C761,'Total Customers'!$D$7:$D$91,0),MATCH($G761,'Total Customers'!$F$5:$AB$5,0)),"NA")</f>
        <v>529022</v>
      </c>
      <c r="BA761" s="119">
        <f t="shared" si="2230"/>
        <v>1.2946808583317692E-2</v>
      </c>
      <c r="BB761" s="119"/>
      <c r="BC761" s="121"/>
      <c r="BD761" s="119"/>
      <c r="BE761" s="119"/>
      <c r="BF761" s="119"/>
      <c r="BG761" s="173"/>
      <c r="BH761" s="173"/>
      <c r="BI761" s="173"/>
      <c r="BJ761" s="173"/>
      <c r="BK761" s="173"/>
      <c r="BL761" s="173"/>
      <c r="BM761" s="173"/>
      <c r="BN761" s="173"/>
      <c r="BO761" s="173"/>
      <c r="BP761" s="173"/>
      <c r="BQ761" s="118"/>
      <c r="BR761" s="118"/>
      <c r="BS761" s="118">
        <f>INDEX('Dist. Plant Gas Additions'!$F$7:$AE$91,MATCH($C761,'Dist. Plant Gas Additions'!$D$7:$D$91,0),MATCH(Calculation!$G761,'Dist. Plant Gas Additions'!$F$5:$AE$5,0))</f>
        <v>7292</v>
      </c>
      <c r="BT761" s="118">
        <f>INDEX('Gen. Plant Additions'!$F$7:$AE$91,MATCH($C761,'Gen. Plant Additions'!$D$7:$D$91,0),MATCH(Calculation!$G761,'Gen. Plant Additions'!$F$5:$AE$5,0))</f>
        <v>653</v>
      </c>
      <c r="BU761" s="118"/>
      <c r="BV761" s="118"/>
      <c r="BW761" s="118">
        <f>INDEX('Dist Plant Depreciation'!$E$7:$AD$94,MATCH($C761,'Dist Plant Depreciation'!$D$7:$D$94,0),MATCH(Calculation!$G761,'Dist Plant Depreciation'!$E$5:$AD$5,0))</f>
        <v>63727</v>
      </c>
      <c r="BX761" s="118">
        <f>INDEX('Gen. Plant Depreciation'!$E$7:$AD$94,MATCH($C761,'Gen. Plant Depreciation'!$D$7:$D$94,0),MATCH(Calculation!$G761,'Gen. Plant Depreciation'!$E$5:$AD$5,0))</f>
        <v>1348</v>
      </c>
      <c r="BY761" s="118"/>
      <c r="BZ761" s="118"/>
      <c r="CA761" s="118"/>
      <c r="CB761" s="118"/>
      <c r="CC761" s="118"/>
      <c r="CD761" s="118"/>
      <c r="CE761" s="118">
        <f>INDEX('Gross Dx Plant'!$E$7:$AD$91,MATCH($C761,'Gross Dx Plant'!$D$7:$D$91,0),MATCH(Calculation!$G761,'Gross Dx Plant'!$E$5:$AD$5,0))</f>
        <v>129737</v>
      </c>
      <c r="CF761" s="118">
        <f>INDEX('Gross Gen Plant'!$E$7:$AD$91,MATCH($C761,'Gross Gen Plant'!$D$7:$D$91,0),MATCH(Calculation!$G761,'Gross Gen Plant'!$E$5:$AD$5,0))</f>
        <v>3030</v>
      </c>
      <c r="CG761" s="118">
        <f t="shared" si="2136"/>
        <v>67692</v>
      </c>
      <c r="CH761" s="118"/>
      <c r="CI761" s="121">
        <v>2003</v>
      </c>
      <c r="CJ761" s="118"/>
      <c r="CK761" s="118"/>
      <c r="CL761" s="118"/>
      <c r="CM761" s="183"/>
      <c r="CN761" s="118">
        <f t="shared" si="2231"/>
        <v>7945</v>
      </c>
      <c r="CO761" s="118">
        <f t="shared" si="2232"/>
        <v>21.517577692844313</v>
      </c>
      <c r="CP761" s="186">
        <v>0.97354497354497349</v>
      </c>
      <c r="CQ761" s="118">
        <f>+CQ756*CP761+CO757*CP760+CO758*CP759+CO759*CP758+CO760*CP757+CO761</f>
        <v>376.477624866582</v>
      </c>
      <c r="CR761" s="119">
        <f t="shared" si="2233"/>
        <v>5.3178214497377585E-2</v>
      </c>
      <c r="CS761" s="119"/>
      <c r="CT761" s="177">
        <f t="shared" si="2234"/>
        <v>5.6590883923777063E-3</v>
      </c>
      <c r="CU761" s="177">
        <f t="shared" si="2242"/>
        <v>5.4781354208736114E-3</v>
      </c>
      <c r="CV761" s="119">
        <f>VLOOKUP($H761,RoR!$E:$F,2,FALSE)</f>
        <v>5.6666666666666671E-2</v>
      </c>
      <c r="CW761" s="177">
        <v>1.8855119140166909E-2</v>
      </c>
      <c r="CX761" s="177">
        <f t="shared" si="2240"/>
        <v>3.7811547526499761E-2</v>
      </c>
      <c r="CY761" s="177">
        <f t="shared" si="2243"/>
        <v>2.5423806187660013E-2</v>
      </c>
      <c r="CZ761" s="177">
        <f t="shared" si="2244"/>
        <v>2.1375012817671957E-2</v>
      </c>
      <c r="DA761" s="187">
        <f t="shared" si="2235"/>
        <v>0.84949374999999994</v>
      </c>
      <c r="DB761" s="188">
        <f t="shared" si="2236"/>
        <v>0.90497737556561086</v>
      </c>
      <c r="DC761" s="188">
        <f t="shared" si="2237"/>
        <v>0.5338235294117647</v>
      </c>
      <c r="DD761" s="188">
        <f t="shared" si="2238"/>
        <v>0.88972433127405692</v>
      </c>
      <c r="DE761" s="188">
        <f t="shared" si="2239"/>
        <v>0.42982423775949252</v>
      </c>
      <c r="DF761" s="189">
        <f>INDEX('State Tax Lookup'!$D$7:$Z$91,MATCH(Calculation!$C761,'State Tax Lookup'!$B$7:$B$91,0),MATCH($H761,'State Tax Lookup'!$D$6:$Z$6,0))</f>
        <v>0.40134999999999998</v>
      </c>
      <c r="DG761" s="189">
        <v>0.375</v>
      </c>
      <c r="DH761" s="190">
        <f t="shared" si="2241"/>
        <v>13.290406694397214</v>
      </c>
      <c r="DI761" s="190"/>
      <c r="DJ761" s="177"/>
      <c r="DK761" s="189">
        <f>VLOOKUP($H761,RoR!$E:$F,2,FALSE)</f>
        <v>5.6666666666666671E-2</v>
      </c>
      <c r="DL761" s="191">
        <f>HLOOKUP($H761,'GDP-PI'!$D$8:$CQ$11,3,FALSE)</f>
        <v>1.8855119140166909E-2</v>
      </c>
      <c r="DM761" s="189">
        <f>VLOOKUP(H761,'HW Dx Data'!$E:$F,2,FALSE)</f>
        <v>369.23301095560191</v>
      </c>
      <c r="DN761" s="183">
        <f>VLOOKUP(H761,'ECI - Input Price'!$G$17:$H$37,2,FALSE)</f>
        <v>92.625</v>
      </c>
      <c r="DO761" s="177">
        <f t="shared" ref="DO761" si="2245">LN(DN761/DN760)</f>
        <v>3.6837590135738785E-2</v>
      </c>
      <c r="DP761" s="183">
        <f>HLOOKUP(H761,'GDP-PI'!$8:$9,2,FALSE)</f>
        <v>82.566999999999993</v>
      </c>
      <c r="DQ761" s="177">
        <f t="shared" ref="DQ761" si="2246">LN(DP761/DP760)</f>
        <v>1.8679564681853753E-2</v>
      </c>
    </row>
    <row r="762" spans="1:121" s="167" customFormat="1" ht="21" x14ac:dyDescent="0.35">
      <c r="A762" s="167" t="s">
        <v>77</v>
      </c>
      <c r="B762" s="168" t="s">
        <v>78</v>
      </c>
      <c r="C762" s="168">
        <v>4061925</v>
      </c>
      <c r="D762" s="168" t="s">
        <v>144</v>
      </c>
      <c r="E762" s="168"/>
      <c r="F762" s="168"/>
      <c r="G762" s="168" t="s">
        <v>10</v>
      </c>
      <c r="H762" s="169">
        <v>2004</v>
      </c>
      <c r="I762" s="170"/>
      <c r="J762" s="166">
        <f>IFERROR(INDEX('Labor Expenditures'!$F$7:$X$91,MATCH($C762,'Labor Expenditures'!$D$7:$D$91,0),MATCH($G762,'Labor Expenditures'!$F$5:$X$5,0)),"NA")</f>
        <v>5054.4588218450399</v>
      </c>
      <c r="K762" s="166">
        <f t="shared" ref="K762:K779" si="2247">+J762/DN762</f>
        <v>52.554809689056825</v>
      </c>
      <c r="L762" s="172"/>
      <c r="M762" s="172"/>
      <c r="N762" s="196"/>
      <c r="O762" s="172"/>
      <c r="P762" s="166">
        <f>IFERROR(INDEX('Non-Labor Expenditures'!$F$7:$AB$91,MATCH($C762,'Non-Labor Expenditures'!$D$7:$D$91,0),MATCH($G762,'Non-Labor Expenditures'!$F$5:$AB$5,0)),"NA")</f>
        <v>7319.8004167187655</v>
      </c>
      <c r="Q762" s="166">
        <f t="shared" ref="Q762:Q779" si="2248">+P762/DP762</f>
        <v>86.340800876627952</v>
      </c>
      <c r="R762" s="166"/>
      <c r="S762" s="166"/>
      <c r="T762" s="166"/>
      <c r="U762" s="166"/>
      <c r="V762" s="166">
        <f t="shared" si="2229"/>
        <v>5543.3504020246</v>
      </c>
      <c r="W762" s="170"/>
      <c r="X762" s="174">
        <v>395.09849256081048</v>
      </c>
      <c r="Y762" s="175">
        <v>4.8276465905498805E-2</v>
      </c>
      <c r="Z762" s="175"/>
      <c r="AA762" s="175"/>
      <c r="AB762" s="175"/>
      <c r="AC762" s="170">
        <f t="shared" si="2068"/>
        <v>17917.609640588405</v>
      </c>
      <c r="AD762" s="175"/>
      <c r="AE762" s="170"/>
      <c r="AF762" s="170"/>
      <c r="AG762" s="174"/>
      <c r="AH762" s="175"/>
      <c r="AI762" s="175"/>
      <c r="AJ762" s="174"/>
      <c r="AK762" s="174"/>
      <c r="AL762" s="120">
        <f t="shared" ref="AL762:AL779" si="2249">+J762/AC762</f>
        <v>0.28209448264768949</v>
      </c>
      <c r="AM762" s="120">
        <f t="shared" ref="AM762:AM779" si="2250">+P762/AC762</f>
        <v>0.4085254988554593</v>
      </c>
      <c r="AN762" s="120">
        <f t="shared" ref="AN762:AN779" si="2251">+V762/AC762</f>
        <v>0.30938001849685121</v>
      </c>
      <c r="AO762" s="120"/>
      <c r="AP762" s="120"/>
      <c r="AQ762" s="175"/>
      <c r="AR762" s="120"/>
      <c r="AS762" s="120"/>
      <c r="AT762" s="120"/>
      <c r="AU762" s="120"/>
      <c r="AV762" s="120"/>
      <c r="AW762" s="120"/>
      <c r="AX762" s="120"/>
      <c r="AY762" s="120"/>
      <c r="AZ762" s="118">
        <f>IFERROR(INDEX('Total Customers'!$F$7:$AB$91,MATCH($C762,'Total Customers'!$D$7:$D$91,0),MATCH($G762,'Total Customers'!$F$5:$AB$5,0)),"NA")</f>
        <v>542522</v>
      </c>
      <c r="BA762" s="119">
        <f t="shared" si="2230"/>
        <v>2.5198618692508026E-2</v>
      </c>
      <c r="BB762" s="119"/>
      <c r="BC762" s="121"/>
      <c r="BD762" s="119"/>
      <c r="BE762" s="119"/>
      <c r="BF762" s="119"/>
      <c r="BG762" s="173"/>
      <c r="BH762" s="173"/>
      <c r="BI762" s="173"/>
      <c r="BJ762" s="173"/>
      <c r="BK762" s="173"/>
      <c r="BL762" s="173"/>
      <c r="BM762" s="173"/>
      <c r="BN762" s="173"/>
      <c r="BO762" s="173"/>
      <c r="BP762" s="173"/>
      <c r="BQ762" s="118"/>
      <c r="BR762" s="118"/>
      <c r="BS762" s="118">
        <f>INDEX('Dist. Plant Gas Additions'!$F$7:$AE$91,MATCH($C762,'Dist. Plant Gas Additions'!$D$7:$D$91,0),MATCH(Calculation!$G762,'Dist. Plant Gas Additions'!$F$5:$AE$5,0))</f>
        <v>8263</v>
      </c>
      <c r="BT762" s="118">
        <f>INDEX('Gen. Plant Additions'!$F$7:$AE$91,MATCH($C762,'Gen. Plant Additions'!$D$7:$D$91,0),MATCH(Calculation!$G762,'Gen. Plant Additions'!$F$5:$AE$5,0))</f>
        <v>372</v>
      </c>
      <c r="BU762" s="118"/>
      <c r="BV762" s="118"/>
      <c r="BW762" s="118">
        <f>INDEX('Dist Plant Depreciation'!$E$7:$AD$94,MATCH($C762,'Dist Plant Depreciation'!$D$7:$D$94,0),MATCH(Calculation!$G762,'Dist Plant Depreciation'!$E$5:$AD$5,0))</f>
        <v>69053</v>
      </c>
      <c r="BX762" s="118">
        <f>INDEX('Gen. Plant Depreciation'!$E$7:$AD$94,MATCH($C762,'Gen. Plant Depreciation'!$D$7:$D$94,0),MATCH(Calculation!$G762,'Gen. Plant Depreciation'!$E$5:$AD$5,0))</f>
        <v>1533</v>
      </c>
      <c r="BY762" s="118"/>
      <c r="BZ762" s="118"/>
      <c r="CA762" s="118"/>
      <c r="CB762" s="118"/>
      <c r="CC762" s="118"/>
      <c r="CD762" s="118"/>
      <c r="CE762" s="118">
        <f>INDEX('Gross Dx Plant'!$E$7:$AD$91,MATCH($C762,'Gross Dx Plant'!$D$7:$D$91,0),MATCH(Calculation!$G762,'Gross Dx Plant'!$E$5:$AD$5,0))</f>
        <v>138002</v>
      </c>
      <c r="CF762" s="118">
        <f>INDEX('Gross Gen Plant'!$E$7:$AD$91,MATCH($C762,'Gross Gen Plant'!$D$7:$D$91,0),MATCH(Calculation!$G762,'Gross Gen Plant'!$E$5:$AD$5,0))</f>
        <v>3382</v>
      </c>
      <c r="CG762" s="118">
        <f t="shared" si="2136"/>
        <v>70798</v>
      </c>
      <c r="CH762" s="118"/>
      <c r="CI762" s="121">
        <v>2004</v>
      </c>
      <c r="CJ762" s="118"/>
      <c r="CK762" s="118"/>
      <c r="CL762" s="118"/>
      <c r="CM762" s="183"/>
      <c r="CN762" s="118">
        <f t="shared" si="2231"/>
        <v>8635</v>
      </c>
      <c r="CO762" s="118">
        <f t="shared" si="2232"/>
        <v>20.812886442348518</v>
      </c>
      <c r="CP762" s="186">
        <v>0.967741935483871</v>
      </c>
      <c r="CQ762" s="118">
        <f>+CQ756*CP762+CO757*CP761+CO758*CP760+CO759*CP759+CO760*CP758+CO761*CP757+CO762</f>
        <v>395.09849256081048</v>
      </c>
      <c r="CR762" s="119">
        <f t="shared" si="2233"/>
        <v>4.8276465905498805E-2</v>
      </c>
      <c r="CS762" s="119"/>
      <c r="CT762" s="177">
        <f t="shared" si="2234"/>
        <v>5.8224409721476973E-3</v>
      </c>
      <c r="CU762" s="177">
        <f t="shared" si="2242"/>
        <v>5.7569805869965495E-3</v>
      </c>
      <c r="CV762" s="119">
        <f>VLOOKUP($H762,RoR!$E:$F,2,FALSE)</f>
        <v>5.6283333333333331E-2</v>
      </c>
      <c r="CW762" s="177">
        <v>2.6778252812867276E-2</v>
      </c>
      <c r="CX762" s="177">
        <f t="shared" si="2240"/>
        <v>2.9505080520466055E-2</v>
      </c>
      <c r="CY762" s="177">
        <f t="shared" si="2243"/>
        <v>2.5144961021537075E-2</v>
      </c>
      <c r="CZ762" s="177">
        <f t="shared" si="2244"/>
        <v>5.5940039414565046E-2</v>
      </c>
      <c r="DA762" s="187">
        <f t="shared" si="2235"/>
        <v>0.84949374999999994</v>
      </c>
      <c r="DB762" s="188">
        <f t="shared" si="2236"/>
        <v>0.91114097628755619</v>
      </c>
      <c r="DC762" s="188">
        <f t="shared" si="2237"/>
        <v>0.53081877405981637</v>
      </c>
      <c r="DD762" s="188">
        <f t="shared" si="2238"/>
        <v>0.88811215519385678</v>
      </c>
      <c r="DE762" s="188">
        <f t="shared" si="2239"/>
        <v>0.42953609753547711</v>
      </c>
      <c r="DF762" s="189">
        <f>INDEX('State Tax Lookup'!$D$7:$Z$91,MATCH(Calculation!$C762,'State Tax Lookup'!$B$7:$B$91,0),MATCH($H762,'State Tax Lookup'!$D$6:$Z$6,0))</f>
        <v>0.40134999999999998</v>
      </c>
      <c r="DG762" s="189">
        <v>0.375</v>
      </c>
      <c r="DH762" s="190">
        <f t="shared" si="2241"/>
        <v>14.72424929367072</v>
      </c>
      <c r="DI762" s="190"/>
      <c r="DJ762" s="177"/>
      <c r="DK762" s="189">
        <f>VLOOKUP($H762,RoR!$E:$F,2,FALSE)</f>
        <v>5.6283333333333331E-2</v>
      </c>
      <c r="DL762" s="191">
        <f>HLOOKUP($H762,'GDP-PI'!$D$8:$CQ$11,3,FALSE)</f>
        <v>2.6778252812867276E-2</v>
      </c>
      <c r="DM762" s="189">
        <f>VLOOKUP(H762,'HW Dx Data'!$E:$F,2,FALSE)</f>
        <v>414.88719135228365</v>
      </c>
      <c r="DN762" s="183">
        <f>VLOOKUP(H762,'ECI - Input Price'!$G$17:$H$37,2,FALSE)</f>
        <v>96.174999999999997</v>
      </c>
      <c r="DO762" s="177">
        <f t="shared" ref="DO762" si="2252">LN(DN762/DN761)</f>
        <v>3.7610365022107912E-2</v>
      </c>
      <c r="DP762" s="183">
        <f>HLOOKUP(H762,'GDP-PI'!$8:$9,2,FALSE)</f>
        <v>84.778000000000006</v>
      </c>
      <c r="DQ762" s="177">
        <f t="shared" ref="DQ762" si="2253">LN(DP762/DP761)</f>
        <v>2.6425990216022755E-2</v>
      </c>
    </row>
    <row r="763" spans="1:121" s="167" customFormat="1" ht="21" x14ac:dyDescent="0.35">
      <c r="A763" s="167" t="s">
        <v>77</v>
      </c>
      <c r="B763" s="168" t="s">
        <v>78</v>
      </c>
      <c r="C763" s="168">
        <v>4061925</v>
      </c>
      <c r="D763" s="168" t="s">
        <v>144</v>
      </c>
      <c r="E763" s="168"/>
      <c r="F763" s="168"/>
      <c r="G763" s="168" t="s">
        <v>11</v>
      </c>
      <c r="H763" s="169">
        <v>2005</v>
      </c>
      <c r="I763" s="170"/>
      <c r="J763" s="166">
        <f>IFERROR(INDEX('Labor Expenditures'!$F$7:$X$91,MATCH($C763,'Labor Expenditures'!$D$7:$D$91,0),MATCH($G763,'Labor Expenditures'!$F$5:$X$5,0)),"NA")</f>
        <v>5019.49758134064</v>
      </c>
      <c r="K763" s="166">
        <f t="shared" si="2247"/>
        <v>50.625290785079571</v>
      </c>
      <c r="L763" s="172">
        <f t="shared" ref="L763:L779" si="2254">LN(K763/K762)</f>
        <v>-3.740534977901535E-2</v>
      </c>
      <c r="M763" s="172"/>
      <c r="N763" s="196"/>
      <c r="O763" s="172"/>
      <c r="P763" s="166">
        <f>IFERROR(INDEX('Non-Labor Expenditures'!$F$7:$AB$91,MATCH($C763,'Non-Labor Expenditures'!$D$7:$D$91,0),MATCH($G763,'Non-Labor Expenditures'!$F$5:$AB$5,0)),"NA")</f>
        <v>7269.170010609394</v>
      </c>
      <c r="Q763" s="166">
        <f t="shared" si="2248"/>
        <v>83.164620803933261</v>
      </c>
      <c r="R763" s="172">
        <f>LN(Q763/Q762)</f>
        <v>-3.7480239262302539E-2</v>
      </c>
      <c r="S763" s="172"/>
      <c r="T763" s="172"/>
      <c r="U763" s="172"/>
      <c r="V763" s="166">
        <f t="shared" si="2229"/>
        <v>6545.3731438277082</v>
      </c>
      <c r="W763" s="170"/>
      <c r="X763" s="174">
        <v>411.84490701818453</v>
      </c>
      <c r="Y763" s="175">
        <v>4.1511757127995701E-2</v>
      </c>
      <c r="Z763" s="175"/>
      <c r="AA763" s="175"/>
      <c r="AB763" s="175"/>
      <c r="AC763" s="170">
        <f t="shared" si="2068"/>
        <v>18834.040735777744</v>
      </c>
      <c r="AD763" s="175">
        <f>LN(AC763/AC762)</f>
        <v>4.9881901913316928E-2</v>
      </c>
      <c r="AE763" s="170"/>
      <c r="AF763" s="170"/>
      <c r="AG763" s="121"/>
      <c r="AH763" s="119"/>
      <c r="AI763" s="119"/>
      <c r="AJ763" s="121"/>
      <c r="AK763" s="121"/>
      <c r="AL763" s="120">
        <f t="shared" si="2249"/>
        <v>0.26651198496164674</v>
      </c>
      <c r="AM763" s="120">
        <f t="shared" si="2250"/>
        <v>0.38595913179696201</v>
      </c>
      <c r="AN763" s="120">
        <f t="shared" si="2251"/>
        <v>0.34752888324139114</v>
      </c>
      <c r="AO763" s="120">
        <f t="shared" ref="AO763:AO779" si="2255">+(((AL763+AL762)/2)*L763+((AM762+AM763)/2)*R763+((AN762+AN763)/2)*Y763)</f>
        <v>-1.1514424037427891E-2</v>
      </c>
      <c r="AP763" s="173">
        <v>100</v>
      </c>
      <c r="AQ763" s="175"/>
      <c r="AR763" s="120"/>
      <c r="AS763" s="120"/>
      <c r="AT763" s="120"/>
      <c r="AU763" s="120"/>
      <c r="AV763" s="120"/>
      <c r="AW763" s="120"/>
      <c r="AX763" s="120"/>
      <c r="AY763" s="120"/>
      <c r="AZ763" s="118">
        <f>IFERROR(INDEX('Total Customers'!$F$7:$AB$91,MATCH($C763,'Total Customers'!$D$7:$D$91,0),MATCH($G763,'Total Customers'!$F$5:$AB$5,0)),"NA")</f>
        <v>550045</v>
      </c>
      <c r="BA763" s="119">
        <f t="shared" si="2230"/>
        <v>1.3771455473654094E-2</v>
      </c>
      <c r="BB763" s="119"/>
      <c r="BC763" s="121"/>
      <c r="BD763" s="119"/>
      <c r="BE763" s="119"/>
      <c r="BF763" s="119"/>
      <c r="BG763" s="173"/>
      <c r="BH763" s="173"/>
      <c r="BI763" s="173"/>
      <c r="BJ763" s="173"/>
      <c r="BK763" s="173"/>
      <c r="BL763" s="173"/>
      <c r="BM763" s="173"/>
      <c r="BN763" s="173"/>
      <c r="BO763" s="173"/>
      <c r="BP763" s="173"/>
      <c r="BQ763" s="118"/>
      <c r="BR763" s="118"/>
      <c r="BS763" s="118">
        <f>INDEX('Dist. Plant Gas Additions'!$F$7:$AE$91,MATCH($C763,'Dist. Plant Gas Additions'!$D$7:$D$91,0),MATCH(Calculation!$G763,'Dist. Plant Gas Additions'!$F$5:$AE$5,0))</f>
        <v>8735</v>
      </c>
      <c r="BT763" s="118">
        <f>INDEX('Gen. Plant Additions'!$F$7:$AE$91,MATCH($C763,'Gen. Plant Additions'!$D$7:$D$91,0),MATCH(Calculation!$G763,'Gen. Plant Additions'!$F$5:$AE$5,0))</f>
        <v>233</v>
      </c>
      <c r="BU763" s="118"/>
      <c r="BV763" s="118"/>
      <c r="BW763" s="118">
        <f>INDEX('Dist Plant Depreciation'!$E$7:$AD$94,MATCH($C763,'Dist Plant Depreciation'!$D$7:$D$94,0),MATCH(Calculation!$G763,'Dist Plant Depreciation'!$E$5:$AD$5,0))</f>
        <v>74054</v>
      </c>
      <c r="BX763" s="118">
        <f>INDEX('Gen. Plant Depreciation'!$E$7:$AD$94,MATCH($C763,'Gen. Plant Depreciation'!$D$7:$D$94,0),MATCH(Calculation!$G763,'Gen. Plant Depreciation'!$E$5:$AD$5,0))</f>
        <v>1738</v>
      </c>
      <c r="BY763" s="118"/>
      <c r="BZ763" s="118"/>
      <c r="CA763" s="118"/>
      <c r="CB763" s="118"/>
      <c r="CC763" s="118"/>
      <c r="CD763" s="118"/>
      <c r="CE763" s="118">
        <f>INDEX('Gross Dx Plant'!$E$7:$AD$91,MATCH($C763,'Gross Dx Plant'!$D$7:$D$91,0),MATCH(Calculation!$G763,'Gross Dx Plant'!$E$5:$AD$5,0))</f>
        <v>146316</v>
      </c>
      <c r="CF763" s="118">
        <f>INDEX('Gross Gen Plant'!$E$7:$AD$91,MATCH($C763,'Gross Gen Plant'!$D$7:$D$91,0),MATCH(Calculation!$G763,'Gross Gen Plant'!$E$5:$AD$5,0))</f>
        <v>3612</v>
      </c>
      <c r="CG763" s="118">
        <f t="shared" si="2136"/>
        <v>74136</v>
      </c>
      <c r="CH763" s="118"/>
      <c r="CI763" s="121">
        <v>2005</v>
      </c>
      <c r="CJ763" s="118"/>
      <c r="CK763" s="118"/>
      <c r="CL763" s="118"/>
      <c r="CM763" s="183"/>
      <c r="CN763" s="118">
        <f t="shared" si="2231"/>
        <v>8968</v>
      </c>
      <c r="CO763" s="118">
        <f t="shared" si="2232"/>
        <v>19.113175088667127</v>
      </c>
      <c r="CP763" s="186">
        <v>0.96174863387978138</v>
      </c>
      <c r="CQ763" s="118">
        <f>+CQ756*CP763+CO757*CP762+CO758*CP761+CO759*CP760+CO760*CP759+CO761*CP758+CO762*CP757+CO763</f>
        <v>411.84490701818453</v>
      </c>
      <c r="CR763" s="119">
        <f t="shared" si="2233"/>
        <v>4.1511757127995701E-2</v>
      </c>
      <c r="CS763" s="119"/>
      <c r="CT763" s="177">
        <f t="shared" si="2234"/>
        <v>5.9903053943664679E-3</v>
      </c>
      <c r="CU763" s="177">
        <f t="shared" si="2242"/>
        <v>5.8239449196306236E-3</v>
      </c>
      <c r="CV763" s="119">
        <f>VLOOKUP($H763,RoR!$E:$F,2,FALSE)</f>
        <v>5.2350000000000001E-2</v>
      </c>
      <c r="CW763" s="177">
        <v>3.1010403642454332E-2</v>
      </c>
      <c r="CX763" s="177">
        <f t="shared" si="2240"/>
        <v>2.1339596357545669E-2</v>
      </c>
      <c r="CY763" s="177">
        <f t="shared" si="2243"/>
        <v>2.5077996688903002E-2</v>
      </c>
      <c r="CZ763" s="177">
        <f t="shared" si="2244"/>
        <v>9.2129610649277341E-2</v>
      </c>
      <c r="DA763" s="187">
        <f t="shared" si="2235"/>
        <v>0.84949374999999994</v>
      </c>
      <c r="DB763" s="188">
        <f t="shared" si="2236"/>
        <v>0.97959983346802826</v>
      </c>
      <c r="DC763" s="188">
        <f t="shared" si="2237"/>
        <v>0.49744508118433622</v>
      </c>
      <c r="DD763" s="188">
        <f t="shared" si="2238"/>
        <v>0.87010519444335932</v>
      </c>
      <c r="DE763" s="188">
        <f t="shared" si="2239"/>
        <v>0.42399975420741998</v>
      </c>
      <c r="DF763" s="189">
        <f>INDEX('State Tax Lookup'!$D$7:$Z$91,MATCH(Calculation!$C763,'State Tax Lookup'!$B$7:$B$91,0),MATCH($H763,'State Tax Lookup'!$D$6:$Z$6,0))</f>
        <v>0.40134999999999998</v>
      </c>
      <c r="DG763" s="189">
        <v>0.375</v>
      </c>
      <c r="DH763" s="190">
        <f t="shared" si="2241"/>
        <v>16.566434109642408</v>
      </c>
      <c r="DI763" s="190">
        <v>16.370500389810118</v>
      </c>
      <c r="DJ763" s="177"/>
      <c r="DK763" s="189">
        <f>VLOOKUP($H763,RoR!$E:$F,2,FALSE)</f>
        <v>5.2350000000000001E-2</v>
      </c>
      <c r="DL763" s="191">
        <f>HLOOKUP($H763,'GDP-PI'!$D$8:$CQ$11,3,FALSE)</f>
        <v>3.1010403642454332E-2</v>
      </c>
      <c r="DM763" s="189">
        <f>VLOOKUP(H763,'HW Dx Data'!$E:$F,2,FALSE)</f>
        <v>469.20514034936258</v>
      </c>
      <c r="DN763" s="183">
        <f>VLOOKUP(H763,'ECI - Input Price'!$G$17:$H$37,2,FALSE)</f>
        <v>99.15</v>
      </c>
      <c r="DO763" s="177">
        <f t="shared" ref="DO763" si="2256">LN(DN763/DN762)</f>
        <v>3.046440632744625E-2</v>
      </c>
      <c r="DP763" s="183">
        <f>HLOOKUP(H763,'GDP-PI'!$8:$9,2,FALSE)</f>
        <v>87.406999999999996</v>
      </c>
      <c r="DQ763" s="177">
        <f t="shared" ref="DQ763" si="2257">LN(DP763/DP762)</f>
        <v>3.0539295810733648E-2</v>
      </c>
    </row>
    <row r="764" spans="1:121" s="167" customFormat="1" ht="21" x14ac:dyDescent="0.35">
      <c r="A764" s="167" t="s">
        <v>77</v>
      </c>
      <c r="B764" s="168" t="s">
        <v>78</v>
      </c>
      <c r="C764" s="168">
        <v>4061925</v>
      </c>
      <c r="D764" s="168" t="s">
        <v>144</v>
      </c>
      <c r="E764" s="168"/>
      <c r="F764" s="168"/>
      <c r="G764" s="168" t="s">
        <v>12</v>
      </c>
      <c r="H764" s="169">
        <v>2006</v>
      </c>
      <c r="I764" s="170"/>
      <c r="J764" s="166">
        <f>IFERROR(INDEX('Labor Expenditures'!$F$7:$X$91,MATCH($C764,'Labor Expenditures'!$D$7:$D$91,0),MATCH($G764,'Labor Expenditures'!$F$5:$X$5,0)),"NA")</f>
        <v>4900.6011282137024</v>
      </c>
      <c r="K764" s="166">
        <f t="shared" si="2247"/>
        <v>48.021569115273913</v>
      </c>
      <c r="L764" s="172">
        <f t="shared" si="2254"/>
        <v>-5.2801002767343945E-2</v>
      </c>
      <c r="M764" s="172">
        <f t="shared" ref="M764:M779" si="2258">+L764*AR764</f>
        <v>-1.2388491288420082E-4</v>
      </c>
      <c r="N764" s="196"/>
      <c r="O764" s="172"/>
      <c r="P764" s="166">
        <f>IFERROR(INDEX('Non-Labor Expenditures'!$F$7:$AB$91,MATCH($C764,'Non-Labor Expenditures'!$D$7:$D$91,0),MATCH($G764,'Non-Labor Expenditures'!$F$5:$AB$5,0)),"NA")</f>
        <v>7096.9857396873394</v>
      </c>
      <c r="Q764" s="166">
        <f t="shared" si="2248"/>
        <v>78.790613714138814</v>
      </c>
      <c r="R764" s="172">
        <f t="shared" ref="R764:R779" si="2259">LN(Q764/Q763)</f>
        <v>-5.4028152202749591E-2</v>
      </c>
      <c r="S764" s="172">
        <f>+R764*AR764</f>
        <v>-1.2676412526527986E-4</v>
      </c>
      <c r="T764" s="172"/>
      <c r="U764" s="172"/>
      <c r="V764" s="166">
        <f t="shared" si="2229"/>
        <v>6665.8330721733855</v>
      </c>
      <c r="W764" s="170"/>
      <c r="X764" s="174">
        <v>421.6109346859339</v>
      </c>
      <c r="Y764" s="175">
        <v>2.3436093850673922E-2</v>
      </c>
      <c r="Z764" s="175">
        <f>+Y764*AR764</f>
        <v>5.4987183819780748E-5</v>
      </c>
      <c r="AA764" s="175"/>
      <c r="AB764" s="175"/>
      <c r="AC764" s="170">
        <f t="shared" si="2068"/>
        <v>18663.419940074426</v>
      </c>
      <c r="AD764" s="175">
        <f t="shared" ref="AD764:AD779" si="2260">LN(AC764/AC763)</f>
        <v>-9.1004548131944467E-3</v>
      </c>
      <c r="AE764" s="170"/>
      <c r="AF764" s="170"/>
      <c r="AG764" s="121">
        <f t="shared" ref="AG764:AG779" si="2261">+(AC764*1000)/AZ764</f>
        <v>32.495250991262061</v>
      </c>
      <c r="AH764" s="119">
        <f>+AZ764/$BB$44</f>
        <v>1.63377221709105E-2</v>
      </c>
      <c r="AI764" s="119"/>
      <c r="AJ764" s="176">
        <f>+AH764*AG764</f>
        <v>0.5308983825692436</v>
      </c>
      <c r="AK764" s="176">
        <f>+AI764*AG764</f>
        <v>0</v>
      </c>
      <c r="AL764" s="120">
        <f t="shared" si="2249"/>
        <v>0.26257787393461823</v>
      </c>
      <c r="AM764" s="120">
        <f t="shared" si="2250"/>
        <v>0.38026180423924161</v>
      </c>
      <c r="AN764" s="120">
        <f t="shared" si="2251"/>
        <v>0.35716032182614027</v>
      </c>
      <c r="AO764" s="120">
        <f t="shared" si="2255"/>
        <v>-2.6409407055666547E-2</v>
      </c>
      <c r="AP764" s="173">
        <f>+AP763*EXP(AO764)</f>
        <v>97.393627159350544</v>
      </c>
      <c r="AQ764" s="175">
        <f>LN(AP764/AP763)</f>
        <v>-2.6409407055666377E-2</v>
      </c>
      <c r="AR764" s="177">
        <f>+AC764/$AE$44</f>
        <v>2.3462606085356478E-3</v>
      </c>
      <c r="AS764" s="177">
        <f>+AR764*AQ764</f>
        <v>-6.1963351469493432E-5</v>
      </c>
      <c r="AT764" s="177"/>
      <c r="AU764" s="177"/>
      <c r="AV764" s="177"/>
      <c r="AW764" s="190"/>
      <c r="AX764" s="120"/>
      <c r="AY764" s="120"/>
      <c r="AZ764" s="118">
        <f>IFERROR(INDEX('Total Customers'!$F$7:$AB$91,MATCH($C764,'Total Customers'!$D$7:$D$91,0),MATCH($G764,'Total Customers'!$F$5:$AB$5,0)),"NA")</f>
        <v>574343</v>
      </c>
      <c r="BA764" s="119">
        <f t="shared" si="2230"/>
        <v>4.3226685765300178E-2</v>
      </c>
      <c r="BB764" s="119"/>
      <c r="BC764" s="121"/>
      <c r="BD764" s="119"/>
      <c r="BE764" s="119"/>
      <c r="BF764" s="119"/>
      <c r="BG764" s="173"/>
      <c r="BH764" s="173"/>
      <c r="BI764" s="173"/>
      <c r="BJ764" s="173"/>
      <c r="BK764" s="173"/>
      <c r="BL764" s="173"/>
      <c r="BM764" s="173"/>
      <c r="BN764" s="173"/>
      <c r="BO764" s="173"/>
      <c r="BP764" s="173"/>
      <c r="BQ764" s="118"/>
      <c r="BR764" s="118"/>
      <c r="BS764" s="118">
        <f>INDEX('Dist. Plant Gas Additions'!$F$7:$AE$91,MATCH($C764,'Dist. Plant Gas Additions'!$D$7:$D$91,0),MATCH(Calculation!$G764,'Dist. Plant Gas Additions'!$F$5:$AE$5,0))</f>
        <v>5032</v>
      </c>
      <c r="BT764" s="118">
        <f>INDEX('Gen. Plant Additions'!$F$7:$AE$91,MATCH($C764,'Gen. Plant Additions'!$D$7:$D$91,0),MATCH(Calculation!$G764,'Gen. Plant Additions'!$F$5:$AE$5,0))</f>
        <v>642</v>
      </c>
      <c r="BU764" s="118"/>
      <c r="BV764" s="118"/>
      <c r="BW764" s="118">
        <f>INDEX('Dist Plant Depreciation'!$E$7:$AD$94,MATCH($C764,'Dist Plant Depreciation'!$D$7:$D$94,0),MATCH(Calculation!$G764,'Dist Plant Depreciation'!$E$5:$AD$5,0))</f>
        <v>78931</v>
      </c>
      <c r="BX764" s="118">
        <f>INDEX('Gen. Plant Depreciation'!$E$7:$AD$94,MATCH($C764,'Gen. Plant Depreciation'!$D$7:$D$94,0),MATCH(Calculation!$G764,'Gen. Plant Depreciation'!$E$5:$AD$5,0))</f>
        <v>1976</v>
      </c>
      <c r="BY764" s="118"/>
      <c r="BZ764" s="118"/>
      <c r="CA764" s="118"/>
      <c r="CB764" s="118"/>
      <c r="CC764" s="118"/>
      <c r="CD764" s="118"/>
      <c r="CE764" s="118">
        <f>INDEX('Gross Dx Plant'!$E$7:$AD$91,MATCH($C764,'Gross Dx Plant'!$D$7:$D$91,0),MATCH(Calculation!$G764,'Gross Dx Plant'!$E$5:$AD$5,0))</f>
        <v>150720</v>
      </c>
      <c r="CF764" s="118">
        <f>INDEX('Gross Gen Plant'!$E$7:$AD$91,MATCH($C764,'Gross Gen Plant'!$D$7:$D$91,0),MATCH(Calculation!$G764,'Gross Gen Plant'!$E$5:$AD$5,0))</f>
        <v>4254</v>
      </c>
      <c r="CG764" s="118">
        <f t="shared" si="2136"/>
        <v>74067</v>
      </c>
      <c r="CH764" s="119" t="e">
        <f>SUM(#REF!)/15</f>
        <v>#REF!</v>
      </c>
      <c r="CI764" s="121">
        <v>2006</v>
      </c>
      <c r="CJ764" s="118"/>
      <c r="CK764" s="118"/>
      <c r="CL764" s="118"/>
      <c r="CM764" s="183"/>
      <c r="CN764" s="118">
        <f t="shared" si="2231"/>
        <v>5674</v>
      </c>
      <c r="CO764" s="118">
        <f t="shared" si="2232"/>
        <v>12.305739118738606</v>
      </c>
      <c r="CP764" s="186">
        <v>0.9555555555555556</v>
      </c>
      <c r="CQ764" s="118">
        <f>+CQ756*CP764+CO757*CP763+CO758*CP762+CO759*CP761+CO760*CP760+CO761*CP759+CO762*CP758+CO763*CP757+CO764</f>
        <v>421.6109346859339</v>
      </c>
      <c r="CR764" s="119">
        <f t="shared" si="2233"/>
        <v>2.3436093850673922E-2</v>
      </c>
      <c r="CS764" s="119"/>
      <c r="CT764" s="177">
        <f t="shared" si="2234"/>
        <v>6.1666695586382421E-3</v>
      </c>
      <c r="CU764" s="177">
        <f t="shared" si="2242"/>
        <v>5.9931386417174694E-3</v>
      </c>
      <c r="CV764" s="119">
        <f>VLOOKUP($H764,RoR!$E:$F,2,FALSE)</f>
        <v>5.5874999999999994E-2</v>
      </c>
      <c r="CW764" s="177">
        <v>3.0512430354548314E-2</v>
      </c>
      <c r="CX764" s="177">
        <f t="shared" si="2240"/>
        <v>2.536256964545168E-2</v>
      </c>
      <c r="CY764" s="177">
        <f t="shared" si="2243"/>
        <v>2.4908802966816156E-2</v>
      </c>
      <c r="CZ764" s="177">
        <f t="shared" si="2244"/>
        <v>7.9087823893859641E-2</v>
      </c>
      <c r="DA764" s="187">
        <f t="shared" si="2235"/>
        <v>0.84949374999999994</v>
      </c>
      <c r="DB764" s="188">
        <f t="shared" si="2236"/>
        <v>0.91779957551769631</v>
      </c>
      <c r="DC764" s="188">
        <f t="shared" si="2237"/>
        <v>0.52757270693512304</v>
      </c>
      <c r="DD764" s="188">
        <f t="shared" si="2238"/>
        <v>0.88636824549024895</v>
      </c>
      <c r="DE764" s="188">
        <f t="shared" si="2239"/>
        <v>0.42918482841932087</v>
      </c>
      <c r="DF764" s="189">
        <f>INDEX('State Tax Lookup'!$D$7:$Z$91,MATCH(Calculation!$C764,'State Tax Lookup'!$B$7:$B$91,0),MATCH($H764,'State Tax Lookup'!$D$6:$Z$6,0))</f>
        <v>0.40134999999999998</v>
      </c>
      <c r="DG764" s="189">
        <v>0.375</v>
      </c>
      <c r="DH764" s="190">
        <f t="shared" si="2241"/>
        <v>16.185299268200161</v>
      </c>
      <c r="DI764" s="190"/>
      <c r="DJ764" s="177"/>
      <c r="DK764" s="189">
        <f>VLOOKUP($H764,RoR!$E:$F,2,FALSE)</f>
        <v>5.5874999999999994E-2</v>
      </c>
      <c r="DL764" s="191">
        <f>HLOOKUP($H764,'GDP-PI'!$D$8:$CQ$11,3,FALSE)</f>
        <v>3.0512430354548314E-2</v>
      </c>
      <c r="DM764" s="189">
        <f>VLOOKUP(H764,'HW Dx Data'!$E:$F,2,FALSE)</f>
        <v>461.08567272971823</v>
      </c>
      <c r="DN764" s="183">
        <f>VLOOKUP(H764,'ECI - Input Price'!$G$17:$H$37,2,FALSE)</f>
        <v>102.05</v>
      </c>
      <c r="DO764" s="177">
        <f t="shared" ref="DO764" si="2262">LN(DN764/DN763)</f>
        <v>2.8829034290048662E-2</v>
      </c>
      <c r="DP764" s="183">
        <f>HLOOKUP(H764,'GDP-PI'!$8:$9,2,FALSE)</f>
        <v>90.073999999999998</v>
      </c>
      <c r="DQ764" s="177">
        <f t="shared" ref="DQ764" si="2263">LN(DP764/DP763)</f>
        <v>3.005618372545445E-2</v>
      </c>
    </row>
    <row r="765" spans="1:121" s="167" customFormat="1" ht="21" x14ac:dyDescent="0.35">
      <c r="A765" s="167" t="s">
        <v>77</v>
      </c>
      <c r="B765" s="168" t="s">
        <v>78</v>
      </c>
      <c r="C765" s="168">
        <v>4061925</v>
      </c>
      <c r="D765" s="168" t="s">
        <v>144</v>
      </c>
      <c r="E765" s="168"/>
      <c r="F765" s="168"/>
      <c r="G765" s="168" t="s">
        <v>13</v>
      </c>
      <c r="H765" s="169">
        <v>2007</v>
      </c>
      <c r="I765" s="170"/>
      <c r="J765" s="166">
        <f>IFERROR(INDEX('Labor Expenditures'!$F$7:$X$91,MATCH($C765,'Labor Expenditures'!$D$7:$D$91,0),MATCH($G765,'Labor Expenditures'!$F$5:$X$5,0)),"NA")</f>
        <v>5312.4845523249087</v>
      </c>
      <c r="K765" s="166">
        <f t="shared" si="2247"/>
        <v>50.486904750058528</v>
      </c>
      <c r="L765" s="172">
        <f t="shared" si="2254"/>
        <v>5.0063724228476596E-2</v>
      </c>
      <c r="M765" s="172">
        <f t="shared" si="2258"/>
        <v>1.2116535354967194E-4</v>
      </c>
      <c r="N765" s="196"/>
      <c r="O765" s="172"/>
      <c r="P765" s="166">
        <f>IFERROR(INDEX('Non-Labor Expenditures'!$F$7:$AB$91,MATCH($C765,'Non-Labor Expenditures'!$D$7:$D$91,0),MATCH($G765,'Non-Labor Expenditures'!$F$5:$AB$5,0)),"NA")</f>
        <v>7693.4698670124135</v>
      </c>
      <c r="Q765" s="166">
        <f t="shared" si="2248"/>
        <v>83.174445577335874</v>
      </c>
      <c r="R765" s="172">
        <f t="shared" si="2259"/>
        <v>5.4146281679219255E-2</v>
      </c>
      <c r="S765" s="172">
        <f t="shared" ref="S765:S779" si="2264">+R765*AR765</f>
        <v>1.3104605109124062E-4</v>
      </c>
      <c r="T765" s="172"/>
      <c r="U765" s="172"/>
      <c r="V765" s="166">
        <f t="shared" si="2229"/>
        <v>7328.6565666681227</v>
      </c>
      <c r="W765" s="170"/>
      <c r="X765" s="174">
        <v>433.43273147702655</v>
      </c>
      <c r="Y765" s="175">
        <v>2.7653675756573709E-2</v>
      </c>
      <c r="Z765" s="175">
        <f t="shared" ref="Z765:Z779" si="2265">+Y765*AR765</f>
        <v>6.6928049233847488E-5</v>
      </c>
      <c r="AA765" s="175"/>
      <c r="AB765" s="175"/>
      <c r="AC765" s="170">
        <f t="shared" si="2068"/>
        <v>20334.610986005446</v>
      </c>
      <c r="AD765" s="175">
        <f t="shared" si="2260"/>
        <v>8.575895375103311E-2</v>
      </c>
      <c r="AE765" s="170"/>
      <c r="AF765" s="170"/>
      <c r="AG765" s="121">
        <f t="shared" si="2261"/>
        <v>35.103828584664157</v>
      </c>
      <c r="AH765" s="119">
        <f>+AZ765/$BB$45</f>
        <v>1.6354340721864404E-2</v>
      </c>
      <c r="AI765" s="119"/>
      <c r="AJ765" s="176">
        <f t="shared" ref="AJ765:AJ779" si="2266">+AH765*AG765</f>
        <v>0.57409997331552065</v>
      </c>
      <c r="AK765" s="176">
        <f t="shared" ref="AK765:AK779" si="2267">+AI765*AG765</f>
        <v>0</v>
      </c>
      <c r="AL765" s="120">
        <f t="shared" si="2249"/>
        <v>0.2612533161308585</v>
      </c>
      <c r="AM765" s="120">
        <f t="shared" si="2250"/>
        <v>0.37834359714612509</v>
      </c>
      <c r="AN765" s="120">
        <f t="shared" si="2251"/>
        <v>0.36040308672301641</v>
      </c>
      <c r="AO765" s="120">
        <f t="shared" si="2255"/>
        <v>4.3571933911651102E-2</v>
      </c>
      <c r="AP765" s="173">
        <f>+AP764*EXP(AO765)</f>
        <v>101.73106491912216</v>
      </c>
      <c r="AQ765" s="175">
        <f>LN(AP765/AP764)</f>
        <v>4.3571933911651012E-2</v>
      </c>
      <c r="AR765" s="177">
        <f>+AC765/$AE$45</f>
        <v>2.4202225347181071E-3</v>
      </c>
      <c r="AS765" s="177">
        <f t="shared" ref="AS765:AS779" si="2268">+AR765*AQ765</f>
        <v>1.0545377633422586E-4</v>
      </c>
      <c r="AT765" s="177"/>
      <c r="AU765" s="177"/>
      <c r="AV765" s="177"/>
      <c r="AW765" s="190"/>
      <c r="AX765" s="120"/>
      <c r="AY765" s="120"/>
      <c r="AZ765" s="118">
        <v>579270.4615384615</v>
      </c>
      <c r="BA765" s="119">
        <f t="shared" si="2230"/>
        <v>8.5427080543147137E-3</v>
      </c>
      <c r="BB765" s="119"/>
      <c r="BC765" s="121"/>
      <c r="BD765" s="119"/>
      <c r="BE765" s="119"/>
      <c r="BF765" s="119"/>
      <c r="BG765" s="173"/>
      <c r="BH765" s="173"/>
      <c r="BI765" s="173"/>
      <c r="BJ765" s="173"/>
      <c r="BK765" s="173"/>
      <c r="BL765" s="173"/>
      <c r="BM765" s="173"/>
      <c r="BN765" s="173"/>
      <c r="BO765" s="173"/>
      <c r="BP765" s="173"/>
      <c r="BQ765" s="118"/>
      <c r="BR765" s="118"/>
      <c r="BS765" s="118">
        <f>INDEX('Dist. Plant Gas Additions'!$F$7:$AE$91,MATCH($C765,'Dist. Plant Gas Additions'!$D$7:$D$91,0),MATCH(Calculation!$G765,'Dist. Plant Gas Additions'!$F$5:$AE$5,0))</f>
        <v>6844</v>
      </c>
      <c r="BT765" s="118">
        <f>INDEX('Gen. Plant Additions'!$F$7:$AE$91,MATCH($C765,'Gen. Plant Additions'!$D$7:$D$91,0),MATCH(Calculation!$G765,'Gen. Plant Additions'!$F$5:$AE$5,0))</f>
        <v>381</v>
      </c>
      <c r="BU765" s="118"/>
      <c r="BV765" s="118"/>
      <c r="BW765" s="118">
        <f>INDEX('Dist Plant Depreciation'!$E$7:$AD$94,MATCH($C765,'Dist Plant Depreciation'!$D$7:$D$94,0),MATCH(Calculation!$G765,'Dist Plant Depreciation'!$E$5:$AD$5,0))</f>
        <v>84375</v>
      </c>
      <c r="BX765" s="118">
        <f>INDEX('Gen. Plant Depreciation'!$E$7:$AD$94,MATCH($C765,'Gen. Plant Depreciation'!$D$7:$D$94,0),MATCH(Calculation!$G765,'Gen. Plant Depreciation'!$E$5:$AD$5,0))</f>
        <v>1879</v>
      </c>
      <c r="BY765" s="118"/>
      <c r="BZ765" s="118"/>
      <c r="CA765" s="118"/>
      <c r="CB765" s="118"/>
      <c r="CC765" s="118"/>
      <c r="CD765" s="118"/>
      <c r="CE765" s="118">
        <f>INDEX('Gross Dx Plant'!$E$7:$AD$91,MATCH($C765,'Gross Dx Plant'!$D$7:$D$91,0),MATCH(Calculation!$G765,'Gross Dx Plant'!$E$5:$AD$5,0))</f>
        <v>157225</v>
      </c>
      <c r="CF765" s="118">
        <f>INDEX('Gross Gen Plant'!$E$7:$AD$91,MATCH($C765,'Gross Gen Plant'!$D$7:$D$91,0),MATCH(Calculation!$G765,'Gross Gen Plant'!$E$5:$AD$5,0))</f>
        <v>4635</v>
      </c>
      <c r="CG765" s="118">
        <f t="shared" si="2136"/>
        <v>75606</v>
      </c>
      <c r="CH765" s="118"/>
      <c r="CI765" s="121">
        <v>2007</v>
      </c>
      <c r="CJ765" s="118"/>
      <c r="CK765" s="118"/>
      <c r="CL765" s="118"/>
      <c r="CM765" s="183"/>
      <c r="CN765" s="118">
        <f t="shared" si="2231"/>
        <v>7225</v>
      </c>
      <c r="CO765" s="118">
        <f t="shared" si="2232"/>
        <v>14.507382049890984</v>
      </c>
      <c r="CP765" s="186">
        <v>0.94915254237288138</v>
      </c>
      <c r="CQ765" s="118">
        <f>+CQ756*CP765+CO757*CP764+CO758*CP763+CO759*CP762+CO760*CP761+CO761*CP760+CO762*CP759+CO763*CP758+CO764*CP757+CO765</f>
        <v>433.43273147702655</v>
      </c>
      <c r="CR765" s="119">
        <f t="shared" si="2233"/>
        <v>2.7653675756573709E-2</v>
      </c>
      <c r="CS765" s="119"/>
      <c r="CT765" s="177">
        <f t="shared" si="2234"/>
        <v>6.3698188017795978E-3</v>
      </c>
      <c r="CU765" s="177">
        <f t="shared" si="2242"/>
        <v>6.1755979182614362E-3</v>
      </c>
      <c r="CV765" s="119">
        <f>VLOOKUP($H765,RoR!$E:$F,2,FALSE)</f>
        <v>5.5558333333333321E-2</v>
      </c>
      <c r="CW765" s="177">
        <v>2.691120634145272E-2</v>
      </c>
      <c r="CX765" s="177">
        <f t="shared" si="2240"/>
        <v>2.86471269918806E-2</v>
      </c>
      <c r="CY765" s="177">
        <f t="shared" si="2243"/>
        <v>2.4726343690272188E-2</v>
      </c>
      <c r="CZ765" s="177">
        <f t="shared" si="2244"/>
        <v>6.4575155250632399E-2</v>
      </c>
      <c r="DA765" s="187">
        <f t="shared" si="2235"/>
        <v>0.84949374999999994</v>
      </c>
      <c r="DB765" s="188">
        <f t="shared" si="2236"/>
        <v>0.92303077153834634</v>
      </c>
      <c r="DC765" s="188">
        <f t="shared" si="2237"/>
        <v>0.52502249887505614</v>
      </c>
      <c r="DD765" s="188">
        <f t="shared" si="2238"/>
        <v>0.88499666072084604</v>
      </c>
      <c r="DE765" s="188">
        <f t="shared" si="2239"/>
        <v>0.42887993290280618</v>
      </c>
      <c r="DF765" s="189">
        <f>INDEX('State Tax Lookup'!$D$7:$Z$91,MATCH(Calculation!$C765,'State Tax Lookup'!$B$7:$B$91,0),MATCH($H765,'State Tax Lookup'!$D$6:$Z$6,0))</f>
        <v>0.40134999999999998</v>
      </c>
      <c r="DG765" s="189">
        <v>0.375</v>
      </c>
      <c r="DH765" s="190">
        <f t="shared" si="2241"/>
        <v>17.38251066027825</v>
      </c>
      <c r="DI765" s="190">
        <v>17.134051845003842</v>
      </c>
      <c r="DJ765" s="177"/>
      <c r="DK765" s="189">
        <f>VLOOKUP($H765,RoR!$E:$F,2,FALSE)</f>
        <v>5.5558333333333321E-2</v>
      </c>
      <c r="DL765" s="191">
        <f>HLOOKUP($H765,'GDP-PI'!$D$8:$CQ$11,3,FALSE)</f>
        <v>2.691120634145272E-2</v>
      </c>
      <c r="DM765" s="189">
        <f>VLOOKUP(H765,'HW Dx Data'!$E:$F,2,FALSE)</f>
        <v>498.0223154772637</v>
      </c>
      <c r="DN765" s="183">
        <f>VLOOKUP(H765,'ECI - Input Price'!$G$17:$H$37,2,FALSE)</f>
        <v>105.22500000000001</v>
      </c>
      <c r="DO765" s="177">
        <f t="shared" ref="DO765" si="2269">LN(DN765/DN764)</f>
        <v>3.0638025400780679E-2</v>
      </c>
      <c r="DP765" s="183">
        <f>HLOOKUP(H765,'GDP-PI'!$8:$9,2,FALSE)</f>
        <v>92.498000000000005</v>
      </c>
      <c r="DQ765" s="177">
        <f t="shared" ref="DQ765" si="2270">LN(DP765/DP764)</f>
        <v>2.6555467950038037E-2</v>
      </c>
    </row>
    <row r="766" spans="1:121" s="167" customFormat="1" ht="21" x14ac:dyDescent="0.35">
      <c r="A766" s="167" t="s">
        <v>77</v>
      </c>
      <c r="B766" s="168" t="s">
        <v>78</v>
      </c>
      <c r="C766" s="168">
        <v>4061925</v>
      </c>
      <c r="D766" s="168" t="s">
        <v>144</v>
      </c>
      <c r="E766" s="168"/>
      <c r="F766" s="168"/>
      <c r="G766" s="168" t="s">
        <v>14</v>
      </c>
      <c r="H766" s="169">
        <v>2008</v>
      </c>
      <c r="I766" s="170"/>
      <c r="J766" s="166">
        <f>IFERROR(INDEX('Labor Expenditures'!$F$7:$X$91,MATCH($C766,'Labor Expenditures'!$D$7:$D$91,0),MATCH($G766,'Labor Expenditures'!$F$5:$X$5,0)),"NA")</f>
        <v>5524.1275789528063</v>
      </c>
      <c r="K766" s="166">
        <f t="shared" si="2247"/>
        <v>51.042989872513807</v>
      </c>
      <c r="L766" s="172">
        <f t="shared" si="2254"/>
        <v>1.0954225553637254E-2</v>
      </c>
      <c r="M766" s="172">
        <f t="shared" si="2258"/>
        <v>2.692851255833735E-5</v>
      </c>
      <c r="N766" s="196"/>
      <c r="O766" s="172"/>
      <c r="P766" s="166">
        <f>IFERROR(INDEX('Non-Labor Expenditures'!$F$7:$AB$91,MATCH($C766,'Non-Labor Expenditures'!$D$7:$D$91,0),MATCH($G766,'Non-Labor Expenditures'!$F$5:$AB$5,0)),"NA")</f>
        <v>7999.9684990343085</v>
      </c>
      <c r="Q766" s="166">
        <f t="shared" si="2248"/>
        <v>84.867696034905251</v>
      </c>
      <c r="R766" s="172">
        <f t="shared" si="2259"/>
        <v>2.0153370477014758E-2</v>
      </c>
      <c r="S766" s="172">
        <f t="shared" si="2264"/>
        <v>4.9542552079632709E-5</v>
      </c>
      <c r="T766" s="172"/>
      <c r="U766" s="172"/>
      <c r="V766" s="166">
        <f t="shared" si="2229"/>
        <v>8556.2530845998481</v>
      </c>
      <c r="W766" s="170"/>
      <c r="X766" s="174">
        <v>439.44565107228584</v>
      </c>
      <c r="Y766" s="175">
        <v>1.3777439855219051E-2</v>
      </c>
      <c r="Z766" s="175">
        <f t="shared" si="2265"/>
        <v>3.3868753235578072E-5</v>
      </c>
      <c r="AA766" s="175"/>
      <c r="AB766" s="175"/>
      <c r="AC766" s="170">
        <f t="shared" ref="AC766:AC829" si="2271">+J766+P766+V766</f>
        <v>22080.349162586965</v>
      </c>
      <c r="AD766" s="175">
        <f t="shared" si="2260"/>
        <v>8.2363625898363491E-2</v>
      </c>
      <c r="AE766" s="170"/>
      <c r="AF766" s="170"/>
      <c r="AG766" s="121">
        <f t="shared" si="2261"/>
        <v>37.796007637773783</v>
      </c>
      <c r="AH766" s="119">
        <f>+AZ766/$BB$46</f>
        <v>1.640551488812465E-2</v>
      </c>
      <c r="AI766" s="119"/>
      <c r="AJ766" s="176">
        <f t="shared" si="2266"/>
        <v>0.62006296601317079</v>
      </c>
      <c r="AK766" s="176">
        <f t="shared" si="2267"/>
        <v>0</v>
      </c>
      <c r="AL766" s="120">
        <f t="shared" si="2249"/>
        <v>0.2501829811782556</v>
      </c>
      <c r="AM766" s="120">
        <f t="shared" si="2250"/>
        <v>0.362311684481398</v>
      </c>
      <c r="AN766" s="120">
        <f t="shared" si="2251"/>
        <v>0.38750533434034634</v>
      </c>
      <c r="AO766" s="120">
        <f t="shared" si="2255"/>
        <v>1.5416676065925308E-2</v>
      </c>
      <c r="AP766" s="173">
        <f t="shared" ref="AP766:AP779" si="2272">+AP765*EXP(AO766)</f>
        <v>103.31157156869909</v>
      </c>
      <c r="AQ766" s="175">
        <f t="shared" ref="AQ766:AQ779" si="2273">LN(AP766/AP765)</f>
        <v>1.5416676065925228E-2</v>
      </c>
      <c r="AR766" s="177">
        <f>+AC766/$AE$46</f>
        <v>2.4582762538969244E-3</v>
      </c>
      <c r="AS766" s="177">
        <f t="shared" si="2268"/>
        <v>3.7898448686885045E-5</v>
      </c>
      <c r="AT766" s="177"/>
      <c r="AU766" s="177"/>
      <c r="AV766" s="177"/>
      <c r="AW766" s="190"/>
      <c r="AX766" s="120"/>
      <c r="AY766" s="120"/>
      <c r="AZ766" s="118">
        <v>584197.92307692301</v>
      </c>
      <c r="BA766" s="119">
        <f t="shared" si="2230"/>
        <v>8.4703479086841536E-3</v>
      </c>
      <c r="BB766" s="119"/>
      <c r="BC766" s="121"/>
      <c r="BD766" s="119"/>
      <c r="BE766" s="119"/>
      <c r="BF766" s="119"/>
      <c r="BG766" s="173"/>
      <c r="BH766" s="173"/>
      <c r="BI766" s="173"/>
      <c r="BJ766" s="173"/>
      <c r="BK766" s="173"/>
      <c r="BL766" s="173"/>
      <c r="BM766" s="173"/>
      <c r="BN766" s="173"/>
      <c r="BO766" s="173"/>
      <c r="BP766" s="173"/>
      <c r="BQ766" s="118"/>
      <c r="BR766" s="118"/>
      <c r="BS766" s="118">
        <f>INDEX('Dist. Plant Gas Additions'!$F$7:$AE$91,MATCH($C766,'Dist. Plant Gas Additions'!$D$7:$D$91,0),MATCH(Calculation!$G766,'Dist. Plant Gas Additions'!$F$5:$AE$5,0))</f>
        <v>4148</v>
      </c>
      <c r="BT766" s="118">
        <f>INDEX('Gen. Plant Additions'!$F$7:$AE$91,MATCH($C766,'Gen. Plant Additions'!$D$7:$D$91,0),MATCH(Calculation!$G766,'Gen. Plant Additions'!$F$5:$AE$5,0))</f>
        <v>902</v>
      </c>
      <c r="BU766" s="118"/>
      <c r="BV766" s="118"/>
      <c r="BW766" s="118">
        <f>INDEX('Dist Plant Depreciation'!$E$7:$AD$94,MATCH($C766,'Dist Plant Depreciation'!$D$7:$D$94,0),MATCH(Calculation!$G766,'Dist Plant Depreciation'!$E$5:$AD$5,0))</f>
        <v>89674</v>
      </c>
      <c r="BX766" s="118">
        <f>INDEX('Gen. Plant Depreciation'!$E$7:$AD$94,MATCH($C766,'Gen. Plant Depreciation'!$D$7:$D$94,0),MATCH(Calculation!$G766,'Gen. Plant Depreciation'!$E$5:$AD$5,0))</f>
        <v>2081</v>
      </c>
      <c r="BY766" s="118"/>
      <c r="BZ766" s="118"/>
      <c r="CA766" s="118"/>
      <c r="CB766" s="118"/>
      <c r="CC766" s="118"/>
      <c r="CD766" s="118"/>
      <c r="CE766" s="118">
        <f>INDEX('Gross Dx Plant'!$E$7:$AD$91,MATCH($C766,'Gross Dx Plant'!$D$7:$D$91,0),MATCH(Calculation!$G766,'Gross Dx Plant'!$E$5:$AD$5,0))</f>
        <v>160826</v>
      </c>
      <c r="CF766" s="118">
        <f>INDEX('Gross Gen Plant'!$E$7:$AD$91,MATCH($C766,'Gross Gen Plant'!$D$7:$D$91,0),MATCH(Calculation!$G766,'Gross Gen Plant'!$E$5:$AD$5,0))</f>
        <v>5537</v>
      </c>
      <c r="CG766" s="118">
        <f t="shared" si="2136"/>
        <v>74608</v>
      </c>
      <c r="CH766" s="118"/>
      <c r="CI766" s="121">
        <v>2008</v>
      </c>
      <c r="CJ766" s="118"/>
      <c r="CK766" s="118"/>
      <c r="CL766" s="118"/>
      <c r="CM766" s="183"/>
      <c r="CN766" s="118">
        <f t="shared" si="2231"/>
        <v>5050</v>
      </c>
      <c r="CO766" s="118">
        <f t="shared" si="2232"/>
        <v>8.8614959932799593</v>
      </c>
      <c r="CP766" s="186">
        <v>0.94252873563218387</v>
      </c>
      <c r="CQ766" s="118">
        <f>+CQ756*CP766+CO757*CP765+CO758*CP764+CO759*CP763+CO760*CP762+CO761*CP761+CO762*CP760+CO763*CP759+CO764*CP758+CO765*CP757+CO766</f>
        <v>439.44565107228584</v>
      </c>
      <c r="CR766" s="119">
        <f t="shared" si="2233"/>
        <v>1.3777439855219051E-2</v>
      </c>
      <c r="CS766" s="119"/>
      <c r="CT766" s="177">
        <f t="shared" si="2234"/>
        <v>6.572130324153087E-3</v>
      </c>
      <c r="CU766" s="177">
        <f t="shared" si="2242"/>
        <v>6.3695395615236431E-3</v>
      </c>
      <c r="CV766" s="119">
        <f>VLOOKUP($H766,RoR!$E:$F,2,FALSE)</f>
        <v>5.6316666666666668E-2</v>
      </c>
      <c r="CW766" s="177">
        <v>1.9092304698479889E-2</v>
      </c>
      <c r="CX766" s="177">
        <f t="shared" si="2240"/>
        <v>3.7224361968186778E-2</v>
      </c>
      <c r="CY766" s="177">
        <f t="shared" si="2243"/>
        <v>2.4532402047009981E-2</v>
      </c>
      <c r="CZ766" s="177">
        <f t="shared" si="2244"/>
        <v>6.9030581091053131E-2</v>
      </c>
      <c r="DA766" s="187">
        <f t="shared" si="2235"/>
        <v>0.84949374999999994</v>
      </c>
      <c r="DB766" s="188">
        <f t="shared" si="2236"/>
        <v>0.91060168006009956</v>
      </c>
      <c r="DC766" s="188">
        <f t="shared" si="2237"/>
        <v>0.53108168097070152</v>
      </c>
      <c r="DD766" s="188">
        <f t="shared" si="2238"/>
        <v>0.88825329850328805</v>
      </c>
      <c r="DE766" s="188">
        <f t="shared" si="2239"/>
        <v>0.4295627335323573</v>
      </c>
      <c r="DF766" s="189">
        <f>INDEX('State Tax Lookup'!$D$7:$Z$91,MATCH(Calculation!$C766,'State Tax Lookup'!$B$7:$B$91,0),MATCH($H766,'State Tax Lookup'!$D$6:$Z$6,0))</f>
        <v>0.40134999999999998</v>
      </c>
      <c r="DG766" s="189">
        <v>0.375</v>
      </c>
      <c r="DH766" s="190">
        <f t="shared" si="2241"/>
        <v>19.740671304269874</v>
      </c>
      <c r="DI766" s="190">
        <v>19.464981784207826</v>
      </c>
      <c r="DJ766" s="177"/>
      <c r="DK766" s="189">
        <f>VLOOKUP($H766,RoR!$E:$F,2,FALSE)</f>
        <v>5.6316666666666668E-2</v>
      </c>
      <c r="DL766" s="191">
        <f>HLOOKUP($H766,'GDP-PI'!$D$8:$CQ$11,3,FALSE)</f>
        <v>1.9092304698479889E-2</v>
      </c>
      <c r="DM766" s="189">
        <f>VLOOKUP(H766,'HW Dx Data'!$E:$F,2,FALSE)</f>
        <v>569.88120333515076</v>
      </c>
      <c r="DN766" s="183">
        <f>VLOOKUP(H766,'ECI - Input Price'!$G$17:$H$37,2,FALSE)</f>
        <v>108.22499999999999</v>
      </c>
      <c r="DO766" s="177">
        <f t="shared" ref="DO766" si="2274">LN(DN766/DN765)</f>
        <v>2.8111478671409691E-2</v>
      </c>
      <c r="DP766" s="183">
        <f>HLOOKUP(H766,'GDP-PI'!$8:$9,2,FALSE)</f>
        <v>94.263999999999996</v>
      </c>
      <c r="DQ766" s="177">
        <f t="shared" ref="DQ766" si="2275">LN(DP766/DP765)</f>
        <v>1.8912333748032254E-2</v>
      </c>
    </row>
    <row r="767" spans="1:121" s="167" customFormat="1" ht="21" x14ac:dyDescent="0.35">
      <c r="A767" s="167" t="s">
        <v>77</v>
      </c>
      <c r="B767" s="168" t="s">
        <v>78</v>
      </c>
      <c r="C767" s="168">
        <v>4061925</v>
      </c>
      <c r="D767" s="168" t="s">
        <v>144</v>
      </c>
      <c r="E767" s="168"/>
      <c r="F767" s="168"/>
      <c r="G767" s="168" t="s">
        <v>15</v>
      </c>
      <c r="H767" s="169">
        <v>2009</v>
      </c>
      <c r="I767" s="170"/>
      <c r="J767" s="166">
        <f>IFERROR(INDEX('Labor Expenditures'!$F$7:$X$91,MATCH($C767,'Labor Expenditures'!$D$7:$D$91,0),MATCH($G767,'Labor Expenditures'!$F$5:$X$5,0)),"NA")</f>
        <v>6074.3033029610115</v>
      </c>
      <c r="K767" s="166">
        <f t="shared" si="2247"/>
        <v>55.334122550316664</v>
      </c>
      <c r="L767" s="172">
        <f t="shared" si="2254"/>
        <v>8.0721546216465268E-2</v>
      </c>
      <c r="M767" s="172">
        <f t="shared" si="2258"/>
        <v>1.997726212216923E-4</v>
      </c>
      <c r="N767" s="196"/>
      <c r="O767" s="172"/>
      <c r="P767" s="166">
        <f>IFERROR(INDEX('Non-Labor Expenditures'!$F$7:$AB$91,MATCH($C767,'Non-Labor Expenditures'!$D$7:$D$91,0),MATCH($G767,'Non-Labor Expenditures'!$F$5:$AB$5,0)),"NA")</f>
        <v>8796.7257060489574</v>
      </c>
      <c r="Q767" s="166">
        <f t="shared" si="2248"/>
        <v>92.598087411961785</v>
      </c>
      <c r="R767" s="172">
        <f t="shared" si="2259"/>
        <v>8.7174960517892405E-2</v>
      </c>
      <c r="S767" s="172">
        <f t="shared" si="2264"/>
        <v>2.1574376586959657E-4</v>
      </c>
      <c r="T767" s="172"/>
      <c r="U767" s="172"/>
      <c r="V767" s="166">
        <f t="shared" si="2229"/>
        <v>8315.4298420898158</v>
      </c>
      <c r="W767" s="170"/>
      <c r="X767" s="174">
        <v>464.23505574479339</v>
      </c>
      <c r="Y767" s="175">
        <v>5.4876960947250801E-2</v>
      </c>
      <c r="Z767" s="175">
        <f t="shared" si="2265"/>
        <v>1.3581150073258339E-4</v>
      </c>
      <c r="AA767" s="175"/>
      <c r="AB767" s="175"/>
      <c r="AC767" s="170">
        <f t="shared" si="2271"/>
        <v>23186.458851099786</v>
      </c>
      <c r="AD767" s="175">
        <f t="shared" si="2260"/>
        <v>4.8880403252459154E-2</v>
      </c>
      <c r="AE767" s="170"/>
      <c r="AF767" s="170"/>
      <c r="AG767" s="121">
        <f t="shared" si="2261"/>
        <v>39.357426206031271</v>
      </c>
      <c r="AH767" s="119">
        <f>+AZ767/$BB$47</f>
        <v>1.6520017839547638E-2</v>
      </c>
      <c r="AI767" s="119"/>
      <c r="AJ767" s="176">
        <f t="shared" si="2266"/>
        <v>0.65018538304231632</v>
      </c>
      <c r="AK767" s="176">
        <f t="shared" si="2267"/>
        <v>0</v>
      </c>
      <c r="AL767" s="120">
        <f t="shared" si="2249"/>
        <v>0.26197632600861315</v>
      </c>
      <c r="AM767" s="120">
        <f t="shared" si="2250"/>
        <v>0.37939065048873166</v>
      </c>
      <c r="AN767" s="120">
        <f t="shared" si="2251"/>
        <v>0.35863302350265513</v>
      </c>
      <c r="AO767" s="120">
        <f t="shared" si="2255"/>
        <v>7.3472984238461769E-2</v>
      </c>
      <c r="AP767" s="173">
        <f t="shared" si="2272"/>
        <v>111.18799008471542</v>
      </c>
      <c r="AQ767" s="175">
        <f t="shared" si="2273"/>
        <v>7.3472984238461672E-2</v>
      </c>
      <c r="AR767" s="177">
        <f>+AC767/$AE$47</f>
        <v>2.4748364047187128E-3</v>
      </c>
      <c r="AS767" s="177">
        <f t="shared" si="2268"/>
        <v>1.8183361615666912E-4</v>
      </c>
      <c r="AT767" s="177"/>
      <c r="AU767" s="177"/>
      <c r="AV767" s="177"/>
      <c r="AW767" s="190"/>
      <c r="AX767" s="120"/>
      <c r="AY767" s="120"/>
      <c r="AZ767" s="118">
        <v>589125.38461538451</v>
      </c>
      <c r="BA767" s="119">
        <f t="shared" si="2230"/>
        <v>8.3992033126777926E-3</v>
      </c>
      <c r="BB767" s="119"/>
      <c r="BC767" s="121"/>
      <c r="BD767" s="119"/>
      <c r="BE767" s="119"/>
      <c r="BF767" s="119"/>
      <c r="BG767" s="173"/>
      <c r="BH767" s="173"/>
      <c r="BI767" s="173"/>
      <c r="BJ767" s="173"/>
      <c r="BK767" s="173"/>
      <c r="BL767" s="173"/>
      <c r="BM767" s="173"/>
      <c r="BN767" s="173"/>
      <c r="BO767" s="173"/>
      <c r="BP767" s="173"/>
      <c r="BQ767" s="118"/>
      <c r="BR767" s="118"/>
      <c r="BS767" s="118">
        <f>INDEX('Dist. Plant Gas Additions'!$F$7:$AE$91,MATCH($C767,'Dist. Plant Gas Additions'!$D$7:$D$91,0),MATCH(Calculation!$G767,'Dist. Plant Gas Additions'!$F$5:$AE$5,0))</f>
        <v>9896</v>
      </c>
      <c r="BT767" s="118">
        <f>INDEX('Gen. Plant Additions'!$F$7:$AE$91,MATCH($C767,'Gen. Plant Additions'!$D$7:$D$91,0),MATCH(Calculation!$G767,'Gen. Plant Additions'!$F$5:$AE$5,0))</f>
        <v>5409</v>
      </c>
      <c r="BU767" s="118"/>
      <c r="BV767" s="118"/>
      <c r="BW767" s="118">
        <f>INDEX('Dist Plant Depreciation'!$E$7:$AD$94,MATCH($C767,'Dist Plant Depreciation'!$D$7:$D$94,0),MATCH(Calculation!$G767,'Dist Plant Depreciation'!$E$5:$AD$5,0))</f>
        <v>94963</v>
      </c>
      <c r="BX767" s="118">
        <f>INDEX('Gen. Plant Depreciation'!$E$7:$AD$94,MATCH($C767,'Gen. Plant Depreciation'!$D$7:$D$94,0),MATCH(Calculation!$G767,'Gen. Plant Depreciation'!$E$5:$AD$5,0))</f>
        <v>3212</v>
      </c>
      <c r="BY767" s="118"/>
      <c r="BZ767" s="118"/>
      <c r="CA767" s="118"/>
      <c r="CB767" s="118"/>
      <c r="CC767" s="118"/>
      <c r="CD767" s="118"/>
      <c r="CE767" s="118">
        <f>INDEX('Gross Dx Plant'!$E$7:$AD$91,MATCH($C767,'Gross Dx Plant'!$D$7:$D$91,0),MATCH(Calculation!$G767,'Gross Dx Plant'!$E$5:$AD$5,0))</f>
        <v>170333</v>
      </c>
      <c r="CF767" s="118">
        <f>INDEX('Gross Gen Plant'!$E$7:$AD$91,MATCH($C767,'Gross Gen Plant'!$D$7:$D$91,0),MATCH(Calculation!$G767,'Gross Gen Plant'!$E$5:$AD$5,0))</f>
        <v>10943</v>
      </c>
      <c r="CG767" s="118">
        <f t="shared" si="2136"/>
        <v>83101</v>
      </c>
      <c r="CH767" s="118"/>
      <c r="CI767" s="121">
        <v>2009</v>
      </c>
      <c r="CJ767" s="118"/>
      <c r="CK767" s="118"/>
      <c r="CL767" s="118"/>
      <c r="CM767" s="183"/>
      <c r="CN767" s="118">
        <f t="shared" si="2231"/>
        <v>15305</v>
      </c>
      <c r="CO767" s="118">
        <f t="shared" si="2232"/>
        <v>27.779762424098134</v>
      </c>
      <c r="CP767" s="186">
        <v>0.93567251461988299</v>
      </c>
      <c r="CQ767" s="118">
        <f>+CQ756*CP767+CO757*CP766+CO758*CP765+CO759*CP764+CO760*CP763+CO761*CP762+CO762*CP761+CO763*CP760+CO764*CP759+CO765*CP758+CO766*CP757+CO767</f>
        <v>464.23505574479339</v>
      </c>
      <c r="CR767" s="119">
        <f t="shared" si="2233"/>
        <v>5.4876960947250801E-2</v>
      </c>
      <c r="CS767" s="119"/>
      <c r="CT767" s="177">
        <f t="shared" si="2234"/>
        <v>6.8048409269584435E-3</v>
      </c>
      <c r="CU767" s="177">
        <f t="shared" si="2242"/>
        <v>6.58226335096371E-3</v>
      </c>
      <c r="CV767" s="119">
        <f>VLOOKUP($H767,RoR!$E:$F,2,FALSE)</f>
        <v>5.3133333333333324E-2</v>
      </c>
      <c r="CW767" s="177">
        <v>7.7972502758210105E-3</v>
      </c>
      <c r="CX767" s="177">
        <f t="shared" si="2240"/>
        <v>4.5336083057512314E-2</v>
      </c>
      <c r="CY767" s="177">
        <f t="shared" si="2243"/>
        <v>2.4319678257569914E-2</v>
      </c>
      <c r="CZ767" s="177">
        <f t="shared" si="2244"/>
        <v>6.3720160300892073E-2</v>
      </c>
      <c r="DA767" s="187">
        <f t="shared" si="2235"/>
        <v>0.84949374999999994</v>
      </c>
      <c r="DB767" s="188">
        <f t="shared" si="2236"/>
        <v>0.96515780330083989</v>
      </c>
      <c r="DC767" s="188">
        <f t="shared" si="2237"/>
        <v>0.50448557089084056</v>
      </c>
      <c r="DD767" s="188">
        <f t="shared" si="2238"/>
        <v>0.87391435735465484</v>
      </c>
      <c r="DE767" s="188">
        <f t="shared" si="2239"/>
        <v>0.42551605393279146</v>
      </c>
      <c r="DF767" s="189">
        <f>INDEX('State Tax Lookup'!$D$7:$Z$91,MATCH(Calculation!$C767,'State Tax Lookup'!$B$7:$B$91,0),MATCH($H767,'State Tax Lookup'!$D$6:$Z$6,0))</f>
        <v>0.40134999999999998</v>
      </c>
      <c r="DG767" s="189">
        <v>0.375</v>
      </c>
      <c r="DH767" s="190">
        <f t="shared" si="2241"/>
        <v>18.922544396103227</v>
      </c>
      <c r="DI767" s="190">
        <v>18.577747286822792</v>
      </c>
      <c r="DJ767" s="177"/>
      <c r="DK767" s="189">
        <f>VLOOKUP($H767,RoR!$E:$F,2,FALSE)</f>
        <v>5.3133333333333324E-2</v>
      </c>
      <c r="DL767" s="191">
        <f>HLOOKUP($H767,'GDP-PI'!$D$8:$CQ$11,3,FALSE)</f>
        <v>7.7972502758210105E-3</v>
      </c>
      <c r="DM767" s="189">
        <f>VLOOKUP(H767,'HW Dx Data'!$E:$F,2,FALSE)</f>
        <v>550.94063679692806</v>
      </c>
      <c r="DN767" s="183">
        <f>VLOOKUP(H767,'ECI - Input Price'!$G$17:$H$37,2,FALSE)</f>
        <v>109.77499999999999</v>
      </c>
      <c r="DO767" s="177">
        <f t="shared" ref="DO767" si="2276">LN(DN767/DN766)</f>
        <v>1.4220423119736749E-2</v>
      </c>
      <c r="DP767" s="183">
        <f>HLOOKUP(H767,'GDP-PI'!$8:$9,2,FALSE)</f>
        <v>94.998999999999995</v>
      </c>
      <c r="DQ767" s="177">
        <f t="shared" ref="DQ767" si="2277">LN(DP767/DP766)</f>
        <v>7.7670088183096342E-3</v>
      </c>
    </row>
    <row r="768" spans="1:121" s="167" customFormat="1" ht="21" x14ac:dyDescent="0.35">
      <c r="A768" s="167" t="s">
        <v>77</v>
      </c>
      <c r="B768" s="168" t="s">
        <v>78</v>
      </c>
      <c r="C768" s="168">
        <v>4061925</v>
      </c>
      <c r="D768" s="168" t="s">
        <v>144</v>
      </c>
      <c r="E768" s="168"/>
      <c r="F768" s="168"/>
      <c r="G768" s="168" t="s">
        <v>16</v>
      </c>
      <c r="H768" s="169">
        <v>2010</v>
      </c>
      <c r="I768" s="170"/>
      <c r="J768" s="166">
        <f>IFERROR(INDEX('Labor Expenditures'!$F$7:$X$91,MATCH($C768,'Labor Expenditures'!$D$7:$D$91,0),MATCH($G768,'Labor Expenditures'!$F$5:$X$5,0)),"NA")</f>
        <v>6506.5934302235391</v>
      </c>
      <c r="K768" s="166">
        <f t="shared" si="2247"/>
        <v>58.159494348366827</v>
      </c>
      <c r="L768" s="172">
        <f t="shared" si="2254"/>
        <v>4.9799376495470428E-2</v>
      </c>
      <c r="M768" s="172">
        <f t="shared" si="2258"/>
        <v>1.2788983485101458E-4</v>
      </c>
      <c r="N768" s="196"/>
      <c r="O768" s="172"/>
      <c r="P768" s="166">
        <f>IFERROR(INDEX('Non-Labor Expenditures'!$F$7:$AB$91,MATCH($C768,'Non-Labor Expenditures'!$D$7:$D$91,0),MATCH($G768,'Non-Labor Expenditures'!$F$5:$AB$5,0)),"NA")</f>
        <v>9422.7625509835452</v>
      </c>
      <c r="Q768" s="166">
        <f t="shared" si="2248"/>
        <v>98.042457532421992</v>
      </c>
      <c r="R768" s="172">
        <f t="shared" si="2259"/>
        <v>5.7132137835558469E-2</v>
      </c>
      <c r="S768" s="172">
        <f t="shared" si="2264"/>
        <v>1.4672110750502186E-4</v>
      </c>
      <c r="T768" s="172"/>
      <c r="U768" s="172"/>
      <c r="V768" s="166">
        <f t="shared" si="2229"/>
        <v>9009.8814922927177</v>
      </c>
      <c r="W768" s="170"/>
      <c r="X768" s="174">
        <v>481.27687686980846</v>
      </c>
      <c r="Y768" s="175">
        <v>3.605172247176848E-2</v>
      </c>
      <c r="Z768" s="175">
        <f t="shared" si="2265"/>
        <v>9.2584469073191117E-5</v>
      </c>
      <c r="AA768" s="175"/>
      <c r="AB768" s="175"/>
      <c r="AC768" s="170">
        <f t="shared" si="2271"/>
        <v>24939.237473499801</v>
      </c>
      <c r="AD768" s="175">
        <f t="shared" si="2260"/>
        <v>7.2873927286540408E-2</v>
      </c>
      <c r="AE768" s="170"/>
      <c r="AF768" s="170"/>
      <c r="AG768" s="121">
        <f t="shared" si="2261"/>
        <v>41.981513319845476</v>
      </c>
      <c r="AH768" s="119">
        <f>+AZ768/$BB$48</f>
        <v>1.6566486416718554E-2</v>
      </c>
      <c r="AI768" s="119"/>
      <c r="AJ768" s="176">
        <f t="shared" si="2266"/>
        <v>0.69548617016650915</v>
      </c>
      <c r="AK768" s="176">
        <f t="shared" si="2267"/>
        <v>0</v>
      </c>
      <c r="AL768" s="120">
        <f t="shared" si="2249"/>
        <v>0.26089784970921359</v>
      </c>
      <c r="AM768" s="120">
        <f t="shared" si="2250"/>
        <v>0.3778288153756138</v>
      </c>
      <c r="AN768" s="120">
        <f t="shared" si="2251"/>
        <v>0.36127333491517266</v>
      </c>
      <c r="AO768" s="120">
        <f t="shared" si="2255"/>
        <v>4.7627119535600788E-2</v>
      </c>
      <c r="AP768" s="173">
        <f t="shared" si="2272"/>
        <v>116.6116860938837</v>
      </c>
      <c r="AQ768" s="175">
        <f t="shared" si="2273"/>
        <v>4.7627119535600809E-2</v>
      </c>
      <c r="AR768" s="177">
        <f>+AC768/$AE$48</f>
        <v>2.5681011259778923E-3</v>
      </c>
      <c r="AS768" s="177">
        <f t="shared" si="2268"/>
        <v>1.2231125930646012E-4</v>
      </c>
      <c r="AT768" s="177"/>
      <c r="AU768" s="177"/>
      <c r="AV768" s="177"/>
      <c r="AW768" s="190"/>
      <c r="AX768" s="120"/>
      <c r="AY768" s="120"/>
      <c r="AZ768" s="118">
        <v>594052.84615384601</v>
      </c>
      <c r="BA768" s="119">
        <f t="shared" si="2230"/>
        <v>8.3292438919323787E-3</v>
      </c>
      <c r="BB768" s="119"/>
      <c r="BC768" s="121"/>
      <c r="BD768" s="119"/>
      <c r="BE768" s="119"/>
      <c r="BF768" s="119"/>
      <c r="BG768" s="173"/>
      <c r="BH768" s="173"/>
      <c r="BI768" s="173"/>
      <c r="BJ768" s="173"/>
      <c r="BK768" s="173"/>
      <c r="BL768" s="173"/>
      <c r="BM768" s="173"/>
      <c r="BN768" s="173"/>
      <c r="BO768" s="173"/>
      <c r="BP768" s="173"/>
      <c r="BQ768" s="118"/>
      <c r="BR768" s="118"/>
      <c r="BS768" s="118">
        <f>INDEX('Dist. Plant Gas Additions'!$F$7:$AE$91,MATCH($C768,'Dist. Plant Gas Additions'!$D$7:$D$91,0),MATCH(Calculation!$G768,'Dist. Plant Gas Additions'!$F$5:$AE$5,0))</f>
        <v>9607</v>
      </c>
      <c r="BT768" s="118">
        <f>INDEX('Gen. Plant Additions'!$F$7:$AE$91,MATCH($C768,'Gen. Plant Additions'!$D$7:$D$91,0),MATCH(Calculation!$G768,'Gen. Plant Additions'!$F$5:$AE$5,0))</f>
        <v>1929</v>
      </c>
      <c r="BU768" s="118"/>
      <c r="BV768" s="118"/>
      <c r="BW768" s="118">
        <f>INDEX('Dist Plant Depreciation'!$E$7:$AD$94,MATCH($C768,'Dist Plant Depreciation'!$D$7:$D$94,0),MATCH(Calculation!$G768,'Dist Plant Depreciation'!$E$5:$AD$5,0))</f>
        <v>102130</v>
      </c>
      <c r="BX768" s="118">
        <f>INDEX('Gen. Plant Depreciation'!$E$7:$AD$94,MATCH($C768,'Gen. Plant Depreciation'!$D$7:$D$94,0),MATCH(Calculation!$G768,'Gen. Plant Depreciation'!$E$5:$AD$5,0))</f>
        <v>3450</v>
      </c>
      <c r="BY768" s="118"/>
      <c r="BZ768" s="118"/>
      <c r="CA768" s="118"/>
      <c r="CB768" s="118"/>
      <c r="CC768" s="118"/>
      <c r="CD768" s="118"/>
      <c r="CE768" s="118">
        <f>INDEX('Gross Dx Plant'!$E$7:$AD$91,MATCH($C768,'Gross Dx Plant'!$D$7:$D$91,0),MATCH(Calculation!$G768,'Gross Dx Plant'!$E$5:$AD$5,0))</f>
        <v>180060</v>
      </c>
      <c r="CF768" s="118">
        <f>INDEX('Gross Gen Plant'!$E$7:$AD$91,MATCH($C768,'Gross Gen Plant'!$D$7:$D$91,0),MATCH(Calculation!$G768,'Gross Gen Plant'!$E$5:$AD$5,0))</f>
        <v>12872</v>
      </c>
      <c r="CG768" s="118">
        <f t="shared" si="2136"/>
        <v>87352</v>
      </c>
      <c r="CH768" s="118"/>
      <c r="CI768" s="121">
        <v>2010</v>
      </c>
      <c r="CJ768" s="118"/>
      <c r="CK768" s="118"/>
      <c r="CL768" s="118"/>
      <c r="CM768" s="183"/>
      <c r="CN768" s="118">
        <f t="shared" si="2231"/>
        <v>11536</v>
      </c>
      <c r="CO768" s="118">
        <f t="shared" si="2232"/>
        <v>20.274539243138388</v>
      </c>
      <c r="CP768" s="186">
        <v>0.9285714285714286</v>
      </c>
      <c r="CQ768" s="118">
        <f>+CQ756*CP768+CO757*CP767+CO758*CP766+CO759*CP765+CO760*CP764+CO761*CP763+CO762*CP762+CO763*CP761+CO764*CP760+CO765*CP759+CO766*CP758+CO767*CP757+CO768</f>
        <v>481.27687686980846</v>
      </c>
      <c r="CR768" s="119">
        <f t="shared" si="2233"/>
        <v>3.605172247176848E-2</v>
      </c>
      <c r="CS768" s="119"/>
      <c r="CT768" s="177">
        <f t="shared" si="2234"/>
        <v>6.9635372816404736E-3</v>
      </c>
      <c r="CU768" s="177">
        <f t="shared" si="2242"/>
        <v>6.7801695109173344E-3</v>
      </c>
      <c r="CV768" s="119">
        <f>VLOOKUP($H768,RoR!$E:$F,2,FALSE)</f>
        <v>4.9433333333333322E-2</v>
      </c>
      <c r="CW768" s="177">
        <v>1.1684333519300205E-2</v>
      </c>
      <c r="CX768" s="177">
        <f t="shared" si="2240"/>
        <v>3.7748999814033117E-2</v>
      </c>
      <c r="CY768" s="177">
        <f t="shared" si="2243"/>
        <v>2.412177209761629E-2</v>
      </c>
      <c r="CZ768" s="177">
        <f t="shared" si="2244"/>
        <v>4.7937530248493419E-2</v>
      </c>
      <c r="DA768" s="187">
        <f t="shared" si="2235"/>
        <v>0.84949374999999994</v>
      </c>
      <c r="DB768" s="188">
        <f t="shared" si="2236"/>
        <v>1.037398205301105</v>
      </c>
      <c r="DC768" s="188">
        <f t="shared" si="2237"/>
        <v>0.46926837491571133</v>
      </c>
      <c r="DD768" s="188">
        <f t="shared" si="2238"/>
        <v>0.8548537519972772</v>
      </c>
      <c r="DE768" s="188">
        <f t="shared" si="2239"/>
        <v>0.41615833911547367</v>
      </c>
      <c r="DF768" s="189">
        <f>INDEX('State Tax Lookup'!$D$7:$Z$91,MATCH(Calculation!$C768,'State Tax Lookup'!$B$7:$B$91,0),MATCH($H768,'State Tax Lookup'!$D$6:$Z$6,0))</f>
        <v>0.40134999999999998</v>
      </c>
      <c r="DG768" s="189">
        <v>0.375</v>
      </c>
      <c r="DH768" s="190">
        <f t="shared" si="2241"/>
        <v>19.408016221088165</v>
      </c>
      <c r="DI768" s="190">
        <v>19.115750379998993</v>
      </c>
      <c r="DJ768" s="177"/>
      <c r="DK768" s="189">
        <f>VLOOKUP($H768,RoR!$E:$F,2,FALSE)</f>
        <v>4.9433333333333322E-2</v>
      </c>
      <c r="DL768" s="191">
        <f>HLOOKUP($H768,'GDP-PI'!$D$8:$CQ$11,3,FALSE)</f>
        <v>1.1684333519300205E-2</v>
      </c>
      <c r="DM768" s="189">
        <f>VLOOKUP(H768,'HW Dx Data'!$E:$F,2,FALSE)</f>
        <v>568.98950262971744</v>
      </c>
      <c r="DN768" s="183">
        <f>VLOOKUP(H768,'ECI - Input Price'!$G$17:$H$37,2,FALSE)</f>
        <v>111.875</v>
      </c>
      <c r="DO768" s="177">
        <f t="shared" ref="DO768" si="2278">LN(DN768/DN767)</f>
        <v>1.8949360147238387E-2</v>
      </c>
      <c r="DP768" s="183">
        <f>HLOOKUP(H768,'GDP-PI'!$8:$9,2,FALSE)</f>
        <v>96.108999999999995</v>
      </c>
      <c r="DQ768" s="177">
        <f t="shared" ref="DQ768" si="2279">LN(DP768/DP767)</f>
        <v>1.1616598807150427E-2</v>
      </c>
    </row>
    <row r="769" spans="1:121" s="167" customFormat="1" ht="21" x14ac:dyDescent="0.35">
      <c r="A769" s="167" t="s">
        <v>77</v>
      </c>
      <c r="B769" s="168" t="s">
        <v>78</v>
      </c>
      <c r="C769" s="168">
        <v>4061925</v>
      </c>
      <c r="D769" s="168" t="s">
        <v>144</v>
      </c>
      <c r="E769" s="168"/>
      <c r="F769" s="168"/>
      <c r="G769" s="168" t="s">
        <v>17</v>
      </c>
      <c r="H769" s="169">
        <v>2011</v>
      </c>
      <c r="I769" s="170"/>
      <c r="J769" s="166">
        <f>IFERROR(INDEX('Labor Expenditures'!$F$7:$X$91,MATCH($C769,'Labor Expenditures'!$D$7:$D$91,0),MATCH($G769,'Labor Expenditures'!$F$5:$X$5,0)),"NA")</f>
        <v>6862.3872328165926</v>
      </c>
      <c r="K769" s="166">
        <f t="shared" si="2247"/>
        <v>60.038383489209032</v>
      </c>
      <c r="L769" s="172">
        <f t="shared" si="2254"/>
        <v>3.1794943465836292E-2</v>
      </c>
      <c r="M769" s="172">
        <f t="shared" si="2258"/>
        <v>8.347634364573101E-5</v>
      </c>
      <c r="N769" s="196"/>
      <c r="O769" s="172"/>
      <c r="P769" s="166">
        <f>IFERROR(INDEX('Non-Labor Expenditures'!$F$7:$AB$91,MATCH($C769,'Non-Labor Expenditures'!$D$7:$D$91,0),MATCH($G769,'Non-Labor Expenditures'!$F$5:$AB$5,0)),"NA")</f>
        <v>9938.018430254102</v>
      </c>
      <c r="Q769" s="166">
        <f t="shared" si="2248"/>
        <v>101.29258837098523</v>
      </c>
      <c r="R769" s="172">
        <f t="shared" si="2259"/>
        <v>3.2612618458732583E-2</v>
      </c>
      <c r="S769" s="172">
        <f t="shared" si="2264"/>
        <v>8.5623116410742309E-5</v>
      </c>
      <c r="T769" s="172"/>
      <c r="U769" s="172"/>
      <c r="V769" s="166">
        <f t="shared" si="2229"/>
        <v>9976.2660543089041</v>
      </c>
      <c r="W769" s="170"/>
      <c r="X769" s="174">
        <v>502.15368137106663</v>
      </c>
      <c r="Y769" s="175">
        <v>4.2463478946660339E-2</v>
      </c>
      <c r="Z769" s="175">
        <f t="shared" si="2265"/>
        <v>1.1148615391480292E-4</v>
      </c>
      <c r="AA769" s="175"/>
      <c r="AB769" s="175"/>
      <c r="AC769" s="170">
        <f t="shared" si="2271"/>
        <v>26776.671717379599</v>
      </c>
      <c r="AD769" s="175">
        <f t="shared" si="2260"/>
        <v>7.1088684795433996E-2</v>
      </c>
      <c r="AE769" s="170"/>
      <c r="AF769" s="170"/>
      <c r="AG769" s="121">
        <f t="shared" si="2261"/>
        <v>44.703759662053216</v>
      </c>
      <c r="AH769" s="119">
        <f>+AZ769/$BB$49</f>
        <v>1.6622695626009574E-2</v>
      </c>
      <c r="AI769" s="119"/>
      <c r="AJ769" s="176">
        <f t="shared" si="2266"/>
        <v>0.74309699020059516</v>
      </c>
      <c r="AK769" s="176">
        <f t="shared" si="2267"/>
        <v>0</v>
      </c>
      <c r="AL769" s="120">
        <f t="shared" si="2249"/>
        <v>0.25628230816911085</v>
      </c>
      <c r="AM769" s="120">
        <f t="shared" si="2250"/>
        <v>0.37114464916129802</v>
      </c>
      <c r="AN769" s="120">
        <f t="shared" si="2251"/>
        <v>0.37257304266959118</v>
      </c>
      <c r="AO769" s="120">
        <f t="shared" si="2255"/>
        <v>3.601568496035229E-2</v>
      </c>
      <c r="AP769" s="173">
        <f t="shared" si="2272"/>
        <v>120.8880822682961</v>
      </c>
      <c r="AQ769" s="175">
        <f t="shared" si="2273"/>
        <v>3.6015684960352373E-2</v>
      </c>
      <c r="AR769" s="177">
        <f>+AC769/$AE$49</f>
        <v>2.6254597286963712E-3</v>
      </c>
      <c r="AS769" s="177">
        <f t="shared" si="2268"/>
        <v>9.455773046482072E-5</v>
      </c>
      <c r="AT769" s="177"/>
      <c r="AU769" s="177"/>
      <c r="AV769" s="177"/>
      <c r="AW769" s="190"/>
      <c r="AX769" s="120"/>
      <c r="AY769" s="120"/>
      <c r="AZ769" s="118">
        <v>598980.30769230751</v>
      </c>
      <c r="BA769" s="119">
        <f t="shared" si="2230"/>
        <v>8.260440275729827E-3</v>
      </c>
      <c r="BB769" s="119"/>
      <c r="BC769" s="121"/>
      <c r="BD769" s="119"/>
      <c r="BE769" s="119"/>
      <c r="BF769" s="119"/>
      <c r="BG769" s="173"/>
      <c r="BH769" s="173"/>
      <c r="BI769" s="173"/>
      <c r="BJ769" s="173"/>
      <c r="BK769" s="173"/>
      <c r="BL769" s="173"/>
      <c r="BM769" s="173"/>
      <c r="BN769" s="173"/>
      <c r="BO769" s="173"/>
      <c r="BP769" s="173"/>
      <c r="BQ769" s="118"/>
      <c r="BR769" s="118"/>
      <c r="BS769" s="118">
        <f>INDEX('Dist. Plant Gas Additions'!$F$7:$AE$91,MATCH($C769,'Dist. Plant Gas Additions'!$D$7:$D$91,0),MATCH(Calculation!$G769,'Dist. Plant Gas Additions'!$F$5:$AE$5,0))</f>
        <v>13190</v>
      </c>
      <c r="BT769" s="118">
        <f>INDEX('Gen. Plant Additions'!$F$7:$AE$91,MATCH($C769,'Gen. Plant Additions'!$D$7:$D$91,0),MATCH(Calculation!$G769,'Gen. Plant Additions'!$F$5:$AE$5,0))</f>
        <v>1687</v>
      </c>
      <c r="BU769" s="118"/>
      <c r="BV769" s="118"/>
      <c r="BW769" s="118">
        <f>INDEX('Dist Plant Depreciation'!$E$7:$AD$94,MATCH($C769,'Dist Plant Depreciation'!$D$7:$D$94,0),MATCH(Calculation!$G769,'Dist Plant Depreciation'!$E$5:$AD$5,0))</f>
        <v>108108</v>
      </c>
      <c r="BX769" s="118">
        <f>INDEX('Gen. Plant Depreciation'!$E$7:$AD$94,MATCH($C769,'Gen. Plant Depreciation'!$D$7:$D$94,0),MATCH(Calculation!$G769,'Gen. Plant Depreciation'!$E$5:$AD$5,0))</f>
        <v>4215</v>
      </c>
      <c r="BY769" s="118"/>
      <c r="BZ769" s="118"/>
      <c r="CA769" s="118"/>
      <c r="CB769" s="118"/>
      <c r="CC769" s="118"/>
      <c r="CD769" s="118"/>
      <c r="CE769" s="118">
        <f>INDEX('Gross Dx Plant'!$E$7:$AD$91,MATCH($C769,'Gross Dx Plant'!$D$7:$D$91,0),MATCH(Calculation!$G769,'Gross Dx Plant'!$E$5:$AD$5,0))</f>
        <v>192583</v>
      </c>
      <c r="CF769" s="118">
        <f>INDEX('Gross Gen Plant'!$E$7:$AD$91,MATCH($C769,'Gross Gen Plant'!$D$7:$D$91,0),MATCH(Calculation!$G769,'Gross Gen Plant'!$E$5:$AD$5,0))</f>
        <v>14026</v>
      </c>
      <c r="CG769" s="118">
        <f t="shared" si="2136"/>
        <v>94286</v>
      </c>
      <c r="CH769" s="118"/>
      <c r="CI769" s="121">
        <v>2011</v>
      </c>
      <c r="CJ769" s="118"/>
      <c r="CK769" s="118"/>
      <c r="CL769" s="118"/>
      <c r="CM769" s="183"/>
      <c r="CN769" s="118">
        <f t="shared" si="2231"/>
        <v>14877</v>
      </c>
      <c r="CO769" s="118">
        <f t="shared" si="2232"/>
        <v>24.324280730531743</v>
      </c>
      <c r="CP769" s="186">
        <v>0.92121212121212126</v>
      </c>
      <c r="CQ769" s="118">
        <f>+CQ756*CP769+CO757*CP768+CO758*CP767+CO759*CP766+CO760*CP765+CO761*CP764+CO762*CP763+CO763*CP762+CO764*CP761+CO765*CP760+CO766*CP759+CO767*CP758+CO768*CP757+CO769</f>
        <v>502.15368137106663</v>
      </c>
      <c r="CR769" s="119">
        <f t="shared" si="2233"/>
        <v>4.2463478946660339E-2</v>
      </c>
      <c r="CS769" s="119"/>
      <c r="CT769" s="177">
        <f t="shared" si="2234"/>
        <v>7.1631869199611804E-3</v>
      </c>
      <c r="CU769" s="177">
        <f t="shared" si="2242"/>
        <v>6.9771883761866995E-3</v>
      </c>
      <c r="CV769" s="119">
        <f>VLOOKUP($H769,RoR!$E:$F,2,FALSE)</f>
        <v>4.6391666666666664E-2</v>
      </c>
      <c r="CW769" s="177">
        <v>2.0840920205183799E-2</v>
      </c>
      <c r="CX769" s="177">
        <f t="shared" si="2240"/>
        <v>2.5550746461482865E-2</v>
      </c>
      <c r="CY769" s="177">
        <f t="shared" si="2243"/>
        <v>2.3924753232346926E-2</v>
      </c>
      <c r="CZ769" s="177">
        <f t="shared" si="2244"/>
        <v>2.4810540821321614E-2</v>
      </c>
      <c r="DA769" s="187">
        <f t="shared" si="2235"/>
        <v>0.84949374999999994</v>
      </c>
      <c r="DB769" s="188">
        <f t="shared" si="2236"/>
        <v>1.1054151524782025</v>
      </c>
      <c r="DC769" s="188">
        <f t="shared" si="2237"/>
        <v>0.43611011316687626</v>
      </c>
      <c r="DD769" s="188">
        <f t="shared" si="2238"/>
        <v>0.83698442246886229</v>
      </c>
      <c r="DE769" s="188">
        <f t="shared" si="2239"/>
        <v>0.40349573304423936</v>
      </c>
      <c r="DF769" s="189">
        <f>INDEX('State Tax Lookup'!$D$7:$Z$91,MATCH(Calculation!$C769,'State Tax Lookup'!$B$7:$B$91,0),MATCH($H769,'State Tax Lookup'!$D$6:$Z$6,0))</f>
        <v>0.40134999999999998</v>
      </c>
      <c r="DG769" s="189">
        <v>0.375</v>
      </c>
      <c r="DH769" s="190">
        <f t="shared" si="2241"/>
        <v>20.728745829622749</v>
      </c>
      <c r="DI769" s="190">
        <v>20.419015249884321</v>
      </c>
      <c r="DJ769" s="177"/>
      <c r="DK769" s="189">
        <f>VLOOKUP($H769,RoR!$E:$F,2,FALSE)</f>
        <v>4.6391666666666664E-2</v>
      </c>
      <c r="DL769" s="191">
        <f>HLOOKUP($H769,'GDP-PI'!$D$8:$CQ$11,3,FALSE)</f>
        <v>2.0840920205183799E-2</v>
      </c>
      <c r="DM769" s="189">
        <f>VLOOKUP(H769,'HW Dx Data'!$E:$F,2,FALSE)</f>
        <v>611.61109612283201</v>
      </c>
      <c r="DN769" s="183">
        <f>VLOOKUP(H769,'ECI - Input Price'!$G$17:$H$37,2,FALSE)</f>
        <v>114.3</v>
      </c>
      <c r="DO769" s="177">
        <f t="shared" ref="DO769" si="2280">LN(DN769/DN768)</f>
        <v>2.1444394205745516E-2</v>
      </c>
      <c r="DP769" s="183">
        <f>HLOOKUP(H769,'GDP-PI'!$8:$9,2,FALSE)</f>
        <v>98.111999999999995</v>
      </c>
      <c r="DQ769" s="177">
        <f t="shared" ref="DQ769" si="2281">LN(DP769/DP768)</f>
        <v>2.0626719212849295E-2</v>
      </c>
    </row>
    <row r="770" spans="1:121" s="167" customFormat="1" ht="21" x14ac:dyDescent="0.35">
      <c r="A770" s="167" t="s">
        <v>77</v>
      </c>
      <c r="B770" s="168" t="s">
        <v>78</v>
      </c>
      <c r="C770" s="168">
        <v>4061925</v>
      </c>
      <c r="D770" s="168" t="s">
        <v>144</v>
      </c>
      <c r="E770" s="168"/>
      <c r="F770" s="168"/>
      <c r="G770" s="168" t="s">
        <v>18</v>
      </c>
      <c r="H770" s="169">
        <v>2012</v>
      </c>
      <c r="I770" s="170"/>
      <c r="J770" s="166">
        <f>IFERROR(INDEX('Labor Expenditures'!$F$7:$X$91,MATCH($C770,'Labor Expenditures'!$D$7:$D$91,0),MATCH($G770,'Labor Expenditures'!$F$5:$X$5,0)),"NA")</f>
        <v>7214.0322747699292</v>
      </c>
      <c r="K770" s="166">
        <f t="shared" si="2247"/>
        <v>61.923023817767636</v>
      </c>
      <c r="L770" s="172">
        <f t="shared" si="2254"/>
        <v>3.09079798498356E-2</v>
      </c>
      <c r="M770" s="172">
        <f t="shared" si="2258"/>
        <v>8.3674085235539139E-5</v>
      </c>
      <c r="N770" s="196"/>
      <c r="O770" s="172"/>
      <c r="P770" s="166">
        <f>IFERROR(INDEX('Non-Labor Expenditures'!$F$7:$AB$91,MATCH($C770,'Non-Labor Expenditures'!$D$7:$D$91,0),MATCH($G770,'Non-Labor Expenditures'!$F$5:$AB$5,0)),"NA")</f>
        <v>10447.266129236748</v>
      </c>
      <c r="Q770" s="166">
        <f t="shared" si="2248"/>
        <v>104.47266129236749</v>
      </c>
      <c r="R770" s="172">
        <f t="shared" si="2259"/>
        <v>3.0912179316083421E-2</v>
      </c>
      <c r="S770" s="172">
        <f t="shared" si="2264"/>
        <v>8.368545403086226E-5</v>
      </c>
      <c r="T770" s="172"/>
      <c r="U770" s="172"/>
      <c r="V770" s="166">
        <f t="shared" si="2229"/>
        <v>11268.996995679345</v>
      </c>
      <c r="W770" s="170"/>
      <c r="X770" s="174">
        <v>515.55833012237588</v>
      </c>
      <c r="Y770" s="175">
        <v>2.6344238542113475E-2</v>
      </c>
      <c r="Z770" s="175">
        <f t="shared" si="2265"/>
        <v>7.1319124444488825E-5</v>
      </c>
      <c r="AA770" s="175"/>
      <c r="AB770" s="175"/>
      <c r="AC770" s="170">
        <f t="shared" si="2271"/>
        <v>28930.295399686023</v>
      </c>
      <c r="AD770" s="175">
        <f t="shared" si="2260"/>
        <v>7.7358279637589386E-2</v>
      </c>
      <c r="AE770" s="170"/>
      <c r="AF770" s="170"/>
      <c r="AG770" s="121">
        <f t="shared" si="2261"/>
        <v>47.905155180461009</v>
      </c>
      <c r="AH770" s="119">
        <f>+AZ770/$BB$50</f>
        <v>1.6678792115264549E-2</v>
      </c>
      <c r="AI770" s="119"/>
      <c r="AJ770" s="176">
        <f t="shared" si="2266"/>
        <v>0.79900012450439772</v>
      </c>
      <c r="AK770" s="176">
        <f t="shared" si="2267"/>
        <v>0</v>
      </c>
      <c r="AL770" s="120">
        <f t="shared" si="2249"/>
        <v>0.24935909485556867</v>
      </c>
      <c r="AM770" s="120">
        <f t="shared" si="2250"/>
        <v>0.36111854320540854</v>
      </c>
      <c r="AN770" s="120">
        <f t="shared" si="2251"/>
        <v>0.38952236193902279</v>
      </c>
      <c r="AO770" s="120">
        <f t="shared" si="2255"/>
        <v>2.9170514267897265E-2</v>
      </c>
      <c r="AP770" s="173">
        <f t="shared" si="2272"/>
        <v>124.46638655136316</v>
      </c>
      <c r="AQ770" s="175">
        <f t="shared" si="2273"/>
        <v>2.9170514267897317E-2</v>
      </c>
      <c r="AR770" s="177">
        <f>+AC770/$AE$50</f>
        <v>2.7072000707281489E-3</v>
      </c>
      <c r="AS770" s="177">
        <f t="shared" si="2268"/>
        <v>7.8970418289228095E-5</v>
      </c>
      <c r="AT770" s="177"/>
      <c r="AU770" s="177"/>
      <c r="AV770" s="177"/>
      <c r="AW770" s="190"/>
      <c r="AX770" s="120"/>
      <c r="AY770" s="120"/>
      <c r="AZ770" s="118">
        <v>603907.76923076902</v>
      </c>
      <c r="BA770" s="119">
        <f t="shared" si="2230"/>
        <v>8.1927640558840144E-3</v>
      </c>
      <c r="BB770" s="119"/>
      <c r="BC770" s="121"/>
      <c r="BD770" s="119"/>
      <c r="BE770" s="119"/>
      <c r="BF770" s="119"/>
      <c r="BG770" s="173"/>
      <c r="BH770" s="173"/>
      <c r="BI770" s="173"/>
      <c r="BJ770" s="173"/>
      <c r="BK770" s="173"/>
      <c r="BL770" s="173"/>
      <c r="BM770" s="173"/>
      <c r="BN770" s="173"/>
      <c r="BO770" s="173"/>
      <c r="BP770" s="173"/>
      <c r="BQ770" s="118"/>
      <c r="BR770" s="118"/>
      <c r="BS770" s="118">
        <f>INDEX('Dist. Plant Gas Additions'!$F$7:$AE$91,MATCH($C770,'Dist. Plant Gas Additions'!$D$7:$D$91,0),MATCH(Calculation!$G770,'Dist. Plant Gas Additions'!$F$5:$AE$5,0))</f>
        <v>10056</v>
      </c>
      <c r="BT770" s="118">
        <f>INDEX('Gen. Plant Additions'!$F$7:$AE$91,MATCH($C770,'Gen. Plant Additions'!$D$7:$D$91,0),MATCH(Calculation!$G770,'Gen. Plant Additions'!$F$5:$AE$5,0))</f>
        <v>1380</v>
      </c>
      <c r="BU770" s="118"/>
      <c r="BV770" s="118"/>
      <c r="BW770" s="118">
        <f>INDEX('Dist Plant Depreciation'!$E$7:$AD$94,MATCH($C770,'Dist Plant Depreciation'!$D$7:$D$94,0),MATCH(Calculation!$G770,'Dist Plant Depreciation'!$E$5:$AD$5,0))</f>
        <v>114575</v>
      </c>
      <c r="BX770" s="118">
        <f>INDEX('Gen. Plant Depreciation'!$E$7:$AD$94,MATCH($C770,'Gen. Plant Depreciation'!$D$7:$D$94,0),MATCH(Calculation!$G770,'Gen. Plant Depreciation'!$E$5:$AD$5,0))</f>
        <v>4639</v>
      </c>
      <c r="BY770" s="118"/>
      <c r="BZ770" s="118"/>
      <c r="CA770" s="118"/>
      <c r="CB770" s="118"/>
      <c r="CC770" s="118"/>
      <c r="CD770" s="118"/>
      <c r="CE770" s="118">
        <f>INDEX('Gross Dx Plant'!$E$7:$AD$91,MATCH($C770,'Gross Dx Plant'!$D$7:$D$91,0),MATCH(Calculation!$G770,'Gross Dx Plant'!$E$5:$AD$5,0))</f>
        <v>201669</v>
      </c>
      <c r="CF770" s="118">
        <f>INDEX('Gross Gen Plant'!$E$7:$AD$91,MATCH($C770,'Gross Gen Plant'!$D$7:$D$91,0),MATCH(Calculation!$G770,'Gross Gen Plant'!$E$5:$AD$5,0))</f>
        <v>14960</v>
      </c>
      <c r="CG770" s="118">
        <f t="shared" si="2136"/>
        <v>97415</v>
      </c>
      <c r="CH770" s="118"/>
      <c r="CI770" s="121">
        <v>2012</v>
      </c>
      <c r="CJ770" s="118"/>
      <c r="CK770" s="118"/>
      <c r="CL770" s="118"/>
      <c r="CM770" s="183"/>
      <c r="CN770" s="118">
        <f t="shared" si="2231"/>
        <v>11436</v>
      </c>
      <c r="CO770" s="118">
        <f t="shared" si="2232"/>
        <v>17.096232119416328</v>
      </c>
      <c r="CP770" s="186">
        <v>0.9135802469135802</v>
      </c>
      <c r="CQ770" s="118">
        <f>+CQ756*CP770+CO757*CP769+CO758*CP768+CO759*CP767+CO760*CP766+CO761*CP765+CO762*CP764+CO763*CP763+CO764*CP762+CO765*CP761+CO766*CP760+CO767*CP759+CO768*CP758+CO769*CP757+CO770</f>
        <v>515.55833012237588</v>
      </c>
      <c r="CR770" s="119">
        <f t="shared" si="2233"/>
        <v>2.6344238542113475E-2</v>
      </c>
      <c r="CS770" s="119"/>
      <c r="CT770" s="177">
        <f t="shared" si="2234"/>
        <v>7.3515011540444698E-3</v>
      </c>
      <c r="CU770" s="177">
        <f t="shared" si="2242"/>
        <v>7.1594084518820413E-3</v>
      </c>
      <c r="CV770" s="119">
        <f>VLOOKUP($H770,RoR!$E:$F,2,FALSE)</f>
        <v>3.6733333333333333E-2</v>
      </c>
      <c r="CW770" s="177">
        <v>1.924331376386168E-2</v>
      </c>
      <c r="CX770" s="177">
        <f t="shared" si="2240"/>
        <v>1.7490019569471653E-2</v>
      </c>
      <c r="CY770" s="177">
        <f t="shared" si="2243"/>
        <v>2.3742533156651584E-2</v>
      </c>
      <c r="CZ770" s="177">
        <f t="shared" si="2244"/>
        <v>6.7122682943869583E-2</v>
      </c>
      <c r="DA770" s="187">
        <f t="shared" si="2235"/>
        <v>0.84949374999999994</v>
      </c>
      <c r="DB770" s="188">
        <f t="shared" si="2236"/>
        <v>1.3960631020522127</v>
      </c>
      <c r="DC770" s="188">
        <f t="shared" si="2237"/>
        <v>0.29441923774954631</v>
      </c>
      <c r="DD770" s="188">
        <f t="shared" si="2238"/>
        <v>0.76377954189366437</v>
      </c>
      <c r="DE770" s="188">
        <f t="shared" si="2239"/>
        <v>0.31393465103033691</v>
      </c>
      <c r="DF770" s="189">
        <f>INDEX('State Tax Lookup'!$D$7:$Z$91,MATCH(Calculation!$C770,'State Tax Lookup'!$B$7:$B$91,0),MATCH($H770,'State Tax Lookup'!$D$6:$Z$6,0))</f>
        <v>0.40134999999999998</v>
      </c>
      <c r="DG770" s="189">
        <v>0.375</v>
      </c>
      <c r="DH770" s="190">
        <f t="shared" si="2241"/>
        <v>22.441331038161035</v>
      </c>
      <c r="DI770" s="190">
        <v>22.148289982602446</v>
      </c>
      <c r="DJ770" s="177"/>
      <c r="DK770" s="189">
        <f>VLOOKUP($H770,RoR!$E:$F,2,FALSE)</f>
        <v>3.6733333333333333E-2</v>
      </c>
      <c r="DL770" s="191">
        <f>HLOOKUP($H770,'GDP-PI'!$D$8:$CQ$11,3,FALSE)</f>
        <v>1.924331376386168E-2</v>
      </c>
      <c r="DM770" s="189">
        <f>VLOOKUP(H770,'HW Dx Data'!$E:$F,2,FALSE)</f>
        <v>668.91932211262167</v>
      </c>
      <c r="DN770" s="183">
        <f>VLOOKUP(H770,'ECI - Input Price'!$G$17:$H$37,2,FALSE)</f>
        <v>116.5</v>
      </c>
      <c r="DO770" s="177">
        <f t="shared" ref="DO770" si="2282">LN(DN770/DN769)</f>
        <v>1.9064702204990347E-2</v>
      </c>
      <c r="DP770" s="183">
        <f>HLOOKUP(H770,'GDP-PI'!$8:$9,2,FALSE)</f>
        <v>100</v>
      </c>
      <c r="DQ770" s="177">
        <f t="shared" ref="DQ770" si="2283">LN(DP770/DP769)</f>
        <v>1.9060502738742411E-2</v>
      </c>
    </row>
    <row r="771" spans="1:121" s="167" customFormat="1" ht="21" x14ac:dyDescent="0.35">
      <c r="A771" s="167" t="s">
        <v>77</v>
      </c>
      <c r="B771" s="168" t="s">
        <v>78</v>
      </c>
      <c r="C771" s="168">
        <v>4061925</v>
      </c>
      <c r="D771" s="168" t="s">
        <v>144</v>
      </c>
      <c r="E771" s="168"/>
      <c r="F771" s="168"/>
      <c r="G771" s="168" t="s">
        <v>19</v>
      </c>
      <c r="H771" s="169">
        <v>2013</v>
      </c>
      <c r="I771" s="170"/>
      <c r="J771" s="166">
        <f>IFERROR(INDEX('Labor Expenditures'!$F$7:$X$91,MATCH($C771,'Labor Expenditures'!$D$7:$D$91,0),MATCH($G771,'Labor Expenditures'!$F$5:$X$5,0)),"NA")</f>
        <v>7479.0731696101775</v>
      </c>
      <c r="K771" s="166">
        <f t="shared" si="2247"/>
        <v>62.994930887430428</v>
      </c>
      <c r="L771" s="172">
        <f t="shared" si="2254"/>
        <v>1.7162198694614092E-2</v>
      </c>
      <c r="M771" s="172">
        <f t="shared" si="2258"/>
        <v>4.5969439499517271E-5</v>
      </c>
      <c r="N771" s="196"/>
      <c r="O771" s="172"/>
      <c r="P771" s="166">
        <f>IFERROR(INDEX('Non-Labor Expenditures'!$F$7:$AB$91,MATCH($C771,'Non-Labor Expenditures'!$D$7:$D$91,0),MATCH($G771,'Non-Labor Expenditures'!$F$5:$AB$5,0)),"NA")</f>
        <v>10831.09484777619</v>
      </c>
      <c r="Q771" s="166">
        <f t="shared" si="2248"/>
        <v>106.42405007002044</v>
      </c>
      <c r="R771" s="172">
        <f t="shared" si="2259"/>
        <v>1.8506163107533887E-2</v>
      </c>
      <c r="S771" s="172">
        <f t="shared" si="2264"/>
        <v>4.9569286574391732E-5</v>
      </c>
      <c r="T771" s="172"/>
      <c r="U771" s="172"/>
      <c r="V771" s="166">
        <f t="shared" si="2229"/>
        <v>11380.971367463155</v>
      </c>
      <c r="W771" s="170"/>
      <c r="X771" s="174">
        <v>530.75717526045571</v>
      </c>
      <c r="Y771" s="175">
        <v>2.9054170015976755E-2</v>
      </c>
      <c r="Z771" s="175">
        <f t="shared" si="2265"/>
        <v>7.7822424417990025E-5</v>
      </c>
      <c r="AA771" s="175"/>
      <c r="AB771" s="175"/>
      <c r="AC771" s="170">
        <f t="shared" si="2271"/>
        <v>29691.139384849521</v>
      </c>
      <c r="AD771" s="175">
        <f t="shared" si="2260"/>
        <v>2.5959334307955991E-2</v>
      </c>
      <c r="AE771" s="170"/>
      <c r="AF771" s="170"/>
      <c r="AG771" s="121">
        <f t="shared" si="2261"/>
        <v>48.767117742737007</v>
      </c>
      <c r="AH771" s="119">
        <f>+AZ771/$BB$51</f>
        <v>1.6707376473036013E-2</v>
      </c>
      <c r="AI771" s="119"/>
      <c r="AJ771" s="176">
        <f t="shared" si="2266"/>
        <v>0.81477059563278131</v>
      </c>
      <c r="AK771" s="176">
        <f t="shared" si="2267"/>
        <v>0</v>
      </c>
      <c r="AL771" s="120">
        <f t="shared" si="2249"/>
        <v>0.25189579533032402</v>
      </c>
      <c r="AM771" s="120">
        <f t="shared" si="2250"/>
        <v>0.36479215928314851</v>
      </c>
      <c r="AN771" s="120">
        <f t="shared" si="2251"/>
        <v>0.38331204538652752</v>
      </c>
      <c r="AO771" s="120">
        <f t="shared" si="2255"/>
        <v>2.2245260074204083E-2</v>
      </c>
      <c r="AP771" s="173">
        <f t="shared" si="2272"/>
        <v>127.26619951778594</v>
      </c>
      <c r="AQ771" s="175">
        <f t="shared" si="2273"/>
        <v>2.2245260074203979E-2</v>
      </c>
      <c r="AR771" s="177">
        <f>+AC771/$AE$51</f>
        <v>2.678528568367151E-3</v>
      </c>
      <c r="AS771" s="177">
        <f t="shared" si="2268"/>
        <v>5.9584564619512525E-5</v>
      </c>
      <c r="AT771" s="177"/>
      <c r="AU771" s="177"/>
      <c r="AV771" s="177"/>
      <c r="AW771" s="190"/>
      <c r="AX771" s="120"/>
      <c r="AY771" s="120"/>
      <c r="AZ771" s="118">
        <v>608835.23076923052</v>
      </c>
      <c r="BA771" s="119">
        <f t="shared" si="2230"/>
        <v>8.1261877476299475E-3</v>
      </c>
      <c r="BB771" s="119"/>
      <c r="BC771" s="121"/>
      <c r="BD771" s="119"/>
      <c r="BE771" s="119"/>
      <c r="BF771" s="119"/>
      <c r="BG771" s="173"/>
      <c r="BH771" s="173"/>
      <c r="BI771" s="173"/>
      <c r="BJ771" s="173"/>
      <c r="BK771" s="173"/>
      <c r="BL771" s="173"/>
      <c r="BM771" s="173"/>
      <c r="BN771" s="173"/>
      <c r="BO771" s="173"/>
      <c r="BP771" s="173"/>
      <c r="BQ771" s="118"/>
      <c r="BR771" s="118"/>
      <c r="BS771" s="118">
        <f>INDEX('Dist. Plant Gas Additions'!$F$7:$AE$91,MATCH($C771,'Dist. Plant Gas Additions'!$D$7:$D$91,0),MATCH(Calculation!$G771,'Dist. Plant Gas Additions'!$F$5:$AE$5,0))</f>
        <v>11933</v>
      </c>
      <c r="BT771" s="118">
        <f>INDEX('Gen. Plant Additions'!$F$7:$AE$91,MATCH($C771,'Gen. Plant Additions'!$D$7:$D$91,0),MATCH(Calculation!$G771,'Gen. Plant Additions'!$F$5:$AE$5,0))</f>
        <v>741</v>
      </c>
      <c r="BU771" s="118"/>
      <c r="BV771" s="118"/>
      <c r="BW771" s="118">
        <f>INDEX('Dist Plant Depreciation'!$E$7:$AD$94,MATCH($C771,'Dist Plant Depreciation'!$D$7:$D$94,0),MATCH(Calculation!$G771,'Dist Plant Depreciation'!$E$5:$AD$5,0))</f>
        <v>121224</v>
      </c>
      <c r="BX771" s="118">
        <f>INDEX('Gen. Plant Depreciation'!$E$7:$AD$94,MATCH($C771,'Gen. Plant Depreciation'!$D$7:$D$94,0),MATCH(Calculation!$G771,'Gen. Plant Depreciation'!$E$5:$AD$5,0))</f>
        <v>5081</v>
      </c>
      <c r="BY771" s="118"/>
      <c r="BZ771" s="118"/>
      <c r="CA771" s="118"/>
      <c r="CB771" s="118"/>
      <c r="CC771" s="118"/>
      <c r="CD771" s="118"/>
      <c r="CE771" s="118">
        <f>INDEX('Gross Dx Plant'!$E$7:$AD$91,MATCH($C771,'Gross Dx Plant'!$D$7:$D$91,0),MATCH(Calculation!$G771,'Gross Dx Plant'!$E$5:$AD$5,0))</f>
        <v>212664</v>
      </c>
      <c r="CF771" s="118">
        <f>INDEX('Gross Gen Plant'!$E$7:$AD$91,MATCH($C771,'Gross Gen Plant'!$D$7:$D$91,0),MATCH(Calculation!$G771,'Gross Gen Plant'!$E$5:$AD$5,0))</f>
        <v>15159</v>
      </c>
      <c r="CG771" s="118">
        <f t="shared" si="2136"/>
        <v>101518</v>
      </c>
      <c r="CH771" s="118"/>
      <c r="CI771" s="121">
        <v>2013</v>
      </c>
      <c r="CJ771" s="118"/>
      <c r="CK771" s="118"/>
      <c r="CL771" s="118"/>
      <c r="CM771" s="183"/>
      <c r="CN771" s="118">
        <f t="shared" si="2231"/>
        <v>12674</v>
      </c>
      <c r="CO771" s="118">
        <f t="shared" si="2232"/>
        <v>19.108979222755508</v>
      </c>
      <c r="CP771" s="186">
        <v>0.90566037735849059</v>
      </c>
      <c r="CQ771" s="118">
        <f>+CQ756*CP771+CO757*CP770+CO758*CP769+CO759*CP768+CO760*CP767+CO761*CP766+CO762*CP765+CO763*CP764+CO764*CP763+CO765*CP762+CO766*CP761+CO767*CP760+CO768*CP759+CO769*CP758+CO770*CP757+CO771</f>
        <v>530.75717526045571</v>
      </c>
      <c r="CR771" s="119">
        <f t="shared" si="2233"/>
        <v>2.9054170015976755E-2</v>
      </c>
      <c r="CS771" s="119"/>
      <c r="CT771" s="177">
        <f t="shared" si="2234"/>
        <v>7.5842709858796068E-3</v>
      </c>
      <c r="CU771" s="177">
        <f t="shared" si="2242"/>
        <v>7.3663196866284196E-3</v>
      </c>
      <c r="CV771" s="119">
        <f>VLOOKUP($H771,RoR!$E:$F,2,FALSE)</f>
        <v>4.2350000000000006E-2</v>
      </c>
      <c r="CW771" s="177">
        <v>1.7730000000000024E-2</v>
      </c>
      <c r="CX771" s="177">
        <f t="shared" si="2240"/>
        <v>2.4619999999999982E-2</v>
      </c>
      <c r="CY771" s="177">
        <f t="shared" si="2243"/>
        <v>2.3535621921905205E-2</v>
      </c>
      <c r="CZ771" s="177">
        <f t="shared" si="2244"/>
        <v>5.3376742735721204E-2</v>
      </c>
      <c r="DA771" s="187">
        <f t="shared" si="2235"/>
        <v>0.84949374999999994</v>
      </c>
      <c r="DB771" s="188">
        <f t="shared" si="2236"/>
        <v>1.2109103018193925</v>
      </c>
      <c r="DC771" s="188">
        <f t="shared" si="2237"/>
        <v>0.38468122786304604</v>
      </c>
      <c r="DD771" s="188">
        <f t="shared" si="2238"/>
        <v>0.80969194503422559</v>
      </c>
      <c r="DE771" s="188">
        <f t="shared" si="2239"/>
        <v>0.37716621754800816</v>
      </c>
      <c r="DF771" s="189">
        <f>INDEX('State Tax Lookup'!$D$7:$Z$91,MATCH(Calculation!$C771,'State Tax Lookup'!$B$7:$B$91,0),MATCH($H771,'State Tax Lookup'!$D$6:$Z$6,0))</f>
        <v>0.40134999999999998</v>
      </c>
      <c r="DG771" s="189">
        <v>0.375</v>
      </c>
      <c r="DH771" s="190">
        <f t="shared" si="2241"/>
        <v>22.075041178680408</v>
      </c>
      <c r="DI771" s="190">
        <v>21.75786794891086</v>
      </c>
      <c r="DJ771" s="177"/>
      <c r="DK771" s="189">
        <f>VLOOKUP($H771,RoR!$E:$F,2,FALSE)</f>
        <v>4.2350000000000006E-2</v>
      </c>
      <c r="DL771" s="191">
        <f>HLOOKUP($H771,'GDP-PI'!$D$8:$CQ$11,3,FALSE)</f>
        <v>1.7730000000000024E-2</v>
      </c>
      <c r="DM771" s="189">
        <f>VLOOKUP(H771,'HW Dx Data'!$E:$F,2,FALSE)</f>
        <v>663.24840548821396</v>
      </c>
      <c r="DN771" s="183">
        <f>VLOOKUP(H771,'ECI - Input Price'!$G$17:$H$37,2,FALSE)</f>
        <v>118.72499999999999</v>
      </c>
      <c r="DO771" s="177">
        <f t="shared" ref="DO771" si="2284">LN(DN771/DN770)</f>
        <v>1.8918621429430321E-2</v>
      </c>
      <c r="DP771" s="183">
        <f>HLOOKUP(H771,'GDP-PI'!$8:$9,2,FALSE)</f>
        <v>101.773</v>
      </c>
      <c r="DQ771" s="177">
        <f t="shared" ref="DQ771" si="2285">LN(DP771/DP770)</f>
        <v>1.7574657016510519E-2</v>
      </c>
    </row>
    <row r="772" spans="1:121" s="167" customFormat="1" ht="21" x14ac:dyDescent="0.35">
      <c r="A772" s="167" t="s">
        <v>77</v>
      </c>
      <c r="B772" s="168" t="s">
        <v>78</v>
      </c>
      <c r="C772" s="168">
        <v>4061925</v>
      </c>
      <c r="D772" s="168" t="s">
        <v>144</v>
      </c>
      <c r="E772" s="168"/>
      <c r="F772" s="168"/>
      <c r="G772" s="168" t="s">
        <v>20</v>
      </c>
      <c r="H772" s="169">
        <v>2014</v>
      </c>
      <c r="I772" s="170"/>
      <c r="J772" s="166">
        <f>IFERROR(INDEX('Labor Expenditures'!$F$7:$X$91,MATCH($C772,'Labor Expenditures'!$D$7:$D$91,0),MATCH($G772,'Labor Expenditures'!$F$5:$X$5,0)),"NA")</f>
        <v>7839.9174294723143</v>
      </c>
      <c r="K772" s="166">
        <f t="shared" si="2247"/>
        <v>64.685787371883777</v>
      </c>
      <c r="L772" s="172">
        <f t="shared" si="2254"/>
        <v>2.6487246648710983E-2</v>
      </c>
      <c r="M772" s="172">
        <f t="shared" si="2258"/>
        <v>7.2584510815345353E-5</v>
      </c>
      <c r="N772" s="196"/>
      <c r="O772" s="172"/>
      <c r="P772" s="166">
        <f>IFERROR(INDEX('Non-Labor Expenditures'!$F$7:$AB$91,MATCH($C772,'Non-Labor Expenditures'!$D$7:$D$91,0),MATCH($G772,'Non-Labor Expenditures'!$F$5:$AB$5,0)),"NA")</f>
        <v>11353.66473246768</v>
      </c>
      <c r="Q772" s="166">
        <f t="shared" si="2248"/>
        <v>109.54166287946278</v>
      </c>
      <c r="R772" s="172">
        <f t="shared" si="2259"/>
        <v>2.8873373950483491E-2</v>
      </c>
      <c r="S772" s="172">
        <f t="shared" si="2264"/>
        <v>7.9123351384141356E-5</v>
      </c>
      <c r="T772" s="172"/>
      <c r="U772" s="172"/>
      <c r="V772" s="166">
        <f t="shared" si="2229"/>
        <v>11991.146833728393</v>
      </c>
      <c r="W772" s="170"/>
      <c r="X772" s="174">
        <v>558.10297114099671</v>
      </c>
      <c r="Y772" s="175">
        <v>5.0238861863135024E-2</v>
      </c>
      <c r="Z772" s="175">
        <f t="shared" si="2265"/>
        <v>1.3767241497835439E-4</v>
      </c>
      <c r="AA772" s="175"/>
      <c r="AB772" s="175"/>
      <c r="AC772" s="170">
        <f t="shared" si="2271"/>
        <v>31184.728995668389</v>
      </c>
      <c r="AD772" s="175">
        <f t="shared" si="2260"/>
        <v>4.9079855639267221E-2</v>
      </c>
      <c r="AE772" s="170"/>
      <c r="AF772" s="170"/>
      <c r="AG772" s="121">
        <f t="shared" si="2261"/>
        <v>50.809098347794063</v>
      </c>
      <c r="AH772" s="119">
        <f>+AZ772/$BB$52</f>
        <v>1.675218124478535E-2</v>
      </c>
      <c r="AI772" s="119"/>
      <c r="AJ772" s="176">
        <f t="shared" si="2266"/>
        <v>0.85116322440637004</v>
      </c>
      <c r="AK772" s="176">
        <f t="shared" si="2267"/>
        <v>0</v>
      </c>
      <c r="AL772" s="120">
        <f t="shared" si="2249"/>
        <v>0.25140245504654835</v>
      </c>
      <c r="AM772" s="120">
        <f t="shared" si="2250"/>
        <v>0.36407771040898651</v>
      </c>
      <c r="AN772" s="120">
        <f t="shared" si="2251"/>
        <v>0.38451983454446514</v>
      </c>
      <c r="AO772" s="120">
        <f t="shared" si="2255"/>
        <v>3.6475458477211259E-2</v>
      </c>
      <c r="AP772" s="173">
        <f t="shared" si="2272"/>
        <v>131.99399253651848</v>
      </c>
      <c r="AQ772" s="175">
        <f t="shared" si="2273"/>
        <v>3.647545847721121E-2</v>
      </c>
      <c r="AR772" s="177">
        <f>+AC772/$AE$52</f>
        <v>2.740356964164779E-3</v>
      </c>
      <c r="AS772" s="177">
        <f t="shared" si="2268"/>
        <v>9.9955776659128964E-5</v>
      </c>
      <c r="AT772" s="177"/>
      <c r="AU772" s="177"/>
      <c r="AV772" s="177"/>
      <c r="AW772" s="190"/>
      <c r="AX772" s="120"/>
      <c r="AY772" s="120"/>
      <c r="AZ772" s="118">
        <v>613762.69230769202</v>
      </c>
      <c r="BA772" s="119">
        <f t="shared" si="2230"/>
        <v>8.0606847524071421E-3</v>
      </c>
      <c r="BB772" s="119"/>
      <c r="BC772" s="121"/>
      <c r="BD772" s="119"/>
      <c r="BE772" s="119"/>
      <c r="BF772" s="119"/>
      <c r="BG772" s="173"/>
      <c r="BH772" s="173"/>
      <c r="BI772" s="173"/>
      <c r="BJ772" s="173"/>
      <c r="BK772" s="173"/>
      <c r="BL772" s="173"/>
      <c r="BM772" s="173"/>
      <c r="BN772" s="173"/>
      <c r="BO772" s="173"/>
      <c r="BP772" s="173"/>
      <c r="BQ772" s="118"/>
      <c r="BR772" s="118"/>
      <c r="BS772" s="118">
        <f>INDEX('Dist. Plant Gas Additions'!$F$7:$AE$91,MATCH($C772,'Dist. Plant Gas Additions'!$D$7:$D$91,0),MATCH(Calculation!$G772,'Dist. Plant Gas Additions'!$F$5:$AE$5,0))</f>
        <v>20466</v>
      </c>
      <c r="BT772" s="118">
        <f>INDEX('Gen. Plant Additions'!$F$7:$AE$91,MATCH($C772,'Gen. Plant Additions'!$D$7:$D$91,0),MATCH(Calculation!$G772,'Gen. Plant Additions'!$F$5:$AE$5,0))</f>
        <v>1091</v>
      </c>
      <c r="BU772" s="118"/>
      <c r="BV772" s="118"/>
      <c r="BW772" s="118">
        <f>INDEX('Dist Plant Depreciation'!$E$7:$AD$94,MATCH($C772,'Dist Plant Depreciation'!$D$7:$D$94,0),MATCH(Calculation!$G772,'Dist Plant Depreciation'!$E$5:$AD$5,0))</f>
        <v>127059</v>
      </c>
      <c r="BX772" s="118">
        <f>INDEX('Gen. Plant Depreciation'!$E$7:$AD$94,MATCH($C772,'Gen. Plant Depreciation'!$D$7:$D$94,0),MATCH(Calculation!$G772,'Gen. Plant Depreciation'!$E$5:$AD$5,0))</f>
        <v>6300</v>
      </c>
      <c r="BY772" s="118"/>
      <c r="BZ772" s="118"/>
      <c r="CA772" s="118"/>
      <c r="CB772" s="118"/>
      <c r="CC772" s="118"/>
      <c r="CD772" s="118"/>
      <c r="CE772" s="118">
        <f>INDEX('Gross Dx Plant'!$E$7:$AD$91,MATCH($C772,'Gross Dx Plant'!$D$7:$D$91,0),MATCH(Calculation!$G772,'Gross Dx Plant'!$E$5:$AD$5,0))</f>
        <v>232239</v>
      </c>
      <c r="CF772" s="118">
        <f>INDEX('Gross Gen Plant'!$E$7:$AD$91,MATCH($C772,'Gross Gen Plant'!$D$7:$D$91,0),MATCH(Calculation!$G772,'Gross Gen Plant'!$E$5:$AD$5,0))</f>
        <v>16109</v>
      </c>
      <c r="CG772" s="118">
        <f t="shared" si="2136"/>
        <v>114989</v>
      </c>
      <c r="CH772" s="118"/>
      <c r="CI772" s="121">
        <v>2014</v>
      </c>
      <c r="CJ772" s="118"/>
      <c r="CK772" s="118"/>
      <c r="CL772" s="118"/>
      <c r="CM772" s="183"/>
      <c r="CN772" s="118">
        <f t="shared" si="2231"/>
        <v>21557</v>
      </c>
      <c r="CO772" s="118">
        <f t="shared" si="2232"/>
        <v>31.494480394291003</v>
      </c>
      <c r="CP772" s="186">
        <v>0.89743589743589747</v>
      </c>
      <c r="CQ772" s="118">
        <f>+CQ756*CP772+CO757*CP771+CO758*CP770+CO759*CP769+CO760*CP768+CO761*CP767+CO762*CP766+CO763*CP765+CO764*CP764+CO765*CP763+CO766*CP762+CO767*CP761+CO768*CP760+CO769*CP759+CO770*CP758+CO771*CP757+CO772</f>
        <v>558.10297114099671</v>
      </c>
      <c r="CR772" s="119">
        <f t="shared" si="2233"/>
        <v>5.0238861863135024E-2</v>
      </c>
      <c r="CS772" s="119"/>
      <c r="CT772" s="177">
        <f t="shared" si="2234"/>
        <v>7.8165396665888422E-3</v>
      </c>
      <c r="CU772" s="177">
        <f t="shared" si="2242"/>
        <v>7.5841039355043051E-3</v>
      </c>
      <c r="CV772" s="119">
        <f>VLOOKUP($H772,RoR!$E:$F,2,FALSE)</f>
        <v>4.1625000000000002E-2</v>
      </c>
      <c r="CW772" s="177">
        <v>1.841352814597208E-2</v>
      </c>
      <c r="CX772" s="177">
        <f t="shared" si="2240"/>
        <v>2.3211471854027922E-2</v>
      </c>
      <c r="CY772" s="177">
        <f t="shared" si="2243"/>
        <v>2.3317837673029321E-2</v>
      </c>
      <c r="CZ772" s="177">
        <f t="shared" si="2244"/>
        <v>3.9072621432650924E-2</v>
      </c>
      <c r="DA772" s="187">
        <f t="shared" si="2235"/>
        <v>0.84949374999999994</v>
      </c>
      <c r="DB772" s="188">
        <f t="shared" si="2236"/>
        <v>1.2320012320012319</v>
      </c>
      <c r="DC772" s="188">
        <f t="shared" si="2237"/>
        <v>0.37439939939939942</v>
      </c>
      <c r="DD772" s="188">
        <f t="shared" si="2238"/>
        <v>0.80432100613819935</v>
      </c>
      <c r="DE772" s="188">
        <f t="shared" si="2239"/>
        <v>0.37100152660040037</v>
      </c>
      <c r="DF772" s="189">
        <f>INDEX('State Tax Lookup'!$D$7:$Z$91,MATCH(Calculation!$C772,'State Tax Lookup'!$B$7:$B$91,0),MATCH($H772,'State Tax Lookup'!$D$6:$Z$6,0))</f>
        <v>0.40134999999999998</v>
      </c>
      <c r="DG772" s="189">
        <v>0.375</v>
      </c>
      <c r="DH772" s="190">
        <f t="shared" si="2241"/>
        <v>22.592528924067846</v>
      </c>
      <c r="DI772" s="190">
        <v>22.239551580764431</v>
      </c>
      <c r="DJ772" s="177"/>
      <c r="DK772" s="189">
        <f>VLOOKUP($H772,RoR!$E:$F,2,FALSE)</f>
        <v>4.1625000000000002E-2</v>
      </c>
      <c r="DL772" s="191">
        <f>HLOOKUP($H772,'GDP-PI'!$D$8:$CQ$11,3,FALSE)</f>
        <v>1.841352814597208E-2</v>
      </c>
      <c r="DM772" s="189">
        <f>VLOOKUP(H772,'HW Dx Data'!$E:$F,2,FALSE)</f>
        <v>684.46914285042885</v>
      </c>
      <c r="DN772" s="183">
        <f>VLOOKUP(H772,'ECI - Input Price'!$G$17:$H$37,2,FALSE)</f>
        <v>121.2</v>
      </c>
      <c r="DO772" s="177">
        <f t="shared" ref="DO772" si="2286">LN(DN772/DN771)</f>
        <v>2.0632179200028689E-2</v>
      </c>
      <c r="DP772" s="183">
        <f>HLOOKUP(H772,'GDP-PI'!$8:$9,2,FALSE)</f>
        <v>103.64700000000001</v>
      </c>
      <c r="DQ772" s="177">
        <f t="shared" ref="DQ772" si="2287">LN(DP772/DP771)</f>
        <v>1.8246051898256087E-2</v>
      </c>
    </row>
    <row r="773" spans="1:121" s="167" customFormat="1" ht="21" x14ac:dyDescent="0.35">
      <c r="A773" s="167" t="s">
        <v>77</v>
      </c>
      <c r="B773" s="168" t="s">
        <v>78</v>
      </c>
      <c r="C773" s="168">
        <v>4061925</v>
      </c>
      <c r="D773" s="168" t="s">
        <v>144</v>
      </c>
      <c r="E773" s="168"/>
      <c r="F773" s="168"/>
      <c r="G773" s="168" t="s">
        <v>21</v>
      </c>
      <c r="H773" s="169">
        <v>2015</v>
      </c>
      <c r="I773" s="170"/>
      <c r="J773" s="166">
        <f>IFERROR(INDEX('Labor Expenditures'!$F$7:$X$91,MATCH($C773,'Labor Expenditures'!$D$7:$D$91,0),MATCH($G773,'Labor Expenditures'!$F$5:$X$5,0)),"NA")</f>
        <v>8107.1662210837012</v>
      </c>
      <c r="K773" s="166">
        <f t="shared" si="2247"/>
        <v>65.512454311787479</v>
      </c>
      <c r="L773" s="172">
        <f t="shared" si="2254"/>
        <v>1.2698759032454232E-2</v>
      </c>
      <c r="M773" s="172">
        <f t="shared" si="2258"/>
        <v>3.5580963485558265E-5</v>
      </c>
      <c r="N773" s="196"/>
      <c r="O773" s="172"/>
      <c r="P773" s="166">
        <f>IFERROR(INDEX('Non-Labor Expenditures'!$F$7:$AB$91,MATCH($C773,'Non-Labor Expenditures'!$D$7:$D$91,0),MATCH($G773,'Non-Labor Expenditures'!$F$5:$AB$5,0)),"NA")</f>
        <v>11740.690897909964</v>
      </c>
      <c r="Q773" s="166">
        <f t="shared" si="2248"/>
        <v>112.20186448561211</v>
      </c>
      <c r="R773" s="172">
        <f t="shared" si="2259"/>
        <v>2.3994650660597167E-2</v>
      </c>
      <c r="S773" s="172">
        <f t="shared" si="2264"/>
        <v>6.723119848337128E-5</v>
      </c>
      <c r="T773" s="172"/>
      <c r="U773" s="172"/>
      <c r="V773" s="166">
        <f t="shared" si="2229"/>
        <v>12359.530744500007</v>
      </c>
      <c r="W773" s="170"/>
      <c r="X773" s="174">
        <v>584.93317422141172</v>
      </c>
      <c r="Y773" s="175">
        <v>4.6954127155126008E-2</v>
      </c>
      <c r="Z773" s="175">
        <f t="shared" si="2265"/>
        <v>1.3156191715529503E-4</v>
      </c>
      <c r="AA773" s="175"/>
      <c r="AB773" s="175"/>
      <c r="AC773" s="170">
        <f t="shared" si="2271"/>
        <v>32207.387863493674</v>
      </c>
      <c r="AD773" s="175">
        <f t="shared" si="2260"/>
        <v>3.2267343262168971E-2</v>
      </c>
      <c r="AE773" s="170"/>
      <c r="AF773" s="170"/>
      <c r="AG773" s="121">
        <f t="shared" si="2261"/>
        <v>52.057379066521428</v>
      </c>
      <c r="AH773" s="119">
        <f>+AZ773/$BB$53</f>
        <v>1.6749752608124963E-2</v>
      </c>
      <c r="AI773" s="119"/>
      <c r="AJ773" s="176">
        <f t="shared" si="2266"/>
        <v>0.87194822079161716</v>
      </c>
      <c r="AK773" s="176">
        <f t="shared" si="2267"/>
        <v>0</v>
      </c>
      <c r="AL773" s="120">
        <f t="shared" si="2249"/>
        <v>0.2517175952127737</v>
      </c>
      <c r="AM773" s="120">
        <f t="shared" si="2250"/>
        <v>0.36453409222974476</v>
      </c>
      <c r="AN773" s="120">
        <f t="shared" si="2251"/>
        <v>0.38374831255748154</v>
      </c>
      <c r="AO773" s="120">
        <f t="shared" si="2255"/>
        <v>2.9972573111200787E-2</v>
      </c>
      <c r="AP773" s="173">
        <f t="shared" si="2272"/>
        <v>136.01007767944986</v>
      </c>
      <c r="AQ773" s="175">
        <f t="shared" si="2273"/>
        <v>2.9972573111200766E-2</v>
      </c>
      <c r="AR773" s="177">
        <f>+AC773/$AE$53</f>
        <v>2.8019244553443338E-3</v>
      </c>
      <c r="AS773" s="177">
        <f t="shared" si="2268"/>
        <v>8.3980885589869428E-5</v>
      </c>
      <c r="AT773" s="177"/>
      <c r="AU773" s="177"/>
      <c r="AV773" s="177"/>
      <c r="AW773" s="190"/>
      <c r="AX773" s="120"/>
      <c r="AY773" s="120"/>
      <c r="AZ773" s="118">
        <v>618690.15384615352</v>
      </c>
      <c r="BA773" s="119">
        <f t="shared" si="2230"/>
        <v>7.9962293224255677E-3</v>
      </c>
      <c r="BB773" s="119"/>
      <c r="BC773" s="121"/>
      <c r="BD773" s="119"/>
      <c r="BE773" s="119"/>
      <c r="BF773" s="119"/>
      <c r="BG773" s="173"/>
      <c r="BH773" s="173"/>
      <c r="BI773" s="173"/>
      <c r="BJ773" s="173"/>
      <c r="BK773" s="173"/>
      <c r="BL773" s="173"/>
      <c r="BM773" s="173"/>
      <c r="BN773" s="173"/>
      <c r="BO773" s="173"/>
      <c r="BP773" s="173"/>
      <c r="BQ773" s="118"/>
      <c r="BR773" s="118"/>
      <c r="BS773" s="118">
        <f>INDEX('Dist. Plant Gas Additions'!$F$7:$AE$91,MATCH($C773,'Dist. Plant Gas Additions'!$D$7:$D$91,0),MATCH(Calculation!$G773,'Dist. Plant Gas Additions'!$F$5:$AE$5,0))</f>
        <v>19330</v>
      </c>
      <c r="BT773" s="118">
        <f>INDEX('Gen. Plant Additions'!$F$7:$AE$91,MATCH($C773,'Gen. Plant Additions'!$D$7:$D$91,0),MATCH(Calculation!$G773,'Gen. Plant Additions'!$F$5:$AE$5,0))</f>
        <v>1810</v>
      </c>
      <c r="BU773" s="118"/>
      <c r="BV773" s="118"/>
      <c r="BW773" s="118">
        <f>INDEX('Dist Plant Depreciation'!$E$7:$AD$94,MATCH($C773,'Dist Plant Depreciation'!$D$7:$D$94,0),MATCH(Calculation!$G773,'Dist Plant Depreciation'!$E$5:$AD$5,0))</f>
        <v>133090</v>
      </c>
      <c r="BX773" s="118">
        <f>INDEX('Gen. Plant Depreciation'!$E$7:$AD$94,MATCH($C773,'Gen. Plant Depreciation'!$D$7:$D$94,0),MATCH(Calculation!$G773,'Gen. Plant Depreciation'!$E$5:$AD$5,0))</f>
        <v>8289</v>
      </c>
      <c r="BY773" s="118"/>
      <c r="BZ773" s="118"/>
      <c r="CA773" s="118"/>
      <c r="CB773" s="118"/>
      <c r="CC773" s="118"/>
      <c r="CD773" s="118"/>
      <c r="CE773" s="118">
        <f>INDEX('Gross Dx Plant'!$E$7:$AD$91,MATCH($C773,'Gross Dx Plant'!$D$7:$D$91,0),MATCH(Calculation!$G773,'Gross Dx Plant'!$E$5:$AD$5,0))</f>
        <v>250522</v>
      </c>
      <c r="CF773" s="118">
        <f>INDEX('Gross Gen Plant'!$E$7:$AD$91,MATCH($C773,'Gross Gen Plant'!$D$7:$D$91,0),MATCH(Calculation!$G773,'Gross Gen Plant'!$E$5:$AD$5,0))</f>
        <v>17665</v>
      </c>
      <c r="CG773" s="118">
        <f t="shared" si="2136"/>
        <v>126808</v>
      </c>
      <c r="CH773" s="118"/>
      <c r="CI773" s="121">
        <v>2015</v>
      </c>
      <c r="CJ773" s="118"/>
      <c r="CK773" s="118"/>
      <c r="CL773" s="118"/>
      <c r="CM773" s="183"/>
      <c r="CN773" s="118">
        <f t="shared" si="2231"/>
        <v>21140</v>
      </c>
      <c r="CO773" s="118">
        <f t="shared" si="2232"/>
        <v>31.29002683588778</v>
      </c>
      <c r="CP773" s="186">
        <v>0.88888888888888884</v>
      </c>
      <c r="CQ773" s="118">
        <f>+CQ756*CP773+CO757*CP772+CO758*CP771+CO759*CP770+CO760*CP769+CO761*CP768+CO762*CP767+CO763*CP766+CO764*CP765+CO765*CP764+CO766*CP763+CO767*CP762+CO768*CP761+CO769*CP760+CO770*CP759+CO771*CP758+CO772*CP757+CO773</f>
        <v>584.93317422141172</v>
      </c>
      <c r="CR773" s="119">
        <f t="shared" si="2233"/>
        <v>4.6954127155126008E-2</v>
      </c>
      <c r="CS773" s="119"/>
      <c r="CT773" s="177">
        <f t="shared" si="2234"/>
        <v>7.9910410553002877E-3</v>
      </c>
      <c r="CU773" s="177">
        <f t="shared" si="2242"/>
        <v>7.7972839025895789E-3</v>
      </c>
      <c r="CV773" s="119">
        <f>VLOOKUP($H773,RoR!$E:$F,2,FALSE)</f>
        <v>3.8866666666666674E-2</v>
      </c>
      <c r="CW773" s="177">
        <v>9.5709475431029478E-3</v>
      </c>
      <c r="CX773" s="177">
        <f t="shared" si="2240"/>
        <v>2.9295719123563727E-2</v>
      </c>
      <c r="CY773" s="177">
        <f t="shared" si="2243"/>
        <v>2.3104657705944047E-2</v>
      </c>
      <c r="CZ773" s="177">
        <f t="shared" si="2244"/>
        <v>3.5270373279175926E-3</v>
      </c>
      <c r="DA773" s="187">
        <f t="shared" si="2235"/>
        <v>0.84949374999999994</v>
      </c>
      <c r="DB773" s="188">
        <f t="shared" si="2236"/>
        <v>1.3194352816994324</v>
      </c>
      <c r="DC773" s="188">
        <f t="shared" si="2237"/>
        <v>0.33177530017152673</v>
      </c>
      <c r="DD773" s="188">
        <f t="shared" si="2238"/>
        <v>0.78242572977668579</v>
      </c>
      <c r="DE773" s="188">
        <f t="shared" si="2239"/>
        <v>0.34251158643433932</v>
      </c>
      <c r="DF773" s="189">
        <f>INDEX('State Tax Lookup'!$D$7:$Z$91,MATCH(Calculation!$C773,'State Tax Lookup'!$B$7:$B$91,0),MATCH($H773,'State Tax Lookup'!$D$6:$Z$6,0))</f>
        <v>0.40134999999999998</v>
      </c>
      <c r="DG773" s="189">
        <v>0.375</v>
      </c>
      <c r="DH773" s="190">
        <f t="shared" si="2241"/>
        <v>22.145610010339023</v>
      </c>
      <c r="DI773" s="190">
        <v>21.806720302207683</v>
      </c>
      <c r="DJ773" s="177"/>
      <c r="DK773" s="189">
        <f>VLOOKUP($H773,RoR!$E:$F,2,FALSE)</f>
        <v>3.8866666666666674E-2</v>
      </c>
      <c r="DL773" s="191">
        <f>HLOOKUP($H773,'GDP-PI'!$D$8:$CQ$11,3,FALSE)</f>
        <v>9.5709475431029478E-3</v>
      </c>
      <c r="DM773" s="189">
        <f>VLOOKUP(H773,'HW Dx Data'!$E:$F,2,FALSE)</f>
        <v>675.61463308665782</v>
      </c>
      <c r="DN773" s="183">
        <f>VLOOKUP(H773,'ECI - Input Price'!$G$17:$H$37,2,FALSE)</f>
        <v>123.75</v>
      </c>
      <c r="DO773" s="177">
        <f t="shared" ref="DO773" si="2288">LN(DN773/DN772)</f>
        <v>2.0821327813585516E-2</v>
      </c>
      <c r="DP773" s="183">
        <f>HLOOKUP(H773,'GDP-PI'!$8:$9,2,FALSE)</f>
        <v>104.639</v>
      </c>
      <c r="DQ773" s="177">
        <f t="shared" ref="DQ773" si="2289">LN(DP773/DP772)</f>
        <v>9.5254361854427965E-3</v>
      </c>
    </row>
    <row r="774" spans="1:121" s="167" customFormat="1" ht="21" x14ac:dyDescent="0.35">
      <c r="A774" s="167" t="s">
        <v>77</v>
      </c>
      <c r="B774" s="168" t="s">
        <v>78</v>
      </c>
      <c r="C774" s="168">
        <v>4061925</v>
      </c>
      <c r="D774" s="168" t="s">
        <v>144</v>
      </c>
      <c r="E774" s="168"/>
      <c r="F774" s="168"/>
      <c r="G774" s="168" t="s">
        <v>22</v>
      </c>
      <c r="H774" s="169">
        <v>2016</v>
      </c>
      <c r="I774" s="170"/>
      <c r="J774" s="166">
        <f>IFERROR(INDEX('Labor Expenditures'!$F$7:$X$91,MATCH($C774,'Labor Expenditures'!$D$7:$D$91,0),MATCH($G774,'Labor Expenditures'!$F$5:$X$5,0)),"NA")</f>
        <v>7865.1831091705653</v>
      </c>
      <c r="K774" s="166">
        <f t="shared" si="2247"/>
        <v>62.224549914324093</v>
      </c>
      <c r="L774" s="172">
        <f t="shared" si="2254"/>
        <v>-5.1490651700555126E-2</v>
      </c>
      <c r="M774" s="172">
        <f t="shared" si="2258"/>
        <v>-1.3856677162415234E-4</v>
      </c>
      <c r="N774" s="196"/>
      <c r="O774" s="172"/>
      <c r="P774" s="166">
        <f>IFERROR(INDEX('Non-Labor Expenditures'!$F$7:$AB$91,MATCH($C774,'Non-Labor Expenditures'!$D$7:$D$91,0),MATCH($G774,'Non-Labor Expenditures'!$F$5:$AB$5,0)),"NA")</f>
        <v>11390.254155648781</v>
      </c>
      <c r="Q774" s="166">
        <f t="shared" si="2248"/>
        <v>107.7235204249147</v>
      </c>
      <c r="R774" s="172">
        <f t="shared" si="2259"/>
        <v>-4.0731661803802804E-2</v>
      </c>
      <c r="S774" s="172">
        <f t="shared" si="2264"/>
        <v>-1.0961319565079234E-4</v>
      </c>
      <c r="T774" s="172"/>
      <c r="U774" s="172"/>
      <c r="V774" s="166">
        <f t="shared" si="2229"/>
        <v>12763.028123184129</v>
      </c>
      <c r="W774" s="170"/>
      <c r="X774" s="174">
        <v>610.95878493259806</v>
      </c>
      <c r="Y774" s="175">
        <v>4.3531893187544378E-2</v>
      </c>
      <c r="Z774" s="175">
        <f t="shared" si="2265"/>
        <v>1.1714891349142553E-4</v>
      </c>
      <c r="AA774" s="175"/>
      <c r="AB774" s="175"/>
      <c r="AC774" s="170">
        <f t="shared" si="2271"/>
        <v>32018.465388003475</v>
      </c>
      <c r="AD774" s="175">
        <f t="shared" si="2260"/>
        <v>-5.8830832389107903E-3</v>
      </c>
      <c r="AE774" s="170"/>
      <c r="AF774" s="170"/>
      <c r="AG774" s="121">
        <f t="shared" si="2261"/>
        <v>51.343106092755491</v>
      </c>
      <c r="AH774" s="119">
        <f>+AZ774/$BB$54</f>
        <v>1.6737279344680226E-2</v>
      </c>
      <c r="AI774" s="119"/>
      <c r="AJ774" s="176">
        <f t="shared" si="2266"/>
        <v>0.85934390909800196</v>
      </c>
      <c r="AK774" s="176">
        <f t="shared" si="2267"/>
        <v>0</v>
      </c>
      <c r="AL774" s="120">
        <f t="shared" si="2249"/>
        <v>0.24564522421232138</v>
      </c>
      <c r="AM774" s="120">
        <f t="shared" si="2250"/>
        <v>0.35574016485863269</v>
      </c>
      <c r="AN774" s="120">
        <f t="shared" si="2251"/>
        <v>0.39861461092904593</v>
      </c>
      <c r="AO774" s="120">
        <f t="shared" si="2255"/>
        <v>-1.044488196521115E-2</v>
      </c>
      <c r="AP774" s="173">
        <f t="shared" si="2272"/>
        <v>134.59686175670279</v>
      </c>
      <c r="AQ774" s="175">
        <f t="shared" si="2273"/>
        <v>-1.0444881965211136E-2</v>
      </c>
      <c r="AR774" s="177">
        <f>+AC774/$AE$54</f>
        <v>2.6911054152118732E-3</v>
      </c>
      <c r="AS774" s="177">
        <f t="shared" si="2268"/>
        <v>-2.8108278417828522E-5</v>
      </c>
      <c r="AT774" s="177"/>
      <c r="AU774" s="177"/>
      <c r="AV774" s="177"/>
      <c r="AW774" s="190"/>
      <c r="AX774" s="120"/>
      <c r="AY774" s="120"/>
      <c r="AZ774" s="118">
        <v>623617.61538461503</v>
      </c>
      <c r="BA774" s="119">
        <f t="shared" si="2230"/>
        <v>7.9327965269210005E-3</v>
      </c>
      <c r="BB774" s="119"/>
      <c r="BC774" s="121"/>
      <c r="BD774" s="119"/>
      <c r="BE774" s="119"/>
      <c r="BF774" s="119"/>
      <c r="BG774" s="173"/>
      <c r="BH774" s="173"/>
      <c r="BI774" s="173"/>
      <c r="BJ774" s="173"/>
      <c r="BK774" s="173"/>
      <c r="BL774" s="173"/>
      <c r="BM774" s="173"/>
      <c r="BN774" s="173"/>
      <c r="BO774" s="173"/>
      <c r="BP774" s="173"/>
      <c r="BQ774" s="118"/>
      <c r="BR774" s="118"/>
      <c r="BS774" s="118">
        <f>INDEX('Dist. Plant Gas Additions'!$F$7:$AE$91,MATCH($C774,'Dist. Plant Gas Additions'!$D$7:$D$91,0),MATCH(Calculation!$G774,'Dist. Plant Gas Additions'!$F$5:$AE$5,0))</f>
        <v>19987</v>
      </c>
      <c r="BT774" s="118">
        <f>INDEX('Gen. Plant Additions'!$F$7:$AE$91,MATCH($C774,'Gen. Plant Additions'!$D$7:$D$91,0),MATCH(Calculation!$G774,'Gen. Plant Additions'!$F$5:$AE$5,0))</f>
        <v>700</v>
      </c>
      <c r="BU774" s="118"/>
      <c r="BV774" s="118"/>
      <c r="BW774" s="118">
        <f>INDEX('Dist Plant Depreciation'!$E$7:$AD$94,MATCH($C774,'Dist Plant Depreciation'!$D$7:$D$94,0),MATCH(Calculation!$G774,'Dist Plant Depreciation'!$E$5:$AD$5,0))</f>
        <v>138105</v>
      </c>
      <c r="BX774" s="118">
        <f>INDEX('Gen. Plant Depreciation'!$E$7:$AD$94,MATCH($C774,'Gen. Plant Depreciation'!$D$7:$D$94,0),MATCH(Calculation!$G774,'Gen. Plant Depreciation'!$E$5:$AD$5,0))</f>
        <v>8692</v>
      </c>
      <c r="BY774" s="118"/>
      <c r="BZ774" s="118"/>
      <c r="CA774" s="118"/>
      <c r="CB774" s="118"/>
      <c r="CC774" s="118"/>
      <c r="CD774" s="118"/>
      <c r="CE774" s="118">
        <f>INDEX('Gross Dx Plant'!$E$7:$AD$91,MATCH($C774,'Gross Dx Plant'!$D$7:$D$91,0),MATCH(Calculation!$G774,'Gross Dx Plant'!$E$5:$AD$5,0))</f>
        <v>269375</v>
      </c>
      <c r="CF774" s="118">
        <f>INDEX('Gross Gen Plant'!$E$7:$AD$91,MATCH($C774,'Gross Gen Plant'!$D$7:$D$91,0),MATCH(Calculation!$G774,'Gross Gen Plant'!$E$5:$AD$5,0))</f>
        <v>18028</v>
      </c>
      <c r="CG774" s="118">
        <f t="shared" si="2136"/>
        <v>140606</v>
      </c>
      <c r="CH774" s="118"/>
      <c r="CI774" s="121">
        <v>2016</v>
      </c>
      <c r="CJ774" s="118"/>
      <c r="CK774" s="118"/>
      <c r="CL774" s="118"/>
      <c r="CM774" s="183"/>
      <c r="CN774" s="118">
        <f t="shared" si="2231"/>
        <v>20687</v>
      </c>
      <c r="CO774" s="118">
        <f t="shared" si="2232"/>
        <v>30.809148872774227</v>
      </c>
      <c r="CP774" s="186">
        <v>0.88</v>
      </c>
      <c r="CQ774" s="118">
        <f>+CQ756*CP774+CO757*CP773+CO758*CP772+CO759*CP771+CO760*CP770+CO761*CP769+CO762*CP768+CO763*CP767+CO764*CP766+CO765*CP765+CO766*CP764+CO767*CP763+CO768*CP762+CO769*CP761+CO770*CP760+CO771*CP759+CO772*CP758+CO773*CP757+CO774</f>
        <v>610.95878493259806</v>
      </c>
      <c r="CR774" s="119">
        <f t="shared" si="2233"/>
        <v>4.3531893187544378E-2</v>
      </c>
      <c r="CS774" s="119"/>
      <c r="CT774" s="177">
        <f t="shared" si="2234"/>
        <v>8.177922491667728E-3</v>
      </c>
      <c r="CU774" s="177">
        <f t="shared" si="2242"/>
        <v>7.9951677378522854E-3</v>
      </c>
      <c r="CV774" s="119">
        <f>VLOOKUP($H774,RoR!$E:$F,2,FALSE)</f>
        <v>3.6658333333333334E-2</v>
      </c>
      <c r="CW774" s="177">
        <v>1.0483662879041455E-2</v>
      </c>
      <c r="CX774" s="177">
        <f t="shared" si="2240"/>
        <v>2.6174670454291879E-2</v>
      </c>
      <c r="CY774" s="177">
        <f t="shared" si="2243"/>
        <v>2.2906773870681338E-2</v>
      </c>
      <c r="CZ774" s="177">
        <f t="shared" si="2244"/>
        <v>4.301363574220729E-3</v>
      </c>
      <c r="DA774" s="187">
        <f t="shared" si="2235"/>
        <v>0.84949374999999994</v>
      </c>
      <c r="DB774" s="188">
        <f t="shared" si="2236"/>
        <v>1.3989193348138562</v>
      </c>
      <c r="DC774" s="188">
        <f t="shared" si="2237"/>
        <v>0.29302682427824522</v>
      </c>
      <c r="DD774" s="188">
        <f t="shared" si="2238"/>
        <v>0.76309497491941802</v>
      </c>
      <c r="DE774" s="188">
        <f t="shared" si="2239"/>
        <v>0.31280857135128509</v>
      </c>
      <c r="DF774" s="189">
        <f>INDEX('State Tax Lookup'!$D$7:$Z$91,MATCH(Calculation!$C774,'State Tax Lookup'!$B$7:$B$91,0),MATCH($H774,'State Tax Lookup'!$D$6:$Z$6,0))</f>
        <v>0.40134999999999998</v>
      </c>
      <c r="DG774" s="189">
        <v>0.375</v>
      </c>
      <c r="DH774" s="190">
        <f t="shared" si="2241"/>
        <v>21.819634593597193</v>
      </c>
      <c r="DI774" s="190">
        <v>21.46853106211228</v>
      </c>
      <c r="DJ774" s="177"/>
      <c r="DK774" s="189">
        <f>VLOOKUP($H774,RoR!$E:$F,2,FALSE)</f>
        <v>3.6658333333333334E-2</v>
      </c>
      <c r="DL774" s="191">
        <f>HLOOKUP($H774,'GDP-PI'!$D$8:$CQ$11,3,FALSE)</f>
        <v>1.0483662879041455E-2</v>
      </c>
      <c r="DM774" s="189">
        <f>VLOOKUP(H774,'HW Dx Data'!$E:$F,2,FALSE)</f>
        <v>671.45639385971219</v>
      </c>
      <c r="DN774" s="183">
        <f>VLOOKUP(H774,'ECI - Input Price'!$G$17:$H$37,2,FALSE)</f>
        <v>126.4</v>
      </c>
      <c r="DO774" s="177">
        <f t="shared" ref="DO774" si="2290">LN(DN774/DN773)</f>
        <v>2.11880802639575E-2</v>
      </c>
      <c r="DP774" s="183">
        <f>HLOOKUP(H774,'GDP-PI'!$8:$9,2,FALSE)</f>
        <v>105.736</v>
      </c>
      <c r="DQ774" s="177">
        <f t="shared" ref="DQ774" si="2291">LN(DP774/DP773)</f>
        <v>1.0429090367205095E-2</v>
      </c>
    </row>
    <row r="775" spans="1:121" s="167" customFormat="1" ht="21" x14ac:dyDescent="0.35">
      <c r="A775" s="167" t="s">
        <v>77</v>
      </c>
      <c r="B775" s="168" t="s">
        <v>78</v>
      </c>
      <c r="C775" s="168">
        <v>4061925</v>
      </c>
      <c r="D775" s="168" t="s">
        <v>144</v>
      </c>
      <c r="E775" s="168"/>
      <c r="F775" s="168"/>
      <c r="G775" s="168" t="s">
        <v>23</v>
      </c>
      <c r="H775" s="169">
        <v>2017</v>
      </c>
      <c r="I775" s="170"/>
      <c r="J775" s="166">
        <f>IFERROR(INDEX('Labor Expenditures'!$F$7:$X$91,MATCH($C775,'Labor Expenditures'!$D$7:$D$91,0),MATCH($G775,'Labor Expenditures'!$F$5:$X$5,0)),"NA")</f>
        <v>7311.955921537975</v>
      </c>
      <c r="K775" s="166">
        <f t="shared" si="2247"/>
        <v>56.462980089096334</v>
      </c>
      <c r="L775" s="172">
        <f t="shared" si="2254"/>
        <v>-9.7164411290445285E-2</v>
      </c>
      <c r="M775" s="172">
        <f t="shared" si="2258"/>
        <v>-2.4576393937773258E-4</v>
      </c>
      <c r="N775" s="196"/>
      <c r="O775" s="172"/>
      <c r="P775" s="166">
        <f>IFERROR(INDEX('Non-Labor Expenditures'!$F$7:$AB$91,MATCH($C775,'Non-Labor Expenditures'!$D$7:$D$91,0),MATCH($G775,'Non-Labor Expenditures'!$F$5:$AB$5,0)),"NA")</f>
        <v>10589.077859371235</v>
      </c>
      <c r="Q775" s="166">
        <f t="shared" si="2248"/>
        <v>98.273592443422658</v>
      </c>
      <c r="R775" s="172">
        <f t="shared" si="2259"/>
        <v>-9.1812600091354973E-2</v>
      </c>
      <c r="S775" s="172">
        <f t="shared" si="2264"/>
        <v>-2.3222727316809909E-4</v>
      </c>
      <c r="T775" s="172"/>
      <c r="U775" s="172"/>
      <c r="V775" s="166">
        <f t="shared" si="2229"/>
        <v>12065.253808707981</v>
      </c>
      <c r="W775" s="170"/>
      <c r="X775" s="174">
        <v>642.05220423806429</v>
      </c>
      <c r="Y775" s="175">
        <v>4.9640113602369085E-2</v>
      </c>
      <c r="Z775" s="175">
        <f t="shared" si="2265"/>
        <v>1.2555780154534896E-4</v>
      </c>
      <c r="AA775" s="175"/>
      <c r="AB775" s="175"/>
      <c r="AC775" s="170">
        <f t="shared" si="2271"/>
        <v>29966.28758961719</v>
      </c>
      <c r="AD775" s="175">
        <f t="shared" si="2260"/>
        <v>-6.6239776977030485E-2</v>
      </c>
      <c r="AE775" s="170"/>
      <c r="AF775" s="170"/>
      <c r="AG775" s="121">
        <f t="shared" si="2261"/>
        <v>47.67563805655989</v>
      </c>
      <c r="AH775" s="119">
        <f>+AZ775/$BB$55</f>
        <v>1.6742782723570916E-2</v>
      </c>
      <c r="AI775" s="119"/>
      <c r="AJ775" s="176">
        <f t="shared" si="2266"/>
        <v>0.79822284918859099</v>
      </c>
      <c r="AK775" s="176">
        <f t="shared" si="2267"/>
        <v>0</v>
      </c>
      <c r="AL775" s="120">
        <f t="shared" si="2249"/>
        <v>0.24400606513806014</v>
      </c>
      <c r="AM775" s="120">
        <f t="shared" si="2250"/>
        <v>0.35336635636641794</v>
      </c>
      <c r="AN775" s="120">
        <f t="shared" si="2251"/>
        <v>0.402627578495522</v>
      </c>
      <c r="AO775" s="120">
        <f t="shared" si="2255"/>
        <v>-3.6453919708349158E-2</v>
      </c>
      <c r="AP775" s="173">
        <f t="shared" si="2272"/>
        <v>129.77863377528058</v>
      </c>
      <c r="AQ775" s="175">
        <f t="shared" si="2273"/>
        <v>-3.6453919708349096E-2</v>
      </c>
      <c r="AR775" s="177">
        <f>+AC775/$AE$55</f>
        <v>2.5293616882326535E-3</v>
      </c>
      <c r="AS775" s="177">
        <f t="shared" si="2268"/>
        <v>-9.2205147896207477E-5</v>
      </c>
      <c r="AT775" s="177"/>
      <c r="AU775" s="177"/>
      <c r="AV775" s="177"/>
      <c r="AW775" s="190"/>
      <c r="AX775" s="120"/>
      <c r="AY775" s="120"/>
      <c r="AZ775" s="118">
        <v>628545.07692307653</v>
      </c>
      <c r="BA775" s="119">
        <f t="shared" si="2230"/>
        <v>7.8703622200023051E-3</v>
      </c>
      <c r="BB775" s="119"/>
      <c r="BC775" s="121"/>
      <c r="BD775" s="119"/>
      <c r="BE775" s="119"/>
      <c r="BF775" s="119"/>
      <c r="BG775" s="173"/>
      <c r="BH775" s="173"/>
      <c r="BI775" s="173"/>
      <c r="BJ775" s="173"/>
      <c r="BK775" s="173"/>
      <c r="BL775" s="173"/>
      <c r="BM775" s="173"/>
      <c r="BN775" s="173"/>
      <c r="BO775" s="173"/>
      <c r="BP775" s="173"/>
      <c r="BQ775" s="118"/>
      <c r="BR775" s="118"/>
      <c r="BS775" s="118">
        <f>INDEX('Dist. Plant Gas Additions'!$F$7:$AE$91,MATCH($C775,'Dist. Plant Gas Additions'!$D$7:$D$91,0),MATCH(Calculation!$G775,'Dist. Plant Gas Additions'!$F$5:$AE$5,0))</f>
        <v>23159</v>
      </c>
      <c r="BT775" s="118">
        <f>INDEX('Gen. Plant Additions'!$F$7:$AE$91,MATCH($C775,'Gen. Plant Additions'!$D$7:$D$91,0),MATCH(Calculation!$G775,'Gen. Plant Additions'!$F$5:$AE$5,0))</f>
        <v>2640</v>
      </c>
      <c r="BU775" s="118"/>
      <c r="BV775" s="118"/>
      <c r="BW775" s="118">
        <f>INDEX('Dist Plant Depreciation'!$E$7:$AD$94,MATCH($C775,'Dist Plant Depreciation'!$D$7:$D$94,0),MATCH(Calculation!$G775,'Dist Plant Depreciation'!$E$5:$AD$5,0))</f>
        <v>143328</v>
      </c>
      <c r="BX775" s="118">
        <f>INDEX('Gen. Plant Depreciation'!$E$7:$AD$94,MATCH($C775,'Gen. Plant Depreciation'!$D$7:$D$94,0),MATCH(Calculation!$G775,'Gen. Plant Depreciation'!$E$5:$AD$5,0))</f>
        <v>9852</v>
      </c>
      <c r="BY775" s="118"/>
      <c r="BZ775" s="118"/>
      <c r="CA775" s="118"/>
      <c r="CB775" s="118"/>
      <c r="CC775" s="118"/>
      <c r="CD775" s="118"/>
      <c r="CE775" s="118">
        <f>INDEX('Gross Dx Plant'!$E$7:$AD$91,MATCH($C775,'Gross Dx Plant'!$D$7:$D$91,0),MATCH(Calculation!$G775,'Gross Dx Plant'!$E$5:$AD$5,0))</f>
        <v>291131</v>
      </c>
      <c r="CF775" s="118">
        <f>INDEX('Gross Gen Plant'!$E$7:$AD$91,MATCH($C775,'Gross Gen Plant'!$D$7:$D$91,0),MATCH(Calculation!$G775,'Gross Gen Plant'!$E$5:$AD$5,0))</f>
        <v>20104</v>
      </c>
      <c r="CG775" s="118">
        <f t="shared" si="2136"/>
        <v>158055</v>
      </c>
      <c r="CH775" s="118"/>
      <c r="CI775" s="121">
        <v>2017</v>
      </c>
      <c r="CJ775" s="118"/>
      <c r="CK775" s="118"/>
      <c r="CL775" s="118"/>
      <c r="CM775" s="183"/>
      <c r="CN775" s="118">
        <f t="shared" si="2231"/>
        <v>25799</v>
      </c>
      <c r="CO775" s="118">
        <f t="shared" si="2232"/>
        <v>36.212752534337724</v>
      </c>
      <c r="CP775" s="186">
        <v>0.87074829931972786</v>
      </c>
      <c r="CQ775" s="118">
        <f>+CQ756*CP775+CO757*CP774+CO758*CP773+CO759*CP772+CO760*CP771+CO761*CP770+CO762*CP769+CO763*CP768+CO764*CP767+CO765*CP766+CO766*CP765+CO767*CP764+CO768*CP763+CO769*CP762+CO770*CP761+CO771*CP760+CO772*CP759+CO773*CP758+CO774*CP757+CO775</f>
        <v>642.05220423806429</v>
      </c>
      <c r="CR775" s="119">
        <f t="shared" si="2233"/>
        <v>4.9640113602369085E-2</v>
      </c>
      <c r="CS775" s="119"/>
      <c r="CT775" s="177">
        <f t="shared" si="2234"/>
        <v>8.3791793409374905E-3</v>
      </c>
      <c r="CU775" s="177">
        <f t="shared" si="2242"/>
        <v>8.1827142959685021E-3</v>
      </c>
      <c r="CV775" s="119">
        <f>VLOOKUP($H775,RoR!$E:$F,2,FALSE)</f>
        <v>3.7433333333333339E-2</v>
      </c>
      <c r="CW775" s="177">
        <v>1.9056896421275615E-2</v>
      </c>
      <c r="CX775" s="177">
        <f t="shared" si="2240"/>
        <v>1.8376436912057724E-2</v>
      </c>
      <c r="CY775" s="177">
        <f t="shared" si="2243"/>
        <v>2.2719227312565121E-2</v>
      </c>
      <c r="CZ775" s="177">
        <f t="shared" si="2244"/>
        <v>1.3976271617800498E-2</v>
      </c>
      <c r="DA775" s="187">
        <f t="shared" si="2235"/>
        <v>0.90199375000000004</v>
      </c>
      <c r="DB775" s="188">
        <f t="shared" si="2236"/>
        <v>1.3699568463593395</v>
      </c>
      <c r="DC775" s="188">
        <f t="shared" si="2237"/>
        <v>0.30714603739982199</v>
      </c>
      <c r="DD775" s="188">
        <f t="shared" si="2238"/>
        <v>0.77007188472689425</v>
      </c>
      <c r="DE775" s="188">
        <f t="shared" si="2239"/>
        <v>0.32402839633793828</v>
      </c>
      <c r="DF775" s="189">
        <f>INDEX('State Tax Lookup'!$D$7:$Z$91,MATCH(Calculation!$C775,'State Tax Lookup'!$B$7:$B$91,0),MATCH($H775,'State Tax Lookup'!$D$6:$Z$6,0))</f>
        <v>0.26134999999999997</v>
      </c>
      <c r="DG775" s="189">
        <v>0.375</v>
      </c>
      <c r="DH775" s="190">
        <f t="shared" si="2241"/>
        <v>19.748065018885093</v>
      </c>
      <c r="DI775" s="190">
        <v>19.452122878663634</v>
      </c>
      <c r="DJ775" s="177"/>
      <c r="DK775" s="189">
        <f>VLOOKUP($H775,RoR!$E:$F,2,FALSE)</f>
        <v>3.7433333333333339E-2</v>
      </c>
      <c r="DL775" s="191">
        <f>HLOOKUP($H775,'GDP-PI'!$D$8:$CQ$11,3,FALSE)</f>
        <v>1.9056896421275615E-2</v>
      </c>
      <c r="DM775" s="189">
        <f>VLOOKUP(H775,'HW Dx Data'!$E:$F,2,FALSE)</f>
        <v>712.42858370229726</v>
      </c>
      <c r="DN775" s="183">
        <f>VLOOKUP(H775,'ECI - Input Price'!$G$17:$H$37,2,FALSE)</f>
        <v>129.5</v>
      </c>
      <c r="DO775" s="177">
        <f t="shared" ref="DO775" si="2292">LN(DN775/DN774)</f>
        <v>2.4229399426835413E-2</v>
      </c>
      <c r="DP775" s="183">
        <f>HLOOKUP(H775,'GDP-PI'!$8:$9,2,FALSE)</f>
        <v>107.751</v>
      </c>
      <c r="DQ775" s="177">
        <f t="shared" ref="DQ775" si="2293">LN(DP775/DP774)</f>
        <v>1.8877588227745139E-2</v>
      </c>
    </row>
    <row r="776" spans="1:121" s="167" customFormat="1" ht="21" x14ac:dyDescent="0.35">
      <c r="A776" s="167" t="s">
        <v>77</v>
      </c>
      <c r="B776" s="168" t="s">
        <v>78</v>
      </c>
      <c r="C776" s="168">
        <v>4061925</v>
      </c>
      <c r="D776" s="168" t="s">
        <v>144</v>
      </c>
      <c r="E776" s="168"/>
      <c r="F776" s="168"/>
      <c r="G776" s="168" t="s">
        <v>24</v>
      </c>
      <c r="H776" s="169">
        <v>2018</v>
      </c>
      <c r="I776" s="170"/>
      <c r="J776" s="166">
        <f>IFERROR(INDEX('Labor Expenditures'!$F$7:$X$91,MATCH($C776,'Labor Expenditures'!$D$7:$D$91,0),MATCH($G776,'Labor Expenditures'!$F$5:$X$5,0)),"NA")</f>
        <v>7357.6494811998728</v>
      </c>
      <c r="K776" s="166">
        <f t="shared" si="2247"/>
        <v>55.21688166003657</v>
      </c>
      <c r="L776" s="172">
        <f t="shared" si="2254"/>
        <v>-2.231647003814255E-2</v>
      </c>
      <c r="M776" s="172">
        <f t="shared" si="2258"/>
        <v>-5.4259683214931099E-5</v>
      </c>
      <c r="N776" s="196"/>
      <c r="O776" s="172"/>
      <c r="P776" s="166">
        <f>IFERROR(INDEX('Non-Labor Expenditures'!$F$7:$AB$91,MATCH($C776,'Non-Labor Expenditures'!$D$7:$D$91,0),MATCH($G776,'Non-Labor Expenditures'!$F$5:$AB$5,0)),"NA")</f>
        <v>10655.250668141378</v>
      </c>
      <c r="Q776" s="166">
        <f t="shared" si="2248"/>
        <v>96.583189827426779</v>
      </c>
      <c r="R776" s="172">
        <f t="shared" si="2259"/>
        <v>-1.7350640848289977E-2</v>
      </c>
      <c r="S776" s="172">
        <f t="shared" si="2264"/>
        <v>-4.2185895636504336E-5</v>
      </c>
      <c r="T776" s="172"/>
      <c r="U776" s="172"/>
      <c r="V776" s="166">
        <f t="shared" si="2229"/>
        <v>13308.259291799999</v>
      </c>
      <c r="W776" s="170"/>
      <c r="X776" s="174">
        <v>664.72188339834759</v>
      </c>
      <c r="Y776" s="175">
        <v>3.4699117327040521E-2</v>
      </c>
      <c r="Z776" s="175">
        <f t="shared" si="2265"/>
        <v>8.4366528881359414E-5</v>
      </c>
      <c r="AA776" s="175"/>
      <c r="AB776" s="175"/>
      <c r="AC776" s="170">
        <f t="shared" si="2271"/>
        <v>31321.159441141252</v>
      </c>
      <c r="AD776" s="175">
        <f t="shared" si="2260"/>
        <v>4.4220886858639209E-2</v>
      </c>
      <c r="AE776" s="170"/>
      <c r="AF776" s="170"/>
      <c r="AG776" s="121">
        <f t="shared" si="2261"/>
        <v>49.599056577793768</v>
      </c>
      <c r="AH776" s="119">
        <f>+AZ776/$BB$56</f>
        <v>1.6675034722546795E-2</v>
      </c>
      <c r="AI776" s="119"/>
      <c r="AJ776" s="176">
        <f t="shared" si="2266"/>
        <v>0.82706599064027408</v>
      </c>
      <c r="AK776" s="176">
        <f t="shared" si="2267"/>
        <v>0</v>
      </c>
      <c r="AL776" s="120">
        <f t="shared" si="2249"/>
        <v>0.23490986963705393</v>
      </c>
      <c r="AM776" s="120">
        <f t="shared" si="2250"/>
        <v>0.34019336634599157</v>
      </c>
      <c r="AN776" s="120">
        <f t="shared" si="2251"/>
        <v>0.42489676401695442</v>
      </c>
      <c r="AO776" s="120">
        <f t="shared" si="2255"/>
        <v>2.9964727435010108E-3</v>
      </c>
      <c r="AP776" s="173">
        <f t="shared" si="2272"/>
        <v>130.16809512783126</v>
      </c>
      <c r="AQ776" s="175">
        <f t="shared" si="2273"/>
        <v>2.996472743500905E-3</v>
      </c>
      <c r="AR776" s="177">
        <f>+AC776/$AE$56</f>
        <v>2.4313739190020777E-3</v>
      </c>
      <c r="AS776" s="177">
        <f t="shared" si="2268"/>
        <v>7.2855456775487032E-6</v>
      </c>
      <c r="AT776" s="177"/>
      <c r="AU776" s="177"/>
      <c r="AV776" s="177"/>
      <c r="AW776" s="190"/>
      <c r="AX776" s="120"/>
      <c r="AY776" s="120"/>
      <c r="AZ776" s="118">
        <f>IFERROR(INDEX('Total Customers'!$F$7:$AB$91,MATCH($C776,'Total Customers'!$D$7:$D$91,0),MATCH($G776,'Total Customers'!$F$5:$AB$5,0)),"NA")</f>
        <v>631487</v>
      </c>
      <c r="BA776" s="119">
        <f t="shared" si="2230"/>
        <v>4.6696087767626104E-3</v>
      </c>
      <c r="BB776" s="119"/>
      <c r="BC776" s="121"/>
      <c r="BD776" s="119"/>
      <c r="BE776" s="119"/>
      <c r="BF776" s="119"/>
      <c r="BG776" s="173"/>
      <c r="BH776" s="173"/>
      <c r="BI776" s="173"/>
      <c r="BJ776" s="173"/>
      <c r="BK776" s="173"/>
      <c r="BL776" s="173"/>
      <c r="BM776" s="173"/>
      <c r="BN776" s="173"/>
      <c r="BO776" s="173"/>
      <c r="BP776" s="173"/>
      <c r="BQ776" s="118"/>
      <c r="BR776" s="118"/>
      <c r="BS776" s="118">
        <f>INDEX('Dist. Plant Gas Additions'!$F$7:$AE$91,MATCH($C776,'Dist. Plant Gas Additions'!$D$7:$D$91,0),MATCH(Calculation!$G776,'Dist. Plant Gas Additions'!$F$5:$AE$5,0))</f>
        <v>19791</v>
      </c>
      <c r="BT776" s="118">
        <f>INDEX('Gen. Plant Additions'!$F$7:$AE$91,MATCH($C776,'Gen. Plant Additions'!$D$7:$D$91,0),MATCH(Calculation!$G776,'Gen. Plant Additions'!$F$5:$AE$5,0))</f>
        <v>1479</v>
      </c>
      <c r="BU776" s="118"/>
      <c r="BV776" s="118"/>
      <c r="BW776" s="118">
        <f>INDEX('Dist Plant Depreciation'!$E$7:$AD$94,MATCH($C776,'Dist Plant Depreciation'!$D$7:$D$94,0),MATCH(Calculation!$G776,'Dist Plant Depreciation'!$E$5:$AD$5,0))</f>
        <v>150417</v>
      </c>
      <c r="BX776" s="118">
        <f>INDEX('Gen. Plant Depreciation'!$E$7:$AD$94,MATCH($C776,'Gen. Plant Depreciation'!$D$7:$D$94,0),MATCH(Calculation!$G776,'Gen. Plant Depreciation'!$E$5:$AD$5,0))</f>
        <v>9618</v>
      </c>
      <c r="BY776" s="118"/>
      <c r="BZ776" s="118"/>
      <c r="CA776" s="118"/>
      <c r="CB776" s="118"/>
      <c r="CC776" s="118"/>
      <c r="CD776" s="118"/>
      <c r="CE776" s="118">
        <f>INDEX('Gross Dx Plant'!$E$7:$AD$91,MATCH($C776,'Gross Dx Plant'!$D$7:$D$91,0),MATCH(Calculation!$G776,'Gross Dx Plant'!$E$5:$AD$5,0))</f>
        <v>310058</v>
      </c>
      <c r="CF776" s="118">
        <f>INDEX('Gross Gen Plant'!$E$7:$AD$91,MATCH($C776,'Gross Gen Plant'!$D$7:$D$91,0),MATCH(Calculation!$G776,'Gross Gen Plant'!$E$5:$AD$5,0))</f>
        <v>20136</v>
      </c>
      <c r="CG776" s="118">
        <f t="shared" si="2136"/>
        <v>170159</v>
      </c>
      <c r="CH776" s="118"/>
      <c r="CI776" s="121">
        <v>2018</v>
      </c>
      <c r="CJ776" s="118"/>
      <c r="CK776" s="118"/>
      <c r="CL776" s="118"/>
      <c r="CM776" s="183"/>
      <c r="CN776" s="118">
        <f t="shared" si="2231"/>
        <v>21270</v>
      </c>
      <c r="CO776" s="118">
        <f t="shared" si="2232"/>
        <v>28.16708497419706</v>
      </c>
      <c r="CP776" s="186">
        <v>0.86111111111111116</v>
      </c>
      <c r="CQ776" s="118">
        <f>+CQ756*CP776++CO757*CP775+CO758*CP774+CO759*CP773+CO760*CP772+CO761*CP771+CO762*CP770+CO763*CP769+CO764*CP768+CO765*CP767+CO766*CP766+CO767*CP765+CO768*CP764+CO769*CP763+CO770*CP762+CO771*CP761+CO772*CP760+CO773*CP759+CO774*CP758+CO775*CP757+CO776</f>
        <v>664.72188339834759</v>
      </c>
      <c r="CR776" s="119">
        <f t="shared" si="2233"/>
        <v>3.4699117327040521E-2</v>
      </c>
      <c r="CS776" s="119"/>
      <c r="CT776" s="177">
        <f t="shared" si="2234"/>
        <v>8.5622411661021285E-3</v>
      </c>
      <c r="CU776" s="177">
        <f t="shared" si="2242"/>
        <v>8.3731143329024479E-3</v>
      </c>
      <c r="CV776" s="119">
        <f>VLOOKUP($H776,RoR!$E:$F,2,FALSE)</f>
        <v>3.9299999999999995E-2</v>
      </c>
      <c r="CW776" s="177">
        <v>2.386056741932796E-2</v>
      </c>
      <c r="CX776" s="177">
        <f t="shared" si="2240"/>
        <v>1.5439432580672034E-2</v>
      </c>
      <c r="CY776" s="177">
        <f t="shared" si="2243"/>
        <v>2.2528827275631179E-2</v>
      </c>
      <c r="CZ776" s="177">
        <f t="shared" si="2244"/>
        <v>3.8270792163076606E-2</v>
      </c>
      <c r="DA776" s="187">
        <f t="shared" si="2235"/>
        <v>0.90199375000000004</v>
      </c>
      <c r="DB776" s="188">
        <f t="shared" si="2236"/>
        <v>1.3048868010700074</v>
      </c>
      <c r="DC776" s="188">
        <f t="shared" si="2237"/>
        <v>0.33886768447837151</v>
      </c>
      <c r="DD776" s="188">
        <f t="shared" si="2238"/>
        <v>0.78602506232557801</v>
      </c>
      <c r="DE776" s="188">
        <f t="shared" si="2239"/>
        <v>0.34756768162358759</v>
      </c>
      <c r="DF776" s="189">
        <f>INDEX('State Tax Lookup'!$D$7:$Z$91,MATCH(Calculation!$C776,'State Tax Lookup'!$B$7:$B$91,0),MATCH($H776,'State Tax Lookup'!$D$6:$Z$6,0))</f>
        <v>0.26134999999999997</v>
      </c>
      <c r="DG776" s="189">
        <v>0.375</v>
      </c>
      <c r="DH776" s="190">
        <f t="shared" si="2241"/>
        <v>20.727690371522307</v>
      </c>
      <c r="DI776" s="190">
        <v>20.437191450933451</v>
      </c>
      <c r="DJ776" s="177"/>
      <c r="DK776" s="189">
        <f>VLOOKUP($H776,RoR!$E:$F,2,FALSE)</f>
        <v>3.9299999999999995E-2</v>
      </c>
      <c r="DL776" s="191">
        <f>HLOOKUP($H776,'GDP-PI'!$D$8:$CQ$11,3,FALSE)</f>
        <v>2.386056741932796E-2</v>
      </c>
      <c r="DM776" s="189">
        <f>VLOOKUP(H776,'HW Dx Data'!$E:$F,2,FALSE)</f>
        <v>755.13671434174842</v>
      </c>
      <c r="DN776" s="183">
        <f>VLOOKUP(H776,'ECI - Input Price'!$G$17:$H$37,2,FALSE)</f>
        <v>133.25</v>
      </c>
      <c r="DO776" s="177">
        <f t="shared" ref="DO776" si="2294">LN(DN776/DN775)</f>
        <v>2.8546181906361531E-2</v>
      </c>
      <c r="DP776" s="183">
        <f>HLOOKUP(H776,'GDP-PI'!$8:$9,2,FALSE)</f>
        <v>110.322</v>
      </c>
      <c r="DQ776" s="177">
        <f t="shared" ref="DQ776" si="2295">LN(DP776/DP775)</f>
        <v>2.3580352716508712E-2</v>
      </c>
    </row>
    <row r="777" spans="1:121" s="167" customFormat="1" ht="21" x14ac:dyDescent="0.35">
      <c r="A777" s="167" t="s">
        <v>77</v>
      </c>
      <c r="B777" s="168" t="s">
        <v>78</v>
      </c>
      <c r="C777" s="168">
        <v>4061925</v>
      </c>
      <c r="D777" s="168" t="s">
        <v>144</v>
      </c>
      <c r="E777" s="168"/>
      <c r="F777" s="168"/>
      <c r="G777" s="168" t="s">
        <v>25</v>
      </c>
      <c r="H777" s="169">
        <v>2019</v>
      </c>
      <c r="I777" s="170"/>
      <c r="J777" s="166">
        <f>IFERROR(INDEX('Labor Expenditures'!$F$7:$X$91,MATCH($C777,'Labor Expenditures'!$D$7:$D$91,0),MATCH($G777,'Labor Expenditures'!$F$5:$X$5,0)),"NA")</f>
        <v>7797.4245513948399</v>
      </c>
      <c r="K777" s="166">
        <f t="shared" si="2247"/>
        <v>56.977892227949141</v>
      </c>
      <c r="L777" s="172">
        <f t="shared" si="2254"/>
        <v>3.1394603247050755E-2</v>
      </c>
      <c r="M777" s="172">
        <f t="shared" si="2258"/>
        <v>7.8135995981241054E-5</v>
      </c>
      <c r="N777" s="196"/>
      <c r="O777" s="172"/>
      <c r="P777" s="166">
        <f>IFERROR(INDEX('Non-Labor Expenditures'!$F$7:$AB$91,MATCH($C777,'Non-Labor Expenditures'!$D$7:$D$91,0),MATCH($G777,'Non-Labor Expenditures'!$F$5:$AB$5,0)),"NA")</f>
        <v>11292.127108436638</v>
      </c>
      <c r="Q777" s="166">
        <f t="shared" si="2248"/>
        <v>100.53710988832279</v>
      </c>
      <c r="R777" s="172">
        <f t="shared" si="2259"/>
        <v>4.0122204236383331E-2</v>
      </c>
      <c r="S777" s="172">
        <f t="shared" si="2264"/>
        <v>9.9857557182764678E-5</v>
      </c>
      <c r="T777" s="172"/>
      <c r="U777" s="172"/>
      <c r="V777" s="166">
        <f t="shared" si="2229"/>
        <v>13975.215099504936</v>
      </c>
      <c r="W777" s="170"/>
      <c r="X777" s="174">
        <v>685.69389410265217</v>
      </c>
      <c r="Y777" s="175">
        <v>3.1062576907850678E-2</v>
      </c>
      <c r="Z777" s="175">
        <f t="shared" si="2265"/>
        <v>7.7309637116271458E-5</v>
      </c>
      <c r="AA777" s="175"/>
      <c r="AB777" s="175"/>
      <c r="AC777" s="170">
        <f t="shared" si="2271"/>
        <v>33064.766759336417</v>
      </c>
      <c r="AD777" s="175">
        <f t="shared" si="2260"/>
        <v>5.4174377466165831E-2</v>
      </c>
      <c r="AE777" s="170"/>
      <c r="AF777" s="170"/>
      <c r="AG777" s="121">
        <f t="shared" si="2261"/>
        <v>51.793181013998144</v>
      </c>
      <c r="AH777" s="119">
        <f>+AZ777/$BB$57</f>
        <v>1.6719662899748963E-2</v>
      </c>
      <c r="AI777" s="119"/>
      <c r="AJ777" s="176">
        <f t="shared" si="2266"/>
        <v>0.86596452705972715</v>
      </c>
      <c r="AK777" s="176">
        <f t="shared" si="2267"/>
        <v>0</v>
      </c>
      <c r="AL777" s="120">
        <f t="shared" si="2249"/>
        <v>0.23582275986244786</v>
      </c>
      <c r="AM777" s="120">
        <f t="shared" si="2250"/>
        <v>0.34151540189673674</v>
      </c>
      <c r="AN777" s="120">
        <f t="shared" si="2251"/>
        <v>0.42266183824081532</v>
      </c>
      <c r="AO777" s="120">
        <f t="shared" si="2255"/>
        <v>3.4228738417144126E-2</v>
      </c>
      <c r="AP777" s="173">
        <f t="shared" si="2272"/>
        <v>134.70071521117399</v>
      </c>
      <c r="AQ777" s="175">
        <f t="shared" si="2273"/>
        <v>3.4228738417144057E-2</v>
      </c>
      <c r="AR777" s="177">
        <f>+AC777/$AE$57</f>
        <v>2.4888352742148839E-3</v>
      </c>
      <c r="AS777" s="177">
        <f t="shared" si="2268"/>
        <v>8.5189691564462259E-5</v>
      </c>
      <c r="AT777" s="177"/>
      <c r="AU777" s="177"/>
      <c r="AV777" s="177"/>
      <c r="AW777" s="190"/>
      <c r="AX777" s="120"/>
      <c r="AY777" s="120"/>
      <c r="AZ777" s="118">
        <f>IFERROR(INDEX('Total Customers'!$F$7:$AB$91,MATCH($C777,'Total Customers'!$D$7:$D$91,0),MATCH($G777,'Total Customers'!$F$5:$AB$5,0)),"NA")</f>
        <v>638400</v>
      </c>
      <c r="BA777" s="119">
        <f t="shared" si="2230"/>
        <v>1.0887690463517619E-2</v>
      </c>
      <c r="BB777" s="119"/>
      <c r="BC777" s="121"/>
      <c r="BD777" s="119"/>
      <c r="BE777" s="119"/>
      <c r="BF777" s="119"/>
      <c r="BG777" s="173"/>
      <c r="BH777" s="173"/>
      <c r="BI777" s="173"/>
      <c r="BJ777" s="173"/>
      <c r="BK777" s="173"/>
      <c r="BL777" s="173"/>
      <c r="BM777" s="173"/>
      <c r="BN777" s="173"/>
      <c r="BO777" s="173"/>
      <c r="BP777" s="173"/>
      <c r="BQ777" s="118"/>
      <c r="BR777" s="118"/>
      <c r="BS777" s="118">
        <f>INDEX('Dist. Plant Gas Additions'!$F$7:$AE$91,MATCH($C777,'Dist. Plant Gas Additions'!$D$7:$D$91,0),MATCH(Calculation!$G777,'Dist. Plant Gas Additions'!$F$5:$AE$5,0))</f>
        <v>18435</v>
      </c>
      <c r="BT777" s="118">
        <f>INDEX('Gen. Plant Additions'!$F$7:$AE$91,MATCH($C777,'Gen. Plant Additions'!$D$7:$D$91,0),MATCH(Calculation!$G777,'Gen. Plant Additions'!$F$5:$AE$5,0))</f>
        <v>2315</v>
      </c>
      <c r="BU777" s="118"/>
      <c r="BV777" s="118"/>
      <c r="BW777" s="118">
        <f>INDEX('Dist Plant Depreciation'!$E$7:$AD$94,MATCH($C777,'Dist Plant Depreciation'!$D$7:$D$94,0),MATCH(Calculation!$G777,'Dist Plant Depreciation'!$E$5:$AD$5,0))</f>
        <v>158478</v>
      </c>
      <c r="BX777" s="118">
        <f>INDEX('Gen. Plant Depreciation'!$E$7:$AD$94,MATCH($C777,'Gen. Plant Depreciation'!$D$7:$D$94,0),MATCH(Calculation!$G777,'Gen. Plant Depreciation'!$E$5:$AD$5,0))</f>
        <v>11171</v>
      </c>
      <c r="BY777" s="118"/>
      <c r="BZ777" s="118"/>
      <c r="CA777" s="118"/>
      <c r="CB777" s="118"/>
      <c r="CC777" s="118"/>
      <c r="CD777" s="118"/>
      <c r="CE777" s="118">
        <f>INDEX('Gross Dx Plant'!$E$7:$AD$91,MATCH($C777,'Gross Dx Plant'!$D$7:$D$91,0),MATCH(Calculation!$G777,'Gross Dx Plant'!$E$5:$AD$5,0))</f>
        <v>327525</v>
      </c>
      <c r="CF777" s="118">
        <f>INDEX('Gross Gen Plant'!$E$7:$AD$91,MATCH($C777,'Gross Gen Plant'!$D$7:$D$91,0),MATCH(Calculation!$G777,'Gross Gen Plant'!$E$5:$AD$5,0))</f>
        <v>21948</v>
      </c>
      <c r="CG777" s="118">
        <f t="shared" si="2136"/>
        <v>179824</v>
      </c>
      <c r="CH777" s="118"/>
      <c r="CI777" s="121">
        <v>2019</v>
      </c>
      <c r="CJ777" s="118"/>
      <c r="CK777" s="118"/>
      <c r="CL777" s="118"/>
      <c r="CM777" s="183"/>
      <c r="CN777" s="118">
        <f t="shared" si="2231"/>
        <v>20750</v>
      </c>
      <c r="CO777" s="118">
        <f t="shared" si="2232"/>
        <v>26.824752220443649</v>
      </c>
      <c r="CP777" s="186">
        <v>0.85106382978723405</v>
      </c>
      <c r="CQ777" s="118">
        <f>CQ756*CP777+CO757*CP776+CO758*CP775+CO759*CP774+CO760*CP773+CO761*CP772+CO762*CP771+CO763*CP770+CO764*CP769+CO765*CP768+CO766*CP767+CO767*CP766+CO768*CP765+CO769*CP764+CO770*CP763+CO771*CP762+CO772*CP761+CO773*CP760+CO774*CP759+CO775*CP758+CO776*CP757+CO777</f>
        <v>685.69389410265217</v>
      </c>
      <c r="CR777" s="119">
        <f t="shared" si="2233"/>
        <v>3.1062576907850678E-2</v>
      </c>
      <c r="CS777" s="119"/>
      <c r="CT777" s="177">
        <f t="shared" si="2234"/>
        <v>8.8047974082292989E-3</v>
      </c>
      <c r="CU777" s="177">
        <f t="shared" si="2242"/>
        <v>8.5820726384229721E-3</v>
      </c>
      <c r="CV777" s="119">
        <f>VLOOKUP($H777,RoR!$E:$F,2,FALSE)</f>
        <v>3.3875000000000009E-2</v>
      </c>
      <c r="CW777" s="177">
        <v>1.8092492884465461E-2</v>
      </c>
      <c r="CX777" s="177">
        <f t="shared" si="2240"/>
        <v>1.5782507115534548E-2</v>
      </c>
      <c r="CY777" s="177">
        <f t="shared" si="2243"/>
        <v>2.2319868970110651E-2</v>
      </c>
      <c r="CZ777" s="177">
        <f t="shared" si="2244"/>
        <v>4.8445665544254078E-2</v>
      </c>
      <c r="DA777" s="187">
        <f t="shared" si="2235"/>
        <v>0.90199375000000004</v>
      </c>
      <c r="DB777" s="188">
        <f t="shared" si="2236"/>
        <v>1.513861292459078</v>
      </c>
      <c r="DC777" s="188">
        <f t="shared" si="2237"/>
        <v>0.23699261992619944</v>
      </c>
      <c r="DD777" s="188">
        <f t="shared" si="2238"/>
        <v>0.73619765810468829</v>
      </c>
      <c r="DE777" s="188">
        <f t="shared" si="2239"/>
        <v>0.26412854465362851</v>
      </c>
      <c r="DF777" s="189">
        <f>INDEX('State Tax Lookup'!$D$7:$Z$91,MATCH(Calculation!$C777,'State Tax Lookup'!$B$7:$B$91,0),MATCH($H777,'State Tax Lookup'!$D$6:$Z$6,0))</f>
        <v>0.26134999999999997</v>
      </c>
      <c r="DG777" s="189">
        <v>0.375</v>
      </c>
      <c r="DH777" s="190">
        <f t="shared" si="2241"/>
        <v>21.024153783019077</v>
      </c>
      <c r="DI777" s="190">
        <v>20.705875996476635</v>
      </c>
      <c r="DJ777" s="177"/>
      <c r="DK777" s="189">
        <f>VLOOKUP($H777,RoR!$E:$F,2,FALSE)</f>
        <v>3.3875000000000009E-2</v>
      </c>
      <c r="DL777" s="191">
        <f>HLOOKUP($H777,'GDP-PI'!$D$8:$CQ$11,3,FALSE)</f>
        <v>1.8092492884465461E-2</v>
      </c>
      <c r="DM777" s="189">
        <f>VLOOKUP(H777,'HW Dx Data'!$E:$F,2,FALSE)</f>
        <v>773.53929793938721</v>
      </c>
      <c r="DN777" s="183">
        <f>VLOOKUP(H777,'ECI - Input Price'!$G$17:$H$37,2,FALSE)</f>
        <v>136.85</v>
      </c>
      <c r="DO777" s="177">
        <f t="shared" ref="DO777" si="2296">LN(DN777/DN776)</f>
        <v>2.6658372440734168E-2</v>
      </c>
      <c r="DP777" s="183">
        <f>HLOOKUP(H777,'GDP-PI'!$8:$9,2,FALSE)</f>
        <v>112.318</v>
      </c>
      <c r="DQ777" s="177">
        <f t="shared" ref="DQ777" si="2297">LN(DP777/DP776)</f>
        <v>1.7930771451401852E-2</v>
      </c>
    </row>
    <row r="778" spans="1:121" s="167" customFormat="1" ht="21" x14ac:dyDescent="0.35">
      <c r="A778" s="167" t="s">
        <v>77</v>
      </c>
      <c r="B778" s="167" t="s">
        <v>78</v>
      </c>
      <c r="C778" s="167">
        <v>4061925</v>
      </c>
      <c r="D778" s="167" t="s">
        <v>144</v>
      </c>
      <c r="G778" s="168" t="s">
        <v>26</v>
      </c>
      <c r="H778" s="169">
        <v>2020</v>
      </c>
      <c r="I778" s="170"/>
      <c r="J778" s="166">
        <f>IFERROR(INDEX('Labor Expenditures'!$F$7:$X$91,MATCH($C778,'Labor Expenditures'!$D$7:$D$91,0),MATCH($G778,'Labor Expenditures'!$F$5:$X$5,0)),"NA")</f>
        <v>7525.8301536081408</v>
      </c>
      <c r="K778" s="166">
        <f t="shared" si="2247"/>
        <v>53.583696358904533</v>
      </c>
      <c r="L778" s="172">
        <f t="shared" si="2254"/>
        <v>-6.1418487550629369E-2</v>
      </c>
      <c r="M778" s="172">
        <f t="shared" si="2258"/>
        <v>-1.498882358867145E-4</v>
      </c>
      <c r="N778" s="196"/>
      <c r="O778" s="172"/>
      <c r="P778" s="166">
        <f>IFERROR(INDEX('Non-Labor Expenditures'!$F$7:$AB$91,MATCH($C778,'Non-Labor Expenditures'!$D$7:$D$91,0),MATCH($G778,'Non-Labor Expenditures'!$F$5:$AB$5,0)),"NA")</f>
        <v>10898.807693605224</v>
      </c>
      <c r="Q778" s="166">
        <f t="shared" si="2248"/>
        <v>95.9207879883934</v>
      </c>
      <c r="R778" s="172">
        <f t="shared" si="2259"/>
        <v>-4.700418621845797E-2</v>
      </c>
      <c r="S778" s="172">
        <f t="shared" si="2264"/>
        <v>-1.1471097437506156E-4</v>
      </c>
      <c r="T778" s="172"/>
      <c r="U778" s="172"/>
      <c r="V778" s="166">
        <f t="shared" si="2229"/>
        <v>15001.284354373305</v>
      </c>
      <c r="W778" s="170"/>
      <c r="X778" s="174">
        <v>714.75830681307752</v>
      </c>
      <c r="Y778" s="175">
        <v>4.151314348737821E-2</v>
      </c>
      <c r="Z778" s="175">
        <f t="shared" si="2265"/>
        <v>1.0131040492174101E-4</v>
      </c>
      <c r="AA778" s="175"/>
      <c r="AB778" s="175"/>
      <c r="AC778" s="170">
        <f t="shared" si="2271"/>
        <v>33425.922201586669</v>
      </c>
      <c r="AD778" s="175">
        <f t="shared" si="2260"/>
        <v>1.0863445684923766E-2</v>
      </c>
      <c r="AE778" s="170"/>
      <c r="AF778" s="170"/>
      <c r="AG778" s="121">
        <f t="shared" si="2261"/>
        <v>52.358900691708442</v>
      </c>
      <c r="AH778" s="119">
        <f>+AZ778/$BB$58</f>
        <v>1.6602113295068027E-2</v>
      </c>
      <c r="AI778" s="119"/>
      <c r="AJ778" s="176">
        <f t="shared" si="2266"/>
        <v>0.86926840128895921</v>
      </c>
      <c r="AK778" s="176">
        <f t="shared" si="2267"/>
        <v>0</v>
      </c>
      <c r="AL778" s="120">
        <f t="shared" si="2249"/>
        <v>0.22514951444633299</v>
      </c>
      <c r="AM778" s="120">
        <f t="shared" si="2250"/>
        <v>0.32605854904693932</v>
      </c>
      <c r="AN778" s="120">
        <f t="shared" si="2251"/>
        <v>0.44879193650672772</v>
      </c>
      <c r="AO778" s="120">
        <f t="shared" si="2255"/>
        <v>-1.1757102300927656E-2</v>
      </c>
      <c r="AP778" s="173">
        <f t="shared" si="2272"/>
        <v>133.12629854717417</v>
      </c>
      <c r="AQ778" s="175">
        <f t="shared" si="2273"/>
        <v>-1.1757102300927608E-2</v>
      </c>
      <c r="AR778" s="177">
        <f>+AC778/$AE$58</f>
        <v>2.4404416628324896E-3</v>
      </c>
      <c r="AS778" s="177">
        <f t="shared" si="2268"/>
        <v>-2.8692522289367462E-5</v>
      </c>
      <c r="AT778" s="177"/>
      <c r="AU778" s="177"/>
      <c r="AV778" s="177"/>
      <c r="AW778" s="190"/>
      <c r="AX778" s="120"/>
      <c r="AY778" s="120"/>
      <c r="AZ778" s="118">
        <f>+AZ777</f>
        <v>638400</v>
      </c>
      <c r="BA778" s="119">
        <f t="shared" si="2230"/>
        <v>0</v>
      </c>
      <c r="BB778" s="119"/>
      <c r="BC778" s="121"/>
      <c r="BD778" s="119"/>
      <c r="BE778" s="119"/>
      <c r="BF778" s="119"/>
      <c r="BG778" s="173"/>
      <c r="BH778" s="173"/>
      <c r="BI778" s="173"/>
      <c r="BJ778" s="173"/>
      <c r="BK778" s="173"/>
      <c r="BL778" s="173"/>
      <c r="BM778" s="173"/>
      <c r="BN778" s="173"/>
      <c r="BO778" s="173"/>
      <c r="BP778" s="173"/>
      <c r="BQ778" s="118"/>
      <c r="BR778" s="118"/>
      <c r="BS778" s="118">
        <f>INDEX('Dist. Plant Gas Additions'!$F$7:$AE$91,MATCH($C778,'Dist. Plant Gas Additions'!$D$7:$D$91,0),MATCH(Calculation!$G778,'Dist. Plant Gas Additions'!$F$5:$AE$5,0))</f>
        <v>26374</v>
      </c>
      <c r="BT778" s="118">
        <f>INDEX('Gen. Plant Additions'!$F$7:$AE$91,MATCH($C778,'Gen. Plant Additions'!$D$7:$D$91,0),MATCH(Calculation!$G778,'Gen. Plant Additions'!$F$5:$AE$5,0))</f>
        <v>2314</v>
      </c>
      <c r="BU778" s="118"/>
      <c r="BV778" s="118"/>
      <c r="BW778" s="118">
        <f>INDEX('Dist Plant Depreciation'!$E$7:$AD$94,MATCH($C778,'Dist Plant Depreciation'!$D$7:$D$94,0),MATCH(Calculation!$G778,'Dist Plant Depreciation'!$E$5:$AD$5,0))</f>
        <v>166579</v>
      </c>
      <c r="BX778" s="118">
        <f>INDEX('Gen. Plant Depreciation'!$E$7:$AD$94,MATCH($C778,'Gen. Plant Depreciation'!$D$7:$D$94,0),MATCH(Calculation!$G778,'Gen. Plant Depreciation'!$E$5:$AD$5,0))</f>
        <v>12124</v>
      </c>
      <c r="BY778" s="118"/>
      <c r="BZ778" s="118"/>
      <c r="CA778" s="118"/>
      <c r="CB778" s="118"/>
      <c r="CC778" s="118"/>
      <c r="CD778" s="118"/>
      <c r="CE778" s="118">
        <f>INDEX('Gross Dx Plant'!$E$7:$AD$91,MATCH($C778,'Gross Dx Plant'!$D$7:$D$91,0),MATCH(Calculation!$G778,'Gross Dx Plant'!$E$5:$AD$5,0))</f>
        <v>352138</v>
      </c>
      <c r="CF778" s="118">
        <f>INDEX('Gross Gen Plant'!$E$7:$AD$91,MATCH($C778,'Gross Gen Plant'!$D$7:$D$91,0),MATCH(Calculation!$G778,'Gross Gen Plant'!$E$5:$AD$5,0))</f>
        <v>23375</v>
      </c>
      <c r="CG778" s="118">
        <f t="shared" si="2136"/>
        <v>196810</v>
      </c>
      <c r="CH778" s="118"/>
      <c r="CI778" s="121">
        <v>2020</v>
      </c>
      <c r="CJ778" s="118"/>
      <c r="CK778" s="118"/>
      <c r="CL778" s="118"/>
      <c r="CM778" s="183"/>
      <c r="CN778" s="118">
        <f t="shared" si="2231"/>
        <v>28688</v>
      </c>
      <c r="CO778" s="118">
        <f t="shared" si="2232"/>
        <v>35.28311392230345</v>
      </c>
      <c r="CP778" s="186">
        <v>0.84057971014492749</v>
      </c>
      <c r="CQ778" s="118">
        <f>CQ756*CP778+CO757*CP777+CO758*CP776+CO759*CP775+CO760*CP774+CO761*CP773+CO762*CP772+CO763*CP771+CO764*CP770+CO765*CP769+CO766*CP768+CO767*CP767+CO768*CP766+CO769*CP765+CO770*CP764+CO771*CP763+CO772*CP762+CO773*CP761+CO774*CP760+CO775*CP759+CO776*CP758+CO777*CP757+CO778</f>
        <v>714.75830681307752</v>
      </c>
      <c r="CR778" s="119">
        <f t="shared" si="2233"/>
        <v>4.151314348737821E-2</v>
      </c>
      <c r="CS778" s="119"/>
      <c r="CT778" s="177">
        <f t="shared" si="2234"/>
        <v>9.0692089653449902E-3</v>
      </c>
      <c r="CU778" s="177">
        <f t="shared" si="2242"/>
        <v>8.8120825132254731E-3</v>
      </c>
      <c r="CV778" s="119">
        <f>VLOOKUP($H778,RoR!$E:$F,2,FALSE)</f>
        <v>2.4766666666666666E-2</v>
      </c>
      <c r="CW778" s="177">
        <v>1.1618796630994188E-2</v>
      </c>
      <c r="CX778" s="177">
        <f t="shared" si="2240"/>
        <v>1.3147870035672478E-2</v>
      </c>
      <c r="CY778" s="177">
        <f t="shared" si="2243"/>
        <v>2.2089859095308154E-2</v>
      </c>
      <c r="CZ778" s="177">
        <f t="shared" si="2244"/>
        <v>4.5144642961987357E-2</v>
      </c>
      <c r="DA778" s="187">
        <f t="shared" si="2235"/>
        <v>0.90199375000000004</v>
      </c>
      <c r="DB778" s="188">
        <f t="shared" si="2236"/>
        <v>2.0706077233668081</v>
      </c>
      <c r="DC778" s="188">
        <f t="shared" si="2237"/>
        <v>-3.4421265141318998E-2</v>
      </c>
      <c r="DD778" s="188">
        <f t="shared" si="2238"/>
        <v>0.62416226176410472</v>
      </c>
      <c r="DE778" s="188">
        <f t="shared" si="2239"/>
        <v>-4.4485877841158712E-2</v>
      </c>
      <c r="DF778" s="189">
        <f>INDEX('State Tax Lookup'!$D$7:$Z$91,MATCH(Calculation!$C778,'State Tax Lookup'!$B$7:$B$91,0),MATCH($H778,'State Tax Lookup'!$D$6:$Z$6,0))</f>
        <v>0.26134999999999997</v>
      </c>
      <c r="DG778" s="189">
        <v>0.375</v>
      </c>
      <c r="DH778" s="190">
        <f t="shared" si="2241"/>
        <v>21.877523605493167</v>
      </c>
      <c r="DI778" s="190">
        <v>21.548657497563941</v>
      </c>
      <c r="DJ778" s="177"/>
      <c r="DK778" s="189">
        <f>VLOOKUP($H778,RoR!$E:$F,2,FALSE)</f>
        <v>2.4766666666666666E-2</v>
      </c>
      <c r="DL778" s="191">
        <f>HLOOKUP($H778,'GDP-PI'!$D$8:$CQ$11,3,FALSE)</f>
        <v>1.1618796630994188E-2</v>
      </c>
      <c r="DM778" s="189">
        <f>VLOOKUP(H778,'HW Dx Data'!$E:$F,2,FALSE)</f>
        <v>813.080162458833</v>
      </c>
      <c r="DN778" s="183">
        <f>VLOOKUP(H778,'ECI - Input Price'!$G$17:$H$37,2,FALSE)</f>
        <v>140.44999999999999</v>
      </c>
      <c r="DO778" s="177">
        <f t="shared" ref="DO778" si="2298">LN(DN778/DN777)</f>
        <v>2.5966118063564539E-2</v>
      </c>
      <c r="DP778" s="183">
        <f>HLOOKUP(H778,'GDP-PI'!$8:$9,2,FALSE)</f>
        <v>113.623</v>
      </c>
      <c r="DQ778" s="177">
        <f t="shared" ref="DQ778" si="2299">LN(DP778/DP777)</f>
        <v>1.1551816731392881E-2</v>
      </c>
    </row>
    <row r="779" spans="1:121" s="167" customFormat="1" ht="21" x14ac:dyDescent="0.35">
      <c r="A779" s="167" t="s">
        <v>77</v>
      </c>
      <c r="B779" s="167" t="s">
        <v>78</v>
      </c>
      <c r="C779" s="167">
        <v>4061925</v>
      </c>
      <c r="D779" s="167" t="s">
        <v>144</v>
      </c>
      <c r="G779" s="168" t="s">
        <v>462</v>
      </c>
      <c r="H779" s="169">
        <v>2021</v>
      </c>
      <c r="I779" s="170"/>
      <c r="J779" s="166">
        <f>IFERROR(INDEX('Labor Expenditures'!$E$7:$X$91,MATCH($C779,'Labor Expenditures'!$D$7:$D$91,0),MATCH($G779,'Labor Expenditures'!$E$5:$X$5,0)),"NA")</f>
        <v>7598.5709439966058</v>
      </c>
      <c r="K779" s="166">
        <f t="shared" si="2247"/>
        <v>52.232829998258154</v>
      </c>
      <c r="L779" s="171">
        <f t="shared" si="2254"/>
        <v>-2.5533625031966947E-2</v>
      </c>
      <c r="M779" s="172">
        <f t="shared" si="2258"/>
        <v>-6.3899117999354624E-5</v>
      </c>
      <c r="N779" s="196"/>
      <c r="O779" s="172"/>
      <c r="P779" s="166">
        <f>IFERROR(INDEX('Non-Labor Expenditures'!$E$7:$AB$91,MATCH($C779,'Non-Labor Expenditures'!$D$7:$D$91,0),MATCH($G779,'Non-Labor Expenditures'!$E$5:$AB$5,0)),"NA")</f>
        <v>10711.238559609676</v>
      </c>
      <c r="Q779" s="166">
        <f t="shared" si="2248"/>
        <v>90.397827323906455</v>
      </c>
      <c r="R779" s="172">
        <f t="shared" si="2259"/>
        <v>-5.9302492662103121E-2</v>
      </c>
      <c r="S779" s="172">
        <f t="shared" si="2264"/>
        <v>-1.484073245192353E-4</v>
      </c>
      <c r="T779" s="172"/>
      <c r="U779" s="172"/>
      <c r="V779" s="166">
        <f t="shared" si="2229"/>
        <v>18598.835055305884</v>
      </c>
      <c r="W779" s="170"/>
      <c r="X779" s="174">
        <v>746.0751754191549</v>
      </c>
      <c r="Y779" s="175"/>
      <c r="Z779" s="175">
        <f t="shared" si="2265"/>
        <v>0</v>
      </c>
      <c r="AA779" s="175"/>
      <c r="AB779" s="175"/>
      <c r="AC779" s="170">
        <f t="shared" si="2271"/>
        <v>36908.644558912165</v>
      </c>
      <c r="AD779" s="175">
        <f t="shared" si="2260"/>
        <v>9.9114080716769679E-2</v>
      </c>
      <c r="AE779" s="118"/>
      <c r="AF779" s="119"/>
      <c r="AG779" s="121">
        <f t="shared" si="2261"/>
        <v>57.814292855438858</v>
      </c>
      <c r="AH779" s="119">
        <f>+AZ779/$BB$59</f>
        <v>1.6379236975108208E-2</v>
      </c>
      <c r="AI779" s="119"/>
      <c r="AJ779" s="176">
        <f t="shared" si="2266"/>
        <v>0.94695400322753842</v>
      </c>
      <c r="AK779" s="176">
        <f t="shared" si="2267"/>
        <v>0</v>
      </c>
      <c r="AL779" s="120">
        <f t="shared" si="2249"/>
        <v>0.20587510147840996</v>
      </c>
      <c r="AM779" s="120">
        <f t="shared" si="2250"/>
        <v>0.29020948039727679</v>
      </c>
      <c r="AN779" s="120">
        <f t="shared" si="2251"/>
        <v>0.50391541812431329</v>
      </c>
      <c r="AO779" s="120">
        <f t="shared" si="2255"/>
        <v>-2.3775925608287167E-2</v>
      </c>
      <c r="AP779" s="173">
        <f t="shared" si="2272"/>
        <v>129.99842892013172</v>
      </c>
      <c r="AQ779" s="175">
        <f t="shared" si="2273"/>
        <v>-2.3775925608287125E-2</v>
      </c>
      <c r="AR779" s="177">
        <f>+AC779/$AE$59</f>
        <v>2.5025478332730195E-3</v>
      </c>
      <c r="AS779" s="177">
        <f t="shared" si="2268"/>
        <v>-5.9500391115079447E-5</v>
      </c>
      <c r="AT779" s="177"/>
      <c r="AU779" s="177"/>
      <c r="AV779" s="177"/>
      <c r="AW779" s="190"/>
      <c r="AX779" s="120"/>
      <c r="AY779" s="120"/>
      <c r="AZ779" s="118">
        <f>+AZ778</f>
        <v>638400</v>
      </c>
      <c r="BA779" s="119">
        <f t="shared" si="2230"/>
        <v>0</v>
      </c>
      <c r="BB779" s="118"/>
      <c r="BC779" s="121"/>
      <c r="BD779" s="118"/>
      <c r="BE779" s="119"/>
      <c r="BF779" s="119"/>
      <c r="BG779" s="173"/>
      <c r="BH779" s="173"/>
      <c r="BI779" s="173"/>
      <c r="BJ779" s="173"/>
      <c r="BK779" s="173"/>
      <c r="BL779" s="173"/>
      <c r="BM779" s="173"/>
      <c r="BN779" s="173"/>
      <c r="BO779" s="173"/>
      <c r="BP779" s="173"/>
      <c r="BQ779" s="118"/>
      <c r="BR779" s="118"/>
      <c r="BS779" s="118">
        <f>INDEX('Dist. Plant Gas Additions'!$E$7:$AE$91,MATCH($C779,'Dist. Plant Gas Additions'!$D$7:$D$91,0),MATCH(Calculation!$G779,'Dist. Plant Gas Additions'!$E$5:$AE$5,0))</f>
        <v>31200</v>
      </c>
      <c r="BT779" s="118">
        <f>INDEX('Gen. Plant Additions'!$E$7:$AE$91,MATCH($C779,'Gen. Plant Additions'!$D$7:$D$91,0),MATCH(Calculation!$G779,'Gen. Plant Additions'!$E$5:$AE$5,0))</f>
        <v>2072</v>
      </c>
      <c r="BU779" s="118"/>
      <c r="BV779" s="118"/>
      <c r="BW779" s="118"/>
      <c r="BX779" s="118"/>
      <c r="BY779" s="183"/>
      <c r="BZ779" s="183"/>
      <c r="CA779" s="178"/>
      <c r="CB779" s="184"/>
      <c r="CC779" s="185"/>
      <c r="CD779" s="185"/>
      <c r="CE779" s="118"/>
      <c r="CF779" s="118"/>
      <c r="CG779" s="118"/>
      <c r="CH779" s="118"/>
      <c r="CI779" s="121">
        <v>2021</v>
      </c>
      <c r="CJ779" s="118"/>
      <c r="CK779" s="118"/>
      <c r="CL779" s="118"/>
      <c r="CM779" s="183"/>
      <c r="CN779" s="118">
        <f t="shared" si="2231"/>
        <v>33272</v>
      </c>
      <c r="CO779" s="118">
        <f t="shared" si="2232"/>
        <v>35.66044766116088</v>
      </c>
      <c r="CP779" s="186">
        <f>+(51-23)/(51-23*0.75)</f>
        <v>0.82962962962962961</v>
      </c>
      <c r="CQ779" s="118">
        <f>CQ756*CP779+CO757*CP778+CO758*CP777+CO759*CP776+CO760*CP775+CO761*CP774+CO762*CP773+CO763*CP772+CO764*CP771+CO765*CP770+CO766*CP769+CO767*CP768+CO768*CP767+CO769*CP766+CO770*CP765+CO761*CP764+CO772*CP763+CO773*CP762+CO774*CP761+CO775*CP760+CO776*CP759+CO777*CP758+CO779+CO778*CP757</f>
        <v>746.0751754191549</v>
      </c>
      <c r="CR779" s="119"/>
      <c r="CS779" s="118"/>
      <c r="CT779" s="177">
        <f t="shared" si="2234"/>
        <v>6.0769899610546652E-3</v>
      </c>
      <c r="CU779" s="177">
        <f t="shared" si="2242"/>
        <v>7.9836654448763172E-3</v>
      </c>
      <c r="CV779" s="119">
        <f>VLOOKUP($H779,RoR!$E:$F,2,FALSE)</f>
        <v>2.7033333333333336E-2</v>
      </c>
      <c r="CW779" s="177"/>
      <c r="CX779" s="177"/>
      <c r="CY779" s="177">
        <f t="shared" si="2243"/>
        <v>2.2918276163657308E-2</v>
      </c>
      <c r="CZ779" s="177">
        <f t="shared" si="2244"/>
        <v>7.433422950153494E-2</v>
      </c>
      <c r="DA779" s="187">
        <f t="shared" si="2235"/>
        <v>0.90199375000000004</v>
      </c>
      <c r="DB779" s="188">
        <f t="shared" si="2236"/>
        <v>1.8969932656739068</v>
      </c>
      <c r="DC779" s="188">
        <f t="shared" si="2237"/>
        <v>5.0215782983970621E-2</v>
      </c>
      <c r="DD779" s="188">
        <f t="shared" si="2238"/>
        <v>0.655952481704143</v>
      </c>
      <c r="DE779" s="188">
        <f t="shared" si="2239"/>
        <v>6.2485378865697057E-2</v>
      </c>
      <c r="DF779" s="189">
        <f>DF778</f>
        <v>0.26134999999999997</v>
      </c>
      <c r="DG779" s="189">
        <v>0.375</v>
      </c>
      <c r="DH779" s="190">
        <f t="shared" si="2241"/>
        <v>26.021152714171706</v>
      </c>
      <c r="DI779" s="190"/>
      <c r="DJ779" s="177">
        <f t="shared" ref="DJ779" si="2300">LN(DH779/DH778)</f>
        <v>0.17344998277357607</v>
      </c>
      <c r="DK779" s="189">
        <f>VLOOKUP($H779,RoR!$E:$F,2,FALSE)</f>
        <v>2.7033333333333336E-2</v>
      </c>
      <c r="DL779" s="191">
        <f>HLOOKUP($H779,'GDP-PI'!$D$8:$CR$11,3,FALSE)</f>
        <v>4.2834637353352578E-2</v>
      </c>
      <c r="DM779" s="189">
        <f>VLOOKUP(H779,'HW Dx Data'!$E:$F,2,FALSE)</f>
        <v>933.02249921662576</v>
      </c>
      <c r="DN779" s="183">
        <f>VLOOKUP(H779,'ECI - Input Price'!$G$17:$H$37,2,FALSE)</f>
        <v>145.47500000000002</v>
      </c>
      <c r="DO779" s="177">
        <f t="shared" ref="DO779" si="2301">LN(DN779/DN778)</f>
        <v>3.5152696992481205E-2</v>
      </c>
      <c r="DP779" s="183">
        <f>HLOOKUP(H779,'GDP-PI'!$8:$9,2,FALSE)</f>
        <v>118.49</v>
      </c>
      <c r="DQ779" s="177">
        <f t="shared" ref="DQ779" si="2302">LN(DP779/DP778)</f>
        <v>4.194261824609434E-2</v>
      </c>
    </row>
    <row r="780" spans="1:121" s="167" customFormat="1" ht="21" x14ac:dyDescent="0.35">
      <c r="A780" s="167" t="s">
        <v>81</v>
      </c>
      <c r="B780" s="168" t="s">
        <v>81</v>
      </c>
      <c r="C780" s="168">
        <v>4064479</v>
      </c>
      <c r="D780" s="168" t="s">
        <v>138</v>
      </c>
      <c r="E780" s="168"/>
      <c r="F780" s="168"/>
      <c r="G780" s="168" t="s">
        <v>4</v>
      </c>
      <c r="H780" s="169">
        <v>1998</v>
      </c>
      <c r="I780" s="170"/>
      <c r="J780" s="166"/>
      <c r="K780" s="166"/>
      <c r="L780" s="166"/>
      <c r="M780" s="166"/>
      <c r="N780" s="196"/>
      <c r="O780" s="166"/>
      <c r="P780" s="172"/>
      <c r="Q780" s="172"/>
      <c r="R780" s="172"/>
      <c r="S780" s="166"/>
      <c r="T780" s="172"/>
      <c r="U780" s="172"/>
      <c r="V780" s="166"/>
      <c r="W780" s="170"/>
      <c r="X780" s="174">
        <v>126.74038836455507</v>
      </c>
      <c r="Y780" s="175"/>
      <c r="Z780" s="166"/>
      <c r="AA780" s="175"/>
      <c r="AB780" s="175"/>
      <c r="AC780" s="170">
        <f t="shared" si="2271"/>
        <v>0</v>
      </c>
      <c r="AD780" s="170"/>
      <c r="AE780" s="170"/>
      <c r="AF780" s="119"/>
      <c r="AG780" s="174"/>
      <c r="AH780" s="175"/>
      <c r="AI780" s="175"/>
      <c r="AJ780" s="174"/>
      <c r="AK780" s="174"/>
      <c r="AL780" s="120"/>
      <c r="AM780" s="120"/>
      <c r="AN780" s="120"/>
      <c r="AO780" s="120"/>
      <c r="AP780" s="120"/>
      <c r="AQ780" s="175">
        <f>AVERAGE(AQ789:AQ803)</f>
        <v>2.164277207286694E-5</v>
      </c>
      <c r="AR780" s="120"/>
      <c r="AS780" s="120"/>
      <c r="AT780" s="120"/>
      <c r="AU780" s="120"/>
      <c r="AV780" s="120"/>
      <c r="AW780" s="120"/>
      <c r="AX780" s="120"/>
      <c r="AY780" s="120"/>
      <c r="AZ780" s="118">
        <f>IFERROR(INDEX('Total Customers'!$F$7:$AB$91,MATCH($C780,'Total Customers'!$D$7:$D$91,0),MATCH($G780,'Total Customers'!$F$5:$AB$5,0)),"NA")</f>
        <v>42288</v>
      </c>
      <c r="BA780" s="119"/>
      <c r="BB780" s="119"/>
      <c r="BC780" s="121"/>
      <c r="BD780" s="119"/>
      <c r="BE780" s="119"/>
      <c r="BF780" s="119"/>
      <c r="BG780" s="173"/>
      <c r="BH780" s="173"/>
      <c r="BI780" s="173"/>
      <c r="BJ780" s="173"/>
      <c r="BK780" s="173"/>
      <c r="BL780" s="173"/>
      <c r="BM780" s="173"/>
      <c r="BN780" s="173"/>
      <c r="BO780" s="173"/>
      <c r="BP780" s="173"/>
      <c r="BQ780" s="118">
        <f>INDEX('Gross Dx Plant'!$E$7:$AD$91,MATCH($C780,'Gross Dx Plant'!$D$7:$D$91,0),MATCH(Calculation!$G780,'Gross Dx Plant'!$E$5:$AD$5,0))</f>
        <v>44493</v>
      </c>
      <c r="BR780" s="118">
        <f>INDEX('Gross Gen Plant'!$E$7:$AD$91,MATCH($C780,'Gross Gen Plant'!$D$7:$D$91,0),MATCH(Calculation!$G780,'Gross Gen Plant'!$E$5:$AD$5,0))</f>
        <v>4191</v>
      </c>
      <c r="BS780" s="118">
        <f>INDEX('Dist. Plant Gas Additions'!$F$7:$AE$91,MATCH($C780,'Dist. Plant Gas Additions'!$D$7:$D$91,0),MATCH(Calculation!$G780,'Dist. Plant Gas Additions'!$F$5:$AE$5,0))</f>
        <v>1332</v>
      </c>
      <c r="BT780" s="118">
        <f>INDEX('Gen. Plant Additions'!$F$7:$AE$91,MATCH($C780,'Gen. Plant Additions'!$D$7:$D$91,0),MATCH(Calculation!$G780,'Gen. Plant Additions'!$F$5:$AE$5,0))</f>
        <v>330</v>
      </c>
      <c r="BU780" s="118" t="e">
        <f>INDEX('Dist Plant Depreciation'!$E$7:$AA$94,MATCH($C780,'Dist Plant Depreciation'!$D$7:$D$94,0),MATCH(#REF!,'Dist Plant Depreciation'!$E$5:$AA$5,0))</f>
        <v>#REF!</v>
      </c>
      <c r="BV780" s="118" t="e">
        <f>INDEX('Gen. Plant Depreciation'!$E$7:$AA$94,MATCH($C780,'Gen. Plant Depreciation'!$D$7:$D$94,0),MATCH(#REF!,'Gen. Plant Depreciation'!$E$5:$AA$5,0))</f>
        <v>#REF!</v>
      </c>
      <c r="BW780" s="118">
        <f>INDEX('Dist Plant Depreciation'!$E$7:$AD$94,MATCH($C780,'Dist Plant Depreciation'!$D$7:$D$94,0),MATCH(Calculation!$G780,'Dist Plant Depreciation'!$E$5:$AD$5,0))</f>
        <v>21517</v>
      </c>
      <c r="BX780" s="118">
        <f>INDEX('Gen. Plant Depreciation'!$E$7:$AD$94,MATCH($C780,'Gen. Plant Depreciation'!$D$7:$D$94,0),MATCH(Calculation!$G780,'Gen. Plant Depreciation'!$E$5:$AD$5,0))</f>
        <v>1601</v>
      </c>
      <c r="BY780" s="118"/>
      <c r="BZ780" s="118"/>
      <c r="CA780" s="118"/>
      <c r="CB780" s="118"/>
      <c r="CC780" s="118"/>
      <c r="CD780" s="118"/>
      <c r="CE780" s="118">
        <f>INDEX('Gross Dx Plant'!$E$7:$AD$91,MATCH($C780,'Gross Dx Plant'!$D$7:$D$91,0),MATCH(Calculation!$G780,'Gross Dx Plant'!$E$5:$AD$5,0))</f>
        <v>44493</v>
      </c>
      <c r="CF780" s="118">
        <f>INDEX('Gross Gen Plant'!$E$7:$AD$91,MATCH($C780,'Gross Gen Plant'!$D$7:$D$91,0),MATCH(Calculation!$G780,'Gross Gen Plant'!$E$5:$AD$5,0))</f>
        <v>4191</v>
      </c>
      <c r="CG780" s="118">
        <f t="shared" si="2136"/>
        <v>25566</v>
      </c>
      <c r="CH780" s="118"/>
      <c r="CI780" s="121">
        <v>1998</v>
      </c>
      <c r="CJ780" s="118">
        <f>BQ780+BR780</f>
        <v>48684</v>
      </c>
      <c r="CK780" s="118">
        <f>21517+1601</f>
        <v>23118</v>
      </c>
      <c r="CL780" s="118">
        <f>+CJ780-CK780</f>
        <v>25566</v>
      </c>
      <c r="CM780" s="118">
        <f>CL780/$CD$36</f>
        <v>126.74038836455507</v>
      </c>
      <c r="CN780" s="183"/>
      <c r="CO780" s="183"/>
      <c r="CP780" s="186">
        <v>1</v>
      </c>
      <c r="CQ780" s="118">
        <f>+CM780</f>
        <v>126.74038836455507</v>
      </c>
      <c r="CR780" s="119"/>
      <c r="CS780" s="119"/>
      <c r="CT780" s="177"/>
      <c r="CU780" s="177"/>
      <c r="CV780" s="119" t="e">
        <f>VLOOKUP($H780,RoR!$E:$F,2,FALSE)</f>
        <v>#N/A</v>
      </c>
      <c r="CW780" s="177">
        <v>1.1028127770464469E-2</v>
      </c>
      <c r="CX780" s="177"/>
      <c r="CY780" s="177"/>
      <c r="CZ780" s="177"/>
      <c r="DA780" s="187"/>
      <c r="DB780" s="190" t="e">
        <f>2/(DK780*39)</f>
        <v>#N/A</v>
      </c>
      <c r="DC780" s="188" t="e">
        <f>+(DK780*40-(1+DK780))/(DK780*40)</f>
        <v>#N/A</v>
      </c>
      <c r="DD780" s="188" t="e">
        <f>+(1-(1/(1+DK780)^40))</f>
        <v>#N/A</v>
      </c>
      <c r="DE780" s="188" t="e">
        <f>+DD780*DC780*DB780</f>
        <v>#N/A</v>
      </c>
      <c r="DF780" s="189">
        <f>INDEX('State Tax Lookup'!$D$7:$Z$91,MATCH(Calculation!$C780,'State Tax Lookup'!$B$7:$B$91,0),MATCH($H780,'State Tax Lookup'!$D$6:$Z$6,0))</f>
        <v>0.35</v>
      </c>
      <c r="DG780" s="189">
        <v>0.375</v>
      </c>
      <c r="DH780" s="183"/>
      <c r="DI780" s="183"/>
      <c r="DJ780" s="177"/>
      <c r="DK780" s="189" t="e">
        <f>VLOOKUP($H780,RoR!$E:$F,2,FALSE)</f>
        <v>#N/A</v>
      </c>
      <c r="DL780" s="191">
        <f>HLOOKUP($H780,'GDP-PI'!$D$8:$CQ$11,3,FALSE)</f>
        <v>1.1028127770464469E-2</v>
      </c>
      <c r="DM780" s="189">
        <f>VLOOKUP(H780,'HW Dx Data'!$E:$F,2,FALSE)</f>
        <v>329.24564746449528</v>
      </c>
      <c r="DN780" s="183" t="e">
        <f>VLOOKUP(H780,'ECI - Input Price'!$G$17:$H$37,2,FALSE)</f>
        <v>#N/A</v>
      </c>
      <c r="DO780" s="177"/>
      <c r="DP780" s="183">
        <f>HLOOKUP(H780,'GDP-PI'!$8:$9,2,FALSE)</f>
        <v>75.266999999999996</v>
      </c>
    </row>
    <row r="781" spans="1:121" s="167" customFormat="1" ht="21" x14ac:dyDescent="0.35">
      <c r="A781" s="167" t="s">
        <v>81</v>
      </c>
      <c r="B781" s="168" t="s">
        <v>81</v>
      </c>
      <c r="C781" s="168">
        <v>4064479</v>
      </c>
      <c r="D781" s="168" t="s">
        <v>138</v>
      </c>
      <c r="E781" s="168"/>
      <c r="F781" s="168"/>
      <c r="G781" s="168" t="s">
        <v>5</v>
      </c>
      <c r="H781" s="169">
        <v>1999</v>
      </c>
      <c r="I781" s="170"/>
      <c r="J781" s="166"/>
      <c r="K781" s="170"/>
      <c r="L781" s="170"/>
      <c r="M781" s="166"/>
      <c r="N781" s="173"/>
      <c r="O781" s="170"/>
      <c r="P781" s="177"/>
      <c r="Q781" s="177"/>
      <c r="R781" s="177"/>
      <c r="S781" s="195"/>
      <c r="T781" s="177"/>
      <c r="U781" s="177"/>
      <c r="V781" s="166">
        <f t="shared" ref="V781:V803" si="2303">+CQ780*DH781</f>
        <v>0</v>
      </c>
      <c r="W781" s="170"/>
      <c r="X781" s="174">
        <v>131.66862556231192</v>
      </c>
      <c r="Y781" s="175">
        <v>3.8147545658194497E-2</v>
      </c>
      <c r="Z781" s="175"/>
      <c r="AA781" s="175"/>
      <c r="AB781" s="175"/>
      <c r="AC781" s="170">
        <f t="shared" si="2271"/>
        <v>0</v>
      </c>
      <c r="AD781" s="175"/>
      <c r="AE781" s="170"/>
      <c r="AF781" s="119"/>
      <c r="AG781" s="174"/>
      <c r="AH781" s="175"/>
      <c r="AI781" s="175"/>
      <c r="AJ781" s="174"/>
      <c r="AK781" s="174"/>
      <c r="AL781" s="120"/>
      <c r="AM781" s="120"/>
      <c r="AN781" s="120"/>
      <c r="AO781" s="120"/>
      <c r="AP781" s="120"/>
      <c r="AQ781" s="175"/>
      <c r="AR781" s="120"/>
      <c r="AS781" s="120"/>
      <c r="AT781" s="120"/>
      <c r="AU781" s="120"/>
      <c r="AV781" s="120"/>
      <c r="AW781" s="120"/>
      <c r="AX781" s="120"/>
      <c r="AY781" s="120"/>
      <c r="AZ781" s="118">
        <f>IFERROR(INDEX('Total Customers'!$F$7:$AB$91,MATCH($C781,'Total Customers'!$D$7:$D$91,0),MATCH($G781,'Total Customers'!$F$5:$AB$5,0)),"NA")</f>
        <v>42950</v>
      </c>
      <c r="BA781" s="119">
        <f t="shared" ref="BA781:BA803" si="2304">LN(AZ781/AZ780)</f>
        <v>1.5533290568330986E-2</v>
      </c>
      <c r="BB781" s="119"/>
      <c r="BC781" s="121"/>
      <c r="BD781" s="119"/>
      <c r="BE781" s="119"/>
      <c r="BF781" s="119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18"/>
      <c r="BR781" s="118"/>
      <c r="BS781" s="118">
        <f>INDEX('Dist. Plant Gas Additions'!$F$7:$AE$91,MATCH($C781,'Dist. Plant Gas Additions'!$D$7:$D$91,0),MATCH(Calculation!$G781,'Dist. Plant Gas Additions'!$F$5:$AE$5,0))</f>
        <v>1446</v>
      </c>
      <c r="BT781" s="118">
        <f>INDEX('Gen. Plant Additions'!$F$7:$AE$91,MATCH($C781,'Gen. Plant Additions'!$D$7:$D$91,0),MATCH(Calculation!$G781,'Gen. Plant Additions'!$F$5:$AE$5,0))</f>
        <v>418</v>
      </c>
      <c r="BU781" s="118"/>
      <c r="BV781" s="118"/>
      <c r="BW781" s="118">
        <f>INDEX('Dist Plant Depreciation'!$E$7:$AD$94,MATCH($C781,'Dist Plant Depreciation'!$D$7:$D$94,0),MATCH(Calculation!$G781,'Dist Plant Depreciation'!$E$5:$AD$5,0))</f>
        <v>22769</v>
      </c>
      <c r="BX781" s="118">
        <f>INDEX('Gen. Plant Depreciation'!$E$7:$AD$94,MATCH($C781,'Gen. Plant Depreciation'!$D$7:$D$94,0),MATCH(Calculation!$G781,'Gen. Plant Depreciation'!$E$5:$AD$5,0))</f>
        <v>1736</v>
      </c>
      <c r="BY781" s="118"/>
      <c r="BZ781" s="118"/>
      <c r="CA781" s="118"/>
      <c r="CB781" s="118"/>
      <c r="CC781" s="118"/>
      <c r="CD781" s="118"/>
      <c r="CE781" s="118">
        <f>INDEX('Gross Dx Plant'!$E$7:$AD$91,MATCH($C781,'Gross Dx Plant'!$D$7:$D$91,0),MATCH(Calculation!$G781,'Gross Dx Plant'!$E$5:$AD$5,0))</f>
        <v>45708</v>
      </c>
      <c r="CF781" s="118">
        <f>INDEX('Gross Gen Plant'!$E$7:$AD$91,MATCH($C781,'Gross Gen Plant'!$D$7:$D$91,0),MATCH(Calculation!$G781,'Gross Gen Plant'!$E$5:$AD$5,0))</f>
        <v>4431</v>
      </c>
      <c r="CG781" s="118">
        <f t="shared" si="2136"/>
        <v>25634</v>
      </c>
      <c r="CH781" s="118"/>
      <c r="CI781" s="121">
        <v>1999</v>
      </c>
      <c r="CJ781" s="118"/>
      <c r="CK781" s="118"/>
      <c r="CL781" s="118"/>
      <c r="CM781" s="183"/>
      <c r="CN781" s="118">
        <f t="shared" ref="CN781:CN803" si="2305">+BT781+BS781</f>
        <v>1864</v>
      </c>
      <c r="CO781" s="118">
        <f t="shared" ref="CO781:CO803" si="2306">+CN781/$DM781</f>
        <v>5.5587863936004061</v>
      </c>
      <c r="CP781" s="186">
        <v>0.99502487562189057</v>
      </c>
      <c r="CQ781" s="118">
        <f>+CQ780*CP781+CO781</f>
        <v>131.66862556231192</v>
      </c>
      <c r="CR781" s="119">
        <f t="shared" ref="CR781:CR802" si="2307">LN(CQ781/CQ780)</f>
        <v>3.8147545658194497E-2</v>
      </c>
      <c r="CS781" s="119"/>
      <c r="CT781" s="177">
        <f t="shared" ref="CT781:CT803" si="2308">+(CQ780-CQ781+CO781)/CQ780</f>
        <v>4.9751243781094951E-3</v>
      </c>
      <c r="CU781" s="177"/>
      <c r="CV781" s="119">
        <f>VLOOKUP($H781,RoR!$E:$F,2,FALSE)</f>
        <v>7.0416666666666669E-2</v>
      </c>
      <c r="CW781" s="177">
        <v>1.4335631817396832E-2</v>
      </c>
      <c r="CX781" s="177">
        <f>+CV781-CW781</f>
        <v>5.6081034849269837E-2</v>
      </c>
      <c r="CY781" s="177"/>
      <c r="CZ781" s="177"/>
      <c r="DA781" s="187">
        <f t="shared" ref="DA781:DA803" si="2309">1-DF781*DG781</f>
        <v>0.86875000000000002</v>
      </c>
      <c r="DB781" s="188">
        <f t="shared" ref="DB781:DB803" si="2310">2/(DK781*39)</f>
        <v>0.72826581702321336</v>
      </c>
      <c r="DC781" s="188">
        <f t="shared" ref="DC781:DC803" si="2311">+(DK781*40-(1+DK781))/(DK781*40)</f>
        <v>0.61997041420118348</v>
      </c>
      <c r="DD781" s="188">
        <f t="shared" ref="DD781:DD803" si="2312">+(1-(1/(1+DK781)^40))</f>
        <v>0.93425155319585029</v>
      </c>
      <c r="DE781" s="188">
        <f t="shared" ref="DE781:DE803" si="2313">+DD781*DC781*DB781</f>
        <v>0.42181762214141483</v>
      </c>
      <c r="DF781" s="189">
        <f>INDEX('State Tax Lookup'!$D$7:$Z$91,MATCH(Calculation!$C781,'State Tax Lookup'!$B$7:$B$91,0),MATCH($H781,'State Tax Lookup'!$D$6:$Z$6,0))</f>
        <v>0.35</v>
      </c>
      <c r="DG781" s="189">
        <v>0.375</v>
      </c>
      <c r="DH781" s="190"/>
      <c r="DI781" s="190"/>
      <c r="DJ781" s="177"/>
      <c r="DK781" s="189">
        <f>VLOOKUP($H781,RoR!$E:$F,2,FALSE)</f>
        <v>7.0416666666666669E-2</v>
      </c>
      <c r="DL781" s="191">
        <f>HLOOKUP($H781,'GDP-PI'!$D$8:$CQ$11,3,FALSE)</f>
        <v>1.4335631817396832E-2</v>
      </c>
      <c r="DM781" s="189">
        <f>VLOOKUP(H781,'HW Dx Data'!$E:$F,2,FALSE)</f>
        <v>335.32499146683239</v>
      </c>
      <c r="DN781" s="183" t="e">
        <f>VLOOKUP(H781,'ECI - Input Price'!$G$17:$H$37,2,FALSE)</f>
        <v>#N/A</v>
      </c>
      <c r="DO781" s="177"/>
      <c r="DP781" s="183">
        <f>HLOOKUP(H781,'GDP-PI'!$8:$9,2,FALSE)</f>
        <v>76.346000000000004</v>
      </c>
    </row>
    <row r="782" spans="1:121" s="167" customFormat="1" ht="21" x14ac:dyDescent="0.35">
      <c r="A782" s="167" t="s">
        <v>81</v>
      </c>
      <c r="B782" s="168" t="s">
        <v>81</v>
      </c>
      <c r="C782" s="168">
        <v>4064479</v>
      </c>
      <c r="D782" s="168" t="s">
        <v>138</v>
      </c>
      <c r="E782" s="168"/>
      <c r="F782" s="168"/>
      <c r="G782" s="168" t="s">
        <v>6</v>
      </c>
      <c r="H782" s="169">
        <v>2000</v>
      </c>
      <c r="I782" s="170"/>
      <c r="J782" s="166"/>
      <c r="K782" s="166"/>
      <c r="L782" s="166"/>
      <c r="M782" s="166"/>
      <c r="N782" s="196"/>
      <c r="O782" s="166"/>
      <c r="P782" s="166"/>
      <c r="Q782" s="166"/>
      <c r="R782" s="166"/>
      <c r="S782" s="166"/>
      <c r="T782" s="166"/>
      <c r="U782" s="166"/>
      <c r="V782" s="166">
        <f t="shared" si="2303"/>
        <v>0</v>
      </c>
      <c r="W782" s="170"/>
      <c r="X782" s="174">
        <v>135.90281213671656</v>
      </c>
      <c r="Y782" s="175">
        <v>3.1651659823293009E-2</v>
      </c>
      <c r="Z782" s="175"/>
      <c r="AA782" s="175"/>
      <c r="AB782" s="175"/>
      <c r="AC782" s="170">
        <f t="shared" si="2271"/>
        <v>0</v>
      </c>
      <c r="AD782" s="175"/>
      <c r="AE782" s="170"/>
      <c r="AF782" s="170"/>
      <c r="AG782" s="174"/>
      <c r="AH782" s="175"/>
      <c r="AI782" s="175"/>
      <c r="AJ782" s="174"/>
      <c r="AK782" s="174"/>
      <c r="AL782" s="120"/>
      <c r="AM782" s="120"/>
      <c r="AN782" s="120"/>
      <c r="AO782" s="120"/>
      <c r="AP782" s="120"/>
      <c r="AQ782" s="175"/>
      <c r="AR782" s="120"/>
      <c r="AS782" s="120"/>
      <c r="AT782" s="120"/>
      <c r="AU782" s="120"/>
      <c r="AV782" s="120"/>
      <c r="AW782" s="120"/>
      <c r="AX782" s="120"/>
      <c r="AY782" s="120"/>
      <c r="AZ782" s="118">
        <f>IFERROR(INDEX('Total Customers'!$F$7:$AB$91,MATCH($C782,'Total Customers'!$D$7:$D$91,0),MATCH($G782,'Total Customers'!$F$5:$AB$5,0)),"NA")</f>
        <v>43764</v>
      </c>
      <c r="BA782" s="119">
        <f t="shared" si="2304"/>
        <v>1.8774913184279138E-2</v>
      </c>
      <c r="BB782" s="119"/>
      <c r="BC782" s="121"/>
      <c r="BD782" s="119"/>
      <c r="BE782" s="119"/>
      <c r="BF782" s="119"/>
      <c r="BG782" s="173"/>
      <c r="BH782" s="173"/>
      <c r="BI782" s="173"/>
      <c r="BJ782" s="173"/>
      <c r="BK782" s="173"/>
      <c r="BL782" s="173"/>
      <c r="BM782" s="173"/>
      <c r="BN782" s="173"/>
      <c r="BO782" s="173"/>
      <c r="BP782" s="173"/>
      <c r="BQ782" s="118"/>
      <c r="BR782" s="118"/>
      <c r="BS782" s="118">
        <f>INDEX('Dist. Plant Gas Additions'!$F$7:$AE$91,MATCH($C782,'Dist. Plant Gas Additions'!$D$7:$D$91,0),MATCH(Calculation!$G782,'Dist. Plant Gas Additions'!$F$5:$AE$5,0))</f>
        <v>1515</v>
      </c>
      <c r="BT782" s="118">
        <f>INDEX('Gen. Plant Additions'!$F$7:$AE$91,MATCH($C782,'Gen. Plant Additions'!$D$7:$D$91,0),MATCH(Calculation!$G782,'Gen. Plant Additions'!$F$5:$AE$5,0))</f>
        <v>187</v>
      </c>
      <c r="BU782" s="118"/>
      <c r="BV782" s="118"/>
      <c r="BW782" s="118">
        <f>INDEX('Dist Plant Depreciation'!$E$7:$AD$94,MATCH($C782,'Dist Plant Depreciation'!$D$7:$D$94,0),MATCH(Calculation!$G782,'Dist Plant Depreciation'!$E$5:$AD$5,0))</f>
        <v>24148</v>
      </c>
      <c r="BX782" s="118">
        <f>INDEX('Gen. Plant Depreciation'!$E$7:$AD$94,MATCH($C782,'Gen. Plant Depreciation'!$D$7:$D$94,0),MATCH(Calculation!$G782,'Gen. Plant Depreciation'!$E$5:$AD$5,0))</f>
        <v>1936</v>
      </c>
      <c r="BY782" s="118"/>
      <c r="BZ782" s="118"/>
      <c r="CA782" s="118"/>
      <c r="CB782" s="118"/>
      <c r="CC782" s="118"/>
      <c r="CD782" s="118"/>
      <c r="CE782" s="118">
        <f>INDEX('Gross Dx Plant'!$E$7:$AD$91,MATCH($C782,'Gross Dx Plant'!$D$7:$D$91,0),MATCH(Calculation!$G782,'Gross Dx Plant'!$E$5:$AD$5,0))</f>
        <v>47159</v>
      </c>
      <c r="CF782" s="118">
        <f>INDEX('Gross Gen Plant'!$E$7:$AD$91,MATCH($C782,'Gross Gen Plant'!$D$7:$D$91,0),MATCH(Calculation!$G782,'Gross Gen Plant'!$E$5:$AD$5,0))</f>
        <v>4505</v>
      </c>
      <c r="CG782" s="118">
        <f t="shared" si="2136"/>
        <v>25580</v>
      </c>
      <c r="CH782" s="118"/>
      <c r="CI782" s="121">
        <v>2000</v>
      </c>
      <c r="CJ782" s="118"/>
      <c r="CK782" s="118"/>
      <c r="CL782" s="118"/>
      <c r="CM782" s="183"/>
      <c r="CN782" s="118">
        <f t="shared" si="2305"/>
        <v>1702</v>
      </c>
      <c r="CO782" s="118">
        <f t="shared" si="2306"/>
        <v>4.9114989753368992</v>
      </c>
      <c r="CP782" s="186">
        <v>0.98989898989898994</v>
      </c>
      <c r="CQ782" s="118">
        <f>+CQ780*CP782+CO781*CP781+CO782</f>
        <v>135.90281213671656</v>
      </c>
      <c r="CR782" s="119">
        <f t="shared" si="2307"/>
        <v>3.1651659823293009E-2</v>
      </c>
      <c r="CS782" s="119"/>
      <c r="CT782" s="177">
        <f t="shared" si="2308"/>
        <v>5.1440682853616977E-3</v>
      </c>
      <c r="CU782" s="177"/>
      <c r="CV782" s="119">
        <f>VLOOKUP($H782,RoR!$E:$F,2,FALSE)</f>
        <v>7.6225000000000001E-2</v>
      </c>
      <c r="CW782" s="177">
        <v>2.2568307442433211E-2</v>
      </c>
      <c r="CX782" s="177">
        <f t="shared" ref="CX782:CX802" si="2314">+CV782-CW782</f>
        <v>5.365669255756679E-2</v>
      </c>
      <c r="CY782" s="177"/>
      <c r="CZ782" s="177"/>
      <c r="DA782" s="187">
        <f t="shared" si="2309"/>
        <v>0.86875000000000002</v>
      </c>
      <c r="DB782" s="188">
        <f t="shared" si="2310"/>
        <v>0.67277207323124022</v>
      </c>
      <c r="DC782" s="188">
        <f t="shared" si="2311"/>
        <v>0.6470236142997704</v>
      </c>
      <c r="DD782" s="188">
        <f t="shared" si="2312"/>
        <v>0.94704866037543145</v>
      </c>
      <c r="DE782" s="188">
        <f t="shared" si="2313"/>
        <v>0.41224973107878493</v>
      </c>
      <c r="DF782" s="189">
        <f>INDEX('State Tax Lookup'!$D$7:$Z$91,MATCH(Calculation!$C782,'State Tax Lookup'!$B$7:$B$91,0),MATCH($H782,'State Tax Lookup'!$D$6:$Z$6,0))</f>
        <v>0.35</v>
      </c>
      <c r="DG782" s="189">
        <v>0.375</v>
      </c>
      <c r="DH782" s="190"/>
      <c r="DI782" s="190"/>
      <c r="DJ782" s="177"/>
      <c r="DK782" s="189">
        <f>VLOOKUP($H782,RoR!$E:$F,2,FALSE)</f>
        <v>7.6225000000000001E-2</v>
      </c>
      <c r="DL782" s="191">
        <f>HLOOKUP($H782,'GDP-PI'!$D$8:$CQ$11,3,FALSE)</f>
        <v>2.2568307442433211E-2</v>
      </c>
      <c r="DM782" s="189">
        <f>VLOOKUP(H782,'HW Dx Data'!$E:$F,2,FALSE)</f>
        <v>346.53371782150339</v>
      </c>
      <c r="DN782" s="183" t="e">
        <f>VLOOKUP(H782,'ECI - Input Price'!$G$17:$H$37,2,FALSE)</f>
        <v>#N/A</v>
      </c>
      <c r="DO782" s="177"/>
      <c r="DP782" s="183">
        <f>HLOOKUP(H782,'GDP-PI'!$8:$9,2,FALSE)</f>
        <v>78.069000000000003</v>
      </c>
    </row>
    <row r="783" spans="1:121" s="167" customFormat="1" ht="21" x14ac:dyDescent="0.35">
      <c r="A783" s="167" t="s">
        <v>81</v>
      </c>
      <c r="B783" s="168" t="s">
        <v>81</v>
      </c>
      <c r="C783" s="168">
        <v>4064479</v>
      </c>
      <c r="D783" s="168" t="s">
        <v>138</v>
      </c>
      <c r="E783" s="168"/>
      <c r="F783" s="168"/>
      <c r="G783" s="168" t="s">
        <v>7</v>
      </c>
      <c r="H783" s="169">
        <v>2001</v>
      </c>
      <c r="I783" s="170"/>
      <c r="J783" s="166"/>
      <c r="K783" s="166"/>
      <c r="L783" s="166"/>
      <c r="M783" s="166"/>
      <c r="N783" s="196"/>
      <c r="O783" s="166"/>
      <c r="P783" s="166"/>
      <c r="Q783" s="166"/>
      <c r="R783" s="166"/>
      <c r="S783" s="166"/>
      <c r="T783" s="166"/>
      <c r="U783" s="166"/>
      <c r="V783" s="166">
        <f t="shared" si="2303"/>
        <v>1653.06987437318</v>
      </c>
      <c r="W783" s="170"/>
      <c r="X783" s="174">
        <v>140.62273475790985</v>
      </c>
      <c r="Y783" s="175">
        <v>3.4140650806668185E-2</v>
      </c>
      <c r="Z783" s="175"/>
      <c r="AA783" s="175"/>
      <c r="AB783" s="175"/>
      <c r="AC783" s="170">
        <f t="shared" si="2271"/>
        <v>1653.06987437318</v>
      </c>
      <c r="AD783" s="175"/>
      <c r="AE783" s="170"/>
      <c r="AF783" s="170"/>
      <c r="AG783" s="174"/>
      <c r="AH783" s="175"/>
      <c r="AI783" s="175"/>
      <c r="AJ783" s="174"/>
      <c r="AK783" s="174"/>
      <c r="AL783" s="120"/>
      <c r="AM783" s="120"/>
      <c r="AN783" s="120"/>
      <c r="AO783" s="120"/>
      <c r="AP783" s="120"/>
      <c r="AQ783" s="175"/>
      <c r="AR783" s="120"/>
      <c r="AS783" s="120"/>
      <c r="AT783" s="120"/>
      <c r="AU783" s="120"/>
      <c r="AV783" s="120"/>
      <c r="AW783" s="120"/>
      <c r="AX783" s="120"/>
      <c r="AY783" s="120"/>
      <c r="AZ783" s="118">
        <f>IFERROR(INDEX('Total Customers'!$F$7:$AB$91,MATCH($C783,'Total Customers'!$D$7:$D$91,0),MATCH($G783,'Total Customers'!$F$5:$AB$5,0)),"NA")</f>
        <v>44172</v>
      </c>
      <c r="BA783" s="119">
        <f t="shared" si="2304"/>
        <v>9.2795425703408787E-3</v>
      </c>
      <c r="BB783" s="119"/>
      <c r="BC783" s="121"/>
      <c r="BD783" s="119"/>
      <c r="BE783" s="119"/>
      <c r="BF783" s="119"/>
      <c r="BG783" s="173"/>
      <c r="BH783" s="173"/>
      <c r="BI783" s="173"/>
      <c r="BJ783" s="173"/>
      <c r="BK783" s="173"/>
      <c r="BL783" s="173"/>
      <c r="BM783" s="173"/>
      <c r="BN783" s="173"/>
      <c r="BO783" s="173"/>
      <c r="BP783" s="173"/>
      <c r="BQ783" s="118"/>
      <c r="BR783" s="118"/>
      <c r="BS783" s="118">
        <f>INDEX('Dist. Plant Gas Additions'!$F$7:$AE$91,MATCH($C783,'Dist. Plant Gas Additions'!$D$7:$D$91,0),MATCH(Calculation!$G783,'Dist. Plant Gas Additions'!$F$5:$AE$5,0))</f>
        <v>1580</v>
      </c>
      <c r="BT783" s="118">
        <f>INDEX('Gen. Plant Additions'!$F$7:$AE$91,MATCH($C783,'Gen. Plant Additions'!$D$7:$D$91,0),MATCH(Calculation!$G783,'Gen. Plant Additions'!$F$5:$AE$5,0))</f>
        <v>335</v>
      </c>
      <c r="BU783" s="118"/>
      <c r="BV783" s="118"/>
      <c r="BW783" s="118">
        <f>INDEX('Dist Plant Depreciation'!$E$7:$AD$94,MATCH($C783,'Dist Plant Depreciation'!$D$7:$D$94,0),MATCH(Calculation!$G783,'Dist Plant Depreciation'!$E$5:$AD$5,0))</f>
        <v>25562</v>
      </c>
      <c r="BX783" s="118">
        <f>INDEX('Gen. Plant Depreciation'!$E$7:$AD$94,MATCH($C783,'Gen. Plant Depreciation'!$D$7:$D$94,0),MATCH(Calculation!$G783,'Gen. Plant Depreciation'!$E$5:$AD$5,0))</f>
        <v>2030</v>
      </c>
      <c r="BY783" s="118"/>
      <c r="BZ783" s="118"/>
      <c r="CA783" s="118"/>
      <c r="CB783" s="118"/>
      <c r="CC783" s="118"/>
      <c r="CD783" s="118"/>
      <c r="CE783" s="118">
        <f>INDEX('Gross Dx Plant'!$E$7:$AD$91,MATCH($C783,'Gross Dx Plant'!$D$7:$D$91,0),MATCH(Calculation!$G783,'Gross Dx Plant'!$E$5:$AD$5,0))</f>
        <v>48630</v>
      </c>
      <c r="CF783" s="118">
        <f>INDEX('Gross Gen Plant'!$E$7:$AD$91,MATCH($C783,'Gross Gen Plant'!$D$7:$D$91,0),MATCH(Calculation!$G783,'Gross Gen Plant'!$E$5:$AD$5,0))</f>
        <v>4603</v>
      </c>
      <c r="CG783" s="118">
        <f t="shared" si="2136"/>
        <v>25641</v>
      </c>
      <c r="CH783" s="118"/>
      <c r="CI783" s="121">
        <v>2001</v>
      </c>
      <c r="CJ783" s="118"/>
      <c r="CK783" s="118"/>
      <c r="CL783" s="118"/>
      <c r="CM783" s="183"/>
      <c r="CN783" s="118">
        <f t="shared" si="2305"/>
        <v>1915</v>
      </c>
      <c r="CO783" s="118">
        <f t="shared" si="2306"/>
        <v>5.4180625106140345</v>
      </c>
      <c r="CP783" s="186">
        <v>0.98461538461538467</v>
      </c>
      <c r="CQ783" s="118">
        <f>+CQ780*CP783+CO781*CP782+CO782*CP780+CO783</f>
        <v>140.62273475790985</v>
      </c>
      <c r="CR783" s="119">
        <f t="shared" si="2307"/>
        <v>3.4140650806668185E-2</v>
      </c>
      <c r="CS783" s="119"/>
      <c r="CT783" s="177">
        <f t="shared" si="2308"/>
        <v>5.1370525631097563E-3</v>
      </c>
      <c r="CU783" s="177">
        <f>+(CT783+CT782+CT781)/3</f>
        <v>5.0854150755269834E-3</v>
      </c>
      <c r="CV783" s="119">
        <f>VLOOKUP($H783,RoR!$E:$F,2,FALSE)</f>
        <v>7.0824999999999999E-2</v>
      </c>
      <c r="CW783" s="177">
        <v>2.2454495382290052E-2</v>
      </c>
      <c r="CX783" s="177">
        <f t="shared" si="2314"/>
        <v>4.8370504617709947E-2</v>
      </c>
      <c r="CY783" s="177">
        <f>+$CX$35-CU783</f>
        <v>2.5816526533006642E-2</v>
      </c>
      <c r="CZ783" s="177">
        <f>+((DM781/DM780-1)+(DM782/DM781-1)+(DM783/DM782-1))/3</f>
        <v>2.3947275901631187E-2</v>
      </c>
      <c r="DA783" s="187">
        <f t="shared" si="2309"/>
        <v>0.86875000000000002</v>
      </c>
      <c r="DB783" s="188">
        <f t="shared" si="2310"/>
        <v>0.72406708481540816</v>
      </c>
      <c r="DC783" s="188">
        <f t="shared" si="2311"/>
        <v>0.62201729615248857</v>
      </c>
      <c r="DD783" s="188">
        <f t="shared" si="2312"/>
        <v>0.9352469954311422</v>
      </c>
      <c r="DE783" s="188">
        <f t="shared" si="2313"/>
        <v>0.42121864641655071</v>
      </c>
      <c r="DF783" s="189">
        <f>INDEX('State Tax Lookup'!$D$7:$Z$91,MATCH(Calculation!$C783,'State Tax Lookup'!$B$7:$B$91,0),MATCH($H783,'State Tax Lookup'!$D$6:$Z$6,0))</f>
        <v>0.35</v>
      </c>
      <c r="DG783" s="189">
        <v>0.375</v>
      </c>
      <c r="DH783" s="190">
        <f t="shared" ref="DH783:DH803" si="2315">+(DM783*CY783-CZ783)*DA783/(1-DF783)</f>
        <v>12.163617870616335</v>
      </c>
      <c r="DI783" s="190"/>
      <c r="DJ783" s="177"/>
      <c r="DK783" s="189">
        <f>VLOOKUP($H783,RoR!$E:$F,2,FALSE)</f>
        <v>7.0824999999999999E-2</v>
      </c>
      <c r="DL783" s="191">
        <f>HLOOKUP($H783,'GDP-PI'!$D$8:$CQ$11,3,FALSE)</f>
        <v>2.2454495382290052E-2</v>
      </c>
      <c r="DM783" s="189">
        <f>VLOOKUP(H783,'HW Dx Data'!$E:$F,2,FALSE)</f>
        <v>353.44738017483138</v>
      </c>
      <c r="DN783" s="183">
        <f>VLOOKUP(H783,'ECI - Input Price'!$G$17:$H$37,2,FALSE)</f>
        <v>86.2</v>
      </c>
      <c r="DO783" s="177"/>
      <c r="DP783" s="183">
        <f>HLOOKUP(H783,'GDP-PI'!$8:$9,2,FALSE)</f>
        <v>79.822000000000003</v>
      </c>
    </row>
    <row r="784" spans="1:121" s="167" customFormat="1" ht="21" x14ac:dyDescent="0.35">
      <c r="A784" s="167" t="s">
        <v>81</v>
      </c>
      <c r="B784" s="168" t="s">
        <v>81</v>
      </c>
      <c r="C784" s="168">
        <v>4064479</v>
      </c>
      <c r="D784" s="168" t="s">
        <v>138</v>
      </c>
      <c r="E784" s="168"/>
      <c r="F784" s="168"/>
      <c r="G784" s="168" t="s">
        <v>8</v>
      </c>
      <c r="H784" s="169">
        <v>2002</v>
      </c>
      <c r="I784" s="170"/>
      <c r="J784" s="166"/>
      <c r="K784" s="166"/>
      <c r="L784" s="166"/>
      <c r="M784" s="166"/>
      <c r="N784" s="196"/>
      <c r="O784" s="166"/>
      <c r="P784" s="166"/>
      <c r="Q784" s="166"/>
      <c r="R784" s="166"/>
      <c r="S784" s="166"/>
      <c r="T784" s="166"/>
      <c r="U784" s="166"/>
      <c r="V784" s="166">
        <f t="shared" si="2303"/>
        <v>1732.9748930451997</v>
      </c>
      <c r="W784" s="170"/>
      <c r="X784" s="174">
        <v>144.01885738454689</v>
      </c>
      <c r="Y784" s="175">
        <v>2.3863580620873241E-2</v>
      </c>
      <c r="Z784" s="175"/>
      <c r="AA784" s="175"/>
      <c r="AB784" s="175"/>
      <c r="AC784" s="170">
        <f t="shared" si="2271"/>
        <v>1732.9748930451997</v>
      </c>
      <c r="AD784" s="175"/>
      <c r="AE784" s="170"/>
      <c r="AF784" s="170"/>
      <c r="AG784" s="174"/>
      <c r="AH784" s="175"/>
      <c r="AI784" s="175"/>
      <c r="AJ784" s="174"/>
      <c r="AK784" s="174"/>
      <c r="AL784" s="120"/>
      <c r="AM784" s="120"/>
      <c r="AN784" s="120"/>
      <c r="AO784" s="120"/>
      <c r="AP784" s="120"/>
      <c r="AQ784" s="175"/>
      <c r="AR784" s="120"/>
      <c r="AS784" s="120"/>
      <c r="AT784" s="120"/>
      <c r="AU784" s="120"/>
      <c r="AV784" s="120"/>
      <c r="AW784" s="120"/>
      <c r="AX784" s="120"/>
      <c r="AY784" s="120"/>
      <c r="AZ784" s="118">
        <f>IFERROR(INDEX('Total Customers'!$F$7:$AB$91,MATCH($C784,'Total Customers'!$D$7:$D$91,0),MATCH($G784,'Total Customers'!$F$5:$AB$5,0)),"NA")</f>
        <v>43978</v>
      </c>
      <c r="BA784" s="119">
        <f t="shared" si="2304"/>
        <v>-4.4015953083055021E-3</v>
      </c>
      <c r="BB784" s="119"/>
      <c r="BC784" s="121"/>
      <c r="BD784" s="119"/>
      <c r="BE784" s="119"/>
      <c r="BF784" s="119"/>
      <c r="BG784" s="173"/>
      <c r="BH784" s="173"/>
      <c r="BI784" s="173"/>
      <c r="BJ784" s="173"/>
      <c r="BK784" s="173"/>
      <c r="BL784" s="173"/>
      <c r="BM784" s="173"/>
      <c r="BN784" s="173"/>
      <c r="BO784" s="173"/>
      <c r="BP784" s="173"/>
      <c r="BQ784" s="118"/>
      <c r="BR784" s="118"/>
      <c r="BS784" s="118">
        <f>INDEX('Dist. Plant Gas Additions'!$F$7:$AE$91,MATCH($C784,'Dist. Plant Gas Additions'!$D$7:$D$91,0),MATCH(Calculation!$G784,'Dist. Plant Gas Additions'!$F$5:$AE$5,0))</f>
        <v>1288</v>
      </c>
      <c r="BT784" s="118">
        <f>INDEX('Gen. Plant Additions'!$F$7:$AE$91,MATCH($C784,'Gen. Plant Additions'!$D$7:$D$91,0),MATCH(Calculation!$G784,'Gen. Plant Additions'!$F$5:$AE$5,0))</f>
        <v>227</v>
      </c>
      <c r="BU784" s="118"/>
      <c r="BV784" s="118"/>
      <c r="BW784" s="118">
        <f>INDEX('Dist Plant Depreciation'!$E$7:$AD$94,MATCH($C784,'Dist Plant Depreciation'!$D$7:$D$94,0),MATCH(Calculation!$G784,'Dist Plant Depreciation'!$E$5:$AD$5,0))</f>
        <v>27003</v>
      </c>
      <c r="BX784" s="118">
        <f>INDEX('Gen. Plant Depreciation'!$E$7:$AD$94,MATCH($C784,'Gen. Plant Depreciation'!$D$7:$D$94,0),MATCH(Calculation!$G784,'Gen. Plant Depreciation'!$E$5:$AD$5,0))</f>
        <v>1612</v>
      </c>
      <c r="BY784" s="118"/>
      <c r="BZ784" s="118"/>
      <c r="CA784" s="118"/>
      <c r="CB784" s="118"/>
      <c r="CC784" s="118"/>
      <c r="CD784" s="118"/>
      <c r="CE784" s="118">
        <f>INDEX('Gross Dx Plant'!$E$7:$AD$91,MATCH($C784,'Gross Dx Plant'!$D$7:$D$91,0),MATCH(Calculation!$G784,'Gross Dx Plant'!$E$5:$AD$5,0))</f>
        <v>49889</v>
      </c>
      <c r="CF784" s="118">
        <f>INDEX('Gross Gen Plant'!$E$7:$AD$91,MATCH($C784,'Gross Gen Plant'!$D$7:$D$91,0),MATCH(Calculation!$G784,'Gross Gen Plant'!$E$5:$AD$5,0))</f>
        <v>4077</v>
      </c>
      <c r="CG784" s="118">
        <f t="shared" si="2136"/>
        <v>25351</v>
      </c>
      <c r="CH784" s="118"/>
      <c r="CI784" s="121">
        <v>2002</v>
      </c>
      <c r="CJ784" s="118"/>
      <c r="CK784" s="118"/>
      <c r="CL784" s="118"/>
      <c r="CM784" s="183"/>
      <c r="CN784" s="118">
        <f t="shared" si="2305"/>
        <v>1515</v>
      </c>
      <c r="CO784" s="118">
        <f t="shared" si="2306"/>
        <v>4.1926323243457944</v>
      </c>
      <c r="CP784" s="186">
        <v>0.97916666666666663</v>
      </c>
      <c r="CQ784" s="118">
        <f>+CQ780*CP784+CO781*CP783+CO782*CP782+CO783*CP781+CO784</f>
        <v>144.01885738454689</v>
      </c>
      <c r="CR784" s="119">
        <f t="shared" si="2307"/>
        <v>2.3863580620873241E-2</v>
      </c>
      <c r="CS784" s="119"/>
      <c r="CT784" s="177">
        <f t="shared" si="2308"/>
        <v>5.664160201975835E-3</v>
      </c>
      <c r="CU784" s="177">
        <f t="shared" ref="CU784:CU803" si="2316">+(CT784+CT783+CT782)/3</f>
        <v>5.3150936834824303E-3</v>
      </c>
      <c r="CV784" s="119">
        <f>VLOOKUP($H784,RoR!$E:$F,2,FALSE)</f>
        <v>6.4916666666666664E-2</v>
      </c>
      <c r="CW784" s="177">
        <v>1.5246423291824351E-2</v>
      </c>
      <c r="CX784" s="177">
        <f t="shared" si="2314"/>
        <v>4.9670243374842313E-2</v>
      </c>
      <c r="CY784" s="177">
        <f t="shared" ref="CY784:CY803" si="2317">+$CX$35-CU784</f>
        <v>2.5586847925051195E-2</v>
      </c>
      <c r="CZ784" s="177">
        <f t="shared" ref="CZ784:CZ803" si="2318">+((DM782/DM781-1)+(DM783/DM782-1)+(DM784/DM783-1))/3</f>
        <v>2.5243621214759093E-2</v>
      </c>
      <c r="DA784" s="187">
        <f t="shared" si="2309"/>
        <v>0.86875000000000002</v>
      </c>
      <c r="DB784" s="188">
        <f t="shared" si="2310"/>
        <v>0.78996741384417901</v>
      </c>
      <c r="DC784" s="188">
        <f t="shared" si="2311"/>
        <v>0.58989088575096271</v>
      </c>
      <c r="DD784" s="188">
        <f t="shared" si="2312"/>
        <v>0.91920675783645744</v>
      </c>
      <c r="DE784" s="188">
        <f t="shared" si="2313"/>
        <v>0.42834536472275586</v>
      </c>
      <c r="DF784" s="189">
        <f>INDEX('State Tax Lookup'!$D$7:$Z$91,MATCH(Calculation!$C784,'State Tax Lookup'!$B$7:$B$91,0),MATCH($H784,'State Tax Lookup'!$D$6:$Z$6,0))</f>
        <v>0.35</v>
      </c>
      <c r="DG784" s="189">
        <v>0.375</v>
      </c>
      <c r="DH784" s="190">
        <f t="shared" si="2315"/>
        <v>12.323575530148918</v>
      </c>
      <c r="DI784" s="190"/>
      <c r="DJ784" s="177"/>
      <c r="DK784" s="189">
        <f>VLOOKUP($H784,RoR!$E:$F,2,FALSE)</f>
        <v>6.4916666666666664E-2</v>
      </c>
      <c r="DL784" s="191">
        <f>HLOOKUP($H784,'GDP-PI'!$D$8:$CQ$11,3,FALSE)</f>
        <v>1.5246423291824351E-2</v>
      </c>
      <c r="DM784" s="189">
        <f>VLOOKUP(H784,'HW Dx Data'!$E:$F,2,FALSE)</f>
        <v>361.34816573413599</v>
      </c>
      <c r="DN784" s="183">
        <f>VLOOKUP(H784,'ECI - Input Price'!$G$17:$H$37,2,FALSE)</f>
        <v>89.275000000000006</v>
      </c>
      <c r="DO784" s="177">
        <f>LN(DN784/DN783)</f>
        <v>3.5051315810864674E-2</v>
      </c>
      <c r="DP784" s="183">
        <f>HLOOKUP(H784,'GDP-PI'!$8:$9,2,FALSE)</f>
        <v>81.039000000000001</v>
      </c>
      <c r="DQ784" s="177">
        <f>LN(DP784/DP783)</f>
        <v>1.513136459537477E-2</v>
      </c>
    </row>
    <row r="785" spans="1:121" s="167" customFormat="1" ht="21" x14ac:dyDescent="0.35">
      <c r="A785" s="167" t="s">
        <v>81</v>
      </c>
      <c r="B785" s="168" t="s">
        <v>81</v>
      </c>
      <c r="C785" s="168">
        <v>4064479</v>
      </c>
      <c r="D785" s="168" t="s">
        <v>138</v>
      </c>
      <c r="E785" s="168"/>
      <c r="F785" s="168"/>
      <c r="G785" s="168" t="s">
        <v>9</v>
      </c>
      <c r="H785" s="169">
        <v>2003</v>
      </c>
      <c r="I785" s="170"/>
      <c r="J785" s="166"/>
      <c r="K785" s="166"/>
      <c r="L785" s="166"/>
      <c r="M785" s="172"/>
      <c r="N785" s="196"/>
      <c r="O785" s="172"/>
      <c r="P785" s="166"/>
      <c r="Q785" s="166"/>
      <c r="R785" s="166"/>
      <c r="S785" s="166"/>
      <c r="T785" s="166"/>
      <c r="U785" s="166"/>
      <c r="V785" s="166">
        <f t="shared" si="2303"/>
        <v>1801.817976387867</v>
      </c>
      <c r="W785" s="170"/>
      <c r="X785" s="174">
        <v>148.14687853890285</v>
      </c>
      <c r="Y785" s="175">
        <v>2.8259959136951753E-2</v>
      </c>
      <c r="Z785" s="175"/>
      <c r="AA785" s="175"/>
      <c r="AB785" s="175"/>
      <c r="AC785" s="170">
        <f t="shared" si="2271"/>
        <v>1801.817976387867</v>
      </c>
      <c r="AD785" s="175"/>
      <c r="AE785" s="170"/>
      <c r="AF785" s="170"/>
      <c r="AG785" s="174"/>
      <c r="AH785" s="175"/>
      <c r="AI785" s="175"/>
      <c r="AJ785" s="174"/>
      <c r="AK785" s="174"/>
      <c r="AL785" s="120"/>
      <c r="AM785" s="120"/>
      <c r="AN785" s="120"/>
      <c r="AO785" s="120"/>
      <c r="AP785" s="120"/>
      <c r="AQ785" s="175"/>
      <c r="AR785" s="120"/>
      <c r="AS785" s="120"/>
      <c r="AT785" s="120"/>
      <c r="AU785" s="120"/>
      <c r="AV785" s="120"/>
      <c r="AW785" s="120"/>
      <c r="AX785" s="120"/>
      <c r="AY785" s="120"/>
      <c r="AZ785" s="118">
        <f>IFERROR(INDEX('Total Customers'!$F$7:$AB$91,MATCH($C785,'Total Customers'!$D$7:$D$91,0),MATCH($G785,'Total Customers'!$F$5:$AB$5,0)),"NA")</f>
        <v>44645</v>
      </c>
      <c r="BA785" s="119">
        <f t="shared" si="2304"/>
        <v>1.505281009260085E-2</v>
      </c>
      <c r="BB785" s="119"/>
      <c r="BC785" s="121"/>
      <c r="BD785" s="119"/>
      <c r="BE785" s="119"/>
      <c r="BF785" s="119"/>
      <c r="BG785" s="173"/>
      <c r="BH785" s="173"/>
      <c r="BI785" s="173"/>
      <c r="BJ785" s="173"/>
      <c r="BK785" s="173"/>
      <c r="BL785" s="173"/>
      <c r="BM785" s="173"/>
      <c r="BN785" s="173"/>
      <c r="BO785" s="173"/>
      <c r="BP785" s="173"/>
      <c r="BQ785" s="118"/>
      <c r="BR785" s="118"/>
      <c r="BS785" s="118">
        <f>INDEX('Dist. Plant Gas Additions'!$F$7:$AE$91,MATCH($C785,'Dist. Plant Gas Additions'!$D$7:$D$91,0),MATCH(Calculation!$G785,'Dist. Plant Gas Additions'!$F$5:$AE$5,0))</f>
        <v>1399</v>
      </c>
      <c r="BT785" s="118">
        <f>INDEX('Gen. Plant Additions'!$F$7:$AE$91,MATCH($C785,'Gen. Plant Additions'!$D$7:$D$91,0),MATCH(Calculation!$G785,'Gen. Plant Additions'!$F$5:$AE$5,0))</f>
        <v>427</v>
      </c>
      <c r="BU785" s="118"/>
      <c r="BV785" s="118"/>
      <c r="BW785" s="118">
        <f>INDEX('Dist Plant Depreciation'!$E$7:$AD$94,MATCH($C785,'Dist Plant Depreciation'!$D$7:$D$94,0),MATCH(Calculation!$G785,'Dist Plant Depreciation'!$E$5:$AD$5,0))</f>
        <v>28327</v>
      </c>
      <c r="BX785" s="118">
        <f>INDEX('Gen. Plant Depreciation'!$E$7:$AD$94,MATCH($C785,'Gen. Plant Depreciation'!$D$7:$D$94,0),MATCH(Calculation!$G785,'Gen. Plant Depreciation'!$E$5:$AD$5,0))</f>
        <v>2315</v>
      </c>
      <c r="BY785" s="118"/>
      <c r="BZ785" s="118"/>
      <c r="CA785" s="118"/>
      <c r="CB785" s="118"/>
      <c r="CC785" s="118"/>
      <c r="CD785" s="118"/>
      <c r="CE785" s="118">
        <f>INDEX('Gross Dx Plant'!$E$7:$AD$91,MATCH($C785,'Gross Dx Plant'!$D$7:$D$91,0),MATCH(Calculation!$G785,'Gross Dx Plant'!$E$5:$AD$5,0))</f>
        <v>51063</v>
      </c>
      <c r="CF785" s="118">
        <f>INDEX('Gross Gen Plant'!$E$7:$AD$91,MATCH($C785,'Gross Gen Plant'!$D$7:$D$91,0),MATCH(Calculation!$G785,'Gross Gen Plant'!$E$5:$AD$5,0))</f>
        <v>4274</v>
      </c>
      <c r="CG785" s="118">
        <f t="shared" si="2136"/>
        <v>24695</v>
      </c>
      <c r="CH785" s="118"/>
      <c r="CI785" s="121">
        <v>2003</v>
      </c>
      <c r="CJ785" s="118"/>
      <c r="CK785" s="118"/>
      <c r="CL785" s="118"/>
      <c r="CM785" s="183"/>
      <c r="CN785" s="118">
        <f t="shared" si="2305"/>
        <v>1826</v>
      </c>
      <c r="CO785" s="118">
        <f t="shared" si="2306"/>
        <v>4.9453866415523873</v>
      </c>
      <c r="CP785" s="186">
        <v>0.97354497354497349</v>
      </c>
      <c r="CQ785" s="118">
        <f>+CQ780*CP785+CO781*CP784+CO782*CP783+CO783*CP782+CO784*CP781+CO785</f>
        <v>148.14687853890285</v>
      </c>
      <c r="CR785" s="119">
        <f t="shared" si="2307"/>
        <v>2.8259959136951753E-2</v>
      </c>
      <c r="CS785" s="119"/>
      <c r="CT785" s="177">
        <f t="shared" si="2308"/>
        <v>5.6754059991877626E-3</v>
      </c>
      <c r="CU785" s="177">
        <f t="shared" si="2316"/>
        <v>5.4922062547577847E-3</v>
      </c>
      <c r="CV785" s="119">
        <f>VLOOKUP($H785,RoR!$E:$F,2,FALSE)</f>
        <v>5.6666666666666671E-2</v>
      </c>
      <c r="CW785" s="177">
        <v>1.8855119140166909E-2</v>
      </c>
      <c r="CX785" s="177">
        <f t="shared" si="2314"/>
        <v>3.7811547526499761E-2</v>
      </c>
      <c r="CY785" s="177">
        <f t="shared" si="2317"/>
        <v>2.5409735353775841E-2</v>
      </c>
      <c r="CZ785" s="177">
        <f t="shared" si="2318"/>
        <v>2.1375012817671957E-2</v>
      </c>
      <c r="DA785" s="187">
        <f t="shared" si="2309"/>
        <v>0.86875000000000002</v>
      </c>
      <c r="DB785" s="188">
        <f t="shared" si="2310"/>
        <v>0.90497737556561086</v>
      </c>
      <c r="DC785" s="188">
        <f t="shared" si="2311"/>
        <v>0.5338235294117647</v>
      </c>
      <c r="DD785" s="188">
        <f t="shared" si="2312"/>
        <v>0.88972433127405692</v>
      </c>
      <c r="DE785" s="188">
        <f t="shared" si="2313"/>
        <v>0.42982423775949252</v>
      </c>
      <c r="DF785" s="189">
        <f>INDEX('State Tax Lookup'!$D$7:$Z$91,MATCH(Calculation!$C785,'State Tax Lookup'!$B$7:$B$91,0),MATCH($H785,'State Tax Lookup'!$D$6:$Z$6,0))</f>
        <v>0.35</v>
      </c>
      <c r="DG785" s="189">
        <v>0.375</v>
      </c>
      <c r="DH785" s="190">
        <f t="shared" si="2315"/>
        <v>12.510986471561887</v>
      </c>
      <c r="DI785" s="190"/>
      <c r="DJ785" s="177"/>
      <c r="DK785" s="189">
        <f>VLOOKUP($H785,RoR!$E:$F,2,FALSE)</f>
        <v>5.6666666666666671E-2</v>
      </c>
      <c r="DL785" s="191">
        <f>HLOOKUP($H785,'GDP-PI'!$D$8:$CQ$11,3,FALSE)</f>
        <v>1.8855119140166909E-2</v>
      </c>
      <c r="DM785" s="189">
        <f>VLOOKUP(H785,'HW Dx Data'!$E:$F,2,FALSE)</f>
        <v>369.23301095560191</v>
      </c>
      <c r="DN785" s="183">
        <f>VLOOKUP(H785,'ECI - Input Price'!$G$17:$H$37,2,FALSE)</f>
        <v>92.625</v>
      </c>
      <c r="DO785" s="177">
        <f t="shared" ref="DO785" si="2319">LN(DN785/DN784)</f>
        <v>3.6837590135738785E-2</v>
      </c>
      <c r="DP785" s="183">
        <f>HLOOKUP(H785,'GDP-PI'!$8:$9,2,FALSE)</f>
        <v>82.566999999999993</v>
      </c>
      <c r="DQ785" s="177">
        <f t="shared" ref="DQ785" si="2320">LN(DP785/DP784)</f>
        <v>1.8679564681853753E-2</v>
      </c>
    </row>
    <row r="786" spans="1:121" s="167" customFormat="1" ht="21" x14ac:dyDescent="0.35">
      <c r="A786" s="167" t="s">
        <v>81</v>
      </c>
      <c r="B786" s="168" t="s">
        <v>81</v>
      </c>
      <c r="C786" s="168">
        <v>4064479</v>
      </c>
      <c r="D786" s="168" t="s">
        <v>138</v>
      </c>
      <c r="E786" s="168"/>
      <c r="F786" s="168"/>
      <c r="G786" s="168" t="s">
        <v>10</v>
      </c>
      <c r="H786" s="169">
        <v>2004</v>
      </c>
      <c r="I786" s="170"/>
      <c r="J786" s="166">
        <f>IFERROR(INDEX('Labor Expenditures'!$F$7:$X$91,MATCH($C786,'Labor Expenditures'!$D$7:$D$91,0),MATCH($G786,'Labor Expenditures'!$F$5:$X$5,0)),"NA")</f>
        <v>2352.5789273083901</v>
      </c>
      <c r="K786" s="166">
        <f t="shared" ref="K786:K803" si="2321">+J786/DN786</f>
        <v>24.46143932735524</v>
      </c>
      <c r="L786" s="172"/>
      <c r="M786" s="172"/>
      <c r="N786" s="196"/>
      <c r="O786" s="172"/>
      <c r="P786" s="166">
        <f>IFERROR(INDEX('Non-Labor Expenditures'!$F$7:$AB$91,MATCH($C786,'Non-Labor Expenditures'!$D$7:$D$91,0),MATCH($G786,'Non-Labor Expenditures'!$F$5:$AB$5,0)),"NA")</f>
        <v>3406.9736878753993</v>
      </c>
      <c r="Q786" s="166">
        <f t="shared" ref="Q786:Q803" si="2322">+P786/DP786</f>
        <v>40.187002381223891</v>
      </c>
      <c r="R786" s="166"/>
      <c r="S786" s="166"/>
      <c r="T786" s="166"/>
      <c r="U786" s="166"/>
      <c r="V786" s="166">
        <f t="shared" si="2303"/>
        <v>2056.5064600672026</v>
      </c>
      <c r="W786" s="170"/>
      <c r="X786" s="174">
        <v>151.92089204863919</v>
      </c>
      <c r="Y786" s="175">
        <v>2.5155734119704929E-2</v>
      </c>
      <c r="Z786" s="175"/>
      <c r="AA786" s="175"/>
      <c r="AB786" s="175"/>
      <c r="AC786" s="170">
        <f t="shared" si="2271"/>
        <v>7816.0590752509925</v>
      </c>
      <c r="AD786" s="175"/>
      <c r="AE786" s="170"/>
      <c r="AF786" s="170"/>
      <c r="AG786" s="174"/>
      <c r="AH786" s="175"/>
      <c r="AI786" s="175"/>
      <c r="AJ786" s="174"/>
      <c r="AK786" s="174"/>
      <c r="AL786" s="120">
        <f t="shared" ref="AL786:AL803" si="2323">+J786/AC786</f>
        <v>0.30099298184140749</v>
      </c>
      <c r="AM786" s="120">
        <f t="shared" ref="AM786:AM803" si="2324">+P786/AC786</f>
        <v>0.43589405544072007</v>
      </c>
      <c r="AN786" s="120">
        <f t="shared" ref="AN786:AN803" si="2325">+V786/AC786</f>
        <v>0.26311296271787238</v>
      </c>
      <c r="AO786" s="120"/>
      <c r="AP786" s="120"/>
      <c r="AQ786" s="175"/>
      <c r="AR786" s="120"/>
      <c r="AS786" s="120"/>
      <c r="AT786" s="120"/>
      <c r="AU786" s="120"/>
      <c r="AV786" s="120"/>
      <c r="AW786" s="120"/>
      <c r="AX786" s="120"/>
      <c r="AY786" s="120"/>
      <c r="AZ786" s="118">
        <f>IFERROR(INDEX('Total Customers'!$F$7:$AB$91,MATCH($C786,'Total Customers'!$D$7:$D$91,0),MATCH($G786,'Total Customers'!$F$5:$AB$5,0)),"NA")</f>
        <v>45198</v>
      </c>
      <c r="BA786" s="119">
        <f t="shared" si="2304"/>
        <v>1.2310519102432848E-2</v>
      </c>
      <c r="BB786" s="119"/>
      <c r="BC786" s="121"/>
      <c r="BD786" s="119"/>
      <c r="BE786" s="119"/>
      <c r="BF786" s="119"/>
      <c r="BG786" s="173"/>
      <c r="BH786" s="173"/>
      <c r="BI786" s="173"/>
      <c r="BJ786" s="173"/>
      <c r="BK786" s="173"/>
      <c r="BL786" s="173"/>
      <c r="BM786" s="173"/>
      <c r="BN786" s="173"/>
      <c r="BO786" s="173"/>
      <c r="BP786" s="173"/>
      <c r="BQ786" s="118"/>
      <c r="BR786" s="118"/>
      <c r="BS786" s="118">
        <f>INDEX('Dist. Plant Gas Additions'!$F$7:$AE$91,MATCH($C786,'Dist. Plant Gas Additions'!$D$7:$D$91,0),MATCH(Calculation!$G786,'Dist. Plant Gas Additions'!$F$5:$AE$5,0))</f>
        <v>1504</v>
      </c>
      <c r="BT786" s="118">
        <f>INDEX('Gen. Plant Additions'!$F$7:$AE$91,MATCH($C786,'Gen. Plant Additions'!$D$7:$D$91,0),MATCH(Calculation!$G786,'Gen. Plant Additions'!$F$5:$AE$5,0))</f>
        <v>422</v>
      </c>
      <c r="BU786" s="118"/>
      <c r="BV786" s="118"/>
      <c r="BW786" s="118">
        <f>INDEX('Dist Plant Depreciation'!$E$7:$AD$94,MATCH($C786,'Dist Plant Depreciation'!$D$7:$D$94,0),MATCH(Calculation!$G786,'Dist Plant Depreciation'!$E$5:$AD$5,0))</f>
        <v>29337</v>
      </c>
      <c r="BX786" s="118">
        <f>INDEX('Gen. Plant Depreciation'!$E$7:$AD$94,MATCH($C786,'Gen. Plant Depreciation'!$D$7:$D$94,0),MATCH(Calculation!$G786,'Gen. Plant Depreciation'!$E$5:$AD$5,0))</f>
        <v>2394</v>
      </c>
      <c r="BY786" s="118"/>
      <c r="BZ786" s="118"/>
      <c r="CA786" s="118"/>
      <c r="CB786" s="118"/>
      <c r="CC786" s="118"/>
      <c r="CD786" s="118"/>
      <c r="CE786" s="118">
        <f>INDEX('Gross Dx Plant'!$E$7:$AD$91,MATCH($C786,'Gross Dx Plant'!$D$7:$D$91,0),MATCH(Calculation!$G786,'Gross Dx Plant'!$E$5:$AD$5,0))</f>
        <v>52511</v>
      </c>
      <c r="CF786" s="118">
        <f>INDEX('Gross Gen Plant'!$E$7:$AD$91,MATCH($C786,'Gross Gen Plant'!$D$7:$D$91,0),MATCH(Calculation!$G786,'Gross Gen Plant'!$E$5:$AD$5,0))</f>
        <v>4474</v>
      </c>
      <c r="CG786" s="118">
        <f t="shared" si="2136"/>
        <v>25254</v>
      </c>
      <c r="CH786" s="118"/>
      <c r="CI786" s="121">
        <v>2004</v>
      </c>
      <c r="CJ786" s="118"/>
      <c r="CK786" s="118"/>
      <c r="CL786" s="118"/>
      <c r="CM786" s="183"/>
      <c r="CN786" s="118">
        <f t="shared" si="2305"/>
        <v>1926</v>
      </c>
      <c r="CO786" s="118">
        <f t="shared" si="2306"/>
        <v>4.6422257426709033</v>
      </c>
      <c r="CP786" s="186">
        <v>0.967741935483871</v>
      </c>
      <c r="CQ786" s="118">
        <f>+CQ780*CP786+CO781*CP785+CO782*CP784+CO783*CP783+CO784*CP782+CO785*CP781+CO786</f>
        <v>151.92089204863919</v>
      </c>
      <c r="CR786" s="119">
        <f t="shared" si="2307"/>
        <v>2.5155734119704929E-2</v>
      </c>
      <c r="CS786" s="119"/>
      <c r="CT786" s="177">
        <f t="shared" si="2308"/>
        <v>5.8604827958395273E-3</v>
      </c>
      <c r="CU786" s="177">
        <f t="shared" si="2316"/>
        <v>5.733349665667708E-3</v>
      </c>
      <c r="CV786" s="119">
        <f>VLOOKUP($H786,RoR!$E:$F,2,FALSE)</f>
        <v>5.6283333333333331E-2</v>
      </c>
      <c r="CW786" s="177">
        <v>2.6778252812867276E-2</v>
      </c>
      <c r="CX786" s="177">
        <f t="shared" si="2314"/>
        <v>2.9505080520466055E-2</v>
      </c>
      <c r="CY786" s="177">
        <f t="shared" si="2317"/>
        <v>2.5168591942865918E-2</v>
      </c>
      <c r="CZ786" s="177">
        <f t="shared" si="2318"/>
        <v>5.5940039414565046E-2</v>
      </c>
      <c r="DA786" s="187">
        <f t="shared" si="2309"/>
        <v>0.86875000000000002</v>
      </c>
      <c r="DB786" s="188">
        <f t="shared" si="2310"/>
        <v>0.91114097628755619</v>
      </c>
      <c r="DC786" s="188">
        <f t="shared" si="2311"/>
        <v>0.53081877405981637</v>
      </c>
      <c r="DD786" s="188">
        <f t="shared" si="2312"/>
        <v>0.88811215519385678</v>
      </c>
      <c r="DE786" s="188">
        <f t="shared" si="2313"/>
        <v>0.42953609753547711</v>
      </c>
      <c r="DF786" s="189">
        <f>INDEX('State Tax Lookup'!$D$7:$Z$91,MATCH(Calculation!$C786,'State Tax Lookup'!$B$7:$B$91,0),MATCH($H786,'State Tax Lookup'!$D$6:$Z$6,0))</f>
        <v>0.35</v>
      </c>
      <c r="DG786" s="189">
        <v>0.375</v>
      </c>
      <c r="DH786" s="190">
        <f t="shared" si="2315"/>
        <v>13.881537568320558</v>
      </c>
      <c r="DI786" s="190"/>
      <c r="DJ786" s="177"/>
      <c r="DK786" s="189">
        <f>VLOOKUP($H786,RoR!$E:$F,2,FALSE)</f>
        <v>5.6283333333333331E-2</v>
      </c>
      <c r="DL786" s="191">
        <f>HLOOKUP($H786,'GDP-PI'!$D$8:$CQ$11,3,FALSE)</f>
        <v>2.6778252812867276E-2</v>
      </c>
      <c r="DM786" s="189">
        <f>VLOOKUP(H786,'HW Dx Data'!$E:$F,2,FALSE)</f>
        <v>414.88719135228365</v>
      </c>
      <c r="DN786" s="183">
        <f>VLOOKUP(H786,'ECI - Input Price'!$G$17:$H$37,2,FALSE)</f>
        <v>96.174999999999997</v>
      </c>
      <c r="DO786" s="177">
        <f t="shared" ref="DO786" si="2326">LN(DN786/DN785)</f>
        <v>3.7610365022107912E-2</v>
      </c>
      <c r="DP786" s="183">
        <f>HLOOKUP(H786,'GDP-PI'!$8:$9,2,FALSE)</f>
        <v>84.778000000000006</v>
      </c>
      <c r="DQ786" s="177">
        <f t="shared" ref="DQ786" si="2327">LN(DP786/DP785)</f>
        <v>2.6425990216022755E-2</v>
      </c>
    </row>
    <row r="787" spans="1:121" s="167" customFormat="1" ht="21" x14ac:dyDescent="0.35">
      <c r="A787" s="167" t="s">
        <v>81</v>
      </c>
      <c r="B787" s="168" t="s">
        <v>81</v>
      </c>
      <c r="C787" s="168">
        <v>4064479</v>
      </c>
      <c r="D787" s="168" t="s">
        <v>138</v>
      </c>
      <c r="E787" s="168"/>
      <c r="F787" s="168"/>
      <c r="G787" s="168" t="s">
        <v>11</v>
      </c>
      <c r="H787" s="169">
        <v>2005</v>
      </c>
      <c r="I787" s="170"/>
      <c r="J787" s="166">
        <f>IFERROR(INDEX('Labor Expenditures'!$F$7:$X$91,MATCH($C787,'Labor Expenditures'!$D$7:$D$91,0),MATCH($G787,'Labor Expenditures'!$F$5:$X$5,0)),"NA")</f>
        <v>2287.8651870755562</v>
      </c>
      <c r="K787" s="166">
        <f t="shared" si="2321"/>
        <v>23.074787565058557</v>
      </c>
      <c r="L787" s="172">
        <f t="shared" ref="L787:L803" si="2328">LN(K787/K786)</f>
        <v>-5.8357398589920652E-2</v>
      </c>
      <c r="M787" s="172"/>
      <c r="N787" s="196"/>
      <c r="O787" s="172"/>
      <c r="P787" s="166">
        <f>IFERROR(INDEX('Non-Labor Expenditures'!$F$7:$AB$91,MATCH($C787,'Non-Labor Expenditures'!$D$7:$D$91,0),MATCH($G787,'Non-Labor Expenditures'!$F$5:$AB$5,0)),"NA")</f>
        <v>3313.2561051588359</v>
      </c>
      <c r="Q787" s="166">
        <f t="shared" si="2322"/>
        <v>37.906072799190412</v>
      </c>
      <c r="R787" s="172">
        <f>LN(Q787/Q786)</f>
        <v>-5.84322880732078E-2</v>
      </c>
      <c r="S787" s="172"/>
      <c r="T787" s="172"/>
      <c r="U787" s="172"/>
      <c r="V787" s="166">
        <f t="shared" si="2303"/>
        <v>2366.7864841516753</v>
      </c>
      <c r="W787" s="170"/>
      <c r="X787" s="174">
        <v>155.13809436445527</v>
      </c>
      <c r="Y787" s="175">
        <v>2.0955713340758429E-2</v>
      </c>
      <c r="Z787" s="175"/>
      <c r="AA787" s="175"/>
      <c r="AB787" s="175"/>
      <c r="AC787" s="170">
        <f t="shared" si="2271"/>
        <v>7967.9077763860678</v>
      </c>
      <c r="AD787" s="175">
        <f>LN(AC787/AC786)</f>
        <v>1.9241473008627386E-2</v>
      </c>
      <c r="AE787" s="170"/>
      <c r="AF787" s="170"/>
      <c r="AG787" s="121"/>
      <c r="AH787" s="119"/>
      <c r="AI787" s="119"/>
      <c r="AJ787" s="121"/>
      <c r="AK787" s="121"/>
      <c r="AL787" s="120">
        <f t="shared" si="2323"/>
        <v>0.28713499845667673</v>
      </c>
      <c r="AM787" s="120">
        <f t="shared" si="2324"/>
        <v>0.41582510718536447</v>
      </c>
      <c r="AN787" s="120">
        <f t="shared" si="2325"/>
        <v>0.29703989435795869</v>
      </c>
      <c r="AO787" s="120">
        <f t="shared" ref="AO787:AO803" si="2329">+(((AL787+AL786)/2)*L787+((AM786+AM787)/2)*R787+((AN786+AN787)/2)*Y787)</f>
        <v>-3.6175557868145518E-2</v>
      </c>
      <c r="AP787" s="173">
        <v>100</v>
      </c>
      <c r="AQ787" s="175"/>
      <c r="AR787" s="120"/>
      <c r="AS787" s="120"/>
      <c r="AT787" s="120"/>
      <c r="AU787" s="120"/>
      <c r="AV787" s="120"/>
      <c r="AW787" s="120"/>
      <c r="AX787" s="120"/>
      <c r="AY787" s="120"/>
      <c r="AZ787" s="118">
        <f>IFERROR(INDEX('Total Customers'!$F$7:$AB$91,MATCH($C787,'Total Customers'!$D$7:$D$91,0),MATCH($G787,'Total Customers'!$F$5:$AB$5,0)),"NA")</f>
        <v>45783</v>
      </c>
      <c r="BA787" s="119">
        <f t="shared" si="2304"/>
        <v>1.2860005105234776E-2</v>
      </c>
      <c r="BB787" s="119"/>
      <c r="BC787" s="121"/>
      <c r="BD787" s="119"/>
      <c r="BE787" s="119"/>
      <c r="BF787" s="119"/>
      <c r="BG787" s="173"/>
      <c r="BH787" s="173"/>
      <c r="BI787" s="173"/>
      <c r="BJ787" s="173"/>
      <c r="BK787" s="173"/>
      <c r="BL787" s="173"/>
      <c r="BM787" s="173"/>
      <c r="BN787" s="173"/>
      <c r="BO787" s="173"/>
      <c r="BP787" s="173"/>
      <c r="BQ787" s="118"/>
      <c r="BR787" s="118"/>
      <c r="BS787" s="118">
        <f>INDEX('Dist. Plant Gas Additions'!$F$7:$AE$91,MATCH($C787,'Dist. Plant Gas Additions'!$D$7:$D$91,0),MATCH(Calculation!$G787,'Dist. Plant Gas Additions'!$F$5:$AE$5,0))</f>
        <v>1601</v>
      </c>
      <c r="BT787" s="118">
        <f>INDEX('Gen. Plant Additions'!$F$7:$AE$91,MATCH($C787,'Gen. Plant Additions'!$D$7:$D$91,0),MATCH(Calculation!$G787,'Gen. Plant Additions'!$F$5:$AE$5,0))</f>
        <v>340</v>
      </c>
      <c r="BU787" s="118"/>
      <c r="BV787" s="118"/>
      <c r="BW787" s="118">
        <f>INDEX('Dist Plant Depreciation'!$E$7:$AD$94,MATCH($C787,'Dist Plant Depreciation'!$D$7:$D$94,0),MATCH(Calculation!$G787,'Dist Plant Depreciation'!$E$5:$AD$5,0))</f>
        <v>30695</v>
      </c>
      <c r="BX787" s="118">
        <f>INDEX('Gen. Plant Depreciation'!$E$7:$AD$94,MATCH($C787,'Gen. Plant Depreciation'!$D$7:$D$94,0),MATCH(Calculation!$G787,'Gen. Plant Depreciation'!$E$5:$AD$5,0))</f>
        <v>2404</v>
      </c>
      <c r="BY787" s="118"/>
      <c r="BZ787" s="118"/>
      <c r="CA787" s="118"/>
      <c r="CB787" s="118"/>
      <c r="CC787" s="118"/>
      <c r="CD787" s="118"/>
      <c r="CE787" s="118">
        <f>INDEX('Gross Dx Plant'!$E$7:$AD$91,MATCH($C787,'Gross Dx Plant'!$D$7:$D$91,0),MATCH(Calculation!$G787,'Gross Dx Plant'!$E$5:$AD$5,0))</f>
        <v>53960</v>
      </c>
      <c r="CF787" s="118">
        <f>INDEX('Gross Gen Plant'!$E$7:$AD$91,MATCH($C787,'Gross Gen Plant'!$D$7:$D$91,0),MATCH(Calculation!$G787,'Gross Gen Plant'!$E$5:$AD$5,0))</f>
        <v>4428</v>
      </c>
      <c r="CG787" s="118">
        <f t="shared" si="2136"/>
        <v>25289</v>
      </c>
      <c r="CH787" s="118"/>
      <c r="CI787" s="121">
        <v>2005</v>
      </c>
      <c r="CJ787" s="118"/>
      <c r="CK787" s="118"/>
      <c r="CL787" s="118"/>
      <c r="CM787" s="183"/>
      <c r="CN787" s="118">
        <f t="shared" si="2305"/>
        <v>1941</v>
      </c>
      <c r="CO787" s="118">
        <f t="shared" si="2306"/>
        <v>4.1367833237179852</v>
      </c>
      <c r="CP787" s="186">
        <v>0.96174863387978138</v>
      </c>
      <c r="CQ787" s="118">
        <f>+CQ780*CP787+CO781*CP786+CO782*CP785+CO783*CP784+CO784*CP783+CO785*CP782+CO786*CP781+CO787</f>
        <v>155.13809436445527</v>
      </c>
      <c r="CR787" s="119">
        <f t="shared" si="2307"/>
        <v>2.0955713340758429E-2</v>
      </c>
      <c r="CS787" s="119"/>
      <c r="CT787" s="177">
        <f t="shared" si="2308"/>
        <v>6.0530253311538596E-3</v>
      </c>
      <c r="CU787" s="177">
        <f t="shared" si="2316"/>
        <v>5.8629713753937168E-3</v>
      </c>
      <c r="CV787" s="119">
        <f>VLOOKUP($H787,RoR!$E:$F,2,FALSE)</f>
        <v>5.2350000000000001E-2</v>
      </c>
      <c r="CW787" s="177">
        <v>3.1010403642454332E-2</v>
      </c>
      <c r="CX787" s="177">
        <f t="shared" si="2314"/>
        <v>2.1339596357545669E-2</v>
      </c>
      <c r="CY787" s="177">
        <f t="shared" si="2317"/>
        <v>2.5038970233139907E-2</v>
      </c>
      <c r="CZ787" s="177">
        <f t="shared" si="2318"/>
        <v>9.2129610649277341E-2</v>
      </c>
      <c r="DA787" s="187">
        <f t="shared" si="2309"/>
        <v>0.86875000000000002</v>
      </c>
      <c r="DB787" s="188">
        <f t="shared" si="2310"/>
        <v>0.97959983346802826</v>
      </c>
      <c r="DC787" s="188">
        <f t="shared" si="2311"/>
        <v>0.49744508118433622</v>
      </c>
      <c r="DD787" s="188">
        <f t="shared" si="2312"/>
        <v>0.87010519444335932</v>
      </c>
      <c r="DE787" s="188">
        <f t="shared" si="2313"/>
        <v>0.42399975420741998</v>
      </c>
      <c r="DF787" s="189">
        <f>INDEX('State Tax Lookup'!$D$7:$Z$91,MATCH(Calculation!$C787,'State Tax Lookup'!$B$7:$B$91,0),MATCH($H787,'State Tax Lookup'!$D$6:$Z$6,0))</f>
        <v>0.35</v>
      </c>
      <c r="DG787" s="189">
        <v>0.375</v>
      </c>
      <c r="DH787" s="190">
        <f t="shared" si="2315"/>
        <v>15.579071793456306</v>
      </c>
      <c r="DI787" s="190"/>
      <c r="DJ787" s="177"/>
      <c r="DK787" s="189">
        <f>VLOOKUP($H787,RoR!$E:$F,2,FALSE)</f>
        <v>5.2350000000000001E-2</v>
      </c>
      <c r="DL787" s="191">
        <f>HLOOKUP($H787,'GDP-PI'!$D$8:$CQ$11,3,FALSE)</f>
        <v>3.1010403642454332E-2</v>
      </c>
      <c r="DM787" s="189">
        <f>VLOOKUP(H787,'HW Dx Data'!$E:$F,2,FALSE)</f>
        <v>469.20514034936258</v>
      </c>
      <c r="DN787" s="183">
        <f>VLOOKUP(H787,'ECI - Input Price'!$G$17:$H$37,2,FALSE)</f>
        <v>99.15</v>
      </c>
      <c r="DO787" s="177">
        <f t="shared" ref="DO787" si="2330">LN(DN787/DN786)</f>
        <v>3.046440632744625E-2</v>
      </c>
      <c r="DP787" s="183">
        <f>HLOOKUP(H787,'GDP-PI'!$8:$9,2,FALSE)</f>
        <v>87.406999999999996</v>
      </c>
      <c r="DQ787" s="177">
        <f t="shared" ref="DQ787" si="2331">LN(DP787/DP786)</f>
        <v>3.0539295810733648E-2</v>
      </c>
    </row>
    <row r="788" spans="1:121" s="167" customFormat="1" ht="21" x14ac:dyDescent="0.35">
      <c r="A788" s="167" t="s">
        <v>81</v>
      </c>
      <c r="B788" s="168" t="s">
        <v>81</v>
      </c>
      <c r="C788" s="168">
        <v>4064479</v>
      </c>
      <c r="D788" s="168" t="s">
        <v>138</v>
      </c>
      <c r="E788" s="168"/>
      <c r="F788" s="168"/>
      <c r="G788" s="168" t="s">
        <v>12</v>
      </c>
      <c r="H788" s="169">
        <v>2006</v>
      </c>
      <c r="I788" s="170"/>
      <c r="J788" s="166">
        <f>IFERROR(INDEX('Labor Expenditures'!$F$7:$X$91,MATCH($C788,'Labor Expenditures'!$D$7:$D$91,0),MATCH($G788,'Labor Expenditures'!$F$5:$X$5,0)),"NA")</f>
        <v>2404.1167453138851</v>
      </c>
      <c r="K788" s="166">
        <f t="shared" si="2321"/>
        <v>23.558223863928323</v>
      </c>
      <c r="L788" s="172">
        <f t="shared" si="2328"/>
        <v>2.0734394097432308E-2</v>
      </c>
      <c r="M788" s="172">
        <f t="shared" ref="M788:M803" si="2332">+L788*AR788</f>
        <v>2.149068693125349E-5</v>
      </c>
      <c r="N788" s="196"/>
      <c r="O788" s="172"/>
      <c r="P788" s="166">
        <f>IFERROR(INDEX('Non-Labor Expenditures'!$F$7:$AB$91,MATCH($C788,'Non-Labor Expenditures'!$D$7:$D$91,0),MATCH($G788,'Non-Labor Expenditures'!$F$5:$AB$5,0)),"NA")</f>
        <v>3481.6100742839626</v>
      </c>
      <c r="Q788" s="166">
        <f t="shared" si="2322"/>
        <v>38.652775210204531</v>
      </c>
      <c r="R788" s="172">
        <f t="shared" ref="R788:R803" si="2333">LN(Q788/Q787)</f>
        <v>1.950724466202642E-2</v>
      </c>
      <c r="S788" s="172">
        <f>+R788*AR788</f>
        <v>2.0218776876382955E-5</v>
      </c>
      <c r="T788" s="172"/>
      <c r="U788" s="172"/>
      <c r="V788" s="166">
        <f t="shared" si="2303"/>
        <v>2358.9555234083909</v>
      </c>
      <c r="W788" s="170"/>
      <c r="X788" s="174">
        <v>158.92372095721515</v>
      </c>
      <c r="Y788" s="175">
        <v>2.4108693040538205E-2</v>
      </c>
      <c r="Z788" s="175">
        <f>+Y788*AR788</f>
        <v>2.4988064373680349E-5</v>
      </c>
      <c r="AA788" s="175"/>
      <c r="AB788" s="175"/>
      <c r="AC788" s="170">
        <f t="shared" si="2271"/>
        <v>8244.6823430062395</v>
      </c>
      <c r="AD788" s="175">
        <f t="shared" ref="AD788:AD803" si="2334">LN(AC788/AC787)</f>
        <v>3.414648207492435E-2</v>
      </c>
      <c r="AE788" s="170"/>
      <c r="AF788" s="170"/>
      <c r="AG788" s="121">
        <f t="shared" ref="AG788:AG803" si="2335">+(AC788*1000)/AZ788</f>
        <v>178.49109876396352</v>
      </c>
      <c r="AH788" s="119">
        <f>+AZ788/$BB$44</f>
        <v>1.3139460649760281E-3</v>
      </c>
      <c r="AI788" s="119"/>
      <c r="AJ788" s="176">
        <f>+AH788*AG788</f>
        <v>0.23452767685415746</v>
      </c>
      <c r="AK788" s="176">
        <f>+AI788*AG788</f>
        <v>0</v>
      </c>
      <c r="AL788" s="120">
        <f t="shared" si="2323"/>
        <v>0.29159604279396378</v>
      </c>
      <c r="AM788" s="120">
        <f t="shared" si="2324"/>
        <v>0.422285532593906</v>
      </c>
      <c r="AN788" s="120">
        <f t="shared" si="2325"/>
        <v>0.28611842461213011</v>
      </c>
      <c r="AO788" s="120">
        <f t="shared" si="2329"/>
        <v>2.1204025847907999E-2</v>
      </c>
      <c r="AP788" s="173">
        <f>+AP787*EXP(AO788)</f>
        <v>102.14304285889355</v>
      </c>
      <c r="AQ788" s="175">
        <f>LN(AP788/AP787)</f>
        <v>2.1204025847907905E-2</v>
      </c>
      <c r="AR788" s="177">
        <f>+AC788/$AE$44</f>
        <v>1.0364752801681743E-3</v>
      </c>
      <c r="AS788" s="177">
        <f>+AR788*AQ788</f>
        <v>2.1977448631403555E-5</v>
      </c>
      <c r="AT788" s="177"/>
      <c r="AU788" s="177"/>
      <c r="AV788" s="177"/>
      <c r="AW788" s="190"/>
      <c r="AX788" s="120"/>
      <c r="AY788" s="120"/>
      <c r="AZ788" s="118">
        <f>IFERROR(INDEX('Total Customers'!$F$7:$AB$91,MATCH($C788,'Total Customers'!$D$7:$D$91,0),MATCH($G788,'Total Customers'!$F$5:$AB$5,0)),"NA")</f>
        <v>46191</v>
      </c>
      <c r="BA788" s="119">
        <f t="shared" si="2304"/>
        <v>8.8721307390439742E-3</v>
      </c>
      <c r="BB788" s="119"/>
      <c r="BC788" s="121"/>
      <c r="BD788" s="119"/>
      <c r="BE788" s="119"/>
      <c r="BF788" s="119"/>
      <c r="BG788" s="173"/>
      <c r="BH788" s="173"/>
      <c r="BI788" s="173"/>
      <c r="BJ788" s="173"/>
      <c r="BK788" s="173"/>
      <c r="BL788" s="173"/>
      <c r="BM788" s="173"/>
      <c r="BN788" s="173"/>
      <c r="BO788" s="173"/>
      <c r="BP788" s="173"/>
      <c r="BQ788" s="118"/>
      <c r="BR788" s="118"/>
      <c r="BS788" s="118">
        <f>INDEX('Dist. Plant Gas Additions'!$F$7:$AE$91,MATCH($C788,'Dist. Plant Gas Additions'!$D$7:$D$91,0),MATCH(Calculation!$G788,'Dist. Plant Gas Additions'!$F$5:$AE$5,0))</f>
        <v>1813</v>
      </c>
      <c r="BT788" s="118">
        <f>INDEX('Gen. Plant Additions'!$F$7:$AE$91,MATCH($C788,'Gen. Plant Additions'!$D$7:$D$91,0),MATCH(Calculation!$G788,'Gen. Plant Additions'!$F$5:$AE$5,0))</f>
        <v>380</v>
      </c>
      <c r="BU788" s="118"/>
      <c r="BV788" s="118"/>
      <c r="BW788" s="118">
        <f>INDEX('Dist Plant Depreciation'!$E$7:$AD$94,MATCH($C788,'Dist Plant Depreciation'!$D$7:$D$94,0),MATCH(Calculation!$G788,'Dist Plant Depreciation'!$E$5:$AD$5,0))</f>
        <v>32120</v>
      </c>
      <c r="BX788" s="118">
        <f>INDEX('Gen. Plant Depreciation'!$E$7:$AD$94,MATCH($C788,'Gen. Plant Depreciation'!$D$7:$D$94,0),MATCH(Calculation!$G788,'Gen. Plant Depreciation'!$E$5:$AD$5,0))</f>
        <v>2503</v>
      </c>
      <c r="BY788" s="118"/>
      <c r="BZ788" s="118"/>
      <c r="CA788" s="118"/>
      <c r="CB788" s="118"/>
      <c r="CC788" s="118"/>
      <c r="CD788" s="118"/>
      <c r="CE788" s="118">
        <f>INDEX('Gross Dx Plant'!$E$7:$AD$91,MATCH($C788,'Gross Dx Plant'!$D$7:$D$91,0),MATCH(Calculation!$G788,'Gross Dx Plant'!$E$5:$AD$5,0))</f>
        <v>55648</v>
      </c>
      <c r="CF788" s="118">
        <f>INDEX('Gross Gen Plant'!$E$7:$AD$91,MATCH($C788,'Gross Gen Plant'!$D$7:$D$91,0),MATCH(Calculation!$G788,'Gross Gen Plant'!$E$5:$AD$5,0))</f>
        <v>4489</v>
      </c>
      <c r="CG788" s="118">
        <f t="shared" si="2136"/>
        <v>25514</v>
      </c>
      <c r="CH788" s="119" t="e">
        <f>SUM(#REF!)/15</f>
        <v>#REF!</v>
      </c>
      <c r="CI788" s="121">
        <v>2006</v>
      </c>
      <c r="CJ788" s="118"/>
      <c r="CK788" s="118"/>
      <c r="CL788" s="118"/>
      <c r="CM788" s="183"/>
      <c r="CN788" s="118">
        <f t="shared" si="2305"/>
        <v>2193</v>
      </c>
      <c r="CO788" s="118">
        <f t="shared" si="2306"/>
        <v>4.7561660005981254</v>
      </c>
      <c r="CP788" s="186">
        <v>0.9555555555555556</v>
      </c>
      <c r="CQ788" s="118">
        <f>+CQ780*CP788+CO781*CP787+CO782*CP786+CO783*CP785+CO784*CP784+CO785*CP783+CO786*CP782+CO787*CP781+CO788</f>
        <v>158.92372095721515</v>
      </c>
      <c r="CR788" s="119">
        <f t="shared" si="2307"/>
        <v>2.4108693040538205E-2</v>
      </c>
      <c r="CS788" s="119"/>
      <c r="CT788" s="177">
        <f t="shared" si="2308"/>
        <v>6.2559709258657075E-3</v>
      </c>
      <c r="CU788" s="177">
        <f t="shared" si="2316"/>
        <v>6.0564930176196978E-3</v>
      </c>
      <c r="CV788" s="119">
        <f>VLOOKUP($H788,RoR!$E:$F,2,FALSE)</f>
        <v>5.5874999999999994E-2</v>
      </c>
      <c r="CW788" s="177">
        <v>3.0512430354548314E-2</v>
      </c>
      <c r="CX788" s="177">
        <f t="shared" si="2314"/>
        <v>2.536256964545168E-2</v>
      </c>
      <c r="CY788" s="177">
        <f t="shared" si="2317"/>
        <v>2.4845448590913928E-2</v>
      </c>
      <c r="CZ788" s="177">
        <f t="shared" si="2318"/>
        <v>7.9087823893859641E-2</v>
      </c>
      <c r="DA788" s="187">
        <f t="shared" si="2309"/>
        <v>0.86875000000000002</v>
      </c>
      <c r="DB788" s="188">
        <f t="shared" si="2310"/>
        <v>0.91779957551769631</v>
      </c>
      <c r="DC788" s="188">
        <f t="shared" si="2311"/>
        <v>0.52757270693512304</v>
      </c>
      <c r="DD788" s="188">
        <f t="shared" si="2312"/>
        <v>0.88636824549024895</v>
      </c>
      <c r="DE788" s="188">
        <f t="shared" si="2313"/>
        <v>0.42918482841932087</v>
      </c>
      <c r="DF788" s="189">
        <f>INDEX('State Tax Lookup'!$D$7:$Z$91,MATCH(Calculation!$C788,'State Tax Lookup'!$B$7:$B$91,0),MATCH($H788,'State Tax Lookup'!$D$6:$Z$6,0))</f>
        <v>0.35</v>
      </c>
      <c r="DG788" s="189">
        <v>0.375</v>
      </c>
      <c r="DH788" s="190">
        <f t="shared" si="2315"/>
        <v>15.205520817257552</v>
      </c>
      <c r="DI788" s="190">
        <v>14.760238448035537</v>
      </c>
      <c r="DJ788" s="177"/>
      <c r="DK788" s="189">
        <f>VLOOKUP($H788,RoR!$E:$F,2,FALSE)</f>
        <v>5.5874999999999994E-2</v>
      </c>
      <c r="DL788" s="191">
        <f>HLOOKUP($H788,'GDP-PI'!$D$8:$CQ$11,3,FALSE)</f>
        <v>3.0512430354548314E-2</v>
      </c>
      <c r="DM788" s="189">
        <f>VLOOKUP(H788,'HW Dx Data'!$E:$F,2,FALSE)</f>
        <v>461.08567272971823</v>
      </c>
      <c r="DN788" s="183">
        <f>VLOOKUP(H788,'ECI - Input Price'!$G$17:$H$37,2,FALSE)</f>
        <v>102.05</v>
      </c>
      <c r="DO788" s="177">
        <f t="shared" ref="DO788" si="2336">LN(DN788/DN787)</f>
        <v>2.8829034290048662E-2</v>
      </c>
      <c r="DP788" s="183">
        <f>HLOOKUP(H788,'GDP-PI'!$8:$9,2,FALSE)</f>
        <v>90.073999999999998</v>
      </c>
      <c r="DQ788" s="177">
        <f t="shared" ref="DQ788" si="2337">LN(DP788/DP787)</f>
        <v>3.005618372545445E-2</v>
      </c>
    </row>
    <row r="789" spans="1:121" s="167" customFormat="1" ht="21" x14ac:dyDescent="0.35">
      <c r="A789" s="167" t="s">
        <v>81</v>
      </c>
      <c r="B789" s="168" t="s">
        <v>81</v>
      </c>
      <c r="C789" s="168">
        <v>4064479</v>
      </c>
      <c r="D789" s="168" t="s">
        <v>138</v>
      </c>
      <c r="E789" s="168"/>
      <c r="F789" s="168"/>
      <c r="G789" s="168" t="s">
        <v>13</v>
      </c>
      <c r="H789" s="169">
        <v>2007</v>
      </c>
      <c r="I789" s="170"/>
      <c r="J789" s="166">
        <f>IFERROR(INDEX('Labor Expenditures'!$F$7:$X$91,MATCH($C789,'Labor Expenditures'!$D$7:$D$91,0),MATCH($G789,'Labor Expenditures'!$F$5:$X$5,0)),"NA")</f>
        <v>2391.9366242890437</v>
      </c>
      <c r="K789" s="166">
        <f t="shared" si="2321"/>
        <v>22.731638149575133</v>
      </c>
      <c r="L789" s="172">
        <f t="shared" si="2328"/>
        <v>-3.5717262962197953E-2</v>
      </c>
      <c r="M789" s="172">
        <f t="shared" si="2332"/>
        <v>-3.5918414862492962E-5</v>
      </c>
      <c r="N789" s="196"/>
      <c r="O789" s="172"/>
      <c r="P789" s="166">
        <f>IFERROR(INDEX('Non-Labor Expenditures'!$F$7:$AB$91,MATCH($C789,'Non-Labor Expenditures'!$D$7:$D$91,0),MATCH($G789,'Non-Labor Expenditures'!$F$5:$AB$5,0)),"NA")</f>
        <v>3463.9709841071881</v>
      </c>
      <c r="Q789" s="166">
        <f t="shared" si="2322"/>
        <v>37.449144674557154</v>
      </c>
      <c r="R789" s="172">
        <f t="shared" si="2333"/>
        <v>-3.1634705511455231E-2</v>
      </c>
      <c r="S789" s="172">
        <f t="shared" ref="S789:S803" si="2338">+R789*AR789</f>
        <v>-3.181286533113786E-5</v>
      </c>
      <c r="T789" s="172"/>
      <c r="U789" s="172"/>
      <c r="V789" s="166">
        <f t="shared" si="2303"/>
        <v>2593.3696063607513</v>
      </c>
      <c r="W789" s="170"/>
      <c r="X789" s="174">
        <v>162.25221319704616</v>
      </c>
      <c r="Y789" s="175">
        <v>2.0727651451354155E-2</v>
      </c>
      <c r="Z789" s="175">
        <f t="shared" ref="Z789:Z803" si="2339">+Y789*AR789</f>
        <v>2.0844385101480296E-5</v>
      </c>
      <c r="AA789" s="175"/>
      <c r="AB789" s="175"/>
      <c r="AC789" s="170">
        <f t="shared" si="2271"/>
        <v>8449.2772147569831</v>
      </c>
      <c r="AD789" s="175">
        <f t="shared" si="2334"/>
        <v>2.4512472953956324E-2</v>
      </c>
      <c r="AE789" s="170"/>
      <c r="AF789" s="170"/>
      <c r="AG789" s="121">
        <f t="shared" si="2335"/>
        <v>182.15537813424561</v>
      </c>
      <c r="AH789" s="119">
        <f>+AZ789/$BB$45</f>
        <v>1.3095715123622135E-3</v>
      </c>
      <c r="AI789" s="119"/>
      <c r="AJ789" s="176">
        <f t="shared" ref="AJ789:AJ803" si="2340">+AH789*AG789</f>
        <v>0.2385454940281749</v>
      </c>
      <c r="AK789" s="176">
        <f t="shared" ref="AK789:AK803" si="2341">+AI789*AG789</f>
        <v>0</v>
      </c>
      <c r="AL789" s="120">
        <f t="shared" si="2323"/>
        <v>0.28309363789265141</v>
      </c>
      <c r="AM789" s="120">
        <f t="shared" si="2324"/>
        <v>0.40997246226662221</v>
      </c>
      <c r="AN789" s="120">
        <f t="shared" si="2325"/>
        <v>0.30693389984072639</v>
      </c>
      <c r="AO789" s="120">
        <f t="shared" si="2329"/>
        <v>-1.7280998575019118E-2</v>
      </c>
      <c r="AP789" s="173">
        <f>+AP788*EXP(AO789)</f>
        <v>100.3930732416916</v>
      </c>
      <c r="AQ789" s="175">
        <f>LN(AP789/AP788)</f>
        <v>-1.7280998575019087E-2</v>
      </c>
      <c r="AR789" s="177">
        <f>+AC789/$AE$45</f>
        <v>1.0056317837262027E-3</v>
      </c>
      <c r="AS789" s="177">
        <f t="shared" ref="AS789:AS803" si="2342">+AR789*AQ789</f>
        <v>-1.7378321421566411E-5</v>
      </c>
      <c r="AT789" s="177"/>
      <c r="AU789" s="177"/>
      <c r="AV789" s="177"/>
      <c r="AW789" s="190"/>
      <c r="AX789" s="120"/>
      <c r="AY789" s="120"/>
      <c r="AZ789" s="118">
        <f>IFERROR(INDEX('Total Customers'!$F$7:$AB$91,MATCH($C789,'Total Customers'!$D$7:$D$91,0),MATCH($G789,'Total Customers'!$F$5:$AB$5,0)),"NA")</f>
        <v>46385</v>
      </c>
      <c r="BA789" s="119">
        <f t="shared" si="2304"/>
        <v>4.1911571893432972E-3</v>
      </c>
      <c r="BB789" s="119"/>
      <c r="BC789" s="121"/>
      <c r="BD789" s="119"/>
      <c r="BE789" s="119"/>
      <c r="BF789" s="119"/>
      <c r="BG789" s="173"/>
      <c r="BH789" s="173"/>
      <c r="BI789" s="173"/>
      <c r="BJ789" s="173"/>
      <c r="BK789" s="173"/>
      <c r="BL789" s="173"/>
      <c r="BM789" s="173"/>
      <c r="BN789" s="173"/>
      <c r="BO789" s="173"/>
      <c r="BP789" s="173"/>
      <c r="BQ789" s="118"/>
      <c r="BR789" s="118"/>
      <c r="BS789" s="118">
        <f>INDEX('Dist. Plant Gas Additions'!$F$7:$AE$91,MATCH($C789,'Dist. Plant Gas Additions'!$D$7:$D$91,0),MATCH(Calculation!$G789,'Dist. Plant Gas Additions'!$F$5:$AE$5,0))</f>
        <v>1483</v>
      </c>
      <c r="BT789" s="118">
        <f>INDEX('Gen. Plant Additions'!$F$7:$AE$91,MATCH($C789,'Gen. Plant Additions'!$D$7:$D$91,0),MATCH(Calculation!$G789,'Gen. Plant Additions'!$F$5:$AE$5,0))</f>
        <v>686</v>
      </c>
      <c r="BU789" s="118"/>
      <c r="BV789" s="118"/>
      <c r="BW789" s="118">
        <f>INDEX('Dist Plant Depreciation'!$E$7:$AD$94,MATCH($C789,'Dist Plant Depreciation'!$D$7:$D$94,0),MATCH(Calculation!$G789,'Dist Plant Depreciation'!$E$5:$AD$5,0))</f>
        <v>33592</v>
      </c>
      <c r="BX789" s="118">
        <f>INDEX('Gen. Plant Depreciation'!$E$7:$AD$94,MATCH($C789,'Gen. Plant Depreciation'!$D$7:$D$94,0),MATCH(Calculation!$G789,'Gen. Plant Depreciation'!$E$5:$AD$5,0))</f>
        <v>2695</v>
      </c>
      <c r="BY789" s="118"/>
      <c r="BZ789" s="118"/>
      <c r="CA789" s="118"/>
      <c r="CB789" s="118"/>
      <c r="CC789" s="118"/>
      <c r="CD789" s="118"/>
      <c r="CE789" s="118">
        <f>INDEX('Gross Dx Plant'!$E$7:$AD$91,MATCH($C789,'Gross Dx Plant'!$D$7:$D$91,0),MATCH(Calculation!$G789,'Gross Dx Plant'!$E$5:$AD$5,0))</f>
        <v>57030</v>
      </c>
      <c r="CF789" s="118">
        <f>INDEX('Gross Gen Plant'!$E$7:$AD$91,MATCH($C789,'Gross Gen Plant'!$D$7:$D$91,0),MATCH(Calculation!$G789,'Gross Gen Plant'!$E$5:$AD$5,0))</f>
        <v>4909</v>
      </c>
      <c r="CG789" s="118">
        <f t="shared" si="2136"/>
        <v>25652</v>
      </c>
      <c r="CH789" s="118"/>
      <c r="CI789" s="121">
        <v>2007</v>
      </c>
      <c r="CJ789" s="118"/>
      <c r="CK789" s="118"/>
      <c r="CL789" s="118"/>
      <c r="CM789" s="183"/>
      <c r="CN789" s="118">
        <f t="shared" si="2305"/>
        <v>2169</v>
      </c>
      <c r="CO789" s="118">
        <f t="shared" si="2306"/>
        <v>4.3552265281956464</v>
      </c>
      <c r="CP789" s="186">
        <v>0.94915254237288138</v>
      </c>
      <c r="CQ789" s="118">
        <f>+CQ780*CP789+CO781*CP788+CO782*CP787+CO783*CP786+CO784*CP785+CO785*CP784+CO786*CP783+CO787*CP782+CO788*CP781+CO789</f>
        <v>162.25221319704616</v>
      </c>
      <c r="CR789" s="119">
        <f t="shared" si="2307"/>
        <v>2.0727651451354155E-2</v>
      </c>
      <c r="CS789" s="119"/>
      <c r="CT789" s="177">
        <f t="shared" si="2308"/>
        <v>6.4605477532271765E-3</v>
      </c>
      <c r="CU789" s="177">
        <f t="shared" si="2316"/>
        <v>6.2565146700822478E-3</v>
      </c>
      <c r="CV789" s="119">
        <f>VLOOKUP($H789,RoR!$E:$F,2,FALSE)</f>
        <v>5.5558333333333321E-2</v>
      </c>
      <c r="CW789" s="177">
        <v>2.691120634145272E-2</v>
      </c>
      <c r="CX789" s="177">
        <f t="shared" si="2314"/>
        <v>2.86471269918806E-2</v>
      </c>
      <c r="CY789" s="177">
        <f t="shared" si="2317"/>
        <v>2.4645426938451377E-2</v>
      </c>
      <c r="CZ789" s="177">
        <f t="shared" si="2318"/>
        <v>6.4575155250632399E-2</v>
      </c>
      <c r="DA789" s="187">
        <f t="shared" si="2309"/>
        <v>0.86875000000000002</v>
      </c>
      <c r="DB789" s="188">
        <f t="shared" si="2310"/>
        <v>0.92303077153834634</v>
      </c>
      <c r="DC789" s="188">
        <f t="shared" si="2311"/>
        <v>0.52502249887505614</v>
      </c>
      <c r="DD789" s="188">
        <f t="shared" si="2312"/>
        <v>0.88499666072084604</v>
      </c>
      <c r="DE789" s="188">
        <f t="shared" si="2313"/>
        <v>0.42887993290280618</v>
      </c>
      <c r="DF789" s="189">
        <f>INDEX('State Tax Lookup'!$D$7:$Z$91,MATCH(Calculation!$C789,'State Tax Lookup'!$B$7:$B$91,0),MATCH($H789,'State Tax Lookup'!$D$6:$Z$6,0))</f>
        <v>0.35</v>
      </c>
      <c r="DG789" s="189">
        <v>0.375</v>
      </c>
      <c r="DH789" s="190">
        <f t="shared" si="2315"/>
        <v>16.318329263502008</v>
      </c>
      <c r="DI789" s="190">
        <v>16.078150358581883</v>
      </c>
      <c r="DJ789" s="177"/>
      <c r="DK789" s="189">
        <f>VLOOKUP($H789,RoR!$E:$F,2,FALSE)</f>
        <v>5.5558333333333321E-2</v>
      </c>
      <c r="DL789" s="191">
        <f>HLOOKUP($H789,'GDP-PI'!$D$8:$CQ$11,3,FALSE)</f>
        <v>2.691120634145272E-2</v>
      </c>
      <c r="DM789" s="189">
        <f>VLOOKUP(H789,'HW Dx Data'!$E:$F,2,FALSE)</f>
        <v>498.0223154772637</v>
      </c>
      <c r="DN789" s="183">
        <f>VLOOKUP(H789,'ECI - Input Price'!$G$17:$H$37,2,FALSE)</f>
        <v>105.22500000000001</v>
      </c>
      <c r="DO789" s="177">
        <f t="shared" ref="DO789" si="2343">LN(DN789/DN788)</f>
        <v>3.0638025400780679E-2</v>
      </c>
      <c r="DP789" s="183">
        <f>HLOOKUP(H789,'GDP-PI'!$8:$9,2,FALSE)</f>
        <v>92.498000000000005</v>
      </c>
      <c r="DQ789" s="177">
        <f t="shared" ref="DQ789" si="2344">LN(DP789/DP788)</f>
        <v>2.6555467950038037E-2</v>
      </c>
    </row>
    <row r="790" spans="1:121" s="167" customFormat="1" ht="21" x14ac:dyDescent="0.35">
      <c r="A790" s="167" t="s">
        <v>81</v>
      </c>
      <c r="B790" s="168" t="s">
        <v>81</v>
      </c>
      <c r="C790" s="168">
        <v>4064479</v>
      </c>
      <c r="D790" s="168" t="s">
        <v>138</v>
      </c>
      <c r="E790" s="168"/>
      <c r="F790" s="168"/>
      <c r="G790" s="168" t="s">
        <v>14</v>
      </c>
      <c r="H790" s="169">
        <v>2008</v>
      </c>
      <c r="I790" s="170"/>
      <c r="J790" s="166">
        <f>IFERROR(INDEX('Labor Expenditures'!$F$7:$X$91,MATCH($C790,'Labor Expenditures'!$D$7:$D$91,0),MATCH($G790,'Labor Expenditures'!$F$5:$X$5,0)),"NA")</f>
        <v>2459.3484700560334</v>
      </c>
      <c r="K790" s="166">
        <f t="shared" si="2321"/>
        <v>22.724402587720338</v>
      </c>
      <c r="L790" s="172">
        <f t="shared" si="2328"/>
        <v>-3.1835425164813741E-4</v>
      </c>
      <c r="M790" s="172">
        <f t="shared" si="2332"/>
        <v>-3.1991288517334545E-7</v>
      </c>
      <c r="N790" s="196"/>
      <c r="O790" s="172"/>
      <c r="P790" s="166">
        <f>IFERROR(INDEX('Non-Labor Expenditures'!$F$7:$AB$91,MATCH($C790,'Non-Labor Expenditures'!$D$7:$D$91,0),MATCH($G790,'Non-Labor Expenditures'!$F$5:$AB$5,0)),"NA")</f>
        <v>3561.5959275738101</v>
      </c>
      <c r="Q790" s="166">
        <f t="shared" si="2322"/>
        <v>37.783203848487332</v>
      </c>
      <c r="R790" s="172">
        <f t="shared" si="2333"/>
        <v>8.8807906717292481E-3</v>
      </c>
      <c r="S790" s="172">
        <f t="shared" si="2338"/>
        <v>8.9242702169203417E-6</v>
      </c>
      <c r="T790" s="172"/>
      <c r="U790" s="172"/>
      <c r="V790" s="166">
        <f t="shared" si="2303"/>
        <v>3005.0763814045786</v>
      </c>
      <c r="W790" s="170"/>
      <c r="X790" s="174">
        <v>165.62772090164572</v>
      </c>
      <c r="Y790" s="175">
        <v>2.0590628540028227E-2</v>
      </c>
      <c r="Z790" s="175">
        <f t="shared" si="2339"/>
        <v>2.0691438388746893E-5</v>
      </c>
      <c r="AA790" s="175"/>
      <c r="AB790" s="175"/>
      <c r="AC790" s="170">
        <f t="shared" si="2271"/>
        <v>9026.0207790344211</v>
      </c>
      <c r="AD790" s="175">
        <f t="shared" si="2334"/>
        <v>6.6030702537702213E-2</v>
      </c>
      <c r="AE790" s="170"/>
      <c r="AF790" s="170"/>
      <c r="AG790" s="121">
        <f t="shared" si="2335"/>
        <v>194.32110011053888</v>
      </c>
      <c r="AH790" s="119">
        <f>+AZ790/$BB$46</f>
        <v>1.3043862891963152E-3</v>
      </c>
      <c r="AI790" s="119"/>
      <c r="AJ790" s="176">
        <f t="shared" si="2340"/>
        <v>0.25346977868573145</v>
      </c>
      <c r="AK790" s="176">
        <f t="shared" si="2341"/>
        <v>0</v>
      </c>
      <c r="AL790" s="120">
        <f t="shared" si="2323"/>
        <v>0.27247316733067922</v>
      </c>
      <c r="AM790" s="120">
        <f t="shared" si="2324"/>
        <v>0.39459203726260639</v>
      </c>
      <c r="AN790" s="120">
        <f t="shared" si="2325"/>
        <v>0.33293479540671445</v>
      </c>
      <c r="AO790" s="120">
        <f t="shared" si="2329"/>
        <v>1.007180023296942E-2</v>
      </c>
      <c r="AP790" s="173">
        <f t="shared" ref="AP790:AP803" si="2345">+AP789*EXP(AO790)</f>
        <v>101.40932135337204</v>
      </c>
      <c r="AQ790" s="175">
        <f t="shared" ref="AQ790:AQ803" si="2346">LN(AP790/AP789)</f>
        <v>1.0071800232969471E-2</v>
      </c>
      <c r="AR790" s="177">
        <f>+AC790/$AE$46</f>
        <v>1.0048959092493312E-3</v>
      </c>
      <c r="AS790" s="177">
        <f t="shared" si="2342"/>
        <v>1.0121110852887483E-5</v>
      </c>
      <c r="AT790" s="177"/>
      <c r="AU790" s="177"/>
      <c r="AV790" s="177"/>
      <c r="AW790" s="190"/>
      <c r="AX790" s="120"/>
      <c r="AY790" s="120"/>
      <c r="AZ790" s="118">
        <f>IFERROR(INDEX('Total Customers'!$F$7:$AB$91,MATCH($C790,'Total Customers'!$D$7:$D$91,0),MATCH($G790,'Total Customers'!$F$5:$AB$5,0)),"NA")</f>
        <v>46449</v>
      </c>
      <c r="BA790" s="119">
        <f t="shared" si="2304"/>
        <v>1.3788053975747126E-3</v>
      </c>
      <c r="BB790" s="119"/>
      <c r="BC790" s="121"/>
      <c r="BD790" s="119"/>
      <c r="BE790" s="119"/>
      <c r="BF790" s="119"/>
      <c r="BG790" s="173"/>
      <c r="BH790" s="173"/>
      <c r="BI790" s="173"/>
      <c r="BJ790" s="173"/>
      <c r="BK790" s="173"/>
      <c r="BL790" s="173"/>
      <c r="BM790" s="173"/>
      <c r="BN790" s="173"/>
      <c r="BO790" s="173"/>
      <c r="BP790" s="173"/>
      <c r="BQ790" s="118"/>
      <c r="BR790" s="118"/>
      <c r="BS790" s="118">
        <f>INDEX('Dist. Plant Gas Additions'!$F$7:$AE$91,MATCH($C790,'Dist. Plant Gas Additions'!$D$7:$D$91,0),MATCH(Calculation!$G790,'Dist. Plant Gas Additions'!$F$5:$AE$5,0))</f>
        <v>1831</v>
      </c>
      <c r="BT790" s="118">
        <f>INDEX('Gen. Plant Additions'!$F$7:$AE$91,MATCH($C790,'Gen. Plant Additions'!$D$7:$D$91,0),MATCH(Calculation!$G790,'Gen. Plant Additions'!$F$5:$AE$5,0))</f>
        <v>710</v>
      </c>
      <c r="BU790" s="118"/>
      <c r="BV790" s="118"/>
      <c r="BW790" s="118">
        <f>INDEX('Dist Plant Depreciation'!$E$7:$AD$94,MATCH($C790,'Dist Plant Depreciation'!$D$7:$D$94,0),MATCH(Calculation!$G790,'Dist Plant Depreciation'!$E$5:$AD$5,0))</f>
        <v>35048</v>
      </c>
      <c r="BX790" s="118">
        <f>INDEX('Gen. Plant Depreciation'!$E$7:$AD$94,MATCH($C790,'Gen. Plant Depreciation'!$D$7:$D$94,0),MATCH(Calculation!$G790,'Gen. Plant Depreciation'!$E$5:$AD$5,0))</f>
        <v>2977</v>
      </c>
      <c r="BY790" s="118"/>
      <c r="BZ790" s="118"/>
      <c r="CA790" s="118"/>
      <c r="CB790" s="118"/>
      <c r="CC790" s="118"/>
      <c r="CD790" s="118"/>
      <c r="CE790" s="118">
        <f>INDEX('Gross Dx Plant'!$E$7:$AD$91,MATCH($C790,'Gross Dx Plant'!$D$7:$D$91,0),MATCH(Calculation!$G790,'Gross Dx Plant'!$E$5:$AD$5,0))</f>
        <v>58684</v>
      </c>
      <c r="CF790" s="118">
        <f>INDEX('Gross Gen Plant'!$E$7:$AD$91,MATCH($C790,'Gross Gen Plant'!$D$7:$D$91,0),MATCH(Calculation!$G790,'Gross Gen Plant'!$E$5:$AD$5,0))</f>
        <v>5407</v>
      </c>
      <c r="CG790" s="118">
        <f t="shared" ref="CG790:CG832" si="2347">IF(OR(BW790="NA",BX790="NA"),"NA",(SUM(CE790:CF790)-SUM(BW790:BX790)))</f>
        <v>26066</v>
      </c>
      <c r="CH790" s="118"/>
      <c r="CI790" s="121">
        <v>2008</v>
      </c>
      <c r="CJ790" s="118"/>
      <c r="CK790" s="118"/>
      <c r="CL790" s="118"/>
      <c r="CM790" s="183"/>
      <c r="CN790" s="118">
        <f t="shared" si="2305"/>
        <v>2541</v>
      </c>
      <c r="CO790" s="118">
        <f t="shared" si="2306"/>
        <v>4.458824023549381</v>
      </c>
      <c r="CP790" s="186">
        <v>0.94252873563218387</v>
      </c>
      <c r="CQ790" s="118">
        <f>+CQ780*CP790+CO781*CP789+CO782*CP788+CO783*CP787+CO784*CP786+CO785*CP785+CO786*CP784+CO787*CP783+CO788*CP782+CO789*CP781+CO790</f>
        <v>165.62772090164572</v>
      </c>
      <c r="CR790" s="119">
        <f t="shared" si="2307"/>
        <v>2.0590628540028227E-2</v>
      </c>
      <c r="CS790" s="119"/>
      <c r="CT790" s="177">
        <f t="shared" si="2308"/>
        <v>6.6767429399203215E-3</v>
      </c>
      <c r="CU790" s="177">
        <f t="shared" si="2316"/>
        <v>6.4644205396710676E-3</v>
      </c>
      <c r="CV790" s="119">
        <f>VLOOKUP($H790,RoR!$E:$F,2,FALSE)</f>
        <v>5.6316666666666668E-2</v>
      </c>
      <c r="CW790" s="177">
        <v>1.9092304698479889E-2</v>
      </c>
      <c r="CX790" s="177">
        <f t="shared" si="2314"/>
        <v>3.7224361968186778E-2</v>
      </c>
      <c r="CY790" s="177">
        <f t="shared" si="2317"/>
        <v>2.4437521068862558E-2</v>
      </c>
      <c r="CZ790" s="177">
        <f t="shared" si="2318"/>
        <v>6.9030581091053131E-2</v>
      </c>
      <c r="DA790" s="187">
        <f t="shared" si="2309"/>
        <v>0.86875000000000002</v>
      </c>
      <c r="DB790" s="188">
        <f t="shared" si="2310"/>
        <v>0.91060168006009956</v>
      </c>
      <c r="DC790" s="188">
        <f t="shared" si="2311"/>
        <v>0.53108168097070152</v>
      </c>
      <c r="DD790" s="188">
        <f t="shared" si="2312"/>
        <v>0.88825329850328805</v>
      </c>
      <c r="DE790" s="188">
        <f t="shared" si="2313"/>
        <v>0.4295627335323573</v>
      </c>
      <c r="DF790" s="189">
        <f>INDEX('State Tax Lookup'!$D$7:$Z$91,MATCH(Calculation!$C790,'State Tax Lookup'!$B$7:$B$91,0),MATCH($H790,'State Tax Lookup'!$D$6:$Z$6,0))</f>
        <v>0.35</v>
      </c>
      <c r="DG790" s="189">
        <v>0.375</v>
      </c>
      <c r="DH790" s="190">
        <f t="shared" si="2315"/>
        <v>18.521019357406747</v>
      </c>
      <c r="DI790" s="190">
        <v>18.254431229095111</v>
      </c>
      <c r="DJ790" s="177"/>
      <c r="DK790" s="189">
        <f>VLOOKUP($H790,RoR!$E:$F,2,FALSE)</f>
        <v>5.6316666666666668E-2</v>
      </c>
      <c r="DL790" s="191">
        <f>HLOOKUP($H790,'GDP-PI'!$D$8:$CQ$11,3,FALSE)</f>
        <v>1.9092304698479889E-2</v>
      </c>
      <c r="DM790" s="189">
        <f>VLOOKUP(H790,'HW Dx Data'!$E:$F,2,FALSE)</f>
        <v>569.88120333515076</v>
      </c>
      <c r="DN790" s="183">
        <f>VLOOKUP(H790,'ECI - Input Price'!$G$17:$H$37,2,FALSE)</f>
        <v>108.22499999999999</v>
      </c>
      <c r="DO790" s="177">
        <f t="shared" ref="DO790" si="2348">LN(DN790/DN789)</f>
        <v>2.8111478671409691E-2</v>
      </c>
      <c r="DP790" s="183">
        <f>HLOOKUP(H790,'GDP-PI'!$8:$9,2,FALSE)</f>
        <v>94.263999999999996</v>
      </c>
      <c r="DQ790" s="177">
        <f t="shared" ref="DQ790" si="2349">LN(DP790/DP789)</f>
        <v>1.8912333748032254E-2</v>
      </c>
    </row>
    <row r="791" spans="1:121" s="167" customFormat="1" ht="21" x14ac:dyDescent="0.35">
      <c r="A791" s="167" t="s">
        <v>81</v>
      </c>
      <c r="B791" s="168" t="s">
        <v>81</v>
      </c>
      <c r="C791" s="168">
        <v>4064479</v>
      </c>
      <c r="D791" s="168" t="s">
        <v>138</v>
      </c>
      <c r="E791" s="168"/>
      <c r="F791" s="168"/>
      <c r="G791" s="168" t="s">
        <v>15</v>
      </c>
      <c r="H791" s="169">
        <v>2009</v>
      </c>
      <c r="I791" s="170"/>
      <c r="J791" s="166">
        <f>IFERROR(INDEX('Labor Expenditures'!$F$7:$X$91,MATCH($C791,'Labor Expenditures'!$D$7:$D$91,0),MATCH($G791,'Labor Expenditures'!$F$5:$X$5,0)),"NA")</f>
        <v>2638.3753376151399</v>
      </c>
      <c r="K791" s="166">
        <f t="shared" si="2321"/>
        <v>24.034391597496153</v>
      </c>
      <c r="L791" s="172">
        <f t="shared" si="2328"/>
        <v>5.6046436887475924E-2</v>
      </c>
      <c r="M791" s="172">
        <f t="shared" si="2332"/>
        <v>5.6228669454325001E-5</v>
      </c>
      <c r="N791" s="196"/>
      <c r="O791" s="172"/>
      <c r="P791" s="166">
        <f>IFERROR(INDEX('Non-Labor Expenditures'!$F$7:$AB$91,MATCH($C791,'Non-Labor Expenditures'!$D$7:$D$91,0),MATCH($G791,'Non-Labor Expenditures'!$F$5:$AB$5,0)),"NA")</f>
        <v>3820.86026940589</v>
      </c>
      <c r="Q791" s="166">
        <f t="shared" si="2322"/>
        <v>40.220005151695176</v>
      </c>
      <c r="R791" s="172">
        <f t="shared" si="2333"/>
        <v>6.2499851188903027E-2</v>
      </c>
      <c r="S791" s="172">
        <f t="shared" si="2338"/>
        <v>6.2703066753394776E-5</v>
      </c>
      <c r="T791" s="172"/>
      <c r="U791" s="172"/>
      <c r="V791" s="166">
        <f t="shared" si="2303"/>
        <v>2940.1123965206043</v>
      </c>
      <c r="W791" s="170"/>
      <c r="X791" s="174">
        <v>167.85543604407255</v>
      </c>
      <c r="Y791" s="175">
        <v>1.3360484532215324E-2</v>
      </c>
      <c r="Z791" s="175">
        <f t="shared" si="2339"/>
        <v>1.3403925570145018E-5</v>
      </c>
      <c r="AA791" s="175"/>
      <c r="AB791" s="175"/>
      <c r="AC791" s="170">
        <f t="shared" si="2271"/>
        <v>9399.3480035416342</v>
      </c>
      <c r="AD791" s="175">
        <f t="shared" si="2334"/>
        <v>4.0528722011830866E-2</v>
      </c>
      <c r="AE791" s="170"/>
      <c r="AF791" s="170"/>
      <c r="AG791" s="121">
        <f t="shared" si="2335"/>
        <v>202.50668972404682</v>
      </c>
      <c r="AH791" s="119">
        <f>+AZ791/$BB$47</f>
        <v>1.3015508210076538E-3</v>
      </c>
      <c r="AI791" s="119"/>
      <c r="AJ791" s="176">
        <f t="shared" si="2340"/>
        <v>0.26357274826987537</v>
      </c>
      <c r="AK791" s="176">
        <f t="shared" si="2341"/>
        <v>0</v>
      </c>
      <c r="AL791" s="120">
        <f t="shared" si="2323"/>
        <v>0.28069769697015273</v>
      </c>
      <c r="AM791" s="120">
        <f t="shared" si="2324"/>
        <v>0.40650269231080777</v>
      </c>
      <c r="AN791" s="120">
        <f t="shared" si="2325"/>
        <v>0.3127996107190395</v>
      </c>
      <c r="AO791" s="120">
        <f t="shared" si="2329"/>
        <v>4.4849440932771184E-2</v>
      </c>
      <c r="AP791" s="173">
        <f t="shared" si="2345"/>
        <v>106.06100574181175</v>
      </c>
      <c r="AQ791" s="175">
        <f t="shared" si="2346"/>
        <v>4.4849440932771149E-2</v>
      </c>
      <c r="AR791" s="177">
        <f>+AC791/$AE$47</f>
        <v>1.0032514567735135E-3</v>
      </c>
      <c r="AS791" s="177">
        <f t="shared" si="2342"/>
        <v>4.49952669512803E-5</v>
      </c>
      <c r="AT791" s="177"/>
      <c r="AU791" s="177"/>
      <c r="AV791" s="177"/>
      <c r="AW791" s="190"/>
      <c r="AX791" s="120"/>
      <c r="AY791" s="120"/>
      <c r="AZ791" s="118">
        <f>IFERROR(INDEX('Total Customers'!$F$7:$AB$91,MATCH($C791,'Total Customers'!$D$7:$D$91,0),MATCH($G791,'Total Customers'!$F$5:$AB$5,0)),"NA")</f>
        <v>46415</v>
      </c>
      <c r="BA791" s="119">
        <f t="shared" si="2304"/>
        <v>-7.3225365091363038E-4</v>
      </c>
      <c r="BB791" s="119"/>
      <c r="BC791" s="121"/>
      <c r="BD791" s="119"/>
      <c r="BE791" s="119"/>
      <c r="BF791" s="119"/>
      <c r="BG791" s="173"/>
      <c r="BH791" s="173"/>
      <c r="BI791" s="173"/>
      <c r="BJ791" s="173"/>
      <c r="BK791" s="173"/>
      <c r="BL791" s="173"/>
      <c r="BM791" s="173"/>
      <c r="BN791" s="173"/>
      <c r="BO791" s="173"/>
      <c r="BP791" s="173"/>
      <c r="BQ791" s="118"/>
      <c r="BR791" s="118"/>
      <c r="BS791" s="118">
        <f>INDEX('Dist. Plant Gas Additions'!$F$7:$AE$91,MATCH($C791,'Dist. Plant Gas Additions'!$D$7:$D$91,0),MATCH(Calculation!$G791,'Dist. Plant Gas Additions'!$F$5:$AE$5,0))</f>
        <v>1275</v>
      </c>
      <c r="BT791" s="118">
        <f>INDEX('Gen. Plant Additions'!$F$7:$AE$91,MATCH($C791,'Gen. Plant Additions'!$D$7:$D$91,0),MATCH(Calculation!$G791,'Gen. Plant Additions'!$F$5:$AE$5,0))</f>
        <v>582</v>
      </c>
      <c r="BU791" s="118"/>
      <c r="BV791" s="118"/>
      <c r="BW791" s="118">
        <f>INDEX('Dist Plant Depreciation'!$E$7:$AD$94,MATCH($C791,'Dist Plant Depreciation'!$D$7:$D$94,0),MATCH(Calculation!$G791,'Dist Plant Depreciation'!$E$5:$AD$5,0))</f>
        <v>36604</v>
      </c>
      <c r="BX791" s="118">
        <f>INDEX('Gen. Plant Depreciation'!$E$7:$AD$94,MATCH($C791,'Gen. Plant Depreciation'!$D$7:$D$94,0),MATCH(Calculation!$G791,'Gen. Plant Depreciation'!$E$5:$AD$5,0))</f>
        <v>3336</v>
      </c>
      <c r="BY791" s="118"/>
      <c r="BZ791" s="118"/>
      <c r="CA791" s="118"/>
      <c r="CB791" s="118"/>
      <c r="CC791" s="118"/>
      <c r="CD791" s="118"/>
      <c r="CE791" s="118">
        <f>INDEX('Gross Dx Plant'!$E$7:$AD$91,MATCH($C791,'Gross Dx Plant'!$D$7:$D$91,0),MATCH(Calculation!$G791,'Gross Dx Plant'!$E$5:$AD$5,0))</f>
        <v>59876</v>
      </c>
      <c r="CF791" s="118">
        <f>INDEX('Gross Gen Plant'!$E$7:$AD$91,MATCH($C791,'Gross Gen Plant'!$D$7:$D$91,0),MATCH(Calculation!$G791,'Gross Gen Plant'!$E$5:$AD$5,0))</f>
        <v>5821</v>
      </c>
      <c r="CG791" s="118">
        <f t="shared" si="2347"/>
        <v>25757</v>
      </c>
      <c r="CH791" s="118"/>
      <c r="CI791" s="121">
        <v>2009</v>
      </c>
      <c r="CJ791" s="118"/>
      <c r="CK791" s="118"/>
      <c r="CL791" s="118"/>
      <c r="CM791" s="183"/>
      <c r="CN791" s="118">
        <f t="shared" si="2305"/>
        <v>1857</v>
      </c>
      <c r="CO791" s="118">
        <f t="shared" si="2306"/>
        <v>3.3705990736066798</v>
      </c>
      <c r="CP791" s="186">
        <v>0.93567251461988299</v>
      </c>
      <c r="CQ791" s="118">
        <f>+CQ780*CP791+CO781*CP790+CO782*CP789+CO783*CP788+CO784*CP787+CO785*CP786+CO786*CP785+CO787*CP784+CO788*CP783+CO789*CP782+CO790*CP781+CO791</f>
        <v>167.85543604407255</v>
      </c>
      <c r="CR791" s="119">
        <f t="shared" si="2307"/>
        <v>1.3360484532215324E-2</v>
      </c>
      <c r="CS791" s="119"/>
      <c r="CT791" s="177">
        <f t="shared" si="2308"/>
        <v>6.900317923583121E-3</v>
      </c>
      <c r="CU791" s="177">
        <f t="shared" si="2316"/>
        <v>6.67920287224354E-3</v>
      </c>
      <c r="CV791" s="119">
        <f>VLOOKUP($H791,RoR!$E:$F,2,FALSE)</f>
        <v>5.3133333333333324E-2</v>
      </c>
      <c r="CW791" s="177">
        <v>7.7972502758210105E-3</v>
      </c>
      <c r="CX791" s="177">
        <f t="shared" si="2314"/>
        <v>4.5336083057512314E-2</v>
      </c>
      <c r="CY791" s="177">
        <f t="shared" si="2317"/>
        <v>2.4222738736290085E-2</v>
      </c>
      <c r="CZ791" s="177">
        <f t="shared" si="2318"/>
        <v>6.3720160300892073E-2</v>
      </c>
      <c r="DA791" s="187">
        <f t="shared" si="2309"/>
        <v>0.86875000000000002</v>
      </c>
      <c r="DB791" s="188">
        <f t="shared" si="2310"/>
        <v>0.96515780330083989</v>
      </c>
      <c r="DC791" s="188">
        <f t="shared" si="2311"/>
        <v>0.50448557089084056</v>
      </c>
      <c r="DD791" s="188">
        <f t="shared" si="2312"/>
        <v>0.87391435735465484</v>
      </c>
      <c r="DE791" s="188">
        <f t="shared" si="2313"/>
        <v>0.42551605393279146</v>
      </c>
      <c r="DF791" s="189">
        <f>INDEX('State Tax Lookup'!$D$7:$Z$91,MATCH(Calculation!$C791,'State Tax Lookup'!$B$7:$B$91,0),MATCH($H791,'State Tax Lookup'!$D$6:$Z$6,0))</f>
        <v>0.35</v>
      </c>
      <c r="DG791" s="189">
        <v>0.375</v>
      </c>
      <c r="DH791" s="190">
        <f t="shared" si="2315"/>
        <v>17.75133039635632</v>
      </c>
      <c r="DI791" s="190">
        <v>17.428343935352423</v>
      </c>
      <c r="DJ791" s="177"/>
      <c r="DK791" s="189">
        <f>VLOOKUP($H791,RoR!$E:$F,2,FALSE)</f>
        <v>5.3133333333333324E-2</v>
      </c>
      <c r="DL791" s="191">
        <f>HLOOKUP($H791,'GDP-PI'!$D$8:$CQ$11,3,FALSE)</f>
        <v>7.7972502758210105E-3</v>
      </c>
      <c r="DM791" s="189">
        <f>VLOOKUP(H791,'HW Dx Data'!$E:$F,2,FALSE)</f>
        <v>550.94063679692806</v>
      </c>
      <c r="DN791" s="183">
        <f>VLOOKUP(H791,'ECI - Input Price'!$G$17:$H$37,2,FALSE)</f>
        <v>109.77499999999999</v>
      </c>
      <c r="DO791" s="177">
        <f t="shared" ref="DO791" si="2350">LN(DN791/DN790)</f>
        <v>1.4220423119736749E-2</v>
      </c>
      <c r="DP791" s="183">
        <f>HLOOKUP(H791,'GDP-PI'!$8:$9,2,FALSE)</f>
        <v>94.998999999999995</v>
      </c>
      <c r="DQ791" s="177">
        <f t="shared" ref="DQ791" si="2351">LN(DP791/DP790)</f>
        <v>7.7670088183096342E-3</v>
      </c>
    </row>
    <row r="792" spans="1:121" s="167" customFormat="1" ht="21" x14ac:dyDescent="0.35">
      <c r="A792" s="167" t="s">
        <v>81</v>
      </c>
      <c r="B792" s="168" t="s">
        <v>81</v>
      </c>
      <c r="C792" s="168">
        <v>4064479</v>
      </c>
      <c r="D792" s="168" t="s">
        <v>138</v>
      </c>
      <c r="E792" s="168"/>
      <c r="F792" s="168"/>
      <c r="G792" s="168" t="s">
        <v>16</v>
      </c>
      <c r="H792" s="169">
        <v>2010</v>
      </c>
      <c r="I792" s="170"/>
      <c r="J792" s="166">
        <f>IFERROR(INDEX('Labor Expenditures'!$F$7:$X$91,MATCH($C792,'Labor Expenditures'!$D$7:$D$91,0),MATCH($G792,'Labor Expenditures'!$F$5:$X$5,0)),"NA")</f>
        <v>2535.7097869551044</v>
      </c>
      <c r="K792" s="166">
        <f t="shared" si="2321"/>
        <v>22.665562341498141</v>
      </c>
      <c r="L792" s="172">
        <f t="shared" si="2328"/>
        <v>-5.8639092743175608E-2</v>
      </c>
      <c r="M792" s="172">
        <f t="shared" si="2332"/>
        <v>-5.5914598852412402E-5</v>
      </c>
      <c r="N792" s="196"/>
      <c r="O792" s="172"/>
      <c r="P792" s="166">
        <f>IFERROR(INDEX('Non-Labor Expenditures'!$F$7:$AB$91,MATCH($C792,'Non-Labor Expenditures'!$D$7:$D$91,0),MATCH($G792,'Non-Labor Expenditures'!$F$5:$AB$5,0)),"NA")</f>
        <v>3672.1813767703243</v>
      </c>
      <c r="Q792" s="166">
        <f t="shared" si="2322"/>
        <v>38.208506765967023</v>
      </c>
      <c r="R792" s="172">
        <f t="shared" si="2333"/>
        <v>-5.1306331403087428E-2</v>
      </c>
      <c r="S792" s="172">
        <f t="shared" si="2338"/>
        <v>-4.8922532815387551E-5</v>
      </c>
      <c r="T792" s="172"/>
      <c r="U792" s="172"/>
      <c r="V792" s="166">
        <f t="shared" si="2303"/>
        <v>3052.0669140758118</v>
      </c>
      <c r="W792" s="170"/>
      <c r="X792" s="174">
        <v>172.64004769650441</v>
      </c>
      <c r="Y792" s="175">
        <v>2.8105668563865642E-2</v>
      </c>
      <c r="Z792" s="175">
        <f t="shared" si="2339"/>
        <v>2.6799820899519251E-5</v>
      </c>
      <c r="AA792" s="175"/>
      <c r="AB792" s="175"/>
      <c r="AC792" s="170">
        <f t="shared" si="2271"/>
        <v>9259.9580778012405</v>
      </c>
      <c r="AD792" s="175">
        <f t="shared" si="2334"/>
        <v>-1.4940804132439298E-2</v>
      </c>
      <c r="AE792" s="170"/>
      <c r="AF792" s="170"/>
      <c r="AG792" s="121">
        <f t="shared" si="2335"/>
        <v>199.14744887524711</v>
      </c>
      <c r="AH792" s="119">
        <f>+AZ792/$BB$48</f>
        <v>1.2967002689943971E-3</v>
      </c>
      <c r="AI792" s="119"/>
      <c r="AJ792" s="176">
        <f t="shared" si="2340"/>
        <v>0.25823455052608085</v>
      </c>
      <c r="AK792" s="176">
        <f t="shared" si="2341"/>
        <v>0</v>
      </c>
      <c r="AL792" s="120">
        <f t="shared" si="2323"/>
        <v>0.27383598993109093</v>
      </c>
      <c r="AM792" s="120">
        <f t="shared" si="2324"/>
        <v>0.39656565892815326</v>
      </c>
      <c r="AN792" s="120">
        <f t="shared" si="2325"/>
        <v>0.32959835114075586</v>
      </c>
      <c r="AO792" s="120">
        <f t="shared" si="2329"/>
        <v>-2.7832409530640027E-2</v>
      </c>
      <c r="AP792" s="173">
        <f t="shared" si="2345"/>
        <v>103.14977362507369</v>
      </c>
      <c r="AQ792" s="175">
        <f t="shared" si="2346"/>
        <v>-2.7832409530640031E-2</v>
      </c>
      <c r="AR792" s="177">
        <f>+AC792/$AE$48</f>
        <v>9.5353792558326581E-4</v>
      </c>
      <c r="AS792" s="177">
        <f t="shared" si="2342"/>
        <v>-2.6539258047830413E-5</v>
      </c>
      <c r="AT792" s="177"/>
      <c r="AU792" s="177"/>
      <c r="AV792" s="177"/>
      <c r="AW792" s="190"/>
      <c r="AX792" s="120"/>
      <c r="AY792" s="120"/>
      <c r="AZ792" s="118">
        <f>IFERROR(INDEX('Total Customers'!$F$7:$AB$91,MATCH($C792,'Total Customers'!$D$7:$D$91,0),MATCH($G792,'Total Customers'!$F$5:$AB$5,0)),"NA")</f>
        <v>46498</v>
      </c>
      <c r="BA792" s="119">
        <f t="shared" si="2304"/>
        <v>1.7866180637376783E-3</v>
      </c>
      <c r="BB792" s="119"/>
      <c r="BC792" s="121"/>
      <c r="BD792" s="119"/>
      <c r="BE792" s="119"/>
      <c r="BF792" s="119"/>
      <c r="BG792" s="173"/>
      <c r="BH792" s="173"/>
      <c r="BI792" s="173"/>
      <c r="BJ792" s="173"/>
      <c r="BK792" s="173"/>
      <c r="BL792" s="173"/>
      <c r="BM792" s="173"/>
      <c r="BN792" s="173"/>
      <c r="BO792" s="173"/>
      <c r="BP792" s="173"/>
      <c r="BQ792" s="118"/>
      <c r="BR792" s="118"/>
      <c r="BS792" s="118">
        <f>INDEX('Dist. Plant Gas Additions'!$F$7:$AE$91,MATCH($C792,'Dist. Plant Gas Additions'!$D$7:$D$91,0),MATCH(Calculation!$G792,'Dist. Plant Gas Additions'!$F$5:$AE$5,0))</f>
        <v>2532</v>
      </c>
      <c r="BT792" s="118">
        <f>INDEX('Gen. Plant Additions'!$F$7:$AE$91,MATCH($C792,'Gen. Plant Additions'!$D$7:$D$91,0),MATCH(Calculation!$G792,'Gen. Plant Additions'!$F$5:$AE$5,0))</f>
        <v>873</v>
      </c>
      <c r="BU792" s="118"/>
      <c r="BV792" s="118"/>
      <c r="BW792" s="118">
        <f>INDEX('Dist Plant Depreciation'!$E$7:$AD$94,MATCH($C792,'Dist Plant Depreciation'!$D$7:$D$94,0),MATCH(Calculation!$G792,'Dist Plant Depreciation'!$E$5:$AD$5,0))</f>
        <v>38231</v>
      </c>
      <c r="BX792" s="118">
        <f>INDEX('Gen. Plant Depreciation'!$E$7:$AD$94,MATCH($C792,'Gen. Plant Depreciation'!$D$7:$D$94,0),MATCH(Calculation!$G792,'Gen. Plant Depreciation'!$E$5:$AD$5,0))</f>
        <v>3705</v>
      </c>
      <c r="BY792" s="118"/>
      <c r="BZ792" s="118"/>
      <c r="CA792" s="118"/>
      <c r="CB792" s="118"/>
      <c r="CC792" s="118"/>
      <c r="CD792" s="118"/>
      <c r="CE792" s="118">
        <f>INDEX('Gross Dx Plant'!$E$7:$AD$91,MATCH($C792,'Gross Dx Plant'!$D$7:$D$91,0),MATCH(Calculation!$G792,'Gross Dx Plant'!$E$5:$AD$5,0))</f>
        <v>62308</v>
      </c>
      <c r="CF792" s="118">
        <f>INDEX('Gross Gen Plant'!$E$7:$AD$91,MATCH($C792,'Gross Gen Plant'!$D$7:$D$91,0),MATCH(Calculation!$G792,'Gross Gen Plant'!$E$5:$AD$5,0))</f>
        <v>6461</v>
      </c>
      <c r="CG792" s="118">
        <f t="shared" si="2347"/>
        <v>26833</v>
      </c>
      <c r="CH792" s="118"/>
      <c r="CI792" s="121">
        <v>2010</v>
      </c>
      <c r="CJ792" s="118"/>
      <c r="CK792" s="118"/>
      <c r="CL792" s="118"/>
      <c r="CM792" s="183"/>
      <c r="CN792" s="118">
        <f t="shared" si="2305"/>
        <v>3405</v>
      </c>
      <c r="CO792" s="118">
        <f t="shared" si="2306"/>
        <v>5.9842931798618428</v>
      </c>
      <c r="CP792" s="186">
        <v>0.9285714285714286</v>
      </c>
      <c r="CQ792" s="118">
        <f>+CQ780*CP792+CO781*CP791+CO782*CP790+CO783*CP789+CO784*CP788+CO785*CP787+CO786*CP786+CO787*CP785+CO788*CP784+CO789*CP783+CO790*CP782+CO791*CP781+CO792</f>
        <v>172.64004769650441</v>
      </c>
      <c r="CR792" s="119">
        <f t="shared" si="2307"/>
        <v>2.8105668563865642E-2</v>
      </c>
      <c r="CS792" s="119"/>
      <c r="CT792" s="177">
        <f t="shared" si="2308"/>
        <v>7.1471115604202912E-3</v>
      </c>
      <c r="CU792" s="177">
        <f t="shared" si="2316"/>
        <v>6.9080574746412451E-3</v>
      </c>
      <c r="CV792" s="119">
        <f>VLOOKUP($H792,RoR!$E:$F,2,FALSE)</f>
        <v>4.9433333333333322E-2</v>
      </c>
      <c r="CW792" s="177">
        <v>1.1684333519300205E-2</v>
      </c>
      <c r="CX792" s="177">
        <f t="shared" si="2314"/>
        <v>3.7748999814033117E-2</v>
      </c>
      <c r="CY792" s="177">
        <f t="shared" si="2317"/>
        <v>2.399388413389238E-2</v>
      </c>
      <c r="CZ792" s="177">
        <f t="shared" si="2318"/>
        <v>4.7937530248493419E-2</v>
      </c>
      <c r="DA792" s="187">
        <f t="shared" si="2309"/>
        <v>0.86875000000000002</v>
      </c>
      <c r="DB792" s="188">
        <f t="shared" si="2310"/>
        <v>1.037398205301105</v>
      </c>
      <c r="DC792" s="188">
        <f t="shared" si="2311"/>
        <v>0.46926837491571133</v>
      </c>
      <c r="DD792" s="188">
        <f t="shared" si="2312"/>
        <v>0.8548537519972772</v>
      </c>
      <c r="DE792" s="188">
        <f t="shared" si="2313"/>
        <v>0.41615833911547367</v>
      </c>
      <c r="DF792" s="189">
        <f>INDEX('State Tax Lookup'!$D$7:$Z$91,MATCH(Calculation!$C792,'State Tax Lookup'!$B$7:$B$91,0),MATCH($H792,'State Tax Lookup'!$D$6:$Z$6,0))</f>
        <v>0.35</v>
      </c>
      <c r="DG792" s="189">
        <v>0.375</v>
      </c>
      <c r="DH792" s="190">
        <f t="shared" si="2315"/>
        <v>18.182711182939904</v>
      </c>
      <c r="DI792" s="190">
        <v>17.866171864365384</v>
      </c>
      <c r="DJ792" s="177"/>
      <c r="DK792" s="189">
        <f>VLOOKUP($H792,RoR!$E:$F,2,FALSE)</f>
        <v>4.9433333333333322E-2</v>
      </c>
      <c r="DL792" s="191">
        <f>HLOOKUP($H792,'GDP-PI'!$D$8:$CQ$11,3,FALSE)</f>
        <v>1.1684333519300205E-2</v>
      </c>
      <c r="DM792" s="189">
        <f>VLOOKUP(H792,'HW Dx Data'!$E:$F,2,FALSE)</f>
        <v>568.98950262971744</v>
      </c>
      <c r="DN792" s="183">
        <f>VLOOKUP(H792,'ECI - Input Price'!$G$17:$H$37,2,FALSE)</f>
        <v>111.875</v>
      </c>
      <c r="DO792" s="177">
        <f t="shared" ref="DO792" si="2352">LN(DN792/DN791)</f>
        <v>1.8949360147238387E-2</v>
      </c>
      <c r="DP792" s="183">
        <f>HLOOKUP(H792,'GDP-PI'!$8:$9,2,FALSE)</f>
        <v>96.108999999999995</v>
      </c>
      <c r="DQ792" s="177">
        <f t="shared" ref="DQ792" si="2353">LN(DP792/DP791)</f>
        <v>1.1616598807150427E-2</v>
      </c>
    </row>
    <row r="793" spans="1:121" s="167" customFormat="1" ht="21" x14ac:dyDescent="0.35">
      <c r="A793" s="167" t="s">
        <v>81</v>
      </c>
      <c r="B793" s="168" t="s">
        <v>81</v>
      </c>
      <c r="C793" s="168">
        <v>4064479</v>
      </c>
      <c r="D793" s="168" t="s">
        <v>138</v>
      </c>
      <c r="E793" s="168"/>
      <c r="F793" s="168"/>
      <c r="G793" s="168" t="s">
        <v>17</v>
      </c>
      <c r="H793" s="169">
        <v>2011</v>
      </c>
      <c r="I793" s="170"/>
      <c r="J793" s="166">
        <f>IFERROR(INDEX('Labor Expenditures'!$F$7:$X$91,MATCH($C793,'Labor Expenditures'!$D$7:$D$91,0),MATCH($G793,'Labor Expenditures'!$F$5:$X$5,0)),"NA")</f>
        <v>2493.6866904985886</v>
      </c>
      <c r="K793" s="166">
        <f t="shared" si="2321"/>
        <v>21.817031412936036</v>
      </c>
      <c r="L793" s="172">
        <f t="shared" si="2328"/>
        <v>-3.8155772846694781E-2</v>
      </c>
      <c r="M793" s="172">
        <f t="shared" si="2332"/>
        <v>-3.5364766208380396E-5</v>
      </c>
      <c r="N793" s="196"/>
      <c r="O793" s="172"/>
      <c r="P793" s="166">
        <f>IFERROR(INDEX('Non-Labor Expenditures'!$F$7:$AB$91,MATCH($C793,'Non-Labor Expenditures'!$D$7:$D$91,0),MATCH($G793,'Non-Labor Expenditures'!$F$5:$AB$5,0)),"NA")</f>
        <v>3611.3240842695345</v>
      </c>
      <c r="Q793" s="166">
        <f t="shared" si="2322"/>
        <v>36.808179267261238</v>
      </c>
      <c r="R793" s="172">
        <f t="shared" si="2333"/>
        <v>-3.7338097853798775E-2</v>
      </c>
      <c r="S793" s="172">
        <f t="shared" si="2338"/>
        <v>-3.4606902252265786E-5</v>
      </c>
      <c r="T793" s="172"/>
      <c r="U793" s="172"/>
      <c r="V793" s="166">
        <f t="shared" si="2303"/>
        <v>3347.8175310798842</v>
      </c>
      <c r="W793" s="170"/>
      <c r="X793" s="174">
        <v>178.29715266620622</v>
      </c>
      <c r="Y793" s="175">
        <v>3.2242777611901176E-2</v>
      </c>
      <c r="Z793" s="175">
        <f t="shared" si="2339"/>
        <v>2.9884292915127277E-5</v>
      </c>
      <c r="AA793" s="175"/>
      <c r="AB793" s="175"/>
      <c r="AC793" s="170">
        <f t="shared" si="2271"/>
        <v>9452.8283058480083</v>
      </c>
      <c r="AD793" s="175">
        <f t="shared" si="2334"/>
        <v>2.0614466938422657E-2</v>
      </c>
      <c r="AE793" s="170"/>
      <c r="AF793" s="170"/>
      <c r="AG793" s="121">
        <f t="shared" si="2335"/>
        <v>201.0213573036749</v>
      </c>
      <c r="AH793" s="119">
        <f>+AZ793/$BB$49</f>
        <v>1.3049938855736322E-3</v>
      </c>
      <c r="AI793" s="119"/>
      <c r="AJ793" s="176">
        <f t="shared" si="2340"/>
        <v>0.26233164215100818</v>
      </c>
      <c r="AK793" s="176">
        <f t="shared" si="2341"/>
        <v>0</v>
      </c>
      <c r="AL793" s="120">
        <f t="shared" si="2323"/>
        <v>0.26380323537198547</v>
      </c>
      <c r="AM793" s="120">
        <f t="shared" si="2324"/>
        <v>0.38203635646649614</v>
      </c>
      <c r="AN793" s="120">
        <f t="shared" si="2325"/>
        <v>0.35416040816151828</v>
      </c>
      <c r="AO793" s="120">
        <f t="shared" si="2329"/>
        <v>-1.3769638388867404E-2</v>
      </c>
      <c r="AP793" s="173">
        <f t="shared" si="2345"/>
        <v>101.7391725634001</v>
      </c>
      <c r="AQ793" s="175">
        <f t="shared" si="2346"/>
        <v>-1.3769638388867272E-2</v>
      </c>
      <c r="AR793" s="177">
        <f>+AC793/$AE$49</f>
        <v>9.2685231014640144E-4</v>
      </c>
      <c r="AS793" s="177">
        <f t="shared" si="2342"/>
        <v>-1.2762421150602205E-5</v>
      </c>
      <c r="AT793" s="177"/>
      <c r="AU793" s="177"/>
      <c r="AV793" s="177"/>
      <c r="AW793" s="190"/>
      <c r="AX793" s="120"/>
      <c r="AY793" s="120"/>
      <c r="AZ793" s="118">
        <f>IFERROR(INDEX('Total Customers'!$F$7:$AB$91,MATCH($C793,'Total Customers'!$D$7:$D$91,0),MATCH($G793,'Total Customers'!$F$5:$AB$5,0)),"NA")</f>
        <v>47024</v>
      </c>
      <c r="BA793" s="119">
        <f t="shared" si="2304"/>
        <v>1.1248808760927986E-2</v>
      </c>
      <c r="BB793" s="119"/>
      <c r="BC793" s="121"/>
      <c r="BD793" s="119"/>
      <c r="BE793" s="119"/>
      <c r="BF793" s="119"/>
      <c r="BG793" s="173"/>
      <c r="BH793" s="173"/>
      <c r="BI793" s="173"/>
      <c r="BJ793" s="173"/>
      <c r="BK793" s="173"/>
      <c r="BL793" s="173"/>
      <c r="BM793" s="173"/>
      <c r="BN793" s="173"/>
      <c r="BO793" s="173"/>
      <c r="BP793" s="173"/>
      <c r="BQ793" s="118"/>
      <c r="BR793" s="118"/>
      <c r="BS793" s="118">
        <f>INDEX('Dist. Plant Gas Additions'!$F$7:$AE$91,MATCH($C793,'Dist. Plant Gas Additions'!$D$7:$D$91,0),MATCH(Calculation!$G793,'Dist. Plant Gas Additions'!$F$5:$AE$5,0))</f>
        <v>2196</v>
      </c>
      <c r="BT793" s="118">
        <f>INDEX('Gen. Plant Additions'!$F$7:$AE$91,MATCH($C793,'Gen. Plant Additions'!$D$7:$D$91,0),MATCH(Calculation!$G793,'Gen. Plant Additions'!$F$5:$AE$5,0))</f>
        <v>2042</v>
      </c>
      <c r="BU793" s="118"/>
      <c r="BV793" s="118"/>
      <c r="BW793" s="118">
        <f>INDEX('Dist Plant Depreciation'!$E$7:$AD$94,MATCH($C793,'Dist Plant Depreciation'!$D$7:$D$94,0),MATCH(Calculation!$G793,'Dist Plant Depreciation'!$E$5:$AD$5,0))</f>
        <v>39886</v>
      </c>
      <c r="BX793" s="118">
        <f>INDEX('Gen. Plant Depreciation'!$E$7:$AD$94,MATCH($C793,'Gen. Plant Depreciation'!$D$7:$D$94,0),MATCH(Calculation!$G793,'Gen. Plant Depreciation'!$E$5:$AD$5,0))</f>
        <v>4021</v>
      </c>
      <c r="BY793" s="118"/>
      <c r="BZ793" s="118"/>
      <c r="CA793" s="118"/>
      <c r="CB793" s="118"/>
      <c r="CC793" s="118"/>
      <c r="CD793" s="118"/>
      <c r="CE793" s="118">
        <f>INDEX('Gross Dx Plant'!$E$7:$AD$91,MATCH($C793,'Gross Dx Plant'!$D$7:$D$91,0),MATCH(Calculation!$G793,'Gross Dx Plant'!$E$5:$AD$5,0))</f>
        <v>64382</v>
      </c>
      <c r="CF793" s="118">
        <f>INDEX('Gross Gen Plant'!$E$7:$AD$91,MATCH($C793,'Gross Gen Plant'!$D$7:$D$91,0),MATCH(Calculation!$G793,'Gross Gen Plant'!$E$5:$AD$5,0))</f>
        <v>8135</v>
      </c>
      <c r="CG793" s="118">
        <f t="shared" si="2347"/>
        <v>28610</v>
      </c>
      <c r="CH793" s="118"/>
      <c r="CI793" s="121">
        <v>2011</v>
      </c>
      <c r="CJ793" s="118"/>
      <c r="CK793" s="118"/>
      <c r="CL793" s="118"/>
      <c r="CM793" s="183"/>
      <c r="CN793" s="118">
        <f t="shared" si="2305"/>
        <v>4238</v>
      </c>
      <c r="CO793" s="118">
        <f t="shared" si="2306"/>
        <v>6.9292398827716291</v>
      </c>
      <c r="CP793" s="186">
        <v>0.92121212121212126</v>
      </c>
      <c r="CQ793" s="118">
        <f>+CQ780*CP793+CO781*CP792+CO782*CP791+CO783*CP790+CO784*CP789+CO785*CP788+CO786*CP787+CO787*CP786+CO788*CP785+CO789*CP784+CO790*CP783+CO791*CP782+CO792*CP781+CO793</f>
        <v>178.29715266620622</v>
      </c>
      <c r="CR793" s="119">
        <f t="shared" si="2307"/>
        <v>3.2242777611901176E-2</v>
      </c>
      <c r="CS793" s="119"/>
      <c r="CT793" s="177">
        <f t="shared" si="2308"/>
        <v>7.3687127062557088E-3</v>
      </c>
      <c r="CU793" s="177">
        <f t="shared" si="2316"/>
        <v>7.138714063419707E-3</v>
      </c>
      <c r="CV793" s="119">
        <f>VLOOKUP($H793,RoR!$E:$F,2,FALSE)</f>
        <v>4.6391666666666664E-2</v>
      </c>
      <c r="CW793" s="177">
        <v>2.0840920205183799E-2</v>
      </c>
      <c r="CX793" s="177">
        <f t="shared" si="2314"/>
        <v>2.5550746461482865E-2</v>
      </c>
      <c r="CY793" s="177">
        <f t="shared" si="2317"/>
        <v>2.3763227545113917E-2</v>
      </c>
      <c r="CZ793" s="177">
        <f t="shared" si="2318"/>
        <v>2.4810540821321614E-2</v>
      </c>
      <c r="DA793" s="187">
        <f t="shared" si="2309"/>
        <v>0.86875000000000002</v>
      </c>
      <c r="DB793" s="188">
        <f t="shared" si="2310"/>
        <v>1.1054151524782025</v>
      </c>
      <c r="DC793" s="188">
        <f t="shared" si="2311"/>
        <v>0.43611011316687626</v>
      </c>
      <c r="DD793" s="188">
        <f t="shared" si="2312"/>
        <v>0.83698442246886229</v>
      </c>
      <c r="DE793" s="188">
        <f t="shared" si="2313"/>
        <v>0.40349573304423936</v>
      </c>
      <c r="DF793" s="189">
        <f>INDEX('State Tax Lookup'!$D$7:$Z$91,MATCH(Calculation!$C793,'State Tax Lookup'!$B$7:$B$91,0),MATCH($H793,'State Tax Lookup'!$D$6:$Z$6,0))</f>
        <v>0.35</v>
      </c>
      <c r="DG793" s="189">
        <v>0.375</v>
      </c>
      <c r="DH793" s="190">
        <f t="shared" si="2315"/>
        <v>19.391894150569506</v>
      </c>
      <c r="DI793" s="190">
        <v>19.065595156700041</v>
      </c>
      <c r="DJ793" s="177"/>
      <c r="DK793" s="189">
        <f>VLOOKUP($H793,RoR!$E:$F,2,FALSE)</f>
        <v>4.6391666666666664E-2</v>
      </c>
      <c r="DL793" s="191">
        <f>HLOOKUP($H793,'GDP-PI'!$D$8:$CQ$11,3,FALSE)</f>
        <v>2.0840920205183799E-2</v>
      </c>
      <c r="DM793" s="189">
        <f>VLOOKUP(H793,'HW Dx Data'!$E:$F,2,FALSE)</f>
        <v>611.61109612283201</v>
      </c>
      <c r="DN793" s="183">
        <f>VLOOKUP(H793,'ECI - Input Price'!$G$17:$H$37,2,FALSE)</f>
        <v>114.3</v>
      </c>
      <c r="DO793" s="177">
        <f t="shared" ref="DO793" si="2354">LN(DN793/DN792)</f>
        <v>2.1444394205745516E-2</v>
      </c>
      <c r="DP793" s="183">
        <f>HLOOKUP(H793,'GDP-PI'!$8:$9,2,FALSE)</f>
        <v>98.111999999999995</v>
      </c>
      <c r="DQ793" s="177">
        <f t="shared" ref="DQ793" si="2355">LN(DP793/DP792)</f>
        <v>2.0626719212849295E-2</v>
      </c>
    </row>
    <row r="794" spans="1:121" s="167" customFormat="1" ht="21" x14ac:dyDescent="0.35">
      <c r="A794" s="167" t="s">
        <v>81</v>
      </c>
      <c r="B794" s="168" t="s">
        <v>81</v>
      </c>
      <c r="C794" s="168">
        <v>4064479</v>
      </c>
      <c r="D794" s="168" t="s">
        <v>138</v>
      </c>
      <c r="E794" s="168"/>
      <c r="F794" s="168"/>
      <c r="G794" s="168" t="s">
        <v>18</v>
      </c>
      <c r="H794" s="169">
        <v>2012</v>
      </c>
      <c r="I794" s="170"/>
      <c r="J794" s="166">
        <f>IFERROR(INDEX('Labor Expenditures'!$F$7:$X$91,MATCH($C794,'Labor Expenditures'!$D$7:$D$91,0),MATCH($G794,'Labor Expenditures'!$F$5:$X$5,0)),"NA")</f>
        <v>2499.4769650877074</v>
      </c>
      <c r="K794" s="166">
        <f t="shared" si="2321"/>
        <v>21.454737897748561</v>
      </c>
      <c r="L794" s="172">
        <f t="shared" si="2328"/>
        <v>-1.674542024908485E-2</v>
      </c>
      <c r="M794" s="172">
        <f t="shared" si="2332"/>
        <v>-1.5442165225816148E-5</v>
      </c>
      <c r="N794" s="196"/>
      <c r="O794" s="172"/>
      <c r="P794" s="166">
        <f>IFERROR(INDEX('Non-Labor Expenditures'!$F$7:$AB$91,MATCH($C794,'Non-Labor Expenditures'!$D$7:$D$91,0),MATCH($G794,'Non-Labor Expenditures'!$F$5:$AB$5,0)),"NA")</f>
        <v>3619.709483348694</v>
      </c>
      <c r="Q794" s="166">
        <f t="shared" si="2322"/>
        <v>36.197094833486943</v>
      </c>
      <c r="R794" s="172">
        <f t="shared" si="2333"/>
        <v>-1.6741220782836803E-2</v>
      </c>
      <c r="S794" s="172">
        <f t="shared" si="2338"/>
        <v>-1.5438292593735377E-5</v>
      </c>
      <c r="T794" s="172"/>
      <c r="U794" s="172"/>
      <c r="V794" s="166">
        <f t="shared" si="2303"/>
        <v>3735.5419445612961</v>
      </c>
      <c r="W794" s="170"/>
      <c r="X794" s="174">
        <v>180.94063471455479</v>
      </c>
      <c r="Y794" s="175">
        <v>1.4717437065583823E-2</v>
      </c>
      <c r="Z794" s="175">
        <f t="shared" si="2339"/>
        <v>1.3572015003906312E-5</v>
      </c>
      <c r="AA794" s="175"/>
      <c r="AB794" s="175"/>
      <c r="AC794" s="170">
        <f t="shared" si="2271"/>
        <v>9854.7283929976984</v>
      </c>
      <c r="AD794" s="175">
        <f t="shared" si="2334"/>
        <v>4.1637391548973425E-2</v>
      </c>
      <c r="AE794" s="170"/>
      <c r="AF794" s="170"/>
      <c r="AG794" s="121">
        <f t="shared" si="2335"/>
        <v>207.3239305955378</v>
      </c>
      <c r="AH794" s="119">
        <f>+AZ794/$BB$50</f>
        <v>1.3127716946326E-3</v>
      </c>
      <c r="AI794" s="119"/>
      <c r="AJ794" s="176">
        <f t="shared" si="2340"/>
        <v>0.27216898770579573</v>
      </c>
      <c r="AK794" s="176">
        <f t="shared" si="2341"/>
        <v>0</v>
      </c>
      <c r="AL794" s="120">
        <f t="shared" si="2323"/>
        <v>0.25363225300696435</v>
      </c>
      <c r="AM794" s="120">
        <f t="shared" si="2324"/>
        <v>0.36730687432448039</v>
      </c>
      <c r="AN794" s="120">
        <f t="shared" si="2325"/>
        <v>0.3790608726685552</v>
      </c>
      <c r="AO794" s="120">
        <f t="shared" si="2329"/>
        <v>-5.2092285588642888E-3</v>
      </c>
      <c r="AP794" s="173">
        <f t="shared" si="2345"/>
        <v>101.21056796656211</v>
      </c>
      <c r="AQ794" s="175">
        <f t="shared" si="2346"/>
        <v>-5.2092285588642602E-3</v>
      </c>
      <c r="AR794" s="177">
        <f>+AC794/$AE$50</f>
        <v>9.2217245050389663E-4</v>
      </c>
      <c r="AS794" s="177">
        <f t="shared" si="2342"/>
        <v>-4.803807065362737E-6</v>
      </c>
      <c r="AT794" s="177"/>
      <c r="AU794" s="177"/>
      <c r="AV794" s="177"/>
      <c r="AW794" s="190"/>
      <c r="AX794" s="120"/>
      <c r="AY794" s="120"/>
      <c r="AZ794" s="118">
        <f>IFERROR(INDEX('Total Customers'!$F$7:$AB$91,MATCH($C794,'Total Customers'!$D$7:$D$91,0),MATCH($G794,'Total Customers'!$F$5:$AB$5,0)),"NA")</f>
        <v>47533</v>
      </c>
      <c r="BA794" s="119">
        <f t="shared" si="2304"/>
        <v>1.0766096988214822E-2</v>
      </c>
      <c r="BB794" s="119"/>
      <c r="BC794" s="121"/>
      <c r="BD794" s="119"/>
      <c r="BE794" s="119"/>
      <c r="BF794" s="119"/>
      <c r="BG794" s="173"/>
      <c r="BH794" s="173"/>
      <c r="BI794" s="173"/>
      <c r="BJ794" s="173"/>
      <c r="BK794" s="173"/>
      <c r="BL794" s="173"/>
      <c r="BM794" s="173"/>
      <c r="BN794" s="173"/>
      <c r="BO794" s="173"/>
      <c r="BP794" s="173"/>
      <c r="BQ794" s="118"/>
      <c r="BR794" s="118"/>
      <c r="BS794" s="118">
        <f>INDEX('Dist. Plant Gas Additions'!$F$7:$AE$91,MATCH($C794,'Dist. Plant Gas Additions'!$D$7:$D$91,0),MATCH(Calculation!$G794,'Dist. Plant Gas Additions'!$F$5:$AE$5,0))</f>
        <v>2057</v>
      </c>
      <c r="BT794" s="118">
        <f>INDEX('Gen. Plant Additions'!$F$7:$AE$91,MATCH($C794,'Gen. Plant Additions'!$D$7:$D$91,0),MATCH(Calculation!$G794,'Gen. Plant Additions'!$F$5:$AE$5,0))</f>
        <v>616</v>
      </c>
      <c r="BU794" s="118"/>
      <c r="BV794" s="118"/>
      <c r="BW794" s="118">
        <f>INDEX('Dist Plant Depreciation'!$E$7:$AD$94,MATCH($C794,'Dist Plant Depreciation'!$D$7:$D$94,0),MATCH(Calculation!$G794,'Dist Plant Depreciation'!$E$5:$AD$5,0))</f>
        <v>41400</v>
      </c>
      <c r="BX794" s="118">
        <f>INDEX('Gen. Plant Depreciation'!$E$7:$AD$94,MATCH($C794,'Gen. Plant Depreciation'!$D$7:$D$94,0),MATCH(Calculation!$G794,'Gen. Plant Depreciation'!$E$5:$AD$5,0))</f>
        <v>4508</v>
      </c>
      <c r="BY794" s="118"/>
      <c r="BZ794" s="118"/>
      <c r="CA794" s="118"/>
      <c r="CB794" s="118"/>
      <c r="CC794" s="118"/>
      <c r="CD794" s="118"/>
      <c r="CE794" s="118">
        <f>INDEX('Gross Dx Plant'!$E$7:$AD$91,MATCH($C794,'Gross Dx Plant'!$D$7:$D$91,0),MATCH(Calculation!$G794,'Gross Dx Plant'!$E$5:$AD$5,0))</f>
        <v>66071</v>
      </c>
      <c r="CF794" s="118">
        <f>INDEX('Gross Gen Plant'!$E$7:$AD$91,MATCH($C794,'Gross Gen Plant'!$D$7:$D$91,0),MATCH(Calculation!$G794,'Gross Gen Plant'!$E$5:$AD$5,0))</f>
        <v>8441</v>
      </c>
      <c r="CG794" s="118">
        <f t="shared" si="2347"/>
        <v>28604</v>
      </c>
      <c r="CH794" s="118"/>
      <c r="CI794" s="121">
        <v>2012</v>
      </c>
      <c r="CJ794" s="118"/>
      <c r="CK794" s="118"/>
      <c r="CL794" s="118"/>
      <c r="CM794" s="183"/>
      <c r="CN794" s="118">
        <f t="shared" si="2305"/>
        <v>2673</v>
      </c>
      <c r="CO794" s="118">
        <f t="shared" si="2306"/>
        <v>3.9959975913955796</v>
      </c>
      <c r="CP794" s="186">
        <v>0.9135802469135802</v>
      </c>
      <c r="CQ794" s="118">
        <f>+CQ780*CP794+CO781*CP793+CO782*CP792+CO783*CP791+CO784*CP790+CO785*CP789+CO786*CP788+CO787*CP787+CO788*CP786+CO789*CP785+CO790*CP784+CO791*CP783+CO792*CP782+CO793*CP781+CO794</f>
        <v>180.94063471455479</v>
      </c>
      <c r="CR794" s="119">
        <f t="shared" si="2307"/>
        <v>1.4717437065583823E-2</v>
      </c>
      <c r="CS794" s="119"/>
      <c r="CT794" s="177">
        <f t="shared" si="2308"/>
        <v>7.5857383184300105E-3</v>
      </c>
      <c r="CU794" s="177">
        <f t="shared" si="2316"/>
        <v>7.3671875283686699E-3</v>
      </c>
      <c r="CV794" s="119">
        <f>VLOOKUP($H794,RoR!$E:$F,2,FALSE)</f>
        <v>3.6733333333333333E-2</v>
      </c>
      <c r="CW794" s="177">
        <v>1.924331376386168E-2</v>
      </c>
      <c r="CX794" s="177">
        <f t="shared" si="2314"/>
        <v>1.7490019569471653E-2</v>
      </c>
      <c r="CY794" s="177">
        <f t="shared" si="2317"/>
        <v>2.3534754080164956E-2</v>
      </c>
      <c r="CZ794" s="177">
        <f t="shared" si="2318"/>
        <v>6.7122682943869583E-2</v>
      </c>
      <c r="DA794" s="187">
        <f t="shared" si="2309"/>
        <v>0.86875000000000002</v>
      </c>
      <c r="DB794" s="188">
        <f t="shared" si="2310"/>
        <v>1.3960631020522127</v>
      </c>
      <c r="DC794" s="188">
        <f t="shared" si="2311"/>
        <v>0.29441923774954631</v>
      </c>
      <c r="DD794" s="188">
        <f t="shared" si="2312"/>
        <v>0.76377954189366437</v>
      </c>
      <c r="DE794" s="188">
        <f t="shared" si="2313"/>
        <v>0.31393465103033691</v>
      </c>
      <c r="DF794" s="189">
        <f>INDEX('State Tax Lookup'!$D$7:$Z$91,MATCH(Calculation!$C794,'State Tax Lookup'!$B$7:$B$91,0),MATCH($H794,'State Tax Lookup'!$D$6:$Z$6,0))</f>
        <v>0.35</v>
      </c>
      <c r="DG794" s="189">
        <v>0.375</v>
      </c>
      <c r="DH794" s="190">
        <f t="shared" si="2315"/>
        <v>20.951214804617106</v>
      </c>
      <c r="DI794" s="190">
        <v>20.65296824687573</v>
      </c>
      <c r="DJ794" s="177"/>
      <c r="DK794" s="189">
        <f>VLOOKUP($H794,RoR!$E:$F,2,FALSE)</f>
        <v>3.6733333333333333E-2</v>
      </c>
      <c r="DL794" s="191">
        <f>HLOOKUP($H794,'GDP-PI'!$D$8:$CQ$11,3,FALSE)</f>
        <v>1.924331376386168E-2</v>
      </c>
      <c r="DM794" s="189">
        <f>VLOOKUP(H794,'HW Dx Data'!$E:$F,2,FALSE)</f>
        <v>668.91932211262167</v>
      </c>
      <c r="DN794" s="183">
        <f>VLOOKUP(H794,'ECI - Input Price'!$G$17:$H$37,2,FALSE)</f>
        <v>116.5</v>
      </c>
      <c r="DO794" s="177">
        <f t="shared" ref="DO794" si="2356">LN(DN794/DN793)</f>
        <v>1.9064702204990347E-2</v>
      </c>
      <c r="DP794" s="183">
        <f>HLOOKUP(H794,'GDP-PI'!$8:$9,2,FALSE)</f>
        <v>100</v>
      </c>
      <c r="DQ794" s="177">
        <f t="shared" ref="DQ794" si="2357">LN(DP794/DP793)</f>
        <v>1.9060502738742411E-2</v>
      </c>
    </row>
    <row r="795" spans="1:121" s="167" customFormat="1" ht="21" x14ac:dyDescent="0.35">
      <c r="A795" s="167" t="s">
        <v>81</v>
      </c>
      <c r="B795" s="168" t="s">
        <v>81</v>
      </c>
      <c r="C795" s="168">
        <v>4064479</v>
      </c>
      <c r="D795" s="168" t="s">
        <v>138</v>
      </c>
      <c r="E795" s="168"/>
      <c r="F795" s="168"/>
      <c r="G795" s="168" t="s">
        <v>19</v>
      </c>
      <c r="H795" s="169">
        <v>2013</v>
      </c>
      <c r="I795" s="170"/>
      <c r="J795" s="166">
        <f>IFERROR(INDEX('Labor Expenditures'!$F$7:$X$91,MATCH($C795,'Labor Expenditures'!$D$7:$D$91,0),MATCH($G795,'Labor Expenditures'!$F$5:$X$5,0)),"NA")</f>
        <v>2433.7929033673936</v>
      </c>
      <c r="K795" s="166">
        <f t="shared" si="2321"/>
        <v>20.49941379968325</v>
      </c>
      <c r="L795" s="172">
        <f t="shared" si="2328"/>
        <v>-4.5549211399214036E-2</v>
      </c>
      <c r="M795" s="172">
        <f t="shared" si="2332"/>
        <v>-3.978598976514819E-5</v>
      </c>
      <c r="N795" s="196"/>
      <c r="O795" s="172"/>
      <c r="P795" s="166">
        <f>IFERROR(INDEX('Non-Labor Expenditures'!$F$7:$AB$91,MATCH($C795,'Non-Labor Expenditures'!$D$7:$D$91,0),MATCH($G795,'Non-Labor Expenditures'!$F$5:$AB$5,0)),"NA")</f>
        <v>3524.5866938872041</v>
      </c>
      <c r="Q795" s="166">
        <f t="shared" si="2322"/>
        <v>34.631844338746077</v>
      </c>
      <c r="R795" s="172">
        <f t="shared" si="2333"/>
        <v>-4.4205246986294362E-2</v>
      </c>
      <c r="S795" s="172">
        <f t="shared" si="2338"/>
        <v>-3.8612073626216569E-5</v>
      </c>
      <c r="T795" s="172"/>
      <c r="U795" s="172"/>
      <c r="V795" s="166">
        <f t="shared" si="2303"/>
        <v>3723.9505079379496</v>
      </c>
      <c r="W795" s="170"/>
      <c r="X795" s="174">
        <v>183.42527982354184</v>
      </c>
      <c r="Y795" s="175">
        <v>1.3638397681827468E-2</v>
      </c>
      <c r="Z795" s="175">
        <f t="shared" si="2339"/>
        <v>1.1912767178919183E-5</v>
      </c>
      <c r="AA795" s="175"/>
      <c r="AB795" s="175"/>
      <c r="AC795" s="170">
        <f t="shared" si="2271"/>
        <v>9682.3301051925482</v>
      </c>
      <c r="AD795" s="175">
        <f t="shared" si="2334"/>
        <v>-1.764879423193487E-2</v>
      </c>
      <c r="AE795" s="170"/>
      <c r="AF795" s="170"/>
      <c r="AG795" s="121">
        <f t="shared" si="2335"/>
        <v>199.04878616023987</v>
      </c>
      <c r="AH795" s="119">
        <f>+AZ795/$BB$51</f>
        <v>1.3348388409637399E-3</v>
      </c>
      <c r="AI795" s="119"/>
      <c r="AJ795" s="176">
        <f t="shared" si="2340"/>
        <v>0.2656980510133739</v>
      </c>
      <c r="AK795" s="176">
        <f t="shared" si="2341"/>
        <v>0</v>
      </c>
      <c r="AL795" s="120">
        <f t="shared" si="2323"/>
        <v>0.25136437995045963</v>
      </c>
      <c r="AM795" s="120">
        <f t="shared" si="2324"/>
        <v>0.36402257055840304</v>
      </c>
      <c r="AN795" s="120">
        <f t="shared" si="2325"/>
        <v>0.38461304949113723</v>
      </c>
      <c r="AO795" s="120">
        <f t="shared" si="2329"/>
        <v>-2.2457754240105789E-2</v>
      </c>
      <c r="AP795" s="173">
        <f t="shared" si="2345"/>
        <v>98.96293872258552</v>
      </c>
      <c r="AQ795" s="175">
        <f t="shared" si="2346"/>
        <v>-2.2457754240105741E-2</v>
      </c>
      <c r="AR795" s="177">
        <f>+AC795/$AE$51</f>
        <v>8.7347263636346315E-4</v>
      </c>
      <c r="AS795" s="177">
        <f t="shared" si="2342"/>
        <v>-1.9616233802907905E-5</v>
      </c>
      <c r="AT795" s="177"/>
      <c r="AU795" s="177"/>
      <c r="AV795" s="177"/>
      <c r="AW795" s="190"/>
      <c r="AX795" s="120"/>
      <c r="AY795" s="120"/>
      <c r="AZ795" s="118">
        <f>IFERROR(INDEX('Total Customers'!$F$7:$AB$91,MATCH($C795,'Total Customers'!$D$7:$D$91,0),MATCH($G795,'Total Customers'!$F$5:$AB$5,0)),"NA")</f>
        <v>48643</v>
      </c>
      <c r="BA795" s="119">
        <f t="shared" si="2304"/>
        <v>2.3083706722727255E-2</v>
      </c>
      <c r="BB795" s="119"/>
      <c r="BC795" s="121"/>
      <c r="BD795" s="119"/>
      <c r="BE795" s="119"/>
      <c r="BF795" s="119"/>
      <c r="BG795" s="173"/>
      <c r="BH795" s="173"/>
      <c r="BI795" s="173"/>
      <c r="BJ795" s="173"/>
      <c r="BK795" s="173"/>
      <c r="BL795" s="173"/>
      <c r="BM795" s="173"/>
      <c r="BN795" s="173"/>
      <c r="BO795" s="173"/>
      <c r="BP795" s="173"/>
      <c r="BQ795" s="118"/>
      <c r="BR795" s="118"/>
      <c r="BS795" s="118">
        <f>INDEX('Dist. Plant Gas Additions'!$F$7:$AE$91,MATCH($C795,'Dist. Plant Gas Additions'!$D$7:$D$91,0),MATCH(Calculation!$G795,'Dist. Plant Gas Additions'!$F$5:$AE$5,0))</f>
        <v>2240</v>
      </c>
      <c r="BT795" s="118">
        <f>INDEX('Gen. Plant Additions'!$F$7:$AE$91,MATCH($C795,'Gen. Plant Additions'!$D$7:$D$91,0),MATCH(Calculation!$G795,'Gen. Plant Additions'!$F$5:$AE$5,0))</f>
        <v>351</v>
      </c>
      <c r="BU795" s="118"/>
      <c r="BV795" s="118"/>
      <c r="BW795" s="118">
        <f>INDEX('Dist Plant Depreciation'!$E$7:$AD$94,MATCH($C795,'Dist Plant Depreciation'!$D$7:$D$94,0),MATCH(Calculation!$G795,'Dist Plant Depreciation'!$E$5:$AD$5,0))</f>
        <v>42905</v>
      </c>
      <c r="BX795" s="118">
        <f>INDEX('Gen. Plant Depreciation'!$E$7:$AD$94,MATCH($C795,'Gen. Plant Depreciation'!$D$7:$D$94,0),MATCH(Calculation!$G795,'Gen. Plant Depreciation'!$E$5:$AD$5,0))</f>
        <v>5083</v>
      </c>
      <c r="BY795" s="118"/>
      <c r="BZ795" s="118"/>
      <c r="CA795" s="118"/>
      <c r="CB795" s="118"/>
      <c r="CC795" s="118"/>
      <c r="CD795" s="118"/>
      <c r="CE795" s="118">
        <f>INDEX('Gross Dx Plant'!$E$7:$AD$91,MATCH($C795,'Gross Dx Plant'!$D$7:$D$91,0),MATCH(Calculation!$G795,'Gross Dx Plant'!$E$5:$AD$5,0))</f>
        <v>67967</v>
      </c>
      <c r="CF795" s="118">
        <f>INDEX('Gross Gen Plant'!$E$7:$AD$91,MATCH($C795,'Gross Gen Plant'!$D$7:$D$91,0),MATCH(Calculation!$G795,'Gross Gen Plant'!$E$5:$AD$5,0))</f>
        <v>8603</v>
      </c>
      <c r="CG795" s="118">
        <f t="shared" si="2347"/>
        <v>28582</v>
      </c>
      <c r="CH795" s="118"/>
      <c r="CI795" s="121">
        <v>2013</v>
      </c>
      <c r="CJ795" s="118"/>
      <c r="CK795" s="118"/>
      <c r="CL795" s="118"/>
      <c r="CM795" s="183"/>
      <c r="CN795" s="118">
        <f t="shared" si="2305"/>
        <v>2591</v>
      </c>
      <c r="CO795" s="118">
        <f t="shared" si="2306"/>
        <v>3.9065303113586491</v>
      </c>
      <c r="CP795" s="186">
        <v>0.90566037735849059</v>
      </c>
      <c r="CQ795" s="118">
        <f>+CQ780*CP795+CO781*CP794+CO782*CP793+CO783*CP792+CO784*CP791+CO785*CP790+CO786*CP789+CO787*CP788+CO788*CP787+CO789*CP786+CO790*CP785+CO791*CP784+CO792*CP783+CO793*CP782+CO794*CP781+CO795</f>
        <v>183.42527982354184</v>
      </c>
      <c r="CR795" s="119">
        <f t="shared" si="2307"/>
        <v>1.3638397681827468E-2</v>
      </c>
      <c r="CS795" s="119"/>
      <c r="CT795" s="177">
        <f t="shared" si="2308"/>
        <v>7.8582967535993763E-3</v>
      </c>
      <c r="CU795" s="177">
        <f t="shared" si="2316"/>
        <v>7.6042492594283655E-3</v>
      </c>
      <c r="CV795" s="119">
        <f>VLOOKUP($H795,RoR!$E:$F,2,FALSE)</f>
        <v>4.2350000000000006E-2</v>
      </c>
      <c r="CW795" s="177">
        <v>1.7730000000000024E-2</v>
      </c>
      <c r="CX795" s="177">
        <f t="shared" si="2314"/>
        <v>2.4619999999999982E-2</v>
      </c>
      <c r="CY795" s="177">
        <f t="shared" si="2317"/>
        <v>2.329769234910526E-2</v>
      </c>
      <c r="CZ795" s="177">
        <f t="shared" si="2318"/>
        <v>5.3376742735721204E-2</v>
      </c>
      <c r="DA795" s="187">
        <f t="shared" si="2309"/>
        <v>0.86875000000000002</v>
      </c>
      <c r="DB795" s="188">
        <f t="shared" si="2310"/>
        <v>1.2109103018193925</v>
      </c>
      <c r="DC795" s="188">
        <f t="shared" si="2311"/>
        <v>0.38468122786304604</v>
      </c>
      <c r="DD795" s="188">
        <f t="shared" si="2312"/>
        <v>0.80969194503422559</v>
      </c>
      <c r="DE795" s="188">
        <f t="shared" si="2313"/>
        <v>0.37716621754800816</v>
      </c>
      <c r="DF795" s="189">
        <f>INDEX('State Tax Lookup'!$D$7:$Z$91,MATCH(Calculation!$C795,'State Tax Lookup'!$B$7:$B$91,0),MATCH($H795,'State Tax Lookup'!$D$6:$Z$6,0))</f>
        <v>0.35</v>
      </c>
      <c r="DG795" s="189">
        <v>0.375</v>
      </c>
      <c r="DH795" s="190">
        <f t="shared" si="2315"/>
        <v>20.581062478379803</v>
      </c>
      <c r="DI795" s="190">
        <v>20.252160335463316</v>
      </c>
      <c r="DJ795" s="177"/>
      <c r="DK795" s="189">
        <f>VLOOKUP($H795,RoR!$E:$F,2,FALSE)</f>
        <v>4.2350000000000006E-2</v>
      </c>
      <c r="DL795" s="191">
        <f>HLOOKUP($H795,'GDP-PI'!$D$8:$CQ$11,3,FALSE)</f>
        <v>1.7730000000000024E-2</v>
      </c>
      <c r="DM795" s="189">
        <f>VLOOKUP(H795,'HW Dx Data'!$E:$F,2,FALSE)</f>
        <v>663.24840548821396</v>
      </c>
      <c r="DN795" s="183">
        <f>VLOOKUP(H795,'ECI - Input Price'!$G$17:$H$37,2,FALSE)</f>
        <v>118.72499999999999</v>
      </c>
      <c r="DO795" s="177">
        <f t="shared" ref="DO795" si="2358">LN(DN795/DN794)</f>
        <v>1.8918621429430321E-2</v>
      </c>
      <c r="DP795" s="183">
        <f>HLOOKUP(H795,'GDP-PI'!$8:$9,2,FALSE)</f>
        <v>101.773</v>
      </c>
      <c r="DQ795" s="177">
        <f t="shared" ref="DQ795" si="2359">LN(DP795/DP794)</f>
        <v>1.7574657016510519E-2</v>
      </c>
    </row>
    <row r="796" spans="1:121" s="167" customFormat="1" ht="21" x14ac:dyDescent="0.35">
      <c r="A796" s="167" t="s">
        <v>81</v>
      </c>
      <c r="B796" s="168" t="s">
        <v>81</v>
      </c>
      <c r="C796" s="168">
        <v>4064479</v>
      </c>
      <c r="D796" s="168" t="s">
        <v>138</v>
      </c>
      <c r="E796" s="168"/>
      <c r="F796" s="168"/>
      <c r="G796" s="168" t="s">
        <v>20</v>
      </c>
      <c r="H796" s="169">
        <v>2014</v>
      </c>
      <c r="I796" s="170"/>
      <c r="J796" s="166">
        <f>IFERROR(INDEX('Labor Expenditures'!$F$7:$X$91,MATCH($C796,'Labor Expenditures'!$D$7:$D$91,0),MATCH($G796,'Labor Expenditures'!$F$5:$X$5,0)),"NA")</f>
        <v>2504.3902594031438</v>
      </c>
      <c r="K796" s="166">
        <f t="shared" si="2321"/>
        <v>20.663285968672803</v>
      </c>
      <c r="L796" s="172">
        <f t="shared" si="2328"/>
        <v>7.9622102368560339E-3</v>
      </c>
      <c r="M796" s="172">
        <f t="shared" si="2332"/>
        <v>6.9880669602589757E-6</v>
      </c>
      <c r="N796" s="196"/>
      <c r="O796" s="172"/>
      <c r="P796" s="166">
        <f>IFERROR(INDEX('Non-Labor Expenditures'!$F$7:$AB$91,MATCH($C796,'Non-Labor Expenditures'!$D$7:$D$91,0),MATCH($G796,'Non-Labor Expenditures'!$F$5:$AB$5,0)),"NA")</f>
        <v>3626.8248511942397</v>
      </c>
      <c r="Q796" s="166">
        <f t="shared" si="2322"/>
        <v>34.992087095567065</v>
      </c>
      <c r="R796" s="172">
        <f t="shared" si="2333"/>
        <v>1.0348337538628632E-2</v>
      </c>
      <c r="S796" s="172">
        <f t="shared" si="2338"/>
        <v>9.0822615198682258E-6</v>
      </c>
      <c r="T796" s="172"/>
      <c r="U796" s="172"/>
      <c r="V796" s="166">
        <f t="shared" si="2303"/>
        <v>3856.3184771255033</v>
      </c>
      <c r="W796" s="170"/>
      <c r="X796" s="174">
        <v>184.61200052263069</v>
      </c>
      <c r="Y796" s="175">
        <v>6.4489380577286712E-3</v>
      </c>
      <c r="Z796" s="175">
        <f t="shared" si="2339"/>
        <v>5.6599373326476076E-6</v>
      </c>
      <c r="AA796" s="175"/>
      <c r="AB796" s="175"/>
      <c r="AC796" s="170">
        <f t="shared" si="2271"/>
        <v>9987.5335877228863</v>
      </c>
      <c r="AD796" s="175">
        <f t="shared" si="2334"/>
        <v>3.1035088394732836E-2</v>
      </c>
      <c r="AE796" s="170"/>
      <c r="AF796" s="170"/>
      <c r="AG796" s="121">
        <f t="shared" si="2335"/>
        <v>206.6699827778605</v>
      </c>
      <c r="AH796" s="119">
        <f>+AZ796/$BB$52</f>
        <v>1.3190210499624902E-3</v>
      </c>
      <c r="AI796" s="119"/>
      <c r="AJ796" s="176">
        <f t="shared" si="2340"/>
        <v>0.27260205767938334</v>
      </c>
      <c r="AK796" s="176">
        <f t="shared" si="2341"/>
        <v>0</v>
      </c>
      <c r="AL796" s="120">
        <f t="shared" si="2323"/>
        <v>0.25075162325177558</v>
      </c>
      <c r="AM796" s="120">
        <f t="shared" si="2324"/>
        <v>0.36313518441154397</v>
      </c>
      <c r="AN796" s="120">
        <f t="shared" si="2325"/>
        <v>0.38611319233668046</v>
      </c>
      <c r="AO796" s="120">
        <f t="shared" si="2329"/>
        <v>8.2465964330300512E-3</v>
      </c>
      <c r="AP796" s="173">
        <f t="shared" si="2345"/>
        <v>99.782420463499705</v>
      </c>
      <c r="AQ796" s="175">
        <f t="shared" si="2346"/>
        <v>8.246596433029987E-3</v>
      </c>
      <c r="AR796" s="177">
        <f>+AC796/$AE$52</f>
        <v>8.7765416289965867E-4</v>
      </c>
      <c r="AS796" s="177">
        <f t="shared" si="2342"/>
        <v>7.2376596892022443E-6</v>
      </c>
      <c r="AT796" s="177"/>
      <c r="AU796" s="177"/>
      <c r="AV796" s="177"/>
      <c r="AW796" s="190"/>
      <c r="AX796" s="120"/>
      <c r="AY796" s="120"/>
      <c r="AZ796" s="118">
        <f>IFERROR(INDEX('Total Customers'!$F$7:$AB$91,MATCH($C796,'Total Customers'!$D$7:$D$91,0),MATCH($G796,'Total Customers'!$F$5:$AB$5,0)),"NA")</f>
        <v>48326</v>
      </c>
      <c r="BA796" s="119">
        <f t="shared" si="2304"/>
        <v>-6.5381952842413649E-3</v>
      </c>
      <c r="BB796" s="119"/>
      <c r="BC796" s="121"/>
      <c r="BD796" s="119"/>
      <c r="BE796" s="119"/>
      <c r="BF796" s="119"/>
      <c r="BG796" s="173"/>
      <c r="BH796" s="173"/>
      <c r="BI796" s="173"/>
      <c r="BJ796" s="173"/>
      <c r="BK796" s="173"/>
      <c r="BL796" s="173"/>
      <c r="BM796" s="173"/>
      <c r="BN796" s="173"/>
      <c r="BO796" s="173"/>
      <c r="BP796" s="173"/>
      <c r="BQ796" s="118"/>
      <c r="BR796" s="118"/>
      <c r="BS796" s="118">
        <f>INDEX('Dist. Plant Gas Additions'!$F$7:$AE$91,MATCH($C796,'Dist. Plant Gas Additions'!$D$7:$D$91,0),MATCH(Calculation!$G796,'Dist. Plant Gas Additions'!$F$5:$AE$5,0))</f>
        <v>1491</v>
      </c>
      <c r="BT796" s="118">
        <f>INDEX('Gen. Plant Additions'!$F$7:$AE$91,MATCH($C796,'Gen. Plant Additions'!$D$7:$D$91,0),MATCH(Calculation!$G796,'Gen. Plant Additions'!$F$5:$AE$5,0))</f>
        <v>344</v>
      </c>
      <c r="BU796" s="118"/>
      <c r="BV796" s="118"/>
      <c r="BW796" s="118">
        <f>INDEX('Dist Plant Depreciation'!$E$7:$AD$94,MATCH($C796,'Dist Plant Depreciation'!$D$7:$D$94,0),MATCH(Calculation!$G796,'Dist Plant Depreciation'!$E$5:$AD$5,0))</f>
        <v>44646</v>
      </c>
      <c r="BX796" s="118">
        <f>INDEX('Gen. Plant Depreciation'!$E$7:$AD$94,MATCH($C796,'Gen. Plant Depreciation'!$D$7:$D$94,0),MATCH(Calculation!$G796,'Gen. Plant Depreciation'!$E$5:$AD$5,0))</f>
        <v>5521</v>
      </c>
      <c r="BY796" s="118"/>
      <c r="BZ796" s="118"/>
      <c r="CA796" s="118"/>
      <c r="CB796" s="118"/>
      <c r="CC796" s="118"/>
      <c r="CD796" s="118"/>
      <c r="CE796" s="118">
        <f>INDEX('Gross Dx Plant'!$E$7:$AD$91,MATCH($C796,'Gross Dx Plant'!$D$7:$D$91,0),MATCH(Calculation!$G796,'Gross Dx Plant'!$E$5:$AD$5,0))</f>
        <v>69284</v>
      </c>
      <c r="CF796" s="118">
        <f>INDEX('Gross Gen Plant'!$E$7:$AD$91,MATCH($C796,'Gross Gen Plant'!$D$7:$D$91,0),MATCH(Calculation!$G796,'Gross Gen Plant'!$E$5:$AD$5,0))</f>
        <v>8577</v>
      </c>
      <c r="CG796" s="118">
        <f t="shared" si="2347"/>
        <v>27694</v>
      </c>
      <c r="CH796" s="118"/>
      <c r="CI796" s="121">
        <v>2014</v>
      </c>
      <c r="CJ796" s="118"/>
      <c r="CK796" s="118"/>
      <c r="CL796" s="118"/>
      <c r="CM796" s="183"/>
      <c r="CN796" s="118">
        <f t="shared" si="2305"/>
        <v>1835</v>
      </c>
      <c r="CO796" s="118">
        <f t="shared" si="2306"/>
        <v>2.6809097519842275</v>
      </c>
      <c r="CP796" s="186">
        <v>0.89743589743589747</v>
      </c>
      <c r="CQ796" s="118">
        <f>+CQ780*CP796+CO781*CP795+CO782*CP794+CO783*CP793+CO784*CP792+CO785*CP791+CO786*CP790+CO787*CP789+CO788*CP788+CO789*CP787+CO790*CP786+CO791*CP785+CO792*CP784+CO793*CP783+CO794*CP782+CO795*CP781+CO796</f>
        <v>184.61200052263069</v>
      </c>
      <c r="CR796" s="119">
        <f t="shared" si="2307"/>
        <v>6.4489380577286712E-3</v>
      </c>
      <c r="CS796" s="119"/>
      <c r="CT796" s="177">
        <f t="shared" si="2308"/>
        <v>8.1460366549954855E-3</v>
      </c>
      <c r="CU796" s="177">
        <f t="shared" si="2316"/>
        <v>7.8633572423416238E-3</v>
      </c>
      <c r="CV796" s="119">
        <f>VLOOKUP($H796,RoR!$E:$F,2,FALSE)</f>
        <v>4.1625000000000002E-2</v>
      </c>
      <c r="CW796" s="177">
        <v>1.841352814597208E-2</v>
      </c>
      <c r="CX796" s="177">
        <f t="shared" si="2314"/>
        <v>2.3211471854027922E-2</v>
      </c>
      <c r="CY796" s="177">
        <f t="shared" si="2317"/>
        <v>2.3038584366192001E-2</v>
      </c>
      <c r="CZ796" s="177">
        <f t="shared" si="2318"/>
        <v>3.9072621432650924E-2</v>
      </c>
      <c r="DA796" s="187">
        <f t="shared" si="2309"/>
        <v>0.86875000000000002</v>
      </c>
      <c r="DB796" s="188">
        <f t="shared" si="2310"/>
        <v>1.2320012320012319</v>
      </c>
      <c r="DC796" s="188">
        <f t="shared" si="2311"/>
        <v>0.37439939939939942</v>
      </c>
      <c r="DD796" s="188">
        <f t="shared" si="2312"/>
        <v>0.80432100613819935</v>
      </c>
      <c r="DE796" s="188">
        <f t="shared" si="2313"/>
        <v>0.37100152660040037</v>
      </c>
      <c r="DF796" s="189">
        <f>INDEX('State Tax Lookup'!$D$7:$Z$91,MATCH(Calculation!$C796,'State Tax Lookup'!$B$7:$B$91,0),MATCH($H796,'State Tax Lookup'!$D$6:$Z$6,0))</f>
        <v>0.35</v>
      </c>
      <c r="DG796" s="189">
        <v>0.375</v>
      </c>
      <c r="DH796" s="190">
        <f t="shared" si="2315"/>
        <v>21.023920371474127</v>
      </c>
      <c r="DI796" s="190">
        <v>20.648104051229723</v>
      </c>
      <c r="DJ796" s="177"/>
      <c r="DK796" s="189">
        <f>VLOOKUP($H796,RoR!$E:$F,2,FALSE)</f>
        <v>4.1625000000000002E-2</v>
      </c>
      <c r="DL796" s="191">
        <f>HLOOKUP($H796,'GDP-PI'!$D$8:$CQ$11,3,FALSE)</f>
        <v>1.841352814597208E-2</v>
      </c>
      <c r="DM796" s="189">
        <f>VLOOKUP(H796,'HW Dx Data'!$E:$F,2,FALSE)</f>
        <v>684.46914285042885</v>
      </c>
      <c r="DN796" s="183">
        <f>VLOOKUP(H796,'ECI - Input Price'!$G$17:$H$37,2,FALSE)</f>
        <v>121.2</v>
      </c>
      <c r="DO796" s="177">
        <f t="shared" ref="DO796" si="2360">LN(DN796/DN795)</f>
        <v>2.0632179200028689E-2</v>
      </c>
      <c r="DP796" s="183">
        <f>HLOOKUP(H796,'GDP-PI'!$8:$9,2,FALSE)</f>
        <v>103.64700000000001</v>
      </c>
      <c r="DQ796" s="177">
        <f t="shared" ref="DQ796" si="2361">LN(DP796/DP795)</f>
        <v>1.8246051898256087E-2</v>
      </c>
    </row>
    <row r="797" spans="1:121" s="167" customFormat="1" ht="21" x14ac:dyDescent="0.35">
      <c r="A797" s="167" t="s">
        <v>81</v>
      </c>
      <c r="B797" s="168" t="s">
        <v>81</v>
      </c>
      <c r="C797" s="168">
        <v>4064479</v>
      </c>
      <c r="D797" s="168" t="s">
        <v>138</v>
      </c>
      <c r="E797" s="168"/>
      <c r="F797" s="168"/>
      <c r="G797" s="168" t="s">
        <v>21</v>
      </c>
      <c r="H797" s="169">
        <v>2015</v>
      </c>
      <c r="I797" s="170"/>
      <c r="J797" s="166">
        <f>IFERROR(INDEX('Labor Expenditures'!$F$7:$X$91,MATCH($C797,'Labor Expenditures'!$D$7:$D$91,0),MATCH($G797,'Labor Expenditures'!$F$5:$X$5,0)),"NA")</f>
        <v>2581.6172103352251</v>
      </c>
      <c r="K797" s="166">
        <f t="shared" si="2321"/>
        <v>20.861553214830103</v>
      </c>
      <c r="L797" s="172">
        <f t="shared" si="2328"/>
        <v>9.5494049700442819E-3</v>
      </c>
      <c r="M797" s="172">
        <f t="shared" si="2332"/>
        <v>8.3996369382206758E-6</v>
      </c>
      <c r="N797" s="196"/>
      <c r="O797" s="172"/>
      <c r="P797" s="166">
        <f>IFERROR(INDEX('Non-Labor Expenditures'!$F$7:$AB$91,MATCH($C797,'Non-Labor Expenditures'!$D$7:$D$91,0),MATCH($G797,'Non-Labor Expenditures'!$F$5:$AB$5,0)),"NA")</f>
        <v>3738.6639001486878</v>
      </c>
      <c r="Q797" s="166">
        <f t="shared" si="2322"/>
        <v>35.729163124157225</v>
      </c>
      <c r="R797" s="172">
        <f t="shared" si="2333"/>
        <v>2.0845296598186912E-2</v>
      </c>
      <c r="S797" s="172">
        <f t="shared" si="2338"/>
        <v>1.8335479942839272E-5</v>
      </c>
      <c r="T797" s="172"/>
      <c r="U797" s="172"/>
      <c r="V797" s="166">
        <f t="shared" si="2303"/>
        <v>3790.4668641409899</v>
      </c>
      <c r="W797" s="170"/>
      <c r="X797" s="174">
        <v>187.09468479518597</v>
      </c>
      <c r="Y797" s="175">
        <v>1.3358496308924368E-2</v>
      </c>
      <c r="Z797" s="175">
        <f t="shared" si="2339"/>
        <v>1.1750105832510877E-5</v>
      </c>
      <c r="AA797" s="175"/>
      <c r="AB797" s="175"/>
      <c r="AC797" s="170">
        <f t="shared" si="2271"/>
        <v>10110.747974624903</v>
      </c>
      <c r="AD797" s="175">
        <f t="shared" si="2334"/>
        <v>1.2261339875401978E-2</v>
      </c>
      <c r="AE797" s="170"/>
      <c r="AF797" s="170"/>
      <c r="AG797" s="121">
        <f t="shared" si="2335"/>
        <v>207.48933847657253</v>
      </c>
      <c r="AH797" s="119">
        <f>+AZ797/$BB$53</f>
        <v>1.3192365997217424E-3</v>
      </c>
      <c r="AI797" s="119"/>
      <c r="AJ797" s="176">
        <f t="shared" si="2340"/>
        <v>0.27372752937034722</v>
      </c>
      <c r="AK797" s="176">
        <f t="shared" si="2341"/>
        <v>0</v>
      </c>
      <c r="AL797" s="120">
        <f t="shared" si="2323"/>
        <v>0.25533394926016839</v>
      </c>
      <c r="AM797" s="120">
        <f t="shared" si="2324"/>
        <v>0.36977124833213815</v>
      </c>
      <c r="AN797" s="120">
        <f t="shared" si="2325"/>
        <v>0.37489480240769346</v>
      </c>
      <c r="AO797" s="120">
        <f t="shared" si="2329"/>
        <v>1.5138195269764548E-2</v>
      </c>
      <c r="AP797" s="173">
        <f t="shared" si="2345"/>
        <v>101.30443745823221</v>
      </c>
      <c r="AQ797" s="175">
        <f t="shared" si="2346"/>
        <v>1.5138195269764633E-2</v>
      </c>
      <c r="AR797" s="177">
        <f>+AC797/$AE$53</f>
        <v>8.7959793982658231E-4</v>
      </c>
      <c r="AS797" s="177">
        <f t="shared" si="2342"/>
        <v>1.3315525371977485E-5</v>
      </c>
      <c r="AT797" s="177"/>
      <c r="AU797" s="177"/>
      <c r="AV797" s="177"/>
      <c r="AW797" s="190"/>
      <c r="AX797" s="120"/>
      <c r="AY797" s="120"/>
      <c r="AZ797" s="118">
        <f>IFERROR(INDEX('Total Customers'!$F$7:$AB$91,MATCH($C797,'Total Customers'!$D$7:$D$91,0),MATCH($G797,'Total Customers'!$F$5:$AB$5,0)),"NA")</f>
        <v>48729</v>
      </c>
      <c r="BA797" s="119">
        <f t="shared" si="2304"/>
        <v>8.3046173021060609E-3</v>
      </c>
      <c r="BB797" s="119"/>
      <c r="BC797" s="121"/>
      <c r="BD797" s="119"/>
      <c r="BE797" s="119"/>
      <c r="BF797" s="119"/>
      <c r="BG797" s="173"/>
      <c r="BH797" s="173"/>
      <c r="BI797" s="173"/>
      <c r="BJ797" s="173"/>
      <c r="BK797" s="173"/>
      <c r="BL797" s="173"/>
      <c r="BM797" s="173"/>
      <c r="BN797" s="173"/>
      <c r="BO797" s="173"/>
      <c r="BP797" s="173"/>
      <c r="BQ797" s="118"/>
      <c r="BR797" s="118"/>
      <c r="BS797" s="118">
        <f>INDEX('Dist. Plant Gas Additions'!$F$7:$AE$91,MATCH($C797,'Dist. Plant Gas Additions'!$D$7:$D$91,0),MATCH(Calculation!$G797,'Dist. Plant Gas Additions'!$F$5:$AE$5,0))</f>
        <v>2302</v>
      </c>
      <c r="BT797" s="118">
        <f>INDEX('Gen. Plant Additions'!$F$7:$AE$91,MATCH($C797,'Gen. Plant Additions'!$D$7:$D$91,0),MATCH(Calculation!$G797,'Gen. Plant Additions'!$F$5:$AE$5,0))</f>
        <v>432</v>
      </c>
      <c r="BU797" s="118"/>
      <c r="BV797" s="118"/>
      <c r="BW797" s="118">
        <f>INDEX('Dist Plant Depreciation'!$E$7:$AD$94,MATCH($C797,'Dist Plant Depreciation'!$D$7:$D$94,0),MATCH(Calculation!$G797,'Dist Plant Depreciation'!$E$5:$AD$5,0))</f>
        <v>46290</v>
      </c>
      <c r="BX797" s="118">
        <f>INDEX('Gen. Plant Depreciation'!$E$7:$AD$94,MATCH($C797,'Gen. Plant Depreciation'!$D$7:$D$94,0),MATCH(Calculation!$G797,'Gen. Plant Depreciation'!$E$5:$AD$5,0))</f>
        <v>6038</v>
      </c>
      <c r="BY797" s="118"/>
      <c r="BZ797" s="118"/>
      <c r="CA797" s="118"/>
      <c r="CB797" s="118"/>
      <c r="CC797" s="118"/>
      <c r="CD797" s="118"/>
      <c r="CE797" s="118">
        <f>INDEX('Gross Dx Plant'!$E$7:$AD$91,MATCH($C797,'Gross Dx Plant'!$D$7:$D$91,0),MATCH(Calculation!$G797,'Gross Dx Plant'!$E$5:$AD$5,0))</f>
        <v>71282</v>
      </c>
      <c r="CF797" s="118">
        <f>INDEX('Gross Gen Plant'!$E$7:$AD$91,MATCH($C797,'Gross Gen Plant'!$D$7:$D$91,0),MATCH(Calculation!$G797,'Gross Gen Plant'!$E$5:$AD$5,0))</f>
        <v>8700</v>
      </c>
      <c r="CG797" s="118">
        <f t="shared" si="2347"/>
        <v>27654</v>
      </c>
      <c r="CH797" s="118"/>
      <c r="CI797" s="121">
        <v>2015</v>
      </c>
      <c r="CJ797" s="118"/>
      <c r="CK797" s="118"/>
      <c r="CL797" s="118"/>
      <c r="CM797" s="183"/>
      <c r="CN797" s="118">
        <f t="shared" si="2305"/>
        <v>2734</v>
      </c>
      <c r="CO797" s="118">
        <f t="shared" si="2306"/>
        <v>4.0466855898447109</v>
      </c>
      <c r="CP797" s="186">
        <v>0.88888888888888884</v>
      </c>
      <c r="CQ797" s="118">
        <f>+CQ780*CP797+CO781*CP796+CO782*CP795+CO783*CP794+CO784*CP793+CO785*CP792+CO786*CP791+CO787*CP790+CO788*CP789+CO789*CP788+CO790*CP787+CO791*CP786+CO792*CP785+CO793*CP784+CO794*CP783+CO795*CP782+CO796*CP781+CO797</f>
        <v>187.09468479518597</v>
      </c>
      <c r="CR797" s="119">
        <f t="shared" si="2307"/>
        <v>1.3358496308924368E-2</v>
      </c>
      <c r="CS797" s="119"/>
      <c r="CT797" s="177">
        <f t="shared" si="2308"/>
        <v>8.4718290948681448E-3</v>
      </c>
      <c r="CU797" s="177">
        <f t="shared" si="2316"/>
        <v>8.1587208344876695E-3</v>
      </c>
      <c r="CV797" s="119">
        <f>VLOOKUP($H797,RoR!$E:$F,2,FALSE)</f>
        <v>3.8866666666666674E-2</v>
      </c>
      <c r="CW797" s="177">
        <v>9.5709475431029478E-3</v>
      </c>
      <c r="CX797" s="177">
        <f t="shared" si="2314"/>
        <v>2.9295719123563727E-2</v>
      </c>
      <c r="CY797" s="177">
        <f t="shared" si="2317"/>
        <v>2.2743220774045954E-2</v>
      </c>
      <c r="CZ797" s="177">
        <f t="shared" si="2318"/>
        <v>3.5270373279175926E-3</v>
      </c>
      <c r="DA797" s="187">
        <f t="shared" si="2309"/>
        <v>0.86875000000000002</v>
      </c>
      <c r="DB797" s="188">
        <f t="shared" si="2310"/>
        <v>1.3194352816994324</v>
      </c>
      <c r="DC797" s="188">
        <f t="shared" si="2311"/>
        <v>0.33177530017152673</v>
      </c>
      <c r="DD797" s="188">
        <f t="shared" si="2312"/>
        <v>0.78242572977668579</v>
      </c>
      <c r="DE797" s="188">
        <f t="shared" si="2313"/>
        <v>0.34251158643433932</v>
      </c>
      <c r="DF797" s="189">
        <f>INDEX('State Tax Lookup'!$D$7:$Z$91,MATCH(Calculation!$C797,'State Tax Lookup'!$B$7:$B$91,0),MATCH($H797,'State Tax Lookup'!$D$6:$Z$6,0))</f>
        <v>0.35</v>
      </c>
      <c r="DG797" s="189">
        <v>0.375</v>
      </c>
      <c r="DH797" s="190">
        <f t="shared" si="2315"/>
        <v>20.532071877290203</v>
      </c>
      <c r="DI797" s="190">
        <v>20.109574514807282</v>
      </c>
      <c r="DJ797" s="177"/>
      <c r="DK797" s="189">
        <f>VLOOKUP($H797,RoR!$E:$F,2,FALSE)</f>
        <v>3.8866666666666674E-2</v>
      </c>
      <c r="DL797" s="191">
        <f>HLOOKUP($H797,'GDP-PI'!$D$8:$CQ$11,3,FALSE)</f>
        <v>9.5709475431029478E-3</v>
      </c>
      <c r="DM797" s="189">
        <f>VLOOKUP(H797,'HW Dx Data'!$E:$F,2,FALSE)</f>
        <v>675.61463308665782</v>
      </c>
      <c r="DN797" s="183">
        <f>VLOOKUP(H797,'ECI - Input Price'!$G$17:$H$37,2,FALSE)</f>
        <v>123.75</v>
      </c>
      <c r="DO797" s="177">
        <f t="shared" ref="DO797" si="2362">LN(DN797/DN796)</f>
        <v>2.0821327813585516E-2</v>
      </c>
      <c r="DP797" s="183">
        <f>HLOOKUP(H797,'GDP-PI'!$8:$9,2,FALSE)</f>
        <v>104.639</v>
      </c>
      <c r="DQ797" s="177">
        <f t="shared" ref="DQ797" si="2363">LN(DP797/DP796)</f>
        <v>9.5254361854427965E-3</v>
      </c>
    </row>
    <row r="798" spans="1:121" s="167" customFormat="1" ht="21" x14ac:dyDescent="0.35">
      <c r="A798" s="167" t="s">
        <v>81</v>
      </c>
      <c r="B798" s="168" t="s">
        <v>81</v>
      </c>
      <c r="C798" s="168">
        <v>4064479</v>
      </c>
      <c r="D798" s="168" t="s">
        <v>138</v>
      </c>
      <c r="E798" s="168"/>
      <c r="F798" s="168"/>
      <c r="G798" s="168" t="s">
        <v>22</v>
      </c>
      <c r="H798" s="169">
        <v>2016</v>
      </c>
      <c r="I798" s="170"/>
      <c r="J798" s="166">
        <f>IFERROR(INDEX('Labor Expenditures'!$F$7:$X$91,MATCH($C798,'Labor Expenditures'!$D$7:$D$91,0),MATCH($G798,'Labor Expenditures'!$F$5:$X$5,0)),"NA")</f>
        <v>2722.0352833311454</v>
      </c>
      <c r="K798" s="166">
        <f t="shared" si="2321"/>
        <v>21.535089266860325</v>
      </c>
      <c r="L798" s="172">
        <f t="shared" si="2328"/>
        <v>3.1775757891464439E-2</v>
      </c>
      <c r="M798" s="172">
        <f t="shared" si="2332"/>
        <v>2.7854358691096713E-5</v>
      </c>
      <c r="N798" s="196"/>
      <c r="O798" s="172"/>
      <c r="P798" s="166">
        <f>IFERROR(INDEX('Non-Labor Expenditures'!$F$7:$AB$91,MATCH($C798,'Non-Labor Expenditures'!$D$7:$D$91,0),MATCH($G798,'Non-Labor Expenditures'!$F$5:$AB$5,0)),"NA")</f>
        <v>3942.0154963251489</v>
      </c>
      <c r="Q798" s="166">
        <f t="shared" si="2322"/>
        <v>37.281677917881787</v>
      </c>
      <c r="R798" s="172">
        <f t="shared" si="2333"/>
        <v>4.2534747788216837E-2</v>
      </c>
      <c r="S798" s="172">
        <f t="shared" si="2338"/>
        <v>3.728559758590614E-5</v>
      </c>
      <c r="T798" s="172"/>
      <c r="U798" s="172"/>
      <c r="V798" s="166">
        <f t="shared" si="2303"/>
        <v>3765.5347194644241</v>
      </c>
      <c r="W798" s="170"/>
      <c r="X798" s="174">
        <v>189.83191352576407</v>
      </c>
      <c r="Y798" s="175">
        <v>1.4524190446008603E-2</v>
      </c>
      <c r="Z798" s="175">
        <f t="shared" si="2339"/>
        <v>1.2731781623046559E-5</v>
      </c>
      <c r="AA798" s="175"/>
      <c r="AB798" s="175"/>
      <c r="AC798" s="170">
        <f t="shared" si="2271"/>
        <v>10429.585499120718</v>
      </c>
      <c r="AD798" s="175">
        <f t="shared" si="2334"/>
        <v>3.1047513069174103E-2</v>
      </c>
      <c r="AE798" s="170"/>
      <c r="AF798" s="170"/>
      <c r="AG798" s="121">
        <f t="shared" si="2335"/>
        <v>212.33301775526206</v>
      </c>
      <c r="AH798" s="119">
        <f>+AZ798/$BB$54</f>
        <v>1.318305326613181E-3</v>
      </c>
      <c r="AI798" s="119"/>
      <c r="AJ798" s="176">
        <f t="shared" si="2340"/>
        <v>0.27991974832261313</v>
      </c>
      <c r="AK798" s="176">
        <f t="shared" si="2341"/>
        <v>0</v>
      </c>
      <c r="AL798" s="120">
        <f t="shared" si="2323"/>
        <v>0.26099170322354909</v>
      </c>
      <c r="AM798" s="120">
        <f t="shared" si="2324"/>
        <v>0.37796473279379</v>
      </c>
      <c r="AN798" s="120">
        <f t="shared" si="2325"/>
        <v>0.36104356398266096</v>
      </c>
      <c r="AO798" s="120">
        <f t="shared" si="2329"/>
        <v>2.9450154642909596E-2</v>
      </c>
      <c r="AP798" s="173">
        <f t="shared" si="2345"/>
        <v>104.33223451943161</v>
      </c>
      <c r="AQ798" s="175">
        <f t="shared" si="2346"/>
        <v>2.9450154642909614E-2</v>
      </c>
      <c r="AR798" s="177">
        <f>+AC798/$AE$54</f>
        <v>8.7659148166467226E-4</v>
      </c>
      <c r="AS798" s="177">
        <f t="shared" si="2342"/>
        <v>2.5815754693681866E-5</v>
      </c>
      <c r="AT798" s="177"/>
      <c r="AU798" s="177"/>
      <c r="AV798" s="177"/>
      <c r="AW798" s="190"/>
      <c r="AX798" s="120"/>
      <c r="AY798" s="120"/>
      <c r="AZ798" s="118">
        <f>IFERROR(INDEX('Total Customers'!$F$7:$AB$91,MATCH($C798,'Total Customers'!$D$7:$D$91,0),MATCH($G798,'Total Customers'!$F$5:$AB$5,0)),"NA")</f>
        <v>49119</v>
      </c>
      <c r="BA798" s="119">
        <f t="shared" si="2304"/>
        <v>7.9715899200965643E-3</v>
      </c>
      <c r="BB798" s="119"/>
      <c r="BC798" s="121"/>
      <c r="BD798" s="119"/>
      <c r="BE798" s="119"/>
      <c r="BF798" s="119"/>
      <c r="BG798" s="173"/>
      <c r="BH798" s="173"/>
      <c r="BI798" s="173"/>
      <c r="BJ798" s="173"/>
      <c r="BK798" s="173"/>
      <c r="BL798" s="173"/>
      <c r="BM798" s="173"/>
      <c r="BN798" s="173"/>
      <c r="BO798" s="173"/>
      <c r="BP798" s="173"/>
      <c r="BQ798" s="118"/>
      <c r="BR798" s="118"/>
      <c r="BS798" s="118">
        <f>INDEX('Dist. Plant Gas Additions'!$F$7:$AE$91,MATCH($C798,'Dist. Plant Gas Additions'!$D$7:$D$91,0),MATCH(Calculation!$G798,'Dist. Plant Gas Additions'!$F$5:$AE$5,0))</f>
        <v>2458</v>
      </c>
      <c r="BT798" s="118">
        <f>INDEX('Gen. Plant Additions'!$F$7:$AE$91,MATCH($C798,'Gen. Plant Additions'!$D$7:$D$91,0),MATCH(Calculation!$G798,'Gen. Plant Additions'!$F$5:$AE$5,0))</f>
        <v>484</v>
      </c>
      <c r="BU798" s="118"/>
      <c r="BV798" s="118"/>
      <c r="BW798" s="118">
        <f>INDEX('Dist Plant Depreciation'!$E$7:$AD$94,MATCH($C798,'Dist Plant Depreciation'!$D$7:$D$94,0),MATCH(Calculation!$G798,'Dist Plant Depreciation'!$E$5:$AD$5,0))</f>
        <v>50183</v>
      </c>
      <c r="BX798" s="118">
        <f>INDEX('Gen. Plant Depreciation'!$E$7:$AD$94,MATCH($C798,'Gen. Plant Depreciation'!$D$7:$D$94,0),MATCH(Calculation!$G798,'Gen. Plant Depreciation'!$E$5:$AD$5,0))</f>
        <v>3495</v>
      </c>
      <c r="BY798" s="118"/>
      <c r="BZ798" s="118"/>
      <c r="CA798" s="118"/>
      <c r="CB798" s="118"/>
      <c r="CC798" s="118"/>
      <c r="CD798" s="118"/>
      <c r="CE798" s="118">
        <f>INDEX('Gross Dx Plant'!$E$7:$AD$91,MATCH($C798,'Gross Dx Plant'!$D$7:$D$91,0),MATCH(Calculation!$G798,'Gross Dx Plant'!$E$5:$AD$5,0))</f>
        <v>77150</v>
      </c>
      <c r="CF798" s="118">
        <f>INDEX('Gross Gen Plant'!$E$7:$AD$91,MATCH($C798,'Gross Gen Plant'!$D$7:$D$91,0),MATCH(Calculation!$G798,'Gross Gen Plant'!$E$5:$AD$5,0))</f>
        <v>4566</v>
      </c>
      <c r="CG798" s="118">
        <f t="shared" si="2347"/>
        <v>28038</v>
      </c>
      <c r="CH798" s="118"/>
      <c r="CI798" s="121">
        <v>2016</v>
      </c>
      <c r="CJ798" s="118"/>
      <c r="CK798" s="118"/>
      <c r="CL798" s="118"/>
      <c r="CM798" s="183"/>
      <c r="CN798" s="118">
        <f t="shared" si="2305"/>
        <v>2942</v>
      </c>
      <c r="CO798" s="118">
        <f t="shared" si="2306"/>
        <v>4.3815205676851052</v>
      </c>
      <c r="CP798" s="186">
        <v>0.88</v>
      </c>
      <c r="CQ798" s="118">
        <f>+CQ780*CP798+CO781*CP797+CO782*CP796+CO783*CP795+CO784*CP794+CO785*CP793+CO786*CP792+CO787*CP791+CO788*CP790+CO789*CP789+CO790*CP788+CO791*CP787+CO792*CP786+CO793*CP785+CO794*CP784+CO795*CP783+CO796*CP782+CO797*CP781+CO798</f>
        <v>189.83191352576407</v>
      </c>
      <c r="CR798" s="119">
        <f t="shared" si="2307"/>
        <v>1.4524190446008603E-2</v>
      </c>
      <c r="CS798" s="119"/>
      <c r="CT798" s="177">
        <f t="shared" si="2308"/>
        <v>8.7885545166984762E-3</v>
      </c>
      <c r="CU798" s="177">
        <f t="shared" si="2316"/>
        <v>8.4688067555207022E-3</v>
      </c>
      <c r="CV798" s="119">
        <f>VLOOKUP($H798,RoR!$E:$F,2,FALSE)</f>
        <v>3.6658333333333334E-2</v>
      </c>
      <c r="CW798" s="177">
        <v>1.0483662879041455E-2</v>
      </c>
      <c r="CX798" s="177">
        <f t="shared" si="2314"/>
        <v>2.6174670454291879E-2</v>
      </c>
      <c r="CY798" s="177">
        <f t="shared" si="2317"/>
        <v>2.2433134853012925E-2</v>
      </c>
      <c r="CZ798" s="177">
        <f t="shared" si="2318"/>
        <v>4.301363574220729E-3</v>
      </c>
      <c r="DA798" s="187">
        <f t="shared" si="2309"/>
        <v>0.86875000000000002</v>
      </c>
      <c r="DB798" s="188">
        <f t="shared" si="2310"/>
        <v>1.3989193348138562</v>
      </c>
      <c r="DC798" s="188">
        <f t="shared" si="2311"/>
        <v>0.29302682427824522</v>
      </c>
      <c r="DD798" s="188">
        <f t="shared" si="2312"/>
        <v>0.76309497491941802</v>
      </c>
      <c r="DE798" s="188">
        <f t="shared" si="2313"/>
        <v>0.31280857135128509</v>
      </c>
      <c r="DF798" s="189">
        <f>INDEX('State Tax Lookup'!$D$7:$Z$91,MATCH(Calculation!$C798,'State Tax Lookup'!$B$7:$B$91,0),MATCH($H798,'State Tax Lookup'!$D$6:$Z$6,0))</f>
        <v>0.35</v>
      </c>
      <c r="DG798" s="189">
        <v>0.375</v>
      </c>
      <c r="DH798" s="190">
        <f t="shared" si="2315"/>
        <v>20.126358605999869</v>
      </c>
      <c r="DI798" s="190">
        <v>19.679125801276026</v>
      </c>
      <c r="DJ798" s="177"/>
      <c r="DK798" s="189">
        <f>VLOOKUP($H798,RoR!$E:$F,2,FALSE)</f>
        <v>3.6658333333333334E-2</v>
      </c>
      <c r="DL798" s="191">
        <f>HLOOKUP($H798,'GDP-PI'!$D$8:$CQ$11,3,FALSE)</f>
        <v>1.0483662879041455E-2</v>
      </c>
      <c r="DM798" s="189">
        <f>VLOOKUP(H798,'HW Dx Data'!$E:$F,2,FALSE)</f>
        <v>671.45639385971219</v>
      </c>
      <c r="DN798" s="183">
        <f>VLOOKUP(H798,'ECI - Input Price'!$G$17:$H$37,2,FALSE)</f>
        <v>126.4</v>
      </c>
      <c r="DO798" s="177">
        <f t="shared" ref="DO798" si="2364">LN(DN798/DN797)</f>
        <v>2.11880802639575E-2</v>
      </c>
      <c r="DP798" s="183">
        <f>HLOOKUP(H798,'GDP-PI'!$8:$9,2,FALSE)</f>
        <v>105.736</v>
      </c>
      <c r="DQ798" s="177">
        <f t="shared" ref="DQ798" si="2365">LN(DP798/DP797)</f>
        <v>1.0429090367205095E-2</v>
      </c>
    </row>
    <row r="799" spans="1:121" s="167" customFormat="1" ht="21" x14ac:dyDescent="0.35">
      <c r="A799" s="167" t="s">
        <v>81</v>
      </c>
      <c r="B799" s="168" t="s">
        <v>81</v>
      </c>
      <c r="C799" s="168">
        <v>4064479</v>
      </c>
      <c r="D799" s="168" t="s">
        <v>138</v>
      </c>
      <c r="E799" s="168"/>
      <c r="F799" s="168"/>
      <c r="G799" s="168" t="s">
        <v>23</v>
      </c>
      <c r="H799" s="169">
        <v>2017</v>
      </c>
      <c r="I799" s="170"/>
      <c r="J799" s="166">
        <f>IFERROR(INDEX('Labor Expenditures'!$F$7:$X$91,MATCH($C799,'Labor Expenditures'!$D$7:$D$91,0),MATCH($G799,'Labor Expenditures'!$F$5:$X$5,0)),"NA")</f>
        <v>2866.6461369921954</v>
      </c>
      <c r="K799" s="166">
        <f t="shared" si="2321"/>
        <v>22.136263606117339</v>
      </c>
      <c r="L799" s="172">
        <f t="shared" si="2328"/>
        <v>2.7533487197426699E-2</v>
      </c>
      <c r="M799" s="172">
        <f t="shared" si="2332"/>
        <v>2.4406750186889744E-5</v>
      </c>
      <c r="N799" s="196"/>
      <c r="O799" s="172"/>
      <c r="P799" s="166">
        <f>IFERROR(INDEX('Non-Labor Expenditures'!$F$7:$AB$91,MATCH($C799,'Non-Labor Expenditures'!$D$7:$D$91,0),MATCH($G799,'Non-Labor Expenditures'!$F$5:$AB$5,0)),"NA")</f>
        <v>4151.439022008125</v>
      </c>
      <c r="Q799" s="166">
        <f t="shared" si="2322"/>
        <v>38.528078829970255</v>
      </c>
      <c r="R799" s="172">
        <f t="shared" si="2333"/>
        <v>3.2885298396516917E-2</v>
      </c>
      <c r="S799" s="172">
        <f t="shared" si="2338"/>
        <v>2.9150803057744462E-5</v>
      </c>
      <c r="T799" s="172"/>
      <c r="U799" s="172"/>
      <c r="V799" s="166">
        <f t="shared" si="2303"/>
        <v>3483.8841196107919</v>
      </c>
      <c r="W799" s="170"/>
      <c r="X799" s="174">
        <v>192.10470567137449</v>
      </c>
      <c r="Y799" s="175">
        <v>1.1901550462249522E-2</v>
      </c>
      <c r="Z799" s="175">
        <f t="shared" si="2339"/>
        <v>1.0549995606656557E-5</v>
      </c>
      <c r="AA799" s="175"/>
      <c r="AB799" s="175"/>
      <c r="AC799" s="170">
        <f t="shared" si="2271"/>
        <v>10501.969278611112</v>
      </c>
      <c r="AD799" s="175">
        <f t="shared" si="2334"/>
        <v>6.9162629147030176E-3</v>
      </c>
      <c r="AE799" s="170"/>
      <c r="AF799" s="170"/>
      <c r="AG799" s="121">
        <f t="shared" si="2335"/>
        <v>212.4528499476273</v>
      </c>
      <c r="AH799" s="119">
        <f>+AZ799/$BB$55</f>
        <v>1.3167380765164206E-3</v>
      </c>
      <c r="AI799" s="119"/>
      <c r="AJ799" s="176">
        <f t="shared" si="2340"/>
        <v>0.27974475699047052</v>
      </c>
      <c r="AK799" s="176">
        <f t="shared" si="2341"/>
        <v>0</v>
      </c>
      <c r="AL799" s="120">
        <f t="shared" si="2323"/>
        <v>0.27296272355610146</v>
      </c>
      <c r="AM799" s="120">
        <f t="shared" si="2324"/>
        <v>0.39530100611350805</v>
      </c>
      <c r="AN799" s="120">
        <f t="shared" si="2325"/>
        <v>0.33173627033039049</v>
      </c>
      <c r="AO799" s="120">
        <f t="shared" si="2329"/>
        <v>2.4187928047411052E-2</v>
      </c>
      <c r="AP799" s="173">
        <f t="shared" si="2345"/>
        <v>106.88658276160444</v>
      </c>
      <c r="AQ799" s="175">
        <f t="shared" si="2346"/>
        <v>2.4187928047411142E-2</v>
      </c>
      <c r="AR799" s="177">
        <f>+AC799/$AE$55</f>
        <v>8.8643875771648778E-4</v>
      </c>
      <c r="AS799" s="177">
        <f t="shared" si="2342"/>
        <v>2.1441116890082923E-5</v>
      </c>
      <c r="AT799" s="177"/>
      <c r="AU799" s="177"/>
      <c r="AV799" s="177"/>
      <c r="AW799" s="190"/>
      <c r="AX799" s="120"/>
      <c r="AY799" s="120"/>
      <c r="AZ799" s="118">
        <f>IFERROR(INDEX('Total Customers'!$F$7:$AB$91,MATCH($C799,'Total Customers'!$D$7:$D$91,0),MATCH($G799,'Total Customers'!$F$5:$AB$5,0)),"NA")</f>
        <v>49432</v>
      </c>
      <c r="BA799" s="119">
        <f t="shared" si="2304"/>
        <v>6.3520624332133709E-3</v>
      </c>
      <c r="BB799" s="119"/>
      <c r="BC799" s="121"/>
      <c r="BD799" s="119"/>
      <c r="BE799" s="119"/>
      <c r="BF799" s="119"/>
      <c r="BG799" s="173"/>
      <c r="BH799" s="173"/>
      <c r="BI799" s="173"/>
      <c r="BJ799" s="173"/>
      <c r="BK799" s="173"/>
      <c r="BL799" s="173"/>
      <c r="BM799" s="173"/>
      <c r="BN799" s="173"/>
      <c r="BO799" s="173"/>
      <c r="BP799" s="173"/>
      <c r="BQ799" s="118"/>
      <c r="BR799" s="118"/>
      <c r="BS799" s="118">
        <f>INDEX('Dist. Plant Gas Additions'!$F$7:$AE$91,MATCH($C799,'Dist. Plant Gas Additions'!$D$7:$D$91,0),MATCH(Calculation!$G799,'Dist. Plant Gas Additions'!$F$5:$AE$5,0))</f>
        <v>2541</v>
      </c>
      <c r="BT799" s="118">
        <f>INDEX('Gen. Plant Additions'!$F$7:$AE$91,MATCH($C799,'Gen. Plant Additions'!$D$7:$D$91,0),MATCH(Calculation!$G799,'Gen. Plant Additions'!$F$5:$AE$5,0))</f>
        <v>311</v>
      </c>
      <c r="BU799" s="118"/>
      <c r="BV799" s="118"/>
      <c r="BW799" s="118">
        <f>INDEX('Dist Plant Depreciation'!$E$7:$AD$94,MATCH($C799,'Dist Plant Depreciation'!$D$7:$D$94,0),MATCH(Calculation!$G799,'Dist Plant Depreciation'!$E$5:$AD$5,0))</f>
        <v>52807</v>
      </c>
      <c r="BX799" s="118">
        <f>INDEX('Gen. Plant Depreciation'!$E$7:$AD$94,MATCH($C799,'Gen. Plant Depreciation'!$D$7:$D$94,0),MATCH(Calculation!$G799,'Gen. Plant Depreciation'!$E$5:$AD$5,0))</f>
        <v>2913</v>
      </c>
      <c r="BY799" s="118"/>
      <c r="BZ799" s="118"/>
      <c r="CA799" s="118"/>
      <c r="CB799" s="118"/>
      <c r="CC799" s="118"/>
      <c r="CD799" s="118"/>
      <c r="CE799" s="118">
        <f>INDEX('Gross Dx Plant'!$E$7:$AD$91,MATCH($C799,'Gross Dx Plant'!$D$7:$D$91,0),MATCH(Calculation!$G799,'Gross Dx Plant'!$E$5:$AD$5,0))</f>
        <v>79539</v>
      </c>
      <c r="CF799" s="118">
        <f>INDEX('Gross Gen Plant'!$E$7:$AD$91,MATCH($C799,'Gross Gen Plant'!$D$7:$D$91,0),MATCH(Calculation!$G799,'Gross Gen Plant'!$E$5:$AD$5,0))</f>
        <v>4507</v>
      </c>
      <c r="CG799" s="118">
        <f t="shared" si="2347"/>
        <v>28326</v>
      </c>
      <c r="CH799" s="118"/>
      <c r="CI799" s="121">
        <v>2017</v>
      </c>
      <c r="CJ799" s="118"/>
      <c r="CK799" s="118"/>
      <c r="CL799" s="118"/>
      <c r="CM799" s="183"/>
      <c r="CN799" s="118">
        <f t="shared" si="2305"/>
        <v>2852</v>
      </c>
      <c r="CO799" s="118">
        <f t="shared" si="2306"/>
        <v>4.003208272721082</v>
      </c>
      <c r="CP799" s="186">
        <v>0.87074829931972786</v>
      </c>
      <c r="CQ799" s="118">
        <f>+CQ780*CP799+CO781*CP798+CO782*CP797+CO783*CP796+CO784*CP795+CO785*CP794+CO786*CP793+CO787*CP792+CO788*CP791+CO789*CP790+CO790*CP789+CO791*CP788+CO792*CP787+CO793*CP786+CO794*CP785+CO795*CP784+CO796*CP783+CO797*CP782+CO798*CP781+CO799</f>
        <v>192.10470567137449</v>
      </c>
      <c r="CR799" s="119">
        <f t="shared" si="2307"/>
        <v>1.1901550462249522E-2</v>
      </c>
      <c r="CS799" s="119"/>
      <c r="CT799" s="177">
        <f t="shared" si="2308"/>
        <v>9.1155174858193969E-3</v>
      </c>
      <c r="CU799" s="177">
        <f t="shared" si="2316"/>
        <v>8.7919670324620065E-3</v>
      </c>
      <c r="CV799" s="119">
        <f>VLOOKUP($H799,RoR!$E:$F,2,FALSE)</f>
        <v>3.7433333333333339E-2</v>
      </c>
      <c r="CW799" s="177">
        <v>1.9056896421275615E-2</v>
      </c>
      <c r="CX799" s="177">
        <f t="shared" si="2314"/>
        <v>1.8376436912057724E-2</v>
      </c>
      <c r="CY799" s="177">
        <f t="shared" si="2317"/>
        <v>2.2109974576071618E-2</v>
      </c>
      <c r="CZ799" s="177">
        <f t="shared" si="2318"/>
        <v>1.3976271617800498E-2</v>
      </c>
      <c r="DA799" s="187">
        <f t="shared" si="2309"/>
        <v>0.92125000000000001</v>
      </c>
      <c r="DB799" s="188">
        <f t="shared" si="2310"/>
        <v>1.3699568463593395</v>
      </c>
      <c r="DC799" s="188">
        <f t="shared" si="2311"/>
        <v>0.30714603739982199</v>
      </c>
      <c r="DD799" s="188">
        <f t="shared" si="2312"/>
        <v>0.77007188472689425</v>
      </c>
      <c r="DE799" s="188">
        <f t="shared" si="2313"/>
        <v>0.32402839633793828</v>
      </c>
      <c r="DF799" s="189">
        <f>INDEX('State Tax Lookup'!$D$7:$Z$91,MATCH(Calculation!$C799,'State Tax Lookup'!$B$7:$B$91,0),MATCH($H799,'State Tax Lookup'!$D$6:$Z$6,0))</f>
        <v>0.20999999999999996</v>
      </c>
      <c r="DG799" s="189">
        <v>0.375</v>
      </c>
      <c r="DH799" s="190">
        <f t="shared" si="2315"/>
        <v>18.352468006587088</v>
      </c>
      <c r="DI799" s="190">
        <v>17.970399790556424</v>
      </c>
      <c r="DJ799" s="177"/>
      <c r="DK799" s="189">
        <f>VLOOKUP($H799,RoR!$E:$F,2,FALSE)</f>
        <v>3.7433333333333339E-2</v>
      </c>
      <c r="DL799" s="191">
        <f>HLOOKUP($H799,'GDP-PI'!$D$8:$CQ$11,3,FALSE)</f>
        <v>1.9056896421275615E-2</v>
      </c>
      <c r="DM799" s="189">
        <f>VLOOKUP(H799,'HW Dx Data'!$E:$F,2,FALSE)</f>
        <v>712.42858370229726</v>
      </c>
      <c r="DN799" s="183">
        <f>VLOOKUP(H799,'ECI - Input Price'!$G$17:$H$37,2,FALSE)</f>
        <v>129.5</v>
      </c>
      <c r="DO799" s="177">
        <f t="shared" ref="DO799" si="2366">LN(DN799/DN798)</f>
        <v>2.4229399426835413E-2</v>
      </c>
      <c r="DP799" s="183">
        <f>HLOOKUP(H799,'GDP-PI'!$8:$9,2,FALSE)</f>
        <v>107.751</v>
      </c>
      <c r="DQ799" s="177">
        <f t="shared" ref="DQ799" si="2367">LN(DP799/DP798)</f>
        <v>1.8877588227745139E-2</v>
      </c>
    </row>
    <row r="800" spans="1:121" s="167" customFormat="1" ht="21" x14ac:dyDescent="0.35">
      <c r="A800" s="167" t="s">
        <v>81</v>
      </c>
      <c r="B800" s="168" t="s">
        <v>81</v>
      </c>
      <c r="C800" s="168">
        <v>4064479</v>
      </c>
      <c r="D800" s="168" t="s">
        <v>138</v>
      </c>
      <c r="E800" s="168"/>
      <c r="F800" s="168"/>
      <c r="G800" s="168" t="s">
        <v>24</v>
      </c>
      <c r="H800" s="169">
        <v>2018</v>
      </c>
      <c r="I800" s="170"/>
      <c r="J800" s="166">
        <f>IFERROR(INDEX('Labor Expenditures'!$F$7:$X$91,MATCH($C800,'Labor Expenditures'!$D$7:$D$91,0),MATCH($G800,'Labor Expenditures'!$F$5:$X$5,0)),"NA")</f>
        <v>2862.0642531867579</v>
      </c>
      <c r="K800" s="166">
        <f t="shared" si="2321"/>
        <v>21.478906215285239</v>
      </c>
      <c r="L800" s="172">
        <f t="shared" si="2328"/>
        <v>-3.0145803625867079E-2</v>
      </c>
      <c r="M800" s="172">
        <f t="shared" si="2332"/>
        <v>-2.499797985977796E-5</v>
      </c>
      <c r="N800" s="196"/>
      <c r="O800" s="172"/>
      <c r="P800" s="166">
        <f>IFERROR(INDEX('Non-Labor Expenditures'!$F$7:$AB$91,MATCH($C800,'Non-Labor Expenditures'!$D$7:$D$91,0),MATCH($G800,'Non-Labor Expenditures'!$F$5:$AB$5,0)),"NA")</f>
        <v>4144.8035984800026</v>
      </c>
      <c r="Q800" s="166">
        <f t="shared" si="2322"/>
        <v>37.570054916335842</v>
      </c>
      <c r="R800" s="172">
        <f t="shared" si="2333"/>
        <v>-2.5179974436014153E-2</v>
      </c>
      <c r="S800" s="172">
        <f t="shared" si="2338"/>
        <v>-2.0880136473824087E-5</v>
      </c>
      <c r="T800" s="172"/>
      <c r="U800" s="172"/>
      <c r="V800" s="166">
        <f t="shared" si="2303"/>
        <v>3675.4162623549573</v>
      </c>
      <c r="W800" s="170"/>
      <c r="X800" s="174">
        <v>193.80540569191936</v>
      </c>
      <c r="Y800" s="175">
        <v>8.8140267935578834E-3</v>
      </c>
      <c r="Z800" s="175">
        <f t="shared" si="2339"/>
        <v>7.3089066393255212E-6</v>
      </c>
      <c r="AA800" s="175"/>
      <c r="AB800" s="175"/>
      <c r="AC800" s="170">
        <f t="shared" si="2271"/>
        <v>10682.284114021717</v>
      </c>
      <c r="AD800" s="175">
        <f t="shared" si="2334"/>
        <v>1.7023889097539859E-2</v>
      </c>
      <c r="AE800" s="170"/>
      <c r="AF800" s="170"/>
      <c r="AG800" s="121">
        <f t="shared" si="2335"/>
        <v>215.0045107886184</v>
      </c>
      <c r="AH800" s="119">
        <f>+AZ800/$BB$56</f>
        <v>1.3119548385873581E-3</v>
      </c>
      <c r="AI800" s="119"/>
      <c r="AJ800" s="176">
        <f t="shared" si="2340"/>
        <v>0.28207620824723578</v>
      </c>
      <c r="AK800" s="176">
        <f t="shared" si="2341"/>
        <v>0</v>
      </c>
      <c r="AL800" s="120">
        <f t="shared" si="2323"/>
        <v>0.26792624336119014</v>
      </c>
      <c r="AM800" s="120">
        <f t="shared" si="2324"/>
        <v>0.38800724210653365</v>
      </c>
      <c r="AN800" s="120">
        <f t="shared" si="2325"/>
        <v>0.34406651453227632</v>
      </c>
      <c r="AO800" s="120">
        <f t="shared" si="2329"/>
        <v>-1.5036335196422942E-2</v>
      </c>
      <c r="AP800" s="173">
        <f t="shared" si="2345"/>
        <v>105.29142300778464</v>
      </c>
      <c r="AQ800" s="175">
        <f t="shared" si="2346"/>
        <v>-1.5036335196422937E-2</v>
      </c>
      <c r="AR800" s="177">
        <f>+AC800/$AE$56</f>
        <v>8.2923580907055502E-4</v>
      </c>
      <c r="AS800" s="177">
        <f t="shared" si="2342"/>
        <v>-1.2468667582061837E-5</v>
      </c>
      <c r="AT800" s="177"/>
      <c r="AU800" s="177"/>
      <c r="AV800" s="177"/>
      <c r="AW800" s="190"/>
      <c r="AX800" s="120"/>
      <c r="AY800" s="120"/>
      <c r="AZ800" s="118">
        <f>IFERROR(INDEX('Total Customers'!$F$7:$AB$91,MATCH($C800,'Total Customers'!$D$7:$D$91,0),MATCH($G800,'Total Customers'!$F$5:$AB$5,0)),"NA")</f>
        <v>49684</v>
      </c>
      <c r="BA800" s="119">
        <f t="shared" si="2304"/>
        <v>5.0849619232689117E-3</v>
      </c>
      <c r="BB800" s="119"/>
      <c r="BC800" s="121"/>
      <c r="BD800" s="119"/>
      <c r="BE800" s="119"/>
      <c r="BF800" s="119"/>
      <c r="BG800" s="173"/>
      <c r="BH800" s="173"/>
      <c r="BI800" s="173"/>
      <c r="BJ800" s="173"/>
      <c r="BK800" s="173"/>
      <c r="BL800" s="173"/>
      <c r="BM800" s="173"/>
      <c r="BN800" s="173"/>
      <c r="BO800" s="173"/>
      <c r="BP800" s="173"/>
      <c r="BQ800" s="118"/>
      <c r="BR800" s="118"/>
      <c r="BS800" s="118">
        <f>INDEX('Dist. Plant Gas Additions'!$F$7:$AE$91,MATCH($C800,'Dist. Plant Gas Additions'!$D$7:$D$91,0),MATCH(Calculation!$G800,'Dist. Plant Gas Additions'!$F$5:$AE$5,0))</f>
        <v>2416</v>
      </c>
      <c r="BT800" s="118">
        <f>INDEX('Gen. Plant Additions'!$F$7:$AE$91,MATCH($C800,'Gen. Plant Additions'!$D$7:$D$91,0),MATCH(Calculation!$G800,'Gen. Plant Additions'!$F$5:$AE$5,0))</f>
        <v>242</v>
      </c>
      <c r="BU800" s="118"/>
      <c r="BV800" s="118"/>
      <c r="BW800" s="118">
        <f>INDEX('Dist Plant Depreciation'!$E$7:$AD$94,MATCH($C800,'Dist Plant Depreciation'!$D$7:$D$94,0),MATCH(Calculation!$G800,'Dist Plant Depreciation'!$E$5:$AD$5,0))</f>
        <v>54935</v>
      </c>
      <c r="BX800" s="118">
        <f>INDEX('Gen. Plant Depreciation'!$E$7:$AD$94,MATCH($C800,'Gen. Plant Depreciation'!$D$7:$D$94,0),MATCH(Calculation!$G800,'Gen. Plant Depreciation'!$E$5:$AD$5,0))</f>
        <v>3071</v>
      </c>
      <c r="BY800" s="118"/>
      <c r="BZ800" s="118"/>
      <c r="CA800" s="118"/>
      <c r="CB800" s="118"/>
      <c r="CC800" s="118"/>
      <c r="CD800" s="118"/>
      <c r="CE800" s="118">
        <f>INDEX('Gross Dx Plant'!$E$7:$AD$91,MATCH($C800,'Gross Dx Plant'!$D$7:$D$91,0),MATCH(Calculation!$G800,'Gross Dx Plant'!$E$5:$AD$5,0))</f>
        <v>81745</v>
      </c>
      <c r="CF800" s="118">
        <f>INDEX('Gross Gen Plant'!$E$7:$AD$91,MATCH($C800,'Gross Gen Plant'!$D$7:$D$91,0),MATCH(Calculation!$G800,'Gross Gen Plant'!$E$5:$AD$5,0))</f>
        <v>4530</v>
      </c>
      <c r="CG800" s="118">
        <f t="shared" si="2347"/>
        <v>28269</v>
      </c>
      <c r="CH800" s="118"/>
      <c r="CI800" s="121">
        <v>2018</v>
      </c>
      <c r="CJ800" s="118"/>
      <c r="CK800" s="118"/>
      <c r="CL800" s="118"/>
      <c r="CM800" s="183"/>
      <c r="CN800" s="118">
        <f t="shared" si="2305"/>
        <v>2658</v>
      </c>
      <c r="CO800" s="118">
        <f t="shared" si="2306"/>
        <v>3.5198924241380247</v>
      </c>
      <c r="CP800" s="186">
        <v>0.86111111111111116</v>
      </c>
      <c r="CQ800" s="118">
        <f>+CQ780*CP800++CO781*CP799+CO782*CP798+CO783*CP797+CO784*CP796+CO785*CP795+CO786*CP794+CO787*CP793+CO788*CP792+CO789*CP791+CO790*CP790+CO791*CP789+CO792*CP788+CO793*CP787+CO794*CP786+CO795*CP785+CO796*CP784+CO797*CP783+CO798*CP782+CO799*CP781+CO800</f>
        <v>193.80540569191936</v>
      </c>
      <c r="CR800" s="119">
        <f t="shared" si="2307"/>
        <v>8.8140267935578834E-3</v>
      </c>
      <c r="CS800" s="119"/>
      <c r="CT800" s="177">
        <f t="shared" si="2308"/>
        <v>9.4697961574411894E-3</v>
      </c>
      <c r="CU800" s="177">
        <f t="shared" si="2316"/>
        <v>9.1246227199863542E-3</v>
      </c>
      <c r="CV800" s="119">
        <f>VLOOKUP($H800,RoR!$E:$F,2,FALSE)</f>
        <v>3.9299999999999995E-2</v>
      </c>
      <c r="CW800" s="177">
        <v>2.386056741932796E-2</v>
      </c>
      <c r="CX800" s="177">
        <f t="shared" si="2314"/>
        <v>1.5439432580672034E-2</v>
      </c>
      <c r="CY800" s="177">
        <f t="shared" si="2317"/>
        <v>2.1777318888547271E-2</v>
      </c>
      <c r="CZ800" s="177">
        <f t="shared" si="2318"/>
        <v>3.8270792163076606E-2</v>
      </c>
      <c r="DA800" s="187">
        <f t="shared" si="2309"/>
        <v>0.92125000000000001</v>
      </c>
      <c r="DB800" s="188">
        <f t="shared" si="2310"/>
        <v>1.3048868010700074</v>
      </c>
      <c r="DC800" s="188">
        <f t="shared" si="2311"/>
        <v>0.33886768447837151</v>
      </c>
      <c r="DD800" s="188">
        <f t="shared" si="2312"/>
        <v>0.78602506232557801</v>
      </c>
      <c r="DE800" s="188">
        <f t="shared" si="2313"/>
        <v>0.34756768162358759</v>
      </c>
      <c r="DF800" s="189">
        <f>INDEX('State Tax Lookup'!$D$7:$Z$91,MATCH(Calculation!$C800,'State Tax Lookup'!$B$7:$B$91,0),MATCH($H800,'State Tax Lookup'!$D$6:$Z$6,0))</f>
        <v>0.20999999999999996</v>
      </c>
      <c r="DG800" s="189">
        <v>0.375</v>
      </c>
      <c r="DH800" s="190">
        <f t="shared" si="2315"/>
        <v>19.132359353249466</v>
      </c>
      <c r="DI800" s="190">
        <v>18.725189462947341</v>
      </c>
      <c r="DJ800" s="177"/>
      <c r="DK800" s="189">
        <f>VLOOKUP($H800,RoR!$E:$F,2,FALSE)</f>
        <v>3.9299999999999995E-2</v>
      </c>
      <c r="DL800" s="191">
        <f>HLOOKUP($H800,'GDP-PI'!$D$8:$CQ$11,3,FALSE)</f>
        <v>2.386056741932796E-2</v>
      </c>
      <c r="DM800" s="189">
        <f>VLOOKUP(H800,'HW Dx Data'!$E:$F,2,FALSE)</f>
        <v>755.13671434174842</v>
      </c>
      <c r="DN800" s="183">
        <f>VLOOKUP(H800,'ECI - Input Price'!$G$17:$H$37,2,FALSE)</f>
        <v>133.25</v>
      </c>
      <c r="DO800" s="177">
        <f t="shared" ref="DO800" si="2368">LN(DN800/DN799)</f>
        <v>2.8546181906361531E-2</v>
      </c>
      <c r="DP800" s="183">
        <f>HLOOKUP(H800,'GDP-PI'!$8:$9,2,FALSE)</f>
        <v>110.322</v>
      </c>
      <c r="DQ800" s="177">
        <f t="shared" ref="DQ800" si="2369">LN(DP800/DP799)</f>
        <v>2.3580352716508712E-2</v>
      </c>
    </row>
    <row r="801" spans="1:121" s="167" customFormat="1" ht="21" x14ac:dyDescent="0.35">
      <c r="A801" s="167" t="s">
        <v>81</v>
      </c>
      <c r="B801" s="168" t="s">
        <v>81</v>
      </c>
      <c r="C801" s="168">
        <v>4064479</v>
      </c>
      <c r="D801" s="168" t="s">
        <v>138</v>
      </c>
      <c r="E801" s="168"/>
      <c r="F801" s="168"/>
      <c r="G801" s="168" t="s">
        <v>25</v>
      </c>
      <c r="H801" s="169">
        <v>2019</v>
      </c>
      <c r="I801" s="170"/>
      <c r="J801" s="166">
        <f>IFERROR(INDEX('Labor Expenditures'!$F$7:$X$91,MATCH($C801,'Labor Expenditures'!$D$7:$D$91,0),MATCH($G801,'Labor Expenditures'!$F$5:$X$5,0)),"NA")</f>
        <v>3121.4905335265867</v>
      </c>
      <c r="K801" s="166">
        <f t="shared" si="2321"/>
        <v>22.809576423285254</v>
      </c>
      <c r="L801" s="172">
        <f t="shared" si="2328"/>
        <v>6.0109119074395964E-2</v>
      </c>
      <c r="M801" s="172">
        <f t="shared" si="2332"/>
        <v>5.1470503338712771E-5</v>
      </c>
      <c r="N801" s="196"/>
      <c r="O801" s="172"/>
      <c r="P801" s="166">
        <f>IFERROR(INDEX('Non-Labor Expenditures'!$F$7:$AB$91,MATCH($C801,'Non-Labor Expenditures'!$D$7:$D$91,0),MATCH($G801,'Non-Labor Expenditures'!$F$5:$AB$5,0)),"NA")</f>
        <v>4520.5013065575022</v>
      </c>
      <c r="Q801" s="166">
        <f t="shared" si="2322"/>
        <v>40.247345096578485</v>
      </c>
      <c r="R801" s="172">
        <f t="shared" si="2333"/>
        <v>6.8836720063728291E-2</v>
      </c>
      <c r="S801" s="172">
        <f t="shared" si="2338"/>
        <v>5.8943812260515441E-5</v>
      </c>
      <c r="T801" s="172"/>
      <c r="U801" s="172"/>
      <c r="V801" s="166">
        <f t="shared" si="2303"/>
        <v>3733.9499776959092</v>
      </c>
      <c r="W801" s="170"/>
      <c r="X801" s="174">
        <v>195.43846767326258</v>
      </c>
      <c r="Y801" s="175">
        <v>8.3909943092449497E-3</v>
      </c>
      <c r="Z801" s="175">
        <f t="shared" si="2339"/>
        <v>7.1850778593938681E-6</v>
      </c>
      <c r="AA801" s="175"/>
      <c r="AB801" s="175"/>
      <c r="AC801" s="170">
        <f t="shared" si="2271"/>
        <v>11375.941817779998</v>
      </c>
      <c r="AD801" s="175">
        <f t="shared" si="2334"/>
        <v>6.2914079557424271E-2</v>
      </c>
      <c r="AE801" s="170"/>
      <c r="AF801" s="170"/>
      <c r="AG801" s="121">
        <f t="shared" si="2335"/>
        <v>227.65087386244016</v>
      </c>
      <c r="AH801" s="119">
        <f>+AZ801/$BB$57</f>
        <v>1.3087378990654065E-3</v>
      </c>
      <c r="AI801" s="119"/>
      <c r="AJ801" s="176">
        <f t="shared" si="2340"/>
        <v>0.29793532637913378</v>
      </c>
      <c r="AK801" s="176">
        <f t="shared" si="2341"/>
        <v>0</v>
      </c>
      <c r="AL801" s="120">
        <f t="shared" si="2323"/>
        <v>0.27439403115158884</v>
      </c>
      <c r="AM801" s="120">
        <f t="shared" si="2324"/>
        <v>0.3973738068431571</v>
      </c>
      <c r="AN801" s="120">
        <f t="shared" si="2325"/>
        <v>0.32823216200525412</v>
      </c>
      <c r="AO801" s="120">
        <f t="shared" si="2329"/>
        <v>4.6151351867997112E-2</v>
      </c>
      <c r="AP801" s="173">
        <f t="shared" si="2345"/>
        <v>110.26464222139428</v>
      </c>
      <c r="AQ801" s="175">
        <f t="shared" si="2346"/>
        <v>4.6151351867997029E-2</v>
      </c>
      <c r="AR801" s="177">
        <f>+AC801/$AE$57</f>
        <v>8.5628443955414928E-4</v>
      </c>
      <c r="AS801" s="177">
        <f t="shared" si="2342"/>
        <v>3.9518684468954175E-5</v>
      </c>
      <c r="AT801" s="177"/>
      <c r="AU801" s="177"/>
      <c r="AV801" s="177"/>
      <c r="AW801" s="190"/>
      <c r="AX801" s="120"/>
      <c r="AY801" s="120"/>
      <c r="AZ801" s="118">
        <f>IFERROR(INDEX('Total Customers'!$F$7:$AB$91,MATCH($C801,'Total Customers'!$D$7:$D$91,0),MATCH($G801,'Total Customers'!$F$5:$AB$5,0)),"NA")</f>
        <v>49971</v>
      </c>
      <c r="BA801" s="119">
        <f t="shared" si="2304"/>
        <v>5.7598874811330405E-3</v>
      </c>
      <c r="BB801" s="119"/>
      <c r="BC801" s="121"/>
      <c r="BD801" s="119"/>
      <c r="BE801" s="119"/>
      <c r="BF801" s="119"/>
      <c r="BG801" s="173"/>
      <c r="BH801" s="173"/>
      <c r="BI801" s="173"/>
      <c r="BJ801" s="173"/>
      <c r="BK801" s="173"/>
      <c r="BL801" s="173"/>
      <c r="BM801" s="173"/>
      <c r="BN801" s="173"/>
      <c r="BO801" s="173"/>
      <c r="BP801" s="173"/>
      <c r="BQ801" s="118"/>
      <c r="BR801" s="118"/>
      <c r="BS801" s="118">
        <f>INDEX('Dist. Plant Gas Additions'!$F$7:$AE$91,MATCH($C801,'Dist. Plant Gas Additions'!$D$7:$D$91,0),MATCH(Calculation!$G801,'Dist. Plant Gas Additions'!$F$5:$AE$5,0))</f>
        <v>2362</v>
      </c>
      <c r="BT801" s="118">
        <f>INDEX('Gen. Plant Additions'!$F$7:$AE$91,MATCH($C801,'Gen. Plant Additions'!$D$7:$D$91,0),MATCH(Calculation!$G801,'Gen. Plant Additions'!$F$5:$AE$5,0))</f>
        <v>379</v>
      </c>
      <c r="BU801" s="118"/>
      <c r="BV801" s="118"/>
      <c r="BW801" s="118">
        <f>INDEX('Dist Plant Depreciation'!$E$7:$AD$94,MATCH($C801,'Dist Plant Depreciation'!$D$7:$D$94,0),MATCH(Calculation!$G801,'Dist Plant Depreciation'!$E$5:$AD$5,0))</f>
        <v>57127</v>
      </c>
      <c r="BX801" s="118">
        <f>INDEX('Gen. Plant Depreciation'!$E$7:$AD$94,MATCH($C801,'Gen. Plant Depreciation'!$D$7:$D$94,0),MATCH(Calculation!$G801,'Gen. Plant Depreciation'!$E$5:$AD$5,0))</f>
        <v>3176</v>
      </c>
      <c r="BY801" s="118"/>
      <c r="BZ801" s="118"/>
      <c r="CA801" s="118"/>
      <c r="CB801" s="118"/>
      <c r="CC801" s="118"/>
      <c r="CD801" s="118"/>
      <c r="CE801" s="118">
        <f>INDEX('Gross Dx Plant'!$E$7:$AD$91,MATCH($C801,'Gross Dx Plant'!$D$7:$D$91,0),MATCH(Calculation!$G801,'Gross Dx Plant'!$E$5:$AD$5,0))</f>
        <v>83901</v>
      </c>
      <c r="CF801" s="118">
        <f>INDEX('Gross Gen Plant'!$E$7:$AD$91,MATCH($C801,'Gross Gen Plant'!$D$7:$D$91,0),MATCH(Calculation!$G801,'Gross Gen Plant'!$E$5:$AD$5,0))</f>
        <v>4618</v>
      </c>
      <c r="CG801" s="118">
        <f t="shared" si="2347"/>
        <v>28216</v>
      </c>
      <c r="CH801" s="118"/>
      <c r="CI801" s="121">
        <v>2019</v>
      </c>
      <c r="CJ801" s="118"/>
      <c r="CK801" s="118"/>
      <c r="CL801" s="118"/>
      <c r="CM801" s="183"/>
      <c r="CN801" s="118">
        <f t="shared" si="2305"/>
        <v>2741</v>
      </c>
      <c r="CO801" s="118">
        <f t="shared" si="2306"/>
        <v>3.5434528113848698</v>
      </c>
      <c r="CP801" s="186">
        <v>0.85106382978723405</v>
      </c>
      <c r="CQ801" s="118">
        <f>CQ780*CP801+CO781*CP800+CO782*CP799+CO783*CP798+CO784*CP797+CO785*CP796+CO786*CP795+CO787*CP794+CO788*CP793+CO789*CP792+CO790*CP791+CO791*CP790+CO792*CP789+CO793*CP788+CO794*CP787+CO795*CP786+CO796*CP785+CO797*CP784+CO798*CP783+CO799*CP782+CO800*CP781+CO801</f>
        <v>195.43846767326258</v>
      </c>
      <c r="CR801" s="119">
        <f t="shared" si="2307"/>
        <v>8.3909943092449497E-3</v>
      </c>
      <c r="CS801" s="119"/>
      <c r="CT801" s="177">
        <f t="shared" si="2308"/>
        <v>9.8572628726284542E-3</v>
      </c>
      <c r="CU801" s="177">
        <f t="shared" si="2316"/>
        <v>9.4808588386296796E-3</v>
      </c>
      <c r="CV801" s="119">
        <f>VLOOKUP($H801,RoR!$E:$F,2,FALSE)</f>
        <v>3.3875000000000009E-2</v>
      </c>
      <c r="CW801" s="177">
        <v>1.8092492884465461E-2</v>
      </c>
      <c r="CX801" s="177">
        <f t="shared" si="2314"/>
        <v>1.5782507115534548E-2</v>
      </c>
      <c r="CY801" s="177">
        <f t="shared" si="2317"/>
        <v>2.1421082769903947E-2</v>
      </c>
      <c r="CZ801" s="177">
        <f t="shared" si="2318"/>
        <v>4.8445665544254078E-2</v>
      </c>
      <c r="DA801" s="187">
        <f t="shared" si="2309"/>
        <v>0.92125000000000001</v>
      </c>
      <c r="DB801" s="188">
        <f t="shared" si="2310"/>
        <v>1.513861292459078</v>
      </c>
      <c r="DC801" s="188">
        <f t="shared" si="2311"/>
        <v>0.23699261992619944</v>
      </c>
      <c r="DD801" s="188">
        <f t="shared" si="2312"/>
        <v>0.73619765810468829</v>
      </c>
      <c r="DE801" s="188">
        <f t="shared" si="2313"/>
        <v>0.26412854465362851</v>
      </c>
      <c r="DF801" s="189">
        <f>INDEX('State Tax Lookup'!$D$7:$Z$91,MATCH(Calculation!$C801,'State Tax Lookup'!$B$7:$B$91,0),MATCH($H801,'State Tax Lookup'!$D$6:$Z$6,0))</f>
        <v>0.20999999999999996</v>
      </c>
      <c r="DG801" s="189">
        <v>0.375</v>
      </c>
      <c r="DH801" s="190">
        <f t="shared" si="2315"/>
        <v>19.266490345638459</v>
      </c>
      <c r="DI801" s="190">
        <v>18.832910769721167</v>
      </c>
      <c r="DJ801" s="177"/>
      <c r="DK801" s="189">
        <f>VLOOKUP($H801,RoR!$E:$F,2,FALSE)</f>
        <v>3.3875000000000009E-2</v>
      </c>
      <c r="DL801" s="191">
        <f>HLOOKUP($H801,'GDP-PI'!$D$8:$CQ$11,3,FALSE)</f>
        <v>1.8092492884465461E-2</v>
      </c>
      <c r="DM801" s="189">
        <f>VLOOKUP(H801,'HW Dx Data'!$E:$F,2,FALSE)</f>
        <v>773.53929793938721</v>
      </c>
      <c r="DN801" s="183">
        <f>VLOOKUP(H801,'ECI - Input Price'!$G$17:$H$37,2,FALSE)</f>
        <v>136.85</v>
      </c>
      <c r="DO801" s="177">
        <f t="shared" ref="DO801" si="2370">LN(DN801/DN800)</f>
        <v>2.6658372440734168E-2</v>
      </c>
      <c r="DP801" s="183">
        <f>HLOOKUP(H801,'GDP-PI'!$8:$9,2,FALSE)</f>
        <v>112.318</v>
      </c>
      <c r="DQ801" s="177">
        <f t="shared" ref="DQ801" si="2371">LN(DP801/DP800)</f>
        <v>1.7930771451401852E-2</v>
      </c>
    </row>
    <row r="802" spans="1:121" s="167" customFormat="1" ht="21" x14ac:dyDescent="0.35">
      <c r="A802" s="167" t="s">
        <v>81</v>
      </c>
      <c r="B802" s="167" t="s">
        <v>81</v>
      </c>
      <c r="C802" s="167">
        <v>4064479</v>
      </c>
      <c r="D802" s="167" t="s">
        <v>138</v>
      </c>
      <c r="G802" s="168" t="s">
        <v>26</v>
      </c>
      <c r="H802" s="169">
        <v>2020</v>
      </c>
      <c r="I802" s="170"/>
      <c r="J802" s="166">
        <f>IFERROR(INDEX('Labor Expenditures'!$F$7:$X$91,MATCH($C802,'Labor Expenditures'!$D$7:$D$91,0),MATCH($G802,'Labor Expenditures'!$F$5:$X$5,0)),"NA")</f>
        <v>2736.6087986368393</v>
      </c>
      <c r="K802" s="166">
        <f t="shared" si="2321"/>
        <v>19.484576707987465</v>
      </c>
      <c r="L802" s="172">
        <f t="shared" si="2328"/>
        <v>-0.15755725178118685</v>
      </c>
      <c r="M802" s="172">
        <f t="shared" si="2332"/>
        <v>-1.2179401758822612E-4</v>
      </c>
      <c r="N802" s="196"/>
      <c r="O802" s="172"/>
      <c r="P802" s="166">
        <f>IFERROR(INDEX('Non-Labor Expenditures'!$F$7:$AB$91,MATCH($C802,'Non-Labor Expenditures'!$D$7:$D$91,0),MATCH($G802,'Non-Labor Expenditures'!$F$5:$AB$5,0)),"NA")</f>
        <v>3963.1206684449871</v>
      </c>
      <c r="Q802" s="166">
        <f t="shared" si="2322"/>
        <v>34.879563719009241</v>
      </c>
      <c r="R802" s="172">
        <f t="shared" si="2333"/>
        <v>-0.14314295044901537</v>
      </c>
      <c r="S802" s="172">
        <f t="shared" si="2338"/>
        <v>-1.1065155572039282E-4</v>
      </c>
      <c r="T802" s="172"/>
      <c r="U802" s="172"/>
      <c r="V802" s="166">
        <f t="shared" si="2303"/>
        <v>3887.9924738362229</v>
      </c>
      <c r="W802" s="170"/>
      <c r="X802" s="174">
        <v>198.19007316957649</v>
      </c>
      <c r="Y802" s="175">
        <v>1.3980949201168463E-2</v>
      </c>
      <c r="Z802" s="175">
        <f t="shared" si="2339"/>
        <v>1.0807474449173722E-5</v>
      </c>
      <c r="AA802" s="175"/>
      <c r="AB802" s="175"/>
      <c r="AC802" s="170">
        <f t="shared" si="2271"/>
        <v>10587.721940918049</v>
      </c>
      <c r="AD802" s="175">
        <f t="shared" si="2334"/>
        <v>-7.18057362760917E-2</v>
      </c>
      <c r="AE802" s="170"/>
      <c r="AF802" s="170"/>
      <c r="AG802" s="121">
        <f t="shared" si="2335"/>
        <v>209.17324102412329</v>
      </c>
      <c r="AH802" s="119">
        <f>+AZ802/$BB$58</f>
        <v>1.3163364170683872E-3</v>
      </c>
      <c r="AI802" s="119"/>
      <c r="AJ802" s="176">
        <f t="shared" si="2340"/>
        <v>0.2753423546362766</v>
      </c>
      <c r="AK802" s="176">
        <f t="shared" si="2341"/>
        <v>0</v>
      </c>
      <c r="AL802" s="120">
        <f t="shared" si="2323"/>
        <v>0.25847002914392281</v>
      </c>
      <c r="AM802" s="120">
        <f t="shared" si="2324"/>
        <v>0.37431287774274036</v>
      </c>
      <c r="AN802" s="120">
        <f t="shared" si="2325"/>
        <v>0.36721709311333689</v>
      </c>
      <c r="AO802" s="120">
        <f t="shared" si="2329"/>
        <v>-9.234753252958304E-2</v>
      </c>
      <c r="AP802" s="173">
        <f t="shared" si="2345"/>
        <v>100.53800168470003</v>
      </c>
      <c r="AQ802" s="175">
        <f t="shared" si="2346"/>
        <v>-9.2347532529583054E-2</v>
      </c>
      <c r="AR802" s="177">
        <f>+AC802/$AE$58</f>
        <v>7.7301435644086904E-4</v>
      </c>
      <c r="AS802" s="177">
        <f t="shared" si="2342"/>
        <v>-7.1385968427257869E-5</v>
      </c>
      <c r="AT802" s="177"/>
      <c r="AU802" s="177"/>
      <c r="AV802" s="177"/>
      <c r="AW802" s="190"/>
      <c r="AX802" s="120"/>
      <c r="AY802" s="120"/>
      <c r="AZ802" s="118">
        <f>IFERROR(INDEX('Total Customers'!$F$7:$AB$91,MATCH($C802,'Total Customers'!$D$7:$D$91,0),MATCH($G802,'Total Customers'!$F$5:$AB$5,0)),"NA")</f>
        <v>50617</v>
      </c>
      <c r="BA802" s="119">
        <f t="shared" si="2304"/>
        <v>1.2844651085047691E-2</v>
      </c>
      <c r="BB802" s="119"/>
      <c r="BC802" s="121"/>
      <c r="BD802" s="119"/>
      <c r="BE802" s="119"/>
      <c r="BF802" s="119"/>
      <c r="BG802" s="173"/>
      <c r="BH802" s="173"/>
      <c r="BI802" s="173"/>
      <c r="BJ802" s="173"/>
      <c r="BK802" s="173"/>
      <c r="BL802" s="173"/>
      <c r="BM802" s="173"/>
      <c r="BN802" s="173"/>
      <c r="BO802" s="173"/>
      <c r="BP802" s="173"/>
      <c r="BQ802" s="118"/>
      <c r="BR802" s="118"/>
      <c r="BS802" s="118">
        <f>INDEX('Dist. Plant Gas Additions'!$F$7:$AE$91,MATCH($C802,'Dist. Plant Gas Additions'!$D$7:$D$91,0),MATCH(Calculation!$G802,'Dist. Plant Gas Additions'!$F$5:$AE$5,0))</f>
        <v>3191</v>
      </c>
      <c r="BT802" s="118">
        <f>INDEX('Gen. Plant Additions'!$F$7:$AE$91,MATCH($C802,'Gen. Plant Additions'!$D$7:$D$91,0),MATCH(Calculation!$G802,'Gen. Plant Additions'!$F$5:$AE$5,0))</f>
        <v>678</v>
      </c>
      <c r="BU802" s="118"/>
      <c r="BV802" s="118"/>
      <c r="BW802" s="118">
        <f>INDEX('Dist Plant Depreciation'!$E$7:$AD$94,MATCH($C802,'Dist Plant Depreciation'!$D$7:$D$94,0),MATCH(Calculation!$G802,'Dist Plant Depreciation'!$E$5:$AD$5,0))</f>
        <v>58845</v>
      </c>
      <c r="BX802" s="118">
        <f>INDEX('Gen. Plant Depreciation'!$E$7:$AD$94,MATCH($C802,'Gen. Plant Depreciation'!$D$7:$D$94,0),MATCH(Calculation!$G802,'Gen. Plant Depreciation'!$E$5:$AD$5,0))</f>
        <v>3218</v>
      </c>
      <c r="BY802" s="118"/>
      <c r="BZ802" s="118"/>
      <c r="CA802" s="118"/>
      <c r="CB802" s="118"/>
      <c r="CC802" s="118"/>
      <c r="CD802" s="118"/>
      <c r="CE802" s="118">
        <f>INDEX('Gross Dx Plant'!$E$7:$AD$91,MATCH($C802,'Gross Dx Plant'!$D$7:$D$91,0),MATCH(Calculation!$G802,'Gross Dx Plant'!$E$5:$AD$5,0))</f>
        <v>86509</v>
      </c>
      <c r="CF802" s="118">
        <f>INDEX('Gross Gen Plant'!$E$7:$AD$91,MATCH($C802,'Gross Gen Plant'!$D$7:$D$91,0),MATCH(Calculation!$G802,'Gross Gen Plant'!$E$5:$AD$5,0))</f>
        <v>4944</v>
      </c>
      <c r="CG802" s="118">
        <f t="shared" si="2347"/>
        <v>29390</v>
      </c>
      <c r="CH802" s="118"/>
      <c r="CI802" s="121">
        <v>2020</v>
      </c>
      <c r="CJ802" s="118"/>
      <c r="CK802" s="118"/>
      <c r="CL802" s="118"/>
      <c r="CM802" s="183"/>
      <c r="CN802" s="118">
        <f t="shared" si="2305"/>
        <v>3869</v>
      </c>
      <c r="CO802" s="118">
        <f t="shared" si="2306"/>
        <v>4.7584484023073079</v>
      </c>
      <c r="CP802" s="186">
        <v>0.84057971014492749</v>
      </c>
      <c r="CQ802" s="118">
        <f>CQ780*CP802+CO781*CP801+CO782*CP800+CO783*CP799+CO784*CP798+CO785*CP797+CO786*CP796+CO787*CP795+CO788*CP794+CO789*CP793+CO790*CP792+CO791*CP791+CO792*CP790+CO793*CP789+CO794*CP788+CO795*CP787+CO796*CP786+CO797*CP785+CO798*CP784+CO799*CP783+CO800*CP782+CO801*CP781+CO802</f>
        <v>198.19007316957649</v>
      </c>
      <c r="CR802" s="119">
        <f t="shared" si="2307"/>
        <v>1.3980949201168463E-2</v>
      </c>
      <c r="CS802" s="119"/>
      <c r="CT802" s="177">
        <f t="shared" si="2308"/>
        <v>1.0268413019633722E-2</v>
      </c>
      <c r="CU802" s="177">
        <f t="shared" si="2316"/>
        <v>9.8651573499011214E-3</v>
      </c>
      <c r="CV802" s="119">
        <f>VLOOKUP($H802,RoR!$E:$F,2,FALSE)</f>
        <v>2.4766666666666666E-2</v>
      </c>
      <c r="CW802" s="177">
        <v>1.1618796630994188E-2</v>
      </c>
      <c r="CX802" s="177">
        <f t="shared" si="2314"/>
        <v>1.3147870035672478E-2</v>
      </c>
      <c r="CY802" s="177">
        <f t="shared" si="2317"/>
        <v>2.1036784258632504E-2</v>
      </c>
      <c r="CZ802" s="177">
        <f t="shared" si="2318"/>
        <v>4.5144642961987357E-2</v>
      </c>
      <c r="DA802" s="187">
        <f t="shared" si="2309"/>
        <v>0.92125000000000001</v>
      </c>
      <c r="DB802" s="188">
        <f t="shared" si="2310"/>
        <v>2.0706077233668081</v>
      </c>
      <c r="DC802" s="188">
        <f t="shared" si="2311"/>
        <v>-3.4421265141318998E-2</v>
      </c>
      <c r="DD802" s="188">
        <f t="shared" si="2312"/>
        <v>0.62416226176410472</v>
      </c>
      <c r="DE802" s="188">
        <f t="shared" si="2313"/>
        <v>-4.4485877841158712E-2</v>
      </c>
      <c r="DF802" s="189">
        <f>INDEX('State Tax Lookup'!$D$7:$Z$91,MATCH(Calculation!$C802,'State Tax Lookup'!$B$7:$B$91,0),MATCH($H802,'State Tax Lookup'!$D$6:$Z$6,0))</f>
        <v>0.20999999999999996</v>
      </c>
      <c r="DG802" s="189">
        <v>0.375</v>
      </c>
      <c r="DH802" s="190">
        <f t="shared" si="2315"/>
        <v>19.89369094080412</v>
      </c>
      <c r="DI802" s="190">
        <v>19.450285987655121</v>
      </c>
      <c r="DJ802" s="177"/>
      <c r="DK802" s="189">
        <f>VLOOKUP($H802,RoR!$E:$F,2,FALSE)</f>
        <v>2.4766666666666666E-2</v>
      </c>
      <c r="DL802" s="191">
        <f>HLOOKUP($H802,'GDP-PI'!$D$8:$CQ$11,3,FALSE)</f>
        <v>1.1618796630994188E-2</v>
      </c>
      <c r="DM802" s="189">
        <f>VLOOKUP(H802,'HW Dx Data'!$E:$F,2,FALSE)</f>
        <v>813.080162458833</v>
      </c>
      <c r="DN802" s="183">
        <f>VLOOKUP(H802,'ECI - Input Price'!$G$17:$H$37,2,FALSE)</f>
        <v>140.44999999999999</v>
      </c>
      <c r="DO802" s="177">
        <f t="shared" ref="DO802" si="2372">LN(DN802/DN801)</f>
        <v>2.5966118063564539E-2</v>
      </c>
      <c r="DP802" s="183">
        <f>HLOOKUP(H802,'GDP-PI'!$8:$9,2,FALSE)</f>
        <v>113.623</v>
      </c>
      <c r="DQ802" s="177">
        <f t="shared" ref="DQ802" si="2373">LN(DP802/DP801)</f>
        <v>1.1551816731392881E-2</v>
      </c>
    </row>
    <row r="803" spans="1:121" s="167" customFormat="1" ht="21" x14ac:dyDescent="0.35">
      <c r="A803" s="167" t="s">
        <v>81</v>
      </c>
      <c r="B803" s="167" t="s">
        <v>81</v>
      </c>
      <c r="C803" s="167">
        <v>4064479</v>
      </c>
      <c r="D803" s="167" t="s">
        <v>138</v>
      </c>
      <c r="G803" s="168" t="s">
        <v>462</v>
      </c>
      <c r="H803" s="169">
        <v>2021</v>
      </c>
      <c r="I803" s="170"/>
      <c r="J803" s="166">
        <f>IFERROR(INDEX('Labor Expenditures'!$E$7:$X$91,MATCH($C803,'Labor Expenditures'!$D$7:$D$91,0),MATCH($G803,'Labor Expenditures'!$E$5:$X$5,0)),"NA")</f>
        <v>2968.2976580963509</v>
      </c>
      <c r="K803" s="166">
        <f t="shared" si="2321"/>
        <v>20.404177062013062</v>
      </c>
      <c r="L803" s="171">
        <f t="shared" si="2328"/>
        <v>4.6116423270696399E-2</v>
      </c>
      <c r="M803" s="172">
        <f t="shared" si="2332"/>
        <v>3.7351546153359749E-5</v>
      </c>
      <c r="N803" s="196"/>
      <c r="O803" s="172"/>
      <c r="P803" s="166">
        <f>IFERROR(INDEX('Non-Labor Expenditures'!$E$7:$AB$91,MATCH($C803,'Non-Labor Expenditures'!$D$7:$D$91,0),MATCH($G803,'Non-Labor Expenditures'!$E$5:$AB$5,0)),"NA")</f>
        <v>4184.2268192442534</v>
      </c>
      <c r="Q803" s="166">
        <f t="shared" si="2322"/>
        <v>35.312910956572317</v>
      </c>
      <c r="R803" s="172">
        <f t="shared" si="2333"/>
        <v>1.2347555640560009E-2</v>
      </c>
      <c r="S803" s="172">
        <f t="shared" si="2338"/>
        <v>1.0000781970500597E-5</v>
      </c>
      <c r="T803" s="172"/>
      <c r="U803" s="172"/>
      <c r="V803" s="166">
        <f t="shared" si="2303"/>
        <v>4792.81994790508</v>
      </c>
      <c r="W803" s="170"/>
      <c r="X803" s="174">
        <v>201.44288763607867</v>
      </c>
      <c r="Y803" s="175"/>
      <c r="Z803" s="175">
        <f t="shared" si="2339"/>
        <v>0</v>
      </c>
      <c r="AA803" s="175"/>
      <c r="AB803" s="175"/>
      <c r="AC803" s="170">
        <f t="shared" si="2271"/>
        <v>11945.344425245685</v>
      </c>
      <c r="AD803" s="175">
        <f t="shared" si="2334"/>
        <v>0.12064659232201098</v>
      </c>
      <c r="AE803" s="118"/>
      <c r="AF803" s="119"/>
      <c r="AG803" s="121">
        <f t="shared" si="2335"/>
        <v>234.42468846152926</v>
      </c>
      <c r="AH803" s="119">
        <f>+AZ803/$BB$59</f>
        <v>1.3073627808640569E-3</v>
      </c>
      <c r="AI803" s="119"/>
      <c r="AJ803" s="176">
        <f t="shared" si="2340"/>
        <v>0.30647811261025509</v>
      </c>
      <c r="AK803" s="176">
        <f t="shared" si="2341"/>
        <v>0</v>
      </c>
      <c r="AL803" s="120">
        <f t="shared" si="2323"/>
        <v>0.24848991811596932</v>
      </c>
      <c r="AM803" s="120">
        <f t="shared" si="2324"/>
        <v>0.35028096891046279</v>
      </c>
      <c r="AN803" s="120">
        <f t="shared" si="2325"/>
        <v>0.40122911297356789</v>
      </c>
      <c r="AO803" s="120">
        <f t="shared" si="2329"/>
        <v>1.6163071173742469E-2</v>
      </c>
      <c r="AP803" s="173">
        <f t="shared" si="2345"/>
        <v>102.17620812094519</v>
      </c>
      <c r="AQ803" s="175">
        <f t="shared" si="2346"/>
        <v>1.6163071173742365E-2</v>
      </c>
      <c r="AR803" s="177">
        <f>+AC803/$AE$59</f>
        <v>8.0994022311990351E-4</v>
      </c>
      <c r="AS803" s="177">
        <f t="shared" si="2342"/>
        <v>1.3091121472763772E-5</v>
      </c>
      <c r="AT803" s="177"/>
      <c r="AU803" s="177"/>
      <c r="AV803" s="177"/>
      <c r="AW803" s="190"/>
      <c r="AX803" s="120"/>
      <c r="AY803" s="120"/>
      <c r="AZ803" s="118">
        <f>INDEX('Total Customers'!$E$7:$E$91,MATCH(Calculation!$C803,'Total Customers'!$D$7:$D$91,0))</f>
        <v>50956</v>
      </c>
      <c r="BA803" s="119">
        <f t="shared" si="2304"/>
        <v>6.6750269994123503E-3</v>
      </c>
      <c r="BB803" s="118"/>
      <c r="BC803" s="121"/>
      <c r="BD803" s="118"/>
      <c r="BE803" s="119"/>
      <c r="BF803" s="119"/>
      <c r="BG803" s="173"/>
      <c r="BH803" s="173"/>
      <c r="BI803" s="173"/>
      <c r="BJ803" s="173"/>
      <c r="BK803" s="173"/>
      <c r="BL803" s="173"/>
      <c r="BM803" s="173"/>
      <c r="BN803" s="173"/>
      <c r="BO803" s="173"/>
      <c r="BP803" s="173"/>
      <c r="BQ803" s="118"/>
      <c r="BR803" s="118"/>
      <c r="BS803" s="118">
        <f>INDEX('Dist. Plant Gas Additions'!$E$7:$AE$91,MATCH($C803,'Dist. Plant Gas Additions'!$D$7:$D$91,0),MATCH(Calculation!$G803,'Dist. Plant Gas Additions'!$E$5:$AE$5,0))</f>
        <v>2084</v>
      </c>
      <c r="BT803" s="118">
        <f>INDEX('Gen. Plant Additions'!$E$7:$AE$91,MATCH($C803,'Gen. Plant Additions'!$D$7:$D$91,0),MATCH(Calculation!$G803,'Gen. Plant Additions'!$E$5:$AE$5,0))</f>
        <v>1998</v>
      </c>
      <c r="BU803" s="118"/>
      <c r="BV803" s="118"/>
      <c r="BW803" s="118"/>
      <c r="BX803" s="118"/>
      <c r="BY803" s="183"/>
      <c r="BZ803" s="183"/>
      <c r="CA803" s="178"/>
      <c r="CB803" s="184"/>
      <c r="CC803" s="185"/>
      <c r="CD803" s="185"/>
      <c r="CE803" s="118"/>
      <c r="CF803" s="118"/>
      <c r="CG803" s="118"/>
      <c r="CH803" s="118"/>
      <c r="CI803" s="121">
        <v>2021</v>
      </c>
      <c r="CJ803" s="118"/>
      <c r="CK803" s="118"/>
      <c r="CL803" s="118"/>
      <c r="CM803" s="183"/>
      <c r="CN803" s="118">
        <f t="shared" si="2305"/>
        <v>4082</v>
      </c>
      <c r="CO803" s="118">
        <f t="shared" si="2306"/>
        <v>4.3750284729760374</v>
      </c>
      <c r="CP803" s="186">
        <f>+(51-23)/(51-23*0.75)</f>
        <v>0.82962962962962961</v>
      </c>
      <c r="CQ803" s="118">
        <f>CQ780*CP803+CO781*CP802+CO782*CP801+CO783*CP800+CO784*CP799+CO785*CP798+CO786*CP797+CO787*CP796+CO788*CP795+CO789*CP794+CO790*CP793+CO791*CP792+CO792*CP791+CO793*CP790+CO794*CP789+CO785*CP788+CO796*CP787+CO797*CP786+CO798*CP785+CO799*CP784+CO800*CP783+CO801*CP782+CO803+CO802*CP781</f>
        <v>201.44288763607867</v>
      </c>
      <c r="CR803" s="119"/>
      <c r="CS803" s="118"/>
      <c r="CT803" s="177">
        <f t="shared" si="2308"/>
        <v>5.6623118833690001E-3</v>
      </c>
      <c r="CU803" s="177">
        <f t="shared" si="2316"/>
        <v>8.5959959252103913E-3</v>
      </c>
      <c r="CV803" s="119">
        <f>VLOOKUP($H803,RoR!$E:$F,2,FALSE)</f>
        <v>2.7033333333333336E-2</v>
      </c>
      <c r="CW803" s="177"/>
      <c r="CX803" s="177"/>
      <c r="CY803" s="177">
        <f t="shared" si="2317"/>
        <v>2.2305945683323232E-2</v>
      </c>
      <c r="CZ803" s="177">
        <f t="shared" si="2318"/>
        <v>7.433422950153494E-2</v>
      </c>
      <c r="DA803" s="187">
        <f t="shared" si="2309"/>
        <v>0.92125000000000001</v>
      </c>
      <c r="DB803" s="188">
        <f t="shared" si="2310"/>
        <v>1.8969932656739068</v>
      </c>
      <c r="DC803" s="188">
        <f t="shared" si="2311"/>
        <v>5.0215782983970621E-2</v>
      </c>
      <c r="DD803" s="188">
        <f t="shared" si="2312"/>
        <v>0.655952481704143</v>
      </c>
      <c r="DE803" s="188">
        <f t="shared" si="2313"/>
        <v>6.2485378865697057E-2</v>
      </c>
      <c r="DF803" s="189">
        <f>DF802</f>
        <v>0.20999999999999996</v>
      </c>
      <c r="DG803" s="189">
        <v>0.375</v>
      </c>
      <c r="DH803" s="190">
        <f t="shared" si="2315"/>
        <v>24.18294655860095</v>
      </c>
      <c r="DI803" s="190"/>
      <c r="DJ803" s="177">
        <f t="shared" ref="DJ803" si="2374">LN(DH803/DH802)</f>
        <v>0.19524505377978479</v>
      </c>
      <c r="DK803" s="189">
        <f>VLOOKUP($H803,RoR!$E:$F,2,FALSE)</f>
        <v>2.7033333333333336E-2</v>
      </c>
      <c r="DL803" s="191">
        <f>HLOOKUP($H803,'GDP-PI'!$D$8:$CR$11,3,FALSE)</f>
        <v>4.2834637353352578E-2</v>
      </c>
      <c r="DM803" s="189">
        <f>VLOOKUP(H803,'HW Dx Data'!$E:$F,2,FALSE)</f>
        <v>933.02249921662576</v>
      </c>
      <c r="DN803" s="183">
        <f>VLOOKUP(H803,'ECI - Input Price'!$G$17:$H$37,2,FALSE)</f>
        <v>145.47500000000002</v>
      </c>
      <c r="DO803" s="177">
        <f t="shared" ref="DO803" si="2375">LN(DN803/DN802)</f>
        <v>3.5152696992481205E-2</v>
      </c>
      <c r="DP803" s="183">
        <f>HLOOKUP(H803,'GDP-PI'!$8:$9,2,FALSE)</f>
        <v>118.49</v>
      </c>
      <c r="DQ803" s="177">
        <f t="shared" ref="DQ803" si="2376">LN(DP803/DP802)</f>
        <v>4.194261824609434E-2</v>
      </c>
    </row>
    <row r="804" spans="1:121" s="167" customFormat="1" ht="21" x14ac:dyDescent="0.35">
      <c r="A804" s="167" t="s">
        <v>84</v>
      </c>
      <c r="B804" s="168" t="s">
        <v>84</v>
      </c>
      <c r="C804" s="168">
        <v>4057093</v>
      </c>
      <c r="D804" s="168" t="s">
        <v>136</v>
      </c>
      <c r="E804" s="168" t="s">
        <v>126</v>
      </c>
      <c r="F804" s="168"/>
      <c r="G804" s="168" t="s">
        <v>4</v>
      </c>
      <c r="H804" s="169">
        <v>1998</v>
      </c>
      <c r="I804" s="170"/>
      <c r="J804" s="166"/>
      <c r="K804" s="166"/>
      <c r="L804" s="166"/>
      <c r="M804" s="166"/>
      <c r="N804" s="196"/>
      <c r="O804" s="166"/>
      <c r="P804" s="166"/>
      <c r="Q804" s="166"/>
      <c r="R804" s="166"/>
      <c r="S804" s="166"/>
      <c r="T804" s="166"/>
      <c r="U804" s="166"/>
      <c r="V804" s="166"/>
      <c r="W804" s="170"/>
      <c r="X804" s="174">
        <v>777.65435507983364</v>
      </c>
      <c r="Y804" s="175"/>
      <c r="Z804" s="166"/>
      <c r="AA804" s="175"/>
      <c r="AB804" s="175"/>
      <c r="AC804" s="170">
        <f t="shared" si="2271"/>
        <v>0</v>
      </c>
      <c r="AD804" s="170"/>
      <c r="AE804" s="170"/>
      <c r="AF804" s="119"/>
      <c r="AG804" s="174"/>
      <c r="AH804" s="175"/>
      <c r="AI804" s="175"/>
      <c r="AJ804" s="174"/>
      <c r="AK804" s="174"/>
      <c r="AL804" s="120"/>
      <c r="AM804" s="120"/>
      <c r="AN804" s="120"/>
      <c r="AO804" s="120"/>
      <c r="AP804" s="120"/>
      <c r="AQ804" s="175">
        <f>AVERAGE(AQ813:AQ827)</f>
        <v>1.6191452696207493E-2</v>
      </c>
      <c r="AR804" s="120"/>
      <c r="AS804" s="120"/>
      <c r="AT804" s="120"/>
      <c r="AU804" s="120"/>
      <c r="AV804" s="120"/>
      <c r="AW804" s="120"/>
      <c r="AX804" s="120"/>
      <c r="AY804" s="120"/>
      <c r="AZ804" s="118">
        <f>IFERROR(INDEX('Total Customers'!$F$7:$AB$91,MATCH($C804,'Total Customers'!$D$7:$D$91,0),MATCH($G804,'Total Customers'!$F$5:$AB$5,0)),"NA")</f>
        <v>115758</v>
      </c>
      <c r="BA804" s="119"/>
      <c r="BB804" s="119"/>
      <c r="BC804" s="121"/>
      <c r="BD804" s="119"/>
      <c r="BE804" s="119"/>
      <c r="BF804" s="119"/>
      <c r="BG804" s="173"/>
      <c r="BH804" s="173"/>
      <c r="BI804" s="173"/>
      <c r="BJ804" s="173"/>
      <c r="BK804" s="173"/>
      <c r="BL804" s="173"/>
      <c r="BM804" s="173"/>
      <c r="BN804" s="173"/>
      <c r="BO804" s="173"/>
      <c r="BP804" s="173"/>
      <c r="BQ804" s="118">
        <f>INDEX('Gross Dx Plant'!$E$7:$AD$91,MATCH($C804,'Gross Dx Plant'!$D$7:$D$91,0),MATCH(Calculation!$G804,'Gross Dx Plant'!$E$5:$AD$5,0))</f>
        <v>232172</v>
      </c>
      <c r="BR804" s="118">
        <f>INDEX('Gross Gen Plant'!$E$7:$AD$91,MATCH($C804,'Gross Gen Plant'!$D$7:$D$91,0),MATCH(Calculation!$G804,'Gross Gen Plant'!$E$5:$AD$5,0))</f>
        <v>8109</v>
      </c>
      <c r="BS804" s="118">
        <f>INDEX('Dist. Plant Gas Additions'!$F$7:$AE$91,MATCH($C804,'Dist. Plant Gas Additions'!$D$7:$D$91,0),MATCH(Calculation!$G804,'Dist. Plant Gas Additions'!$F$5:$AE$5,0))</f>
        <v>14717</v>
      </c>
      <c r="BT804" s="118">
        <f>INDEX('Gen. Plant Additions'!$F$7:$AE$91,MATCH($C804,'Gen. Plant Additions'!$D$7:$D$91,0),MATCH(Calculation!$G804,'Gen. Plant Additions'!$F$5:$AE$5,0))</f>
        <v>692</v>
      </c>
      <c r="BU804" s="118" t="e">
        <f>INDEX('Dist Plant Depreciation'!$E$7:$AA$94,MATCH($C804,'Dist Plant Depreciation'!$D$7:$D$94,0),MATCH(#REF!,'Dist Plant Depreciation'!$E$5:$AA$5,0))</f>
        <v>#REF!</v>
      </c>
      <c r="BV804" s="118" t="e">
        <f>INDEX('Gen. Plant Depreciation'!$E$7:$AA$94,MATCH($C804,'Gen. Plant Depreciation'!$D$7:$D$94,0),MATCH(#REF!,'Gen. Plant Depreciation'!$E$5:$AA$5,0))</f>
        <v>#REF!</v>
      </c>
      <c r="BW804" s="118">
        <f>INDEX('Dist Plant Depreciation'!$E$7:$AD$94,MATCH($C804,'Dist Plant Depreciation'!$D$7:$D$94,0),MATCH(Calculation!$G804,'Dist Plant Depreciation'!$E$5:$AD$5,0))</f>
        <v>76852</v>
      </c>
      <c r="BX804" s="118">
        <f>INDEX('Gen. Plant Depreciation'!$E$7:$AD$94,MATCH($C804,'Gen. Plant Depreciation'!$D$7:$D$94,0),MATCH(Calculation!$G804,'Gen. Plant Depreciation'!$E$5:$AD$5,0))</f>
        <v>6561</v>
      </c>
      <c r="BY804" s="118"/>
      <c r="BZ804" s="118"/>
      <c r="CA804" s="118"/>
      <c r="CB804" s="118"/>
      <c r="CC804" s="118"/>
      <c r="CD804" s="183"/>
      <c r="CE804" s="118">
        <f>INDEX('Gross Dx Plant'!$E$7:$AD$91,MATCH($C804,'Gross Dx Plant'!$D$7:$D$91,0),MATCH(Calculation!$G804,'Gross Dx Plant'!$E$5:$AD$5,0))</f>
        <v>232172</v>
      </c>
      <c r="CF804" s="118">
        <f>INDEX('Gross Gen Plant'!$E$7:$AD$91,MATCH($C804,'Gross Gen Plant'!$D$7:$D$91,0),MATCH(Calculation!$G804,'Gross Gen Plant'!$E$5:$AD$5,0))</f>
        <v>8109</v>
      </c>
      <c r="CG804" s="118">
        <f t="shared" si="2347"/>
        <v>156868</v>
      </c>
      <c r="CH804" s="118"/>
      <c r="CI804" s="121">
        <v>1998</v>
      </c>
      <c r="CJ804" s="118">
        <f>BQ804+BR804</f>
        <v>240281</v>
      </c>
      <c r="CK804" s="118">
        <f>76852+6561</f>
        <v>83413</v>
      </c>
      <c r="CL804" s="118">
        <f>+CJ804-CK804</f>
        <v>156868</v>
      </c>
      <c r="CM804" s="118">
        <f>CL804/$CD$36</f>
        <v>777.65435507983364</v>
      </c>
      <c r="CN804" s="183"/>
      <c r="CO804" s="183"/>
      <c r="CP804" s="186">
        <v>1</v>
      </c>
      <c r="CQ804" s="118">
        <f>+CM804</f>
        <v>777.65435507983364</v>
      </c>
      <c r="CR804" s="119"/>
      <c r="CS804" s="119"/>
      <c r="CT804" s="177"/>
      <c r="CU804" s="177"/>
      <c r="CV804" s="119" t="e">
        <f>VLOOKUP($H804,RoR!$E:$F,2,FALSE)</f>
        <v>#N/A</v>
      </c>
      <c r="CW804" s="177">
        <v>1.1028127770464469E-2</v>
      </c>
      <c r="CX804" s="177"/>
      <c r="CY804" s="177"/>
      <c r="CZ804" s="177"/>
      <c r="DA804" s="187"/>
      <c r="DB804" s="190" t="e">
        <f>2/(DK804*39)</f>
        <v>#N/A</v>
      </c>
      <c r="DC804" s="188" t="e">
        <f>+(DK804*40-(1+DK804))/(DK804*40)</f>
        <v>#N/A</v>
      </c>
      <c r="DD804" s="188" t="e">
        <f>+(1-(1/(1+DK804)^40))</f>
        <v>#N/A</v>
      </c>
      <c r="DE804" s="188" t="e">
        <f>+DD804*DC804*DB804</f>
        <v>#N/A</v>
      </c>
      <c r="DF804" s="189">
        <f>INDEX('State Tax Lookup'!$D$7:$Z$91,MATCH(Calculation!$C804,'State Tax Lookup'!$B$7:$B$91,0),MATCH($H804,'State Tax Lookup'!$D$6:$Z$6,0))</f>
        <v>0.39649667</v>
      </c>
      <c r="DG804" s="189">
        <v>0.375</v>
      </c>
      <c r="DH804" s="183"/>
      <c r="DI804" s="183"/>
      <c r="DJ804" s="177"/>
      <c r="DK804" s="189" t="e">
        <f>VLOOKUP($H804,RoR!$E:$F,2,FALSE)</f>
        <v>#N/A</v>
      </c>
      <c r="DL804" s="191">
        <f>HLOOKUP($H804,'GDP-PI'!$D$8:$CQ$11,3,FALSE)</f>
        <v>1.1028127770464469E-2</v>
      </c>
      <c r="DM804" s="189">
        <f>VLOOKUP(H804,'HW Dx Data'!$E:$F,2,FALSE)</f>
        <v>329.24564746449528</v>
      </c>
      <c r="DN804" s="183" t="e">
        <f>VLOOKUP(H804,'ECI - Input Price'!$G$17:$H$37,2,FALSE)</f>
        <v>#N/A</v>
      </c>
      <c r="DO804" s="177"/>
      <c r="DP804" s="183">
        <f>HLOOKUP(H804,'GDP-PI'!$8:$9,2,FALSE)</f>
        <v>75.266999999999996</v>
      </c>
    </row>
    <row r="805" spans="1:121" s="167" customFormat="1" ht="21" x14ac:dyDescent="0.35">
      <c r="A805" s="167" t="s">
        <v>84</v>
      </c>
      <c r="B805" s="168" t="s">
        <v>84</v>
      </c>
      <c r="C805" s="168">
        <v>4057093</v>
      </c>
      <c r="D805" s="168" t="s">
        <v>136</v>
      </c>
      <c r="E805" s="168" t="s">
        <v>126</v>
      </c>
      <c r="F805" s="168"/>
      <c r="G805" s="168" t="s">
        <v>5</v>
      </c>
      <c r="H805" s="169">
        <v>1999</v>
      </c>
      <c r="I805" s="170"/>
      <c r="J805" s="166"/>
      <c r="K805" s="166"/>
      <c r="L805" s="166"/>
      <c r="M805" s="166"/>
      <c r="N805" s="196"/>
      <c r="O805" s="166"/>
      <c r="P805" s="166"/>
      <c r="Q805" s="166"/>
      <c r="R805" s="166"/>
      <c r="S805" s="195"/>
      <c r="T805" s="166"/>
      <c r="U805" s="166"/>
      <c r="V805" s="166">
        <f t="shared" ref="V805:V827" si="2377">+CQ804*DH805</f>
        <v>0</v>
      </c>
      <c r="W805" s="170"/>
      <c r="X805" s="174">
        <v>825.85133547547071</v>
      </c>
      <c r="Y805" s="175">
        <v>6.0132624274547714E-2</v>
      </c>
      <c r="Z805" s="175"/>
      <c r="AA805" s="175"/>
      <c r="AB805" s="175"/>
      <c r="AC805" s="170">
        <f t="shared" si="2271"/>
        <v>0</v>
      </c>
      <c r="AD805" s="175"/>
      <c r="AE805" s="170"/>
      <c r="AF805" s="119"/>
      <c r="AG805" s="174"/>
      <c r="AH805" s="175"/>
      <c r="AI805" s="175"/>
      <c r="AJ805" s="174"/>
      <c r="AK805" s="174"/>
      <c r="AL805" s="120"/>
      <c r="AM805" s="120"/>
      <c r="AN805" s="120"/>
      <c r="AO805" s="120"/>
      <c r="AP805" s="120"/>
      <c r="AQ805" s="175"/>
      <c r="AR805" s="120"/>
      <c r="AS805" s="120"/>
      <c r="AT805" s="120"/>
      <c r="AU805" s="120"/>
      <c r="AV805" s="120"/>
      <c r="AW805" s="120"/>
      <c r="AX805" s="120"/>
      <c r="AY805" s="120"/>
      <c r="AZ805" s="118">
        <f>IFERROR(INDEX('Total Customers'!$F$7:$AB$91,MATCH($C805,'Total Customers'!$D$7:$D$91,0),MATCH($G805,'Total Customers'!$F$5:$AB$5,0)),"NA")</f>
        <v>114015</v>
      </c>
      <c r="BA805" s="119">
        <f t="shared" ref="BA805:BA827" si="2378">LN(AZ805/AZ804)</f>
        <v>-1.517178636277733E-2</v>
      </c>
      <c r="BB805" s="119"/>
      <c r="BC805" s="121"/>
      <c r="BD805" s="119"/>
      <c r="BE805" s="119"/>
      <c r="BF805" s="119"/>
      <c r="BG805" s="173"/>
      <c r="BH805" s="173"/>
      <c r="BI805" s="173"/>
      <c r="BJ805" s="173"/>
      <c r="BK805" s="173"/>
      <c r="BL805" s="173"/>
      <c r="BM805" s="173"/>
      <c r="BN805" s="173"/>
      <c r="BO805" s="173"/>
      <c r="BP805" s="173"/>
      <c r="BQ805" s="118"/>
      <c r="BR805" s="118"/>
      <c r="BS805" s="118">
        <f>INDEX('Dist. Plant Gas Additions'!$F$7:$AE$91,MATCH($C805,'Dist. Plant Gas Additions'!$D$7:$D$91,0),MATCH(Calculation!$G805,'Dist. Plant Gas Additions'!$F$5:$AE$5,0))</f>
        <v>17400</v>
      </c>
      <c r="BT805" s="118">
        <f>INDEX('Gen. Plant Additions'!$F$7:$AE$91,MATCH($C805,'Gen. Plant Additions'!$D$7:$D$91,0),MATCH(Calculation!$G805,'Gen. Plant Additions'!$F$5:$AE$5,0))</f>
        <v>59</v>
      </c>
      <c r="BU805" s="118"/>
      <c r="BV805" s="118"/>
      <c r="BW805" s="118">
        <f>INDEX('Dist Plant Depreciation'!$E$7:$AD$94,MATCH($C805,'Dist Plant Depreciation'!$D$7:$D$94,0),MATCH(Calculation!$G805,'Dist Plant Depreciation'!$E$5:$AD$5,0))</f>
        <v>79136</v>
      </c>
      <c r="BX805" s="118">
        <f>INDEX('Gen. Plant Depreciation'!$E$7:$AD$94,MATCH($C805,'Gen. Plant Depreciation'!$D$7:$D$94,0),MATCH(Calculation!$G805,'Gen. Plant Depreciation'!$E$5:$AD$5,0))</f>
        <v>5482</v>
      </c>
      <c r="BY805" s="118"/>
      <c r="BZ805" s="118"/>
      <c r="CA805" s="118"/>
      <c r="CB805" s="118"/>
      <c r="CC805" s="118"/>
      <c r="CD805" s="183"/>
      <c r="CE805" s="118">
        <f>INDEX('Gross Dx Plant'!$E$7:$AD$91,MATCH($C805,'Gross Dx Plant'!$D$7:$D$91,0),MATCH(Calculation!$G805,'Gross Dx Plant'!$E$5:$AD$5,0))</f>
        <v>240705</v>
      </c>
      <c r="CF805" s="118">
        <f>INDEX('Gross Gen Plant'!$E$7:$AD$91,MATCH($C805,'Gross Gen Plant'!$D$7:$D$91,0),MATCH(Calculation!$G805,'Gross Gen Plant'!$E$5:$AD$5,0))</f>
        <v>7913</v>
      </c>
      <c r="CG805" s="118">
        <f t="shared" si="2347"/>
        <v>164000</v>
      </c>
      <c r="CH805" s="118"/>
      <c r="CI805" s="121">
        <v>1999</v>
      </c>
      <c r="CJ805" s="118"/>
      <c r="CK805" s="118"/>
      <c r="CL805" s="118"/>
      <c r="CM805" s="183"/>
      <c r="CN805" s="118">
        <f t="shared" ref="CN805:CN827" si="2379">+BT805+BS805</f>
        <v>17459</v>
      </c>
      <c r="CO805" s="118">
        <f t="shared" ref="CO805:CO827" si="2380">+CN805/$DM805</f>
        <v>52.065907535337708</v>
      </c>
      <c r="CP805" s="186">
        <v>0.99502487562189057</v>
      </c>
      <c r="CQ805" s="118">
        <f>+CQ804*CP805+CO805</f>
        <v>825.85133547547071</v>
      </c>
      <c r="CR805" s="119">
        <f t="shared" ref="CR805:CR826" si="2381">LN(CQ805/CQ804)</f>
        <v>6.0132624274547714E-2</v>
      </c>
      <c r="CS805" s="119"/>
      <c r="CT805" s="177">
        <f t="shared" ref="CT805:CT827" si="2382">+(CQ804-CQ805+CO805)/CQ804</f>
        <v>4.9751243781094179E-3</v>
      </c>
      <c r="CU805" s="177"/>
      <c r="CV805" s="119">
        <f>VLOOKUP($H805,RoR!$E:$F,2,FALSE)</f>
        <v>7.0416666666666669E-2</v>
      </c>
      <c r="CW805" s="177">
        <v>1.4335631817396832E-2</v>
      </c>
      <c r="CX805" s="177">
        <f>+CV805-CW805</f>
        <v>5.6081034849269837E-2</v>
      </c>
      <c r="CY805" s="177"/>
      <c r="CZ805" s="177"/>
      <c r="DA805" s="187">
        <f t="shared" ref="DA805:DA827" si="2383">1-DF805*DG805</f>
        <v>0.85131374874999999</v>
      </c>
      <c r="DB805" s="188">
        <f t="shared" ref="DB805:DB827" si="2384">2/(DK805*39)</f>
        <v>0.72826581702321336</v>
      </c>
      <c r="DC805" s="188">
        <f t="shared" ref="DC805:DC827" si="2385">+(DK805*40-(1+DK805))/(DK805*40)</f>
        <v>0.61997041420118348</v>
      </c>
      <c r="DD805" s="188">
        <f t="shared" ref="DD805:DD827" si="2386">+(1-(1/(1+DK805)^40))</f>
        <v>0.93425155319585029</v>
      </c>
      <c r="DE805" s="188">
        <f t="shared" ref="DE805:DE827" si="2387">+DD805*DC805*DB805</f>
        <v>0.42181762214141483</v>
      </c>
      <c r="DF805" s="189">
        <f>INDEX('State Tax Lookup'!$D$7:$Z$91,MATCH(Calculation!$C805,'State Tax Lookup'!$B$7:$B$91,0),MATCH($H805,'State Tax Lookup'!$D$6:$Z$6,0))</f>
        <v>0.39649667</v>
      </c>
      <c r="DG805" s="189">
        <v>0.375</v>
      </c>
      <c r="DH805" s="190"/>
      <c r="DI805" s="190"/>
      <c r="DJ805" s="177"/>
      <c r="DK805" s="189">
        <f>VLOOKUP($H805,RoR!$E:$F,2,FALSE)</f>
        <v>7.0416666666666669E-2</v>
      </c>
      <c r="DL805" s="191">
        <f>HLOOKUP($H805,'GDP-PI'!$D$8:$CQ$11,3,FALSE)</f>
        <v>1.4335631817396832E-2</v>
      </c>
      <c r="DM805" s="189">
        <f>VLOOKUP(H805,'HW Dx Data'!$E:$F,2,FALSE)</f>
        <v>335.32499146683239</v>
      </c>
      <c r="DN805" s="183" t="e">
        <f>VLOOKUP(H805,'ECI - Input Price'!$G$17:$H$37,2,FALSE)</f>
        <v>#N/A</v>
      </c>
      <c r="DO805" s="177"/>
      <c r="DP805" s="183">
        <f>HLOOKUP(H805,'GDP-PI'!$8:$9,2,FALSE)</f>
        <v>76.346000000000004</v>
      </c>
    </row>
    <row r="806" spans="1:121" s="167" customFormat="1" ht="21" x14ac:dyDescent="0.35">
      <c r="A806" s="167" t="s">
        <v>84</v>
      </c>
      <c r="B806" s="168" t="s">
        <v>84</v>
      </c>
      <c r="C806" s="168">
        <v>4057093</v>
      </c>
      <c r="D806" s="168" t="s">
        <v>136</v>
      </c>
      <c r="E806" s="168" t="s">
        <v>126</v>
      </c>
      <c r="F806" s="168"/>
      <c r="G806" s="168" t="s">
        <v>6</v>
      </c>
      <c r="H806" s="169">
        <v>2000</v>
      </c>
      <c r="I806" s="170"/>
      <c r="J806" s="166"/>
      <c r="K806" s="166"/>
      <c r="L806" s="166"/>
      <c r="M806" s="166"/>
      <c r="N806" s="196"/>
      <c r="O806" s="166"/>
      <c r="P806" s="166"/>
      <c r="Q806" s="166"/>
      <c r="R806" s="166"/>
      <c r="S806" s="166"/>
      <c r="T806" s="166"/>
      <c r="U806" s="166"/>
      <c r="V806" s="166">
        <f t="shared" si="2377"/>
        <v>0</v>
      </c>
      <c r="W806" s="170"/>
      <c r="X806" s="174">
        <v>872.31692781560992</v>
      </c>
      <c r="Y806" s="175">
        <v>5.4738031149255406E-2</v>
      </c>
      <c r="Z806" s="175"/>
      <c r="AA806" s="175"/>
      <c r="AB806" s="175"/>
      <c r="AC806" s="170">
        <f t="shared" si="2271"/>
        <v>0</v>
      </c>
      <c r="AD806" s="175"/>
      <c r="AE806" s="170"/>
      <c r="AF806" s="170"/>
      <c r="AG806" s="174"/>
      <c r="AH806" s="175"/>
      <c r="AI806" s="175"/>
      <c r="AJ806" s="174"/>
      <c r="AK806" s="174"/>
      <c r="AL806" s="120"/>
      <c r="AM806" s="120"/>
      <c r="AN806" s="120"/>
      <c r="AO806" s="120"/>
      <c r="AP806" s="120"/>
      <c r="AQ806" s="175"/>
      <c r="AR806" s="120"/>
      <c r="AS806" s="120"/>
      <c r="AT806" s="120"/>
      <c r="AU806" s="120"/>
      <c r="AV806" s="120"/>
      <c r="AW806" s="120"/>
      <c r="AX806" s="120"/>
      <c r="AY806" s="120"/>
      <c r="AZ806" s="118">
        <f>IFERROR(INDEX('Total Customers'!$F$7:$AB$91,MATCH($C806,'Total Customers'!$D$7:$D$91,0),MATCH($G806,'Total Customers'!$F$5:$AB$5,0)),"NA")</f>
        <v>118698</v>
      </c>
      <c r="BA806" s="119">
        <f t="shared" si="2378"/>
        <v>4.0252433587896479E-2</v>
      </c>
      <c r="BB806" s="119"/>
      <c r="BC806" s="121"/>
      <c r="BD806" s="119"/>
      <c r="BE806" s="119"/>
      <c r="BF806" s="119"/>
      <c r="BG806" s="173"/>
      <c r="BH806" s="173"/>
      <c r="BI806" s="173"/>
      <c r="BJ806" s="173"/>
      <c r="BK806" s="173"/>
      <c r="BL806" s="173"/>
      <c r="BM806" s="173"/>
      <c r="BN806" s="173"/>
      <c r="BO806" s="173"/>
      <c r="BP806" s="173"/>
      <c r="BQ806" s="118"/>
      <c r="BR806" s="118"/>
      <c r="BS806" s="118">
        <f>INDEX('Dist. Plant Gas Additions'!$F$7:$AE$91,MATCH($C806,'Dist. Plant Gas Additions'!$D$7:$D$91,0),MATCH(Calculation!$G806,'Dist. Plant Gas Additions'!$F$5:$AE$5,0))</f>
        <v>17319</v>
      </c>
      <c r="BT806" s="118">
        <f>INDEX('Gen. Plant Additions'!$F$7:$AE$91,MATCH($C806,'Gen. Plant Additions'!$D$7:$D$91,0),MATCH(Calculation!$G806,'Gen. Plant Additions'!$F$5:$AE$5,0))</f>
        <v>254</v>
      </c>
      <c r="BU806" s="118"/>
      <c r="BV806" s="118"/>
      <c r="BW806" s="118">
        <f>INDEX('Dist Plant Depreciation'!$E$7:$AD$94,MATCH($C806,'Dist Plant Depreciation'!$D$7:$D$94,0),MATCH(Calculation!$G806,'Dist Plant Depreciation'!$E$5:$AD$5,0))</f>
        <v>75818</v>
      </c>
      <c r="BX806" s="118">
        <f>INDEX('Gen. Plant Depreciation'!$E$7:$AD$94,MATCH($C806,'Gen. Plant Depreciation'!$D$7:$D$94,0),MATCH(Calculation!$G806,'Gen. Plant Depreciation'!$E$5:$AD$5,0))</f>
        <v>10911</v>
      </c>
      <c r="BY806" s="118"/>
      <c r="BZ806" s="118"/>
      <c r="CA806" s="118"/>
      <c r="CB806" s="118"/>
      <c r="CC806" s="118"/>
      <c r="CD806" s="183"/>
      <c r="CE806" s="118">
        <f>INDEX('Gross Dx Plant'!$E$7:$AD$91,MATCH($C806,'Gross Dx Plant'!$D$7:$D$91,0),MATCH(Calculation!$G806,'Gross Dx Plant'!$E$5:$AD$5,0))</f>
        <v>257431</v>
      </c>
      <c r="CF806" s="118">
        <f>INDEX('Gross Gen Plant'!$E$7:$AD$91,MATCH($C806,'Gross Gen Plant'!$D$7:$D$91,0),MATCH(Calculation!$G806,'Gross Gen Plant'!$E$5:$AD$5,0))</f>
        <v>7148</v>
      </c>
      <c r="CG806" s="118">
        <f t="shared" si="2347"/>
        <v>177850</v>
      </c>
      <c r="CH806" s="118"/>
      <c r="CI806" s="121">
        <v>2000</v>
      </c>
      <c r="CJ806" s="118"/>
      <c r="CK806" s="118"/>
      <c r="CL806" s="118"/>
      <c r="CM806" s="183"/>
      <c r="CN806" s="118">
        <f t="shared" si="2379"/>
        <v>17573</v>
      </c>
      <c r="CO806" s="118">
        <f t="shared" si="2380"/>
        <v>50.710794062041906</v>
      </c>
      <c r="CP806" s="186">
        <v>0.98989898989898994</v>
      </c>
      <c r="CQ806" s="118">
        <f>+CQ804*CP806+CO805*CP805+CO806</f>
        <v>872.31692781560992</v>
      </c>
      <c r="CR806" s="119">
        <f t="shared" si="2381"/>
        <v>5.4738031149255406E-2</v>
      </c>
      <c r="CS806" s="119"/>
      <c r="CT806" s="177">
        <f t="shared" si="2382"/>
        <v>5.1403945716919962E-3</v>
      </c>
      <c r="CU806" s="177"/>
      <c r="CV806" s="119">
        <f>VLOOKUP($H806,RoR!$E:$F,2,FALSE)</f>
        <v>7.6225000000000001E-2</v>
      </c>
      <c r="CW806" s="177">
        <v>2.2568307442433211E-2</v>
      </c>
      <c r="CX806" s="177">
        <f t="shared" ref="CX806:CX826" si="2388">+CV806-CW806</f>
        <v>5.365669255756679E-2</v>
      </c>
      <c r="CY806" s="177"/>
      <c r="CZ806" s="177"/>
      <c r="DA806" s="187">
        <f t="shared" si="2383"/>
        <v>0.85131374874999999</v>
      </c>
      <c r="DB806" s="188">
        <f t="shared" si="2384"/>
        <v>0.67277207323124022</v>
      </c>
      <c r="DC806" s="188">
        <f t="shared" si="2385"/>
        <v>0.6470236142997704</v>
      </c>
      <c r="DD806" s="188">
        <f t="shared" si="2386"/>
        <v>0.94704866037543145</v>
      </c>
      <c r="DE806" s="188">
        <f t="shared" si="2387"/>
        <v>0.41224973107878493</v>
      </c>
      <c r="DF806" s="189">
        <f>INDEX('State Tax Lookup'!$D$7:$Z$91,MATCH(Calculation!$C806,'State Tax Lookup'!$B$7:$B$91,0),MATCH($H806,'State Tax Lookup'!$D$6:$Z$6,0))</f>
        <v>0.39649667</v>
      </c>
      <c r="DG806" s="189">
        <v>0.375</v>
      </c>
      <c r="DH806" s="190"/>
      <c r="DI806" s="190"/>
      <c r="DJ806" s="177"/>
      <c r="DK806" s="189">
        <f>VLOOKUP($H806,RoR!$E:$F,2,FALSE)</f>
        <v>7.6225000000000001E-2</v>
      </c>
      <c r="DL806" s="191">
        <f>HLOOKUP($H806,'GDP-PI'!$D$8:$CQ$11,3,FALSE)</f>
        <v>2.2568307442433211E-2</v>
      </c>
      <c r="DM806" s="189">
        <f>VLOOKUP(H806,'HW Dx Data'!$E:$F,2,FALSE)</f>
        <v>346.53371782150339</v>
      </c>
      <c r="DN806" s="183" t="e">
        <f>VLOOKUP(H806,'ECI - Input Price'!$G$17:$H$37,2,FALSE)</f>
        <v>#N/A</v>
      </c>
      <c r="DO806" s="177"/>
      <c r="DP806" s="183">
        <f>HLOOKUP(H806,'GDP-PI'!$8:$9,2,FALSE)</f>
        <v>78.069000000000003</v>
      </c>
    </row>
    <row r="807" spans="1:121" s="167" customFormat="1" ht="21" x14ac:dyDescent="0.35">
      <c r="A807" s="167" t="s">
        <v>84</v>
      </c>
      <c r="B807" s="168" t="s">
        <v>84</v>
      </c>
      <c r="C807" s="168">
        <v>4057093</v>
      </c>
      <c r="D807" s="168" t="s">
        <v>136</v>
      </c>
      <c r="E807" s="168" t="s">
        <v>126</v>
      </c>
      <c r="F807" s="168"/>
      <c r="G807" s="168" t="s">
        <v>7</v>
      </c>
      <c r="H807" s="169">
        <v>2001</v>
      </c>
      <c r="I807" s="170"/>
      <c r="J807" s="166"/>
      <c r="K807" s="166"/>
      <c r="L807" s="166"/>
      <c r="M807" s="166"/>
      <c r="N807" s="196"/>
      <c r="O807" s="166"/>
      <c r="P807" s="166"/>
      <c r="Q807" s="166"/>
      <c r="R807" s="166"/>
      <c r="S807" s="166"/>
      <c r="T807" s="166"/>
      <c r="U807" s="166"/>
      <c r="V807" s="166">
        <f t="shared" si="2377"/>
        <v>11216.702979235353</v>
      </c>
      <c r="W807" s="170"/>
      <c r="X807" s="174">
        <v>903.82209667914469</v>
      </c>
      <c r="Y807" s="175">
        <v>3.5479738109350539E-2</v>
      </c>
      <c r="Z807" s="175"/>
      <c r="AA807" s="175"/>
      <c r="AB807" s="175"/>
      <c r="AC807" s="170">
        <f t="shared" si="2271"/>
        <v>11216.702979235353</v>
      </c>
      <c r="AD807" s="175"/>
      <c r="AE807" s="170"/>
      <c r="AF807" s="170"/>
      <c r="AG807" s="174"/>
      <c r="AH807" s="175"/>
      <c r="AI807" s="175"/>
      <c r="AJ807" s="174"/>
      <c r="AK807" s="174"/>
      <c r="AL807" s="120"/>
      <c r="AM807" s="120"/>
      <c r="AN807" s="120"/>
      <c r="AO807" s="120"/>
      <c r="AP807" s="120"/>
      <c r="AQ807" s="175"/>
      <c r="AR807" s="120"/>
      <c r="AS807" s="120"/>
      <c r="AT807" s="120"/>
      <c r="AU807" s="120"/>
      <c r="AV807" s="120"/>
      <c r="AW807" s="120"/>
      <c r="AX807" s="120"/>
      <c r="AY807" s="120"/>
      <c r="AZ807" s="118">
        <f>IFERROR(INDEX('Total Customers'!$F$7:$AB$91,MATCH($C807,'Total Customers'!$D$7:$D$91,0),MATCH($G807,'Total Customers'!$F$5:$AB$5,0)),"NA")</f>
        <v>119694</v>
      </c>
      <c r="BA807" s="119">
        <f t="shared" si="2378"/>
        <v>8.3560337203187757E-3</v>
      </c>
      <c r="BB807" s="119"/>
      <c r="BC807" s="121"/>
      <c r="BD807" s="119"/>
      <c r="BE807" s="119"/>
      <c r="BF807" s="119"/>
      <c r="BG807" s="173"/>
      <c r="BH807" s="173"/>
      <c r="BI807" s="173"/>
      <c r="BJ807" s="173"/>
      <c r="BK807" s="173"/>
      <c r="BL807" s="173"/>
      <c r="BM807" s="173"/>
      <c r="BN807" s="173"/>
      <c r="BO807" s="173"/>
      <c r="BP807" s="173"/>
      <c r="BQ807" s="118"/>
      <c r="BR807" s="118"/>
      <c r="BS807" s="118">
        <f>INDEX('Dist. Plant Gas Additions'!$F$7:$AE$91,MATCH($C807,'Dist. Plant Gas Additions'!$D$7:$D$91,0),MATCH(Calculation!$G807,'Dist. Plant Gas Additions'!$F$5:$AE$5,0))</f>
        <v>12679</v>
      </c>
      <c r="BT807" s="118">
        <f>INDEX('Gen. Plant Additions'!$F$7:$AE$91,MATCH($C807,'Gen. Plant Additions'!$D$7:$D$91,0),MATCH(Calculation!$G807,'Gen. Plant Additions'!$F$5:$AE$5,0))</f>
        <v>3</v>
      </c>
      <c r="BU807" s="118"/>
      <c r="BV807" s="118"/>
      <c r="BW807" s="118">
        <f>INDEX('Dist Plant Depreciation'!$E$7:$AD$94,MATCH($C807,'Dist Plant Depreciation'!$D$7:$D$94,0),MATCH(Calculation!$G807,'Dist Plant Depreciation'!$E$5:$AD$5,0))</f>
        <v>80826</v>
      </c>
      <c r="BX807" s="118">
        <f>INDEX('Gen. Plant Depreciation'!$E$7:$AD$94,MATCH($C807,'Gen. Plant Depreciation'!$D$7:$D$94,0),MATCH(Calculation!$G807,'Gen. Plant Depreciation'!$E$5:$AD$5,0))</f>
        <v>10417</v>
      </c>
      <c r="BY807" s="118"/>
      <c r="BZ807" s="118"/>
      <c r="CA807" s="118"/>
      <c r="CB807" s="118"/>
      <c r="CC807" s="118"/>
      <c r="CD807" s="183"/>
      <c r="CE807" s="118">
        <f>INDEX('Gross Dx Plant'!$E$7:$AD$91,MATCH($C807,'Gross Dx Plant'!$D$7:$D$91,0),MATCH(Calculation!$G807,'Gross Dx Plant'!$E$5:$AD$5,0))</f>
        <v>269088</v>
      </c>
      <c r="CF807" s="118">
        <f>INDEX('Gross Gen Plant'!$E$7:$AD$91,MATCH($C807,'Gross Gen Plant'!$D$7:$D$91,0),MATCH(Calculation!$G807,'Gross Gen Plant'!$E$5:$AD$5,0))</f>
        <v>6570</v>
      </c>
      <c r="CG807" s="118">
        <f t="shared" si="2347"/>
        <v>184415</v>
      </c>
      <c r="CH807" s="118"/>
      <c r="CI807" s="121">
        <v>2001</v>
      </c>
      <c r="CJ807" s="118"/>
      <c r="CK807" s="118"/>
      <c r="CL807" s="118"/>
      <c r="CM807" s="183"/>
      <c r="CN807" s="118">
        <f t="shared" si="2379"/>
        <v>12682</v>
      </c>
      <c r="CO807" s="118">
        <f t="shared" si="2380"/>
        <v>35.880871414938476</v>
      </c>
      <c r="CP807" s="186">
        <v>0.98461538461538467</v>
      </c>
      <c r="CQ807" s="118">
        <f>+CQ804*CP807+CO805*CP806+CO806*CP804+CO807</f>
        <v>903.82209667914469</v>
      </c>
      <c r="CR807" s="119">
        <f t="shared" si="2381"/>
        <v>3.5479738109350539E-2</v>
      </c>
      <c r="CS807" s="119"/>
      <c r="CT807" s="177">
        <f t="shared" si="2382"/>
        <v>5.0161843842248957E-3</v>
      </c>
      <c r="CU807" s="177">
        <f>+(CT807+CT806+CT805)/3</f>
        <v>5.043901111342103E-3</v>
      </c>
      <c r="CV807" s="119">
        <f>VLOOKUP($H807,RoR!$E:$F,2,FALSE)</f>
        <v>7.0824999999999999E-2</v>
      </c>
      <c r="CW807" s="177">
        <v>2.2454495382290052E-2</v>
      </c>
      <c r="CX807" s="177">
        <f t="shared" si="2388"/>
        <v>4.8370504617709947E-2</v>
      </c>
      <c r="CY807" s="177">
        <f>+$CX$35-CU807</f>
        <v>2.5858040497191523E-2</v>
      </c>
      <c r="CZ807" s="177">
        <f>+((DM805/DM804-1)+(DM806/DM805-1)+(DM807/DM806-1))/3</f>
        <v>2.3947275901631187E-2</v>
      </c>
      <c r="DA807" s="187">
        <f t="shared" si="2383"/>
        <v>0.85131374874999999</v>
      </c>
      <c r="DB807" s="188">
        <f t="shared" si="2384"/>
        <v>0.72406708481540816</v>
      </c>
      <c r="DC807" s="188">
        <f t="shared" si="2385"/>
        <v>0.62201729615248857</v>
      </c>
      <c r="DD807" s="188">
        <f t="shared" si="2386"/>
        <v>0.9352469954311422</v>
      </c>
      <c r="DE807" s="188">
        <f t="shared" si="2387"/>
        <v>0.42121864641655071</v>
      </c>
      <c r="DF807" s="189">
        <f>INDEX('State Tax Lookup'!$D$7:$Z$91,MATCH(Calculation!$C807,'State Tax Lookup'!$B$7:$B$91,0),MATCH($H807,'State Tax Lookup'!$D$6:$Z$6,0))</f>
        <v>0.39649667</v>
      </c>
      <c r="DG807" s="189">
        <v>0.375</v>
      </c>
      <c r="DH807" s="190">
        <f t="shared" ref="DH807:DH827" si="2389">+(DM807*CY807-CZ807)*DA807/(1-DF807)</f>
        <v>12.858518070173615</v>
      </c>
      <c r="DI807" s="190"/>
      <c r="DJ807" s="177"/>
      <c r="DK807" s="189">
        <f>VLOOKUP($H807,RoR!$E:$F,2,FALSE)</f>
        <v>7.0824999999999999E-2</v>
      </c>
      <c r="DL807" s="191">
        <f>HLOOKUP($H807,'GDP-PI'!$D$8:$CQ$11,3,FALSE)</f>
        <v>2.2454495382290052E-2</v>
      </c>
      <c r="DM807" s="189">
        <f>VLOOKUP(H807,'HW Dx Data'!$E:$F,2,FALSE)</f>
        <v>353.44738017483138</v>
      </c>
      <c r="DN807" s="183">
        <f>VLOOKUP(H807,'ECI - Input Price'!$G$17:$H$37,2,FALSE)</f>
        <v>86.2</v>
      </c>
      <c r="DO807" s="177"/>
      <c r="DP807" s="183">
        <f>HLOOKUP(H807,'GDP-PI'!$8:$9,2,FALSE)</f>
        <v>79.822000000000003</v>
      </c>
    </row>
    <row r="808" spans="1:121" s="167" customFormat="1" ht="21" x14ac:dyDescent="0.35">
      <c r="A808" s="167" t="s">
        <v>84</v>
      </c>
      <c r="B808" s="168" t="s">
        <v>84</v>
      </c>
      <c r="C808" s="168">
        <v>4057093</v>
      </c>
      <c r="D808" s="168" t="s">
        <v>136</v>
      </c>
      <c r="E808" s="168" t="s">
        <v>126</v>
      </c>
      <c r="F808" s="168"/>
      <c r="G808" s="168" t="s">
        <v>8</v>
      </c>
      <c r="H808" s="169">
        <v>2002</v>
      </c>
      <c r="I808" s="170"/>
      <c r="J808" s="166"/>
      <c r="K808" s="166"/>
      <c r="L808" s="166"/>
      <c r="M808" s="166"/>
      <c r="N808" s="196"/>
      <c r="O808" s="166"/>
      <c r="P808" s="166"/>
      <c r="Q808" s="166"/>
      <c r="R808" s="166"/>
      <c r="S808" s="166"/>
      <c r="T808" s="166"/>
      <c r="U808" s="166"/>
      <c r="V808" s="166">
        <f t="shared" si="2377"/>
        <v>11760.602397382136</v>
      </c>
      <c r="W808" s="170"/>
      <c r="X808" s="174">
        <v>935.0409763387745</v>
      </c>
      <c r="Y808" s="175">
        <v>3.3957807973208264E-2</v>
      </c>
      <c r="Z808" s="175"/>
      <c r="AA808" s="175"/>
      <c r="AB808" s="175"/>
      <c r="AC808" s="170">
        <f t="shared" si="2271"/>
        <v>11760.602397382136</v>
      </c>
      <c r="AD808" s="175"/>
      <c r="AE808" s="170"/>
      <c r="AF808" s="170"/>
      <c r="AG808" s="174"/>
      <c r="AH808" s="175"/>
      <c r="AI808" s="175"/>
      <c r="AJ808" s="174"/>
      <c r="AK808" s="174"/>
      <c r="AL808" s="120"/>
      <c r="AM808" s="120"/>
      <c r="AN808" s="120"/>
      <c r="AO808" s="120"/>
      <c r="AP808" s="120"/>
      <c r="AQ808" s="175"/>
      <c r="AR808" s="120"/>
      <c r="AS808" s="120"/>
      <c r="AT808" s="120"/>
      <c r="AU808" s="120"/>
      <c r="AV808" s="120"/>
      <c r="AW808" s="120"/>
      <c r="AX808" s="120"/>
      <c r="AY808" s="120"/>
      <c r="AZ808" s="118">
        <f>IFERROR(INDEX('Total Customers'!$F$7:$AB$91,MATCH($C808,'Total Customers'!$D$7:$D$91,0),MATCH($G808,'Total Customers'!$F$5:$AB$5,0)),"NA")</f>
        <v>121182</v>
      </c>
      <c r="BA808" s="119">
        <f t="shared" si="2378"/>
        <v>1.2355061759977515E-2</v>
      </c>
      <c r="BB808" s="119"/>
      <c r="BC808" s="121"/>
      <c r="BD808" s="119"/>
      <c r="BE808" s="119"/>
      <c r="BF808" s="119"/>
      <c r="BG808" s="173"/>
      <c r="BH808" s="173"/>
      <c r="BI808" s="173"/>
      <c r="BJ808" s="173"/>
      <c r="BK808" s="173"/>
      <c r="BL808" s="173"/>
      <c r="BM808" s="173"/>
      <c r="BN808" s="173"/>
      <c r="BO808" s="173"/>
      <c r="BP808" s="173"/>
      <c r="BQ808" s="118"/>
      <c r="BR808" s="118"/>
      <c r="BS808" s="118">
        <f>INDEX('Dist. Plant Gas Additions'!$F$7:$AE$91,MATCH($C808,'Dist. Plant Gas Additions'!$D$7:$D$91,0),MATCH(Calculation!$G808,'Dist. Plant Gas Additions'!$F$5:$AE$5,0))</f>
        <v>12975</v>
      </c>
      <c r="BT808" s="118">
        <f>INDEX('Gen. Plant Additions'!$F$7:$AE$91,MATCH($C808,'Gen. Plant Additions'!$D$7:$D$91,0),MATCH(Calculation!$G808,'Gen. Plant Additions'!$F$5:$AE$5,0))</f>
        <v>186</v>
      </c>
      <c r="BU808" s="118"/>
      <c r="BV808" s="118"/>
      <c r="BW808" s="118">
        <f>INDEX('Dist Plant Depreciation'!$E$7:$AD$94,MATCH($C808,'Dist Plant Depreciation'!$D$7:$D$94,0),MATCH(Calculation!$G808,'Dist Plant Depreciation'!$E$5:$AD$5,0))</f>
        <v>86088</v>
      </c>
      <c r="BX808" s="118">
        <f>INDEX('Gen. Plant Depreciation'!$E$7:$AD$94,MATCH($C808,'Gen. Plant Depreciation'!$D$7:$D$94,0),MATCH(Calculation!$G808,'Gen. Plant Depreciation'!$E$5:$AD$5,0))</f>
        <v>9664</v>
      </c>
      <c r="BY808" s="118"/>
      <c r="BZ808" s="118"/>
      <c r="CA808" s="118"/>
      <c r="CB808" s="118"/>
      <c r="CC808" s="118"/>
      <c r="CD808" s="183"/>
      <c r="CE808" s="118">
        <f>INDEX('Gross Dx Plant'!$E$7:$AD$91,MATCH($C808,'Gross Dx Plant'!$D$7:$D$91,0),MATCH(Calculation!$G808,'Gross Dx Plant'!$E$5:$AD$5,0))</f>
        <v>280938</v>
      </c>
      <c r="CF808" s="118">
        <f>INDEX('Gross Gen Plant'!$E$7:$AD$91,MATCH($C808,'Gross Gen Plant'!$D$7:$D$91,0),MATCH(Calculation!$G808,'Gross Gen Plant'!$E$5:$AD$5,0))</f>
        <v>5893</v>
      </c>
      <c r="CG808" s="118">
        <f t="shared" si="2347"/>
        <v>191079</v>
      </c>
      <c r="CH808" s="118"/>
      <c r="CI808" s="121">
        <v>2002</v>
      </c>
      <c r="CJ808" s="118"/>
      <c r="CK808" s="118"/>
      <c r="CL808" s="118"/>
      <c r="CM808" s="183"/>
      <c r="CN808" s="118">
        <f t="shared" si="2379"/>
        <v>13161</v>
      </c>
      <c r="CO808" s="118">
        <f t="shared" si="2380"/>
        <v>36.421936647336636</v>
      </c>
      <c r="CP808" s="186">
        <v>0.97916666666666663</v>
      </c>
      <c r="CQ808" s="118">
        <f>+CQ804*CP808+CO805*CP807+CO806*CP806+CO807*CP805+CO808</f>
        <v>935.0409763387745</v>
      </c>
      <c r="CR808" s="119">
        <f t="shared" si="2381"/>
        <v>3.3957807973208264E-2</v>
      </c>
      <c r="CS808" s="119"/>
      <c r="CT808" s="177">
        <f t="shared" si="2382"/>
        <v>5.7567269121037061E-3</v>
      </c>
      <c r="CU808" s="177">
        <f t="shared" ref="CU808:CU827" si="2390">+(CT808+CT807+CT806)/3</f>
        <v>5.3044352893401999E-3</v>
      </c>
      <c r="CV808" s="119">
        <f>VLOOKUP($H808,RoR!$E:$F,2,FALSE)</f>
        <v>6.4916666666666664E-2</v>
      </c>
      <c r="CW808" s="177">
        <v>1.5246423291824351E-2</v>
      </c>
      <c r="CX808" s="177">
        <f t="shared" si="2388"/>
        <v>4.9670243374842313E-2</v>
      </c>
      <c r="CY808" s="177">
        <f t="shared" ref="CY808:CY827" si="2391">+$CX$35-CU808</f>
        <v>2.5597506319193424E-2</v>
      </c>
      <c r="CZ808" s="177">
        <f t="shared" ref="CZ808:CZ827" si="2392">+((DM806/DM805-1)+(DM807/DM806-1)+(DM808/DM807-1))/3</f>
        <v>2.5243621214759093E-2</v>
      </c>
      <c r="DA808" s="187">
        <f t="shared" si="2383"/>
        <v>0.85131374874999999</v>
      </c>
      <c r="DB808" s="188">
        <f t="shared" si="2384"/>
        <v>0.78996741384417901</v>
      </c>
      <c r="DC808" s="188">
        <f t="shared" si="2385"/>
        <v>0.58989088575096271</v>
      </c>
      <c r="DD808" s="188">
        <f t="shared" si="2386"/>
        <v>0.91920675783645744</v>
      </c>
      <c r="DE808" s="188">
        <f t="shared" si="2387"/>
        <v>0.42834536472275586</v>
      </c>
      <c r="DF808" s="189">
        <f>INDEX('State Tax Lookup'!$D$7:$Z$91,MATCH(Calculation!$C808,'State Tax Lookup'!$B$7:$B$91,0),MATCH($H808,'State Tax Lookup'!$D$6:$Z$6,0))</f>
        <v>0.39649667</v>
      </c>
      <c r="DG808" s="189">
        <v>0.375</v>
      </c>
      <c r="DH808" s="190">
        <f t="shared" si="2389"/>
        <v>13.012076647155849</v>
      </c>
      <c r="DI808" s="190"/>
      <c r="DJ808" s="177"/>
      <c r="DK808" s="189">
        <f>VLOOKUP($H808,RoR!$E:$F,2,FALSE)</f>
        <v>6.4916666666666664E-2</v>
      </c>
      <c r="DL808" s="191">
        <f>HLOOKUP($H808,'GDP-PI'!$D$8:$CQ$11,3,FALSE)</f>
        <v>1.5246423291824351E-2</v>
      </c>
      <c r="DM808" s="189">
        <f>VLOOKUP(H808,'HW Dx Data'!$E:$F,2,FALSE)</f>
        <v>361.34816573413599</v>
      </c>
      <c r="DN808" s="183">
        <f>VLOOKUP(H808,'ECI - Input Price'!$G$17:$H$37,2,FALSE)</f>
        <v>89.275000000000006</v>
      </c>
      <c r="DO808" s="177">
        <f>LN(DN808/DN807)</f>
        <v>3.5051315810864674E-2</v>
      </c>
      <c r="DP808" s="183">
        <f>HLOOKUP(H808,'GDP-PI'!$8:$9,2,FALSE)</f>
        <v>81.039000000000001</v>
      </c>
      <c r="DQ808" s="177">
        <f>LN(DP808/DP807)</f>
        <v>1.513136459537477E-2</v>
      </c>
    </row>
    <row r="809" spans="1:121" s="167" customFormat="1" ht="21" x14ac:dyDescent="0.35">
      <c r="A809" s="167" t="s">
        <v>84</v>
      </c>
      <c r="B809" s="168" t="s">
        <v>84</v>
      </c>
      <c r="C809" s="168">
        <v>4057093</v>
      </c>
      <c r="D809" s="168" t="s">
        <v>136</v>
      </c>
      <c r="E809" s="168" t="s">
        <v>126</v>
      </c>
      <c r="F809" s="168"/>
      <c r="G809" s="168" t="s">
        <v>9</v>
      </c>
      <c r="H809" s="169">
        <v>2003</v>
      </c>
      <c r="I809" s="170"/>
      <c r="J809" s="166"/>
      <c r="K809" s="166"/>
      <c r="L809" s="166"/>
      <c r="M809" s="172"/>
      <c r="N809" s="196"/>
      <c r="O809" s="172"/>
      <c r="P809" s="166"/>
      <c r="Q809" s="166"/>
      <c r="R809" s="166"/>
      <c r="S809" s="166"/>
      <c r="T809" s="166"/>
      <c r="U809" s="166"/>
      <c r="V809" s="166">
        <f t="shared" si="2377"/>
        <v>12354.457679627223</v>
      </c>
      <c r="W809" s="170"/>
      <c r="X809" s="174">
        <v>974.42346781138315</v>
      </c>
      <c r="Y809" s="175">
        <v>4.1255627747239246E-2</v>
      </c>
      <c r="Z809" s="175"/>
      <c r="AA809" s="175"/>
      <c r="AB809" s="175"/>
      <c r="AC809" s="170">
        <f t="shared" si="2271"/>
        <v>12354.457679627223</v>
      </c>
      <c r="AD809" s="175"/>
      <c r="AE809" s="170"/>
      <c r="AF809" s="170"/>
      <c r="AG809" s="174"/>
      <c r="AH809" s="175"/>
      <c r="AI809" s="175"/>
      <c r="AJ809" s="174"/>
      <c r="AK809" s="174"/>
      <c r="AL809" s="120"/>
      <c r="AM809" s="120"/>
      <c r="AN809" s="120"/>
      <c r="AO809" s="120"/>
      <c r="AP809" s="120"/>
      <c r="AQ809" s="175"/>
      <c r="AR809" s="120"/>
      <c r="AS809" s="120"/>
      <c r="AT809" s="120"/>
      <c r="AU809" s="120"/>
      <c r="AV809" s="120"/>
      <c r="AW809" s="120"/>
      <c r="AX809" s="120"/>
      <c r="AY809" s="120"/>
      <c r="AZ809" s="118">
        <f>IFERROR(INDEX('Total Customers'!$F$7:$AB$91,MATCH($C809,'Total Customers'!$D$7:$D$91,0),MATCH($G809,'Total Customers'!$F$5:$AB$5,0)),"NA")</f>
        <v>122101</v>
      </c>
      <c r="BA809" s="119">
        <f t="shared" si="2378"/>
        <v>7.5550233370046864E-3</v>
      </c>
      <c r="BB809" s="119"/>
      <c r="BC809" s="121"/>
      <c r="BD809" s="119"/>
      <c r="BE809" s="119"/>
      <c r="BF809" s="119"/>
      <c r="BG809" s="173"/>
      <c r="BH809" s="173"/>
      <c r="BI809" s="173"/>
      <c r="BJ809" s="173"/>
      <c r="BK809" s="173"/>
      <c r="BL809" s="173"/>
      <c r="BM809" s="173"/>
      <c r="BN809" s="173"/>
      <c r="BO809" s="173"/>
      <c r="BP809" s="173"/>
      <c r="BQ809" s="118"/>
      <c r="BR809" s="118"/>
      <c r="BS809" s="118">
        <f>INDEX('Dist. Plant Gas Additions'!$F$7:$AE$91,MATCH($C809,'Dist. Plant Gas Additions'!$D$7:$D$91,0),MATCH(Calculation!$G809,'Dist. Plant Gas Additions'!$F$5:$AE$5,0))</f>
        <v>15557</v>
      </c>
      <c r="BT809" s="118">
        <f>INDEX('Gen. Plant Additions'!$F$7:$AE$91,MATCH($C809,'Gen. Plant Additions'!$D$7:$D$91,0),MATCH(Calculation!$G809,'Gen. Plant Additions'!$F$5:$AE$5,0))</f>
        <v>937</v>
      </c>
      <c r="BU809" s="118"/>
      <c r="BV809" s="118"/>
      <c r="BW809" s="118">
        <f>INDEX('Dist Plant Depreciation'!$E$7:$AD$94,MATCH($C809,'Dist Plant Depreciation'!$D$7:$D$94,0),MATCH(Calculation!$G809,'Dist Plant Depreciation'!$E$5:$AD$5,0))</f>
        <v>91707</v>
      </c>
      <c r="BX809" s="118">
        <f>INDEX('Gen. Plant Depreciation'!$E$7:$AD$94,MATCH($C809,'Gen. Plant Depreciation'!$D$7:$D$94,0),MATCH(Calculation!$G809,'Gen. Plant Depreciation'!$E$5:$AD$5,0))</f>
        <v>9215</v>
      </c>
      <c r="BY809" s="118"/>
      <c r="BZ809" s="118"/>
      <c r="CA809" s="118"/>
      <c r="CB809" s="118"/>
      <c r="CC809" s="118"/>
      <c r="CD809" s="183"/>
      <c r="CE809" s="118">
        <f>INDEX('Gross Dx Plant'!$E$7:$AD$91,MATCH($C809,'Gross Dx Plant'!$D$7:$D$91,0),MATCH(Calculation!$G809,'Gross Dx Plant'!$E$5:$AD$5,0))</f>
        <v>295865</v>
      </c>
      <c r="CF809" s="118">
        <f>INDEX('Gross Gen Plant'!$E$7:$AD$91,MATCH($C809,'Gross Gen Plant'!$D$7:$D$91,0),MATCH(Calculation!$G809,'Gross Gen Plant'!$E$5:$AD$5,0))</f>
        <v>6280</v>
      </c>
      <c r="CG809" s="118">
        <f t="shared" si="2347"/>
        <v>201223</v>
      </c>
      <c r="CH809" s="118"/>
      <c r="CI809" s="121">
        <v>2003</v>
      </c>
      <c r="CJ809" s="118"/>
      <c r="CK809" s="118"/>
      <c r="CL809" s="118"/>
      <c r="CM809" s="183"/>
      <c r="CN809" s="118">
        <f t="shared" si="2379"/>
        <v>16494</v>
      </c>
      <c r="CO809" s="118">
        <f t="shared" si="2380"/>
        <v>44.670978787385039</v>
      </c>
      <c r="CP809" s="186">
        <v>0.97354497354497349</v>
      </c>
      <c r="CQ809" s="118">
        <f>+CQ804*CP809+CO805*CP808+CO806*CP807+CO807*CP806+CO808*CP805+CO809</f>
        <v>974.42346781138315</v>
      </c>
      <c r="CR809" s="119">
        <f t="shared" si="2381"/>
        <v>4.1255627747239246E-2</v>
      </c>
      <c r="CS809" s="119"/>
      <c r="CT809" s="177">
        <f t="shared" si="2382"/>
        <v>5.6558882964507845E-3</v>
      </c>
      <c r="CU809" s="177">
        <f t="shared" si="2390"/>
        <v>5.4762665309264621E-3</v>
      </c>
      <c r="CV809" s="119">
        <f>VLOOKUP($H809,RoR!$E:$F,2,FALSE)</f>
        <v>5.6666666666666671E-2</v>
      </c>
      <c r="CW809" s="177">
        <v>1.8855119140166909E-2</v>
      </c>
      <c r="CX809" s="177">
        <f t="shared" si="2388"/>
        <v>3.7811547526499761E-2</v>
      </c>
      <c r="CY809" s="177">
        <f t="shared" si="2391"/>
        <v>2.5425675077607162E-2</v>
      </c>
      <c r="CZ809" s="177">
        <f t="shared" si="2392"/>
        <v>2.1375012817671957E-2</v>
      </c>
      <c r="DA809" s="187">
        <f t="shared" si="2383"/>
        <v>0.85131374874999999</v>
      </c>
      <c r="DB809" s="188">
        <f t="shared" si="2384"/>
        <v>0.90497737556561086</v>
      </c>
      <c r="DC809" s="188">
        <f t="shared" si="2385"/>
        <v>0.5338235294117647</v>
      </c>
      <c r="DD809" s="188">
        <f t="shared" si="2386"/>
        <v>0.88972433127405692</v>
      </c>
      <c r="DE809" s="188">
        <f t="shared" si="2387"/>
        <v>0.42982423775949252</v>
      </c>
      <c r="DF809" s="189">
        <f>INDEX('State Tax Lookup'!$D$7:$Z$91,MATCH(Calculation!$C809,'State Tax Lookup'!$B$7:$B$91,0),MATCH($H809,'State Tax Lookup'!$D$6:$Z$6,0))</f>
        <v>0.39649667</v>
      </c>
      <c r="DG809" s="189">
        <v>0.375</v>
      </c>
      <c r="DH809" s="190">
        <f t="shared" si="2389"/>
        <v>13.212744673503039</v>
      </c>
      <c r="DI809" s="190"/>
      <c r="DJ809" s="177"/>
      <c r="DK809" s="189">
        <f>VLOOKUP($H809,RoR!$E:$F,2,FALSE)</f>
        <v>5.6666666666666671E-2</v>
      </c>
      <c r="DL809" s="191">
        <f>HLOOKUP($H809,'GDP-PI'!$D$8:$CQ$11,3,FALSE)</f>
        <v>1.8855119140166909E-2</v>
      </c>
      <c r="DM809" s="189">
        <f>VLOOKUP(H809,'HW Dx Data'!$E:$F,2,FALSE)</f>
        <v>369.23301095560191</v>
      </c>
      <c r="DN809" s="183">
        <f>VLOOKUP(H809,'ECI - Input Price'!$G$17:$H$37,2,FALSE)</f>
        <v>92.625</v>
      </c>
      <c r="DO809" s="177">
        <f t="shared" ref="DO809" si="2393">LN(DN809/DN808)</f>
        <v>3.6837590135738785E-2</v>
      </c>
      <c r="DP809" s="183">
        <f>HLOOKUP(H809,'GDP-PI'!$8:$9,2,FALSE)</f>
        <v>82.566999999999993</v>
      </c>
      <c r="DQ809" s="177">
        <f t="shared" ref="DQ809" si="2394">LN(DP809/DP808)</f>
        <v>1.8679564681853753E-2</v>
      </c>
    </row>
    <row r="810" spans="1:121" s="167" customFormat="1" ht="21" x14ac:dyDescent="0.35">
      <c r="A810" s="167" t="s">
        <v>84</v>
      </c>
      <c r="B810" s="168" t="s">
        <v>84</v>
      </c>
      <c r="C810" s="168">
        <v>4057093</v>
      </c>
      <c r="D810" s="168" t="s">
        <v>136</v>
      </c>
      <c r="E810" s="168" t="s">
        <v>126</v>
      </c>
      <c r="F810" s="168"/>
      <c r="G810" s="168" t="s">
        <v>10</v>
      </c>
      <c r="H810" s="169">
        <v>2004</v>
      </c>
      <c r="I810" s="170"/>
      <c r="J810" s="166">
        <f>IFERROR(INDEX('Labor Expenditures'!$F$7:$X$91,MATCH($C810,'Labor Expenditures'!$D$7:$D$91,0),MATCH($G810,'Labor Expenditures'!$F$5:$X$5,0)),"NA")</f>
        <v>16803.610059825973</v>
      </c>
      <c r="K810" s="166">
        <f t="shared" ref="K810:K827" si="2395">+J810/DN810</f>
        <v>174.71910641877798</v>
      </c>
      <c r="L810" s="172"/>
      <c r="M810" s="172"/>
      <c r="N810" s="196"/>
      <c r="O810" s="172"/>
      <c r="P810" s="166">
        <f>IFERROR(INDEX('Non-Labor Expenditures'!$F$7:$AB$91,MATCH($C810,'Non-Labor Expenditures'!$D$7:$D$91,0),MATCH($G810,'Non-Labor Expenditures'!$F$5:$AB$5,0)),"NA")</f>
        <v>24334.765848066636</v>
      </c>
      <c r="Q810" s="166">
        <f t="shared" ref="Q810:Q827" si="2396">+P810/DP810</f>
        <v>287.04104659306228</v>
      </c>
      <c r="R810" s="166"/>
      <c r="S810" s="166"/>
      <c r="T810" s="166"/>
      <c r="U810" s="166"/>
      <c r="V810" s="166">
        <f t="shared" si="2377"/>
        <v>14268.265899085405</v>
      </c>
      <c r="W810" s="170"/>
      <c r="X810" s="174">
        <v>1009.8893083304946</v>
      </c>
      <c r="Y810" s="175">
        <v>3.5750027079977667E-2</v>
      </c>
      <c r="Z810" s="175"/>
      <c r="AA810" s="175"/>
      <c r="AB810" s="175"/>
      <c r="AC810" s="170">
        <f t="shared" si="2271"/>
        <v>55406.641806978012</v>
      </c>
      <c r="AD810" s="175"/>
      <c r="AE810" s="170"/>
      <c r="AF810" s="170"/>
      <c r="AG810" s="174"/>
      <c r="AH810" s="175"/>
      <c r="AI810" s="175"/>
      <c r="AJ810" s="174"/>
      <c r="AK810" s="174"/>
      <c r="AL810" s="120">
        <f t="shared" ref="AL810:AL827" si="2397">+J810/AC810</f>
        <v>0.30327790156214984</v>
      </c>
      <c r="AM810" s="120">
        <f t="shared" ref="AM810:AM827" si="2398">+P810/AC810</f>
        <v>0.4392030459604912</v>
      </c>
      <c r="AN810" s="120">
        <f t="shared" ref="AN810:AN827" si="2399">+V810/AC810</f>
        <v>0.25751905247735901</v>
      </c>
      <c r="AO810" s="120"/>
      <c r="AP810" s="120"/>
      <c r="AQ810" s="175"/>
      <c r="AR810" s="120"/>
      <c r="AS810" s="120"/>
      <c r="AT810" s="120"/>
      <c r="AU810" s="120"/>
      <c r="AV810" s="120"/>
      <c r="AW810" s="120"/>
      <c r="AX810" s="120"/>
      <c r="AY810" s="120"/>
      <c r="AZ810" s="118">
        <f>IFERROR(INDEX('Total Customers'!$F$7:$AB$91,MATCH($C810,'Total Customers'!$D$7:$D$91,0),MATCH($G810,'Total Customers'!$F$5:$AB$5,0)),"NA")</f>
        <v>123577</v>
      </c>
      <c r="BA810" s="119">
        <f t="shared" si="2378"/>
        <v>1.2015872474082315E-2</v>
      </c>
      <c r="BB810" s="119"/>
      <c r="BC810" s="121"/>
      <c r="BD810" s="119"/>
      <c r="BE810" s="119"/>
      <c r="BF810" s="119"/>
      <c r="BG810" s="173"/>
      <c r="BH810" s="173"/>
      <c r="BI810" s="173"/>
      <c r="BJ810" s="173"/>
      <c r="BK810" s="173"/>
      <c r="BL810" s="173"/>
      <c r="BM810" s="173"/>
      <c r="BN810" s="173"/>
      <c r="BO810" s="173"/>
      <c r="BP810" s="173"/>
      <c r="BQ810" s="118"/>
      <c r="BR810" s="118"/>
      <c r="BS810" s="118">
        <f>INDEX('Dist. Plant Gas Additions'!$F$7:$AE$91,MATCH($C810,'Dist. Plant Gas Additions'!$D$7:$D$91,0),MATCH(Calculation!$G810,'Dist. Plant Gas Additions'!$F$5:$AE$5,0))</f>
        <v>16225</v>
      </c>
      <c r="BT810" s="118">
        <f>INDEX('Gen. Plant Additions'!$F$7:$AE$91,MATCH($C810,'Gen. Plant Additions'!$D$7:$D$91,0),MATCH(Calculation!$G810,'Gen. Plant Additions'!$F$5:$AE$5,0))</f>
        <v>846</v>
      </c>
      <c r="BU810" s="118"/>
      <c r="BV810" s="118"/>
      <c r="BW810" s="118">
        <f>INDEX('Dist Plant Depreciation'!$E$7:$AD$94,MATCH($C810,'Dist Plant Depreciation'!$D$7:$D$94,0),MATCH(Calculation!$G810,'Dist Plant Depreciation'!$E$5:$AD$5,0))</f>
        <v>94346</v>
      </c>
      <c r="BX810" s="118">
        <f>INDEX('Gen. Plant Depreciation'!$E$7:$AD$94,MATCH($C810,'Gen. Plant Depreciation'!$D$7:$D$94,0),MATCH(Calculation!$G810,'Gen. Plant Depreciation'!$E$5:$AD$5,0))</f>
        <v>8461</v>
      </c>
      <c r="BY810" s="118"/>
      <c r="BZ810" s="118"/>
      <c r="CA810" s="118"/>
      <c r="CB810" s="118"/>
      <c r="CC810" s="118"/>
      <c r="CD810" s="183"/>
      <c r="CE810" s="118">
        <f>INDEX('Gross Dx Plant'!$E$7:$AD$91,MATCH($C810,'Gross Dx Plant'!$D$7:$D$91,0),MATCH(Calculation!$G810,'Gross Dx Plant'!$E$5:$AD$5,0))</f>
        <v>308270</v>
      </c>
      <c r="CF810" s="118">
        <f>INDEX('Gross Gen Plant'!$E$7:$AD$91,MATCH($C810,'Gross Gen Plant'!$D$7:$D$91,0),MATCH(Calculation!$G810,'Gross Gen Plant'!$E$5:$AD$5,0))</f>
        <v>6494</v>
      </c>
      <c r="CG810" s="118">
        <f t="shared" si="2347"/>
        <v>211957</v>
      </c>
      <c r="CH810" s="118"/>
      <c r="CI810" s="121">
        <v>2004</v>
      </c>
      <c r="CJ810" s="118"/>
      <c r="CK810" s="118"/>
      <c r="CL810" s="118"/>
      <c r="CM810" s="183"/>
      <c r="CN810" s="118">
        <f t="shared" si="2379"/>
        <v>17071</v>
      </c>
      <c r="CO810" s="118">
        <f t="shared" si="2380"/>
        <v>41.146124430495838</v>
      </c>
      <c r="CP810" s="186">
        <v>0.967741935483871</v>
      </c>
      <c r="CQ810" s="118">
        <f>+CQ804*CP810+CO805*CP809+CO806*CP808+CO807*CP807+CO808*CP806+CO809*CP805+CO810</f>
        <v>1009.8893083304946</v>
      </c>
      <c r="CR810" s="119">
        <f t="shared" si="2381"/>
        <v>3.5750027079977667E-2</v>
      </c>
      <c r="CS810" s="119"/>
      <c r="CT810" s="177">
        <f t="shared" si="2382"/>
        <v>5.829379216556292E-3</v>
      </c>
      <c r="CU810" s="177">
        <f t="shared" si="2390"/>
        <v>5.7473314750369278E-3</v>
      </c>
      <c r="CV810" s="119">
        <f>VLOOKUP($H810,RoR!$E:$F,2,FALSE)</f>
        <v>5.6283333333333331E-2</v>
      </c>
      <c r="CW810" s="177">
        <v>2.6778252812867276E-2</v>
      </c>
      <c r="CX810" s="177">
        <f t="shared" si="2388"/>
        <v>2.9505080520466055E-2</v>
      </c>
      <c r="CY810" s="177">
        <f t="shared" si="2391"/>
        <v>2.5154610133496697E-2</v>
      </c>
      <c r="CZ810" s="177">
        <f t="shared" si="2392"/>
        <v>5.5940039414565046E-2</v>
      </c>
      <c r="DA810" s="187">
        <f t="shared" si="2383"/>
        <v>0.85131374874999999</v>
      </c>
      <c r="DB810" s="188">
        <f t="shared" si="2384"/>
        <v>0.91114097628755619</v>
      </c>
      <c r="DC810" s="188">
        <f t="shared" si="2385"/>
        <v>0.53081877405981637</v>
      </c>
      <c r="DD810" s="188">
        <f t="shared" si="2386"/>
        <v>0.88811215519385678</v>
      </c>
      <c r="DE810" s="188">
        <f t="shared" si="2387"/>
        <v>0.42953609753547711</v>
      </c>
      <c r="DF810" s="189">
        <f>INDEX('State Tax Lookup'!$D$7:$Z$91,MATCH(Calculation!$C810,'State Tax Lookup'!$B$7:$B$91,0),MATCH($H810,'State Tax Lookup'!$D$6:$Z$6,0))</f>
        <v>0.39649667</v>
      </c>
      <c r="DG810" s="189">
        <v>0.375</v>
      </c>
      <c r="DH810" s="190">
        <f t="shared" si="2389"/>
        <v>14.642777365710243</v>
      </c>
      <c r="DI810" s="190"/>
      <c r="DJ810" s="177"/>
      <c r="DK810" s="189">
        <f>VLOOKUP($H810,RoR!$E:$F,2,FALSE)</f>
        <v>5.6283333333333331E-2</v>
      </c>
      <c r="DL810" s="191">
        <f>HLOOKUP($H810,'GDP-PI'!$D$8:$CQ$11,3,FALSE)</f>
        <v>2.6778252812867276E-2</v>
      </c>
      <c r="DM810" s="189">
        <f>VLOOKUP(H810,'HW Dx Data'!$E:$F,2,FALSE)</f>
        <v>414.88719135228365</v>
      </c>
      <c r="DN810" s="183">
        <f>VLOOKUP(H810,'ECI - Input Price'!$G$17:$H$37,2,FALSE)</f>
        <v>96.174999999999997</v>
      </c>
      <c r="DO810" s="177">
        <f t="shared" ref="DO810" si="2400">LN(DN810/DN809)</f>
        <v>3.7610365022107912E-2</v>
      </c>
      <c r="DP810" s="183">
        <f>HLOOKUP(H810,'GDP-PI'!$8:$9,2,FALSE)</f>
        <v>84.778000000000006</v>
      </c>
      <c r="DQ810" s="177">
        <f t="shared" ref="DQ810" si="2401">LN(DP810/DP809)</f>
        <v>2.6425990216022755E-2</v>
      </c>
    </row>
    <row r="811" spans="1:121" s="167" customFormat="1" ht="21" x14ac:dyDescent="0.35">
      <c r="A811" s="167" t="s">
        <v>84</v>
      </c>
      <c r="B811" s="168" t="s">
        <v>84</v>
      </c>
      <c r="C811" s="168">
        <v>4057093</v>
      </c>
      <c r="D811" s="168" t="s">
        <v>136</v>
      </c>
      <c r="E811" s="168" t="s">
        <v>126</v>
      </c>
      <c r="F811" s="168"/>
      <c r="G811" s="168" t="s">
        <v>11</v>
      </c>
      <c r="H811" s="169">
        <v>2005</v>
      </c>
      <c r="I811" s="170"/>
      <c r="J811" s="166">
        <f>IFERROR(INDEX('Labor Expenditures'!$F$7:$X$91,MATCH($C811,'Labor Expenditures'!$D$7:$D$91,0),MATCH($G811,'Labor Expenditures'!$F$5:$X$5,0)),"NA")</f>
        <v>16115.466828067429</v>
      </c>
      <c r="K811" s="166">
        <f t="shared" si="2395"/>
        <v>162.5362262034032</v>
      </c>
      <c r="L811" s="172">
        <f t="shared" ref="L811:L827" si="2402">LN(K811/K810)</f>
        <v>-7.2278670775106246E-2</v>
      </c>
      <c r="M811" s="172"/>
      <c r="N811" s="196"/>
      <c r="O811" s="172"/>
      <c r="P811" s="166">
        <f>IFERROR(INDEX('Non-Labor Expenditures'!$F$7:$AB$91,MATCH($C811,'Non-Labor Expenditures'!$D$7:$D$91,0),MATCH($G811,'Non-Labor Expenditures'!$F$5:$AB$5,0)),"NA")</f>
        <v>23338.205921053581</v>
      </c>
      <c r="Q811" s="166">
        <f t="shared" si="2396"/>
        <v>267.00614276949881</v>
      </c>
      <c r="R811" s="172">
        <f>LN(Q811/Q810)</f>
        <v>-7.2353560258393471E-2</v>
      </c>
      <c r="S811" s="172"/>
      <c r="T811" s="172"/>
      <c r="U811" s="172"/>
      <c r="V811" s="166">
        <f t="shared" si="2377"/>
        <v>16626.026431384489</v>
      </c>
      <c r="W811" s="170"/>
      <c r="X811" s="174">
        <v>1042.6172698828514</v>
      </c>
      <c r="Y811" s="175">
        <v>3.1893428325918224E-2</v>
      </c>
      <c r="Z811" s="175"/>
      <c r="AA811" s="175"/>
      <c r="AB811" s="175"/>
      <c r="AC811" s="170">
        <f t="shared" si="2271"/>
        <v>56079.6991805055</v>
      </c>
      <c r="AD811" s="175">
        <f>LN(AC811/AC810)</f>
        <v>1.2074403818459482E-2</v>
      </c>
      <c r="AE811" s="170"/>
      <c r="AF811" s="170"/>
      <c r="AG811" s="121"/>
      <c r="AH811" s="119"/>
      <c r="AI811" s="119"/>
      <c r="AJ811" s="121"/>
      <c r="AK811" s="121"/>
      <c r="AL811" s="120">
        <f t="shared" si="2397"/>
        <v>0.28736721244163715</v>
      </c>
      <c r="AM811" s="120">
        <f t="shared" si="2398"/>
        <v>0.41616139640717686</v>
      </c>
      <c r="AN811" s="120">
        <f t="shared" si="2399"/>
        <v>0.29647139115118598</v>
      </c>
      <c r="AO811" s="120">
        <f t="shared" ref="AO811:AO827" si="2403">+(((AL811+AL810)/2)*L811+((AM810+AM811)/2)*R811+((AN810+AN811)/2)*Y811)</f>
        <v>-4.3455525978315188E-2</v>
      </c>
      <c r="AP811" s="173">
        <v>100</v>
      </c>
      <c r="AQ811" s="175"/>
      <c r="AR811" s="120"/>
      <c r="AS811" s="120"/>
      <c r="AT811" s="120"/>
      <c r="AU811" s="120"/>
      <c r="AV811" s="120"/>
      <c r="AW811" s="120"/>
      <c r="AX811" s="120"/>
      <c r="AY811" s="120"/>
      <c r="AZ811" s="118">
        <f>IFERROR(INDEX('Total Customers'!$F$7:$AB$91,MATCH($C811,'Total Customers'!$D$7:$D$91,0),MATCH($G811,'Total Customers'!$F$5:$AB$5,0)),"NA")</f>
        <v>124098</v>
      </c>
      <c r="BA811" s="119">
        <f t="shared" si="2378"/>
        <v>4.2071324798480681E-3</v>
      </c>
      <c r="BB811" s="119"/>
      <c r="BC811" s="121"/>
      <c r="BD811" s="119"/>
      <c r="BE811" s="119"/>
      <c r="BF811" s="119"/>
      <c r="BG811" s="173"/>
      <c r="BH811" s="173"/>
      <c r="BI811" s="173"/>
      <c r="BJ811" s="173"/>
      <c r="BK811" s="173"/>
      <c r="BL811" s="173"/>
      <c r="BM811" s="173"/>
      <c r="BN811" s="173"/>
      <c r="BO811" s="173"/>
      <c r="BP811" s="173"/>
      <c r="BQ811" s="118"/>
      <c r="BR811" s="118"/>
      <c r="BS811" s="118">
        <f>INDEX('Dist. Plant Gas Additions'!$F$7:$AE$91,MATCH($C811,'Dist. Plant Gas Additions'!$D$7:$D$91,0),MATCH(Calculation!$G811,'Dist. Plant Gas Additions'!$F$5:$AE$5,0))</f>
        <v>17182</v>
      </c>
      <c r="BT811" s="118">
        <f>INDEX('Gen. Plant Additions'!$F$7:$AE$91,MATCH($C811,'Gen. Plant Additions'!$D$7:$D$91,0),MATCH(Calculation!$G811,'Gen. Plant Additions'!$F$5:$AE$5,0))</f>
        <v>1022</v>
      </c>
      <c r="BU811" s="118"/>
      <c r="BV811" s="118"/>
      <c r="BW811" s="118">
        <f>INDEX('Dist Plant Depreciation'!$E$7:$AD$94,MATCH($C811,'Dist Plant Depreciation'!$D$7:$D$94,0),MATCH(Calculation!$G811,'Dist Plant Depreciation'!$E$5:$AD$5,0))</f>
        <v>100043</v>
      </c>
      <c r="BX811" s="118">
        <f>INDEX('Gen. Plant Depreciation'!$E$7:$AD$94,MATCH($C811,'Gen. Plant Depreciation'!$D$7:$D$94,0),MATCH(Calculation!$G811,'Gen. Plant Depreciation'!$E$5:$AD$5,0))</f>
        <v>2987</v>
      </c>
      <c r="BY811" s="118"/>
      <c r="BZ811" s="118"/>
      <c r="CA811" s="118"/>
      <c r="CB811" s="118"/>
      <c r="CC811" s="118"/>
      <c r="CD811" s="183"/>
      <c r="CE811" s="118">
        <f>INDEX('Gross Dx Plant'!$E$7:$AD$91,MATCH($C811,'Gross Dx Plant'!$D$7:$D$91,0),MATCH(Calculation!$G811,'Gross Dx Plant'!$E$5:$AD$5,0))</f>
        <v>324371</v>
      </c>
      <c r="CF811" s="118">
        <f>INDEX('Gross Gen Plant'!$E$7:$AD$91,MATCH($C811,'Gross Gen Plant'!$D$7:$D$91,0),MATCH(Calculation!$G811,'Gross Gen Plant'!$E$5:$AD$5,0))</f>
        <v>7189</v>
      </c>
      <c r="CG811" s="118">
        <f t="shared" si="2347"/>
        <v>228530</v>
      </c>
      <c r="CH811" s="118"/>
      <c r="CI811" s="121">
        <v>2005</v>
      </c>
      <c r="CJ811" s="118"/>
      <c r="CK811" s="118"/>
      <c r="CL811" s="118"/>
      <c r="CM811" s="183"/>
      <c r="CN811" s="118">
        <f t="shared" si="2379"/>
        <v>18204</v>
      </c>
      <c r="CO811" s="118">
        <f t="shared" si="2380"/>
        <v>38.797528915488002</v>
      </c>
      <c r="CP811" s="186">
        <v>0.96174863387978138</v>
      </c>
      <c r="CQ811" s="118">
        <f>+CQ804*CP811+CO805*CP810+CO806*CP809+CO807*CP808+CO808*CP807+CO809*CP806+CO810*CP805+CO811</f>
        <v>1042.6172698828514</v>
      </c>
      <c r="CR811" s="119">
        <f t="shared" si="2381"/>
        <v>3.1893428325918224E-2</v>
      </c>
      <c r="CS811" s="119"/>
      <c r="CT811" s="177">
        <f t="shared" si="2382"/>
        <v>6.0101313213872798E-3</v>
      </c>
      <c r="CU811" s="177">
        <f t="shared" si="2390"/>
        <v>5.8317996114647863E-3</v>
      </c>
      <c r="CV811" s="119">
        <f>VLOOKUP($H811,RoR!$E:$F,2,FALSE)</f>
        <v>5.2350000000000001E-2</v>
      </c>
      <c r="CW811" s="177">
        <v>3.1010403642454332E-2</v>
      </c>
      <c r="CX811" s="177">
        <f t="shared" si="2388"/>
        <v>2.1339596357545669E-2</v>
      </c>
      <c r="CY811" s="177">
        <f t="shared" si="2391"/>
        <v>2.5070141997068838E-2</v>
      </c>
      <c r="CZ811" s="177">
        <f t="shared" si="2392"/>
        <v>9.2129610649277341E-2</v>
      </c>
      <c r="DA811" s="187">
        <f t="shared" si="2383"/>
        <v>0.85131374874999999</v>
      </c>
      <c r="DB811" s="188">
        <f t="shared" si="2384"/>
        <v>0.97959983346802826</v>
      </c>
      <c r="DC811" s="188">
        <f t="shared" si="2385"/>
        <v>0.49744508118433622</v>
      </c>
      <c r="DD811" s="188">
        <f t="shared" si="2386"/>
        <v>0.87010519444335932</v>
      </c>
      <c r="DE811" s="188">
        <f t="shared" si="2387"/>
        <v>0.42399975420741998</v>
      </c>
      <c r="DF811" s="189">
        <f>INDEX('State Tax Lookup'!$D$7:$Z$91,MATCH(Calculation!$C811,'State Tax Lookup'!$B$7:$B$91,0),MATCH($H811,'State Tax Lookup'!$D$6:$Z$6,0))</f>
        <v>0.39649667</v>
      </c>
      <c r="DG811" s="189">
        <v>0.375</v>
      </c>
      <c r="DH811" s="190">
        <f t="shared" si="2389"/>
        <v>16.463216606253528</v>
      </c>
      <c r="DI811" s="190"/>
      <c r="DJ811" s="177"/>
      <c r="DK811" s="189">
        <f>VLOOKUP($H811,RoR!$E:$F,2,FALSE)</f>
        <v>5.2350000000000001E-2</v>
      </c>
      <c r="DL811" s="191">
        <f>HLOOKUP($H811,'GDP-PI'!$D$8:$CQ$11,3,FALSE)</f>
        <v>3.1010403642454332E-2</v>
      </c>
      <c r="DM811" s="189">
        <f>VLOOKUP(H811,'HW Dx Data'!$E:$F,2,FALSE)</f>
        <v>469.20514034936258</v>
      </c>
      <c r="DN811" s="183">
        <f>VLOOKUP(H811,'ECI - Input Price'!$G$17:$H$37,2,FALSE)</f>
        <v>99.15</v>
      </c>
      <c r="DO811" s="177">
        <f t="shared" ref="DO811" si="2404">LN(DN811/DN810)</f>
        <v>3.046440632744625E-2</v>
      </c>
      <c r="DP811" s="183">
        <f>HLOOKUP(H811,'GDP-PI'!$8:$9,2,FALSE)</f>
        <v>87.406999999999996</v>
      </c>
      <c r="DQ811" s="177">
        <f t="shared" ref="DQ811" si="2405">LN(DP811/DP810)</f>
        <v>3.0539295810733648E-2</v>
      </c>
    </row>
    <row r="812" spans="1:121" s="167" customFormat="1" ht="21" x14ac:dyDescent="0.35">
      <c r="A812" s="167" t="s">
        <v>84</v>
      </c>
      <c r="B812" s="168" t="s">
        <v>84</v>
      </c>
      <c r="C812" s="168">
        <v>4057093</v>
      </c>
      <c r="D812" s="168" t="s">
        <v>136</v>
      </c>
      <c r="E812" s="168" t="s">
        <v>126</v>
      </c>
      <c r="F812" s="168"/>
      <c r="G812" s="168" t="s">
        <v>12</v>
      </c>
      <c r="H812" s="169">
        <v>2006</v>
      </c>
      <c r="I812" s="170"/>
      <c r="J812" s="166">
        <f>IFERROR(INDEX('Labor Expenditures'!$F$7:$X$91,MATCH($C812,'Labor Expenditures'!$D$7:$D$91,0),MATCH($G812,'Labor Expenditures'!$F$5:$X$5,0)),"NA")</f>
        <v>16486.183717010565</v>
      </c>
      <c r="K812" s="166">
        <f t="shared" si="2395"/>
        <v>161.55006092122062</v>
      </c>
      <c r="L812" s="172">
        <f t="shared" si="2402"/>
        <v>-6.0858380320999482E-3</v>
      </c>
      <c r="M812" s="172">
        <f t="shared" ref="M812:M827" si="2406">+L812*AR812</f>
        <v>-4.3703727428839805E-5</v>
      </c>
      <c r="N812" s="196"/>
      <c r="O812" s="172"/>
      <c r="P812" s="166">
        <f>IFERROR(INDEX('Non-Labor Expenditures'!$F$7:$AB$91,MATCH($C812,'Non-Labor Expenditures'!$D$7:$D$91,0),MATCH($G812,'Non-Labor Expenditures'!$F$5:$AB$5,0)),"NA")</f>
        <v>23875.073216607118</v>
      </c>
      <c r="Q812" s="166">
        <f t="shared" si="2396"/>
        <v>265.06065253688212</v>
      </c>
      <c r="R812" s="172">
        <f t="shared" ref="R812:R827" si="2407">LN(Q812/Q811)</f>
        <v>-7.312987467505516E-3</v>
      </c>
      <c r="S812" s="172">
        <f>+R812*AR812</f>
        <v>-5.2516154600996071E-5</v>
      </c>
      <c r="T812" s="172"/>
      <c r="U812" s="172"/>
      <c r="V812" s="166">
        <f t="shared" si="2377"/>
        <v>16762.014029689242</v>
      </c>
      <c r="W812" s="170"/>
      <c r="X812" s="174">
        <v>1081.4760468529091</v>
      </c>
      <c r="Y812" s="175">
        <v>3.6592660626369698E-2</v>
      </c>
      <c r="Z812" s="175">
        <f>+Y812*AR812</f>
        <v>2.6277985997584557E-4</v>
      </c>
      <c r="AA812" s="175"/>
      <c r="AB812" s="175"/>
      <c r="AC812" s="170">
        <f t="shared" si="2271"/>
        <v>57123.270963306924</v>
      </c>
      <c r="AD812" s="175">
        <f t="shared" ref="AD812:AD827" si="2408">LN(AC812/AC811)</f>
        <v>1.8437702557261931E-2</v>
      </c>
      <c r="AE812" s="170"/>
      <c r="AF812" s="170"/>
      <c r="AG812" s="121">
        <f t="shared" ref="AG812:AG827" si="2409">+(AC812*1000)/AZ812</f>
        <v>456.17235622295368</v>
      </c>
      <c r="AH812" s="119">
        <f>+AZ812/$BB$44</f>
        <v>3.5620849969581342E-3</v>
      </c>
      <c r="AI812" s="119">
        <f>+AZ812/$BC$44</f>
        <v>1.5183372846906356E-2</v>
      </c>
      <c r="AJ812" s="176">
        <f>+AH812*AG812</f>
        <v>1.6249247061288248</v>
      </c>
      <c r="AK812" s="176">
        <f>+AI812*AG812</f>
        <v>6.9262349669848886</v>
      </c>
      <c r="AL812" s="120">
        <f t="shared" si="2397"/>
        <v>0.2886071374939374</v>
      </c>
      <c r="AM812" s="120">
        <f t="shared" si="2398"/>
        <v>0.41795703946896262</v>
      </c>
      <c r="AN812" s="120">
        <f t="shared" si="2399"/>
        <v>0.29343582303709997</v>
      </c>
      <c r="AO812" s="120">
        <f t="shared" si="2403"/>
        <v>5.9905451087548254E-3</v>
      </c>
      <c r="AP812" s="173">
        <f>+AP811*EXP(AO812)</f>
        <v>100.60085243079095</v>
      </c>
      <c r="AQ812" s="175">
        <f>LN(AP812/AP811)</f>
        <v>5.990545108754749E-3</v>
      </c>
      <c r="AR812" s="177">
        <f>+AC812/$AE$44</f>
        <v>7.1812176397602259E-3</v>
      </c>
      <c r="AS812" s="177">
        <f>+AR812*AQ812</f>
        <v>4.3019408206768947E-5</v>
      </c>
      <c r="AT812" s="177"/>
      <c r="AU812" s="177"/>
      <c r="AV812" s="177"/>
      <c r="AW812" s="190"/>
      <c r="AX812" s="120"/>
      <c r="AY812" s="120"/>
      <c r="AZ812" s="118">
        <f>IFERROR(INDEX('Total Customers'!$F$7:$AB$91,MATCH($C812,'Total Customers'!$D$7:$D$91,0),MATCH($G812,'Total Customers'!$F$5:$AB$5,0)),"NA")</f>
        <v>125223</v>
      </c>
      <c r="BA812" s="119">
        <f t="shared" si="2378"/>
        <v>9.0245718191502185E-3</v>
      </c>
      <c r="BB812" s="119"/>
      <c r="BC812" s="121">
        <v>8247377</v>
      </c>
      <c r="BD812" s="119"/>
      <c r="BE812" s="119"/>
      <c r="BF812" s="119"/>
      <c r="BG812" s="173"/>
      <c r="BH812" s="173"/>
      <c r="BI812" s="173"/>
      <c r="BJ812" s="173"/>
      <c r="BK812" s="173"/>
      <c r="BL812" s="173"/>
      <c r="BM812" s="173"/>
      <c r="BN812" s="173"/>
      <c r="BO812" s="173"/>
      <c r="BP812" s="173"/>
      <c r="BQ812" s="118"/>
      <c r="BR812" s="118"/>
      <c r="BS812" s="118">
        <f>INDEX('Dist. Plant Gas Additions'!$F$7:$AE$91,MATCH($C812,'Dist. Plant Gas Additions'!$D$7:$D$91,0),MATCH(Calculation!$G812,'Dist. Plant Gas Additions'!$F$5:$AE$5,0))</f>
        <v>19456</v>
      </c>
      <c r="BT812" s="118">
        <f>INDEX('Gen. Plant Additions'!$F$7:$AE$91,MATCH($C812,'Gen. Plant Additions'!$D$7:$D$91,0),MATCH(Calculation!$G812,'Gen. Plant Additions'!$F$5:$AE$5,0))</f>
        <v>1441</v>
      </c>
      <c r="BU812" s="118"/>
      <c r="BV812" s="118"/>
      <c r="BW812" s="118">
        <f>INDEX('Dist Plant Depreciation'!$E$7:$AD$94,MATCH($C812,'Dist Plant Depreciation'!$D$7:$D$94,0),MATCH(Calculation!$G812,'Dist Plant Depreciation'!$E$5:$AD$5,0))</f>
        <v>105825</v>
      </c>
      <c r="BX812" s="118">
        <f>INDEX('Gen. Plant Depreciation'!$E$7:$AD$94,MATCH($C812,'Gen. Plant Depreciation'!$D$7:$D$94,0),MATCH(Calculation!$G812,'Gen. Plant Depreciation'!$E$5:$AD$5,0))</f>
        <v>2562</v>
      </c>
      <c r="BY812" s="118"/>
      <c r="BZ812" s="118"/>
      <c r="CA812" s="118"/>
      <c r="CB812" s="118"/>
      <c r="CC812" s="118"/>
      <c r="CD812" s="183"/>
      <c r="CE812" s="118">
        <f>INDEX('Gross Dx Plant'!$E$7:$AD$91,MATCH($C812,'Gross Dx Plant'!$D$7:$D$91,0),MATCH(Calculation!$G812,'Gross Dx Plant'!$E$5:$AD$5,0))</f>
        <v>342381</v>
      </c>
      <c r="CF812" s="118">
        <f>INDEX('Gross Gen Plant'!$E$7:$AD$91,MATCH($C812,'Gross Gen Plant'!$D$7:$D$91,0),MATCH(Calculation!$G812,'Gross Gen Plant'!$E$5:$AD$5,0))</f>
        <v>7676</v>
      </c>
      <c r="CG812" s="118">
        <f t="shared" si="2347"/>
        <v>241670</v>
      </c>
      <c r="CH812" s="119" t="e">
        <f>SUM(#REF!)/15</f>
        <v>#REF!</v>
      </c>
      <c r="CI812" s="121">
        <v>2006</v>
      </c>
      <c r="CJ812" s="118"/>
      <c r="CK812" s="118"/>
      <c r="CL812" s="118"/>
      <c r="CM812" s="183"/>
      <c r="CN812" s="118">
        <f t="shared" si="2379"/>
        <v>20897</v>
      </c>
      <c r="CO812" s="118">
        <f t="shared" si="2380"/>
        <v>45.32129544664798</v>
      </c>
      <c r="CP812" s="186">
        <v>0.9555555555555556</v>
      </c>
      <c r="CQ812" s="118">
        <f>+CQ804*CP812+CO805*CP811+CO806*CP810+CO807*CP809+CO808*CP808+CO809*CP807+CO810*CP806+CO811*CP805+CO812</f>
        <v>1081.4760468529091</v>
      </c>
      <c r="CR812" s="119">
        <f t="shared" si="2381"/>
        <v>3.6592660626369698E-2</v>
      </c>
      <c r="CS812" s="119"/>
      <c r="CT812" s="177">
        <f t="shared" si="2382"/>
        <v>6.1983612426795391E-3</v>
      </c>
      <c r="CU812" s="177">
        <f t="shared" si="2390"/>
        <v>6.0126239268743706E-3</v>
      </c>
      <c r="CV812" s="119">
        <f>VLOOKUP($H812,RoR!$E:$F,2,FALSE)</f>
        <v>5.5874999999999994E-2</v>
      </c>
      <c r="CW812" s="177">
        <v>3.0512430354548314E-2</v>
      </c>
      <c r="CX812" s="177">
        <f t="shared" si="2388"/>
        <v>2.536256964545168E-2</v>
      </c>
      <c r="CY812" s="177">
        <f t="shared" si="2391"/>
        <v>2.4889317681659254E-2</v>
      </c>
      <c r="CZ812" s="177">
        <f t="shared" si="2392"/>
        <v>7.9087823893859641E-2</v>
      </c>
      <c r="DA812" s="187">
        <f t="shared" si="2383"/>
        <v>0.85131374874999999</v>
      </c>
      <c r="DB812" s="188">
        <f t="shared" si="2384"/>
        <v>0.91779957551769631</v>
      </c>
      <c r="DC812" s="188">
        <f t="shared" si="2385"/>
        <v>0.52757270693512304</v>
      </c>
      <c r="DD812" s="188">
        <f t="shared" si="2386"/>
        <v>0.88636824549024895</v>
      </c>
      <c r="DE812" s="188">
        <f t="shared" si="2387"/>
        <v>0.42918482841932087</v>
      </c>
      <c r="DF812" s="189">
        <f>INDEX('State Tax Lookup'!$D$7:$Z$91,MATCH(Calculation!$C812,'State Tax Lookup'!$B$7:$B$91,0),MATCH($H812,'State Tax Lookup'!$D$6:$Z$6,0))</f>
        <v>0.39649667</v>
      </c>
      <c r="DG812" s="189">
        <v>0.375</v>
      </c>
      <c r="DH812" s="190">
        <f t="shared" si="2389"/>
        <v>16.076862060392138</v>
      </c>
      <c r="DI812" s="190">
        <v>15.615086447652967</v>
      </c>
      <c r="DJ812" s="177"/>
      <c r="DK812" s="189">
        <f>VLOOKUP($H812,RoR!$E:$F,2,FALSE)</f>
        <v>5.5874999999999994E-2</v>
      </c>
      <c r="DL812" s="191">
        <f>HLOOKUP($H812,'GDP-PI'!$D$8:$CQ$11,3,FALSE)</f>
        <v>3.0512430354548314E-2</v>
      </c>
      <c r="DM812" s="189">
        <f>VLOOKUP(H812,'HW Dx Data'!$E:$F,2,FALSE)</f>
        <v>461.08567272971823</v>
      </c>
      <c r="DN812" s="183">
        <f>VLOOKUP(H812,'ECI - Input Price'!$G$17:$H$37,2,FALSE)</f>
        <v>102.05</v>
      </c>
      <c r="DO812" s="177">
        <f t="shared" ref="DO812" si="2410">LN(DN812/DN811)</f>
        <v>2.8829034290048662E-2</v>
      </c>
      <c r="DP812" s="183">
        <f>HLOOKUP(H812,'GDP-PI'!$8:$9,2,FALSE)</f>
        <v>90.073999999999998</v>
      </c>
      <c r="DQ812" s="177">
        <f t="shared" ref="DQ812" si="2411">LN(DP812/DP811)</f>
        <v>3.005618372545445E-2</v>
      </c>
    </row>
    <row r="813" spans="1:121" s="167" customFormat="1" ht="21" x14ac:dyDescent="0.35">
      <c r="A813" s="167" t="s">
        <v>84</v>
      </c>
      <c r="B813" s="168" t="s">
        <v>84</v>
      </c>
      <c r="C813" s="168">
        <v>4057093</v>
      </c>
      <c r="D813" s="168" t="s">
        <v>136</v>
      </c>
      <c r="E813" s="168" t="s">
        <v>126</v>
      </c>
      <c r="F813" s="168"/>
      <c r="G813" s="168" t="s">
        <v>13</v>
      </c>
      <c r="H813" s="169">
        <v>2007</v>
      </c>
      <c r="I813" s="170"/>
      <c r="J813" s="166">
        <f>IFERROR(INDEX('Labor Expenditures'!$F$7:$X$91,MATCH($C813,'Labor Expenditures'!$D$7:$D$91,0),MATCH($G813,'Labor Expenditures'!$F$5:$X$5,0)),"NA")</f>
        <v>18938.125283413814</v>
      </c>
      <c r="K813" s="166">
        <f t="shared" si="2395"/>
        <v>179.9774320115354</v>
      </c>
      <c r="L813" s="172">
        <f t="shared" si="2402"/>
        <v>0.10801639594120971</v>
      </c>
      <c r="M813" s="172">
        <f t="shared" si="2406"/>
        <v>8.3609680814617632E-4</v>
      </c>
      <c r="N813" s="196"/>
      <c r="O813" s="172"/>
      <c r="P813" s="166">
        <f>IFERROR(INDEX('Non-Labor Expenditures'!$F$7:$AB$91,MATCH($C813,'Non-Labor Expenditures'!$D$7:$D$91,0),MATCH($G813,'Non-Labor Expenditures'!$F$5:$AB$5,0)),"NA")</f>
        <v>27425.942564272918</v>
      </c>
      <c r="Q813" s="166">
        <f t="shared" si="2396"/>
        <v>296.50308724808013</v>
      </c>
      <c r="R813" s="172">
        <f t="shared" si="2407"/>
        <v>0.1120989533919521</v>
      </c>
      <c r="S813" s="172">
        <f t="shared" ref="S813:S827" si="2412">+R813*AR813</f>
        <v>8.6769768895594639E-4</v>
      </c>
      <c r="T813" s="172"/>
      <c r="U813" s="172"/>
      <c r="V813" s="166">
        <f t="shared" si="2377"/>
        <v>18670.978046433622</v>
      </c>
      <c r="W813" s="170"/>
      <c r="X813" s="174">
        <v>1113.6869343255655</v>
      </c>
      <c r="Y813" s="175">
        <v>2.9349255489111728E-2</v>
      </c>
      <c r="Z813" s="175">
        <f t="shared" ref="Z813:Z827" si="2413">+Y813*AR813</f>
        <v>2.2717679683803511E-4</v>
      </c>
      <c r="AA813" s="175"/>
      <c r="AB813" s="175"/>
      <c r="AC813" s="170">
        <f t="shared" si="2271"/>
        <v>65035.045894120354</v>
      </c>
      <c r="AD813" s="175">
        <f t="shared" si="2408"/>
        <v>0.12971471104332008</v>
      </c>
      <c r="AE813" s="170"/>
      <c r="AF813" s="170"/>
      <c r="AG813" s="121">
        <f t="shared" si="2409"/>
        <v>518.02179213923569</v>
      </c>
      <c r="AH813" s="119">
        <f>+AZ813/$BB$45</f>
        <v>3.5444681582303349E-3</v>
      </c>
      <c r="AI813" s="119">
        <f>+AZ813/$BC$45</f>
        <v>1.5333259157544613E-2</v>
      </c>
      <c r="AJ813" s="176">
        <f t="shared" ref="AJ813:AJ827" si="2414">+AH813*AG813</f>
        <v>1.8361117475069342</v>
      </c>
      <c r="AK813" s="176">
        <f t="shared" ref="AK813:AK827" si="2415">+AI813*AG813</f>
        <v>7.9429623881266078</v>
      </c>
      <c r="AL813" s="120">
        <f t="shared" si="2397"/>
        <v>0.291198768649227</v>
      </c>
      <c r="AM813" s="120">
        <f t="shared" si="2398"/>
        <v>0.42171020543175208</v>
      </c>
      <c r="AN813" s="120">
        <f t="shared" si="2399"/>
        <v>0.28709102591902091</v>
      </c>
      <c r="AO813" s="120">
        <f t="shared" si="2403"/>
        <v>8.6896197243094067E-2</v>
      </c>
      <c r="AP813" s="173">
        <f>+AP812*EXP(AO813)</f>
        <v>109.73374463714765</v>
      </c>
      <c r="AQ813" s="175">
        <f>LN(AP813/AP812)</f>
        <v>8.6896197243094081E-2</v>
      </c>
      <c r="AR813" s="177">
        <f>+AC813/$AE$45</f>
        <v>7.740461999873059E-3</v>
      </c>
      <c r="AS813" s="177">
        <f t="shared" ref="AS813:AS827" si="2416">+AR813*AQ813</f>
        <v>6.726167126936438E-4</v>
      </c>
      <c r="AT813" s="177"/>
      <c r="AU813" s="177"/>
      <c r="AV813" s="177"/>
      <c r="AW813" s="190"/>
      <c r="AX813" s="120"/>
      <c r="AY813" s="120"/>
      <c r="AZ813" s="118">
        <f>IFERROR(INDEX('Total Customers'!$F$7:$AB$91,MATCH($C813,'Total Customers'!$D$7:$D$91,0),MATCH($G813,'Total Customers'!$F$5:$AB$5,0)),"NA")</f>
        <v>125545</v>
      </c>
      <c r="BA813" s="119">
        <f t="shared" si="2378"/>
        <v>2.5681121751672848E-3</v>
      </c>
      <c r="BB813" s="119"/>
      <c r="BC813" s="121">
        <v>8187757</v>
      </c>
      <c r="BD813" s="119"/>
      <c r="BE813" s="119"/>
      <c r="BF813" s="119"/>
      <c r="BG813" s="173"/>
      <c r="BH813" s="173"/>
      <c r="BI813" s="173"/>
      <c r="BJ813" s="173"/>
      <c r="BK813" s="173"/>
      <c r="BL813" s="173"/>
      <c r="BM813" s="173"/>
      <c r="BN813" s="173"/>
      <c r="BO813" s="173"/>
      <c r="BP813" s="173"/>
      <c r="BQ813" s="118"/>
      <c r="BR813" s="118"/>
      <c r="BS813" s="118">
        <f>INDEX('Dist. Plant Gas Additions'!$F$7:$AE$91,MATCH($C813,'Dist. Plant Gas Additions'!$D$7:$D$91,0),MATCH(Calculation!$G813,'Dist. Plant Gas Additions'!$F$5:$AE$5,0))</f>
        <v>17723</v>
      </c>
      <c r="BT813" s="118">
        <f>INDEX('Gen. Plant Additions'!$F$7:$AE$91,MATCH($C813,'Gen. Plant Additions'!$D$7:$D$91,0),MATCH(Calculation!$G813,'Gen. Plant Additions'!$F$5:$AE$5,0))</f>
        <v>1757</v>
      </c>
      <c r="BU813" s="118"/>
      <c r="BV813" s="118"/>
      <c r="BW813" s="118">
        <f>INDEX('Dist Plant Depreciation'!$E$7:$AD$94,MATCH($C813,'Dist Plant Depreciation'!$D$7:$D$94,0),MATCH(Calculation!$G813,'Dist Plant Depreciation'!$E$5:$AD$5,0))</f>
        <v>111909</v>
      </c>
      <c r="BX813" s="118">
        <f>INDEX('Gen. Plant Depreciation'!$E$7:$AD$94,MATCH($C813,'Gen. Plant Depreciation'!$D$7:$D$94,0),MATCH(Calculation!$G813,'Gen. Plant Depreciation'!$E$5:$AD$5,0))</f>
        <v>2352</v>
      </c>
      <c r="BY813" s="118"/>
      <c r="BZ813" s="118"/>
      <c r="CA813" s="118"/>
      <c r="CB813" s="118"/>
      <c r="CC813" s="118"/>
      <c r="CD813" s="183"/>
      <c r="CE813" s="118">
        <f>INDEX('Gross Dx Plant'!$E$7:$AD$91,MATCH($C813,'Gross Dx Plant'!$D$7:$D$91,0),MATCH(Calculation!$G813,'Gross Dx Plant'!$E$5:$AD$5,0))</f>
        <v>359065</v>
      </c>
      <c r="CF813" s="118">
        <f>INDEX('Gross Gen Plant'!$E$7:$AD$91,MATCH($C813,'Gross Gen Plant'!$D$7:$D$91,0),MATCH(Calculation!$G813,'Gross Gen Plant'!$E$5:$AD$5,0))</f>
        <v>8641</v>
      </c>
      <c r="CG813" s="118">
        <f t="shared" si="2347"/>
        <v>253445</v>
      </c>
      <c r="CH813" s="118"/>
      <c r="CI813" s="121">
        <v>2007</v>
      </c>
      <c r="CJ813" s="118"/>
      <c r="CK813" s="118"/>
      <c r="CL813" s="118"/>
      <c r="CM813" s="183"/>
      <c r="CN813" s="118">
        <f t="shared" si="2379"/>
        <v>19480</v>
      </c>
      <c r="CO813" s="118">
        <f t="shared" si="2380"/>
        <v>39.114713125519216</v>
      </c>
      <c r="CP813" s="186">
        <v>0.94915254237288138</v>
      </c>
      <c r="CQ813" s="118">
        <f>+CQ804*CP813+CO805*CP812+CO806*CP811+CO807*CP810+CO808*CP809+CO809*CP808+CO810*CP807+CO811*CP806+CO812*CP805+CO813</f>
        <v>1113.6869343255655</v>
      </c>
      <c r="CR813" s="119">
        <f t="shared" si="2381"/>
        <v>2.9349255489111728E-2</v>
      </c>
      <c r="CS813" s="119"/>
      <c r="CT813" s="177">
        <f t="shared" si="2382"/>
        <v>6.3837064842563324E-3</v>
      </c>
      <c r="CU813" s="177">
        <f t="shared" si="2390"/>
        <v>6.197399682774384E-3</v>
      </c>
      <c r="CV813" s="119">
        <f>VLOOKUP($H813,RoR!$E:$F,2,FALSE)</f>
        <v>5.5558333333333321E-2</v>
      </c>
      <c r="CW813" s="177">
        <v>2.691120634145272E-2</v>
      </c>
      <c r="CX813" s="177">
        <f t="shared" si="2388"/>
        <v>2.86471269918806E-2</v>
      </c>
      <c r="CY813" s="177">
        <f t="shared" si="2391"/>
        <v>2.470454192575924E-2</v>
      </c>
      <c r="CZ813" s="177">
        <f t="shared" si="2392"/>
        <v>6.4575155250632399E-2</v>
      </c>
      <c r="DA813" s="187">
        <f t="shared" si="2383"/>
        <v>0.85131374874999999</v>
      </c>
      <c r="DB813" s="188">
        <f t="shared" si="2384"/>
        <v>0.92303077153834634</v>
      </c>
      <c r="DC813" s="188">
        <f t="shared" si="2385"/>
        <v>0.52502249887505614</v>
      </c>
      <c r="DD813" s="188">
        <f t="shared" si="2386"/>
        <v>0.88499666072084604</v>
      </c>
      <c r="DE813" s="188">
        <f t="shared" si="2387"/>
        <v>0.42887993290280618</v>
      </c>
      <c r="DF813" s="189">
        <f>INDEX('State Tax Lookup'!$D$7:$Z$91,MATCH(Calculation!$C813,'State Tax Lookup'!$B$7:$B$91,0),MATCH($H813,'State Tax Lookup'!$D$6:$Z$6,0))</f>
        <v>0.39649667</v>
      </c>
      <c r="DG813" s="189">
        <v>0.375</v>
      </c>
      <c r="DH813" s="190">
        <f t="shared" si="2389"/>
        <v>17.264347278671675</v>
      </c>
      <c r="DI813" s="190">
        <v>17.023167140337694</v>
      </c>
      <c r="DJ813" s="177"/>
      <c r="DK813" s="189">
        <f>VLOOKUP($H813,RoR!$E:$F,2,FALSE)</f>
        <v>5.5558333333333321E-2</v>
      </c>
      <c r="DL813" s="191">
        <f>HLOOKUP($H813,'GDP-PI'!$D$8:$CQ$11,3,FALSE)</f>
        <v>2.691120634145272E-2</v>
      </c>
      <c r="DM813" s="189">
        <f>VLOOKUP(H813,'HW Dx Data'!$E:$F,2,FALSE)</f>
        <v>498.0223154772637</v>
      </c>
      <c r="DN813" s="183">
        <f>VLOOKUP(H813,'ECI - Input Price'!$G$17:$H$37,2,FALSE)</f>
        <v>105.22500000000001</v>
      </c>
      <c r="DO813" s="177">
        <f t="shared" ref="DO813" si="2417">LN(DN813/DN812)</f>
        <v>3.0638025400780679E-2</v>
      </c>
      <c r="DP813" s="183">
        <f>HLOOKUP(H813,'GDP-PI'!$8:$9,2,FALSE)</f>
        <v>92.498000000000005</v>
      </c>
      <c r="DQ813" s="177">
        <f t="shared" ref="DQ813" si="2418">LN(DP813/DP812)</f>
        <v>2.6555467950038037E-2</v>
      </c>
    </row>
    <row r="814" spans="1:121" s="167" customFormat="1" ht="21" x14ac:dyDescent="0.35">
      <c r="A814" s="167" t="s">
        <v>84</v>
      </c>
      <c r="B814" s="168" t="s">
        <v>84</v>
      </c>
      <c r="C814" s="168">
        <v>4057093</v>
      </c>
      <c r="D814" s="168" t="s">
        <v>136</v>
      </c>
      <c r="E814" s="168" t="s">
        <v>126</v>
      </c>
      <c r="F814" s="168"/>
      <c r="G814" s="168" t="s">
        <v>14</v>
      </c>
      <c r="H814" s="169">
        <v>2008</v>
      </c>
      <c r="I814" s="170"/>
      <c r="J814" s="166">
        <f>IFERROR(INDEX('Labor Expenditures'!$F$7:$X$91,MATCH($C814,'Labor Expenditures'!$D$7:$D$91,0),MATCH($G814,'Labor Expenditures'!$F$5:$X$5,0)),"NA")</f>
        <v>18943.461785304688</v>
      </c>
      <c r="K814" s="166">
        <f t="shared" si="2395"/>
        <v>175.03776193397727</v>
      </c>
      <c r="L814" s="172">
        <f t="shared" si="2402"/>
        <v>-2.7829732190382251E-2</v>
      </c>
      <c r="M814" s="172">
        <f t="shared" si="2406"/>
        <v>-2.1135539901627685E-4</v>
      </c>
      <c r="N814" s="196"/>
      <c r="O814" s="172"/>
      <c r="P814" s="166">
        <f>IFERROR(INDEX('Non-Labor Expenditures'!$F$7:$AB$91,MATCH($C814,'Non-Labor Expenditures'!$D$7:$D$91,0),MATCH($G814,'Non-Labor Expenditures'!$F$5:$AB$5,0)),"NA")</f>
        <v>27433.670815731974</v>
      </c>
      <c r="Q814" s="166">
        <f t="shared" si="2396"/>
        <v>291.030200455444</v>
      </c>
      <c r="R814" s="172">
        <f t="shared" si="2407"/>
        <v>-1.863058726700452E-2</v>
      </c>
      <c r="S814" s="172">
        <f t="shared" si="2412"/>
        <v>-1.4149166721360467E-4</v>
      </c>
      <c r="T814" s="172"/>
      <c r="U814" s="172"/>
      <c r="V814" s="166">
        <f t="shared" si="2377"/>
        <v>21837.818140144838</v>
      </c>
      <c r="W814" s="170"/>
      <c r="X814" s="174">
        <v>1144.5522760622903</v>
      </c>
      <c r="Y814" s="175">
        <v>2.7337461686639378E-2</v>
      </c>
      <c r="Z814" s="175">
        <f t="shared" si="2413"/>
        <v>2.076168064911761E-4</v>
      </c>
      <c r="AA814" s="175"/>
      <c r="AB814" s="175"/>
      <c r="AC814" s="170">
        <f t="shared" si="2271"/>
        <v>68214.950741181499</v>
      </c>
      <c r="AD814" s="175">
        <f t="shared" si="2408"/>
        <v>4.7737467704470987E-2</v>
      </c>
      <c r="AE814" s="170"/>
      <c r="AF814" s="170"/>
      <c r="AG814" s="121">
        <f t="shared" si="2409"/>
        <v>539.02278682592657</v>
      </c>
      <c r="AH814" s="119">
        <f>+AZ814/$BB$46</f>
        <v>3.5538762525923326E-3</v>
      </c>
      <c r="AI814" s="119">
        <f>+AZ814/$BC$46</f>
        <v>1.5350722643459141E-2</v>
      </c>
      <c r="AJ814" s="176">
        <f t="shared" si="2414"/>
        <v>1.9156202817067995</v>
      </c>
      <c r="AK814" s="176">
        <f t="shared" si="2415"/>
        <v>8.2743892990692007</v>
      </c>
      <c r="AL814" s="120">
        <f t="shared" si="2397"/>
        <v>0.27770249160157323</v>
      </c>
      <c r="AM814" s="120">
        <f t="shared" si="2398"/>
        <v>0.40216507550990888</v>
      </c>
      <c r="AN814" s="120">
        <f t="shared" si="2399"/>
        <v>0.32013243288851784</v>
      </c>
      <c r="AO814" s="120">
        <f t="shared" si="2403"/>
        <v>-7.2908509969412359E-3</v>
      </c>
      <c r="AP814" s="173">
        <f t="shared" ref="AP814:AP827" si="2419">+AP813*EXP(AO814)</f>
        <v>108.93660171191546</v>
      </c>
      <c r="AQ814" s="175">
        <f t="shared" ref="AQ814:AQ827" si="2420">LN(AP814/AP813)</f>
        <v>-7.2908509969412281E-3</v>
      </c>
      <c r="AR814" s="177">
        <f>+AC814/$AE$46</f>
        <v>7.5945897563944112E-3</v>
      </c>
      <c r="AS814" s="177">
        <f t="shared" si="2416"/>
        <v>-5.5371022296767835E-5</v>
      </c>
      <c r="AT814" s="177"/>
      <c r="AU814" s="177"/>
      <c r="AV814" s="177"/>
      <c r="AW814" s="190"/>
      <c r="AX814" s="120"/>
      <c r="AY814" s="120"/>
      <c r="AZ814" s="118">
        <f>IFERROR(INDEX('Total Customers'!$F$7:$AB$91,MATCH($C814,'Total Customers'!$D$7:$D$91,0),MATCH($G814,'Total Customers'!$F$5:$AB$5,0)),"NA")</f>
        <v>126553</v>
      </c>
      <c r="BA814" s="119">
        <f t="shared" si="2378"/>
        <v>7.9969327156314881E-3</v>
      </c>
      <c r="BB814" s="119"/>
      <c r="BC814" s="121">
        <v>8244107</v>
      </c>
      <c r="BD814" s="119"/>
      <c r="BE814" s="119"/>
      <c r="BF814" s="119"/>
      <c r="BG814" s="173"/>
      <c r="BH814" s="173"/>
      <c r="BI814" s="173"/>
      <c r="BJ814" s="173"/>
      <c r="BK814" s="173"/>
      <c r="BL814" s="173"/>
      <c r="BM814" s="173"/>
      <c r="BN814" s="173"/>
      <c r="BO814" s="173"/>
      <c r="BP814" s="173"/>
      <c r="BQ814" s="118"/>
      <c r="BR814" s="118"/>
      <c r="BS814" s="118">
        <f>INDEX('Dist. Plant Gas Additions'!$F$7:$AE$91,MATCH($C814,'Dist. Plant Gas Additions'!$D$7:$D$91,0),MATCH(Calculation!$G814,'Dist. Plant Gas Additions'!$F$5:$AE$5,0))</f>
        <v>20764</v>
      </c>
      <c r="BT814" s="118">
        <f>INDEX('Gen. Plant Additions'!$F$7:$AE$91,MATCH($C814,'Gen. Plant Additions'!$D$7:$D$91,0),MATCH(Calculation!$G814,'Gen. Plant Additions'!$F$5:$AE$5,0))</f>
        <v>1004</v>
      </c>
      <c r="BU814" s="118"/>
      <c r="BV814" s="118"/>
      <c r="BW814" s="118">
        <f>INDEX('Dist Plant Depreciation'!$E$7:$AD$94,MATCH($C814,'Dist Plant Depreciation'!$D$7:$D$94,0),MATCH(Calculation!$G814,'Dist Plant Depreciation'!$E$5:$AD$5,0))</f>
        <v>118144</v>
      </c>
      <c r="BX814" s="118">
        <f>INDEX('Gen. Plant Depreciation'!$E$7:$AD$94,MATCH($C814,'Gen. Plant Depreciation'!$D$7:$D$94,0),MATCH(Calculation!$G814,'Gen. Plant Depreciation'!$E$5:$AD$5,0))</f>
        <v>12065</v>
      </c>
      <c r="BY814" s="118"/>
      <c r="BZ814" s="118"/>
      <c r="CA814" s="118"/>
      <c r="CB814" s="118"/>
      <c r="CC814" s="118"/>
      <c r="CD814" s="183"/>
      <c r="CE814" s="118">
        <f>INDEX('Gross Dx Plant'!$E$7:$AD$91,MATCH($C814,'Gross Dx Plant'!$D$7:$D$91,0),MATCH(Calculation!$G814,'Gross Dx Plant'!$E$5:$AD$5,0))</f>
        <v>378241</v>
      </c>
      <c r="CF814" s="118">
        <f>INDEX('Gross Gen Plant'!$E$7:$AD$91,MATCH($C814,'Gross Gen Plant'!$D$7:$D$91,0),MATCH(Calculation!$G814,'Gross Gen Plant'!$E$5:$AD$5,0))</f>
        <v>9328</v>
      </c>
      <c r="CG814" s="118">
        <f t="shared" si="2347"/>
        <v>257360</v>
      </c>
      <c r="CH814" s="118"/>
      <c r="CI814" s="121">
        <v>2008</v>
      </c>
      <c r="CJ814" s="118"/>
      <c r="CK814" s="118"/>
      <c r="CL814" s="118"/>
      <c r="CM814" s="183"/>
      <c r="CN814" s="118">
        <f t="shared" si="2379"/>
        <v>21768</v>
      </c>
      <c r="CO814" s="118">
        <f t="shared" si="2380"/>
        <v>38.197434610241217</v>
      </c>
      <c r="CP814" s="186">
        <v>0.94252873563218387</v>
      </c>
      <c r="CQ814" s="118">
        <f>+CQ804*CP814+CO805*CP813+CO806*CP812+CO807*CP811+CO808*CP810+CO809*CP809+CO810*CP808+CO811*CP807+CO812*CP806+CO813*CP805+CO814</f>
        <v>1144.5522760622903</v>
      </c>
      <c r="CR814" s="119">
        <f t="shared" si="2381"/>
        <v>2.7337461686639378E-2</v>
      </c>
      <c r="CS814" s="119"/>
      <c r="CT814" s="177">
        <f t="shared" si="2382"/>
        <v>6.5836211663528937E-3</v>
      </c>
      <c r="CU814" s="177">
        <f t="shared" si="2390"/>
        <v>6.3885629644295887E-3</v>
      </c>
      <c r="CV814" s="119">
        <f>VLOOKUP($H814,RoR!$E:$F,2,FALSE)</f>
        <v>5.6316666666666668E-2</v>
      </c>
      <c r="CW814" s="177">
        <v>1.9092304698479889E-2</v>
      </c>
      <c r="CX814" s="177">
        <f t="shared" si="2388"/>
        <v>3.7224361968186778E-2</v>
      </c>
      <c r="CY814" s="177">
        <f t="shared" si="2391"/>
        <v>2.4513378644104036E-2</v>
      </c>
      <c r="CZ814" s="177">
        <f t="shared" si="2392"/>
        <v>6.9030581091053131E-2</v>
      </c>
      <c r="DA814" s="187">
        <f t="shared" si="2383"/>
        <v>0.85131374874999999</v>
      </c>
      <c r="DB814" s="188">
        <f t="shared" si="2384"/>
        <v>0.91060168006009956</v>
      </c>
      <c r="DC814" s="188">
        <f t="shared" si="2385"/>
        <v>0.53108168097070152</v>
      </c>
      <c r="DD814" s="188">
        <f t="shared" si="2386"/>
        <v>0.88825329850328805</v>
      </c>
      <c r="DE814" s="188">
        <f t="shared" si="2387"/>
        <v>0.4295627335323573</v>
      </c>
      <c r="DF814" s="189">
        <f>INDEX('State Tax Lookup'!$D$7:$Z$91,MATCH(Calculation!$C814,'State Tax Lookup'!$B$7:$B$91,0),MATCH($H814,'State Tax Lookup'!$D$6:$Z$6,0))</f>
        <v>0.39649667</v>
      </c>
      <c r="DG814" s="189">
        <v>0.375</v>
      </c>
      <c r="DH814" s="190">
        <f t="shared" si="2389"/>
        <v>19.608578916632023</v>
      </c>
      <c r="DI814" s="190">
        <v>19.340845692432389</v>
      </c>
      <c r="DJ814" s="177"/>
      <c r="DK814" s="189">
        <f>VLOOKUP($H814,RoR!$E:$F,2,FALSE)</f>
        <v>5.6316666666666668E-2</v>
      </c>
      <c r="DL814" s="191">
        <f>HLOOKUP($H814,'GDP-PI'!$D$8:$CQ$11,3,FALSE)</f>
        <v>1.9092304698479889E-2</v>
      </c>
      <c r="DM814" s="189">
        <f>VLOOKUP(H814,'HW Dx Data'!$E:$F,2,FALSE)</f>
        <v>569.88120333515076</v>
      </c>
      <c r="DN814" s="183">
        <f>VLOOKUP(H814,'ECI - Input Price'!$G$17:$H$37,2,FALSE)</f>
        <v>108.22499999999999</v>
      </c>
      <c r="DO814" s="177">
        <f t="shared" ref="DO814" si="2421">LN(DN814/DN813)</f>
        <v>2.8111478671409691E-2</v>
      </c>
      <c r="DP814" s="183">
        <f>HLOOKUP(H814,'GDP-PI'!$8:$9,2,FALSE)</f>
        <v>94.263999999999996</v>
      </c>
      <c r="DQ814" s="177">
        <f t="shared" ref="DQ814" si="2422">LN(DP814/DP813)</f>
        <v>1.8912333748032254E-2</v>
      </c>
    </row>
    <row r="815" spans="1:121" s="167" customFormat="1" ht="21" x14ac:dyDescent="0.35">
      <c r="A815" s="167" t="s">
        <v>84</v>
      </c>
      <c r="B815" s="168" t="s">
        <v>84</v>
      </c>
      <c r="C815" s="168">
        <v>4057093</v>
      </c>
      <c r="D815" s="168" t="s">
        <v>136</v>
      </c>
      <c r="E815" s="168" t="s">
        <v>126</v>
      </c>
      <c r="F815" s="168"/>
      <c r="G815" s="168" t="s">
        <v>15</v>
      </c>
      <c r="H815" s="169">
        <v>2009</v>
      </c>
      <c r="I815" s="170"/>
      <c r="J815" s="166">
        <f>IFERROR(INDEX('Labor Expenditures'!$F$7:$X$91,MATCH($C815,'Labor Expenditures'!$D$7:$D$91,0),MATCH($G815,'Labor Expenditures'!$F$5:$X$5,0)),"NA")</f>
        <v>20132.788260648049</v>
      </c>
      <c r="K815" s="166">
        <f t="shared" si="2395"/>
        <v>183.40048518012344</v>
      </c>
      <c r="L815" s="172">
        <f t="shared" si="2402"/>
        <v>4.6670472168217861E-2</v>
      </c>
      <c r="M815" s="172">
        <f t="shared" si="2406"/>
        <v>3.5275922025553106E-4</v>
      </c>
      <c r="N815" s="196"/>
      <c r="O815" s="172"/>
      <c r="P815" s="166">
        <f>IFERROR(INDEX('Non-Labor Expenditures'!$F$7:$AB$91,MATCH($C815,'Non-Labor Expenditures'!$D$7:$D$91,0),MATCH($G815,'Non-Labor Expenditures'!$F$5:$AB$5,0)),"NA")</f>
        <v>29156.037687573487</v>
      </c>
      <c r="Q815" s="166">
        <f t="shared" si="2396"/>
        <v>306.90889048909452</v>
      </c>
      <c r="R815" s="172">
        <f t="shared" si="2407"/>
        <v>5.3123886469645061E-2</v>
      </c>
      <c r="S815" s="172">
        <f t="shared" si="2412"/>
        <v>4.0153741535825017E-4</v>
      </c>
      <c r="T815" s="172"/>
      <c r="U815" s="172"/>
      <c r="V815" s="166">
        <f t="shared" si="2377"/>
        <v>21525.986547294357</v>
      </c>
      <c r="W815" s="170"/>
      <c r="X815" s="174">
        <v>1177.6486013617775</v>
      </c>
      <c r="Y815" s="175">
        <v>2.8506204414887007E-2</v>
      </c>
      <c r="Z815" s="175">
        <f t="shared" si="2413"/>
        <v>2.1546442482080219E-4</v>
      </c>
      <c r="AA815" s="175"/>
      <c r="AB815" s="175"/>
      <c r="AC815" s="170">
        <f t="shared" si="2271"/>
        <v>70814.812495515886</v>
      </c>
      <c r="AD815" s="175">
        <f t="shared" si="2408"/>
        <v>3.7404434952078028E-2</v>
      </c>
      <c r="AE815" s="170"/>
      <c r="AF815" s="170"/>
      <c r="AG815" s="121">
        <f t="shared" si="2409"/>
        <v>554.74025487267056</v>
      </c>
      <c r="AH815" s="119">
        <f>+AZ815/$BB$47</f>
        <v>3.5796222881592384E-3</v>
      </c>
      <c r="AI815" s="119">
        <f>+AZ815/$BC$47</f>
        <v>1.5312088121934379E-2</v>
      </c>
      <c r="AJ815" s="176">
        <f t="shared" si="2414"/>
        <v>1.9857605804813481</v>
      </c>
      <c r="AK815" s="176">
        <f t="shared" si="2415"/>
        <v>8.4942316673946685</v>
      </c>
      <c r="AL815" s="120">
        <f t="shared" si="2397"/>
        <v>0.28430193558618672</v>
      </c>
      <c r="AM815" s="120">
        <f t="shared" si="2398"/>
        <v>0.41172230300574048</v>
      </c>
      <c r="AN815" s="120">
        <f t="shared" si="2399"/>
        <v>0.30397576140807292</v>
      </c>
      <c r="AO815" s="120">
        <f t="shared" si="2403"/>
        <v>4.3628414218224297E-2</v>
      </c>
      <c r="AP815" s="173">
        <f t="shared" si="2419"/>
        <v>113.79453430235152</v>
      </c>
      <c r="AQ815" s="175">
        <f t="shared" si="2420"/>
        <v>4.362841421822438E-2</v>
      </c>
      <c r="AR815" s="177">
        <f>+AC815/$AE$47</f>
        <v>7.5585097786037975E-3</v>
      </c>
      <c r="AS815" s="177">
        <f t="shared" si="2416"/>
        <v>3.2976579549342594E-4</v>
      </c>
      <c r="AT815" s="177"/>
      <c r="AU815" s="177"/>
      <c r="AV815" s="177"/>
      <c r="AW815" s="190"/>
      <c r="AX815" s="120"/>
      <c r="AY815" s="120"/>
      <c r="AZ815" s="118">
        <f>IFERROR(INDEX('Total Customers'!$F$7:$AB$91,MATCH($C815,'Total Customers'!$D$7:$D$91,0),MATCH($G815,'Total Customers'!$F$5:$AB$5,0)),"NA")</f>
        <v>127654</v>
      </c>
      <c r="BA815" s="119">
        <f t="shared" si="2378"/>
        <v>8.6622861248595185E-3</v>
      </c>
      <c r="BB815" s="119"/>
      <c r="BC815" s="121">
        <v>8336812</v>
      </c>
      <c r="BD815" s="119"/>
      <c r="BE815" s="119"/>
      <c r="BF815" s="119"/>
      <c r="BG815" s="173"/>
      <c r="BH815" s="173"/>
      <c r="BI815" s="173"/>
      <c r="BJ815" s="173"/>
      <c r="BK815" s="173"/>
      <c r="BL815" s="173"/>
      <c r="BM815" s="173"/>
      <c r="BN815" s="173"/>
      <c r="BO815" s="173"/>
      <c r="BP815" s="173"/>
      <c r="BQ815" s="118"/>
      <c r="BR815" s="118"/>
      <c r="BS815" s="118">
        <f>INDEX('Dist. Plant Gas Additions'!$F$7:$AE$91,MATCH($C815,'Dist. Plant Gas Additions'!$D$7:$D$91,0),MATCH(Calculation!$G815,'Dist. Plant Gas Additions'!$F$5:$AE$5,0))</f>
        <v>21247</v>
      </c>
      <c r="BT815" s="118">
        <f>INDEX('Gen. Plant Additions'!$F$7:$AE$91,MATCH($C815,'Gen. Plant Additions'!$D$7:$D$91,0),MATCH(Calculation!$G815,'Gen. Plant Additions'!$F$5:$AE$5,0))</f>
        <v>1270</v>
      </c>
      <c r="BU815" s="118"/>
      <c r="BV815" s="118"/>
      <c r="BW815" s="118">
        <f>INDEX('Dist Plant Depreciation'!$E$7:$AD$94,MATCH($C815,'Dist Plant Depreciation'!$D$7:$D$94,0),MATCH(Calculation!$G815,'Dist Plant Depreciation'!$E$5:$AD$5,0))</f>
        <v>125793</v>
      </c>
      <c r="BX815" s="118">
        <f>INDEX('Gen. Plant Depreciation'!$E$7:$AD$94,MATCH($C815,'Gen. Plant Depreciation'!$D$7:$D$94,0),MATCH(Calculation!$G815,'Gen. Plant Depreciation'!$E$5:$AD$5,0))</f>
        <v>13095</v>
      </c>
      <c r="BY815" s="118"/>
      <c r="BZ815" s="118"/>
      <c r="CA815" s="118"/>
      <c r="CB815" s="118"/>
      <c r="CC815" s="118"/>
      <c r="CD815" s="183"/>
      <c r="CE815" s="118">
        <f>INDEX('Gross Dx Plant'!$E$7:$AD$91,MATCH($C815,'Gross Dx Plant'!$D$7:$D$91,0),MATCH(Calculation!$G815,'Gross Dx Plant'!$E$5:$AD$5,0))</f>
        <v>398805</v>
      </c>
      <c r="CF815" s="118">
        <f>INDEX('Gross Gen Plant'!$E$7:$AD$91,MATCH($C815,'Gross Gen Plant'!$D$7:$D$91,0),MATCH(Calculation!$G815,'Gross Gen Plant'!$E$5:$AD$5,0))</f>
        <v>10438</v>
      </c>
      <c r="CG815" s="118">
        <f t="shared" si="2347"/>
        <v>270355</v>
      </c>
      <c r="CH815" s="118"/>
      <c r="CI815" s="121">
        <v>2009</v>
      </c>
      <c r="CJ815" s="118"/>
      <c r="CK815" s="118"/>
      <c r="CL815" s="118"/>
      <c r="CM815" s="183"/>
      <c r="CN815" s="118">
        <f t="shared" si="2379"/>
        <v>22517</v>
      </c>
      <c r="CO815" s="118">
        <f t="shared" si="2380"/>
        <v>40.870101960367052</v>
      </c>
      <c r="CP815" s="186">
        <v>0.93567251461988299</v>
      </c>
      <c r="CQ815" s="118">
        <f>+CQ804*CP815+CO805*CP814+CO806*CP813+CO807*CP812+CO808*CP811+CO809*CP810+CO810*CP809+CO811*CP808+CO812*CP807+CO813*CP806+CO814*CP805+CO815</f>
        <v>1177.6486013617775</v>
      </c>
      <c r="CR815" s="119">
        <f t="shared" si="2381"/>
        <v>2.8506204414887007E-2</v>
      </c>
      <c r="CS815" s="119"/>
      <c r="CT815" s="177">
        <f t="shared" si="2382"/>
        <v>6.791980430657687E-3</v>
      </c>
      <c r="CU815" s="177">
        <f t="shared" si="2390"/>
        <v>6.586436027088971E-3</v>
      </c>
      <c r="CV815" s="119">
        <f>VLOOKUP($H815,RoR!$E:$F,2,FALSE)</f>
        <v>5.3133333333333324E-2</v>
      </c>
      <c r="CW815" s="177">
        <v>7.7972502758210105E-3</v>
      </c>
      <c r="CX815" s="177">
        <f t="shared" si="2388"/>
        <v>4.5336083057512314E-2</v>
      </c>
      <c r="CY815" s="177">
        <f t="shared" si="2391"/>
        <v>2.4315505581444654E-2</v>
      </c>
      <c r="CZ815" s="177">
        <f t="shared" si="2392"/>
        <v>6.3720160300892073E-2</v>
      </c>
      <c r="DA815" s="187">
        <f t="shared" si="2383"/>
        <v>0.85131374874999999</v>
      </c>
      <c r="DB815" s="188">
        <f t="shared" si="2384"/>
        <v>0.96515780330083989</v>
      </c>
      <c r="DC815" s="188">
        <f t="shared" si="2385"/>
        <v>0.50448557089084056</v>
      </c>
      <c r="DD815" s="188">
        <f t="shared" si="2386"/>
        <v>0.87391435735465484</v>
      </c>
      <c r="DE815" s="188">
        <f t="shared" si="2387"/>
        <v>0.42551605393279146</v>
      </c>
      <c r="DF815" s="189">
        <f>INDEX('State Tax Lookup'!$D$7:$Z$91,MATCH(Calculation!$C815,'State Tax Lookup'!$B$7:$B$91,0),MATCH($H815,'State Tax Lookup'!$D$6:$Z$6,0))</f>
        <v>0.39649667</v>
      </c>
      <c r="DG815" s="189">
        <v>0.375</v>
      </c>
      <c r="DH815" s="190">
        <f t="shared" si="2389"/>
        <v>18.807342397109384</v>
      </c>
      <c r="DI815" s="190">
        <v>18.477927052858622</v>
      </c>
      <c r="DJ815" s="177"/>
      <c r="DK815" s="189">
        <f>VLOOKUP($H815,RoR!$E:$F,2,FALSE)</f>
        <v>5.3133333333333324E-2</v>
      </c>
      <c r="DL815" s="191">
        <f>HLOOKUP($H815,'GDP-PI'!$D$8:$CQ$11,3,FALSE)</f>
        <v>7.7972502758210105E-3</v>
      </c>
      <c r="DM815" s="189">
        <f>VLOOKUP(H815,'HW Dx Data'!$E:$F,2,FALSE)</f>
        <v>550.94063679692806</v>
      </c>
      <c r="DN815" s="183">
        <f>VLOOKUP(H815,'ECI - Input Price'!$G$17:$H$37,2,FALSE)</f>
        <v>109.77499999999999</v>
      </c>
      <c r="DO815" s="177">
        <f t="shared" ref="DO815" si="2423">LN(DN815/DN814)</f>
        <v>1.4220423119736749E-2</v>
      </c>
      <c r="DP815" s="183">
        <f>HLOOKUP(H815,'GDP-PI'!$8:$9,2,FALSE)</f>
        <v>94.998999999999995</v>
      </c>
      <c r="DQ815" s="177">
        <f t="shared" ref="DQ815" si="2424">LN(DP815/DP814)</f>
        <v>7.7670088183096342E-3</v>
      </c>
    </row>
    <row r="816" spans="1:121" s="167" customFormat="1" ht="21" x14ac:dyDescent="0.35">
      <c r="A816" s="167" t="s">
        <v>84</v>
      </c>
      <c r="B816" s="168" t="s">
        <v>84</v>
      </c>
      <c r="C816" s="168">
        <v>4057093</v>
      </c>
      <c r="D816" s="168" t="s">
        <v>136</v>
      </c>
      <c r="E816" s="168" t="s">
        <v>126</v>
      </c>
      <c r="F816" s="168"/>
      <c r="G816" s="168" t="s">
        <v>16</v>
      </c>
      <c r="H816" s="169">
        <v>2010</v>
      </c>
      <c r="I816" s="170"/>
      <c r="J816" s="166">
        <f>IFERROR(INDEX('Labor Expenditures'!$F$7:$X$91,MATCH($C816,'Labor Expenditures'!$D$7:$D$91,0),MATCH($G816,'Labor Expenditures'!$F$5:$X$5,0)),"NA")</f>
        <v>21971.480532592574</v>
      </c>
      <c r="K816" s="166">
        <f t="shared" si="2395"/>
        <v>196.39312207903976</v>
      </c>
      <c r="L816" s="172">
        <f t="shared" si="2402"/>
        <v>6.8446170049085084E-2</v>
      </c>
      <c r="M816" s="172">
        <f t="shared" si="2406"/>
        <v>5.3917802717722582E-4</v>
      </c>
      <c r="N816" s="196"/>
      <c r="O816" s="172"/>
      <c r="P816" s="166">
        <f>IFERROR(INDEX('Non-Labor Expenditures'!$F$7:$AB$91,MATCH($C816,'Non-Labor Expenditures'!$D$7:$D$91,0),MATCH($G816,'Non-Labor Expenditures'!$F$5:$AB$5,0)),"NA")</f>
        <v>31818.807517694335</v>
      </c>
      <c r="Q816" s="166">
        <f t="shared" si="2396"/>
        <v>331.07000923632893</v>
      </c>
      <c r="R816" s="172">
        <f t="shared" si="2407"/>
        <v>7.5778931389173187E-2</v>
      </c>
      <c r="S816" s="172">
        <f t="shared" si="2412"/>
        <v>5.9694113927356125E-4</v>
      </c>
      <c r="T816" s="172"/>
      <c r="U816" s="172"/>
      <c r="V816" s="166">
        <f t="shared" si="2377"/>
        <v>22708.416856539163</v>
      </c>
      <c r="W816" s="170"/>
      <c r="X816" s="174">
        <v>1234.0330050841039</v>
      </c>
      <c r="Y816" s="175">
        <v>4.6767931869331182E-2</v>
      </c>
      <c r="Z816" s="175">
        <f t="shared" si="2413"/>
        <v>3.6840982077421524E-4</v>
      </c>
      <c r="AA816" s="175"/>
      <c r="AB816" s="175"/>
      <c r="AC816" s="170">
        <f t="shared" si="2271"/>
        <v>76498.704906826068</v>
      </c>
      <c r="AD816" s="175">
        <f t="shared" si="2408"/>
        <v>7.7205616511241637E-2</v>
      </c>
      <c r="AE816" s="170"/>
      <c r="AF816" s="170"/>
      <c r="AG816" s="121">
        <f t="shared" si="2409"/>
        <v>596.24402698986023</v>
      </c>
      <c r="AH816" s="119">
        <f>+AZ816/$BB$48</f>
        <v>3.5779590780732535E-3</v>
      </c>
      <c r="AI816" s="119">
        <f>+AZ816/$BC$48</f>
        <v>1.5267674277715521E-2</v>
      </c>
      <c r="AJ816" s="176">
        <f t="shared" si="2414"/>
        <v>2.1333367291153245</v>
      </c>
      <c r="AK816" s="176">
        <f t="shared" si="2415"/>
        <v>9.1032595941146077</v>
      </c>
      <c r="AL816" s="120">
        <f t="shared" si="2397"/>
        <v>0.28721375818523215</v>
      </c>
      <c r="AM816" s="120">
        <f t="shared" si="2398"/>
        <v>0.41593916598260089</v>
      </c>
      <c r="AN816" s="120">
        <f t="shared" si="2399"/>
        <v>0.29684707583216702</v>
      </c>
      <c r="AO816" s="120">
        <f t="shared" si="2403"/>
        <v>6.4968301775559484E-2</v>
      </c>
      <c r="AP816" s="173">
        <f t="shared" si="2419"/>
        <v>121.4330149343819</v>
      </c>
      <c r="AQ816" s="175">
        <f t="shared" si="2420"/>
        <v>6.4968301775559539E-2</v>
      </c>
      <c r="AR816" s="177">
        <f>+AC816/$AE$48</f>
        <v>7.877402443271302E-3</v>
      </c>
      <c r="AS816" s="177">
        <f t="shared" si="2416"/>
        <v>5.1178145914197997E-4</v>
      </c>
      <c r="AT816" s="177"/>
      <c r="AU816" s="177"/>
      <c r="AV816" s="177"/>
      <c r="AW816" s="190"/>
      <c r="AX816" s="120"/>
      <c r="AY816" s="120"/>
      <c r="AZ816" s="118">
        <f>IFERROR(INDEX('Total Customers'!$F$7:$AB$91,MATCH($C816,'Total Customers'!$D$7:$D$91,0),MATCH($G816,'Total Customers'!$F$5:$AB$5,0)),"NA")</f>
        <v>128301</v>
      </c>
      <c r="BA816" s="119">
        <f t="shared" si="2378"/>
        <v>5.0555869434338414E-3</v>
      </c>
      <c r="BB816" s="119"/>
      <c r="BC816" s="121">
        <v>8403441</v>
      </c>
      <c r="BD816" s="119"/>
      <c r="BE816" s="119"/>
      <c r="BF816" s="119"/>
      <c r="BG816" s="173"/>
      <c r="BH816" s="173"/>
      <c r="BI816" s="173"/>
      <c r="BJ816" s="173"/>
      <c r="BK816" s="173"/>
      <c r="BL816" s="173"/>
      <c r="BM816" s="173"/>
      <c r="BN816" s="173"/>
      <c r="BO816" s="173"/>
      <c r="BP816" s="173"/>
      <c r="BQ816" s="118"/>
      <c r="BR816" s="118"/>
      <c r="BS816" s="118">
        <f>INDEX('Dist. Plant Gas Additions'!$F$7:$AE$91,MATCH($C816,'Dist. Plant Gas Additions'!$D$7:$D$91,0),MATCH(Calculation!$G816,'Dist. Plant Gas Additions'!$F$5:$AE$5,0))</f>
        <v>35852</v>
      </c>
      <c r="BT816" s="118">
        <f>INDEX('Gen. Plant Additions'!$F$7:$AE$91,MATCH($C816,'Gen. Plant Additions'!$D$7:$D$91,0),MATCH(Calculation!$G816,'Gen. Plant Additions'!$F$5:$AE$5,0))</f>
        <v>923</v>
      </c>
      <c r="BU816" s="118"/>
      <c r="BV816" s="118"/>
      <c r="BW816" s="118">
        <f>INDEX('Dist Plant Depreciation'!$E$7:$AD$94,MATCH($C816,'Dist Plant Depreciation'!$D$7:$D$94,0),MATCH(Calculation!$G816,'Dist Plant Depreciation'!$E$5:$AD$5,0))</f>
        <v>132175</v>
      </c>
      <c r="BX816" s="118">
        <f>INDEX('Gen. Plant Depreciation'!$E$7:$AD$94,MATCH($C816,'Gen. Plant Depreciation'!$D$7:$D$94,0),MATCH(Calculation!$G816,'Gen. Plant Depreciation'!$E$5:$AD$5,0))</f>
        <v>13316</v>
      </c>
      <c r="BY816" s="118"/>
      <c r="BZ816" s="118"/>
      <c r="CA816" s="118"/>
      <c r="CB816" s="118"/>
      <c r="CC816" s="118"/>
      <c r="CD816" s="183"/>
      <c r="CE816" s="118">
        <f>INDEX('Gross Dx Plant'!$E$7:$AD$91,MATCH($C816,'Gross Dx Plant'!$D$7:$D$91,0),MATCH(Calculation!$G816,'Gross Dx Plant'!$E$5:$AD$5,0))</f>
        <v>433920</v>
      </c>
      <c r="CF816" s="118">
        <f>INDEX('Gross Gen Plant'!$E$7:$AD$91,MATCH($C816,'Gross Gen Plant'!$D$7:$D$91,0),MATCH(Calculation!$G816,'Gross Gen Plant'!$E$5:$AD$5,0))</f>
        <v>10904</v>
      </c>
      <c r="CG816" s="118">
        <f t="shared" si="2347"/>
        <v>299333</v>
      </c>
      <c r="CH816" s="118"/>
      <c r="CI816" s="121">
        <v>2010</v>
      </c>
      <c r="CJ816" s="118"/>
      <c r="CK816" s="118"/>
      <c r="CL816" s="118"/>
      <c r="CM816" s="183"/>
      <c r="CN816" s="118">
        <f t="shared" si="2379"/>
        <v>36775</v>
      </c>
      <c r="CO816" s="118">
        <f t="shared" si="2380"/>
        <v>64.632123844175993</v>
      </c>
      <c r="CP816" s="186">
        <v>0.9285714285714286</v>
      </c>
      <c r="CQ816" s="118">
        <f>+CQ804*CP816+CO805*CP815+CO806*CP814+CO807*CP813+CO808*CP812+CO809*CP811+CO810*CP810+CO811*CP809+CO812*CP808+CO813*CP807+CO814*CP806+CO815*CP805+CO816</f>
        <v>1234.0330050841039</v>
      </c>
      <c r="CR816" s="119">
        <f t="shared" si="2381"/>
        <v>4.6767931869331182E-2</v>
      </c>
      <c r="CS816" s="119"/>
      <c r="CT816" s="177">
        <f t="shared" si="2382"/>
        <v>7.0035493714443514E-3</v>
      </c>
      <c r="CU816" s="177">
        <f t="shared" si="2390"/>
        <v>6.7930503228183113E-3</v>
      </c>
      <c r="CV816" s="119">
        <f>VLOOKUP($H816,RoR!$E:$F,2,FALSE)</f>
        <v>4.9433333333333322E-2</v>
      </c>
      <c r="CW816" s="177">
        <v>1.1684333519300205E-2</v>
      </c>
      <c r="CX816" s="177">
        <f t="shared" si="2388"/>
        <v>3.7748999814033117E-2</v>
      </c>
      <c r="CY816" s="177">
        <f t="shared" si="2391"/>
        <v>2.4108891285715313E-2</v>
      </c>
      <c r="CZ816" s="177">
        <f t="shared" si="2392"/>
        <v>4.7937530248493419E-2</v>
      </c>
      <c r="DA816" s="187">
        <f t="shared" si="2383"/>
        <v>0.85131374874999999</v>
      </c>
      <c r="DB816" s="188">
        <f t="shared" si="2384"/>
        <v>1.037398205301105</v>
      </c>
      <c r="DC816" s="188">
        <f t="shared" si="2385"/>
        <v>0.46926837491571133</v>
      </c>
      <c r="DD816" s="188">
        <f t="shared" si="2386"/>
        <v>0.8548537519972772</v>
      </c>
      <c r="DE816" s="188">
        <f t="shared" si="2387"/>
        <v>0.41615833911547367</v>
      </c>
      <c r="DF816" s="189">
        <f>INDEX('State Tax Lookup'!$D$7:$Z$91,MATCH(Calculation!$C816,'State Tax Lookup'!$B$7:$B$91,0),MATCH($H816,'State Tax Lookup'!$D$6:$Z$6,0))</f>
        <v>0.39649667</v>
      </c>
      <c r="DG816" s="189">
        <v>0.375</v>
      </c>
      <c r="DH816" s="190">
        <f t="shared" si="2389"/>
        <v>19.282846199010653</v>
      </c>
      <c r="DI816" s="190">
        <v>18.970905979663907</v>
      </c>
      <c r="DJ816" s="177"/>
      <c r="DK816" s="189">
        <f>VLOOKUP($H816,RoR!$E:$F,2,FALSE)</f>
        <v>4.9433333333333322E-2</v>
      </c>
      <c r="DL816" s="191">
        <f>HLOOKUP($H816,'GDP-PI'!$D$8:$CQ$11,3,FALSE)</f>
        <v>1.1684333519300205E-2</v>
      </c>
      <c r="DM816" s="189">
        <f>VLOOKUP(H816,'HW Dx Data'!$E:$F,2,FALSE)</f>
        <v>568.98950262971744</v>
      </c>
      <c r="DN816" s="183">
        <f>VLOOKUP(H816,'ECI - Input Price'!$G$17:$H$37,2,FALSE)</f>
        <v>111.875</v>
      </c>
      <c r="DO816" s="177">
        <f t="shared" ref="DO816" si="2425">LN(DN816/DN815)</f>
        <v>1.8949360147238387E-2</v>
      </c>
      <c r="DP816" s="183">
        <f>HLOOKUP(H816,'GDP-PI'!$8:$9,2,FALSE)</f>
        <v>96.108999999999995</v>
      </c>
      <c r="DQ816" s="177">
        <f t="shared" ref="DQ816" si="2426">LN(DP816/DP815)</f>
        <v>1.1616598807150427E-2</v>
      </c>
    </row>
    <row r="817" spans="1:121" s="167" customFormat="1" ht="21" x14ac:dyDescent="0.35">
      <c r="A817" s="167" t="s">
        <v>84</v>
      </c>
      <c r="B817" s="168" t="s">
        <v>84</v>
      </c>
      <c r="C817" s="168">
        <v>4057093</v>
      </c>
      <c r="D817" s="168" t="s">
        <v>136</v>
      </c>
      <c r="E817" s="168" t="s">
        <v>126</v>
      </c>
      <c r="F817" s="168"/>
      <c r="G817" s="168" t="s">
        <v>17</v>
      </c>
      <c r="H817" s="169">
        <v>2011</v>
      </c>
      <c r="I817" s="170"/>
      <c r="J817" s="166">
        <f>IFERROR(INDEX('Labor Expenditures'!$F$7:$X$91,MATCH($C817,'Labor Expenditures'!$D$7:$D$91,0),MATCH($G817,'Labor Expenditures'!$F$5:$X$5,0)),"NA")</f>
        <v>23367.041227479305</v>
      </c>
      <c r="K817" s="166">
        <f t="shared" si="2395"/>
        <v>204.43605623341475</v>
      </c>
      <c r="L817" s="172">
        <f t="shared" si="2402"/>
        <v>4.0136867789011141E-2</v>
      </c>
      <c r="M817" s="172">
        <f t="shared" si="2406"/>
        <v>3.2514470638313393E-4</v>
      </c>
      <c r="N817" s="196"/>
      <c r="O817" s="172"/>
      <c r="P817" s="166">
        <f>IFERROR(INDEX('Non-Labor Expenditures'!$F$7:$AB$91,MATCH($C817,'Non-Labor Expenditures'!$D$7:$D$91,0),MATCH($G817,'Non-Labor Expenditures'!$F$5:$AB$5,0)),"NA")</f>
        <v>33839.840058673537</v>
      </c>
      <c r="Q817" s="166">
        <f t="shared" si="2396"/>
        <v>344.91030718641491</v>
      </c>
      <c r="R817" s="172">
        <f t="shared" si="2407"/>
        <v>4.0954542781907549E-2</v>
      </c>
      <c r="S817" s="172">
        <f t="shared" si="2412"/>
        <v>3.3176860879823277E-4</v>
      </c>
      <c r="T817" s="172"/>
      <c r="U817" s="172"/>
      <c r="V817" s="166">
        <f t="shared" si="2377"/>
        <v>25412.97645929431</v>
      </c>
      <c r="W817" s="170"/>
      <c r="X817" s="174">
        <v>1271.6890368271927</v>
      </c>
      <c r="Y817" s="175">
        <v>3.0058295580636031E-2</v>
      </c>
      <c r="Z817" s="175">
        <f t="shared" si="2413"/>
        <v>2.434992123032364E-4</v>
      </c>
      <c r="AA817" s="175"/>
      <c r="AB817" s="175"/>
      <c r="AC817" s="170">
        <f t="shared" si="2271"/>
        <v>82619.857745447152</v>
      </c>
      <c r="AD817" s="175">
        <f t="shared" si="2408"/>
        <v>7.6976248807299835E-2</v>
      </c>
      <c r="AE817" s="170"/>
      <c r="AF817" s="170"/>
      <c r="AG817" s="121">
        <f t="shared" si="2409"/>
        <v>640.19602449708771</v>
      </c>
      <c r="AH817" s="119">
        <f>+AZ817/$BB$49</f>
        <v>3.5814622513784351E-3</v>
      </c>
      <c r="AI817" s="119">
        <f>+AZ817/$BC$49</f>
        <v>1.5294670757602567E-2</v>
      </c>
      <c r="AJ817" s="176">
        <f t="shared" si="2414"/>
        <v>2.2928378952188635</v>
      </c>
      <c r="AK817" s="176">
        <f t="shared" si="2415"/>
        <v>9.7915874150090243</v>
      </c>
      <c r="AL817" s="120">
        <f t="shared" si="2397"/>
        <v>0.28282596781361524</v>
      </c>
      <c r="AM817" s="120">
        <f t="shared" si="2398"/>
        <v>0.4095848259983032</v>
      </c>
      <c r="AN817" s="120">
        <f t="shared" si="2399"/>
        <v>0.30758920618808155</v>
      </c>
      <c r="AO817" s="120">
        <f t="shared" si="2403"/>
        <v>3.7428445594299115E-2</v>
      </c>
      <c r="AP817" s="173">
        <f t="shared" si="2419"/>
        <v>126.06419217560632</v>
      </c>
      <c r="AQ817" s="175">
        <f t="shared" si="2420"/>
        <v>3.7428445594299128E-2</v>
      </c>
      <c r="AR817" s="177">
        <f>+AC817/$AE$49</f>
        <v>8.1008988566903962E-3</v>
      </c>
      <c r="AS817" s="177">
        <f t="shared" si="2416"/>
        <v>3.0320405212255649E-4</v>
      </c>
      <c r="AT817" s="177"/>
      <c r="AU817" s="177"/>
      <c r="AV817" s="177"/>
      <c r="AW817" s="190"/>
      <c r="AX817" s="120"/>
      <c r="AY817" s="120"/>
      <c r="AZ817" s="118">
        <f>IFERROR(INDEX('Total Customers'!$F$7:$AB$91,MATCH($C817,'Total Customers'!$D$7:$D$91,0),MATCH($G817,'Total Customers'!$F$5:$AB$5,0)),"NA")</f>
        <v>129054</v>
      </c>
      <c r="BA817" s="119">
        <f t="shared" si="2378"/>
        <v>5.8518555988668749E-3</v>
      </c>
      <c r="BB817" s="119"/>
      <c r="BC817" s="121">
        <v>8437841</v>
      </c>
      <c r="BD817" s="119"/>
      <c r="BE817" s="119"/>
      <c r="BF817" s="119"/>
      <c r="BG817" s="173"/>
      <c r="BH817" s="173"/>
      <c r="BI817" s="173"/>
      <c r="BJ817" s="173"/>
      <c r="BK817" s="173"/>
      <c r="BL817" s="173"/>
      <c r="BM817" s="173"/>
      <c r="BN817" s="173"/>
      <c r="BO817" s="173"/>
      <c r="BP817" s="173"/>
      <c r="BQ817" s="118"/>
      <c r="BR817" s="118"/>
      <c r="BS817" s="118">
        <f>INDEX('Dist. Plant Gas Additions'!$F$7:$AE$91,MATCH($C817,'Dist. Plant Gas Additions'!$D$7:$D$91,0),MATCH(Calculation!$G817,'Dist. Plant Gas Additions'!$F$5:$AE$5,0))</f>
        <v>27377</v>
      </c>
      <c r="BT817" s="118">
        <f>INDEX('Gen. Plant Additions'!$F$7:$AE$91,MATCH($C817,'Gen. Plant Additions'!$D$7:$D$91,0),MATCH(Calculation!$G817,'Gen. Plant Additions'!$F$5:$AE$5,0))</f>
        <v>1073</v>
      </c>
      <c r="BU817" s="118"/>
      <c r="BV817" s="118"/>
      <c r="BW817" s="118">
        <f>INDEX('Dist Plant Depreciation'!$E$7:$AD$94,MATCH($C817,'Dist Plant Depreciation'!$D$7:$D$94,0),MATCH(Calculation!$G817,'Dist Plant Depreciation'!$E$5:$AD$5,0))</f>
        <v>141399</v>
      </c>
      <c r="BX817" s="118">
        <f>INDEX('Gen. Plant Depreciation'!$E$7:$AD$94,MATCH($C817,'Gen. Plant Depreciation'!$D$7:$D$94,0),MATCH(Calculation!$G817,'Gen. Plant Depreciation'!$E$5:$AD$5,0))</f>
        <v>13786</v>
      </c>
      <c r="BY817" s="118"/>
      <c r="BZ817" s="118"/>
      <c r="CA817" s="118"/>
      <c r="CB817" s="118"/>
      <c r="CC817" s="118"/>
      <c r="CD817" s="183"/>
      <c r="CE817" s="118">
        <f>INDEX('Gross Dx Plant'!$E$7:$AD$91,MATCH($C817,'Gross Dx Plant'!$D$7:$D$91,0),MATCH(Calculation!$G817,'Gross Dx Plant'!$E$5:$AD$5,0))</f>
        <v>460606</v>
      </c>
      <c r="CF817" s="118">
        <f>INDEX('Gross Gen Plant'!$E$7:$AD$91,MATCH($C817,'Gross Gen Plant'!$D$7:$D$91,0),MATCH(Calculation!$G817,'Gross Gen Plant'!$E$5:$AD$5,0))</f>
        <v>11844</v>
      </c>
      <c r="CG817" s="118">
        <f t="shared" si="2347"/>
        <v>317265</v>
      </c>
      <c r="CH817" s="118"/>
      <c r="CI817" s="121">
        <v>2011</v>
      </c>
      <c r="CJ817" s="118"/>
      <c r="CK817" s="118"/>
      <c r="CL817" s="118"/>
      <c r="CM817" s="183"/>
      <c r="CN817" s="118">
        <f t="shared" si="2379"/>
        <v>28450</v>
      </c>
      <c r="CO817" s="118">
        <f t="shared" si="2380"/>
        <v>46.516487650979904</v>
      </c>
      <c r="CP817" s="186">
        <v>0.92121212121212126</v>
      </c>
      <c r="CQ817" s="118">
        <f>+CQ804*CP817+CO805*CP816+CO806*CP815+CO807*CP814+CO808*CP813+CO809*CP812+CO810*CP811+CO811*CP810+CO812*CP809+CO813*CP808+CO814*CP807+CO815*CP806+CO816*CP805+CO817</f>
        <v>1271.6890368271927</v>
      </c>
      <c r="CR817" s="119">
        <f t="shared" si="2381"/>
        <v>3.0058295580636031E-2</v>
      </c>
      <c r="CS817" s="119"/>
      <c r="CT817" s="177">
        <f t="shared" si="2382"/>
        <v>7.1800801691582553E-3</v>
      </c>
      <c r="CU817" s="177">
        <f t="shared" si="2390"/>
        <v>6.9918699904200979E-3</v>
      </c>
      <c r="CV817" s="119">
        <f>VLOOKUP($H817,RoR!$E:$F,2,FALSE)</f>
        <v>4.6391666666666664E-2</v>
      </c>
      <c r="CW817" s="177">
        <v>2.0840920205183799E-2</v>
      </c>
      <c r="CX817" s="177">
        <f t="shared" si="2388"/>
        <v>2.5550746461482865E-2</v>
      </c>
      <c r="CY817" s="177">
        <f t="shared" si="2391"/>
        <v>2.3910071618113527E-2</v>
      </c>
      <c r="CZ817" s="177">
        <f t="shared" si="2392"/>
        <v>2.4810540821321614E-2</v>
      </c>
      <c r="DA817" s="187">
        <f t="shared" si="2383"/>
        <v>0.85131374874999999</v>
      </c>
      <c r="DB817" s="188">
        <f t="shared" si="2384"/>
        <v>1.1054151524782025</v>
      </c>
      <c r="DC817" s="188">
        <f t="shared" si="2385"/>
        <v>0.43611011316687626</v>
      </c>
      <c r="DD817" s="188">
        <f t="shared" si="2386"/>
        <v>0.83698442246886229</v>
      </c>
      <c r="DE817" s="188">
        <f t="shared" si="2387"/>
        <v>0.40349573304423936</v>
      </c>
      <c r="DF817" s="189">
        <f>INDEX('State Tax Lookup'!$D$7:$Z$91,MATCH(Calculation!$C817,'State Tax Lookup'!$B$7:$B$91,0),MATCH($H817,'State Tax Lookup'!$D$6:$Z$6,0))</f>
        <v>0.39649667</v>
      </c>
      <c r="DG817" s="189">
        <v>0.375</v>
      </c>
      <c r="DH817" s="190">
        <f t="shared" si="2389"/>
        <v>20.593433364095738</v>
      </c>
      <c r="DI817" s="190">
        <v>20.28388569396855</v>
      </c>
      <c r="DJ817" s="177"/>
      <c r="DK817" s="189">
        <f>VLOOKUP($H817,RoR!$E:$F,2,FALSE)</f>
        <v>4.6391666666666664E-2</v>
      </c>
      <c r="DL817" s="191">
        <f>HLOOKUP($H817,'GDP-PI'!$D$8:$CQ$11,3,FALSE)</f>
        <v>2.0840920205183799E-2</v>
      </c>
      <c r="DM817" s="189">
        <f>VLOOKUP(H817,'HW Dx Data'!$E:$F,2,FALSE)</f>
        <v>611.61109612283201</v>
      </c>
      <c r="DN817" s="183">
        <f>VLOOKUP(H817,'ECI - Input Price'!$G$17:$H$37,2,FALSE)</f>
        <v>114.3</v>
      </c>
      <c r="DO817" s="177">
        <f t="shared" ref="DO817" si="2427">LN(DN817/DN816)</f>
        <v>2.1444394205745516E-2</v>
      </c>
      <c r="DP817" s="183">
        <f>HLOOKUP(H817,'GDP-PI'!$8:$9,2,FALSE)</f>
        <v>98.111999999999995</v>
      </c>
      <c r="DQ817" s="177">
        <f t="shared" ref="DQ817" si="2428">LN(DP817/DP816)</f>
        <v>2.0626719212849295E-2</v>
      </c>
    </row>
    <row r="818" spans="1:121" s="167" customFormat="1" ht="21" x14ac:dyDescent="0.35">
      <c r="A818" s="167" t="s">
        <v>84</v>
      </c>
      <c r="B818" s="168" t="s">
        <v>84</v>
      </c>
      <c r="C818" s="168">
        <v>4057093</v>
      </c>
      <c r="D818" s="168" t="s">
        <v>136</v>
      </c>
      <c r="E818" s="168" t="s">
        <v>126</v>
      </c>
      <c r="F818" s="168"/>
      <c r="G818" s="168" t="s">
        <v>18</v>
      </c>
      <c r="H818" s="169">
        <v>2012</v>
      </c>
      <c r="I818" s="170"/>
      <c r="J818" s="166">
        <f>IFERROR(INDEX('Labor Expenditures'!$F$7:$X$91,MATCH($C818,'Labor Expenditures'!$D$7:$D$91,0),MATCH($G818,'Labor Expenditures'!$F$5:$X$5,0)),"NA")</f>
        <v>23662.631386722103</v>
      </c>
      <c r="K818" s="166">
        <f t="shared" si="2395"/>
        <v>203.11271576585497</v>
      </c>
      <c r="L818" s="172">
        <f t="shared" si="2402"/>
        <v>-6.4941681064034362E-3</v>
      </c>
      <c r="M818" s="172">
        <f t="shared" si="2406"/>
        <v>-5.2419526557696778E-5</v>
      </c>
      <c r="N818" s="196"/>
      <c r="O818" s="172"/>
      <c r="P818" s="166">
        <f>IFERROR(INDEX('Non-Labor Expenditures'!$F$7:$AB$91,MATCH($C818,'Non-Labor Expenditures'!$D$7:$D$91,0),MATCH($G818,'Non-Labor Expenditures'!$F$5:$AB$5,0)),"NA")</f>
        <v>34267.909817883403</v>
      </c>
      <c r="Q818" s="166">
        <f t="shared" si="2396"/>
        <v>342.67909817883401</v>
      </c>
      <c r="R818" s="172">
        <f t="shared" si="2407"/>
        <v>-6.4899686401558177E-3</v>
      </c>
      <c r="S818" s="172">
        <f t="shared" si="2412"/>
        <v>-5.238562937042222E-5</v>
      </c>
      <c r="T818" s="172"/>
      <c r="U818" s="172"/>
      <c r="V818" s="166">
        <f t="shared" si="2377"/>
        <v>28327.994836075097</v>
      </c>
      <c r="W818" s="170"/>
      <c r="X818" s="174">
        <v>1321.3997256790576</v>
      </c>
      <c r="Y818" s="175">
        <v>3.834560588728031E-2</v>
      </c>
      <c r="Z818" s="175">
        <f t="shared" si="2413"/>
        <v>3.0951747371573101E-4</v>
      </c>
      <c r="AA818" s="175"/>
      <c r="AB818" s="175"/>
      <c r="AC818" s="170">
        <f t="shared" si="2271"/>
        <v>86258.536040680599</v>
      </c>
      <c r="AD818" s="175">
        <f t="shared" si="2408"/>
        <v>4.3098959428050442E-2</v>
      </c>
      <c r="AE818" s="170"/>
      <c r="AF818" s="170"/>
      <c r="AG818" s="121">
        <f t="shared" si="2409"/>
        <v>664.18627746518166</v>
      </c>
      <c r="AH818" s="119">
        <f>+AZ818/$BB$50</f>
        <v>3.5867917605375294E-3</v>
      </c>
      <c r="AI818" s="119">
        <f>+AZ818/$BC$50</f>
        <v>1.5305821800922844E-2</v>
      </c>
      <c r="AJ818" s="176">
        <f t="shared" si="2414"/>
        <v>2.382297867474207</v>
      </c>
      <c r="AK818" s="176">
        <f t="shared" si="2415"/>
        <v>10.165916805500366</v>
      </c>
      <c r="AL818" s="120">
        <f t="shared" si="2397"/>
        <v>0.27432220013057618</v>
      </c>
      <c r="AM818" s="120">
        <f t="shared" si="2398"/>
        <v>0.39726978210854669</v>
      </c>
      <c r="AN818" s="120">
        <f t="shared" si="2399"/>
        <v>0.32840801776087714</v>
      </c>
      <c r="AO818" s="120">
        <f t="shared" si="2403"/>
        <v>7.7665119641840905E-3</v>
      </c>
      <c r="AP818" s="173">
        <f t="shared" si="2419"/>
        <v>127.04708310893565</v>
      </c>
      <c r="AQ818" s="175">
        <f t="shared" si="2420"/>
        <v>7.7665119641840002E-3</v>
      </c>
      <c r="AR818" s="177">
        <f>+AC818/$AE$50</f>
        <v>8.0717846687722201E-3</v>
      </c>
      <c r="AS818" s="177">
        <f t="shared" si="2416"/>
        <v>6.2689612202336442E-5</v>
      </c>
      <c r="AT818" s="177"/>
      <c r="AU818" s="177"/>
      <c r="AV818" s="177"/>
      <c r="AW818" s="190"/>
      <c r="AX818" s="120"/>
      <c r="AY818" s="120"/>
      <c r="AZ818" s="118">
        <f>IFERROR(INDEX('Total Customers'!$F$7:$AB$91,MATCH($C818,'Total Customers'!$D$7:$D$91,0),MATCH($G818,'Total Customers'!$F$5:$AB$5,0)),"NA")</f>
        <v>129871</v>
      </c>
      <c r="BA818" s="119">
        <f t="shared" si="2378"/>
        <v>6.3107286777030229E-3</v>
      </c>
      <c r="BB818" s="119"/>
      <c r="BC818" s="121">
        <v>8485072</v>
      </c>
      <c r="BD818" s="119"/>
      <c r="BE818" s="119"/>
      <c r="BF818" s="119"/>
      <c r="BG818" s="173"/>
      <c r="BH818" s="173"/>
      <c r="BI818" s="173"/>
      <c r="BJ818" s="173"/>
      <c r="BK818" s="173"/>
      <c r="BL818" s="173"/>
      <c r="BM818" s="173"/>
      <c r="BN818" s="173"/>
      <c r="BO818" s="173"/>
      <c r="BP818" s="173"/>
      <c r="BQ818" s="118"/>
      <c r="BR818" s="118"/>
      <c r="BS818" s="118">
        <f>INDEX('Dist. Plant Gas Additions'!$F$7:$AE$91,MATCH($C818,'Dist. Plant Gas Additions'!$D$7:$D$91,0),MATCH(Calculation!$G818,'Dist. Plant Gas Additions'!$F$5:$AE$5,0))</f>
        <v>38746</v>
      </c>
      <c r="BT818" s="118">
        <f>INDEX('Gen. Plant Additions'!$F$7:$AE$91,MATCH($C818,'Gen. Plant Additions'!$D$7:$D$91,0),MATCH(Calculation!$G818,'Gen. Plant Additions'!$F$5:$AE$5,0))</f>
        <v>800</v>
      </c>
      <c r="BU818" s="118"/>
      <c r="BV818" s="118"/>
      <c r="BW818" s="118">
        <f>INDEX('Dist Plant Depreciation'!$E$7:$AD$94,MATCH($C818,'Dist Plant Depreciation'!$D$7:$D$94,0),MATCH(Calculation!$G818,'Dist Plant Depreciation'!$E$5:$AD$5,0))</f>
        <v>150997</v>
      </c>
      <c r="BX818" s="118">
        <f>INDEX('Gen. Plant Depreciation'!$E$7:$AD$94,MATCH($C818,'Gen. Plant Depreciation'!$D$7:$D$94,0),MATCH(Calculation!$G818,'Gen. Plant Depreciation'!$E$5:$AD$5,0))</f>
        <v>14677</v>
      </c>
      <c r="BY818" s="118"/>
      <c r="BZ818" s="118"/>
      <c r="CA818" s="118"/>
      <c r="CB818" s="118"/>
      <c r="CC818" s="118"/>
      <c r="CD818" s="183"/>
      <c r="CE818" s="118">
        <f>INDEX('Gross Dx Plant'!$E$7:$AD$91,MATCH($C818,'Gross Dx Plant'!$D$7:$D$91,0),MATCH(Calculation!$G818,'Gross Dx Plant'!$E$5:$AD$5,0))</f>
        <v>498350</v>
      </c>
      <c r="CF818" s="118">
        <f>INDEX('Gross Gen Plant'!$E$7:$AD$91,MATCH($C818,'Gross Gen Plant'!$D$7:$D$91,0),MATCH(Calculation!$G818,'Gross Gen Plant'!$E$5:$AD$5,0))</f>
        <v>12631</v>
      </c>
      <c r="CG818" s="118">
        <f t="shared" si="2347"/>
        <v>345307</v>
      </c>
      <c r="CH818" s="118"/>
      <c r="CI818" s="121">
        <v>2012</v>
      </c>
      <c r="CJ818" s="118"/>
      <c r="CK818" s="118"/>
      <c r="CL818" s="118"/>
      <c r="CM818" s="183"/>
      <c r="CN818" s="118">
        <f t="shared" si="2379"/>
        <v>39546</v>
      </c>
      <c r="CO818" s="118">
        <f t="shared" si="2380"/>
        <v>59.119237092902949</v>
      </c>
      <c r="CP818" s="186">
        <v>0.9135802469135802</v>
      </c>
      <c r="CQ818" s="118">
        <f>+CQ804*CP818+CO805*CP817+CO806*CP816+CO807*CP815+CO808*CP814+CO809*CP813+CO810*CP812+CO811*CP811+CO812*CP810+CO813*CP809+CO814*CP808+CO815*CP807+CO816*CP806+CO817*CP805+CO818</f>
        <v>1321.3997256790576</v>
      </c>
      <c r="CR818" s="119">
        <f t="shared" si="2381"/>
        <v>3.834560588728031E-2</v>
      </c>
      <c r="CS818" s="119"/>
      <c r="CT818" s="177">
        <f t="shared" si="2382"/>
        <v>7.3984661096960789E-3</v>
      </c>
      <c r="CU818" s="177">
        <f t="shared" si="2390"/>
        <v>7.1940318834328955E-3</v>
      </c>
      <c r="CV818" s="119">
        <f>VLOOKUP($H818,RoR!$E:$F,2,FALSE)</f>
        <v>3.6733333333333333E-2</v>
      </c>
      <c r="CW818" s="177">
        <v>1.924331376386168E-2</v>
      </c>
      <c r="CX818" s="177">
        <f t="shared" si="2388"/>
        <v>1.7490019569471653E-2</v>
      </c>
      <c r="CY818" s="177">
        <f t="shared" si="2391"/>
        <v>2.3707909725100729E-2</v>
      </c>
      <c r="CZ818" s="177">
        <f t="shared" si="2392"/>
        <v>6.7122682943869583E-2</v>
      </c>
      <c r="DA818" s="187">
        <f t="shared" si="2383"/>
        <v>0.85131374874999999</v>
      </c>
      <c r="DB818" s="188">
        <f t="shared" si="2384"/>
        <v>1.3960631020522127</v>
      </c>
      <c r="DC818" s="188">
        <f t="shared" si="2385"/>
        <v>0.29441923774954631</v>
      </c>
      <c r="DD818" s="188">
        <f t="shared" si="2386"/>
        <v>0.76377954189366437</v>
      </c>
      <c r="DE818" s="188">
        <f t="shared" si="2387"/>
        <v>0.31393465103033691</v>
      </c>
      <c r="DF818" s="189">
        <f>INDEX('State Tax Lookup'!$D$7:$Z$91,MATCH(Calculation!$C818,'State Tax Lookup'!$B$7:$B$91,0),MATCH($H818,'State Tax Lookup'!$D$6:$Z$6,0))</f>
        <v>0.39649667</v>
      </c>
      <c r="DG818" s="189">
        <v>0.375</v>
      </c>
      <c r="DH818" s="190">
        <f t="shared" si="2389"/>
        <v>22.275881930029197</v>
      </c>
      <c r="DI818" s="190">
        <v>21.973350443627119</v>
      </c>
      <c r="DJ818" s="177"/>
      <c r="DK818" s="189">
        <f>VLOOKUP($H818,RoR!$E:$F,2,FALSE)</f>
        <v>3.6733333333333333E-2</v>
      </c>
      <c r="DL818" s="191">
        <f>HLOOKUP($H818,'GDP-PI'!$D$8:$CQ$11,3,FALSE)</f>
        <v>1.924331376386168E-2</v>
      </c>
      <c r="DM818" s="189">
        <f>VLOOKUP(H818,'HW Dx Data'!$E:$F,2,FALSE)</f>
        <v>668.91932211262167</v>
      </c>
      <c r="DN818" s="183">
        <f>VLOOKUP(H818,'ECI - Input Price'!$G$17:$H$37,2,FALSE)</f>
        <v>116.5</v>
      </c>
      <c r="DO818" s="177">
        <f t="shared" ref="DO818" si="2429">LN(DN818/DN817)</f>
        <v>1.9064702204990347E-2</v>
      </c>
      <c r="DP818" s="183">
        <f>HLOOKUP(H818,'GDP-PI'!$8:$9,2,FALSE)</f>
        <v>100</v>
      </c>
      <c r="DQ818" s="177">
        <f t="shared" ref="DQ818" si="2430">LN(DP818/DP817)</f>
        <v>1.9060502738742411E-2</v>
      </c>
    </row>
    <row r="819" spans="1:121" s="167" customFormat="1" ht="21" x14ac:dyDescent="0.35">
      <c r="A819" s="167" t="s">
        <v>84</v>
      </c>
      <c r="B819" s="168" t="s">
        <v>84</v>
      </c>
      <c r="C819" s="168">
        <v>4057093</v>
      </c>
      <c r="D819" s="168" t="s">
        <v>136</v>
      </c>
      <c r="E819" s="168" t="s">
        <v>126</v>
      </c>
      <c r="F819" s="168"/>
      <c r="G819" s="168" t="s">
        <v>19</v>
      </c>
      <c r="H819" s="169">
        <v>2013</v>
      </c>
      <c r="I819" s="170"/>
      <c r="J819" s="166">
        <f>IFERROR(INDEX('Labor Expenditures'!$F$7:$X$91,MATCH($C819,'Labor Expenditures'!$D$7:$D$91,0),MATCH($G819,'Labor Expenditures'!$F$5:$X$5,0)),"NA")</f>
        <v>23476.236138471206</v>
      </c>
      <c r="K819" s="166">
        <f t="shared" si="2395"/>
        <v>197.7362487973991</v>
      </c>
      <c r="L819" s="172">
        <f t="shared" si="2402"/>
        <v>-2.6827009114836039E-2</v>
      </c>
      <c r="M819" s="172">
        <f t="shared" si="2406"/>
        <v>-2.0919370899317825E-4</v>
      </c>
      <c r="N819" s="196"/>
      <c r="O819" s="172"/>
      <c r="P819" s="166">
        <f>IFERROR(INDEX('Non-Labor Expenditures'!$F$7:$AB$91,MATCH($C819,'Non-Labor Expenditures'!$D$7:$D$91,0),MATCH($G819,'Non-Labor Expenditures'!$F$5:$AB$5,0)),"NA")</f>
        <v>33997.974684585926</v>
      </c>
      <c r="Q819" s="166">
        <f t="shared" si="2396"/>
        <v>334.0569176951247</v>
      </c>
      <c r="R819" s="172">
        <f t="shared" si="2407"/>
        <v>-2.5483044701916435E-2</v>
      </c>
      <c r="S819" s="172">
        <f t="shared" si="2412"/>
        <v>-1.9871364022777836E-4</v>
      </c>
      <c r="T819" s="172"/>
      <c r="U819" s="172"/>
      <c r="V819" s="166">
        <f t="shared" si="2377"/>
        <v>28964.233923152511</v>
      </c>
      <c r="W819" s="170"/>
      <c r="X819" s="174">
        <v>1356.880445481087</v>
      </c>
      <c r="Y819" s="175">
        <v>2.6496701879292192E-2</v>
      </c>
      <c r="Z819" s="175">
        <f t="shared" si="2413"/>
        <v>2.0661801390115669E-4</v>
      </c>
      <c r="AA819" s="175"/>
      <c r="AB819" s="175"/>
      <c r="AC819" s="170">
        <f t="shared" si="2271"/>
        <v>86438.444746209643</v>
      </c>
      <c r="AD819" s="175">
        <f t="shared" si="2408"/>
        <v>2.0835195820109211E-3</v>
      </c>
      <c r="AE819" s="170"/>
      <c r="AF819" s="170"/>
      <c r="AG819" s="121">
        <f t="shared" si="2409"/>
        <v>661.2943420692186</v>
      </c>
      <c r="AH819" s="119">
        <f>+AZ819/$BB$51</f>
        <v>3.5869111638100323E-3</v>
      </c>
      <c r="AI819" s="119">
        <f>+AZ819/$BC$51</f>
        <v>1.531484591362943E-2</v>
      </c>
      <c r="AJ819" s="176">
        <f t="shared" si="2414"/>
        <v>2.3720040581324904</v>
      </c>
      <c r="AK819" s="176">
        <f t="shared" si="2415"/>
        <v>10.127620952345035</v>
      </c>
      <c r="AL819" s="120">
        <f t="shared" si="2397"/>
        <v>0.27159484656855359</v>
      </c>
      <c r="AM819" s="120">
        <f t="shared" si="2398"/>
        <v>0.39332006475135878</v>
      </c>
      <c r="AN819" s="120">
        <f t="shared" si="2399"/>
        <v>0.33508508868008763</v>
      </c>
      <c r="AO819" s="120">
        <f t="shared" si="2403"/>
        <v>-8.6057894779112184E-3</v>
      </c>
      <c r="AP819" s="173">
        <f t="shared" si="2419"/>
        <v>125.95843372038173</v>
      </c>
      <c r="AQ819" s="175">
        <f t="shared" si="2420"/>
        <v>-8.6057894779112565E-3</v>
      </c>
      <c r="AR819" s="177">
        <f>+AC819/$AE$51</f>
        <v>7.7978766882920488E-3</v>
      </c>
      <c r="AS819" s="177">
        <f t="shared" si="2416"/>
        <v>-6.7106885154153185E-5</v>
      </c>
      <c r="AT819" s="177"/>
      <c r="AU819" s="177"/>
      <c r="AV819" s="177"/>
      <c r="AW819" s="190"/>
      <c r="AX819" s="120"/>
      <c r="AY819" s="120"/>
      <c r="AZ819" s="118">
        <f>IFERROR(INDEX('Total Customers'!$F$7:$AB$91,MATCH($C819,'Total Customers'!$D$7:$D$91,0),MATCH($G819,'Total Customers'!$F$5:$AB$5,0)),"NA")</f>
        <v>130711</v>
      </c>
      <c r="BA819" s="119">
        <f t="shared" si="2378"/>
        <v>6.4471291922022465E-3</v>
      </c>
      <c r="BB819" s="119"/>
      <c r="BC819" s="121">
        <v>8534921</v>
      </c>
      <c r="BD819" s="119"/>
      <c r="BE819" s="119"/>
      <c r="BF819" s="119"/>
      <c r="BG819" s="173"/>
      <c r="BH819" s="173"/>
      <c r="BI819" s="173"/>
      <c r="BJ819" s="173"/>
      <c r="BK819" s="173"/>
      <c r="BL819" s="173"/>
      <c r="BM819" s="173"/>
      <c r="BN819" s="173"/>
      <c r="BO819" s="173"/>
      <c r="BP819" s="173"/>
      <c r="BQ819" s="118"/>
      <c r="BR819" s="118"/>
      <c r="BS819" s="118">
        <f>INDEX('Dist. Plant Gas Additions'!$F$7:$AE$91,MATCH($C819,'Dist. Plant Gas Additions'!$D$7:$D$91,0),MATCH(Calculation!$G819,'Dist. Plant Gas Additions'!$F$5:$AE$5,0))</f>
        <v>28708</v>
      </c>
      <c r="BT819" s="118">
        <f>INDEX('Gen. Plant Additions'!$F$7:$AE$91,MATCH($C819,'Gen. Plant Additions'!$D$7:$D$91,0),MATCH(Calculation!$G819,'Gen. Plant Additions'!$F$5:$AE$5,0))</f>
        <v>1486</v>
      </c>
      <c r="BU819" s="118"/>
      <c r="BV819" s="118"/>
      <c r="BW819" s="118">
        <f>INDEX('Dist Plant Depreciation'!$E$7:$AD$94,MATCH($C819,'Dist Plant Depreciation'!$D$7:$D$94,0),MATCH(Calculation!$G819,'Dist Plant Depreciation'!$E$5:$AD$5,0))</f>
        <v>160680</v>
      </c>
      <c r="BX819" s="118">
        <f>INDEX('Gen. Plant Depreciation'!$E$7:$AD$94,MATCH($C819,'Gen. Plant Depreciation'!$D$7:$D$94,0),MATCH(Calculation!$G819,'Gen. Plant Depreciation'!$E$5:$AD$5,0))</f>
        <v>15556</v>
      </c>
      <c r="BY819" s="118"/>
      <c r="BZ819" s="118"/>
      <c r="CA819" s="118"/>
      <c r="CB819" s="118"/>
      <c r="CC819" s="118"/>
      <c r="CD819" s="183"/>
      <c r="CE819" s="118">
        <f>INDEX('Gross Dx Plant'!$E$7:$AD$91,MATCH($C819,'Gross Dx Plant'!$D$7:$D$91,0),MATCH(Calculation!$G819,'Gross Dx Plant'!$E$5:$AD$5,0))</f>
        <v>525718</v>
      </c>
      <c r="CF819" s="118">
        <f>INDEX('Gross Gen Plant'!$E$7:$AD$91,MATCH($C819,'Gross Gen Plant'!$D$7:$D$91,0),MATCH(Calculation!$G819,'Gross Gen Plant'!$E$5:$AD$5,0))</f>
        <v>14113</v>
      </c>
      <c r="CG819" s="118">
        <f t="shared" si="2347"/>
        <v>363595</v>
      </c>
      <c r="CH819" s="118"/>
      <c r="CI819" s="121">
        <v>2013</v>
      </c>
      <c r="CJ819" s="118"/>
      <c r="CK819" s="118"/>
      <c r="CL819" s="118"/>
      <c r="CM819" s="183"/>
      <c r="CN819" s="118">
        <f t="shared" si="2379"/>
        <v>30194</v>
      </c>
      <c r="CO819" s="118">
        <f t="shared" si="2380"/>
        <v>45.524421544254359</v>
      </c>
      <c r="CP819" s="186">
        <v>0.90566037735849059</v>
      </c>
      <c r="CQ819" s="118">
        <f>+CQ804*CP819+CO805*CP818+CO806*CP817+CO807*CP816+CO808*CP815+CO809*CP814+CO810*CP813+CO811*CP812+CO812*CP811+CO813*CP810+CO814*CP809+CO815*CP808+CO816*CP807+CO817*CP806+CO818*CP805+CO819</f>
        <v>1356.880445481087</v>
      </c>
      <c r="CR819" s="119">
        <f t="shared" si="2381"/>
        <v>2.6496701879292192E-2</v>
      </c>
      <c r="CS819" s="119"/>
      <c r="CT819" s="177">
        <f t="shared" si="2382"/>
        <v>7.6008050758929711E-3</v>
      </c>
      <c r="CU819" s="177">
        <f t="shared" si="2390"/>
        <v>7.3931171182491017E-3</v>
      </c>
      <c r="CV819" s="119">
        <f>VLOOKUP($H819,RoR!$E:$F,2,FALSE)</f>
        <v>4.2350000000000006E-2</v>
      </c>
      <c r="CW819" s="177">
        <v>1.7730000000000024E-2</v>
      </c>
      <c r="CX819" s="177">
        <f t="shared" si="2388"/>
        <v>2.4619999999999982E-2</v>
      </c>
      <c r="CY819" s="177">
        <f t="shared" si="2391"/>
        <v>2.3508824490284522E-2</v>
      </c>
      <c r="CZ819" s="177">
        <f t="shared" si="2392"/>
        <v>5.3376742735721204E-2</v>
      </c>
      <c r="DA819" s="187">
        <f t="shared" si="2383"/>
        <v>0.85131374874999999</v>
      </c>
      <c r="DB819" s="188">
        <f t="shared" si="2384"/>
        <v>1.2109103018193925</v>
      </c>
      <c r="DC819" s="188">
        <f t="shared" si="2385"/>
        <v>0.38468122786304604</v>
      </c>
      <c r="DD819" s="188">
        <f t="shared" si="2386"/>
        <v>0.80969194503422559</v>
      </c>
      <c r="DE819" s="188">
        <f t="shared" si="2387"/>
        <v>0.37716621754800816</v>
      </c>
      <c r="DF819" s="189">
        <f>INDEX('State Tax Lookup'!$D$7:$Z$91,MATCH(Calculation!$C819,'State Tax Lookup'!$B$7:$B$91,0),MATCH($H819,'State Tax Lookup'!$D$6:$Z$6,0))</f>
        <v>0.39649667</v>
      </c>
      <c r="DG819" s="189">
        <v>0.375</v>
      </c>
      <c r="DH819" s="190">
        <f t="shared" si="2389"/>
        <v>21.919358208030506</v>
      </c>
      <c r="DI819" s="190">
        <v>21.613860760568919</v>
      </c>
      <c r="DJ819" s="177"/>
      <c r="DK819" s="189">
        <f>VLOOKUP($H819,RoR!$E:$F,2,FALSE)</f>
        <v>4.2350000000000006E-2</v>
      </c>
      <c r="DL819" s="191">
        <f>HLOOKUP($H819,'GDP-PI'!$D$8:$CQ$11,3,FALSE)</f>
        <v>1.7730000000000024E-2</v>
      </c>
      <c r="DM819" s="189">
        <f>VLOOKUP(H819,'HW Dx Data'!$E:$F,2,FALSE)</f>
        <v>663.24840548821396</v>
      </c>
      <c r="DN819" s="183">
        <f>VLOOKUP(H819,'ECI - Input Price'!$G$17:$H$37,2,FALSE)</f>
        <v>118.72499999999999</v>
      </c>
      <c r="DO819" s="177">
        <f t="shared" ref="DO819" si="2431">LN(DN819/DN818)</f>
        <v>1.8918621429430321E-2</v>
      </c>
      <c r="DP819" s="183">
        <f>HLOOKUP(H819,'GDP-PI'!$8:$9,2,FALSE)</f>
        <v>101.773</v>
      </c>
      <c r="DQ819" s="177">
        <f t="shared" ref="DQ819" si="2432">LN(DP819/DP818)</f>
        <v>1.7574657016510519E-2</v>
      </c>
    </row>
    <row r="820" spans="1:121" s="167" customFormat="1" ht="21" x14ac:dyDescent="0.35">
      <c r="A820" s="167" t="s">
        <v>84</v>
      </c>
      <c r="B820" s="168" t="s">
        <v>84</v>
      </c>
      <c r="C820" s="168">
        <v>4057093</v>
      </c>
      <c r="D820" s="168" t="s">
        <v>136</v>
      </c>
      <c r="E820" s="168" t="s">
        <v>126</v>
      </c>
      <c r="F820" s="168"/>
      <c r="G820" s="168" t="s">
        <v>20</v>
      </c>
      <c r="H820" s="169">
        <v>2014</v>
      </c>
      <c r="I820" s="170"/>
      <c r="J820" s="166">
        <f>IFERROR(INDEX('Labor Expenditures'!$F$7:$X$91,MATCH($C820,'Labor Expenditures'!$D$7:$D$91,0),MATCH($G820,'Labor Expenditures'!$F$5:$X$5,0)),"NA")</f>
        <v>23446.334188854056</v>
      </c>
      <c r="K820" s="166">
        <f t="shared" si="2395"/>
        <v>193.45160221826779</v>
      </c>
      <c r="L820" s="172">
        <f t="shared" si="2402"/>
        <v>-2.1906702460638982E-2</v>
      </c>
      <c r="M820" s="172">
        <f t="shared" si="2406"/>
        <v>-1.690899856802681E-4</v>
      </c>
      <c r="N820" s="196"/>
      <c r="O820" s="172"/>
      <c r="P820" s="166">
        <f>IFERROR(INDEX('Non-Labor Expenditures'!$F$7:$AB$91,MATCH($C820,'Non-Labor Expenditures'!$D$7:$D$91,0),MATCH($G820,'Non-Labor Expenditures'!$F$5:$AB$5,0)),"NA")</f>
        <v>33954.671076626488</v>
      </c>
      <c r="Q820" s="166">
        <f t="shared" si="2396"/>
        <v>327.59916907027201</v>
      </c>
      <c r="R820" s="172">
        <f t="shared" si="2407"/>
        <v>-1.9520575158866366E-2</v>
      </c>
      <c r="S820" s="172">
        <f t="shared" si="2412"/>
        <v>-1.5067232414435385E-4</v>
      </c>
      <c r="T820" s="172"/>
      <c r="U820" s="172"/>
      <c r="V820" s="166">
        <f t="shared" si="2377"/>
        <v>30435.634531528591</v>
      </c>
      <c r="W820" s="170"/>
      <c r="X820" s="174">
        <v>1382.4241316250263</v>
      </c>
      <c r="Y820" s="175">
        <v>1.8650300347064497E-2</v>
      </c>
      <c r="Z820" s="175">
        <f t="shared" si="2413"/>
        <v>1.4395498474880232E-4</v>
      </c>
      <c r="AA820" s="175"/>
      <c r="AB820" s="175"/>
      <c r="AC820" s="170">
        <f t="shared" si="2271"/>
        <v>87836.639797009135</v>
      </c>
      <c r="AD820" s="175">
        <f t="shared" si="2408"/>
        <v>1.6046184168480134E-2</v>
      </c>
      <c r="AE820" s="170"/>
      <c r="AF820" s="170"/>
      <c r="AG820" s="121">
        <f t="shared" si="2409"/>
        <v>667.9897166183182</v>
      </c>
      <c r="AH820" s="119">
        <f>+AZ820/$BB$52</f>
        <v>3.5890277271813866E-3</v>
      </c>
      <c r="AI820" s="119">
        <f>+AZ820/$BC$52</f>
        <v>1.5290437377627314E-2</v>
      </c>
      <c r="AJ820" s="176">
        <f t="shared" si="2414"/>
        <v>2.3974336144151809</v>
      </c>
      <c r="AK820" s="176">
        <f t="shared" si="2415"/>
        <v>10.21385493085141</v>
      </c>
      <c r="AL820" s="120">
        <f t="shared" si="2397"/>
        <v>0.26693113765552323</v>
      </c>
      <c r="AM820" s="120">
        <f t="shared" si="2398"/>
        <v>0.38656614318461957</v>
      </c>
      <c r="AN820" s="120">
        <f t="shared" si="2399"/>
        <v>0.3465027191598572</v>
      </c>
      <c r="AO820" s="120">
        <f t="shared" si="2403"/>
        <v>-7.1546692559924545E-3</v>
      </c>
      <c r="AP820" s="173">
        <f t="shared" si="2419"/>
        <v>125.06045897381986</v>
      </c>
      <c r="AQ820" s="175">
        <f t="shared" si="2420"/>
        <v>-7.1546692559924675E-3</v>
      </c>
      <c r="AR820" s="177">
        <f>+AC820/$AE$52</f>
        <v>7.7186416341793879E-3</v>
      </c>
      <c r="AS820" s="177">
        <f t="shared" si="2416"/>
        <v>-5.5224327998086724E-5</v>
      </c>
      <c r="AT820" s="177"/>
      <c r="AU820" s="177"/>
      <c r="AV820" s="177"/>
      <c r="AW820" s="190"/>
      <c r="AX820" s="120"/>
      <c r="AY820" s="120"/>
      <c r="AZ820" s="118">
        <f>IFERROR(INDEX('Total Customers'!$F$7:$AB$91,MATCH($C820,'Total Customers'!$D$7:$D$91,0),MATCH($G820,'Total Customers'!$F$5:$AB$5,0)),"NA")</f>
        <v>131494</v>
      </c>
      <c r="BA820" s="119">
        <f t="shared" si="2378"/>
        <v>5.9724439081767023E-3</v>
      </c>
      <c r="BB820" s="119"/>
      <c r="BC820" s="121">
        <v>8599754</v>
      </c>
      <c r="BD820" s="119"/>
      <c r="BE820" s="119"/>
      <c r="BF820" s="119"/>
      <c r="BG820" s="173"/>
      <c r="BH820" s="173"/>
      <c r="BI820" s="173"/>
      <c r="BJ820" s="173"/>
      <c r="BK820" s="173"/>
      <c r="BL820" s="173"/>
      <c r="BM820" s="173"/>
      <c r="BN820" s="173"/>
      <c r="BO820" s="173"/>
      <c r="BP820" s="173"/>
      <c r="BQ820" s="118"/>
      <c r="BR820" s="118"/>
      <c r="BS820" s="118">
        <f>INDEX('Dist. Plant Gas Additions'!$F$7:$AE$91,MATCH($C820,'Dist. Plant Gas Additions'!$D$7:$D$91,0),MATCH(Calculation!$G820,'Dist. Plant Gas Additions'!$F$5:$AE$5,0))</f>
        <v>24311</v>
      </c>
      <c r="BT820" s="118">
        <f>INDEX('Gen. Plant Additions'!$F$7:$AE$91,MATCH($C820,'Gen. Plant Additions'!$D$7:$D$91,0),MATCH(Calculation!$G820,'Gen. Plant Additions'!$F$5:$AE$5,0))</f>
        <v>455</v>
      </c>
      <c r="BU820" s="118"/>
      <c r="BV820" s="118"/>
      <c r="BW820" s="118">
        <f>INDEX('Dist Plant Depreciation'!$E$7:$AD$94,MATCH($C820,'Dist Plant Depreciation'!$D$7:$D$94,0),MATCH(Calculation!$G820,'Dist Plant Depreciation'!$E$5:$AD$5,0))</f>
        <v>172524</v>
      </c>
      <c r="BX820" s="118">
        <f>INDEX('Gen. Plant Depreciation'!$E$7:$AD$94,MATCH($C820,'Gen. Plant Depreciation'!$D$7:$D$94,0),MATCH(Calculation!$G820,'Gen. Plant Depreciation'!$E$5:$AD$5,0))</f>
        <v>15823</v>
      </c>
      <c r="BY820" s="118"/>
      <c r="BZ820" s="118"/>
      <c r="CA820" s="118"/>
      <c r="CB820" s="118"/>
      <c r="CC820" s="118"/>
      <c r="CD820" s="183"/>
      <c r="CE820" s="118">
        <f>INDEX('Gross Dx Plant'!$E$7:$AD$91,MATCH($C820,'Gross Dx Plant'!$D$7:$D$91,0),MATCH(Calculation!$G820,'Gross Dx Plant'!$E$5:$AD$5,0))</f>
        <v>549379</v>
      </c>
      <c r="CF820" s="118">
        <f>INDEX('Gross Gen Plant'!$E$7:$AD$91,MATCH($C820,'Gross Gen Plant'!$D$7:$D$91,0),MATCH(Calculation!$G820,'Gross Gen Plant'!$E$5:$AD$5,0))</f>
        <v>14492</v>
      </c>
      <c r="CG820" s="118">
        <f t="shared" si="2347"/>
        <v>375524</v>
      </c>
      <c r="CH820" s="118"/>
      <c r="CI820" s="121">
        <v>2014</v>
      </c>
      <c r="CJ820" s="118"/>
      <c r="CK820" s="118"/>
      <c r="CL820" s="118"/>
      <c r="CM820" s="183"/>
      <c r="CN820" s="118">
        <f t="shared" si="2379"/>
        <v>24766</v>
      </c>
      <c r="CO820" s="118">
        <f t="shared" si="2380"/>
        <v>36.18278524122146</v>
      </c>
      <c r="CP820" s="186">
        <v>0.89743589743589747</v>
      </c>
      <c r="CQ820" s="118">
        <f>+CQ804*CP820+CO805*CP819+CO806*CP818+CO807*CP817+CO808*CP816+CO809*CP815+CO810*CP814+CO811*CP813+CO812*CP812+CO813*CP811+CO814*CP810+CO815*CP809+CO816*CP808+CO817*CP807+CO818*CP806+CO819*CP805+CO820</f>
        <v>1382.4241316250263</v>
      </c>
      <c r="CR820" s="119">
        <f t="shared" si="2381"/>
        <v>1.8650300347064497E-2</v>
      </c>
      <c r="CS820" s="119"/>
      <c r="CT820" s="177">
        <f t="shared" si="2382"/>
        <v>7.8408522524694418E-3</v>
      </c>
      <c r="CU820" s="177">
        <f t="shared" si="2390"/>
        <v>7.6133744793528309E-3</v>
      </c>
      <c r="CV820" s="119">
        <f>VLOOKUP($H820,RoR!$E:$F,2,FALSE)</f>
        <v>4.1625000000000002E-2</v>
      </c>
      <c r="CW820" s="177">
        <v>1.841352814597208E-2</v>
      </c>
      <c r="CX820" s="177">
        <f t="shared" si="2388"/>
        <v>2.3211471854027922E-2</v>
      </c>
      <c r="CY820" s="177">
        <f t="shared" si="2391"/>
        <v>2.3288567129180794E-2</v>
      </c>
      <c r="CZ820" s="177">
        <f t="shared" si="2392"/>
        <v>3.9072621432650924E-2</v>
      </c>
      <c r="DA820" s="187">
        <f t="shared" si="2383"/>
        <v>0.85131374874999999</v>
      </c>
      <c r="DB820" s="188">
        <f t="shared" si="2384"/>
        <v>1.2320012320012319</v>
      </c>
      <c r="DC820" s="188">
        <f t="shared" si="2385"/>
        <v>0.37439939939939942</v>
      </c>
      <c r="DD820" s="188">
        <f t="shared" si="2386"/>
        <v>0.80432100613819935</v>
      </c>
      <c r="DE820" s="188">
        <f t="shared" si="2387"/>
        <v>0.37100152660040037</v>
      </c>
      <c r="DF820" s="189">
        <f>INDEX('State Tax Lookup'!$D$7:$Z$91,MATCH(Calculation!$C820,'State Tax Lookup'!$B$7:$B$91,0),MATCH($H820,'State Tax Lookup'!$D$6:$Z$6,0))</f>
        <v>0.39649667</v>
      </c>
      <c r="DG820" s="189">
        <v>0.375</v>
      </c>
      <c r="DH820" s="190">
        <f t="shared" si="2389"/>
        <v>22.430594112318808</v>
      </c>
      <c r="DI820" s="190">
        <v>22.084780315673715</v>
      </c>
      <c r="DJ820" s="177"/>
      <c r="DK820" s="189">
        <f>VLOOKUP($H820,RoR!$E:$F,2,FALSE)</f>
        <v>4.1625000000000002E-2</v>
      </c>
      <c r="DL820" s="191">
        <f>HLOOKUP($H820,'GDP-PI'!$D$8:$CQ$11,3,FALSE)</f>
        <v>1.841352814597208E-2</v>
      </c>
      <c r="DM820" s="189">
        <f>VLOOKUP(H820,'HW Dx Data'!$E:$F,2,FALSE)</f>
        <v>684.46914285042885</v>
      </c>
      <c r="DN820" s="183">
        <f>VLOOKUP(H820,'ECI - Input Price'!$G$17:$H$37,2,FALSE)</f>
        <v>121.2</v>
      </c>
      <c r="DO820" s="177">
        <f t="shared" ref="DO820" si="2433">LN(DN820/DN819)</f>
        <v>2.0632179200028689E-2</v>
      </c>
      <c r="DP820" s="183">
        <f>HLOOKUP(H820,'GDP-PI'!$8:$9,2,FALSE)</f>
        <v>103.64700000000001</v>
      </c>
      <c r="DQ820" s="177">
        <f t="shared" ref="DQ820" si="2434">LN(DP820/DP819)</f>
        <v>1.8246051898256087E-2</v>
      </c>
    </row>
    <row r="821" spans="1:121" s="167" customFormat="1" ht="21" x14ac:dyDescent="0.35">
      <c r="A821" s="167" t="s">
        <v>84</v>
      </c>
      <c r="B821" s="168" t="s">
        <v>84</v>
      </c>
      <c r="C821" s="168">
        <v>4057093</v>
      </c>
      <c r="D821" s="168" t="s">
        <v>136</v>
      </c>
      <c r="E821" s="168" t="s">
        <v>126</v>
      </c>
      <c r="F821" s="168"/>
      <c r="G821" s="168" t="s">
        <v>21</v>
      </c>
      <c r="H821" s="169">
        <v>2015</v>
      </c>
      <c r="I821" s="170"/>
      <c r="J821" s="166">
        <f>IFERROR(INDEX('Labor Expenditures'!$F$7:$X$91,MATCH($C821,'Labor Expenditures'!$D$7:$D$91,0),MATCH($G821,'Labor Expenditures'!$F$5:$X$5,0)),"NA")</f>
        <v>22408.090118226301</v>
      </c>
      <c r="K821" s="166">
        <f t="shared" si="2395"/>
        <v>181.07547570283879</v>
      </c>
      <c r="L821" s="172">
        <f t="shared" si="2402"/>
        <v>-6.6113426268289491E-2</v>
      </c>
      <c r="M821" s="172">
        <f t="shared" si="2406"/>
        <v>-4.901601149299396E-4</v>
      </c>
      <c r="N821" s="196"/>
      <c r="O821" s="172"/>
      <c r="P821" s="166">
        <f>IFERROR(INDEX('Non-Labor Expenditures'!$F$7:$AB$91,MATCH($C821,'Non-Labor Expenditures'!$D$7:$D$91,0),MATCH($G821,'Non-Labor Expenditures'!$F$5:$AB$5,0)),"NA")</f>
        <v>32451.099745113952</v>
      </c>
      <c r="Q821" s="166">
        <f t="shared" si="2396"/>
        <v>310.12432979208472</v>
      </c>
      <c r="R821" s="172">
        <f t="shared" si="2407"/>
        <v>-5.4817534640146499E-2</v>
      </c>
      <c r="S821" s="172">
        <f t="shared" si="2412"/>
        <v>-4.0641319919427208E-4</v>
      </c>
      <c r="T821" s="172"/>
      <c r="U821" s="172"/>
      <c r="V821" s="166">
        <f t="shared" si="2377"/>
        <v>30361.959289464827</v>
      </c>
      <c r="W821" s="170"/>
      <c r="X821" s="174">
        <v>1429.3495631414639</v>
      </c>
      <c r="Y821" s="175">
        <v>3.3380914604450425E-2</v>
      </c>
      <c r="Z821" s="175">
        <f t="shared" si="2413"/>
        <v>2.4748366349350363E-4</v>
      </c>
      <c r="AA821" s="175"/>
      <c r="AB821" s="175"/>
      <c r="AC821" s="170">
        <f t="shared" si="2271"/>
        <v>85221.149152805083</v>
      </c>
      <c r="AD821" s="175">
        <f t="shared" si="2408"/>
        <v>-3.0229090828049355E-2</v>
      </c>
      <c r="AE821" s="170"/>
      <c r="AF821" s="170"/>
      <c r="AG821" s="121">
        <f t="shared" si="2409"/>
        <v>642.67889227849366</v>
      </c>
      <c r="AH821" s="119">
        <f>+AZ821/$BB$53</f>
        <v>3.5899511755402781E-3</v>
      </c>
      <c r="AI821" s="119">
        <f>+AZ821/$BC$53</f>
        <v>1.5313700289487059E-2</v>
      </c>
      <c r="AJ821" s="176">
        <f t="shared" si="2414"/>
        <v>2.3071858448301019</v>
      </c>
      <c r="AK821" s="176">
        <f t="shared" si="2415"/>
        <v>9.8417919387323902</v>
      </c>
      <c r="AL821" s="120">
        <f t="shared" si="2397"/>
        <v>0.26294048297855804</v>
      </c>
      <c r="AM821" s="120">
        <f t="shared" si="2398"/>
        <v>0.38078692986089374</v>
      </c>
      <c r="AN821" s="120">
        <f t="shared" si="2399"/>
        <v>0.35627258716054822</v>
      </c>
      <c r="AO821" s="120">
        <f t="shared" si="2403"/>
        <v>-2.6818374749473867E-2</v>
      </c>
      <c r="AP821" s="173">
        <f t="shared" si="2419"/>
        <v>121.7511146810415</v>
      </c>
      <c r="AQ821" s="175">
        <f t="shared" si="2420"/>
        <v>-2.6818374749473826E-2</v>
      </c>
      <c r="AR821" s="177">
        <f>+AC821/$AE$53</f>
        <v>7.4139269827109087E-3</v>
      </c>
      <c r="AS821" s="177">
        <f t="shared" si="2416"/>
        <v>-1.9882947218757691E-4</v>
      </c>
      <c r="AT821" s="177"/>
      <c r="AU821" s="177"/>
      <c r="AV821" s="177"/>
      <c r="AW821" s="190"/>
      <c r="AX821" s="120"/>
      <c r="AY821" s="120"/>
      <c r="AZ821" s="118">
        <f>IFERROR(INDEX('Total Customers'!$F$7:$AB$91,MATCH($C821,'Total Customers'!$D$7:$D$91,0),MATCH($G821,'Total Customers'!$F$5:$AB$5,0)),"NA")</f>
        <v>132603</v>
      </c>
      <c r="BA821" s="119">
        <f t="shared" si="2378"/>
        <v>8.3984787297897035E-3</v>
      </c>
      <c r="BB821" s="119"/>
      <c r="BC821" s="121">
        <v>8659109</v>
      </c>
      <c r="BD821" s="119"/>
      <c r="BE821" s="119"/>
      <c r="BF821" s="119"/>
      <c r="BG821" s="173"/>
      <c r="BH821" s="173"/>
      <c r="BI821" s="173"/>
      <c r="BJ821" s="173"/>
      <c r="BK821" s="173"/>
      <c r="BL821" s="173"/>
      <c r="BM821" s="173"/>
      <c r="BN821" s="173"/>
      <c r="BO821" s="173"/>
      <c r="BP821" s="173"/>
      <c r="BQ821" s="118"/>
      <c r="BR821" s="118"/>
      <c r="BS821" s="118">
        <f>INDEX('Dist. Plant Gas Additions'!$F$7:$AE$91,MATCH($C821,'Dist. Plant Gas Additions'!$D$7:$D$91,0),MATCH(Calculation!$G821,'Dist. Plant Gas Additions'!$F$5:$AE$5,0))</f>
        <v>38576</v>
      </c>
      <c r="BT821" s="118">
        <f>INDEX('Gen. Plant Additions'!$F$7:$AE$91,MATCH($C821,'Gen. Plant Additions'!$D$7:$D$91,0),MATCH(Calculation!$G821,'Gen. Plant Additions'!$F$5:$AE$5,0))</f>
        <v>705</v>
      </c>
      <c r="BU821" s="118"/>
      <c r="BV821" s="118"/>
      <c r="BW821" s="118">
        <f>INDEX('Dist Plant Depreciation'!$E$7:$AD$94,MATCH($C821,'Dist Plant Depreciation'!$D$7:$D$94,0),MATCH(Calculation!$G821,'Dist Plant Depreciation'!$E$5:$AD$5,0))</f>
        <v>182850</v>
      </c>
      <c r="BX821" s="118">
        <f>INDEX('Gen. Plant Depreciation'!$E$7:$AD$94,MATCH($C821,'Gen. Plant Depreciation'!$D$7:$D$94,0),MATCH(Calculation!$G821,'Gen. Plant Depreciation'!$E$5:$AD$5,0))</f>
        <v>16969</v>
      </c>
      <c r="BY821" s="118"/>
      <c r="BZ821" s="118"/>
      <c r="CA821" s="118"/>
      <c r="CB821" s="118"/>
      <c r="CC821" s="118"/>
      <c r="CD821" s="183"/>
      <c r="CE821" s="118">
        <f>INDEX('Gross Dx Plant'!$E$7:$AD$91,MATCH($C821,'Gross Dx Plant'!$D$7:$D$91,0),MATCH(Calculation!$G821,'Gross Dx Plant'!$E$5:$AD$5,0))</f>
        <v>586486</v>
      </c>
      <c r="CF821" s="118">
        <f>INDEX('Gross Gen Plant'!$E$7:$AD$91,MATCH($C821,'Gross Gen Plant'!$D$7:$D$91,0),MATCH(Calculation!$G821,'Gross Gen Plant'!$E$5:$AD$5,0))</f>
        <v>13612</v>
      </c>
      <c r="CG821" s="118">
        <f t="shared" si="2347"/>
        <v>400279</v>
      </c>
      <c r="CH821" s="118"/>
      <c r="CI821" s="121">
        <v>2015</v>
      </c>
      <c r="CJ821" s="118"/>
      <c r="CK821" s="118"/>
      <c r="CL821" s="118"/>
      <c r="CM821" s="183"/>
      <c r="CN821" s="118">
        <f t="shared" si="2379"/>
        <v>39281</v>
      </c>
      <c r="CO821" s="118">
        <f t="shared" si="2380"/>
        <v>58.141132646192432</v>
      </c>
      <c r="CP821" s="186">
        <v>0.88888888888888884</v>
      </c>
      <c r="CQ821" s="118">
        <f>+CQ804*CP821+CO805*CP820+CO806*CP819+CO807*CP818+CO808*CP817+CO809*CP816+CO810*CP815+CO811*CP814+CO812*CP813+CO813*CP812+CO814*CP811+CO815*CP810+CO816*CP809+CO817*CP808+CO818*CP807+CO819*CP806+CO820*CP805+CO821</f>
        <v>1429.3495631414639</v>
      </c>
      <c r="CR821" s="119">
        <f t="shared" si="2381"/>
        <v>3.3380914604450425E-2</v>
      </c>
      <c r="CS821" s="119"/>
      <c r="CT821" s="177">
        <f t="shared" si="2382"/>
        <v>8.1130681049171923E-3</v>
      </c>
      <c r="CU821" s="177">
        <f t="shared" si="2390"/>
        <v>7.8515751444265345E-3</v>
      </c>
      <c r="CV821" s="119">
        <f>VLOOKUP($H821,RoR!$E:$F,2,FALSE)</f>
        <v>3.8866666666666674E-2</v>
      </c>
      <c r="CW821" s="177">
        <v>9.5709475431029478E-3</v>
      </c>
      <c r="CX821" s="177">
        <f t="shared" si="2388"/>
        <v>2.9295719123563727E-2</v>
      </c>
      <c r="CY821" s="177">
        <f t="shared" si="2391"/>
        <v>2.3050366464107089E-2</v>
      </c>
      <c r="CZ821" s="177">
        <f t="shared" si="2392"/>
        <v>3.5270373279175926E-3</v>
      </c>
      <c r="DA821" s="187">
        <f t="shared" si="2383"/>
        <v>0.85131374874999999</v>
      </c>
      <c r="DB821" s="188">
        <f t="shared" si="2384"/>
        <v>1.3194352816994324</v>
      </c>
      <c r="DC821" s="188">
        <f t="shared" si="2385"/>
        <v>0.33177530017152673</v>
      </c>
      <c r="DD821" s="188">
        <f t="shared" si="2386"/>
        <v>0.78242572977668579</v>
      </c>
      <c r="DE821" s="188">
        <f t="shared" si="2387"/>
        <v>0.34251158643433932</v>
      </c>
      <c r="DF821" s="189">
        <f>INDEX('State Tax Lookup'!$D$7:$Z$91,MATCH(Calculation!$C821,'State Tax Lookup'!$B$7:$B$91,0),MATCH($H821,'State Tax Lookup'!$D$6:$Z$6,0))</f>
        <v>0.39649667</v>
      </c>
      <c r="DG821" s="189">
        <v>0.375</v>
      </c>
      <c r="DH821" s="190">
        <f t="shared" si="2389"/>
        <v>21.962839475157768</v>
      </c>
      <c r="DI821" s="190">
        <v>21.562671834843329</v>
      </c>
      <c r="DJ821" s="177"/>
      <c r="DK821" s="189">
        <f>VLOOKUP($H821,RoR!$E:$F,2,FALSE)</f>
        <v>3.8866666666666674E-2</v>
      </c>
      <c r="DL821" s="191">
        <f>HLOOKUP($H821,'GDP-PI'!$D$8:$CQ$11,3,FALSE)</f>
        <v>9.5709475431029478E-3</v>
      </c>
      <c r="DM821" s="189">
        <f>VLOOKUP(H821,'HW Dx Data'!$E:$F,2,FALSE)</f>
        <v>675.61463308665782</v>
      </c>
      <c r="DN821" s="183">
        <f>VLOOKUP(H821,'ECI - Input Price'!$G$17:$H$37,2,FALSE)</f>
        <v>123.75</v>
      </c>
      <c r="DO821" s="177">
        <f t="shared" ref="DO821" si="2435">LN(DN821/DN820)</f>
        <v>2.0821327813585516E-2</v>
      </c>
      <c r="DP821" s="183">
        <f>HLOOKUP(H821,'GDP-PI'!$8:$9,2,FALSE)</f>
        <v>104.639</v>
      </c>
      <c r="DQ821" s="177">
        <f t="shared" ref="DQ821" si="2436">LN(DP821/DP820)</f>
        <v>9.5254361854427965E-3</v>
      </c>
    </row>
    <row r="822" spans="1:121" s="167" customFormat="1" ht="21" x14ac:dyDescent="0.35">
      <c r="A822" s="167" t="s">
        <v>84</v>
      </c>
      <c r="B822" s="168" t="s">
        <v>84</v>
      </c>
      <c r="C822" s="168">
        <v>4057093</v>
      </c>
      <c r="D822" s="168" t="s">
        <v>136</v>
      </c>
      <c r="E822" s="168" t="s">
        <v>126</v>
      </c>
      <c r="F822" s="168"/>
      <c r="G822" s="168" t="s">
        <v>22</v>
      </c>
      <c r="H822" s="169">
        <v>2016</v>
      </c>
      <c r="I822" s="170"/>
      <c r="J822" s="166">
        <f>IFERROR(INDEX('Labor Expenditures'!$F$7:$X$91,MATCH($C822,'Labor Expenditures'!$D$7:$D$91,0),MATCH($G822,'Labor Expenditures'!$F$5:$X$5,0)),"NA")</f>
        <v>20598.545051648096</v>
      </c>
      <c r="K822" s="166">
        <f t="shared" si="2395"/>
        <v>162.96317287696277</v>
      </c>
      <c r="L822" s="172">
        <f t="shared" si="2402"/>
        <v>-0.10538969517201034</v>
      </c>
      <c r="M822" s="172">
        <f t="shared" si="2406"/>
        <v>-7.2005845882197942E-4</v>
      </c>
      <c r="N822" s="196"/>
      <c r="O822" s="172"/>
      <c r="P822" s="166">
        <f>IFERROR(INDEX('Non-Labor Expenditures'!$F$7:$AB$91,MATCH($C822,'Non-Labor Expenditures'!$D$7:$D$91,0),MATCH($G822,'Non-Labor Expenditures'!$F$5:$AB$5,0)),"NA")</f>
        <v>29830.54051231057</v>
      </c>
      <c r="Q822" s="166">
        <f t="shared" si="2396"/>
        <v>282.12283907383073</v>
      </c>
      <c r="R822" s="172">
        <f t="shared" si="2407"/>
        <v>-9.4630705275258062E-2</v>
      </c>
      <c r="S822" s="172">
        <f t="shared" si="2412"/>
        <v>-6.465493584218656E-4</v>
      </c>
      <c r="T822" s="172"/>
      <c r="U822" s="172"/>
      <c r="V822" s="166">
        <f t="shared" si="2377"/>
        <v>30861.342569336546</v>
      </c>
      <c r="W822" s="170"/>
      <c r="X822" s="174">
        <v>1483.6028235208819</v>
      </c>
      <c r="Y822" s="175">
        <v>3.725397994085252E-2</v>
      </c>
      <c r="Z822" s="175">
        <f t="shared" si="2413"/>
        <v>2.545319382261527E-4</v>
      </c>
      <c r="AA822" s="175"/>
      <c r="AB822" s="175"/>
      <c r="AC822" s="170">
        <f t="shared" si="2271"/>
        <v>81290.428133295209</v>
      </c>
      <c r="AD822" s="175">
        <f t="shared" si="2408"/>
        <v>-4.7221358039825148E-2</v>
      </c>
      <c r="AE822" s="170"/>
      <c r="AF822" s="170"/>
      <c r="AG822" s="121">
        <f t="shared" si="2409"/>
        <v>616.50445659536626</v>
      </c>
      <c r="AH822" s="119">
        <f>+AZ822/$BB$54</f>
        <v>3.5389113265993652E-3</v>
      </c>
      <c r="AI822" s="119">
        <f>+AZ822/$BC$54</f>
        <v>1.5053751655853315E-2</v>
      </c>
      <c r="AJ822" s="176">
        <f t="shared" si="2414"/>
        <v>2.1817546043443286</v>
      </c>
      <c r="AK822" s="176">
        <f t="shared" si="2415"/>
        <v>9.2807049843134433</v>
      </c>
      <c r="AL822" s="120">
        <f t="shared" si="2397"/>
        <v>0.25339447121464076</v>
      </c>
      <c r="AM822" s="120">
        <f t="shared" si="2398"/>
        <v>0.36696252187768313</v>
      </c>
      <c r="AN822" s="120">
        <f t="shared" si="2399"/>
        <v>0.37964300690767616</v>
      </c>
      <c r="AO822" s="120">
        <f t="shared" si="2403"/>
        <v>-4.8880328318353004E-2</v>
      </c>
      <c r="AP822" s="173">
        <f t="shared" si="2419"/>
        <v>115.94298818122243</v>
      </c>
      <c r="AQ822" s="175">
        <f t="shared" si="2420"/>
        <v>-4.8880328318353108E-2</v>
      </c>
      <c r="AR822" s="177">
        <f>+AC822/$AE$54</f>
        <v>6.832342172038223E-3</v>
      </c>
      <c r="AS822" s="177">
        <f t="shared" si="2416"/>
        <v>-3.3396712855255815E-4</v>
      </c>
      <c r="AT822" s="177"/>
      <c r="AU822" s="177"/>
      <c r="AV822" s="177"/>
      <c r="AW822" s="190"/>
      <c r="AX822" s="120"/>
      <c r="AY822" s="120"/>
      <c r="AZ822" s="118">
        <f>IFERROR(INDEX('Total Customers'!$F$7:$AB$91,MATCH($C822,'Total Customers'!$D$7:$D$91,0),MATCH($G822,'Total Customers'!$F$5:$AB$5,0)),"NA")</f>
        <v>131857</v>
      </c>
      <c r="BA822" s="119">
        <f t="shared" si="2378"/>
        <v>-5.6416999068893258E-3</v>
      </c>
      <c r="BB822" s="119"/>
      <c r="BC822" s="121">
        <v>8759079</v>
      </c>
      <c r="BD822" s="119"/>
      <c r="BE822" s="119"/>
      <c r="BF822" s="119"/>
      <c r="BG822" s="173"/>
      <c r="BH822" s="173"/>
      <c r="BI822" s="173"/>
      <c r="BJ822" s="173"/>
      <c r="BK822" s="173"/>
      <c r="BL822" s="173"/>
      <c r="BM822" s="173"/>
      <c r="BN822" s="173"/>
      <c r="BO822" s="173"/>
      <c r="BP822" s="173"/>
      <c r="BQ822" s="118"/>
      <c r="BR822" s="118"/>
      <c r="BS822" s="118">
        <f>INDEX('Dist. Plant Gas Additions'!$F$7:$AE$91,MATCH($C822,'Dist. Plant Gas Additions'!$D$7:$D$91,0),MATCH(Calculation!$G822,'Dist. Plant Gas Additions'!$F$5:$AE$5,0))</f>
        <v>43855</v>
      </c>
      <c r="BT822" s="118">
        <f>INDEX('Gen. Plant Additions'!$F$7:$AE$91,MATCH($C822,'Gen. Plant Additions'!$D$7:$D$91,0),MATCH(Calculation!$G822,'Gen. Plant Additions'!$F$5:$AE$5,0))</f>
        <v>584</v>
      </c>
      <c r="BU822" s="118"/>
      <c r="BV822" s="118"/>
      <c r="BW822" s="118">
        <f>INDEX('Dist Plant Depreciation'!$E$7:$AD$94,MATCH($C822,'Dist Plant Depreciation'!$D$7:$D$94,0),MATCH(Calculation!$G822,'Dist Plant Depreciation'!$E$5:$AD$5,0))</f>
        <v>192952</v>
      </c>
      <c r="BX822" s="118">
        <f>INDEX('Gen. Plant Depreciation'!$E$7:$AD$94,MATCH($C822,'Gen. Plant Depreciation'!$D$7:$D$94,0),MATCH(Calculation!$G822,'Gen. Plant Depreciation'!$E$5:$AD$5,0))</f>
        <v>18722</v>
      </c>
      <c r="BY822" s="118"/>
      <c r="BZ822" s="118"/>
      <c r="CA822" s="118"/>
      <c r="CB822" s="118"/>
      <c r="CC822" s="118"/>
      <c r="CD822" s="183"/>
      <c r="CE822" s="118">
        <f>INDEX('Gross Dx Plant'!$E$7:$AD$91,MATCH($C822,'Gross Dx Plant'!$D$7:$D$91,0),MATCH(Calculation!$G822,'Gross Dx Plant'!$E$5:$AD$5,0))</f>
        <v>628050</v>
      </c>
      <c r="CF822" s="118">
        <f>INDEX('Gross Gen Plant'!$E$7:$AD$91,MATCH($C822,'Gross Gen Plant'!$D$7:$D$91,0),MATCH(Calculation!$G822,'Gross Gen Plant'!$E$5:$AD$5,0))</f>
        <v>13899</v>
      </c>
      <c r="CG822" s="118">
        <f t="shared" si="2347"/>
        <v>430275</v>
      </c>
      <c r="CH822" s="118"/>
      <c r="CI822" s="121">
        <v>2016</v>
      </c>
      <c r="CJ822" s="118"/>
      <c r="CK822" s="118"/>
      <c r="CL822" s="118"/>
      <c r="CM822" s="183"/>
      <c r="CN822" s="118">
        <f t="shared" si="2379"/>
        <v>44439</v>
      </c>
      <c r="CO822" s="118">
        <f t="shared" si="2380"/>
        <v>66.183002211882524</v>
      </c>
      <c r="CP822" s="186">
        <v>0.88</v>
      </c>
      <c r="CQ822" s="118">
        <f>+CQ804*CP822+CO805*CP821+CO806*CP820+CO807*CP819+CO808*CP818+CO809*CP817+CO810*CP816+CO811*CP815+CO812*CP814+CO813*CP813+CO814*CP812+CO815*CP811+CO816*CP810+CO817*CP809+CO818*CP808+CO819*CP807+CO820*CP806+CO821*CP805+CO822</f>
        <v>1483.6028235208819</v>
      </c>
      <c r="CR822" s="119">
        <f t="shared" si="2381"/>
        <v>3.725397994085252E-2</v>
      </c>
      <c r="CS822" s="119"/>
      <c r="CT822" s="177">
        <f t="shared" si="2382"/>
        <v>8.3462731161753432E-3</v>
      </c>
      <c r="CU822" s="177">
        <f t="shared" si="2390"/>
        <v>8.1000644911873258E-3</v>
      </c>
      <c r="CV822" s="119">
        <f>VLOOKUP($H822,RoR!$E:$F,2,FALSE)</f>
        <v>3.6658333333333334E-2</v>
      </c>
      <c r="CW822" s="177">
        <v>1.0483662879041455E-2</v>
      </c>
      <c r="CX822" s="177">
        <f t="shared" si="2388"/>
        <v>2.6174670454291879E-2</v>
      </c>
      <c r="CY822" s="177">
        <f t="shared" si="2391"/>
        <v>2.2801877117346298E-2</v>
      </c>
      <c r="CZ822" s="177">
        <f t="shared" si="2392"/>
        <v>4.301363574220729E-3</v>
      </c>
      <c r="DA822" s="187">
        <f t="shared" si="2383"/>
        <v>0.85131374874999999</v>
      </c>
      <c r="DB822" s="188">
        <f t="shared" si="2384"/>
        <v>1.3989193348138562</v>
      </c>
      <c r="DC822" s="188">
        <f t="shared" si="2385"/>
        <v>0.29302682427824522</v>
      </c>
      <c r="DD822" s="188">
        <f t="shared" si="2386"/>
        <v>0.76309497491941802</v>
      </c>
      <c r="DE822" s="188">
        <f t="shared" si="2387"/>
        <v>0.31280857135128509</v>
      </c>
      <c r="DF822" s="189">
        <f>INDEX('State Tax Lookup'!$D$7:$Z$91,MATCH(Calculation!$C822,'State Tax Lookup'!$B$7:$B$91,0),MATCH($H822,'State Tax Lookup'!$D$6:$Z$6,0))</f>
        <v>0.39649667</v>
      </c>
      <c r="DG822" s="189">
        <v>0.375</v>
      </c>
      <c r="DH822" s="190">
        <f t="shared" si="2389"/>
        <v>21.591179208470624</v>
      </c>
      <c r="DI822" s="190">
        <v>21.183979690310085</v>
      </c>
      <c r="DJ822" s="177"/>
      <c r="DK822" s="189">
        <f>VLOOKUP($H822,RoR!$E:$F,2,FALSE)</f>
        <v>3.6658333333333334E-2</v>
      </c>
      <c r="DL822" s="191">
        <f>HLOOKUP($H822,'GDP-PI'!$D$8:$CQ$11,3,FALSE)</f>
        <v>1.0483662879041455E-2</v>
      </c>
      <c r="DM822" s="189">
        <f>VLOOKUP(H822,'HW Dx Data'!$E:$F,2,FALSE)</f>
        <v>671.45639385971219</v>
      </c>
      <c r="DN822" s="183">
        <f>VLOOKUP(H822,'ECI - Input Price'!$G$17:$H$37,2,FALSE)</f>
        <v>126.4</v>
      </c>
      <c r="DO822" s="177">
        <f t="shared" ref="DO822" si="2437">LN(DN822/DN821)</f>
        <v>2.11880802639575E-2</v>
      </c>
      <c r="DP822" s="183">
        <f>HLOOKUP(H822,'GDP-PI'!$8:$9,2,FALSE)</f>
        <v>105.736</v>
      </c>
      <c r="DQ822" s="177">
        <f t="shared" ref="DQ822" si="2438">LN(DP822/DP821)</f>
        <v>1.0429090367205095E-2</v>
      </c>
    </row>
    <row r="823" spans="1:121" s="167" customFormat="1" ht="21" x14ac:dyDescent="0.35">
      <c r="A823" s="167" t="s">
        <v>84</v>
      </c>
      <c r="B823" s="168" t="s">
        <v>84</v>
      </c>
      <c r="C823" s="168">
        <v>4057093</v>
      </c>
      <c r="D823" s="168" t="s">
        <v>136</v>
      </c>
      <c r="E823" s="168" t="s">
        <v>126</v>
      </c>
      <c r="F823" s="168"/>
      <c r="G823" s="168" t="s">
        <v>23</v>
      </c>
      <c r="H823" s="169">
        <v>2017</v>
      </c>
      <c r="I823" s="170"/>
      <c r="J823" s="166">
        <f>IFERROR(INDEX('Labor Expenditures'!$F$7:$X$91,MATCH($C823,'Labor Expenditures'!$D$7:$D$91,0),MATCH($G823,'Labor Expenditures'!$F$5:$X$5,0)),"NA")</f>
        <v>25457.337846467075</v>
      </c>
      <c r="K823" s="166">
        <f t="shared" si="2395"/>
        <v>196.58175943217819</v>
      </c>
      <c r="L823" s="172">
        <f t="shared" si="2402"/>
        <v>0.1875541812980743</v>
      </c>
      <c r="M823" s="172">
        <f t="shared" si="2406"/>
        <v>1.4450918749364268E-3</v>
      </c>
      <c r="N823" s="196"/>
      <c r="O823" s="172"/>
      <c r="P823" s="166">
        <f>IFERROR(INDEX('Non-Labor Expenditures'!$F$7:$AB$91,MATCH($C823,'Non-Labor Expenditures'!$D$7:$D$91,0),MATCH($G823,'Non-Labor Expenditures'!$F$5:$AB$5,0)),"NA")</f>
        <v>36866.979976522802</v>
      </c>
      <c r="Q823" s="166">
        <f t="shared" si="2396"/>
        <v>342.14977101393771</v>
      </c>
      <c r="R823" s="172">
        <f t="shared" si="2407"/>
        <v>0.19290599249716461</v>
      </c>
      <c r="S823" s="172">
        <f t="shared" si="2412"/>
        <v>1.4863272066494959E-3</v>
      </c>
      <c r="T823" s="172"/>
      <c r="U823" s="172"/>
      <c r="V823" s="166">
        <f t="shared" si="2377"/>
        <v>28958.852629105135</v>
      </c>
      <c r="W823" s="170"/>
      <c r="X823" s="174">
        <v>1538.9807403877981</v>
      </c>
      <c r="Y823" s="175">
        <v>3.6646870623963088E-2</v>
      </c>
      <c r="Z823" s="175">
        <f t="shared" si="2413"/>
        <v>2.8236158007253782E-4</v>
      </c>
      <c r="AA823" s="175"/>
      <c r="AB823" s="175"/>
      <c r="AC823" s="170">
        <f t="shared" si="2271"/>
        <v>91283.170452095015</v>
      </c>
      <c r="AD823" s="175">
        <f t="shared" si="2408"/>
        <v>0.11593816372735422</v>
      </c>
      <c r="AE823" s="170"/>
      <c r="AF823" s="170"/>
      <c r="AG823" s="121">
        <f t="shared" si="2409"/>
        <v>675.78618456210177</v>
      </c>
      <c r="AH823" s="119">
        <f>+AZ823/$BB$55</f>
        <v>3.5980949417706862E-3</v>
      </c>
      <c r="AI823" s="119">
        <f>+AZ823/$BC$56</f>
        <v>1.5157850275536068E-2</v>
      </c>
      <c r="AJ823" s="176">
        <f t="shared" si="2414"/>
        <v>2.4315428523914098</v>
      </c>
      <c r="AK823" s="176">
        <f t="shared" si="2415"/>
        <v>10.243465803868123</v>
      </c>
      <c r="AL823" s="120">
        <f t="shared" si="2397"/>
        <v>0.278883147029024</v>
      </c>
      <c r="AM823" s="120">
        <f t="shared" si="2398"/>
        <v>0.40387488508487357</v>
      </c>
      <c r="AN823" s="120">
        <f t="shared" si="2399"/>
        <v>0.31724196788610237</v>
      </c>
      <c r="AO823" s="120">
        <f t="shared" si="2403"/>
        <v>0.13703435073404183</v>
      </c>
      <c r="AP823" s="173">
        <f t="shared" si="2419"/>
        <v>132.97125005138912</v>
      </c>
      <c r="AQ823" s="175">
        <f t="shared" si="2420"/>
        <v>0.1370343507340418</v>
      </c>
      <c r="AR823" s="177">
        <f>+AC823/$AE$55</f>
        <v>7.7049301963563535E-3</v>
      </c>
      <c r="AS823" s="177">
        <f t="shared" si="2416"/>
        <v>1.0558401069088062E-3</v>
      </c>
      <c r="AT823" s="177"/>
      <c r="AU823" s="177"/>
      <c r="AV823" s="177"/>
      <c r="AW823" s="190"/>
      <c r="AX823" s="120"/>
      <c r="AY823" s="120"/>
      <c r="AZ823" s="118">
        <f>IFERROR(INDEX('Total Customers'!$F$7:$AB$91,MATCH($C823,'Total Customers'!$D$7:$D$91,0),MATCH($G823,'Total Customers'!$F$5:$AB$5,0)),"NA")</f>
        <v>135077</v>
      </c>
      <c r="BA823" s="119">
        <f t="shared" si="2378"/>
        <v>2.4126984186111717E-2</v>
      </c>
      <c r="BB823" s="119"/>
      <c r="BC823" s="121">
        <v>8824403</v>
      </c>
      <c r="BD823" s="119"/>
      <c r="BE823" s="119"/>
      <c r="BF823" s="119"/>
      <c r="BG823" s="173"/>
      <c r="BH823" s="173"/>
      <c r="BI823" s="173"/>
      <c r="BJ823" s="173"/>
      <c r="BK823" s="173"/>
      <c r="BL823" s="173"/>
      <c r="BM823" s="173"/>
      <c r="BN823" s="173"/>
      <c r="BO823" s="173"/>
      <c r="BP823" s="173"/>
      <c r="BQ823" s="118"/>
      <c r="BR823" s="118"/>
      <c r="BS823" s="118">
        <f>INDEX('Dist. Plant Gas Additions'!$F$7:$AE$91,MATCH($C823,'Dist. Plant Gas Additions'!$D$7:$D$91,0),MATCH(Calculation!$G823,'Dist. Plant Gas Additions'!$F$5:$AE$5,0))</f>
        <v>47212</v>
      </c>
      <c r="BT823" s="118">
        <f>INDEX('Gen. Plant Additions'!$F$7:$AE$91,MATCH($C823,'Gen. Plant Additions'!$D$7:$D$91,0),MATCH(Calculation!$G823,'Gen. Plant Additions'!$F$5:$AE$5,0))</f>
        <v>1301</v>
      </c>
      <c r="BU823" s="118"/>
      <c r="BV823" s="118"/>
      <c r="BW823" s="118">
        <f>INDEX('Dist Plant Depreciation'!$E$7:$AD$94,MATCH($C823,'Dist Plant Depreciation'!$D$7:$D$94,0),MATCH(Calculation!$G823,'Dist Plant Depreciation'!$E$5:$AD$5,0))</f>
        <v>204495</v>
      </c>
      <c r="BX823" s="118">
        <f>INDEX('Gen. Plant Depreciation'!$E$7:$AD$94,MATCH($C823,'Gen. Plant Depreciation'!$D$7:$D$94,0),MATCH(Calculation!$G823,'Gen. Plant Depreciation'!$E$5:$AD$5,0))</f>
        <v>20395</v>
      </c>
      <c r="BY823" s="118"/>
      <c r="BZ823" s="118"/>
      <c r="CA823" s="118"/>
      <c r="CB823" s="118"/>
      <c r="CC823" s="118"/>
      <c r="CD823" s="183"/>
      <c r="CE823" s="118">
        <f>INDEX('Gross Dx Plant'!$E$7:$AD$91,MATCH($C823,'Gross Dx Plant'!$D$7:$D$91,0),MATCH(Calculation!$G823,'Gross Dx Plant'!$E$5:$AD$5,0))</f>
        <v>673496</v>
      </c>
      <c r="CF823" s="118">
        <f>INDEX('Gross Gen Plant'!$E$7:$AD$91,MATCH($C823,'Gross Gen Plant'!$D$7:$D$91,0),MATCH(Calculation!$G823,'Gross Gen Plant'!$E$5:$AD$5,0))</f>
        <v>14821</v>
      </c>
      <c r="CG823" s="118">
        <f t="shared" si="2347"/>
        <v>463427</v>
      </c>
      <c r="CH823" s="118"/>
      <c r="CI823" s="121">
        <v>2017</v>
      </c>
      <c r="CJ823" s="118"/>
      <c r="CK823" s="118"/>
      <c r="CL823" s="118"/>
      <c r="CM823" s="183"/>
      <c r="CN823" s="118">
        <f t="shared" si="2379"/>
        <v>48513</v>
      </c>
      <c r="CO823" s="118">
        <f t="shared" si="2380"/>
        <v>68.095246470728554</v>
      </c>
      <c r="CP823" s="186">
        <v>0.87074829931972786</v>
      </c>
      <c r="CQ823" s="118">
        <f>+CQ804*CP823+CO805*CP822+CO806*CP821+CO807*CP820+CO808*CP819+CO809*CP818+CO810*CP817+CO811*CP816+CO812*CP815+CO813*CP814+CO814*CP813+CO815*CP812+CO816*CP811+CO817*CP810+CO818*CP809+CO819*CP808+CO820*CP807+CO821*CP806+CO822*CP805+CO823</f>
        <v>1538.9807403877981</v>
      </c>
      <c r="CR823" s="119">
        <f t="shared" si="2381"/>
        <v>3.6646870623963088E-2</v>
      </c>
      <c r="CS823" s="119"/>
      <c r="CT823" s="177">
        <f t="shared" si="2382"/>
        <v>8.5719232952331942E-3</v>
      </c>
      <c r="CU823" s="177">
        <f t="shared" si="2390"/>
        <v>8.3437548387752438E-3</v>
      </c>
      <c r="CV823" s="119">
        <f>VLOOKUP($H823,RoR!$E:$F,2,FALSE)</f>
        <v>3.7433333333333339E-2</v>
      </c>
      <c r="CW823" s="177">
        <v>1.9056896421275615E-2</v>
      </c>
      <c r="CX823" s="177">
        <f t="shared" si="2388"/>
        <v>1.8376436912057724E-2</v>
      </c>
      <c r="CY823" s="177">
        <f t="shared" si="2391"/>
        <v>2.2558186769758383E-2</v>
      </c>
      <c r="CZ823" s="177">
        <f t="shared" si="2392"/>
        <v>1.3976271617800498E-2</v>
      </c>
      <c r="DA823" s="187">
        <f t="shared" si="2383"/>
        <v>0.90381374874999998</v>
      </c>
      <c r="DB823" s="188">
        <f t="shared" si="2384"/>
        <v>1.3699568463593395</v>
      </c>
      <c r="DC823" s="188">
        <f t="shared" si="2385"/>
        <v>0.30714603739982199</v>
      </c>
      <c r="DD823" s="188">
        <f t="shared" si="2386"/>
        <v>0.77007188472689425</v>
      </c>
      <c r="DE823" s="188">
        <f t="shared" si="2387"/>
        <v>0.32402839633793828</v>
      </c>
      <c r="DF823" s="189">
        <f>INDEX('State Tax Lookup'!$D$7:$Z$91,MATCH(Calculation!$C823,'State Tax Lookup'!$B$7:$B$91,0),MATCH($H823,'State Tax Lookup'!$D$6:$Z$6,0))</f>
        <v>0.25649666999999998</v>
      </c>
      <c r="DG823" s="189">
        <v>0.375</v>
      </c>
      <c r="DH823" s="190">
        <f t="shared" si="2389"/>
        <v>19.519275758979798</v>
      </c>
      <c r="DI823" s="190">
        <v>19.198975848166345</v>
      </c>
      <c r="DJ823" s="177"/>
      <c r="DK823" s="189">
        <f>VLOOKUP($H823,RoR!$E:$F,2,FALSE)</f>
        <v>3.7433333333333339E-2</v>
      </c>
      <c r="DL823" s="191">
        <f>HLOOKUP($H823,'GDP-PI'!$D$8:$CQ$11,3,FALSE)</f>
        <v>1.9056896421275615E-2</v>
      </c>
      <c r="DM823" s="189">
        <f>VLOOKUP(H823,'HW Dx Data'!$E:$F,2,FALSE)</f>
        <v>712.42858370229726</v>
      </c>
      <c r="DN823" s="183">
        <f>VLOOKUP(H823,'ECI - Input Price'!$G$17:$H$37,2,FALSE)</f>
        <v>129.5</v>
      </c>
      <c r="DO823" s="177">
        <f t="shared" ref="DO823" si="2439">LN(DN823/DN822)</f>
        <v>2.4229399426835413E-2</v>
      </c>
      <c r="DP823" s="183">
        <f>HLOOKUP(H823,'GDP-PI'!$8:$9,2,FALSE)</f>
        <v>107.751</v>
      </c>
      <c r="DQ823" s="177">
        <f t="shared" ref="DQ823" si="2440">LN(DP823/DP822)</f>
        <v>1.8877588227745139E-2</v>
      </c>
    </row>
    <row r="824" spans="1:121" s="167" customFormat="1" ht="21" x14ac:dyDescent="0.35">
      <c r="A824" s="167" t="s">
        <v>84</v>
      </c>
      <c r="B824" s="168" t="s">
        <v>84</v>
      </c>
      <c r="C824" s="168">
        <v>4057093</v>
      </c>
      <c r="D824" s="168" t="s">
        <v>136</v>
      </c>
      <c r="E824" s="168" t="s">
        <v>126</v>
      </c>
      <c r="F824" s="168"/>
      <c r="G824" s="168" t="s">
        <v>24</v>
      </c>
      <c r="H824" s="169">
        <v>2018</v>
      </c>
      <c r="I824" s="170"/>
      <c r="J824" s="166">
        <f>IFERROR(INDEX('Labor Expenditures'!$F$7:$X$91,MATCH($C824,'Labor Expenditures'!$D$7:$D$91,0),MATCH($G824,'Labor Expenditures'!$F$5:$X$5,0)),"NA")</f>
        <v>27804.851620678553</v>
      </c>
      <c r="K824" s="166">
        <f t="shared" si="2395"/>
        <v>208.66680390753135</v>
      </c>
      <c r="L824" s="172">
        <f t="shared" si="2402"/>
        <v>5.9660316827693634E-2</v>
      </c>
      <c r="M824" s="172">
        <f t="shared" si="2406"/>
        <v>4.6100562787287707E-4</v>
      </c>
      <c r="N824" s="196"/>
      <c r="O824" s="172"/>
      <c r="P824" s="166">
        <f>IFERROR(INDEX('Non-Labor Expenditures'!$F$7:$AB$91,MATCH($C824,'Non-Labor Expenditures'!$D$7:$D$91,0),MATCH($G824,'Non-Labor Expenditures'!$F$5:$AB$5,0)),"NA")</f>
        <v>40266.618376673767</v>
      </c>
      <c r="Q824" s="166">
        <f t="shared" si="2396"/>
        <v>364.99173670413666</v>
      </c>
      <c r="R824" s="172">
        <f t="shared" si="2407"/>
        <v>6.4626146017546182E-2</v>
      </c>
      <c r="S824" s="172">
        <f t="shared" si="2412"/>
        <v>4.9937745231673893E-4</v>
      </c>
      <c r="T824" s="172"/>
      <c r="U824" s="172"/>
      <c r="V824" s="166">
        <f t="shared" si="2377"/>
        <v>31470.618485397536</v>
      </c>
      <c r="W824" s="170"/>
      <c r="X824" s="174">
        <v>1589.1461164989837</v>
      </c>
      <c r="Y824" s="175">
        <v>3.2076497918949481E-2</v>
      </c>
      <c r="Z824" s="175">
        <f t="shared" si="2413"/>
        <v>2.4786066935910366E-4</v>
      </c>
      <c r="AA824" s="175"/>
      <c r="AB824" s="175"/>
      <c r="AC824" s="170">
        <f t="shared" si="2271"/>
        <v>99542.088482749852</v>
      </c>
      <c r="AD824" s="175">
        <f t="shared" si="2408"/>
        <v>8.6614116339999658E-2</v>
      </c>
      <c r="AE824" s="170"/>
      <c r="AF824" s="170"/>
      <c r="AG824" s="121">
        <f t="shared" si="2409"/>
        <v>731.29261730814335</v>
      </c>
      <c r="AH824" s="119">
        <f>+AZ824/$BB$56</f>
        <v>3.5943295370508416E-3</v>
      </c>
      <c r="AI824" s="119">
        <f>+AZ824/$BC$57</f>
        <v>1.518557193283086E-2</v>
      </c>
      <c r="AJ824" s="176">
        <f t="shared" si="2414"/>
        <v>2.628506654617877</v>
      </c>
      <c r="AK824" s="176">
        <f t="shared" si="2415"/>
        <v>11.105096644080961</v>
      </c>
      <c r="AL824" s="120">
        <f t="shared" si="2397"/>
        <v>0.27932758940954905</v>
      </c>
      <c r="AM824" s="120">
        <f t="shared" si="2398"/>
        <v>0.40451852066226007</v>
      </c>
      <c r="AN824" s="120">
        <f t="shared" si="2399"/>
        <v>0.31615388992819088</v>
      </c>
      <c r="AO824" s="120">
        <f t="shared" si="2403"/>
        <v>5.2931750293516287E-2</v>
      </c>
      <c r="AP824" s="173">
        <f t="shared" si="2419"/>
        <v>140.19925911794624</v>
      </c>
      <c r="AQ824" s="175">
        <f t="shared" si="2420"/>
        <v>5.2931750293516197E-2</v>
      </c>
      <c r="AR824" s="177">
        <f>+AC824/$AE$56</f>
        <v>7.7271736454956868E-3</v>
      </c>
      <c r="AS824" s="177">
        <f t="shared" si="2416"/>
        <v>4.0901282587801696E-4</v>
      </c>
      <c r="AT824" s="177"/>
      <c r="AU824" s="177"/>
      <c r="AV824" s="177"/>
      <c r="AW824" s="190"/>
      <c r="AX824" s="120"/>
      <c r="AY824" s="120"/>
      <c r="AZ824" s="118">
        <f>IFERROR(INDEX('Total Customers'!$F$7:$AB$91,MATCH($C824,'Total Customers'!$D$7:$D$91,0),MATCH($G824,'Total Customers'!$F$5:$AB$5,0)),"NA")</f>
        <v>136118</v>
      </c>
      <c r="BA824" s="119">
        <f t="shared" si="2378"/>
        <v>7.6771703973044572E-3</v>
      </c>
      <c r="BB824" s="119"/>
      <c r="BC824" s="121">
        <v>8911356</v>
      </c>
      <c r="BD824" s="119"/>
      <c r="BE824" s="119"/>
      <c r="BF824" s="119"/>
      <c r="BG824" s="173"/>
      <c r="BH824" s="173"/>
      <c r="BI824" s="173"/>
      <c r="BJ824" s="173"/>
      <c r="BK824" s="173"/>
      <c r="BL824" s="173"/>
      <c r="BM824" s="173"/>
      <c r="BN824" s="173"/>
      <c r="BO824" s="173"/>
      <c r="BP824" s="173"/>
      <c r="BQ824" s="118"/>
      <c r="BR824" s="118"/>
      <c r="BS824" s="118">
        <f>INDEX('Dist. Plant Gas Additions'!$F$7:$AE$91,MATCH($C824,'Dist. Plant Gas Additions'!$D$7:$D$91,0),MATCH(Calculation!$G824,'Dist. Plant Gas Additions'!$F$5:$AE$5,0))</f>
        <v>45951</v>
      </c>
      <c r="BT824" s="118">
        <f>INDEX('Gen. Plant Additions'!$F$7:$AE$91,MATCH($C824,'Gen. Plant Additions'!$D$7:$D$91,0),MATCH(Calculation!$G824,'Gen. Plant Additions'!$F$5:$AE$5,0))</f>
        <v>2164</v>
      </c>
      <c r="BU824" s="118"/>
      <c r="BV824" s="118"/>
      <c r="BW824" s="118">
        <f>INDEX('Dist Plant Depreciation'!$E$7:$AD$94,MATCH($C824,'Dist Plant Depreciation'!$D$7:$D$94,0),MATCH(Calculation!$G824,'Dist Plant Depreciation'!$E$5:$AD$5,0))</f>
        <v>218345</v>
      </c>
      <c r="BX824" s="118">
        <f>INDEX('Gen. Plant Depreciation'!$E$7:$AD$94,MATCH($C824,'Gen. Plant Depreciation'!$D$7:$D$94,0),MATCH(Calculation!$G824,'Gen. Plant Depreciation'!$E$5:$AD$5,0))</f>
        <v>21956</v>
      </c>
      <c r="BY824" s="118"/>
      <c r="BZ824" s="118"/>
      <c r="CA824" s="118"/>
      <c r="CB824" s="118"/>
      <c r="CC824" s="118"/>
      <c r="CD824" s="183"/>
      <c r="CE824" s="118">
        <f>INDEX('Gross Dx Plant'!$E$7:$AD$91,MATCH($C824,'Gross Dx Plant'!$D$7:$D$91,0),MATCH(Calculation!$G824,'Gross Dx Plant'!$E$5:$AD$5,0))</f>
        <v>718788</v>
      </c>
      <c r="CF824" s="118">
        <f>INDEX('Gross Gen Plant'!$E$7:$AD$91,MATCH($C824,'Gross Gen Plant'!$D$7:$D$91,0),MATCH(Calculation!$G824,'Gross Gen Plant'!$E$5:$AD$5,0))</f>
        <v>16488</v>
      </c>
      <c r="CG824" s="118">
        <f t="shared" si="2347"/>
        <v>494975</v>
      </c>
      <c r="CH824" s="118"/>
      <c r="CI824" s="121">
        <v>2018</v>
      </c>
      <c r="CJ824" s="118"/>
      <c r="CK824" s="118"/>
      <c r="CL824" s="118"/>
      <c r="CM824" s="183"/>
      <c r="CN824" s="118">
        <f t="shared" si="2379"/>
        <v>48115</v>
      </c>
      <c r="CO824" s="118">
        <f t="shared" si="2380"/>
        <v>63.716939047178727</v>
      </c>
      <c r="CP824" s="186">
        <v>0.86111111111111116</v>
      </c>
      <c r="CQ824" s="118">
        <f>+CQ804*CP824++CO805*CP823+CO806*CP822+CO807*CP821+CO808*CP820+CO809*CP819+CO810*CP818+CO811*CP817+CO812*CP816+CO813*CP815+CO814*CP814+CO815*CP813+CO816*CP812+CO817*CP811+CO818*CP810+CO819*CP809+CO820*CP808+CO821*CP807+CO822*CP806+CO823*CP805+CO824</f>
        <v>1589.1461164989837</v>
      </c>
      <c r="CR824" s="119">
        <f t="shared" si="2381"/>
        <v>3.2076497918949481E-2</v>
      </c>
      <c r="CS824" s="119"/>
      <c r="CT824" s="177">
        <f t="shared" si="2382"/>
        <v>8.8055442023129565E-3</v>
      </c>
      <c r="CU824" s="177">
        <f t="shared" si="2390"/>
        <v>8.5745802045738301E-3</v>
      </c>
      <c r="CV824" s="119">
        <f>VLOOKUP($H824,RoR!$E:$F,2,FALSE)</f>
        <v>3.9299999999999995E-2</v>
      </c>
      <c r="CW824" s="177">
        <v>2.386056741932796E-2</v>
      </c>
      <c r="CX824" s="177">
        <f t="shared" si="2388"/>
        <v>1.5439432580672034E-2</v>
      </c>
      <c r="CY824" s="177">
        <f t="shared" si="2391"/>
        <v>2.2327361403959793E-2</v>
      </c>
      <c r="CZ824" s="177">
        <f t="shared" si="2392"/>
        <v>3.8270792163076606E-2</v>
      </c>
      <c r="DA824" s="187">
        <f t="shared" si="2383"/>
        <v>0.90381374874999998</v>
      </c>
      <c r="DB824" s="188">
        <f t="shared" si="2384"/>
        <v>1.3048868010700074</v>
      </c>
      <c r="DC824" s="188">
        <f t="shared" si="2385"/>
        <v>0.33886768447837151</v>
      </c>
      <c r="DD824" s="188">
        <f t="shared" si="2386"/>
        <v>0.78602506232557801</v>
      </c>
      <c r="DE824" s="188">
        <f t="shared" si="2387"/>
        <v>0.34756768162358759</v>
      </c>
      <c r="DF824" s="189">
        <f>INDEX('State Tax Lookup'!$D$7:$Z$91,MATCH(Calculation!$C824,'State Tax Lookup'!$B$7:$B$91,0),MATCH($H824,'State Tax Lookup'!$D$6:$Z$6,0))</f>
        <v>0.25649666999999998</v>
      </c>
      <c r="DG824" s="189">
        <v>0.375</v>
      </c>
      <c r="DH824" s="190">
        <f t="shared" si="2389"/>
        <v>20.449000861094241</v>
      </c>
      <c r="DI824" s="190">
        <v>20.123667271124603</v>
      </c>
      <c r="DJ824" s="177"/>
      <c r="DK824" s="189">
        <f>VLOOKUP($H824,RoR!$E:$F,2,FALSE)</f>
        <v>3.9299999999999995E-2</v>
      </c>
      <c r="DL824" s="191">
        <f>HLOOKUP($H824,'GDP-PI'!$D$8:$CQ$11,3,FALSE)</f>
        <v>2.386056741932796E-2</v>
      </c>
      <c r="DM824" s="189">
        <f>VLOOKUP(H824,'HW Dx Data'!$E:$F,2,FALSE)</f>
        <v>755.13671434174842</v>
      </c>
      <c r="DN824" s="183">
        <f>VLOOKUP(H824,'ECI - Input Price'!$G$17:$H$37,2,FALSE)</f>
        <v>133.25</v>
      </c>
      <c r="DO824" s="177">
        <f t="shared" ref="DO824" si="2441">LN(DN824/DN823)</f>
        <v>2.8546181906361531E-2</v>
      </c>
      <c r="DP824" s="183">
        <f>HLOOKUP(H824,'GDP-PI'!$8:$9,2,FALSE)</f>
        <v>110.322</v>
      </c>
      <c r="DQ824" s="177">
        <f t="shared" ref="DQ824" si="2442">LN(DP824/DP823)</f>
        <v>2.3580352716508712E-2</v>
      </c>
    </row>
    <row r="825" spans="1:121" s="167" customFormat="1" ht="21" x14ac:dyDescent="0.35">
      <c r="A825" s="167" t="s">
        <v>84</v>
      </c>
      <c r="B825" s="168" t="s">
        <v>84</v>
      </c>
      <c r="C825" s="168">
        <v>4057093</v>
      </c>
      <c r="D825" s="168" t="s">
        <v>136</v>
      </c>
      <c r="E825" s="168" t="s">
        <v>126</v>
      </c>
      <c r="F825" s="168"/>
      <c r="G825" s="168" t="s">
        <v>25</v>
      </c>
      <c r="H825" s="169">
        <v>2019</v>
      </c>
      <c r="I825" s="170"/>
      <c r="J825" s="166">
        <f>IFERROR(INDEX('Labor Expenditures'!$F$7:$X$91,MATCH($C825,'Labor Expenditures'!$D$7:$D$91,0),MATCH($G825,'Labor Expenditures'!$F$5:$X$5,0)),"NA")</f>
        <v>28289.400041649918</v>
      </c>
      <c r="K825" s="166">
        <f t="shared" si="2395"/>
        <v>206.71830501753686</v>
      </c>
      <c r="L825" s="172">
        <f t="shared" si="2402"/>
        <v>-9.3817189870452952E-3</v>
      </c>
      <c r="M825" s="172">
        <f t="shared" si="2406"/>
        <v>-7.2150548691008555E-5</v>
      </c>
      <c r="N825" s="196"/>
      <c r="O825" s="172"/>
      <c r="P825" s="166">
        <f>IFERROR(INDEX('Non-Labor Expenditures'!$F$7:$AB$91,MATCH($C825,'Non-Labor Expenditures'!$D$7:$D$91,0),MATCH($G825,'Non-Labor Expenditures'!$F$5:$AB$5,0)),"NA")</f>
        <v>40968.334991401658</v>
      </c>
      <c r="Q825" s="166">
        <f t="shared" si="2396"/>
        <v>364.75306710769121</v>
      </c>
      <c r="R825" s="172">
        <f t="shared" si="2407"/>
        <v>-6.5411799771301796E-4</v>
      </c>
      <c r="S825" s="172">
        <f t="shared" si="2412"/>
        <v>-5.0305250571699158E-6</v>
      </c>
      <c r="T825" s="172"/>
      <c r="U825" s="172"/>
      <c r="V825" s="166">
        <f t="shared" si="2377"/>
        <v>32913.002408160864</v>
      </c>
      <c r="W825" s="170"/>
      <c r="X825" s="174">
        <v>1655.5653188436816</v>
      </c>
      <c r="Y825" s="175">
        <v>4.0945694556450939E-2</v>
      </c>
      <c r="Z825" s="175">
        <f t="shared" si="2413"/>
        <v>3.1489477918297766E-4</v>
      </c>
      <c r="AA825" s="175"/>
      <c r="AB825" s="175"/>
      <c r="AC825" s="170">
        <f t="shared" si="2271"/>
        <v>102170.73744121243</v>
      </c>
      <c r="AD825" s="175">
        <f t="shared" si="2408"/>
        <v>2.6064755811475618E-2</v>
      </c>
      <c r="AE825" s="170"/>
      <c r="AF825" s="170"/>
      <c r="AG825" s="121">
        <f t="shared" si="2409"/>
        <v>744.6412559122823</v>
      </c>
      <c r="AH825" s="119">
        <f>+AZ825/$BB$57</f>
        <v>3.5934704059347681E-3</v>
      </c>
      <c r="AI825" s="119">
        <f>+AZ825/$BC$58</f>
        <v>1.5143949638486877E-2</v>
      </c>
      <c r="AJ825" s="176">
        <f t="shared" si="2414"/>
        <v>2.6758463161588848</v>
      </c>
      <c r="AK825" s="176">
        <f t="shared" si="2415"/>
        <v>11.276809678275221</v>
      </c>
      <c r="AL825" s="120">
        <f t="shared" si="2397"/>
        <v>0.27688358477325498</v>
      </c>
      <c r="AM825" s="120">
        <f t="shared" si="2398"/>
        <v>0.40097914547180641</v>
      </c>
      <c r="AN825" s="120">
        <f t="shared" si="2399"/>
        <v>0.32213726975493867</v>
      </c>
      <c r="AO825" s="120">
        <f t="shared" si="2403"/>
        <v>1.0195083704148289E-2</v>
      </c>
      <c r="AP825" s="173">
        <f t="shared" si="2419"/>
        <v>141.63591326076767</v>
      </c>
      <c r="AQ825" s="175">
        <f t="shared" si="2420"/>
        <v>1.0195083704148376E-2</v>
      </c>
      <c r="AR825" s="177">
        <f>+AC825/$AE$57</f>
        <v>7.6905467740653191E-3</v>
      </c>
      <c r="AS825" s="177">
        <f t="shared" si="2416"/>
        <v>7.8405768092264195E-5</v>
      </c>
      <c r="AT825" s="177"/>
      <c r="AU825" s="177"/>
      <c r="AV825" s="177"/>
      <c r="AW825" s="190"/>
      <c r="AX825" s="120"/>
      <c r="AY825" s="120"/>
      <c r="AZ825" s="118">
        <f>IFERROR(INDEX('Total Customers'!$F$7:$AB$91,MATCH($C825,'Total Customers'!$D$7:$D$91,0),MATCH($G825,'Total Customers'!$F$5:$AB$5,0)),"NA")</f>
        <v>137208</v>
      </c>
      <c r="BA825" s="119">
        <f t="shared" si="2378"/>
        <v>7.9758660230303847E-3</v>
      </c>
      <c r="BB825" s="119"/>
      <c r="BC825" s="121">
        <v>8963640</v>
      </c>
      <c r="BD825" s="119"/>
      <c r="BE825" s="119"/>
      <c r="BF825" s="119"/>
      <c r="BG825" s="173"/>
      <c r="BH825" s="173"/>
      <c r="BI825" s="173"/>
      <c r="BJ825" s="173"/>
      <c r="BK825" s="173"/>
      <c r="BL825" s="173"/>
      <c r="BM825" s="173"/>
      <c r="BN825" s="173"/>
      <c r="BO825" s="173"/>
      <c r="BP825" s="173"/>
      <c r="BQ825" s="118"/>
      <c r="BR825" s="118"/>
      <c r="BS825" s="118">
        <f>INDEX('Dist. Plant Gas Additions'!$F$7:$AE$91,MATCH($C825,'Dist. Plant Gas Additions'!$D$7:$D$91,0),MATCH(Calculation!$G825,'Dist. Plant Gas Additions'!$F$5:$AE$5,0))</f>
        <v>61074</v>
      </c>
      <c r="BT825" s="118">
        <f>INDEX('Gen. Plant Additions'!$F$7:$AE$91,MATCH($C825,'Gen. Plant Additions'!$D$7:$D$91,0),MATCH(Calculation!$G825,'Gen. Plant Additions'!$F$5:$AE$5,0))</f>
        <v>1446</v>
      </c>
      <c r="BU825" s="118"/>
      <c r="BV825" s="118"/>
      <c r="BW825" s="118">
        <f>INDEX('Dist Plant Depreciation'!$E$7:$AD$94,MATCH($C825,'Dist Plant Depreciation'!$D$7:$D$94,0),MATCH(Calculation!$G825,'Dist Plant Depreciation'!$E$5:$AD$5,0))</f>
        <v>232409</v>
      </c>
      <c r="BX825" s="118">
        <f>INDEX('Gen. Plant Depreciation'!$E$7:$AD$94,MATCH($C825,'Gen. Plant Depreciation'!$D$7:$D$94,0),MATCH(Calculation!$G825,'Gen. Plant Depreciation'!$E$5:$AD$5,0))</f>
        <v>9149</v>
      </c>
      <c r="BY825" s="118"/>
      <c r="BZ825" s="118"/>
      <c r="CA825" s="118"/>
      <c r="CB825" s="118"/>
      <c r="CC825" s="118"/>
      <c r="CD825" s="183"/>
      <c r="CE825" s="118">
        <f>INDEX('Gross Dx Plant'!$E$7:$AD$91,MATCH($C825,'Gross Dx Plant'!$D$7:$D$91,0),MATCH(Calculation!$G825,'Gross Dx Plant'!$E$5:$AD$5,0))</f>
        <v>777185</v>
      </c>
      <c r="CF825" s="118">
        <f>INDEX('Gross Gen Plant'!$E$7:$AD$91,MATCH($C825,'Gross Gen Plant'!$D$7:$D$91,0),MATCH(Calculation!$G825,'Gross Gen Plant'!$E$5:$AD$5,0))</f>
        <v>17716</v>
      </c>
      <c r="CG825" s="118">
        <f t="shared" si="2347"/>
        <v>553343</v>
      </c>
      <c r="CH825" s="118"/>
      <c r="CI825" s="121">
        <v>2019</v>
      </c>
      <c r="CJ825" s="118"/>
      <c r="CK825" s="118"/>
      <c r="CL825" s="118"/>
      <c r="CM825" s="183"/>
      <c r="CN825" s="118">
        <f t="shared" si="2379"/>
        <v>62520</v>
      </c>
      <c r="CO825" s="118">
        <f t="shared" si="2380"/>
        <v>80.82330162998251</v>
      </c>
      <c r="CP825" s="186">
        <v>0.85106382978723405</v>
      </c>
      <c r="CQ825" s="118">
        <f>CQ804*CP825+CO805*CP824+CO806*CP823+CO807*CP822+CO808*CP821+CO809*CP820+CO810*CP819+CO811*CP818+CO812*CP817+CO813*CP816+CO814*CP815+CO815*CP814+CO816*CP813+CO817*CP812+CO818*CP811+CO819*CP810+CO820*CP809+CO821*CP808+CO822*CP807+CO823*CP806+CO824*CP805+CO825</f>
        <v>1655.5653188436816</v>
      </c>
      <c r="CR825" s="119">
        <f t="shared" si="2381"/>
        <v>4.0945694556450939E-2</v>
      </c>
      <c r="CS825" s="119"/>
      <c r="CT825" s="177">
        <f t="shared" si="2382"/>
        <v>9.0640496400784358E-3</v>
      </c>
      <c r="CU825" s="177">
        <f t="shared" si="2390"/>
        <v>8.8138390458748616E-3</v>
      </c>
      <c r="CV825" s="119">
        <f>VLOOKUP($H825,RoR!$E:$F,2,FALSE)</f>
        <v>3.3875000000000009E-2</v>
      </c>
      <c r="CW825" s="177">
        <v>1.8092492884465461E-2</v>
      </c>
      <c r="CX825" s="177">
        <f t="shared" si="2388"/>
        <v>1.5782507115534548E-2</v>
      </c>
      <c r="CY825" s="177">
        <f t="shared" si="2391"/>
        <v>2.2088102562658765E-2</v>
      </c>
      <c r="CZ825" s="177">
        <f t="shared" si="2392"/>
        <v>4.8445665544254078E-2</v>
      </c>
      <c r="DA825" s="187">
        <f t="shared" si="2383"/>
        <v>0.90381374874999998</v>
      </c>
      <c r="DB825" s="188">
        <f t="shared" si="2384"/>
        <v>1.513861292459078</v>
      </c>
      <c r="DC825" s="188">
        <f t="shared" si="2385"/>
        <v>0.23699261992619944</v>
      </c>
      <c r="DD825" s="188">
        <f t="shared" si="2386"/>
        <v>0.73619765810468829</v>
      </c>
      <c r="DE825" s="188">
        <f t="shared" si="2387"/>
        <v>0.26412854465362851</v>
      </c>
      <c r="DF825" s="189">
        <f>INDEX('State Tax Lookup'!$D$7:$Z$91,MATCH(Calculation!$C825,'State Tax Lookup'!$B$7:$B$91,0),MATCH($H825,'State Tax Lookup'!$D$6:$Z$6,0))</f>
        <v>0.25649666999999998</v>
      </c>
      <c r="DG825" s="189">
        <v>0.375</v>
      </c>
      <c r="DH825" s="190">
        <f t="shared" si="2389"/>
        <v>20.71112408509725</v>
      </c>
      <c r="DI825" s="190">
        <v>20.370886601215485</v>
      </c>
      <c r="DJ825" s="177"/>
      <c r="DK825" s="189">
        <f>VLOOKUP($H825,RoR!$E:$F,2,FALSE)</f>
        <v>3.3875000000000009E-2</v>
      </c>
      <c r="DL825" s="191">
        <f>HLOOKUP($H825,'GDP-PI'!$D$8:$CQ$11,3,FALSE)</f>
        <v>1.8092492884465461E-2</v>
      </c>
      <c r="DM825" s="189">
        <f>VLOOKUP(H825,'HW Dx Data'!$E:$F,2,FALSE)</f>
        <v>773.53929793938721</v>
      </c>
      <c r="DN825" s="183">
        <f>VLOOKUP(H825,'ECI - Input Price'!$G$17:$H$37,2,FALSE)</f>
        <v>136.85</v>
      </c>
      <c r="DO825" s="177">
        <f t="shared" ref="DO825" si="2443">LN(DN825/DN824)</f>
        <v>2.6658372440734168E-2</v>
      </c>
      <c r="DP825" s="183">
        <f>HLOOKUP(H825,'GDP-PI'!$8:$9,2,FALSE)</f>
        <v>112.318</v>
      </c>
      <c r="DQ825" s="177">
        <f t="shared" ref="DQ825" si="2444">LN(DP825/DP824)</f>
        <v>1.7930771451401852E-2</v>
      </c>
    </row>
    <row r="826" spans="1:121" s="167" customFormat="1" ht="21" x14ac:dyDescent="0.35">
      <c r="A826" s="167" t="s">
        <v>84</v>
      </c>
      <c r="B826" s="167" t="s">
        <v>84</v>
      </c>
      <c r="C826" s="167">
        <v>4057093</v>
      </c>
      <c r="D826" s="167" t="s">
        <v>136</v>
      </c>
      <c r="E826" s="167" t="s">
        <v>126</v>
      </c>
      <c r="G826" s="168" t="s">
        <v>26</v>
      </c>
      <c r="H826" s="169">
        <v>2020</v>
      </c>
      <c r="I826" s="170"/>
      <c r="J826" s="166">
        <f>IFERROR(INDEX('Labor Expenditures'!$F$7:$X$91,MATCH($C826,'Labor Expenditures'!$D$7:$D$91,0),MATCH($G826,'Labor Expenditures'!$F$5:$X$5,0)),"NA")</f>
        <v>26644.044325130879</v>
      </c>
      <c r="K826" s="166">
        <f t="shared" si="2395"/>
        <v>189.70483677558477</v>
      </c>
      <c r="L826" s="172">
        <f t="shared" si="2402"/>
        <v>-8.5887647560644445E-2</v>
      </c>
      <c r="M826" s="172">
        <f t="shared" si="2406"/>
        <v>-6.3264804774554035E-4</v>
      </c>
      <c r="N826" s="196"/>
      <c r="O826" s="172"/>
      <c r="P826" s="166">
        <f>IFERROR(INDEX('Non-Labor Expenditures'!$F$7:$AB$91,MATCH($C826,'Non-Labor Expenditures'!$D$7:$D$91,0),MATCH($G826,'Non-Labor Expenditures'!$F$5:$AB$5,0)),"NA")</f>
        <v>38585.552603824442</v>
      </c>
      <c r="Q826" s="166">
        <f t="shared" si="2396"/>
        <v>339.59279902682061</v>
      </c>
      <c r="R826" s="172">
        <f t="shared" si="2407"/>
        <v>-7.1473346228472734E-2</v>
      </c>
      <c r="S826" s="172">
        <f t="shared" si="2412"/>
        <v>-5.2647236525318419E-4</v>
      </c>
      <c r="T826" s="172"/>
      <c r="U826" s="172"/>
      <c r="V826" s="166">
        <f t="shared" si="2377"/>
        <v>35660.010453192059</v>
      </c>
      <c r="W826" s="170"/>
      <c r="X826" s="174">
        <v>1694.2902697830561</v>
      </c>
      <c r="Y826" s="175">
        <v>2.3121400366823888E-2</v>
      </c>
      <c r="Z826" s="175">
        <f t="shared" si="2413"/>
        <v>1.7031213706121906E-4</v>
      </c>
      <c r="AA826" s="175"/>
      <c r="AB826" s="175"/>
      <c r="AC826" s="170">
        <f t="shared" si="2271"/>
        <v>100889.60738214737</v>
      </c>
      <c r="AD826" s="175">
        <f t="shared" si="2408"/>
        <v>-1.2618387494519561E-2</v>
      </c>
      <c r="AE826" s="170"/>
      <c r="AF826" s="170"/>
      <c r="AG826" s="121">
        <f t="shared" si="2409"/>
        <v>727.91399327672502</v>
      </c>
      <c r="AH826" s="119">
        <f>+AZ826/$BB$58</f>
        <v>3.6044321817194922E-3</v>
      </c>
      <c r="AI826" s="119">
        <f>+AZ826/$BC$59</f>
        <v>1.5207347839019645E-2</v>
      </c>
      <c r="AJ826" s="176">
        <f t="shared" si="2414"/>
        <v>2.6237166228905737</v>
      </c>
      <c r="AK826" s="176">
        <f t="shared" si="2415"/>
        <v>11.069641292648965</v>
      </c>
      <c r="AL826" s="120">
        <f t="shared" si="2397"/>
        <v>0.26409106960055034</v>
      </c>
      <c r="AM826" s="120">
        <f t="shared" si="2398"/>
        <v>0.38245319418947643</v>
      </c>
      <c r="AN826" s="120">
        <f t="shared" si="2399"/>
        <v>0.35345573620997334</v>
      </c>
      <c r="AO826" s="120">
        <f t="shared" si="2403"/>
        <v>-4.3418457468675682E-2</v>
      </c>
      <c r="AP826" s="173">
        <f t="shared" si="2419"/>
        <v>135.61789235963738</v>
      </c>
      <c r="AQ826" s="175">
        <f t="shared" si="2420"/>
        <v>-4.3418457468675634E-2</v>
      </c>
      <c r="AR826" s="177">
        <f>+AC826/$AE$58</f>
        <v>7.3659957597375526E-3</v>
      </c>
      <c r="AS826" s="177">
        <f t="shared" si="2416"/>
        <v>-3.1982017360860998E-4</v>
      </c>
      <c r="AT826" s="177"/>
      <c r="AU826" s="177"/>
      <c r="AV826" s="177"/>
      <c r="AW826" s="190"/>
      <c r="AX826" s="120"/>
      <c r="AY826" s="120"/>
      <c r="AZ826" s="118">
        <f>IFERROR(INDEX('Total Customers'!$F$7:$AB$91,MATCH($C826,'Total Customers'!$D$7:$D$91,0),MATCH($G826,'Total Customers'!$F$5:$AB$5,0)),"NA")</f>
        <v>138601</v>
      </c>
      <c r="BA826" s="119">
        <f t="shared" si="2378"/>
        <v>1.0101279107209874E-2</v>
      </c>
      <c r="BB826" s="119"/>
      <c r="BC826" s="121">
        <v>9060252</v>
      </c>
      <c r="BD826" s="119"/>
      <c r="BE826" s="119"/>
      <c r="BF826" s="119"/>
      <c r="BG826" s="173"/>
      <c r="BH826" s="173"/>
      <c r="BI826" s="173"/>
      <c r="BJ826" s="173"/>
      <c r="BK826" s="173"/>
      <c r="BL826" s="173"/>
      <c r="BM826" s="173"/>
      <c r="BN826" s="173"/>
      <c r="BO826" s="173"/>
      <c r="BP826" s="173"/>
      <c r="BQ826" s="118"/>
      <c r="BR826" s="118"/>
      <c r="BS826" s="118">
        <f>INDEX('Dist. Plant Gas Additions'!$F$7:$AE$91,MATCH($C826,'Dist. Plant Gas Additions'!$D$7:$D$91,0),MATCH(Calculation!$G826,'Dist. Plant Gas Additions'!$F$5:$AE$5,0))</f>
        <v>40093</v>
      </c>
      <c r="BT826" s="118">
        <f>INDEX('Gen. Plant Additions'!$F$7:$AE$91,MATCH($C826,'Gen. Plant Additions'!$D$7:$D$91,0),MATCH(Calculation!$G826,'Gen. Plant Additions'!$F$5:$AE$5,0))</f>
        <v>3902</v>
      </c>
      <c r="BU826" s="118"/>
      <c r="BV826" s="118"/>
      <c r="BW826" s="118">
        <f>INDEX('Dist Plant Depreciation'!$E$7:$AD$94,MATCH($C826,'Dist Plant Depreciation'!$D$7:$D$94,0),MATCH(Calculation!$G826,'Dist Plant Depreciation'!$E$5:$AD$5,0))</f>
        <v>248466</v>
      </c>
      <c r="BX826" s="118">
        <f>INDEX('Gen. Plant Depreciation'!$E$7:$AD$94,MATCH($C826,'Gen. Plant Depreciation'!$D$7:$D$94,0),MATCH(Calculation!$G826,'Gen. Plant Depreciation'!$E$5:$AD$5,0))</f>
        <v>9392</v>
      </c>
      <c r="BY826" s="118"/>
      <c r="BZ826" s="118"/>
      <c r="CA826" s="118"/>
      <c r="CB826" s="118"/>
      <c r="CC826" s="118"/>
      <c r="CD826" s="183"/>
      <c r="CE826" s="118">
        <f>INDEX('Gross Dx Plant'!$E$7:$AD$91,MATCH($C826,'Gross Dx Plant'!$D$7:$D$91,0),MATCH(Calculation!$G826,'Gross Dx Plant'!$E$5:$AD$5,0))</f>
        <v>815531</v>
      </c>
      <c r="CF826" s="118">
        <f>INDEX('Gross Gen Plant'!$E$7:$AD$91,MATCH($C826,'Gross Gen Plant'!$D$7:$D$91,0),MATCH(Calculation!$G826,'Gross Gen Plant'!$E$5:$AD$5,0))</f>
        <v>25510</v>
      </c>
      <c r="CG826" s="118">
        <f t="shared" si="2347"/>
        <v>583183</v>
      </c>
      <c r="CH826" s="118"/>
      <c r="CI826" s="121">
        <v>2020</v>
      </c>
      <c r="CJ826" s="118"/>
      <c r="CK826" s="118"/>
      <c r="CL826" s="118"/>
      <c r="CM826" s="183"/>
      <c r="CN826" s="118">
        <f t="shared" si="2379"/>
        <v>43995</v>
      </c>
      <c r="CO826" s="118">
        <f t="shared" si="2380"/>
        <v>54.109055947146551</v>
      </c>
      <c r="CP826" s="186">
        <v>0.84057971014492749</v>
      </c>
      <c r="CQ826" s="118">
        <f>CQ804*CP826+CO805*CP825+CO806*CP824+CO807*CP823+CO808*CP822+CO809*CP821+CO810*CP820+CO811*CP819+CO812*CP818+CO813*CP817+CO814*CP816+CO815*CP815+CO816*CP814+CO817*CP813+CO818*CP812+CO819*CP811+CO820*CP810+CO821*CP809+CO822*CP808+CO823*CP807+CO824*CP806+CO825*CP805+CO826</f>
        <v>1694.2902697830561</v>
      </c>
      <c r="CR826" s="119">
        <f t="shared" si="2381"/>
        <v>2.3121400366823888E-2</v>
      </c>
      <c r="CS826" s="119"/>
      <c r="CT826" s="177">
        <f t="shared" si="2382"/>
        <v>9.292357621091556E-3</v>
      </c>
      <c r="CU826" s="177">
        <f t="shared" si="2390"/>
        <v>9.0539838211609828E-3</v>
      </c>
      <c r="CV826" s="119">
        <f>VLOOKUP($H826,RoR!$E:$F,2,FALSE)</f>
        <v>2.4766666666666666E-2</v>
      </c>
      <c r="CW826" s="177">
        <v>1.1618796630994188E-2</v>
      </c>
      <c r="CX826" s="177">
        <f t="shared" si="2388"/>
        <v>1.3147870035672478E-2</v>
      </c>
      <c r="CY826" s="177">
        <f t="shared" si="2391"/>
        <v>2.184795778737264E-2</v>
      </c>
      <c r="CZ826" s="177">
        <f t="shared" si="2392"/>
        <v>4.5144642961987357E-2</v>
      </c>
      <c r="DA826" s="187">
        <f t="shared" si="2383"/>
        <v>0.90381374874999998</v>
      </c>
      <c r="DB826" s="188">
        <f t="shared" si="2384"/>
        <v>2.0706077233668081</v>
      </c>
      <c r="DC826" s="188">
        <f t="shared" si="2385"/>
        <v>-3.4421265141318998E-2</v>
      </c>
      <c r="DD826" s="188">
        <f t="shared" si="2386"/>
        <v>0.62416226176410472</v>
      </c>
      <c r="DE826" s="188">
        <f t="shared" si="2387"/>
        <v>-4.4485877841158712E-2</v>
      </c>
      <c r="DF826" s="189">
        <f>INDEX('State Tax Lookup'!$D$7:$Z$91,MATCH(Calculation!$C826,'State Tax Lookup'!$B$7:$B$91,0),MATCH($H826,'State Tax Lookup'!$D$6:$Z$6,0))</f>
        <v>0.25649666999999998</v>
      </c>
      <c r="DG826" s="189">
        <v>0.375</v>
      </c>
      <c r="DH826" s="190">
        <f t="shared" si="2389"/>
        <v>21.539476604945161</v>
      </c>
      <c r="DI826" s="190">
        <v>21.232561162372537</v>
      </c>
      <c r="DJ826" s="177"/>
      <c r="DK826" s="189">
        <f>VLOOKUP($H826,RoR!$E:$F,2,FALSE)</f>
        <v>2.4766666666666666E-2</v>
      </c>
      <c r="DL826" s="191">
        <f>HLOOKUP($H826,'GDP-PI'!$D$8:$CQ$11,3,FALSE)</f>
        <v>1.1618796630994188E-2</v>
      </c>
      <c r="DM826" s="189">
        <f>VLOOKUP(H826,'HW Dx Data'!$E:$F,2,FALSE)</f>
        <v>813.080162458833</v>
      </c>
      <c r="DN826" s="183">
        <f>VLOOKUP(H826,'ECI - Input Price'!$G$17:$H$37,2,FALSE)</f>
        <v>140.44999999999999</v>
      </c>
      <c r="DO826" s="177">
        <f t="shared" ref="DO826" si="2445">LN(DN826/DN825)</f>
        <v>2.5966118063564539E-2</v>
      </c>
      <c r="DP826" s="183">
        <f>HLOOKUP(H826,'GDP-PI'!$8:$9,2,FALSE)</f>
        <v>113.623</v>
      </c>
      <c r="DQ826" s="177">
        <f t="shared" ref="DQ826" si="2446">LN(DP826/DP825)</f>
        <v>1.1551816731392881E-2</v>
      </c>
    </row>
    <row r="827" spans="1:121" s="167" customFormat="1" ht="21" x14ac:dyDescent="0.35">
      <c r="A827" s="167" t="s">
        <v>84</v>
      </c>
      <c r="B827" s="167" t="s">
        <v>84</v>
      </c>
      <c r="C827" s="167">
        <v>4057093</v>
      </c>
      <c r="D827" s="167" t="s">
        <v>136</v>
      </c>
      <c r="E827" s="167" t="s">
        <v>126</v>
      </c>
      <c r="G827" s="168" t="s">
        <v>462</v>
      </c>
      <c r="H827" s="169">
        <v>2021</v>
      </c>
      <c r="I827" s="170"/>
      <c r="J827" s="166">
        <f>IFERROR(INDEX('Labor Expenditures'!$E$7:$X$91,MATCH($C827,'Labor Expenditures'!$D$7:$D$91,0),MATCH($G827,'Labor Expenditures'!$E$5:$X$5,0)),"NA")</f>
        <v>25743.716423818496</v>
      </c>
      <c r="K827" s="166">
        <f t="shared" si="2395"/>
        <v>176.9631649686784</v>
      </c>
      <c r="L827" s="171">
        <f t="shared" si="2402"/>
        <v>-6.9527770193043986E-2</v>
      </c>
      <c r="M827" s="172">
        <f t="shared" si="2406"/>
        <v>-4.8576422889052119E-4</v>
      </c>
      <c r="N827" s="196"/>
      <c r="O827" s="172"/>
      <c r="P827" s="166">
        <f>IFERROR(INDEX('Non-Labor Expenditures'!$E$7:$AB$91,MATCH($C827,'Non-Labor Expenditures'!$D$7:$D$91,0),MATCH($G827,'Non-Labor Expenditures'!$E$5:$AB$5,0)),"NA")</f>
        <v>36289.335199840541</v>
      </c>
      <c r="Q827" s="166">
        <f t="shared" si="2396"/>
        <v>306.26496075483624</v>
      </c>
      <c r="R827" s="172">
        <f t="shared" si="2407"/>
        <v>-0.10329663782318006</v>
      </c>
      <c r="S827" s="172">
        <f t="shared" si="2412"/>
        <v>-7.2169453270026806E-4</v>
      </c>
      <c r="T827" s="172"/>
      <c r="U827" s="172"/>
      <c r="V827" s="166">
        <f t="shared" si="2377"/>
        <v>41008.630155986772</v>
      </c>
      <c r="W827" s="170"/>
      <c r="X827" s="174">
        <v>1740.1070793331057</v>
      </c>
      <c r="Y827" s="175"/>
      <c r="Z827" s="175">
        <f t="shared" si="2413"/>
        <v>0</v>
      </c>
      <c r="AA827" s="175"/>
      <c r="AB827" s="175"/>
      <c r="AC827" s="170">
        <f t="shared" si="2271"/>
        <v>103041.68177964581</v>
      </c>
      <c r="AD827" s="175">
        <f t="shared" si="2408"/>
        <v>2.1106660973151347E-2</v>
      </c>
      <c r="AE827" s="118"/>
      <c r="AF827" s="119"/>
      <c r="AG827" s="121">
        <f t="shared" si="2409"/>
        <v>736.44862153738143</v>
      </c>
      <c r="AH827" s="119">
        <f>+AZ827/$BB$59</f>
        <v>3.5898084270774046E-3</v>
      </c>
      <c r="AI827" s="119">
        <f t="shared" ref="AI827" si="2447">+AZ827/$BC$44</f>
        <v>1.6965030215061103E-2</v>
      </c>
      <c r="AJ827" s="176">
        <f t="shared" si="2414"/>
        <v>2.6437094677044302</v>
      </c>
      <c r="AK827" s="176">
        <f t="shared" si="2415"/>
        <v>12.493873116221776</v>
      </c>
      <c r="AL827" s="120">
        <f t="shared" si="2397"/>
        <v>0.24983789063993853</v>
      </c>
      <c r="AM827" s="120">
        <f t="shared" si="2398"/>
        <v>0.35218112295027493</v>
      </c>
      <c r="AN827" s="120">
        <f t="shared" si="2399"/>
        <v>0.39798098640978657</v>
      </c>
      <c r="AO827" s="120">
        <f t="shared" si="2403"/>
        <v>-5.5808794816607422E-2</v>
      </c>
      <c r="AP827" s="173">
        <f t="shared" si="2419"/>
        <v>128.25654572501176</v>
      </c>
      <c r="AQ827" s="175">
        <f t="shared" si="2420"/>
        <v>-5.580879481660754E-2</v>
      </c>
      <c r="AR827" s="177">
        <f>+AC827/$AE$59</f>
        <v>6.9866217130478353E-3</v>
      </c>
      <c r="AS827" s="177">
        <f t="shared" si="2416"/>
        <v>-3.8991493764474174E-4</v>
      </c>
      <c r="AT827" s="177"/>
      <c r="AU827" s="177"/>
      <c r="AV827" s="177"/>
      <c r="AW827" s="190"/>
      <c r="AX827" s="120"/>
      <c r="AY827" s="120"/>
      <c r="AZ827" s="118">
        <f>INDEX('Total Customers'!$E$7:$E$91,MATCH(Calculation!$C827,'Total Customers'!$D$7:$D$91,0))</f>
        <v>139917</v>
      </c>
      <c r="BA827" s="119">
        <f t="shared" si="2378"/>
        <v>9.4500879201715234E-3</v>
      </c>
      <c r="BB827" s="118"/>
      <c r="BC827" s="121"/>
      <c r="BD827" s="118"/>
      <c r="BE827" s="119"/>
      <c r="BF827" s="119"/>
      <c r="BG827" s="173"/>
      <c r="BH827" s="173"/>
      <c r="BI827" s="173"/>
      <c r="BJ827" s="173"/>
      <c r="BK827" s="173"/>
      <c r="BL827" s="173"/>
      <c r="BM827" s="173"/>
      <c r="BN827" s="173"/>
      <c r="BO827" s="173"/>
      <c r="BP827" s="173"/>
      <c r="BQ827" s="118"/>
      <c r="BR827" s="118"/>
      <c r="BS827" s="118">
        <f>INDEX('Dist. Plant Gas Additions'!$E$7:$AE$91,MATCH($C827,'Dist. Plant Gas Additions'!$D$7:$D$91,0),MATCH(Calculation!$G827,'Dist. Plant Gas Additions'!$E$5:$AE$5,0))</f>
        <v>54730</v>
      </c>
      <c r="BT827" s="118">
        <f>INDEX('Gen. Plant Additions'!$E$7:$AE$91,MATCH($C827,'Gen. Plant Additions'!$D$7:$D$91,0),MATCH(Calculation!$G827,'Gen. Plant Additions'!$E$5:$AE$5,0))</f>
        <v>3968</v>
      </c>
      <c r="BU827" s="118"/>
      <c r="BV827" s="118"/>
      <c r="BW827" s="118"/>
      <c r="BX827" s="118"/>
      <c r="BY827" s="183"/>
      <c r="BZ827" s="183"/>
      <c r="CA827" s="178"/>
      <c r="CB827" s="184"/>
      <c r="CC827" s="185"/>
      <c r="CD827" s="185"/>
      <c r="CE827" s="118"/>
      <c r="CF827" s="118"/>
      <c r="CG827" s="118"/>
      <c r="CH827" s="118"/>
      <c r="CI827" s="121">
        <v>2021</v>
      </c>
      <c r="CJ827" s="118"/>
      <c r="CK827" s="118"/>
      <c r="CL827" s="118"/>
      <c r="CM827" s="183"/>
      <c r="CN827" s="118">
        <f t="shared" si="2379"/>
        <v>58698</v>
      </c>
      <c r="CO827" s="118">
        <f t="shared" si="2380"/>
        <v>62.911666170197805</v>
      </c>
      <c r="CP827" s="186">
        <f>+(51-23)/(51-23*0.75)</f>
        <v>0.82962962962962961</v>
      </c>
      <c r="CQ827" s="118">
        <f>CQ804*CP827+CO805*CP826+CO806*CP825+CO807*CP824+CO808*CP823+CO809*CP822+CO810*CP821+CO811*CP820+CO812*CP819+CO813*CP818+CO814*CP817+CO815*CP816+CO816*CP815+CO817*CP814+CO818*CP813+CO809*CP812+CO820*CP811+CO821*CP810+CO822*CP809+CO823*CP808+CO824*CP807+CO825*CP806+CO827+CO826*CP805</f>
        <v>1740.1070793331057</v>
      </c>
      <c r="CR827" s="119"/>
      <c r="CS827" s="118"/>
      <c r="CT827" s="177">
        <f t="shared" si="2382"/>
        <v>1.0089685885014918E-2</v>
      </c>
      <c r="CU827" s="177">
        <f t="shared" si="2390"/>
        <v>9.4820310487283028E-3</v>
      </c>
      <c r="CV827" s="119">
        <f>VLOOKUP($H827,RoR!$E:$F,2,FALSE)</f>
        <v>2.7033333333333336E-2</v>
      </c>
      <c r="CW827" s="177"/>
      <c r="CX827" s="177"/>
      <c r="CY827" s="177">
        <f t="shared" si="2391"/>
        <v>2.141991055980532E-2</v>
      </c>
      <c r="CZ827" s="177">
        <f t="shared" si="2392"/>
        <v>7.433422950153494E-2</v>
      </c>
      <c r="DA827" s="187">
        <f t="shared" si="2383"/>
        <v>0.90381374874999998</v>
      </c>
      <c r="DB827" s="188">
        <f t="shared" si="2384"/>
        <v>1.8969932656739068</v>
      </c>
      <c r="DC827" s="188">
        <f t="shared" si="2385"/>
        <v>5.0215782983970621E-2</v>
      </c>
      <c r="DD827" s="188">
        <f t="shared" si="2386"/>
        <v>0.655952481704143</v>
      </c>
      <c r="DE827" s="188">
        <f t="shared" si="2387"/>
        <v>6.2485378865697057E-2</v>
      </c>
      <c r="DF827" s="189">
        <f>DF826</f>
        <v>0.25649666999999998</v>
      </c>
      <c r="DG827" s="189">
        <v>0.375</v>
      </c>
      <c r="DH827" s="190">
        <f t="shared" si="2389"/>
        <v>24.204016801228331</v>
      </c>
      <c r="DI827" s="190"/>
      <c r="DJ827" s="177">
        <f t="shared" ref="DJ827" si="2448">LN(DH827/DH826)</f>
        <v>0.11663123022677278</v>
      </c>
      <c r="DK827" s="189">
        <f>VLOOKUP($H827,RoR!$E:$F,2,FALSE)</f>
        <v>2.7033333333333336E-2</v>
      </c>
      <c r="DL827" s="191">
        <f>HLOOKUP($H827,'GDP-PI'!$D$8:$CR$11,3,FALSE)</f>
        <v>4.2834637353352578E-2</v>
      </c>
      <c r="DM827" s="189">
        <f>VLOOKUP(H827,'HW Dx Data'!$E:$F,2,FALSE)</f>
        <v>933.02249921662576</v>
      </c>
      <c r="DN827" s="183">
        <f>VLOOKUP(H827,'ECI - Input Price'!$G$17:$H$37,2,FALSE)</f>
        <v>145.47500000000002</v>
      </c>
      <c r="DO827" s="177">
        <f t="shared" ref="DO827" si="2449">LN(DN827/DN826)</f>
        <v>3.5152696992481205E-2</v>
      </c>
      <c r="DP827" s="183">
        <f>HLOOKUP(H827,'GDP-PI'!$8:$9,2,FALSE)</f>
        <v>118.49</v>
      </c>
      <c r="DQ827" s="177">
        <f t="shared" ref="DQ827" si="2450">LN(DP827/DP826)</f>
        <v>4.194261824609434E-2</v>
      </c>
    </row>
    <row r="828" spans="1:121" s="167" customFormat="1" ht="21" x14ac:dyDescent="0.35">
      <c r="A828" s="167" t="s">
        <v>85</v>
      </c>
      <c r="B828" s="168" t="s">
        <v>85</v>
      </c>
      <c r="C828" s="168">
        <v>4004218</v>
      </c>
      <c r="D828" s="168" t="s">
        <v>146</v>
      </c>
      <c r="E828" s="168"/>
      <c r="F828" s="168"/>
      <c r="G828" s="168" t="s">
        <v>4</v>
      </c>
      <c r="H828" s="169">
        <v>1998</v>
      </c>
      <c r="I828" s="170"/>
      <c r="J828" s="166"/>
      <c r="K828" s="166"/>
      <c r="L828" s="166"/>
      <c r="M828" s="166"/>
      <c r="N828" s="196"/>
      <c r="O828" s="166"/>
      <c r="P828" s="172"/>
      <c r="Q828" s="172"/>
      <c r="R828" s="172"/>
      <c r="S828" s="166"/>
      <c r="T828" s="172"/>
      <c r="U828" s="172"/>
      <c r="V828" s="166"/>
      <c r="W828" s="170"/>
      <c r="X828" s="174">
        <v>8438.4926463761476</v>
      </c>
      <c r="Y828" s="175"/>
      <c r="Z828" s="166"/>
      <c r="AA828" s="175"/>
      <c r="AB828" s="175"/>
      <c r="AC828" s="170">
        <f t="shared" si="2271"/>
        <v>0</v>
      </c>
      <c r="AD828" s="170"/>
      <c r="AE828" s="170"/>
      <c r="AF828" s="119"/>
      <c r="AG828" s="174">
        <f>+(AG850+AG849+AG848)/3</f>
        <v>314.17820557787962</v>
      </c>
      <c r="AH828" s="175"/>
      <c r="AI828" s="175"/>
      <c r="AJ828" s="174"/>
      <c r="AK828" s="174"/>
      <c r="AL828" s="120"/>
      <c r="AM828" s="120"/>
      <c r="AN828" s="120"/>
      <c r="AO828" s="120"/>
      <c r="AP828" s="120"/>
      <c r="AQ828" s="175">
        <f>AVERAGE(AQ837:AQ851)</f>
        <v>3.9951525394533033E-2</v>
      </c>
      <c r="AR828" s="120"/>
      <c r="AS828" s="120"/>
      <c r="AT828" s="120"/>
      <c r="AU828" s="120"/>
      <c r="AV828" s="120"/>
      <c r="AW828" s="120"/>
      <c r="AX828" s="120"/>
      <c r="AY828" s="120"/>
      <c r="AZ828" s="118">
        <f>IFERROR(INDEX('Total Customers'!$F$7:$AB$91,MATCH($C828,'Total Customers'!$D$7:$D$91,0),MATCH($G828,'Total Customers'!$F$5:$AB$5,0)),"NA")</f>
        <v>3737058</v>
      </c>
      <c r="BA828" s="119"/>
      <c r="BB828" s="119"/>
      <c r="BC828" s="121"/>
      <c r="BD828" s="119"/>
      <c r="BE828" s="119"/>
      <c r="BF828" s="119"/>
      <c r="BG828" s="173"/>
      <c r="BH828" s="173"/>
      <c r="BI828" s="173"/>
      <c r="BJ828" s="173"/>
      <c r="BK828" s="173"/>
      <c r="BL828" s="173"/>
      <c r="BM828" s="173"/>
      <c r="BN828" s="173"/>
      <c r="BO828" s="173"/>
      <c r="BP828" s="173"/>
      <c r="BQ828" s="118">
        <f>INDEX('Gross Dx Plant'!$E$7:$AD$91,MATCH($C828,'Gross Dx Plant'!$D$7:$D$91,0),MATCH(Calculation!$G828,'Gross Dx Plant'!$E$5:$AD$5,0))</f>
        <v>3749429</v>
      </c>
      <c r="BR828" s="118">
        <f>INDEX('Gross Gen Plant'!$E$7:$AD$91,MATCH($C828,'Gross Gen Plant'!$D$7:$D$91,0),MATCH(Calculation!$G828,'Gross Gen Plant'!$E$5:$AD$5,0))</f>
        <v>68438</v>
      </c>
      <c r="BS828" s="118">
        <f>INDEX('Dist. Plant Gas Additions'!$F$7:$AE$91,MATCH($C828,'Dist. Plant Gas Additions'!$D$7:$D$91,0),MATCH(Calculation!$G828,'Dist. Plant Gas Additions'!$F$5:$AE$5,0))</f>
        <v>196405</v>
      </c>
      <c r="BT828" s="118">
        <f>INDEX('Gen. Plant Additions'!$F$7:$AE$91,MATCH($C828,'Gen. Plant Additions'!$D$7:$D$91,0),MATCH(Calculation!$G828,'Gen. Plant Additions'!$F$5:$AE$5,0))</f>
        <v>1758</v>
      </c>
      <c r="BU828" s="118" t="e">
        <f>INDEX('Dist Plant Depreciation'!$E$7:$AA$94,MATCH($C828,'Dist Plant Depreciation'!$D$7:$D$94,0),MATCH(#REF!,'Dist Plant Depreciation'!$E$5:$AA$5,0))</f>
        <v>#REF!</v>
      </c>
      <c r="BV828" s="118" t="e">
        <f>INDEX('Gen. Plant Depreciation'!$E$7:$AA$94,MATCH($C828,'Gen. Plant Depreciation'!$D$7:$D$94,0),MATCH(#REF!,'Gen. Plant Depreciation'!$E$5:$AA$5,0))</f>
        <v>#REF!</v>
      </c>
      <c r="BW828" s="118">
        <f>INDEX('Dist Plant Depreciation'!$E$7:$AD$94,MATCH($C828,'Dist Plant Depreciation'!$D$7:$D$94,0),MATCH(Calculation!$G828,'Dist Plant Depreciation'!$E$5:$AD$5,0))</f>
        <v>2096630</v>
      </c>
      <c r="BX828" s="118">
        <f>INDEX('Gen. Plant Depreciation'!$E$7:$AD$94,MATCH($C828,'Gen. Plant Depreciation'!$D$7:$D$94,0),MATCH(Calculation!$G828,'Gen. Plant Depreciation'!$E$5:$AD$5,0))</f>
        <v>19029</v>
      </c>
      <c r="BY828" s="118"/>
      <c r="BZ828" s="118"/>
      <c r="CA828" s="118"/>
      <c r="CB828" s="118"/>
      <c r="CC828" s="118"/>
      <c r="CD828" s="183"/>
      <c r="CE828" s="118">
        <f>INDEX('Gross Dx Plant'!$E$7:$AD$91,MATCH($C828,'Gross Dx Plant'!$D$7:$D$91,0),MATCH(Calculation!$G828,'Gross Dx Plant'!$E$5:$AD$5,0))</f>
        <v>3749429</v>
      </c>
      <c r="CF828" s="118">
        <f>INDEX('Gross Gen Plant'!$E$7:$AD$91,MATCH($C828,'Gross Gen Plant'!$D$7:$D$91,0),MATCH(Calculation!$G828,'Gross Gen Plant'!$E$5:$AD$5,0))</f>
        <v>68438</v>
      </c>
      <c r="CG828" s="118">
        <f t="shared" si="2347"/>
        <v>1702208</v>
      </c>
      <c r="CH828" s="118"/>
      <c r="CI828" s="121">
        <v>1998</v>
      </c>
      <c r="CJ828" s="118">
        <f>BQ828+BR828</f>
        <v>3817867</v>
      </c>
      <c r="CK828" s="118">
        <f>2096630+19029</f>
        <v>2115659</v>
      </c>
      <c r="CL828" s="118">
        <f>+CJ828-CK828</f>
        <v>1702208</v>
      </c>
      <c r="CM828" s="118">
        <f>CL828/$CD$36</f>
        <v>8438.4926463761476</v>
      </c>
      <c r="CN828" s="183"/>
      <c r="CO828" s="183"/>
      <c r="CP828" s="186">
        <v>1</v>
      </c>
      <c r="CQ828" s="118">
        <f>+CM828</f>
        <v>8438.4926463761476</v>
      </c>
      <c r="CR828" s="119"/>
      <c r="CS828" s="119"/>
      <c r="CT828" s="177"/>
      <c r="CU828" s="177"/>
      <c r="CV828" s="119" t="e">
        <f>VLOOKUP($H828,RoR!$E:$F,2,FALSE)</f>
        <v>#N/A</v>
      </c>
      <c r="CW828" s="177">
        <v>1.1028127770464469E-2</v>
      </c>
      <c r="CX828" s="177"/>
      <c r="CY828" s="177"/>
      <c r="CZ828" s="177"/>
      <c r="DA828" s="187"/>
      <c r="DB828" s="190" t="e">
        <f>2/(DK828*39)</f>
        <v>#N/A</v>
      </c>
      <c r="DC828" s="188" t="e">
        <f>+(DK828*40-(1+DK828))/(DK828*40)</f>
        <v>#N/A</v>
      </c>
      <c r="DD828" s="188" t="e">
        <f>+(1-(1/(1+DK828)^40))</f>
        <v>#N/A</v>
      </c>
      <c r="DE828" s="188" t="e">
        <f>+DD828*DC828*DB828</f>
        <v>#N/A</v>
      </c>
      <c r="DF828" s="189">
        <f>INDEX('State Tax Lookup'!$D$7:$Z$91,MATCH(Calculation!$C828,'State Tax Lookup'!$B$7:$B$91,0),MATCH($H828,'State Tax Lookup'!$D$6:$Z$6,0))</f>
        <v>0.40745999999999999</v>
      </c>
      <c r="DG828" s="189">
        <v>0.375</v>
      </c>
      <c r="DH828" s="183"/>
      <c r="DI828" s="183"/>
      <c r="DJ828" s="177"/>
      <c r="DK828" s="189" t="e">
        <f>VLOOKUP($H828,RoR!$E:$F,2,FALSE)</f>
        <v>#N/A</v>
      </c>
      <c r="DL828" s="191">
        <f>HLOOKUP($H828,'GDP-PI'!$D$8:$CQ$11,3,FALSE)</f>
        <v>1.1028127770464469E-2</v>
      </c>
      <c r="DM828" s="189">
        <f>VLOOKUP(H828,'HW Dx Data'!$E:$F,2,FALSE)</f>
        <v>329.24564746449528</v>
      </c>
      <c r="DN828" s="183" t="e">
        <f>VLOOKUP(H828,'ECI - Input Price'!$G$17:$H$37,2,FALSE)</f>
        <v>#N/A</v>
      </c>
      <c r="DO828" s="177"/>
      <c r="DP828" s="183">
        <f>HLOOKUP(H828,'GDP-PI'!$8:$9,2,FALSE)</f>
        <v>75.266999999999996</v>
      </c>
    </row>
    <row r="829" spans="1:121" s="167" customFormat="1" ht="21" x14ac:dyDescent="0.35">
      <c r="A829" s="167" t="s">
        <v>85</v>
      </c>
      <c r="B829" s="168" t="s">
        <v>85</v>
      </c>
      <c r="C829" s="168">
        <v>4004218</v>
      </c>
      <c r="D829" s="168" t="s">
        <v>146</v>
      </c>
      <c r="E829" s="168"/>
      <c r="F829" s="168"/>
      <c r="G829" s="168" t="s">
        <v>5</v>
      </c>
      <c r="H829" s="169">
        <v>1999</v>
      </c>
      <c r="I829" s="170"/>
      <c r="J829" s="166"/>
      <c r="K829" s="170"/>
      <c r="L829" s="170"/>
      <c r="M829" s="166"/>
      <c r="N829" s="173"/>
      <c r="O829" s="170"/>
      <c r="P829" s="177"/>
      <c r="Q829" s="177"/>
      <c r="R829" s="177"/>
      <c r="S829" s="195"/>
      <c r="T829" s="177"/>
      <c r="U829" s="177"/>
      <c r="V829" s="166">
        <f t="shared" ref="V829:V851" si="2451">+CQ828*DH829</f>
        <v>0</v>
      </c>
      <c r="W829" s="170"/>
      <c r="X829" s="174">
        <v>8963.067927357286</v>
      </c>
      <c r="Y829" s="175">
        <v>6.030887473058498E-2</v>
      </c>
      <c r="Z829" s="175"/>
      <c r="AA829" s="175"/>
      <c r="AB829" s="175"/>
      <c r="AC829" s="170">
        <f t="shared" si="2271"/>
        <v>0</v>
      </c>
      <c r="AD829" s="175"/>
      <c r="AE829" s="170"/>
      <c r="AF829" s="119"/>
      <c r="AG829" s="174"/>
      <c r="AH829" s="175"/>
      <c r="AI829" s="175"/>
      <c r="AJ829" s="174"/>
      <c r="AK829" s="174"/>
      <c r="AL829" s="120"/>
      <c r="AM829" s="120"/>
      <c r="AN829" s="120"/>
      <c r="AO829" s="120"/>
      <c r="AP829" s="120"/>
      <c r="AQ829" s="175"/>
      <c r="AR829" s="120"/>
      <c r="AS829" s="120"/>
      <c r="AT829" s="120"/>
      <c r="AU829" s="120"/>
      <c r="AV829" s="120"/>
      <c r="AW829" s="120"/>
      <c r="AX829" s="120"/>
      <c r="AY829" s="120"/>
      <c r="AZ829" s="118">
        <f>IFERROR(INDEX('Total Customers'!$F$7:$AB$91,MATCH($C829,'Total Customers'!$D$7:$D$91,0),MATCH($G829,'Total Customers'!$F$5:$AB$5,0)),"NA")</f>
        <v>3798199</v>
      </c>
      <c r="BA829" s="119">
        <f t="shared" ref="BA829:BA851" si="2452">LN(AZ829/AZ828)</f>
        <v>1.6228336161493891E-2</v>
      </c>
      <c r="BB829" s="119"/>
      <c r="BC829" s="121"/>
      <c r="BD829" s="119"/>
      <c r="BE829" s="119"/>
      <c r="BF829" s="119"/>
      <c r="BG829" s="173"/>
      <c r="BH829" s="173"/>
      <c r="BI829" s="173"/>
      <c r="BJ829" s="173"/>
      <c r="BK829" s="173"/>
      <c r="BL829" s="173"/>
      <c r="BM829" s="173"/>
      <c r="BN829" s="173"/>
      <c r="BO829" s="173"/>
      <c r="BP829" s="173"/>
      <c r="BQ829" s="118"/>
      <c r="BR829" s="118"/>
      <c r="BS829" s="118">
        <f>INDEX('Dist. Plant Gas Additions'!$F$7:$AE$91,MATCH($C829,'Dist. Plant Gas Additions'!$D$7:$D$91,0),MATCH(Calculation!$G829,'Dist. Plant Gas Additions'!$F$5:$AE$5,0))</f>
        <v>186974</v>
      </c>
      <c r="BT829" s="118">
        <f>INDEX('Gen. Plant Additions'!$F$7:$AE$91,MATCH($C829,'Gen. Plant Additions'!$D$7:$D$91,0),MATCH(Calculation!$G829,'Gen. Plant Additions'!$F$5:$AE$5,0))</f>
        <v>3007</v>
      </c>
      <c r="BU829" s="118"/>
      <c r="BV829" s="118"/>
      <c r="BW829" s="118">
        <f>INDEX('Dist Plant Depreciation'!$E$7:$AD$94,MATCH($C829,'Dist Plant Depreciation'!$D$7:$D$94,0),MATCH(Calculation!$G829,'Dist Plant Depreciation'!$E$5:$AD$5,0))</f>
        <v>2207806</v>
      </c>
      <c r="BX829" s="118">
        <f>INDEX('Gen. Plant Depreciation'!$E$7:$AD$94,MATCH($C829,'Gen. Plant Depreciation'!$D$7:$D$94,0),MATCH(Calculation!$G829,'Gen. Plant Depreciation'!$E$5:$AD$5,0))</f>
        <v>20711</v>
      </c>
      <c r="BY829" s="118"/>
      <c r="BZ829" s="118"/>
      <c r="CA829" s="118"/>
      <c r="CB829" s="118"/>
      <c r="CC829" s="118"/>
      <c r="CD829" s="183"/>
      <c r="CE829" s="118">
        <f>INDEX('Gross Dx Plant'!$E$7:$AD$91,MATCH($C829,'Gross Dx Plant'!$D$7:$D$91,0),MATCH(Calculation!$G829,'Gross Dx Plant'!$E$5:$AD$5,0))</f>
        <v>3888813</v>
      </c>
      <c r="CF829" s="118">
        <f>INDEX('Gross Gen Plant'!$E$7:$AD$91,MATCH($C829,'Gross Gen Plant'!$D$7:$D$91,0),MATCH(Calculation!$G829,'Gross Gen Plant'!$E$5:$AD$5,0))</f>
        <v>70259</v>
      </c>
      <c r="CG829" s="118">
        <f t="shared" si="2347"/>
        <v>1730555</v>
      </c>
      <c r="CH829" s="118"/>
      <c r="CI829" s="121">
        <v>1999</v>
      </c>
      <c r="CJ829" s="118"/>
      <c r="CK829" s="118"/>
      <c r="CL829" s="118"/>
      <c r="CM829" s="183"/>
      <c r="CN829" s="118">
        <f t="shared" ref="CN829:CN851" si="2453">+BT829+BS829</f>
        <v>189981</v>
      </c>
      <c r="CO829" s="118">
        <f t="shared" ref="CO829:CO851" si="2454">+CN829/$DM829</f>
        <v>566.55783146062163</v>
      </c>
      <c r="CP829" s="186">
        <v>0.99502487562189057</v>
      </c>
      <c r="CQ829" s="118">
        <f>+CQ828*CP829+CO829</f>
        <v>8963.067927357286</v>
      </c>
      <c r="CR829" s="119">
        <f t="shared" ref="CR829:CR850" si="2455">LN(CQ829/CQ828)</f>
        <v>6.030887473058498E-2</v>
      </c>
      <c r="CS829" s="119"/>
      <c r="CT829" s="177">
        <f t="shared" ref="CT829:CT851" si="2456">+(CQ828-CQ829+CO829)/CQ828</f>
        <v>4.9751243781094474E-3</v>
      </c>
      <c r="CU829" s="177"/>
      <c r="CV829" s="119">
        <f>VLOOKUP($H829,RoR!$E:$F,2,FALSE)</f>
        <v>7.0416666666666669E-2</v>
      </c>
      <c r="CW829" s="177">
        <v>1.4335631817396832E-2</v>
      </c>
      <c r="CX829" s="177">
        <f>+CV829-CW829</f>
        <v>5.6081034849269837E-2</v>
      </c>
      <c r="CY829" s="177"/>
      <c r="CZ829" s="177"/>
      <c r="DA829" s="187">
        <f t="shared" ref="DA829:DA851" si="2457">1-DF829*DG829</f>
        <v>0.84720249999999997</v>
      </c>
      <c r="DB829" s="188">
        <f t="shared" ref="DB829:DB851" si="2458">2/(DK829*39)</f>
        <v>0.72826581702321336</v>
      </c>
      <c r="DC829" s="188">
        <f t="shared" ref="DC829:DC851" si="2459">+(DK829*40-(1+DK829))/(DK829*40)</f>
        <v>0.61997041420118348</v>
      </c>
      <c r="DD829" s="188">
        <f t="shared" ref="DD829:DD851" si="2460">+(1-(1/(1+DK829)^40))</f>
        <v>0.93425155319585029</v>
      </c>
      <c r="DE829" s="188">
        <f t="shared" ref="DE829:DE851" si="2461">+DD829*DC829*DB829</f>
        <v>0.42181762214141483</v>
      </c>
      <c r="DF829" s="189">
        <f>INDEX('State Tax Lookup'!$D$7:$Z$91,MATCH(Calculation!$C829,'State Tax Lookup'!$B$7:$B$91,0),MATCH($H829,'State Tax Lookup'!$D$6:$Z$6,0))</f>
        <v>0.40745999999999999</v>
      </c>
      <c r="DG829" s="189">
        <v>0.375</v>
      </c>
      <c r="DH829" s="190"/>
      <c r="DI829" s="190"/>
      <c r="DJ829" s="177"/>
      <c r="DK829" s="189">
        <f>VLOOKUP($H829,RoR!$E:$F,2,FALSE)</f>
        <v>7.0416666666666669E-2</v>
      </c>
      <c r="DL829" s="191">
        <f>HLOOKUP($H829,'GDP-PI'!$D$8:$CQ$11,3,FALSE)</f>
        <v>1.4335631817396832E-2</v>
      </c>
      <c r="DM829" s="189">
        <f>VLOOKUP(H829,'HW Dx Data'!$E:$F,2,FALSE)</f>
        <v>335.32499146683239</v>
      </c>
      <c r="DN829" s="183" t="e">
        <f>VLOOKUP(H829,'ECI - Input Price'!$G$17:$H$37,2,FALSE)</f>
        <v>#N/A</v>
      </c>
      <c r="DO829" s="177"/>
      <c r="DP829" s="183">
        <f>HLOOKUP(H829,'GDP-PI'!$8:$9,2,FALSE)</f>
        <v>76.346000000000004</v>
      </c>
    </row>
    <row r="830" spans="1:121" s="167" customFormat="1" ht="21" x14ac:dyDescent="0.35">
      <c r="A830" s="167" t="s">
        <v>85</v>
      </c>
      <c r="B830" s="168" t="s">
        <v>85</v>
      </c>
      <c r="C830" s="168">
        <v>4004218</v>
      </c>
      <c r="D830" s="168" t="s">
        <v>146</v>
      </c>
      <c r="E830" s="168"/>
      <c r="F830" s="168"/>
      <c r="G830" s="168" t="s">
        <v>6</v>
      </c>
      <c r="H830" s="169">
        <v>2000</v>
      </c>
      <c r="I830" s="170"/>
      <c r="J830" s="166"/>
      <c r="K830" s="166"/>
      <c r="L830" s="166"/>
      <c r="M830" s="166"/>
      <c r="N830" s="196"/>
      <c r="O830" s="166"/>
      <c r="P830" s="166"/>
      <c r="Q830" s="166"/>
      <c r="R830" s="166"/>
      <c r="S830" s="166"/>
      <c r="T830" s="166"/>
      <c r="U830" s="166"/>
      <c r="V830" s="166">
        <f t="shared" si="2451"/>
        <v>0</v>
      </c>
      <c r="W830" s="170"/>
      <c r="X830" s="174">
        <v>9349.3477929109449</v>
      </c>
      <c r="Y830" s="175">
        <v>4.2194015111451544E-2</v>
      </c>
      <c r="Z830" s="175"/>
      <c r="AA830" s="175"/>
      <c r="AB830" s="175"/>
      <c r="AC830" s="170">
        <f t="shared" ref="AC830:AC893" si="2462">+J830+P830+V830</f>
        <v>0</v>
      </c>
      <c r="AD830" s="175"/>
      <c r="AE830" s="170"/>
      <c r="AF830" s="170"/>
      <c r="AG830" s="174"/>
      <c r="AH830" s="175"/>
      <c r="AI830" s="175"/>
      <c r="AJ830" s="174"/>
      <c r="AK830" s="174"/>
      <c r="AL830" s="120"/>
      <c r="AM830" s="120"/>
      <c r="AN830" s="120"/>
      <c r="AO830" s="120"/>
      <c r="AP830" s="120"/>
      <c r="AQ830" s="175"/>
      <c r="AR830" s="120"/>
      <c r="AS830" s="120"/>
      <c r="AT830" s="120"/>
      <c r="AU830" s="120"/>
      <c r="AV830" s="120"/>
      <c r="AW830" s="120"/>
      <c r="AX830" s="120"/>
      <c r="AY830" s="120"/>
      <c r="AZ830" s="118">
        <f>IFERROR(INDEX('Total Customers'!$F$7:$AB$91,MATCH($C830,'Total Customers'!$D$7:$D$91,0),MATCH($G830,'Total Customers'!$F$5:$AB$5,0)),"NA")</f>
        <v>3746752</v>
      </c>
      <c r="BA830" s="119">
        <f t="shared" si="2452"/>
        <v>-1.3637675676582904E-2</v>
      </c>
      <c r="BB830" s="119"/>
      <c r="BC830" s="121"/>
      <c r="BD830" s="119"/>
      <c r="BE830" s="119"/>
      <c r="BF830" s="119"/>
      <c r="BG830" s="173"/>
      <c r="BH830" s="173"/>
      <c r="BI830" s="173"/>
      <c r="BJ830" s="173"/>
      <c r="BK830" s="173"/>
      <c r="BL830" s="173"/>
      <c r="BM830" s="173"/>
      <c r="BN830" s="173"/>
      <c r="BO830" s="173"/>
      <c r="BP830" s="173"/>
      <c r="BQ830" s="118"/>
      <c r="BR830" s="118"/>
      <c r="BS830" s="118">
        <f>INDEX('Dist. Plant Gas Additions'!$F$7:$AE$91,MATCH($C830,'Dist. Plant Gas Additions'!$D$7:$D$91,0),MATCH(Calculation!$G830,'Dist. Plant Gas Additions'!$F$5:$AE$5,0))</f>
        <v>150169</v>
      </c>
      <c r="BT830" s="118">
        <f>INDEX('Gen. Plant Additions'!$F$7:$AE$91,MATCH($C830,'Gen. Plant Additions'!$D$7:$D$91,0),MATCH(Calculation!$G830,'Gen. Plant Additions'!$F$5:$AE$5,0))</f>
        <v>-344</v>
      </c>
      <c r="BU830" s="118"/>
      <c r="BV830" s="118"/>
      <c r="BW830" s="118">
        <f>INDEX('Dist Plant Depreciation'!$E$7:$AD$94,MATCH($C830,'Dist Plant Depreciation'!$D$7:$D$94,0),MATCH(Calculation!$G830,'Dist Plant Depreciation'!$E$5:$AD$5,0))</f>
        <v>2352959</v>
      </c>
      <c r="BX830" s="118">
        <f>INDEX('Gen. Plant Depreciation'!$E$7:$AD$94,MATCH($C830,'Gen. Plant Depreciation'!$D$7:$D$94,0),MATCH(Calculation!$G830,'Gen. Plant Depreciation'!$E$5:$AD$5,0))</f>
        <v>21732</v>
      </c>
      <c r="BY830" s="118"/>
      <c r="BZ830" s="118"/>
      <c r="CA830" s="118"/>
      <c r="CB830" s="118"/>
      <c r="CC830" s="118"/>
      <c r="CD830" s="183"/>
      <c r="CE830" s="118">
        <f>INDEX('Gross Dx Plant'!$E$7:$AD$91,MATCH($C830,'Gross Dx Plant'!$D$7:$D$91,0),MATCH(Calculation!$G830,'Gross Dx Plant'!$E$5:$AD$5,0))</f>
        <v>4023240</v>
      </c>
      <c r="CF830" s="118">
        <f>INDEX('Gross Gen Plant'!$E$7:$AD$91,MATCH($C830,'Gross Gen Plant'!$D$7:$D$91,0),MATCH(Calculation!$G830,'Gross Gen Plant'!$E$5:$AD$5,0))</f>
        <v>68288</v>
      </c>
      <c r="CG830" s="118">
        <f t="shared" si="2347"/>
        <v>1716837</v>
      </c>
      <c r="CH830" s="118"/>
      <c r="CI830" s="121">
        <v>2000</v>
      </c>
      <c r="CJ830" s="118"/>
      <c r="CK830" s="118"/>
      <c r="CL830" s="118"/>
      <c r="CM830" s="183"/>
      <c r="CN830" s="118">
        <f t="shared" si="2453"/>
        <v>149825</v>
      </c>
      <c r="CO830" s="118">
        <f t="shared" si="2454"/>
        <v>432.35331021142827</v>
      </c>
      <c r="CP830" s="186">
        <v>0.98989898989898994</v>
      </c>
      <c r="CQ830" s="118">
        <f>+CQ828*CP830+CO829*CP829+CO830</f>
        <v>9349.3477929109449</v>
      </c>
      <c r="CR830" s="119">
        <f t="shared" si="2455"/>
        <v>4.2194015111451544E-2</v>
      </c>
      <c r="CS830" s="119"/>
      <c r="CT830" s="177">
        <f t="shared" si="2456"/>
        <v>5.1403654453117389E-3</v>
      </c>
      <c r="CU830" s="177"/>
      <c r="CV830" s="119">
        <f>VLOOKUP($H830,RoR!$E:$F,2,FALSE)</f>
        <v>7.6225000000000001E-2</v>
      </c>
      <c r="CW830" s="177">
        <v>2.2568307442433211E-2</v>
      </c>
      <c r="CX830" s="177">
        <f t="shared" ref="CX830:CX850" si="2463">+CV830-CW830</f>
        <v>5.365669255756679E-2</v>
      </c>
      <c r="CY830" s="177"/>
      <c r="CZ830" s="177"/>
      <c r="DA830" s="187">
        <f t="shared" si="2457"/>
        <v>0.84720249999999997</v>
      </c>
      <c r="DB830" s="188">
        <f t="shared" si="2458"/>
        <v>0.67277207323124022</v>
      </c>
      <c r="DC830" s="188">
        <f t="shared" si="2459"/>
        <v>0.6470236142997704</v>
      </c>
      <c r="DD830" s="188">
        <f t="shared" si="2460"/>
        <v>0.94704866037543145</v>
      </c>
      <c r="DE830" s="188">
        <f t="shared" si="2461"/>
        <v>0.41224973107878493</v>
      </c>
      <c r="DF830" s="189">
        <f>INDEX('State Tax Lookup'!$D$7:$Z$91,MATCH(Calculation!$C830,'State Tax Lookup'!$B$7:$B$91,0),MATCH($H830,'State Tax Lookup'!$D$6:$Z$6,0))</f>
        <v>0.40745999999999999</v>
      </c>
      <c r="DG830" s="189">
        <v>0.375</v>
      </c>
      <c r="DH830" s="190"/>
      <c r="DI830" s="190"/>
      <c r="DJ830" s="177"/>
      <c r="DK830" s="189">
        <f>VLOOKUP($H830,RoR!$E:$F,2,FALSE)</f>
        <v>7.6225000000000001E-2</v>
      </c>
      <c r="DL830" s="191">
        <f>HLOOKUP($H830,'GDP-PI'!$D$8:$CQ$11,3,FALSE)</f>
        <v>2.2568307442433211E-2</v>
      </c>
      <c r="DM830" s="189">
        <f>VLOOKUP(H830,'HW Dx Data'!$E:$F,2,FALSE)</f>
        <v>346.53371782150339</v>
      </c>
      <c r="DN830" s="183" t="e">
        <f>VLOOKUP(H830,'ECI - Input Price'!$G$17:$H$37,2,FALSE)</f>
        <v>#N/A</v>
      </c>
      <c r="DO830" s="177"/>
      <c r="DP830" s="183">
        <f>HLOOKUP(H830,'GDP-PI'!$8:$9,2,FALSE)</f>
        <v>78.069000000000003</v>
      </c>
    </row>
    <row r="831" spans="1:121" s="167" customFormat="1" ht="21" x14ac:dyDescent="0.35">
      <c r="A831" s="167" t="s">
        <v>85</v>
      </c>
      <c r="B831" s="168" t="s">
        <v>85</v>
      </c>
      <c r="C831" s="168">
        <v>4004218</v>
      </c>
      <c r="D831" s="168" t="s">
        <v>146</v>
      </c>
      <c r="E831" s="168"/>
      <c r="F831" s="168"/>
      <c r="G831" s="168" t="s">
        <v>7</v>
      </c>
      <c r="H831" s="169">
        <v>2001</v>
      </c>
      <c r="I831" s="170"/>
      <c r="J831" s="166"/>
      <c r="K831" s="166"/>
      <c r="L831" s="166"/>
      <c r="M831" s="166"/>
      <c r="N831" s="196"/>
      <c r="O831" s="166"/>
      <c r="P831" s="166"/>
      <c r="Q831" s="166"/>
      <c r="R831" s="166"/>
      <c r="S831" s="166"/>
      <c r="T831" s="166"/>
      <c r="U831" s="166"/>
      <c r="V831" s="166">
        <f t="shared" si="2451"/>
        <v>121752.13190296887</v>
      </c>
      <c r="W831" s="170"/>
      <c r="X831" s="174">
        <v>9771.5205739234989</v>
      </c>
      <c r="Y831" s="175">
        <v>4.4165504890137881E-2</v>
      </c>
      <c r="Z831" s="175"/>
      <c r="AA831" s="175"/>
      <c r="AB831" s="175"/>
      <c r="AC831" s="170">
        <f t="shared" si="2462"/>
        <v>121752.13190296887</v>
      </c>
      <c r="AD831" s="175"/>
      <c r="AE831" s="170"/>
      <c r="AF831" s="170"/>
      <c r="AG831" s="174"/>
      <c r="AH831" s="175"/>
      <c r="AI831" s="175"/>
      <c r="AJ831" s="174"/>
      <c r="AK831" s="174"/>
      <c r="AL831" s="120"/>
      <c r="AM831" s="120"/>
      <c r="AN831" s="120"/>
      <c r="AO831" s="120"/>
      <c r="AP831" s="120"/>
      <c r="AQ831" s="175"/>
      <c r="AR831" s="120"/>
      <c r="AS831" s="120"/>
      <c r="AT831" s="120"/>
      <c r="AU831" s="120"/>
      <c r="AV831" s="120"/>
      <c r="AW831" s="120"/>
      <c r="AX831" s="120"/>
      <c r="AY831" s="120"/>
      <c r="AZ831" s="118">
        <f>IFERROR(INDEX('Total Customers'!$F$7:$AB$91,MATCH($C831,'Total Customers'!$D$7:$D$91,0),MATCH($G831,'Total Customers'!$F$5:$AB$5,0)),"NA")</f>
        <v>3907394</v>
      </c>
      <c r="BA831" s="119">
        <f t="shared" si="2452"/>
        <v>4.1981324287501953E-2</v>
      </c>
      <c r="BB831" s="119"/>
      <c r="BC831" s="121"/>
      <c r="BD831" s="119"/>
      <c r="BE831" s="119"/>
      <c r="BF831" s="119"/>
      <c r="BG831" s="173"/>
      <c r="BH831" s="173"/>
      <c r="BI831" s="173"/>
      <c r="BJ831" s="173"/>
      <c r="BK831" s="173"/>
      <c r="BL831" s="173"/>
      <c r="BM831" s="173"/>
      <c r="BN831" s="173"/>
      <c r="BO831" s="173"/>
      <c r="BP831" s="173"/>
      <c r="BQ831" s="118"/>
      <c r="BR831" s="118"/>
      <c r="BS831" s="118">
        <f>INDEX('Dist. Plant Gas Additions'!$F$7:$AE$91,MATCH($C831,'Dist. Plant Gas Additions'!$D$7:$D$91,0),MATCH(Calculation!$G831,'Dist. Plant Gas Additions'!$F$5:$AE$5,0))</f>
        <v>164978</v>
      </c>
      <c r="BT831" s="118">
        <f>INDEX('Gen. Plant Additions'!$F$7:$AE$91,MATCH($C831,'Gen. Plant Additions'!$D$7:$D$91,0),MATCH(Calculation!$G831,'Gen. Plant Additions'!$F$5:$AE$5,0))</f>
        <v>1023</v>
      </c>
      <c r="BU831" s="118"/>
      <c r="BV831" s="118"/>
      <c r="BW831" s="118">
        <f>INDEX('Dist Plant Depreciation'!$E$7:$AD$94,MATCH($C831,'Dist Plant Depreciation'!$D$7:$D$94,0),MATCH(Calculation!$G831,'Dist Plant Depreciation'!$E$5:$AD$5,0))</f>
        <v>2500812</v>
      </c>
      <c r="BX831" s="118">
        <f>INDEX('Gen. Plant Depreciation'!$E$7:$AD$94,MATCH($C831,'Gen. Plant Depreciation'!$D$7:$D$94,0),MATCH(Calculation!$G831,'Gen. Plant Depreciation'!$E$5:$AD$5,0))</f>
        <v>23112</v>
      </c>
      <c r="BY831" s="118"/>
      <c r="BZ831" s="118"/>
      <c r="CA831" s="118"/>
      <c r="CB831" s="118"/>
      <c r="CC831" s="118"/>
      <c r="CD831" s="183"/>
      <c r="CE831" s="118">
        <f>INDEX('Gross Dx Plant'!$E$7:$AD$91,MATCH($C831,'Gross Dx Plant'!$D$7:$D$91,0),MATCH(Calculation!$G831,'Gross Dx Plant'!$E$5:$AD$5,0))</f>
        <v>4169015</v>
      </c>
      <c r="CF831" s="118">
        <f>INDEX('Gross Gen Plant'!$E$7:$AD$91,MATCH($C831,'Gross Gen Plant'!$D$7:$D$91,0),MATCH(Calculation!$G831,'Gross Gen Plant'!$E$5:$AD$5,0))</f>
        <v>68076</v>
      </c>
      <c r="CG831" s="118">
        <f t="shared" si="2347"/>
        <v>1713167</v>
      </c>
      <c r="CH831" s="118"/>
      <c r="CI831" s="121">
        <v>2001</v>
      </c>
      <c r="CJ831" s="118"/>
      <c r="CK831" s="118"/>
      <c r="CL831" s="118"/>
      <c r="CM831" s="183"/>
      <c r="CN831" s="118">
        <f t="shared" si="2453"/>
        <v>166001</v>
      </c>
      <c r="CO831" s="118">
        <f t="shared" si="2454"/>
        <v>469.66255604409417</v>
      </c>
      <c r="CP831" s="186">
        <v>0.98461538461538467</v>
      </c>
      <c r="CQ831" s="118">
        <f>+CQ828*CP831+CO829*CP830+CO830*CP828+CO831</f>
        <v>9771.5205739234989</v>
      </c>
      <c r="CR831" s="119">
        <f t="shared" si="2455"/>
        <v>4.4165504890137881E-2</v>
      </c>
      <c r="CS831" s="119"/>
      <c r="CT831" s="177">
        <f t="shared" si="2456"/>
        <v>5.0794746418085851E-3</v>
      </c>
      <c r="CU831" s="177">
        <f>+(CT831+CT830+CT829)/3</f>
        <v>5.0649881550765908E-3</v>
      </c>
      <c r="CV831" s="119">
        <f>VLOOKUP($H831,RoR!$E:$F,2,FALSE)</f>
        <v>7.0824999999999999E-2</v>
      </c>
      <c r="CW831" s="177">
        <v>2.2454495382290052E-2</v>
      </c>
      <c r="CX831" s="177">
        <f t="shared" si="2463"/>
        <v>4.8370504617709947E-2</v>
      </c>
      <c r="CY831" s="177">
        <f>+$CX$35-CU831</f>
        <v>2.5836953453457035E-2</v>
      </c>
      <c r="CZ831" s="177">
        <f>+((DM829/DM828-1)+(DM830/DM829-1)+(DM831/DM830-1))/3</f>
        <v>2.3947275901631187E-2</v>
      </c>
      <c r="DA831" s="187">
        <f t="shared" si="2457"/>
        <v>0.84720249999999997</v>
      </c>
      <c r="DB831" s="188">
        <f t="shared" si="2458"/>
        <v>0.72406708481540816</v>
      </c>
      <c r="DC831" s="188">
        <f t="shared" si="2459"/>
        <v>0.62201729615248857</v>
      </c>
      <c r="DD831" s="188">
        <f t="shared" si="2460"/>
        <v>0.9352469954311422</v>
      </c>
      <c r="DE831" s="188">
        <f t="shared" si="2461"/>
        <v>0.42121864641655071</v>
      </c>
      <c r="DF831" s="189">
        <f>INDEX('State Tax Lookup'!$D$7:$Z$91,MATCH(Calculation!$C831,'State Tax Lookup'!$B$7:$B$91,0),MATCH($H831,'State Tax Lookup'!$D$6:$Z$6,0))</f>
        <v>0.40745999999999999</v>
      </c>
      <c r="DG831" s="189">
        <v>0.375</v>
      </c>
      <c r="DH831" s="190">
        <f t="shared" ref="DH831:DH851" si="2464">+(DM831*CY831-CZ831)*DA831/(1-DF831)</f>
        <v>13.022526768689286</v>
      </c>
      <c r="DI831" s="190"/>
      <c r="DJ831" s="177"/>
      <c r="DK831" s="189">
        <f>VLOOKUP($H831,RoR!$E:$F,2,FALSE)</f>
        <v>7.0824999999999999E-2</v>
      </c>
      <c r="DL831" s="191">
        <f>HLOOKUP($H831,'GDP-PI'!$D$8:$CQ$11,3,FALSE)</f>
        <v>2.2454495382290052E-2</v>
      </c>
      <c r="DM831" s="189">
        <f>VLOOKUP(H831,'HW Dx Data'!$E:$F,2,FALSE)</f>
        <v>353.44738017483138</v>
      </c>
      <c r="DN831" s="183">
        <f>VLOOKUP(H831,'ECI - Input Price'!$G$17:$H$37,2,FALSE)</f>
        <v>86.2</v>
      </c>
      <c r="DO831" s="177"/>
      <c r="DP831" s="183">
        <f>HLOOKUP(H831,'GDP-PI'!$8:$9,2,FALSE)</f>
        <v>79.822000000000003</v>
      </c>
    </row>
    <row r="832" spans="1:121" s="167" customFormat="1" ht="21" x14ac:dyDescent="0.35">
      <c r="A832" s="167" t="s">
        <v>85</v>
      </c>
      <c r="B832" s="168" t="s">
        <v>85</v>
      </c>
      <c r="C832" s="168">
        <v>4004218</v>
      </c>
      <c r="D832" s="168" t="s">
        <v>146</v>
      </c>
      <c r="E832" s="168"/>
      <c r="F832" s="168"/>
      <c r="G832" s="168" t="s">
        <v>8</v>
      </c>
      <c r="H832" s="169">
        <v>2002</v>
      </c>
      <c r="I832" s="170"/>
      <c r="J832" s="166"/>
      <c r="K832" s="166"/>
      <c r="L832" s="166"/>
      <c r="M832" s="166"/>
      <c r="N832" s="196"/>
      <c r="O832" s="166"/>
      <c r="P832" s="166"/>
      <c r="Q832" s="166"/>
      <c r="R832" s="166"/>
      <c r="S832" s="166"/>
      <c r="T832" s="166"/>
      <c r="U832" s="166"/>
      <c r="V832" s="166">
        <f t="shared" si="2451"/>
        <v>128867.58960569056</v>
      </c>
      <c r="W832" s="170"/>
      <c r="X832" s="174">
        <v>10219.245227414849</v>
      </c>
      <c r="Y832" s="175">
        <v>4.4800638556015085E-2</v>
      </c>
      <c r="Z832" s="175"/>
      <c r="AA832" s="175"/>
      <c r="AB832" s="175"/>
      <c r="AC832" s="170">
        <f t="shared" si="2462"/>
        <v>128867.58960569056</v>
      </c>
      <c r="AD832" s="175"/>
      <c r="AE832" s="170"/>
      <c r="AF832" s="170"/>
      <c r="AG832" s="174"/>
      <c r="AH832" s="175"/>
      <c r="AI832" s="175"/>
      <c r="AJ832" s="174"/>
      <c r="AK832" s="174"/>
      <c r="AL832" s="120"/>
      <c r="AM832" s="120"/>
      <c r="AN832" s="120"/>
      <c r="AO832" s="120"/>
      <c r="AP832" s="120"/>
      <c r="AQ832" s="175"/>
      <c r="AR832" s="120"/>
      <c r="AS832" s="120"/>
      <c r="AT832" s="120"/>
      <c r="AU832" s="120"/>
      <c r="AV832" s="120"/>
      <c r="AW832" s="120"/>
      <c r="AX832" s="120"/>
      <c r="AY832" s="120"/>
      <c r="AZ832" s="118">
        <f>IFERROR(INDEX('Total Customers'!$F$7:$AB$91,MATCH($C832,'Total Customers'!$D$7:$D$91,0),MATCH($G832,'Total Customers'!$F$5:$AB$5,0)),"NA")</f>
        <v>3938727</v>
      </c>
      <c r="BA832" s="119">
        <f t="shared" si="2452"/>
        <v>7.9869190299550231E-3</v>
      </c>
      <c r="BB832" s="119"/>
      <c r="BC832" s="121"/>
      <c r="BD832" s="119"/>
      <c r="BE832" s="119"/>
      <c r="BF832" s="119"/>
      <c r="BG832" s="173"/>
      <c r="BH832" s="173"/>
      <c r="BI832" s="173"/>
      <c r="BJ832" s="173"/>
      <c r="BK832" s="173"/>
      <c r="BL832" s="173"/>
      <c r="BM832" s="173"/>
      <c r="BN832" s="173"/>
      <c r="BO832" s="173"/>
      <c r="BP832" s="173"/>
      <c r="BQ832" s="118"/>
      <c r="BR832" s="118"/>
      <c r="BS832" s="118">
        <f>INDEX('Dist. Plant Gas Additions'!$F$7:$AE$91,MATCH($C832,'Dist. Plant Gas Additions'!$D$7:$D$91,0),MATCH(Calculation!$G832,'Dist. Plant Gas Additions'!$F$5:$AE$5,0))</f>
        <v>178769</v>
      </c>
      <c r="BT832" s="118">
        <f>INDEX('Gen. Plant Additions'!$F$7:$AE$91,MATCH($C832,'Gen. Plant Additions'!$D$7:$D$91,0),MATCH(Calculation!$G832,'Gen. Plant Additions'!$F$5:$AE$5,0))</f>
        <v>3134</v>
      </c>
      <c r="BU832" s="118"/>
      <c r="BV832" s="118"/>
      <c r="BW832" s="118">
        <f>INDEX('Dist Plant Depreciation'!$E$7:$AD$94,MATCH($C832,'Dist Plant Depreciation'!$D$7:$D$94,0),MATCH(Calculation!$G832,'Dist Plant Depreciation'!$E$5:$AD$5,0))</f>
        <v>2659445</v>
      </c>
      <c r="BX832" s="118">
        <f>INDEX('Gen. Plant Depreciation'!$E$7:$AD$94,MATCH($C832,'Gen. Plant Depreciation'!$D$7:$D$94,0),MATCH(Calculation!$G832,'Gen. Plant Depreciation'!$E$5:$AD$5,0))</f>
        <v>23580</v>
      </c>
      <c r="BY832" s="118"/>
      <c r="BZ832" s="118"/>
      <c r="CA832" s="118"/>
      <c r="CB832" s="118"/>
      <c r="CC832" s="118"/>
      <c r="CD832" s="183"/>
      <c r="CE832" s="118">
        <f>INDEX('Gross Dx Plant'!$E$7:$AD$91,MATCH($C832,'Gross Dx Plant'!$D$7:$D$91,0),MATCH(Calculation!$G832,'Gross Dx Plant'!$E$5:$AD$5,0))</f>
        <v>4336206</v>
      </c>
      <c r="CF832" s="118">
        <f>INDEX('Gross Gen Plant'!$E$7:$AD$91,MATCH($C832,'Gross Gen Plant'!$D$7:$D$91,0),MATCH(Calculation!$G832,'Gross Gen Plant'!$E$5:$AD$5,0))</f>
        <v>69059</v>
      </c>
      <c r="CG832" s="118">
        <f t="shared" si="2347"/>
        <v>1722240</v>
      </c>
      <c r="CH832" s="118"/>
      <c r="CI832" s="121">
        <v>2002</v>
      </c>
      <c r="CJ832" s="118"/>
      <c r="CK832" s="118"/>
      <c r="CL832" s="118"/>
      <c r="CM832" s="183"/>
      <c r="CN832" s="118">
        <f t="shared" si="2453"/>
        <v>181903</v>
      </c>
      <c r="CO832" s="118">
        <f t="shared" si="2454"/>
        <v>503.40092257126935</v>
      </c>
      <c r="CP832" s="186">
        <v>0.97916666666666663</v>
      </c>
      <c r="CQ832" s="118">
        <f>+CQ828*CP832+CO829*CP831+CO830*CP830+CO831*CP829+CO832</f>
        <v>10219.245227414849</v>
      </c>
      <c r="CR832" s="119">
        <f t="shared" si="2455"/>
        <v>4.4800638556015085E-2</v>
      </c>
      <c r="CS832" s="119"/>
      <c r="CT832" s="177">
        <f t="shared" si="2456"/>
        <v>5.6978101472249998E-3</v>
      </c>
      <c r="CU832" s="177">
        <f t="shared" ref="CU832:CU851" si="2465">+(CT832+CT831+CT830)/3</f>
        <v>5.3058834114484412E-3</v>
      </c>
      <c r="CV832" s="119">
        <f>VLOOKUP($H832,RoR!$E:$F,2,FALSE)</f>
        <v>6.4916666666666664E-2</v>
      </c>
      <c r="CW832" s="177">
        <v>1.5246423291824351E-2</v>
      </c>
      <c r="CX832" s="177">
        <f t="shared" si="2463"/>
        <v>4.9670243374842313E-2</v>
      </c>
      <c r="CY832" s="177">
        <f t="shared" ref="CY832:CY851" si="2466">+$CX$35-CU832</f>
        <v>2.5596058197085183E-2</v>
      </c>
      <c r="CZ832" s="177">
        <f t="shared" ref="CZ832:CZ851" si="2467">+((DM830/DM829-1)+(DM831/DM830-1)+(DM832/DM831-1))/3</f>
        <v>2.5243621214759093E-2</v>
      </c>
      <c r="DA832" s="187">
        <f t="shared" si="2457"/>
        <v>0.84720249999999997</v>
      </c>
      <c r="DB832" s="188">
        <f t="shared" si="2458"/>
        <v>0.78996741384417901</v>
      </c>
      <c r="DC832" s="188">
        <f t="shared" si="2459"/>
        <v>0.58989088575096271</v>
      </c>
      <c r="DD832" s="188">
        <f t="shared" si="2460"/>
        <v>0.91920675783645744</v>
      </c>
      <c r="DE832" s="188">
        <f t="shared" si="2461"/>
        <v>0.42834536472275586</v>
      </c>
      <c r="DF832" s="189">
        <f>INDEX('State Tax Lookup'!$D$7:$Z$91,MATCH(Calculation!$C832,'State Tax Lookup'!$B$7:$B$91,0),MATCH($H832,'State Tax Lookup'!$D$6:$Z$6,0))</f>
        <v>0.40745999999999999</v>
      </c>
      <c r="DG832" s="189">
        <v>0.375</v>
      </c>
      <c r="DH832" s="190">
        <f t="shared" si="2464"/>
        <v>13.18807944278289</v>
      </c>
      <c r="DI832" s="190"/>
      <c r="DJ832" s="177"/>
      <c r="DK832" s="189">
        <f>VLOOKUP($H832,RoR!$E:$F,2,FALSE)</f>
        <v>6.4916666666666664E-2</v>
      </c>
      <c r="DL832" s="191">
        <f>HLOOKUP($H832,'GDP-PI'!$D$8:$CQ$11,3,FALSE)</f>
        <v>1.5246423291824351E-2</v>
      </c>
      <c r="DM832" s="189">
        <f>VLOOKUP(H832,'HW Dx Data'!$E:$F,2,FALSE)</f>
        <v>361.34816573413599</v>
      </c>
      <c r="DN832" s="183">
        <f>VLOOKUP(H832,'ECI - Input Price'!$G$17:$H$37,2,FALSE)</f>
        <v>89.275000000000006</v>
      </c>
      <c r="DO832" s="177">
        <f>LN(DN832/DN831)</f>
        <v>3.5051315810864674E-2</v>
      </c>
      <c r="DP832" s="183">
        <f>HLOOKUP(H832,'GDP-PI'!$8:$9,2,FALSE)</f>
        <v>81.039000000000001</v>
      </c>
      <c r="DQ832" s="177">
        <f>LN(DP832/DP831)</f>
        <v>1.513136459537477E-2</v>
      </c>
    </row>
    <row r="833" spans="1:121" s="167" customFormat="1" ht="21" x14ac:dyDescent="0.35">
      <c r="A833" s="167" t="s">
        <v>85</v>
      </c>
      <c r="B833" s="168" t="s">
        <v>85</v>
      </c>
      <c r="C833" s="168">
        <v>4004218</v>
      </c>
      <c r="D833" s="168" t="s">
        <v>146</v>
      </c>
      <c r="E833" s="168"/>
      <c r="F833" s="168"/>
      <c r="G833" s="168" t="s">
        <v>9</v>
      </c>
      <c r="H833" s="169">
        <v>2003</v>
      </c>
      <c r="I833" s="170"/>
      <c r="J833" s="166"/>
      <c r="K833" s="166"/>
      <c r="L833" s="166"/>
      <c r="M833" s="172"/>
      <c r="N833" s="196"/>
      <c r="O833" s="172"/>
      <c r="P833" s="166"/>
      <c r="Q833" s="166"/>
      <c r="R833" s="166"/>
      <c r="S833" s="166"/>
      <c r="T833" s="166"/>
      <c r="U833" s="166"/>
      <c r="V833" s="166">
        <f t="shared" si="2451"/>
        <v>136864.07592327817</v>
      </c>
      <c r="W833" s="170"/>
      <c r="X833" s="174">
        <v>10630.782528797192</v>
      </c>
      <c r="Y833" s="175">
        <v>3.9481075226242383E-2</v>
      </c>
      <c r="Z833" s="175"/>
      <c r="AA833" s="175"/>
      <c r="AB833" s="175"/>
      <c r="AC833" s="170">
        <f t="shared" si="2462"/>
        <v>136864.07592327817</v>
      </c>
      <c r="AD833" s="175"/>
      <c r="AE833" s="170"/>
      <c r="AF833" s="170"/>
      <c r="AG833" s="174"/>
      <c r="AH833" s="175"/>
      <c r="AI833" s="175"/>
      <c r="AJ833" s="174"/>
      <c r="AK833" s="174"/>
      <c r="AL833" s="120"/>
      <c r="AM833" s="120"/>
      <c r="AN833" s="120"/>
      <c r="AO833" s="120"/>
      <c r="AP833" s="120"/>
      <c r="AQ833" s="175"/>
      <c r="AR833" s="120"/>
      <c r="AS833" s="120"/>
      <c r="AT833" s="120"/>
      <c r="AU833" s="120"/>
      <c r="AV833" s="120"/>
      <c r="AW833" s="120"/>
      <c r="AX833" s="120"/>
      <c r="AY833" s="120"/>
      <c r="AZ833" s="118">
        <f>IFERROR(INDEX('Total Customers'!$F$7:$AB$91,MATCH($C833,'Total Customers'!$D$7:$D$91,0),MATCH($G833,'Total Customers'!$F$5:$AB$5,0)),"NA")</f>
        <v>3954719</v>
      </c>
      <c r="BA833" s="119">
        <f t="shared" si="2452"/>
        <v>4.0519747345786226E-3</v>
      </c>
      <c r="BB833" s="119"/>
      <c r="BC833" s="121"/>
      <c r="BD833" s="119"/>
      <c r="BE833" s="119"/>
      <c r="BF833" s="119"/>
      <c r="BG833" s="173"/>
      <c r="BH833" s="173"/>
      <c r="BI833" s="173"/>
      <c r="BJ833" s="173"/>
      <c r="BK833" s="173"/>
      <c r="BL833" s="173"/>
      <c r="BM833" s="173"/>
      <c r="BN833" s="173"/>
      <c r="BO833" s="173"/>
      <c r="BP833" s="173"/>
      <c r="BQ833" s="118"/>
      <c r="BR833" s="118"/>
      <c r="BS833" s="118">
        <f>INDEX('Dist. Plant Gas Additions'!$F$7:$AE$91,MATCH($C833,'Dist. Plant Gas Additions'!$D$7:$D$91,0),MATCH(Calculation!$G833,'Dist. Plant Gas Additions'!$F$5:$AE$5,0))</f>
        <v>171847</v>
      </c>
      <c r="BT833" s="118">
        <f>INDEX('Gen. Plant Additions'!$F$7:$AE$91,MATCH($C833,'Gen. Plant Additions'!$D$7:$D$91,0),MATCH(Calculation!$G833,'Gen. Plant Additions'!$F$5:$AE$5,0))</f>
        <v>1419</v>
      </c>
      <c r="BU833" s="118"/>
      <c r="BV833" s="118"/>
      <c r="BW833" s="118">
        <f>INDEX('Dist Plant Depreciation'!$E$7:$AD$94,MATCH($C833,'Dist Plant Depreciation'!$D$7:$D$94,0),MATCH(Calculation!$G833,'Dist Plant Depreciation'!$E$5:$AD$5,0))</f>
        <v>1863258</v>
      </c>
      <c r="BX833" s="118">
        <f>INDEX('Gen. Plant Depreciation'!$E$7:$AD$94,MATCH($C833,'Gen. Plant Depreciation'!$D$7:$D$94,0),MATCH(Calculation!$G833,'Gen. Plant Depreciation'!$E$5:$AD$5,0))</f>
        <v>24396</v>
      </c>
      <c r="BY833" s="118"/>
      <c r="BZ833" s="118"/>
      <c r="CA833" s="118"/>
      <c r="CB833" s="118"/>
      <c r="CC833" s="118"/>
      <c r="CD833" s="183"/>
      <c r="CE833" s="118">
        <f>INDEX('Gross Dx Plant'!$E$7:$AD$91,MATCH($C833,'Gross Dx Plant'!$D$7:$D$91,0),MATCH(Calculation!$G833,'Gross Dx Plant'!$E$5:$AD$5,0))</f>
        <v>4498999</v>
      </c>
      <c r="CF833" s="118">
        <f>INDEX('Gross Gen Plant'!$E$7:$AD$91,MATCH($C833,'Gross Gen Plant'!$D$7:$D$91,0),MATCH(Calculation!$G833,'Gross Gen Plant'!$E$5:$AD$5,0))</f>
        <v>69203</v>
      </c>
      <c r="CG833" s="118">
        <f t="shared" ref="CG833:CG874" si="2468">IF(OR(BW833="NA",BX833="NA"),"NA",(SUM(CE833:CF833)-SUM(BW833:BX833)))</f>
        <v>2680548</v>
      </c>
      <c r="CH833" s="118"/>
      <c r="CI833" s="121">
        <v>2003</v>
      </c>
      <c r="CJ833" s="118"/>
      <c r="CK833" s="118"/>
      <c r="CL833" s="118"/>
      <c r="CM833" s="183"/>
      <c r="CN833" s="118">
        <f t="shared" si="2453"/>
        <v>173266</v>
      </c>
      <c r="CO833" s="118">
        <f t="shared" si="2454"/>
        <v>469.25923430187072</v>
      </c>
      <c r="CP833" s="186">
        <v>0.97354497354497349</v>
      </c>
      <c r="CQ833" s="118">
        <f>+CQ828*CP833+CO829*CP832+CO830*CP831+CO831*CP830+CO832*CP829+CO833</f>
        <v>10630.782528797192</v>
      </c>
      <c r="CR833" s="119">
        <f t="shared" si="2455"/>
        <v>3.9481075226242383E-2</v>
      </c>
      <c r="CS833" s="119"/>
      <c r="CT833" s="177">
        <f t="shared" si="2456"/>
        <v>5.64835578704767E-3</v>
      </c>
      <c r="CU833" s="177">
        <f t="shared" si="2465"/>
        <v>5.475213525360418E-3</v>
      </c>
      <c r="CV833" s="119">
        <f>VLOOKUP($H833,RoR!$E:$F,2,FALSE)</f>
        <v>5.6666666666666671E-2</v>
      </c>
      <c r="CW833" s="177">
        <v>1.8855119140166909E-2</v>
      </c>
      <c r="CX833" s="177">
        <f t="shared" si="2463"/>
        <v>3.7811547526499761E-2</v>
      </c>
      <c r="CY833" s="177">
        <f t="shared" si="2466"/>
        <v>2.5426728083173207E-2</v>
      </c>
      <c r="CZ833" s="177">
        <f t="shared" si="2467"/>
        <v>2.1375012817671957E-2</v>
      </c>
      <c r="DA833" s="187">
        <f t="shared" si="2457"/>
        <v>0.84720249999999997</v>
      </c>
      <c r="DB833" s="188">
        <f t="shared" si="2458"/>
        <v>0.90497737556561086</v>
      </c>
      <c r="DC833" s="188">
        <f t="shared" si="2459"/>
        <v>0.5338235294117647</v>
      </c>
      <c r="DD833" s="188">
        <f t="shared" si="2460"/>
        <v>0.88972433127405692</v>
      </c>
      <c r="DE833" s="188">
        <f t="shared" si="2461"/>
        <v>0.42982423775949252</v>
      </c>
      <c r="DF833" s="189">
        <f>INDEX('State Tax Lookup'!$D$7:$Z$91,MATCH(Calculation!$C833,'State Tax Lookup'!$B$7:$B$91,0),MATCH($H833,'State Tax Lookup'!$D$6:$Z$6,0))</f>
        <v>0.40745999999999999</v>
      </c>
      <c r="DG833" s="189">
        <v>0.375</v>
      </c>
      <c r="DH833" s="190">
        <f t="shared" si="2464"/>
        <v>13.392777340944633</v>
      </c>
      <c r="DI833" s="190"/>
      <c r="DJ833" s="177"/>
      <c r="DK833" s="189">
        <f>VLOOKUP($H833,RoR!$E:$F,2,FALSE)</f>
        <v>5.6666666666666671E-2</v>
      </c>
      <c r="DL833" s="191">
        <f>HLOOKUP($H833,'GDP-PI'!$D$8:$CQ$11,3,FALSE)</f>
        <v>1.8855119140166909E-2</v>
      </c>
      <c r="DM833" s="189">
        <f>VLOOKUP(H833,'HW Dx Data'!$E:$F,2,FALSE)</f>
        <v>369.23301095560191</v>
      </c>
      <c r="DN833" s="183">
        <f>VLOOKUP(H833,'ECI - Input Price'!$G$17:$H$37,2,FALSE)</f>
        <v>92.625</v>
      </c>
      <c r="DO833" s="177">
        <f t="shared" ref="DO833" si="2469">LN(DN833/DN832)</f>
        <v>3.6837590135738785E-2</v>
      </c>
      <c r="DP833" s="183">
        <f>HLOOKUP(H833,'GDP-PI'!$8:$9,2,FALSE)</f>
        <v>82.566999999999993</v>
      </c>
      <c r="DQ833" s="177">
        <f t="shared" ref="DQ833" si="2470">LN(DP833/DP832)</f>
        <v>1.8679564681853753E-2</v>
      </c>
    </row>
    <row r="834" spans="1:121" s="167" customFormat="1" ht="21" x14ac:dyDescent="0.35">
      <c r="A834" s="167" t="s">
        <v>85</v>
      </c>
      <c r="B834" s="168" t="s">
        <v>85</v>
      </c>
      <c r="C834" s="168">
        <v>4004218</v>
      </c>
      <c r="D834" s="168" t="s">
        <v>146</v>
      </c>
      <c r="E834" s="168"/>
      <c r="F834" s="168"/>
      <c r="G834" s="168" t="s">
        <v>10</v>
      </c>
      <c r="H834" s="169">
        <v>2004</v>
      </c>
      <c r="I834" s="170"/>
      <c r="J834" s="166">
        <f>IFERROR(INDEX('Labor Expenditures'!$F$7:$X$91,MATCH($C834,'Labor Expenditures'!$D$7:$D$91,0),MATCH($G834,'Labor Expenditures'!$F$5:$X$5,0)),"NA")</f>
        <v>172696.34960420371</v>
      </c>
      <c r="K834" s="166">
        <f t="shared" ref="K834:K851" si="2471">+J834/DN834</f>
        <v>1795.6469935451387</v>
      </c>
      <c r="L834" s="172"/>
      <c r="M834" s="172"/>
      <c r="N834" s="196"/>
      <c r="O834" s="172"/>
      <c r="P834" s="166">
        <f>IFERROR(INDEX('Non-Labor Expenditures'!$F$7:$AB$91,MATCH($C834,'Non-Labor Expenditures'!$D$7:$D$91,0),MATCH($G834,'Non-Labor Expenditures'!$F$5:$AB$5,0)),"NA")</f>
        <v>250096.56945572305</v>
      </c>
      <c r="Q834" s="166">
        <f t="shared" ref="Q834:Q851" si="2472">+P834/DP834</f>
        <v>2950.0173329840645</v>
      </c>
      <c r="R834" s="166"/>
      <c r="S834" s="166"/>
      <c r="T834" s="166"/>
      <c r="U834" s="166"/>
      <c r="V834" s="166">
        <f t="shared" si="2451"/>
        <v>157931.1310550863</v>
      </c>
      <c r="W834" s="170"/>
      <c r="X834" s="174">
        <v>10982.808134453637</v>
      </c>
      <c r="Y834" s="175">
        <v>3.2577348562050093E-2</v>
      </c>
      <c r="Z834" s="175"/>
      <c r="AA834" s="175"/>
      <c r="AB834" s="175"/>
      <c r="AC834" s="170">
        <f t="shared" si="2462"/>
        <v>580724.05011501303</v>
      </c>
      <c r="AD834" s="175"/>
      <c r="AE834" s="170"/>
      <c r="AF834" s="170"/>
      <c r="AG834" s="174"/>
      <c r="AH834" s="175"/>
      <c r="AI834" s="175"/>
      <c r="AJ834" s="174"/>
      <c r="AK834" s="174"/>
      <c r="AL834" s="120">
        <f t="shared" ref="AL834:AL851" si="2473">+J834/AC834</f>
        <v>0.29738108757507292</v>
      </c>
      <c r="AM834" s="120">
        <f t="shared" ref="AM834:AM851" si="2474">+P834/AC834</f>
        <v>0.43066335793427385</v>
      </c>
      <c r="AN834" s="120">
        <f t="shared" ref="AN834:AN851" si="2475">+V834/AC834</f>
        <v>0.27195555449065328</v>
      </c>
      <c r="AO834" s="120"/>
      <c r="AP834" s="120"/>
      <c r="AQ834" s="175"/>
      <c r="AR834" s="120"/>
      <c r="AS834" s="120"/>
      <c r="AT834" s="120"/>
      <c r="AU834" s="120"/>
      <c r="AV834" s="120"/>
      <c r="AW834" s="120"/>
      <c r="AX834" s="120"/>
      <c r="AY834" s="120"/>
      <c r="AZ834" s="118">
        <f>IFERROR(INDEX('Total Customers'!$F$7:$AB$91,MATCH($C834,'Total Customers'!$D$7:$D$91,0),MATCH($G834,'Total Customers'!$F$5:$AB$5,0)),"NA")</f>
        <v>4030373</v>
      </c>
      <c r="BA834" s="119">
        <f t="shared" si="2452"/>
        <v>1.8949378116012383E-2</v>
      </c>
      <c r="BB834" s="119"/>
      <c r="BC834" s="121"/>
      <c r="BD834" s="119"/>
      <c r="BE834" s="119"/>
      <c r="BF834" s="119"/>
      <c r="BG834" s="173"/>
      <c r="BH834" s="173"/>
      <c r="BI834" s="173"/>
      <c r="BJ834" s="173"/>
      <c r="BK834" s="173"/>
      <c r="BL834" s="173"/>
      <c r="BM834" s="173"/>
      <c r="BN834" s="173"/>
      <c r="BO834" s="173"/>
      <c r="BP834" s="173"/>
      <c r="BQ834" s="118"/>
      <c r="BR834" s="118"/>
      <c r="BS834" s="118">
        <f>INDEX('Dist. Plant Gas Additions'!$F$7:$AE$91,MATCH($C834,'Dist. Plant Gas Additions'!$D$7:$D$91,0),MATCH(Calculation!$G834,'Dist. Plant Gas Additions'!$F$5:$AE$5,0))</f>
        <v>170384</v>
      </c>
      <c r="BT834" s="118">
        <f>INDEX('Gen. Plant Additions'!$F$7:$AE$91,MATCH($C834,'Gen. Plant Additions'!$D$7:$D$91,0),MATCH(Calculation!$G834,'Gen. Plant Additions'!$F$5:$AE$5,0))</f>
        <v>1351</v>
      </c>
      <c r="BU834" s="118"/>
      <c r="BV834" s="118"/>
      <c r="BW834" s="118">
        <f>INDEX('Dist Plant Depreciation'!$E$7:$AD$94,MATCH($C834,'Dist Plant Depreciation'!$D$7:$D$94,0),MATCH(Calculation!$G834,'Dist Plant Depreciation'!$E$5:$AD$5,0))</f>
        <v>2860618</v>
      </c>
      <c r="BX834" s="118">
        <f>INDEX('Gen. Plant Depreciation'!$E$7:$AD$94,MATCH($C834,'Gen. Plant Depreciation'!$D$7:$D$94,0),MATCH(Calculation!$G834,'Gen. Plant Depreciation'!$E$5:$AD$5,0))</f>
        <v>25631</v>
      </c>
      <c r="BY834" s="118"/>
      <c r="BZ834" s="118"/>
      <c r="CA834" s="118"/>
      <c r="CB834" s="118"/>
      <c r="CC834" s="118"/>
      <c r="CD834" s="183"/>
      <c r="CE834" s="118">
        <f>INDEX('Gross Dx Plant'!$E$7:$AD$91,MATCH($C834,'Gross Dx Plant'!$D$7:$D$91,0),MATCH(Calculation!$G834,'Gross Dx Plant'!$E$5:$AD$5,0))</f>
        <v>4634484</v>
      </c>
      <c r="CF834" s="118">
        <f>INDEX('Gross Gen Plant'!$E$7:$AD$91,MATCH($C834,'Gross Gen Plant'!$D$7:$D$91,0),MATCH(Calculation!$G834,'Gross Gen Plant'!$E$5:$AD$5,0))</f>
        <v>68490</v>
      </c>
      <c r="CG834" s="118">
        <f t="shared" si="2468"/>
        <v>1816725</v>
      </c>
      <c r="CH834" s="118"/>
      <c r="CI834" s="121">
        <v>2004</v>
      </c>
      <c r="CJ834" s="118"/>
      <c r="CK834" s="118"/>
      <c r="CL834" s="118"/>
      <c r="CM834" s="183"/>
      <c r="CN834" s="118">
        <f t="shared" si="2453"/>
        <v>171735</v>
      </c>
      <c r="CO834" s="118">
        <f t="shared" si="2454"/>
        <v>413.93179538815554</v>
      </c>
      <c r="CP834" s="186">
        <v>0.967741935483871</v>
      </c>
      <c r="CQ834" s="118">
        <f>+CQ828*CP834+CO829*CP833+CO830*CP832+CO831*CP831+CO832*CP830+CO833*CP829+CO834</f>
        <v>10982.808134453637</v>
      </c>
      <c r="CR834" s="119">
        <f t="shared" si="2455"/>
        <v>3.2577348562050093E-2</v>
      </c>
      <c r="CS834" s="119"/>
      <c r="CT834" s="177">
        <f t="shared" si="2456"/>
        <v>5.8232956571180041E-3</v>
      </c>
      <c r="CU834" s="177">
        <f t="shared" si="2465"/>
        <v>5.7231538637968907E-3</v>
      </c>
      <c r="CV834" s="119">
        <f>VLOOKUP($H834,RoR!$E:$F,2,FALSE)</f>
        <v>5.6283333333333331E-2</v>
      </c>
      <c r="CW834" s="177">
        <v>2.6778252812867276E-2</v>
      </c>
      <c r="CX834" s="177">
        <f t="shared" si="2463"/>
        <v>2.9505080520466055E-2</v>
      </c>
      <c r="CY834" s="177">
        <f t="shared" si="2466"/>
        <v>2.5178787744736735E-2</v>
      </c>
      <c r="CZ834" s="177">
        <f t="shared" si="2467"/>
        <v>5.5940039414565046E-2</v>
      </c>
      <c r="DA834" s="187">
        <f t="shared" si="2457"/>
        <v>0.84720249999999997</v>
      </c>
      <c r="DB834" s="188">
        <f t="shared" si="2458"/>
        <v>0.91114097628755619</v>
      </c>
      <c r="DC834" s="188">
        <f t="shared" si="2459"/>
        <v>0.53081877405981637</v>
      </c>
      <c r="DD834" s="188">
        <f t="shared" si="2460"/>
        <v>0.88811215519385678</v>
      </c>
      <c r="DE834" s="188">
        <f t="shared" si="2461"/>
        <v>0.42953609753547711</v>
      </c>
      <c r="DF834" s="189">
        <f>INDEX('State Tax Lookup'!$D$7:$Z$91,MATCH(Calculation!$C834,'State Tax Lookup'!$B$7:$B$91,0),MATCH($H834,'State Tax Lookup'!$D$6:$Z$6,0))</f>
        <v>0.40745999999999999</v>
      </c>
      <c r="DG834" s="189">
        <v>0.375</v>
      </c>
      <c r="DH834" s="190">
        <f t="shared" si="2464"/>
        <v>14.856021240889334</v>
      </c>
      <c r="DI834" s="190"/>
      <c r="DJ834" s="177"/>
      <c r="DK834" s="189">
        <f>VLOOKUP($H834,RoR!$E:$F,2,FALSE)</f>
        <v>5.6283333333333331E-2</v>
      </c>
      <c r="DL834" s="191">
        <f>HLOOKUP($H834,'GDP-PI'!$D$8:$CQ$11,3,FALSE)</f>
        <v>2.6778252812867276E-2</v>
      </c>
      <c r="DM834" s="189">
        <f>VLOOKUP(H834,'HW Dx Data'!$E:$F,2,FALSE)</f>
        <v>414.88719135228365</v>
      </c>
      <c r="DN834" s="183">
        <f>VLOOKUP(H834,'ECI - Input Price'!$G$17:$H$37,2,FALSE)</f>
        <v>96.174999999999997</v>
      </c>
      <c r="DO834" s="177">
        <f t="shared" ref="DO834" si="2476">LN(DN834/DN833)</f>
        <v>3.7610365022107912E-2</v>
      </c>
      <c r="DP834" s="183">
        <f>HLOOKUP(H834,'GDP-PI'!$8:$9,2,FALSE)</f>
        <v>84.778000000000006</v>
      </c>
      <c r="DQ834" s="177">
        <f t="shared" ref="DQ834" si="2477">LN(DP834/DP833)</f>
        <v>2.6425990216022755E-2</v>
      </c>
    </row>
    <row r="835" spans="1:121" s="167" customFormat="1" ht="21" x14ac:dyDescent="0.35">
      <c r="A835" s="167" t="s">
        <v>85</v>
      </c>
      <c r="B835" s="168" t="s">
        <v>85</v>
      </c>
      <c r="C835" s="168">
        <v>4004218</v>
      </c>
      <c r="D835" s="168" t="s">
        <v>146</v>
      </c>
      <c r="E835" s="168"/>
      <c r="F835" s="168"/>
      <c r="G835" s="168" t="s">
        <v>11</v>
      </c>
      <c r="H835" s="169">
        <v>2005</v>
      </c>
      <c r="I835" s="170"/>
      <c r="J835" s="166">
        <f>IFERROR(INDEX('Labor Expenditures'!$F$7:$X$91,MATCH($C835,'Labor Expenditures'!$D$7:$D$91,0),MATCH($G835,'Labor Expenditures'!$F$5:$X$5,0)),"NA")</f>
        <v>215708.0005698051</v>
      </c>
      <c r="K835" s="166">
        <f t="shared" si="2471"/>
        <v>2175.5723708502783</v>
      </c>
      <c r="L835" s="172">
        <f t="shared" ref="L835:L851" si="2478">LN(K835/K834)</f>
        <v>0.1919263898489838</v>
      </c>
      <c r="M835" s="172"/>
      <c r="N835" s="196"/>
      <c r="O835" s="172"/>
      <c r="P835" s="166">
        <f>IFERROR(INDEX('Non-Labor Expenditures'!$F$7:$AB$91,MATCH($C835,'Non-Labor Expenditures'!$D$7:$D$91,0),MATCH($G835,'Non-Labor Expenditures'!$F$5:$AB$5,0)),"NA")</f>
        <v>312385.47352218168</v>
      </c>
      <c r="Q835" s="166">
        <f t="shared" si="2472"/>
        <v>3573.9182619490625</v>
      </c>
      <c r="R835" s="172">
        <f>LN(Q835/Q834)</f>
        <v>0.19185150036569643</v>
      </c>
      <c r="S835" s="172"/>
      <c r="T835" s="172"/>
      <c r="U835" s="172"/>
      <c r="V835" s="166">
        <f t="shared" si="2451"/>
        <v>183308.98802206604</v>
      </c>
      <c r="W835" s="170"/>
      <c r="X835" s="174">
        <v>11320.763889037349</v>
      </c>
      <c r="Y835" s="175">
        <v>3.0307398528814328E-2</v>
      </c>
      <c r="Z835" s="175"/>
      <c r="AA835" s="175"/>
      <c r="AB835" s="175"/>
      <c r="AC835" s="170">
        <f t="shared" si="2462"/>
        <v>711402.46211405285</v>
      </c>
      <c r="AD835" s="175">
        <f>LN(AC835/AC834)</f>
        <v>0.20296263319881166</v>
      </c>
      <c r="AE835" s="170"/>
      <c r="AF835" s="170"/>
      <c r="AG835" s="121"/>
      <c r="AH835" s="119"/>
      <c r="AI835" s="119"/>
      <c r="AJ835" s="121"/>
      <c r="AK835" s="121"/>
      <c r="AL835" s="120">
        <f t="shared" si="2473"/>
        <v>0.30321514481239248</v>
      </c>
      <c r="AM835" s="120">
        <f t="shared" si="2474"/>
        <v>0.43911216246549861</v>
      </c>
      <c r="AN835" s="120">
        <f t="shared" si="2475"/>
        <v>0.25767269272210885</v>
      </c>
      <c r="AO835" s="120">
        <f t="shared" ref="AO835:AO851" si="2479">+(((AL835+AL834)/2)*L835+((AM834+AM835)/2)*R835+((AN834+AN835)/2)*Y835)</f>
        <v>0.14909482978473643</v>
      </c>
      <c r="AP835" s="173">
        <v>100</v>
      </c>
      <c r="AQ835" s="175"/>
      <c r="AR835" s="120"/>
      <c r="AS835" s="120"/>
      <c r="AT835" s="120"/>
      <c r="AU835" s="120"/>
      <c r="AV835" s="120"/>
      <c r="AW835" s="120"/>
      <c r="AX835" s="120"/>
      <c r="AY835" s="120"/>
      <c r="AZ835" s="118">
        <f>IFERROR(INDEX('Total Customers'!$F$7:$AB$91,MATCH($C835,'Total Customers'!$D$7:$D$91,0),MATCH($G835,'Total Customers'!$F$5:$AB$5,0)),"NA")</f>
        <v>4128646</v>
      </c>
      <c r="BA835" s="119">
        <f t="shared" si="2452"/>
        <v>2.4090580676858746E-2</v>
      </c>
      <c r="BB835" s="119"/>
      <c r="BC835" s="121"/>
      <c r="BD835" s="119"/>
      <c r="BE835" s="119"/>
      <c r="BF835" s="119"/>
      <c r="BG835" s="173"/>
      <c r="BH835" s="173"/>
      <c r="BI835" s="173"/>
      <c r="BJ835" s="173"/>
      <c r="BK835" s="173"/>
      <c r="BL835" s="173"/>
      <c r="BM835" s="173"/>
      <c r="BN835" s="173"/>
      <c r="BO835" s="173"/>
      <c r="BP835" s="173"/>
      <c r="BQ835" s="118"/>
      <c r="BR835" s="118"/>
      <c r="BS835" s="118">
        <f>INDEX('Dist. Plant Gas Additions'!$F$7:$AE$91,MATCH($C835,'Dist. Plant Gas Additions'!$D$7:$D$91,0),MATCH(Calculation!$G835,'Dist. Plant Gas Additions'!$F$5:$AE$5,0))</f>
        <v>188063</v>
      </c>
      <c r="BT835" s="118">
        <f>INDEX('Gen. Plant Additions'!$F$7:$AE$91,MATCH($C835,'Gen. Plant Additions'!$D$7:$D$91,0),MATCH(Calculation!$G835,'Gen. Plant Additions'!$F$5:$AE$5,0))</f>
        <v>1464</v>
      </c>
      <c r="BU835" s="118"/>
      <c r="BV835" s="118"/>
      <c r="BW835" s="118">
        <f>INDEX('Dist Plant Depreciation'!$E$7:$AD$94,MATCH($C835,'Dist Plant Depreciation'!$D$7:$D$94,0),MATCH(Calculation!$G835,'Dist Plant Depreciation'!$E$5:$AD$5,0))</f>
        <v>3005126</v>
      </c>
      <c r="BX835" s="118">
        <f>INDEX('Gen. Plant Depreciation'!$E$7:$AD$94,MATCH($C835,'Gen. Plant Depreciation'!$D$7:$D$94,0),MATCH(Calculation!$G835,'Gen. Plant Depreciation'!$E$5:$AD$5,0))</f>
        <v>26337</v>
      </c>
      <c r="BY835" s="118"/>
      <c r="BZ835" s="118"/>
      <c r="CA835" s="118"/>
      <c r="CB835" s="118"/>
      <c r="CC835" s="118"/>
      <c r="CD835" s="183"/>
      <c r="CE835" s="118">
        <f>INDEX('Gross Dx Plant'!$E$7:$AD$91,MATCH($C835,'Gross Dx Plant'!$D$7:$D$91,0),MATCH(Calculation!$G835,'Gross Dx Plant'!$E$5:$AD$5,0))</f>
        <v>4837174</v>
      </c>
      <c r="CF835" s="118">
        <f>INDEX('Gross Gen Plant'!$E$7:$AD$91,MATCH($C835,'Gross Gen Plant'!$D$7:$D$91,0),MATCH(Calculation!$G835,'Gross Gen Plant'!$E$5:$AD$5,0))</f>
        <v>68263</v>
      </c>
      <c r="CG835" s="118">
        <f t="shared" si="2468"/>
        <v>1873974</v>
      </c>
      <c r="CH835" s="118"/>
      <c r="CI835" s="121">
        <v>2005</v>
      </c>
      <c r="CJ835" s="118"/>
      <c r="CK835" s="118"/>
      <c r="CL835" s="118"/>
      <c r="CM835" s="183"/>
      <c r="CN835" s="118">
        <f t="shared" si="2453"/>
        <v>189527</v>
      </c>
      <c r="CO835" s="118">
        <f t="shared" si="2454"/>
        <v>403.93206233606315</v>
      </c>
      <c r="CP835" s="186">
        <v>0.96174863387978138</v>
      </c>
      <c r="CQ835" s="118">
        <f>+CQ828*CP835+CO829*CP834+CO830*CP833+CO831*CP832+CO832*CP831+CO833*CP830+CO834*CP829+CO835</f>
        <v>11320.763889037349</v>
      </c>
      <c r="CR835" s="119">
        <f t="shared" si="2455"/>
        <v>3.0307398528814328E-2</v>
      </c>
      <c r="CS835" s="119"/>
      <c r="CT835" s="177">
        <f t="shared" si="2456"/>
        <v>6.0072348478327382E-3</v>
      </c>
      <c r="CU835" s="177">
        <f t="shared" si="2465"/>
        <v>5.8262954306661377E-3</v>
      </c>
      <c r="CV835" s="119">
        <f>VLOOKUP($H835,RoR!$E:$F,2,FALSE)</f>
        <v>5.2350000000000001E-2</v>
      </c>
      <c r="CW835" s="177">
        <v>3.1010403642454332E-2</v>
      </c>
      <c r="CX835" s="177">
        <f t="shared" si="2463"/>
        <v>2.1339596357545669E-2</v>
      </c>
      <c r="CY835" s="177">
        <f t="shared" si="2466"/>
        <v>2.5075646177867488E-2</v>
      </c>
      <c r="CZ835" s="177">
        <f t="shared" si="2467"/>
        <v>9.2129610649277341E-2</v>
      </c>
      <c r="DA835" s="187">
        <f t="shared" si="2457"/>
        <v>0.84720249999999997</v>
      </c>
      <c r="DB835" s="188">
        <f t="shared" si="2458"/>
        <v>0.97959983346802826</v>
      </c>
      <c r="DC835" s="188">
        <f t="shared" si="2459"/>
        <v>0.49744508118433622</v>
      </c>
      <c r="DD835" s="188">
        <f t="shared" si="2460"/>
        <v>0.87010519444335932</v>
      </c>
      <c r="DE835" s="188">
        <f t="shared" si="2461"/>
        <v>0.42399975420741998</v>
      </c>
      <c r="DF835" s="189">
        <f>INDEX('State Tax Lookup'!$D$7:$Z$91,MATCH(Calculation!$C835,'State Tax Lookup'!$B$7:$B$91,0),MATCH($H835,'State Tax Lookup'!$D$6:$Z$6,0))</f>
        <v>0.40745999999999999</v>
      </c>
      <c r="DG835" s="189">
        <v>0.375</v>
      </c>
      <c r="DH835" s="190">
        <f t="shared" si="2464"/>
        <v>16.690539047751937</v>
      </c>
      <c r="DI835" s="190"/>
      <c r="DJ835" s="177"/>
      <c r="DK835" s="189">
        <f>VLOOKUP($H835,RoR!$E:$F,2,FALSE)</f>
        <v>5.2350000000000001E-2</v>
      </c>
      <c r="DL835" s="191">
        <f>HLOOKUP($H835,'GDP-PI'!$D$8:$CQ$11,3,FALSE)</f>
        <v>3.1010403642454332E-2</v>
      </c>
      <c r="DM835" s="189">
        <f>VLOOKUP(H835,'HW Dx Data'!$E:$F,2,FALSE)</f>
        <v>469.20514034936258</v>
      </c>
      <c r="DN835" s="183">
        <f>VLOOKUP(H835,'ECI - Input Price'!$G$17:$H$37,2,FALSE)</f>
        <v>99.15</v>
      </c>
      <c r="DO835" s="177">
        <f t="shared" ref="DO835" si="2480">LN(DN835/DN834)</f>
        <v>3.046440632744625E-2</v>
      </c>
      <c r="DP835" s="183">
        <f>HLOOKUP(H835,'GDP-PI'!$8:$9,2,FALSE)</f>
        <v>87.406999999999996</v>
      </c>
      <c r="DQ835" s="177">
        <f t="shared" ref="DQ835" si="2481">LN(DP835/DP834)</f>
        <v>3.0539295810733648E-2</v>
      </c>
    </row>
    <row r="836" spans="1:121" s="167" customFormat="1" ht="21" x14ac:dyDescent="0.35">
      <c r="A836" s="167" t="s">
        <v>85</v>
      </c>
      <c r="B836" s="168" t="s">
        <v>85</v>
      </c>
      <c r="C836" s="168">
        <v>4004218</v>
      </c>
      <c r="D836" s="168" t="s">
        <v>146</v>
      </c>
      <c r="E836" s="168"/>
      <c r="F836" s="168"/>
      <c r="G836" s="168" t="s">
        <v>12</v>
      </c>
      <c r="H836" s="169">
        <v>2006</v>
      </c>
      <c r="I836" s="170"/>
      <c r="J836" s="166">
        <f>IFERROR(INDEX('Labor Expenditures'!$F$7:$X$91,MATCH($C836,'Labor Expenditures'!$D$7:$D$91,0),MATCH($G836,'Labor Expenditures'!$F$5:$X$5,0)),"NA")</f>
        <v>195708.5494301529</v>
      </c>
      <c r="K836" s="166">
        <f t="shared" si="2471"/>
        <v>1917.7711850088476</v>
      </c>
      <c r="L836" s="172">
        <f t="shared" si="2478"/>
        <v>-0.12612811833150883</v>
      </c>
      <c r="M836" s="172">
        <f t="shared" ref="M836:M851" si="2482">+L836*AR836</f>
        <v>-1.052260601275298E-2</v>
      </c>
      <c r="N836" s="196"/>
      <c r="O836" s="172"/>
      <c r="P836" s="166">
        <f>IFERROR(INDEX('Non-Labor Expenditures'!$F$7:$AB$91,MATCH($C836,'Non-Labor Expenditures'!$D$7:$D$91,0),MATCH($G836,'Non-Labor Expenditures'!$F$5:$AB$5,0)),"NA")</f>
        <v>283422.53288974916</v>
      </c>
      <c r="Q836" s="166">
        <f t="shared" si="2472"/>
        <v>3146.5520892793611</v>
      </c>
      <c r="R836" s="172">
        <f t="shared" ref="R836:R851" si="2483">LN(Q836/Q835)</f>
        <v>-0.12735526776691453</v>
      </c>
      <c r="S836" s="172">
        <f>+R836*AR836</f>
        <v>-1.0624984532296156E-2</v>
      </c>
      <c r="T836" s="172"/>
      <c r="U836" s="172"/>
      <c r="V836" s="166">
        <f t="shared" si="2451"/>
        <v>184499.47013043784</v>
      </c>
      <c r="W836" s="170"/>
      <c r="X836" s="174">
        <v>11689.916162870533</v>
      </c>
      <c r="Y836" s="175">
        <v>3.2088051899988763E-2</v>
      </c>
      <c r="Z836" s="175">
        <f>+Y836*AR836</f>
        <v>2.6770392861399017E-3</v>
      </c>
      <c r="AA836" s="175"/>
      <c r="AB836" s="175"/>
      <c r="AC836" s="170">
        <f t="shared" si="2462"/>
        <v>663630.55245033989</v>
      </c>
      <c r="AD836" s="175">
        <f t="shared" ref="AD836:AD851" si="2484">LN(AC836/AC835)</f>
        <v>-6.9512722732151672E-2</v>
      </c>
      <c r="AE836" s="170"/>
      <c r="AF836" s="170"/>
      <c r="AG836" s="121">
        <f t="shared" ref="AG836:AG851" si="2485">+(AC836*1000)/AZ836</f>
        <v>156.10458253834216</v>
      </c>
      <c r="AH836" s="119">
        <f>+AZ836/$BB$44</f>
        <v>0.12092912038833477</v>
      </c>
      <c r="AI836" s="119"/>
      <c r="AJ836" s="176">
        <f>+AH836*AG836</f>
        <v>18.877589854949921</v>
      </c>
      <c r="AK836" s="176">
        <f>+AI836*AG836</f>
        <v>0</v>
      </c>
      <c r="AL836" s="120">
        <f t="shared" si="2473"/>
        <v>0.29490587602926549</v>
      </c>
      <c r="AM836" s="120">
        <f t="shared" si="2474"/>
        <v>0.42707878931019821</v>
      </c>
      <c r="AN836" s="120">
        <f t="shared" si="2475"/>
        <v>0.2780153346605363</v>
      </c>
      <c r="AO836" s="120">
        <f t="shared" si="2479"/>
        <v>-8.4282337134547497E-2</v>
      </c>
      <c r="AP836" s="173">
        <f>+AP835*EXP(AO836)</f>
        <v>91.917170315130676</v>
      </c>
      <c r="AQ836" s="175">
        <f>LN(AP836/AP835)</f>
        <v>-8.4282337134547441E-2</v>
      </c>
      <c r="AR836" s="177">
        <f>+AC836/$AE$44</f>
        <v>8.3427915614311232E-2</v>
      </c>
      <c r="AS836" s="177">
        <f>+AR836*AQ836</f>
        <v>-7.0314997102379536E-3</v>
      </c>
      <c r="AT836" s="177"/>
      <c r="AU836" s="177"/>
      <c r="AV836" s="177"/>
      <c r="AW836" s="190"/>
      <c r="AX836" s="120"/>
      <c r="AY836" s="120"/>
      <c r="AZ836" s="118">
        <f>IFERROR(INDEX('Total Customers'!$F$7:$AB$91,MATCH($C836,'Total Customers'!$D$7:$D$91,0),MATCH($G836,'Total Customers'!$F$5:$AB$5,0)),"NA")</f>
        <v>4251192</v>
      </c>
      <c r="BA836" s="119">
        <f t="shared" si="2452"/>
        <v>2.9249906016348939E-2</v>
      </c>
      <c r="BB836" s="119"/>
      <c r="BC836" s="121"/>
      <c r="BD836" s="119"/>
      <c r="BE836" s="119"/>
      <c r="BF836" s="119"/>
      <c r="BG836" s="173"/>
      <c r="BH836" s="173"/>
      <c r="BI836" s="173"/>
      <c r="BJ836" s="173"/>
      <c r="BK836" s="173"/>
      <c r="BL836" s="173"/>
      <c r="BM836" s="173"/>
      <c r="BN836" s="173"/>
      <c r="BO836" s="173"/>
      <c r="BP836" s="173"/>
      <c r="BQ836" s="118"/>
      <c r="BR836" s="118"/>
      <c r="BS836" s="118">
        <f>INDEX('Dist. Plant Gas Additions'!$F$7:$AE$91,MATCH($C836,'Dist. Plant Gas Additions'!$D$7:$D$91,0),MATCH(Calculation!$G836,'Dist. Plant Gas Additions'!$F$5:$AE$5,0))</f>
        <v>201139</v>
      </c>
      <c r="BT836" s="118">
        <f>INDEX('Gen. Plant Additions'!$F$7:$AE$91,MATCH($C836,'Gen. Plant Additions'!$D$7:$D$91,0),MATCH(Calculation!$G836,'Gen. Plant Additions'!$F$5:$AE$5,0))</f>
        <v>1421</v>
      </c>
      <c r="BU836" s="118"/>
      <c r="BV836" s="118"/>
      <c r="BW836" s="118">
        <f>INDEX('Dist Plant Depreciation'!$E$7:$AD$94,MATCH($C836,'Dist Plant Depreciation'!$D$7:$D$94,0),MATCH(Calculation!$G836,'Dist Plant Depreciation'!$E$5:$AD$5,0))</f>
        <v>3129244</v>
      </c>
      <c r="BX836" s="118">
        <f>INDEX('Gen. Plant Depreciation'!$E$7:$AD$94,MATCH($C836,'Gen. Plant Depreciation'!$D$7:$D$94,0),MATCH(Calculation!$G836,'Gen. Plant Depreciation'!$E$5:$AD$5,0))</f>
        <v>25795</v>
      </c>
      <c r="BY836" s="118"/>
      <c r="BZ836" s="118"/>
      <c r="CA836" s="118"/>
      <c r="CB836" s="118"/>
      <c r="CC836" s="118"/>
      <c r="CD836" s="183"/>
      <c r="CE836" s="118">
        <f>INDEX('Gross Dx Plant'!$E$7:$AD$91,MATCH($C836,'Gross Dx Plant'!$D$7:$D$91,0),MATCH(Calculation!$G836,'Gross Dx Plant'!$E$5:$AD$5,0))</f>
        <v>5027707</v>
      </c>
      <c r="CF836" s="118">
        <f>INDEX('Gross Gen Plant'!$E$7:$AD$91,MATCH($C836,'Gross Gen Plant'!$D$7:$D$91,0),MATCH(Calculation!$G836,'Gross Gen Plant'!$E$5:$AD$5,0))</f>
        <v>66757</v>
      </c>
      <c r="CG836" s="118">
        <f t="shared" si="2468"/>
        <v>1939425</v>
      </c>
      <c r="CH836" s="119" t="e">
        <f>SUM(#REF!)/15</f>
        <v>#REF!</v>
      </c>
      <c r="CI836" s="121">
        <v>2006</v>
      </c>
      <c r="CJ836" s="118"/>
      <c r="CK836" s="118"/>
      <c r="CL836" s="118"/>
      <c r="CM836" s="183"/>
      <c r="CN836" s="118">
        <f t="shared" si="2453"/>
        <v>202560</v>
      </c>
      <c r="CO836" s="118">
        <f t="shared" si="2454"/>
        <v>439.31098270914561</v>
      </c>
      <c r="CP836" s="186">
        <v>0.9555555555555556</v>
      </c>
      <c r="CQ836" s="118">
        <f>+CQ828*CP836+CO829*CP835+CO830*CP834+CO831*CP833+CO832*CP832+CO833*CP831+CO834*CP830+CO835*CP829+CO836</f>
        <v>11689.916162870533</v>
      </c>
      <c r="CR836" s="119">
        <f t="shared" si="2455"/>
        <v>3.2088051899988763E-2</v>
      </c>
      <c r="CS836" s="119"/>
      <c r="CT836" s="177">
        <f t="shared" si="2456"/>
        <v>6.1973475962961129E-3</v>
      </c>
      <c r="CU836" s="177">
        <f t="shared" si="2465"/>
        <v>6.0092927004156181E-3</v>
      </c>
      <c r="CV836" s="119">
        <f>VLOOKUP($H836,RoR!$E:$F,2,FALSE)</f>
        <v>5.5874999999999994E-2</v>
      </c>
      <c r="CW836" s="177">
        <v>3.0512430354548314E-2</v>
      </c>
      <c r="CX836" s="177">
        <f t="shared" si="2463"/>
        <v>2.536256964545168E-2</v>
      </c>
      <c r="CY836" s="177">
        <f t="shared" si="2466"/>
        <v>2.4892648908118008E-2</v>
      </c>
      <c r="CZ836" s="177">
        <f t="shared" si="2467"/>
        <v>7.9087823893859641E-2</v>
      </c>
      <c r="DA836" s="187">
        <f t="shared" si="2457"/>
        <v>0.84720249999999997</v>
      </c>
      <c r="DB836" s="188">
        <f t="shared" si="2458"/>
        <v>0.91779957551769631</v>
      </c>
      <c r="DC836" s="188">
        <f t="shared" si="2459"/>
        <v>0.52757270693512304</v>
      </c>
      <c r="DD836" s="188">
        <f t="shared" si="2460"/>
        <v>0.88636824549024895</v>
      </c>
      <c r="DE836" s="188">
        <f t="shared" si="2461"/>
        <v>0.42918482841932087</v>
      </c>
      <c r="DF836" s="189">
        <f>INDEX('State Tax Lookup'!$D$7:$Z$91,MATCH(Calculation!$C836,'State Tax Lookup'!$B$7:$B$91,0),MATCH($H836,'State Tax Lookup'!$D$6:$Z$6,0))</f>
        <v>0.40745999999999999</v>
      </c>
      <c r="DG836" s="189">
        <v>0.375</v>
      </c>
      <c r="DH836" s="190">
        <f t="shared" si="2464"/>
        <v>16.297439990697182</v>
      </c>
      <c r="DI836" s="190">
        <v>15.827861538909923</v>
      </c>
      <c r="DJ836" s="177"/>
      <c r="DK836" s="189">
        <f>VLOOKUP($H836,RoR!$E:$F,2,FALSE)</f>
        <v>5.5874999999999994E-2</v>
      </c>
      <c r="DL836" s="191">
        <f>HLOOKUP($H836,'GDP-PI'!$D$8:$CQ$11,3,FALSE)</f>
        <v>3.0512430354548314E-2</v>
      </c>
      <c r="DM836" s="189">
        <f>VLOOKUP(H836,'HW Dx Data'!$E:$F,2,FALSE)</f>
        <v>461.08567272971823</v>
      </c>
      <c r="DN836" s="183">
        <f>VLOOKUP(H836,'ECI - Input Price'!$G$17:$H$37,2,FALSE)</f>
        <v>102.05</v>
      </c>
      <c r="DO836" s="177">
        <f t="shared" ref="DO836" si="2486">LN(DN836/DN835)</f>
        <v>2.8829034290048662E-2</v>
      </c>
      <c r="DP836" s="183">
        <f>HLOOKUP(H836,'GDP-PI'!$8:$9,2,FALSE)</f>
        <v>90.073999999999998</v>
      </c>
      <c r="DQ836" s="177">
        <f t="shared" ref="DQ836" si="2487">LN(DP836/DP835)</f>
        <v>3.005618372545445E-2</v>
      </c>
    </row>
    <row r="837" spans="1:121" s="167" customFormat="1" ht="21" x14ac:dyDescent="0.35">
      <c r="A837" s="167" t="s">
        <v>85</v>
      </c>
      <c r="B837" s="168" t="s">
        <v>85</v>
      </c>
      <c r="C837" s="168">
        <v>4004218</v>
      </c>
      <c r="D837" s="168" t="s">
        <v>146</v>
      </c>
      <c r="E837" s="168"/>
      <c r="F837" s="168"/>
      <c r="G837" s="168" t="s">
        <v>13</v>
      </c>
      <c r="H837" s="169">
        <v>2007</v>
      </c>
      <c r="I837" s="170"/>
      <c r="J837" s="166">
        <f>IFERROR(INDEX('Labor Expenditures'!$F$7:$X$91,MATCH($C837,'Labor Expenditures'!$D$7:$D$91,0),MATCH($G837,'Labor Expenditures'!$F$5:$X$5,0)),"NA")</f>
        <v>196476.84044190843</v>
      </c>
      <c r="K837" s="166">
        <f t="shared" si="2471"/>
        <v>1867.2068466800515</v>
      </c>
      <c r="L837" s="172">
        <f t="shared" si="2478"/>
        <v>-2.672002124041856E-2</v>
      </c>
      <c r="M837" s="172">
        <f t="shared" si="2482"/>
        <v>-2.1802532688994705E-3</v>
      </c>
      <c r="N837" s="196"/>
      <c r="O837" s="172"/>
      <c r="P837" s="166">
        <f>IFERROR(INDEX('Non-Labor Expenditures'!$F$7:$AB$91,MATCH($C837,'Non-Labor Expenditures'!$D$7:$D$91,0),MATCH($G837,'Non-Labor Expenditures'!$F$5:$AB$5,0)),"NA")</f>
        <v>284535.1617717382</v>
      </c>
      <c r="Q837" s="166">
        <f t="shared" si="2472"/>
        <v>3076.1223136904387</v>
      </c>
      <c r="R837" s="172">
        <f t="shared" si="2483"/>
        <v>-2.2637463789676134E-2</v>
      </c>
      <c r="S837" s="172">
        <f t="shared" ref="S837:S851" si="2488">+R837*AR837</f>
        <v>-1.8471319308824641E-3</v>
      </c>
      <c r="T837" s="172"/>
      <c r="U837" s="172"/>
      <c r="V837" s="166">
        <f t="shared" si="2451"/>
        <v>204556.27788152514</v>
      </c>
      <c r="W837" s="170"/>
      <c r="X837" s="174">
        <v>12027.587969555045</v>
      </c>
      <c r="Y837" s="175">
        <v>2.8476404837663682E-2</v>
      </c>
      <c r="Z837" s="175">
        <f t="shared" ref="Z837:Z851" si="2489">+Y837*AR837</f>
        <v>2.3235675666269935E-3</v>
      </c>
      <c r="AA837" s="175"/>
      <c r="AB837" s="175"/>
      <c r="AC837" s="170">
        <f t="shared" si="2462"/>
        <v>685568.28009517177</v>
      </c>
      <c r="AD837" s="175">
        <f t="shared" si="2484"/>
        <v>3.2522502589651302E-2</v>
      </c>
      <c r="AE837" s="170"/>
      <c r="AF837" s="170"/>
      <c r="AG837" s="121">
        <f t="shared" si="2485"/>
        <v>159.24594395221189</v>
      </c>
      <c r="AH837" s="119">
        <f>+AZ837/$BB$45</f>
        <v>0.12154413132967454</v>
      </c>
      <c r="AI837" s="119"/>
      <c r="AJ837" s="176">
        <f t="shared" ref="AJ837:AJ851" si="2490">+AH837*AG837</f>
        <v>19.355409925445631</v>
      </c>
      <c r="AK837" s="176">
        <f t="shared" ref="AK837:AK851" si="2491">+AI837*AG837</f>
        <v>0</v>
      </c>
      <c r="AL837" s="120">
        <f t="shared" si="2473"/>
        <v>0.28658974772670809</v>
      </c>
      <c r="AM837" s="120">
        <f t="shared" si="2474"/>
        <v>0.41503548228958104</v>
      </c>
      <c r="AN837" s="120">
        <f t="shared" si="2475"/>
        <v>0.29837476998371087</v>
      </c>
      <c r="AO837" s="120">
        <f t="shared" si="2479"/>
        <v>-9.0936943919033165E-3</v>
      </c>
      <c r="AP837" s="173">
        <f>+AP836*EXP(AO837)</f>
        <v>91.0850927226506</v>
      </c>
      <c r="AQ837" s="175">
        <f>LN(AP837/AP836)</f>
        <v>-9.0936943919032939E-3</v>
      </c>
      <c r="AR837" s="177">
        <f>+AC837/$AE$45</f>
        <v>8.1596240110822518E-2</v>
      </c>
      <c r="AS837" s="177">
        <f t="shared" ref="AS837:AS851" si="2492">+AR837*AQ837</f>
        <v>-7.4201127109618131E-4</v>
      </c>
      <c r="AT837" s="177"/>
      <c r="AU837" s="177"/>
      <c r="AV837" s="177"/>
      <c r="AW837" s="190"/>
      <c r="AX837" s="120"/>
      <c r="AY837" s="120"/>
      <c r="AZ837" s="118">
        <f>IFERROR(INDEX('Total Customers'!$F$7:$AB$91,MATCH($C837,'Total Customers'!$D$7:$D$91,0),MATCH($G837,'Total Customers'!$F$5:$AB$5,0)),"NA")</f>
        <v>4305091</v>
      </c>
      <c r="BA837" s="119">
        <f t="shared" si="2452"/>
        <v>1.2598861667629359E-2</v>
      </c>
      <c r="BB837" s="119"/>
      <c r="BC837" s="121"/>
      <c r="BD837" s="119"/>
      <c r="BE837" s="119"/>
      <c r="BF837" s="119"/>
      <c r="BG837" s="173"/>
      <c r="BH837" s="173"/>
      <c r="BI837" s="173"/>
      <c r="BJ837" s="173"/>
      <c r="BK837" s="173"/>
      <c r="BL837" s="173"/>
      <c r="BM837" s="173"/>
      <c r="BN837" s="173"/>
      <c r="BO837" s="173"/>
      <c r="BP837" s="173"/>
      <c r="BQ837" s="118"/>
      <c r="BR837" s="118"/>
      <c r="BS837" s="118">
        <f>INDEX('Dist. Plant Gas Additions'!$F$7:$AE$91,MATCH($C837,'Dist. Plant Gas Additions'!$D$7:$D$91,0),MATCH(Calculation!$G837,'Dist. Plant Gas Additions'!$F$5:$AE$5,0))</f>
        <v>204236</v>
      </c>
      <c r="BT837" s="118">
        <f>INDEX('Gen. Plant Additions'!$F$7:$AE$91,MATCH($C837,'Gen. Plant Additions'!$D$7:$D$91,0),MATCH(Calculation!$G837,'Gen. Plant Additions'!$F$5:$AE$5,0))</f>
        <v>1128</v>
      </c>
      <c r="BU837" s="118"/>
      <c r="BV837" s="118"/>
      <c r="BW837" s="118">
        <f>INDEX('Dist Plant Depreciation'!$E$7:$AD$94,MATCH($C837,'Dist Plant Depreciation'!$D$7:$D$94,0),MATCH(Calculation!$G837,'Dist Plant Depreciation'!$E$5:$AD$5,0))</f>
        <v>3269324</v>
      </c>
      <c r="BX837" s="118">
        <f>INDEX('Gen. Plant Depreciation'!$E$7:$AD$94,MATCH($C837,'Gen. Plant Depreciation'!$D$7:$D$94,0),MATCH(Calculation!$G837,'Gen. Plant Depreciation'!$E$5:$AD$5,0))</f>
        <v>26046</v>
      </c>
      <c r="BY837" s="118"/>
      <c r="BZ837" s="118"/>
      <c r="CA837" s="118"/>
      <c r="CB837" s="118"/>
      <c r="CC837" s="118"/>
      <c r="CD837" s="183"/>
      <c r="CE837" s="118">
        <f>INDEX('Gross Dx Plant'!$E$7:$AD$91,MATCH($C837,'Gross Dx Plant'!$D$7:$D$91,0),MATCH(Calculation!$G837,'Gross Dx Plant'!$E$5:$AD$5,0))</f>
        <v>5217285</v>
      </c>
      <c r="CF837" s="118">
        <f>INDEX('Gross Gen Plant'!$E$7:$AD$91,MATCH($C837,'Gross Gen Plant'!$D$7:$D$91,0),MATCH(Calculation!$G837,'Gross Gen Plant'!$E$5:$AD$5,0))</f>
        <v>65781</v>
      </c>
      <c r="CG837" s="118">
        <f t="shared" si="2468"/>
        <v>1987696</v>
      </c>
      <c r="CH837" s="118"/>
      <c r="CI837" s="121">
        <v>2007</v>
      </c>
      <c r="CJ837" s="118"/>
      <c r="CK837" s="118"/>
      <c r="CL837" s="118"/>
      <c r="CM837" s="183"/>
      <c r="CN837" s="118">
        <f t="shared" si="2453"/>
        <v>205364</v>
      </c>
      <c r="CO837" s="118">
        <f t="shared" si="2454"/>
        <v>412.35903215139268</v>
      </c>
      <c r="CP837" s="186">
        <v>0.94915254237288138</v>
      </c>
      <c r="CQ837" s="118">
        <f>+CQ828*CP837+CO829*CP836+CO830*CP835+CO831*CP834+CO832*CP833+CO833*CP832+CO834*CP831+CO835*CP830+CO836*CP829+CO837</f>
        <v>12027.587969555045</v>
      </c>
      <c r="CR837" s="119">
        <f t="shared" si="2455"/>
        <v>2.8476404837663682E-2</v>
      </c>
      <c r="CS837" s="119"/>
      <c r="CT837" s="177">
        <f t="shared" si="2456"/>
        <v>6.3890300346295462E-3</v>
      </c>
      <c r="CU837" s="177">
        <f t="shared" si="2465"/>
        <v>6.1978708262527991E-3</v>
      </c>
      <c r="CV837" s="119">
        <f>VLOOKUP($H837,RoR!$E:$F,2,FALSE)</f>
        <v>5.5558333333333321E-2</v>
      </c>
      <c r="CW837" s="177">
        <v>2.691120634145272E-2</v>
      </c>
      <c r="CX837" s="177">
        <f t="shared" si="2463"/>
        <v>2.86471269918806E-2</v>
      </c>
      <c r="CY837" s="177">
        <f t="shared" si="2466"/>
        <v>2.4704070782280825E-2</v>
      </c>
      <c r="CZ837" s="177">
        <f t="shared" si="2467"/>
        <v>6.4575155250632399E-2</v>
      </c>
      <c r="DA837" s="187">
        <f t="shared" si="2457"/>
        <v>0.84720249999999997</v>
      </c>
      <c r="DB837" s="188">
        <f t="shared" si="2458"/>
        <v>0.92303077153834634</v>
      </c>
      <c r="DC837" s="188">
        <f t="shared" si="2459"/>
        <v>0.52502249887505614</v>
      </c>
      <c r="DD837" s="188">
        <f t="shared" si="2460"/>
        <v>0.88499666072084604</v>
      </c>
      <c r="DE837" s="188">
        <f t="shared" si="2461"/>
        <v>0.42887993290280618</v>
      </c>
      <c r="DF837" s="189">
        <f>INDEX('State Tax Lookup'!$D$7:$Z$91,MATCH(Calculation!$C837,'State Tax Lookup'!$B$7:$B$91,0),MATCH($H837,'State Tax Lookup'!$D$6:$Z$6,0))</f>
        <v>0.40745999999999999</v>
      </c>
      <c r="DG837" s="189">
        <v>0.375</v>
      </c>
      <c r="DH837" s="190">
        <f t="shared" si="2464"/>
        <v>17.498523944186701</v>
      </c>
      <c r="DI837" s="190">
        <v>17.250579719958544</v>
      </c>
      <c r="DJ837" s="177"/>
      <c r="DK837" s="189">
        <f>VLOOKUP($H837,RoR!$E:$F,2,FALSE)</f>
        <v>5.5558333333333321E-2</v>
      </c>
      <c r="DL837" s="191">
        <f>HLOOKUP($H837,'GDP-PI'!$D$8:$CQ$11,3,FALSE)</f>
        <v>2.691120634145272E-2</v>
      </c>
      <c r="DM837" s="189">
        <f>VLOOKUP(H837,'HW Dx Data'!$E:$F,2,FALSE)</f>
        <v>498.0223154772637</v>
      </c>
      <c r="DN837" s="183">
        <f>VLOOKUP(H837,'ECI - Input Price'!$G$17:$H$37,2,FALSE)</f>
        <v>105.22500000000001</v>
      </c>
      <c r="DO837" s="177">
        <f t="shared" ref="DO837" si="2493">LN(DN837/DN836)</f>
        <v>3.0638025400780679E-2</v>
      </c>
      <c r="DP837" s="183">
        <f>HLOOKUP(H837,'GDP-PI'!$8:$9,2,FALSE)</f>
        <v>92.498000000000005</v>
      </c>
      <c r="DQ837" s="177">
        <f t="shared" ref="DQ837" si="2494">LN(DP837/DP836)</f>
        <v>2.6555467950038037E-2</v>
      </c>
    </row>
    <row r="838" spans="1:121" s="167" customFormat="1" ht="21" x14ac:dyDescent="0.35">
      <c r="A838" s="167" t="s">
        <v>85</v>
      </c>
      <c r="B838" s="168" t="s">
        <v>85</v>
      </c>
      <c r="C838" s="168">
        <v>4004218</v>
      </c>
      <c r="D838" s="168" t="s">
        <v>146</v>
      </c>
      <c r="E838" s="168"/>
      <c r="F838" s="168"/>
      <c r="G838" s="168" t="s">
        <v>14</v>
      </c>
      <c r="H838" s="169">
        <v>2008</v>
      </c>
      <c r="I838" s="170"/>
      <c r="J838" s="166">
        <f>IFERROR(INDEX('Labor Expenditures'!$F$7:$X$91,MATCH($C838,'Labor Expenditures'!$D$7:$D$91,0),MATCH($G838,'Labor Expenditures'!$F$5:$X$5,0)),"NA")</f>
        <v>199324.87270142633</v>
      </c>
      <c r="K838" s="166">
        <f t="shared" si="2471"/>
        <v>1841.7636655248448</v>
      </c>
      <c r="L838" s="172">
        <f t="shared" si="2478"/>
        <v>-1.372002294807865E-2</v>
      </c>
      <c r="M838" s="172">
        <f t="shared" si="2482"/>
        <v>-1.1104816286190693E-3</v>
      </c>
      <c r="N838" s="196"/>
      <c r="O838" s="172"/>
      <c r="P838" s="166">
        <f>IFERROR(INDEX('Non-Labor Expenditures'!$F$7:$AB$91,MATCH($C838,'Non-Labor Expenditures'!$D$7:$D$91,0),MATCH($G838,'Non-Labor Expenditures'!$F$5:$AB$5,0)),"NA")</f>
        <v>288659.64442257083</v>
      </c>
      <c r="Q838" s="166">
        <f t="shared" si="2472"/>
        <v>3062.2469280167493</v>
      </c>
      <c r="R838" s="172">
        <f t="shared" si="2483"/>
        <v>-4.5208780247008038E-3</v>
      </c>
      <c r="S838" s="172">
        <f t="shared" si="2488"/>
        <v>-3.6591425616827844E-4</v>
      </c>
      <c r="T838" s="172"/>
      <c r="U838" s="172"/>
      <c r="V838" s="166">
        <f t="shared" si="2451"/>
        <v>239011.09740569149</v>
      </c>
      <c r="W838" s="170"/>
      <c r="X838" s="174">
        <v>12387.619197926484</v>
      </c>
      <c r="Y838" s="175">
        <v>2.9494513446206249E-2</v>
      </c>
      <c r="Z838" s="175">
        <f t="shared" si="2489"/>
        <v>2.3872493108079602E-3</v>
      </c>
      <c r="AA838" s="175"/>
      <c r="AB838" s="175"/>
      <c r="AC838" s="170">
        <f t="shared" si="2462"/>
        <v>726995.61452968861</v>
      </c>
      <c r="AD838" s="175">
        <f t="shared" si="2484"/>
        <v>5.8672344923795833E-2</v>
      </c>
      <c r="AE838" s="170"/>
      <c r="AF838" s="170"/>
      <c r="AG838" s="121">
        <f t="shared" si="2485"/>
        <v>166.8746562991864</v>
      </c>
      <c r="AH838" s="119">
        <f>+AZ838/$BB$46</f>
        <v>0.12234078518754864</v>
      </c>
      <c r="AI838" s="119"/>
      <c r="AJ838" s="176">
        <f t="shared" si="2490"/>
        <v>20.415576479544772</v>
      </c>
      <c r="AK838" s="176">
        <f t="shared" si="2491"/>
        <v>0</v>
      </c>
      <c r="AL838" s="120">
        <f t="shared" si="2473"/>
        <v>0.27417616931619937</v>
      </c>
      <c r="AM838" s="120">
        <f t="shared" si="2474"/>
        <v>0.3970583022145352</v>
      </c>
      <c r="AN838" s="120">
        <f t="shared" si="2475"/>
        <v>0.32876552846926549</v>
      </c>
      <c r="AO838" s="120">
        <f t="shared" si="2479"/>
        <v>3.5660498853446404E-3</v>
      </c>
      <c r="AP838" s="173">
        <f t="shared" ref="AP838:AP851" si="2495">+AP837*EXP(AO838)</f>
        <v>91.410486547588647</v>
      </c>
      <c r="AQ838" s="175">
        <f t="shared" ref="AQ838:AQ851" si="2496">LN(AP838/AP837)</f>
        <v>3.5660498853445368E-3</v>
      </c>
      <c r="AR838" s="177">
        <f>+AC838/$AE$46</f>
        <v>8.0938758836010621E-2</v>
      </c>
      <c r="AS838" s="177">
        <f t="shared" si="2492"/>
        <v>2.8863165166708479E-4</v>
      </c>
      <c r="AT838" s="177"/>
      <c r="AU838" s="177"/>
      <c r="AV838" s="177"/>
      <c r="AW838" s="190"/>
      <c r="AX838" s="120"/>
      <c r="AY838" s="120"/>
      <c r="AZ838" s="118">
        <f>IFERROR(INDEX('Total Customers'!$F$7:$AB$91,MATCH($C838,'Total Customers'!$D$7:$D$91,0),MATCH($G838,'Total Customers'!$F$5:$AB$5,0)),"NA")</f>
        <v>4356537</v>
      </c>
      <c r="BA838" s="119">
        <f t="shared" si="2452"/>
        <v>1.18791998418238E-2</v>
      </c>
      <c r="BB838" s="119"/>
      <c r="BC838" s="121"/>
      <c r="BD838" s="119"/>
      <c r="BE838" s="119"/>
      <c r="BF838" s="119"/>
      <c r="BG838" s="173"/>
      <c r="BH838" s="173"/>
      <c r="BI838" s="173"/>
      <c r="BJ838" s="173"/>
      <c r="BK838" s="173"/>
      <c r="BL838" s="173"/>
      <c r="BM838" s="173"/>
      <c r="BN838" s="173"/>
      <c r="BO838" s="173"/>
      <c r="BP838" s="173"/>
      <c r="BQ838" s="118"/>
      <c r="BR838" s="118"/>
      <c r="BS838" s="118">
        <f>INDEX('Dist. Plant Gas Additions'!$F$7:$AE$91,MATCH($C838,'Dist. Plant Gas Additions'!$D$7:$D$91,0),MATCH(Calculation!$G838,'Dist. Plant Gas Additions'!$F$5:$AE$5,0))</f>
        <v>248068</v>
      </c>
      <c r="BT838" s="118">
        <f>INDEX('Gen. Plant Additions'!$F$7:$AE$91,MATCH($C838,'Gen. Plant Additions'!$D$7:$D$91,0),MATCH(Calculation!$G838,'Gen. Plant Additions'!$F$5:$AE$5,0))</f>
        <v>2280</v>
      </c>
      <c r="BU838" s="118"/>
      <c r="BV838" s="118"/>
      <c r="BW838" s="118">
        <f>INDEX('Dist Plant Depreciation'!$E$7:$AD$94,MATCH($C838,'Dist Plant Depreciation'!$D$7:$D$94,0),MATCH(Calculation!$G838,'Dist Plant Depreciation'!$E$5:$AD$5,0))</f>
        <v>3398647</v>
      </c>
      <c r="BX838" s="118">
        <f>INDEX('Gen. Plant Depreciation'!$E$7:$AD$94,MATCH($C838,'Gen. Plant Depreciation'!$D$7:$D$94,0),MATCH(Calculation!$G838,'Gen. Plant Depreciation'!$E$5:$AD$5,0))</f>
        <v>27583</v>
      </c>
      <c r="BY838" s="118"/>
      <c r="BZ838" s="118"/>
      <c r="CA838" s="118"/>
      <c r="CB838" s="118"/>
      <c r="CC838" s="118"/>
      <c r="CD838" s="183"/>
      <c r="CE838" s="118">
        <f>INDEX('Gross Dx Plant'!$E$7:$AD$91,MATCH($C838,'Gross Dx Plant'!$D$7:$D$91,0),MATCH(Calculation!$G838,'Gross Dx Plant'!$E$5:$AD$5,0))</f>
        <v>5448260</v>
      </c>
      <c r="CF838" s="118">
        <f>INDEX('Gross Gen Plant'!$E$7:$AD$91,MATCH($C838,'Gross Gen Plant'!$D$7:$D$91,0),MATCH(Calculation!$G838,'Gross Gen Plant'!$E$5:$AD$5,0))</f>
        <v>67240</v>
      </c>
      <c r="CG838" s="118">
        <f t="shared" si="2468"/>
        <v>2089270</v>
      </c>
      <c r="CH838" s="118"/>
      <c r="CI838" s="121">
        <v>2008</v>
      </c>
      <c r="CJ838" s="118"/>
      <c r="CK838" s="118"/>
      <c r="CL838" s="118"/>
      <c r="CM838" s="183"/>
      <c r="CN838" s="118">
        <f t="shared" si="2453"/>
        <v>250348</v>
      </c>
      <c r="CO838" s="118">
        <f t="shared" si="2454"/>
        <v>439.29857404468339</v>
      </c>
      <c r="CP838" s="186">
        <v>0.94252873563218387</v>
      </c>
      <c r="CQ838" s="118">
        <f>+CQ828*CP838+CO829*CP837+CO830*CP836+CO831*CP835+CO832*CP834+CO833*CP833+CO834*CP832+CO835*CP831+CO836*CP830+CO837*CP829+CO838</f>
        <v>12387.619197926484</v>
      </c>
      <c r="CR838" s="119">
        <f t="shared" si="2455"/>
        <v>2.9494513446206249E-2</v>
      </c>
      <c r="CS838" s="119"/>
      <c r="CT838" s="177">
        <f t="shared" si="2456"/>
        <v>6.5904606870380317E-3</v>
      </c>
      <c r="CU838" s="177">
        <f t="shared" si="2465"/>
        <v>6.3922794393212303E-3</v>
      </c>
      <c r="CV838" s="119">
        <f>VLOOKUP($H838,RoR!$E:$F,2,FALSE)</f>
        <v>5.6316666666666668E-2</v>
      </c>
      <c r="CW838" s="177">
        <v>1.9092304698479889E-2</v>
      </c>
      <c r="CX838" s="177">
        <f t="shared" si="2463"/>
        <v>3.7224361968186778E-2</v>
      </c>
      <c r="CY838" s="177">
        <f t="shared" si="2466"/>
        <v>2.4509662169212396E-2</v>
      </c>
      <c r="CZ838" s="177">
        <f t="shared" si="2467"/>
        <v>6.9030581091053131E-2</v>
      </c>
      <c r="DA838" s="187">
        <f t="shared" si="2457"/>
        <v>0.84720249999999997</v>
      </c>
      <c r="DB838" s="188">
        <f t="shared" si="2458"/>
        <v>0.91060168006009956</v>
      </c>
      <c r="DC838" s="188">
        <f t="shared" si="2459"/>
        <v>0.53108168097070152</v>
      </c>
      <c r="DD838" s="188">
        <f t="shared" si="2460"/>
        <v>0.88825329850328805</v>
      </c>
      <c r="DE838" s="188">
        <f t="shared" si="2461"/>
        <v>0.4295627335323573</v>
      </c>
      <c r="DF838" s="189">
        <f>INDEX('State Tax Lookup'!$D$7:$Z$91,MATCH(Calculation!$C838,'State Tax Lookup'!$B$7:$B$91,0),MATCH($H838,'State Tax Lookup'!$D$6:$Z$6,0))</f>
        <v>0.40745999999999999</v>
      </c>
      <c r="DG838" s="189">
        <v>0.375</v>
      </c>
      <c r="DH838" s="190">
        <f t="shared" si="2464"/>
        <v>19.871905989022135</v>
      </c>
      <c r="DI838" s="190">
        <v>19.59796156371057</v>
      </c>
      <c r="DJ838" s="177"/>
      <c r="DK838" s="189">
        <f>VLOOKUP($H838,RoR!$E:$F,2,FALSE)</f>
        <v>5.6316666666666668E-2</v>
      </c>
      <c r="DL838" s="191">
        <f>HLOOKUP($H838,'GDP-PI'!$D$8:$CQ$11,3,FALSE)</f>
        <v>1.9092304698479889E-2</v>
      </c>
      <c r="DM838" s="189">
        <f>VLOOKUP(H838,'HW Dx Data'!$E:$F,2,FALSE)</f>
        <v>569.88120333515076</v>
      </c>
      <c r="DN838" s="183">
        <f>VLOOKUP(H838,'ECI - Input Price'!$G$17:$H$37,2,FALSE)</f>
        <v>108.22499999999999</v>
      </c>
      <c r="DO838" s="177">
        <f t="shared" ref="DO838" si="2497">LN(DN838/DN837)</f>
        <v>2.8111478671409691E-2</v>
      </c>
      <c r="DP838" s="183">
        <f>HLOOKUP(H838,'GDP-PI'!$8:$9,2,FALSE)</f>
        <v>94.263999999999996</v>
      </c>
      <c r="DQ838" s="177">
        <f t="shared" ref="DQ838" si="2498">LN(DP838/DP837)</f>
        <v>1.8912333748032254E-2</v>
      </c>
    </row>
    <row r="839" spans="1:121" s="167" customFormat="1" ht="21" x14ac:dyDescent="0.35">
      <c r="A839" s="167" t="s">
        <v>85</v>
      </c>
      <c r="B839" s="168" t="s">
        <v>85</v>
      </c>
      <c r="C839" s="168">
        <v>4004218</v>
      </c>
      <c r="D839" s="168" t="s">
        <v>146</v>
      </c>
      <c r="E839" s="168"/>
      <c r="F839" s="168"/>
      <c r="G839" s="168" t="s">
        <v>15</v>
      </c>
      <c r="H839" s="169">
        <v>2009</v>
      </c>
      <c r="I839" s="170"/>
      <c r="J839" s="166">
        <f>IFERROR(INDEX('Labor Expenditures'!$F$7:$X$91,MATCH($C839,'Labor Expenditures'!$D$7:$D$91,0),MATCH($G839,'Labor Expenditures'!$F$5:$X$5,0)),"NA")</f>
        <v>238093.55942394232</v>
      </c>
      <c r="K839" s="166">
        <f t="shared" si="2471"/>
        <v>2168.9233379543825</v>
      </c>
      <c r="L839" s="172">
        <f t="shared" si="2478"/>
        <v>0.16350726038873226</v>
      </c>
      <c r="M839" s="172">
        <f t="shared" si="2482"/>
        <v>1.4293156872013027E-2</v>
      </c>
      <c r="N839" s="196"/>
      <c r="O839" s="172"/>
      <c r="P839" s="166">
        <f>IFERROR(INDEX('Non-Labor Expenditures'!$F$7:$AB$91,MATCH($C839,'Non-Labor Expenditures'!$D$7:$D$91,0),MATCH($G839,'Non-Labor Expenditures'!$F$5:$AB$5,0)),"NA")</f>
        <v>344803.94378863496</v>
      </c>
      <c r="Q839" s="166">
        <f t="shared" si="2472"/>
        <v>3629.553403600406</v>
      </c>
      <c r="R839" s="172">
        <f t="shared" si="2483"/>
        <v>0.16996067469015924</v>
      </c>
      <c r="S839" s="172">
        <f t="shared" si="2488"/>
        <v>1.4857288781208325E-2</v>
      </c>
      <c r="T839" s="172"/>
      <c r="U839" s="172"/>
      <c r="V839" s="166">
        <f t="shared" si="2451"/>
        <v>236093.34481445129</v>
      </c>
      <c r="W839" s="170"/>
      <c r="X839" s="174">
        <v>12783.590851967403</v>
      </c>
      <c r="Y839" s="175">
        <v>3.1464861769986967E-2</v>
      </c>
      <c r="Z839" s="175">
        <f t="shared" si="2489"/>
        <v>2.7505335491855719E-3</v>
      </c>
      <c r="AA839" s="175"/>
      <c r="AB839" s="175"/>
      <c r="AC839" s="170">
        <f t="shared" si="2462"/>
        <v>818990.84802702861</v>
      </c>
      <c r="AD839" s="175">
        <f t="shared" si="2484"/>
        <v>0.1191524639889204</v>
      </c>
      <c r="AE839" s="170"/>
      <c r="AF839" s="170"/>
      <c r="AG839" s="121">
        <f t="shared" si="2485"/>
        <v>190.04003833956256</v>
      </c>
      <c r="AH839" s="119">
        <f>+AZ839/$BB$47</f>
        <v>0.12084723412021879</v>
      </c>
      <c r="AI839" s="119"/>
      <c r="AJ839" s="176">
        <f t="shared" si="2490"/>
        <v>22.96581300543647</v>
      </c>
      <c r="AK839" s="176">
        <f t="shared" si="2491"/>
        <v>0</v>
      </c>
      <c r="AL839" s="120">
        <f t="shared" si="2473"/>
        <v>0.29071577539299276</v>
      </c>
      <c r="AM839" s="120">
        <f t="shared" si="2474"/>
        <v>0.42101074098602825</v>
      </c>
      <c r="AN839" s="120">
        <f t="shared" si="2475"/>
        <v>0.28827348362097893</v>
      </c>
      <c r="AO839" s="120">
        <f t="shared" si="2479"/>
        <v>0.12540927402133645</v>
      </c>
      <c r="AP839" s="173">
        <f t="shared" si="2495"/>
        <v>103.62405338091912</v>
      </c>
      <c r="AQ839" s="175">
        <f t="shared" si="2496"/>
        <v>0.12540927402133645</v>
      </c>
      <c r="AR839" s="177">
        <f>+AC839/$AE$47</f>
        <v>8.7416037905788363E-2</v>
      </c>
      <c r="AS839" s="177">
        <f t="shared" si="2492"/>
        <v>1.0962781851586547E-2</v>
      </c>
      <c r="AT839" s="177"/>
      <c r="AU839" s="177"/>
      <c r="AV839" s="177"/>
      <c r="AW839" s="190"/>
      <c r="AX839" s="120"/>
      <c r="AY839" s="120"/>
      <c r="AZ839" s="118">
        <f>IFERROR(INDEX('Total Customers'!$F$7:$AB$91,MATCH($C839,'Total Customers'!$D$7:$D$91,0),MATCH($G839,'Total Customers'!$F$5:$AB$5,0)),"NA")</f>
        <v>4309570</v>
      </c>
      <c r="BA839" s="119">
        <f t="shared" si="2452"/>
        <v>-1.0839344552429492E-2</v>
      </c>
      <c r="BB839" s="119"/>
      <c r="BC839" s="121"/>
      <c r="BD839" s="119"/>
      <c r="BE839" s="119"/>
      <c r="BF839" s="119"/>
      <c r="BG839" s="173"/>
      <c r="BH839" s="173"/>
      <c r="BI839" s="173"/>
      <c r="BJ839" s="173"/>
      <c r="BK839" s="173"/>
      <c r="BL839" s="173"/>
      <c r="BM839" s="173"/>
      <c r="BN839" s="173"/>
      <c r="BO839" s="173"/>
      <c r="BP839" s="173"/>
      <c r="BQ839" s="118"/>
      <c r="BR839" s="118"/>
      <c r="BS839" s="118">
        <f>INDEX('Dist. Plant Gas Additions'!$F$7:$AE$91,MATCH($C839,'Dist. Plant Gas Additions'!$D$7:$D$91,0),MATCH(Calculation!$G839,'Dist. Plant Gas Additions'!$F$5:$AE$5,0))</f>
        <v>262792</v>
      </c>
      <c r="BT839" s="118">
        <f>INDEX('Gen. Plant Additions'!$F$7:$AE$91,MATCH($C839,'Gen. Plant Additions'!$D$7:$D$91,0),MATCH(Calculation!$G839,'Gen. Plant Additions'!$F$5:$AE$5,0))</f>
        <v>1740</v>
      </c>
      <c r="BU839" s="118"/>
      <c r="BV839" s="118"/>
      <c r="BW839" s="118">
        <f>INDEX('Dist Plant Depreciation'!$E$7:$AD$94,MATCH($C839,'Dist Plant Depreciation'!$D$7:$D$94,0),MATCH(Calculation!$G839,'Dist Plant Depreciation'!$E$5:$AD$5,0))</f>
        <v>3531979</v>
      </c>
      <c r="BX839" s="118">
        <f>INDEX('Gen. Plant Depreciation'!$E$7:$AD$94,MATCH($C839,'Gen. Plant Depreciation'!$D$7:$D$94,0),MATCH(Calculation!$G839,'Gen. Plant Depreciation'!$E$5:$AD$5,0))</f>
        <v>28591</v>
      </c>
      <c r="BY839" s="118"/>
      <c r="BZ839" s="118"/>
      <c r="CA839" s="118"/>
      <c r="CB839" s="118"/>
      <c r="CC839" s="118"/>
      <c r="CD839" s="183"/>
      <c r="CE839" s="118">
        <f>INDEX('Gross Dx Plant'!$E$7:$AD$91,MATCH($C839,'Gross Dx Plant'!$D$7:$D$91,0),MATCH(Calculation!$G839,'Gross Dx Plant'!$E$5:$AD$5,0))</f>
        <v>5686185</v>
      </c>
      <c r="CF839" s="118">
        <f>INDEX('Gross Gen Plant'!$E$7:$AD$91,MATCH($C839,'Gross Gen Plant'!$D$7:$D$91,0),MATCH(Calculation!$G839,'Gross Gen Plant'!$E$5:$AD$5,0))</f>
        <v>67539</v>
      </c>
      <c r="CG839" s="118">
        <f t="shared" si="2468"/>
        <v>2193154</v>
      </c>
      <c r="CH839" s="118"/>
      <c r="CI839" s="121">
        <v>2009</v>
      </c>
      <c r="CJ839" s="118"/>
      <c r="CK839" s="118"/>
      <c r="CL839" s="118"/>
      <c r="CM839" s="183"/>
      <c r="CN839" s="118">
        <f t="shared" si="2453"/>
        <v>264532</v>
      </c>
      <c r="CO839" s="118">
        <f t="shared" si="2454"/>
        <v>480.14610346759412</v>
      </c>
      <c r="CP839" s="186">
        <v>0.93567251461988299</v>
      </c>
      <c r="CQ839" s="118">
        <f>+CQ828*CP839+CO829*CP838+CO830*CP837+CO831*CP836+CO832*CP835+CO833*CP834+CO834*CP833+CO835*CP832+CO836*CP831+CO837*CP830+CO838*CP829+CO839</f>
        <v>12783.590851967403</v>
      </c>
      <c r="CR839" s="119">
        <f t="shared" si="2455"/>
        <v>3.1464861769986967E-2</v>
      </c>
      <c r="CS839" s="119"/>
      <c r="CT839" s="177">
        <f t="shared" si="2456"/>
        <v>6.7950465768890226E-3</v>
      </c>
      <c r="CU839" s="177">
        <f t="shared" si="2465"/>
        <v>6.5915124328522002E-3</v>
      </c>
      <c r="CV839" s="119">
        <f>VLOOKUP($H839,RoR!$E:$F,2,FALSE)</f>
        <v>5.3133333333333324E-2</v>
      </c>
      <c r="CW839" s="177">
        <v>7.7972502758210105E-3</v>
      </c>
      <c r="CX839" s="177">
        <f t="shared" si="2463"/>
        <v>4.5336083057512314E-2</v>
      </c>
      <c r="CY839" s="177">
        <f t="shared" si="2466"/>
        <v>2.4310429175681426E-2</v>
      </c>
      <c r="CZ839" s="177">
        <f t="shared" si="2467"/>
        <v>6.3720160300892073E-2</v>
      </c>
      <c r="DA839" s="187">
        <f t="shared" si="2457"/>
        <v>0.84720249999999997</v>
      </c>
      <c r="DB839" s="188">
        <f t="shared" si="2458"/>
        <v>0.96515780330083989</v>
      </c>
      <c r="DC839" s="188">
        <f t="shared" si="2459"/>
        <v>0.50448557089084056</v>
      </c>
      <c r="DD839" s="188">
        <f t="shared" si="2460"/>
        <v>0.87391435735465484</v>
      </c>
      <c r="DE839" s="188">
        <f t="shared" si="2461"/>
        <v>0.42551605393279146</v>
      </c>
      <c r="DF839" s="189">
        <f>INDEX('State Tax Lookup'!$D$7:$Z$91,MATCH(Calculation!$C839,'State Tax Lookup'!$B$7:$B$91,0),MATCH($H839,'State Tax Lookup'!$D$6:$Z$6,0))</f>
        <v>0.40745999999999999</v>
      </c>
      <c r="DG839" s="189">
        <v>0.375</v>
      </c>
      <c r="DH839" s="190">
        <f t="shared" si="2464"/>
        <v>19.058815180076738</v>
      </c>
      <c r="DI839" s="190">
        <v>18.726470073945571</v>
      </c>
      <c r="DJ839" s="177"/>
      <c r="DK839" s="189">
        <f>VLOOKUP($H839,RoR!$E:$F,2,FALSE)</f>
        <v>5.3133333333333324E-2</v>
      </c>
      <c r="DL839" s="191">
        <f>HLOOKUP($H839,'GDP-PI'!$D$8:$CQ$11,3,FALSE)</f>
        <v>7.7972502758210105E-3</v>
      </c>
      <c r="DM839" s="189">
        <f>VLOOKUP(H839,'HW Dx Data'!$E:$F,2,FALSE)</f>
        <v>550.94063679692806</v>
      </c>
      <c r="DN839" s="183">
        <f>VLOOKUP(H839,'ECI - Input Price'!$G$17:$H$37,2,FALSE)</f>
        <v>109.77499999999999</v>
      </c>
      <c r="DO839" s="177">
        <f t="shared" ref="DO839" si="2499">LN(DN839/DN838)</f>
        <v>1.4220423119736749E-2</v>
      </c>
      <c r="DP839" s="183">
        <f>HLOOKUP(H839,'GDP-PI'!$8:$9,2,FALSE)</f>
        <v>94.998999999999995</v>
      </c>
      <c r="DQ839" s="177">
        <f t="shared" ref="DQ839" si="2500">LN(DP839/DP838)</f>
        <v>7.7670088183096342E-3</v>
      </c>
    </row>
    <row r="840" spans="1:121" s="167" customFormat="1" ht="21" x14ac:dyDescent="0.35">
      <c r="A840" s="167" t="s">
        <v>85</v>
      </c>
      <c r="B840" s="168" t="s">
        <v>85</v>
      </c>
      <c r="C840" s="168">
        <v>4004218</v>
      </c>
      <c r="D840" s="168" t="s">
        <v>146</v>
      </c>
      <c r="E840" s="168"/>
      <c r="F840" s="168"/>
      <c r="G840" s="168" t="s">
        <v>16</v>
      </c>
      <c r="H840" s="169">
        <v>2010</v>
      </c>
      <c r="I840" s="170"/>
      <c r="J840" s="166">
        <f>IFERROR(INDEX('Labor Expenditures'!$F$7:$X$91,MATCH($C840,'Labor Expenditures'!$D$7:$D$91,0),MATCH($G840,'Labor Expenditures'!$F$5:$X$5,0)),"NA")</f>
        <v>248399.20723831697</v>
      </c>
      <c r="K840" s="166">
        <f t="shared" si="2471"/>
        <v>2220.3281093927776</v>
      </c>
      <c r="L840" s="172">
        <f t="shared" si="2478"/>
        <v>2.3424095186320919E-2</v>
      </c>
      <c r="M840" s="172">
        <f t="shared" si="2482"/>
        <v>2.0694580717725117E-3</v>
      </c>
      <c r="N840" s="196"/>
      <c r="O840" s="172"/>
      <c r="P840" s="166">
        <f>IFERROR(INDEX('Non-Labor Expenditures'!$F$7:$AB$91,MATCH($C840,'Non-Labor Expenditures'!$D$7:$D$91,0),MATCH($G840,'Non-Labor Expenditures'!$F$5:$AB$5,0)),"NA")</f>
        <v>359728.44665335119</v>
      </c>
      <c r="Q840" s="166">
        <f t="shared" si="2472"/>
        <v>3742.9215438028823</v>
      </c>
      <c r="R840" s="172">
        <f t="shared" si="2483"/>
        <v>3.0756856526408912E-2</v>
      </c>
      <c r="S840" s="172">
        <f t="shared" si="2488"/>
        <v>2.7172885225507444E-3</v>
      </c>
      <c r="T840" s="172"/>
      <c r="U840" s="172"/>
      <c r="V840" s="166">
        <f t="shared" si="2451"/>
        <v>249828.03244824731</v>
      </c>
      <c r="W840" s="170"/>
      <c r="X840" s="174">
        <v>13190.82321261186</v>
      </c>
      <c r="Y840" s="175">
        <v>3.1358992839372164E-2</v>
      </c>
      <c r="Z840" s="175">
        <f t="shared" si="2489"/>
        <v>2.7704857044806071E-3</v>
      </c>
      <c r="AA840" s="175"/>
      <c r="AB840" s="175"/>
      <c r="AC840" s="170">
        <f t="shared" si="2462"/>
        <v>857955.6863399155</v>
      </c>
      <c r="AD840" s="175">
        <f t="shared" si="2484"/>
        <v>4.6479541311240921E-2</v>
      </c>
      <c r="AE840" s="170"/>
      <c r="AF840" s="170"/>
      <c r="AG840" s="121">
        <f t="shared" si="2485"/>
        <v>199.24956747835617</v>
      </c>
      <c r="AH840" s="119">
        <f>+AZ840/$BB$48</f>
        <v>0.12008058567620949</v>
      </c>
      <c r="AI840" s="119"/>
      <c r="AJ840" s="176">
        <f t="shared" si="2490"/>
        <v>23.926004758532432</v>
      </c>
      <c r="AK840" s="176">
        <f t="shared" si="2491"/>
        <v>0</v>
      </c>
      <c r="AL840" s="120">
        <f t="shared" si="2473"/>
        <v>0.28952451879886848</v>
      </c>
      <c r="AM840" s="120">
        <f t="shared" si="2474"/>
        <v>0.41928557894169549</v>
      </c>
      <c r="AN840" s="120">
        <f t="shared" si="2475"/>
        <v>0.29118990225943597</v>
      </c>
      <c r="AO840" s="120">
        <f t="shared" si="2479"/>
        <v>2.8803932701138846E-2</v>
      </c>
      <c r="AP840" s="173">
        <f t="shared" si="2495"/>
        <v>106.65223606356231</v>
      </c>
      <c r="AQ840" s="175">
        <f t="shared" si="2496"/>
        <v>2.8803932701138835E-2</v>
      </c>
      <c r="AR840" s="177">
        <f>+AC840/$AE$48</f>
        <v>8.8347407031586125E-2</v>
      </c>
      <c r="AS840" s="177">
        <f t="shared" si="2492"/>
        <v>2.5447527664579266E-3</v>
      </c>
      <c r="AT840" s="177"/>
      <c r="AU840" s="177"/>
      <c r="AV840" s="177"/>
      <c r="AW840" s="190"/>
      <c r="AX840" s="120"/>
      <c r="AY840" s="120"/>
      <c r="AZ840" s="118">
        <f>IFERROR(INDEX('Total Customers'!$F$7:$AB$91,MATCH($C840,'Total Customers'!$D$7:$D$91,0),MATCH($G840,'Total Customers'!$F$5:$AB$5,0)),"NA")</f>
        <v>4305935</v>
      </c>
      <c r="BA840" s="119">
        <f t="shared" si="2452"/>
        <v>-8.4382754480218731E-4</v>
      </c>
      <c r="BB840" s="119"/>
      <c r="BC840" s="121"/>
      <c r="BD840" s="119"/>
      <c r="BE840" s="119"/>
      <c r="BF840" s="119"/>
      <c r="BG840" s="173"/>
      <c r="BH840" s="173"/>
      <c r="BI840" s="173"/>
      <c r="BJ840" s="173"/>
      <c r="BK840" s="173"/>
      <c r="BL840" s="173"/>
      <c r="BM840" s="173"/>
      <c r="BN840" s="173"/>
      <c r="BO840" s="173"/>
      <c r="BP840" s="173"/>
      <c r="BQ840" s="118"/>
      <c r="BR840" s="118"/>
      <c r="BS840" s="118">
        <f>INDEX('Dist. Plant Gas Additions'!$F$7:$AE$91,MATCH($C840,'Dist. Plant Gas Additions'!$D$7:$D$91,0),MATCH(Calculation!$G840,'Dist. Plant Gas Additions'!$F$5:$AE$5,0))</f>
        <v>280787</v>
      </c>
      <c r="BT840" s="118">
        <f>INDEX('Gen. Plant Additions'!$F$7:$AE$91,MATCH($C840,'Gen. Plant Additions'!$D$7:$D$91,0),MATCH(Calculation!$G840,'Gen. Plant Additions'!$F$5:$AE$5,0))</f>
        <v>1845</v>
      </c>
      <c r="BU840" s="118"/>
      <c r="BV840" s="118"/>
      <c r="BW840" s="118">
        <f>INDEX('Dist Plant Depreciation'!$E$7:$AD$94,MATCH($C840,'Dist Plant Depreciation'!$D$7:$D$94,0),MATCH(Calculation!$G840,'Dist Plant Depreciation'!$E$5:$AD$5,0))</f>
        <v>3684266</v>
      </c>
      <c r="BX840" s="118">
        <f>INDEX('Gen. Plant Depreciation'!$E$7:$AD$94,MATCH($C840,'Gen. Plant Depreciation'!$D$7:$D$94,0),MATCH(Calculation!$G840,'Gen. Plant Depreciation'!$E$5:$AD$5,0))</f>
        <v>30053</v>
      </c>
      <c r="BY840" s="118"/>
      <c r="BZ840" s="118"/>
      <c r="CA840" s="118"/>
      <c r="CB840" s="118"/>
      <c r="CC840" s="118"/>
      <c r="CD840" s="183"/>
      <c r="CE840" s="118">
        <f>INDEX('Gross Dx Plant'!$E$7:$AD$91,MATCH($C840,'Gross Dx Plant'!$D$7:$D$91,0),MATCH(Calculation!$G840,'Gross Dx Plant'!$E$5:$AD$5,0))</f>
        <v>5940938</v>
      </c>
      <c r="CF840" s="118">
        <f>INDEX('Gross Gen Plant'!$E$7:$AD$91,MATCH($C840,'Gross Gen Plant'!$D$7:$D$91,0),MATCH(Calculation!$G840,'Gross Gen Plant'!$E$5:$AD$5,0))</f>
        <v>80682</v>
      </c>
      <c r="CG840" s="118">
        <f t="shared" si="2468"/>
        <v>2307301</v>
      </c>
      <c r="CH840" s="118"/>
      <c r="CI840" s="121">
        <v>2010</v>
      </c>
      <c r="CJ840" s="118"/>
      <c r="CK840" s="118"/>
      <c r="CL840" s="118"/>
      <c r="CM840" s="183"/>
      <c r="CN840" s="118">
        <f t="shared" si="2453"/>
        <v>282632</v>
      </c>
      <c r="CO840" s="118">
        <f t="shared" si="2454"/>
        <v>496.72621145689055</v>
      </c>
      <c r="CP840" s="186">
        <v>0.9285714285714286</v>
      </c>
      <c r="CQ840" s="118">
        <f>+CQ828*CP840+CO829*CP839+CO830*CP838+CO831*CP837+CO832*CP836+CO833*CP835+CO834*CP834+CO835*CP833+CO836*CP832+CO837*CP831+CO838*CP830+CO839*CP829+CO840</f>
        <v>13190.82321261186</v>
      </c>
      <c r="CR840" s="119">
        <f t="shared" si="2455"/>
        <v>3.1358992839372164E-2</v>
      </c>
      <c r="CS840" s="119"/>
      <c r="CT840" s="177">
        <f t="shared" si="2456"/>
        <v>7.0006817214945819E-3</v>
      </c>
      <c r="CU840" s="177">
        <f t="shared" si="2465"/>
        <v>6.7953963284738787E-3</v>
      </c>
      <c r="CV840" s="119">
        <f>VLOOKUP($H840,RoR!$E:$F,2,FALSE)</f>
        <v>4.9433333333333322E-2</v>
      </c>
      <c r="CW840" s="177">
        <v>1.1684333519300205E-2</v>
      </c>
      <c r="CX840" s="177">
        <f t="shared" si="2463"/>
        <v>3.7748999814033117E-2</v>
      </c>
      <c r="CY840" s="177">
        <f t="shared" si="2466"/>
        <v>2.4106545280059746E-2</v>
      </c>
      <c r="CZ840" s="177">
        <f t="shared" si="2467"/>
        <v>4.7937530248493419E-2</v>
      </c>
      <c r="DA840" s="187">
        <f t="shared" si="2457"/>
        <v>0.84720249999999997</v>
      </c>
      <c r="DB840" s="188">
        <f t="shared" si="2458"/>
        <v>1.037398205301105</v>
      </c>
      <c r="DC840" s="188">
        <f t="shared" si="2459"/>
        <v>0.46926837491571133</v>
      </c>
      <c r="DD840" s="188">
        <f t="shared" si="2460"/>
        <v>0.8548537519972772</v>
      </c>
      <c r="DE840" s="188">
        <f t="shared" si="2461"/>
        <v>0.41615833911547367</v>
      </c>
      <c r="DF840" s="189">
        <f>INDEX('State Tax Lookup'!$D$7:$Z$91,MATCH(Calculation!$C840,'State Tax Lookup'!$B$7:$B$91,0),MATCH($H840,'State Tax Lookup'!$D$6:$Z$6,0))</f>
        <v>0.40745999999999999</v>
      </c>
      <c r="DG840" s="189">
        <v>0.375</v>
      </c>
      <c r="DH840" s="190">
        <f t="shared" si="2464"/>
        <v>19.542868302124877</v>
      </c>
      <c r="DI840" s="190">
        <v>19.230862509606975</v>
      </c>
      <c r="DJ840" s="177"/>
      <c r="DK840" s="189">
        <f>VLOOKUP($H840,RoR!$E:$F,2,FALSE)</f>
        <v>4.9433333333333322E-2</v>
      </c>
      <c r="DL840" s="191">
        <f>HLOOKUP($H840,'GDP-PI'!$D$8:$CQ$11,3,FALSE)</f>
        <v>1.1684333519300205E-2</v>
      </c>
      <c r="DM840" s="189">
        <f>VLOOKUP(H840,'HW Dx Data'!$E:$F,2,FALSE)</f>
        <v>568.98950262971744</v>
      </c>
      <c r="DN840" s="183">
        <f>VLOOKUP(H840,'ECI - Input Price'!$G$17:$H$37,2,FALSE)</f>
        <v>111.875</v>
      </c>
      <c r="DO840" s="177">
        <f t="shared" ref="DO840" si="2501">LN(DN840/DN839)</f>
        <v>1.8949360147238387E-2</v>
      </c>
      <c r="DP840" s="183">
        <f>HLOOKUP(H840,'GDP-PI'!$8:$9,2,FALSE)</f>
        <v>96.108999999999995</v>
      </c>
      <c r="DQ840" s="177">
        <f t="shared" ref="DQ840" si="2502">LN(DP840/DP839)</f>
        <v>1.1616598807150427E-2</v>
      </c>
    </row>
    <row r="841" spans="1:121" s="167" customFormat="1" ht="21" x14ac:dyDescent="0.35">
      <c r="A841" s="167" t="s">
        <v>85</v>
      </c>
      <c r="B841" s="168" t="s">
        <v>85</v>
      </c>
      <c r="C841" s="168">
        <v>4004218</v>
      </c>
      <c r="D841" s="168" t="s">
        <v>146</v>
      </c>
      <c r="E841" s="168"/>
      <c r="F841" s="168"/>
      <c r="G841" s="168" t="s">
        <v>17</v>
      </c>
      <c r="H841" s="169">
        <v>2011</v>
      </c>
      <c r="I841" s="170"/>
      <c r="J841" s="166">
        <f>IFERROR(INDEX('Labor Expenditures'!$F$7:$X$91,MATCH($C841,'Labor Expenditures'!$D$7:$D$91,0),MATCH($G841,'Labor Expenditures'!$F$5:$X$5,0)),"NA")</f>
        <v>245175.33098587193</v>
      </c>
      <c r="K841" s="166">
        <f t="shared" si="2471"/>
        <v>2145.0160191239888</v>
      </c>
      <c r="L841" s="172">
        <f t="shared" si="2478"/>
        <v>-3.4507961511891921E-2</v>
      </c>
      <c r="M841" s="172">
        <f t="shared" si="2482"/>
        <v>-2.962091503039708E-3</v>
      </c>
      <c r="N841" s="196"/>
      <c r="O841" s="172"/>
      <c r="P841" s="166">
        <f>IFERROR(INDEX('Non-Labor Expenditures'!$F$7:$AB$91,MATCH($C841,'Non-Labor Expenditures'!$D$7:$D$91,0),MATCH($G841,'Non-Labor Expenditures'!$F$5:$AB$5,0)),"NA")</f>
        <v>355059.6717027853</v>
      </c>
      <c r="Q841" s="166">
        <f t="shared" si="2472"/>
        <v>3618.9219637025576</v>
      </c>
      <c r="R841" s="172">
        <f t="shared" si="2483"/>
        <v>-3.3690286518995527E-2</v>
      </c>
      <c r="S841" s="172">
        <f t="shared" si="2488"/>
        <v>-2.8919039856497922E-3</v>
      </c>
      <c r="T841" s="172"/>
      <c r="U841" s="172"/>
      <c r="V841" s="166">
        <f t="shared" si="2451"/>
        <v>275213.08498890238</v>
      </c>
      <c r="W841" s="170"/>
      <c r="X841" s="174">
        <v>13704.239290186786</v>
      </c>
      <c r="Y841" s="175">
        <v>3.8183845552948778E-2</v>
      </c>
      <c r="Z841" s="175">
        <f t="shared" si="2489"/>
        <v>3.2776217287362195E-3</v>
      </c>
      <c r="AA841" s="175"/>
      <c r="AB841" s="175"/>
      <c r="AC841" s="170">
        <f t="shared" si="2462"/>
        <v>875448.08767755958</v>
      </c>
      <c r="AD841" s="175">
        <f t="shared" si="2484"/>
        <v>2.0183404950277237E-2</v>
      </c>
      <c r="AE841" s="170"/>
      <c r="AF841" s="170"/>
      <c r="AG841" s="121">
        <f t="shared" si="2485"/>
        <v>201.39150983289602</v>
      </c>
      <c r="AH841" s="119">
        <f>+AZ841/$BB$49</f>
        <v>0.12063633890381587</v>
      </c>
      <c r="AI841" s="119"/>
      <c r="AJ841" s="176">
        <f t="shared" si="2490"/>
        <v>24.295134432552409</v>
      </c>
      <c r="AK841" s="176">
        <f t="shared" si="2491"/>
        <v>0</v>
      </c>
      <c r="AL841" s="120">
        <f t="shared" si="2473"/>
        <v>0.28005696104298716</v>
      </c>
      <c r="AM841" s="120">
        <f t="shared" si="2474"/>
        <v>0.40557478701530847</v>
      </c>
      <c r="AN841" s="120">
        <f t="shared" si="2475"/>
        <v>0.31436825194170442</v>
      </c>
      <c r="AO841" s="120">
        <f t="shared" si="2479"/>
        <v>-1.2161169409089541E-2</v>
      </c>
      <c r="AP841" s="173">
        <f t="shared" si="2495"/>
        <v>105.36307489485138</v>
      </c>
      <c r="AQ841" s="175">
        <f t="shared" si="2496"/>
        <v>-1.2161169409089567E-2</v>
      </c>
      <c r="AR841" s="177">
        <f>+AC841/$AE$49</f>
        <v>8.5837916042039469E-2</v>
      </c>
      <c r="AS841" s="177">
        <f t="shared" si="2492"/>
        <v>-1.0438894387104489E-3</v>
      </c>
      <c r="AT841" s="177"/>
      <c r="AU841" s="177"/>
      <c r="AV841" s="177"/>
      <c r="AW841" s="190"/>
      <c r="AX841" s="120"/>
      <c r="AY841" s="120"/>
      <c r="AZ841" s="118">
        <f>IFERROR(INDEX('Total Customers'!$F$7:$AB$91,MATCH($C841,'Total Customers'!$D$7:$D$91,0),MATCH($G841,'Total Customers'!$F$5:$AB$5,0)),"NA")</f>
        <v>4346996</v>
      </c>
      <c r="BA841" s="119">
        <f t="shared" si="2452"/>
        <v>9.4907282191388689E-3</v>
      </c>
      <c r="BB841" s="119"/>
      <c r="BC841" s="121"/>
      <c r="BD841" s="119"/>
      <c r="BE841" s="119"/>
      <c r="BF841" s="119"/>
      <c r="BG841" s="173"/>
      <c r="BH841" s="173"/>
      <c r="BI841" s="173"/>
      <c r="BJ841" s="173"/>
      <c r="BK841" s="173"/>
      <c r="BL841" s="173"/>
      <c r="BM841" s="173"/>
      <c r="BN841" s="173"/>
      <c r="BO841" s="173"/>
      <c r="BP841" s="173"/>
      <c r="BQ841" s="118"/>
      <c r="BR841" s="118"/>
      <c r="BS841" s="118">
        <f>INDEX('Dist. Plant Gas Additions'!$F$7:$AE$91,MATCH($C841,'Dist. Plant Gas Additions'!$D$7:$D$91,0),MATCH(Calculation!$G841,'Dist. Plant Gas Additions'!$F$5:$AE$5,0))</f>
        <v>344276</v>
      </c>
      <c r="BT841" s="118">
        <f>INDEX('Gen. Plant Additions'!$F$7:$AE$91,MATCH($C841,'Gen. Plant Additions'!$D$7:$D$91,0),MATCH(Calculation!$G841,'Gen. Plant Additions'!$F$5:$AE$5,0))</f>
        <v>27914</v>
      </c>
      <c r="BU841" s="118"/>
      <c r="BV841" s="118"/>
      <c r="BW841" s="118">
        <f>INDEX('Dist Plant Depreciation'!$E$7:$AD$94,MATCH($C841,'Dist Plant Depreciation'!$D$7:$D$94,0),MATCH(Calculation!$G841,'Dist Plant Depreciation'!$E$5:$AD$5,0))</f>
        <v>3866243</v>
      </c>
      <c r="BX841" s="118">
        <f>INDEX('Gen. Plant Depreciation'!$E$7:$AD$94,MATCH($C841,'Gen. Plant Depreciation'!$D$7:$D$94,0),MATCH(Calculation!$G841,'Gen. Plant Depreciation'!$E$5:$AD$5,0))</f>
        <v>25620</v>
      </c>
      <c r="BY841" s="118"/>
      <c r="BZ841" s="118"/>
      <c r="CA841" s="118"/>
      <c r="CB841" s="118"/>
      <c r="CC841" s="118"/>
      <c r="CD841" s="183"/>
      <c r="CE841" s="118">
        <f>INDEX('Gross Dx Plant'!$E$7:$AD$91,MATCH($C841,'Gross Dx Plant'!$D$7:$D$91,0),MATCH(Calculation!$G841,'Gross Dx Plant'!$E$5:$AD$5,0))</f>
        <v>6282257</v>
      </c>
      <c r="CF841" s="118">
        <f>INDEX('Gross Gen Plant'!$E$7:$AD$91,MATCH($C841,'Gross Gen Plant'!$D$7:$D$91,0),MATCH(Calculation!$G841,'Gross Gen Plant'!$E$5:$AD$5,0))</f>
        <v>92789</v>
      </c>
      <c r="CG841" s="118">
        <f t="shared" si="2468"/>
        <v>2483183</v>
      </c>
      <c r="CH841" s="118"/>
      <c r="CI841" s="121">
        <v>2011</v>
      </c>
      <c r="CJ841" s="118"/>
      <c r="CK841" s="118"/>
      <c r="CL841" s="118"/>
      <c r="CM841" s="183"/>
      <c r="CN841" s="118">
        <f t="shared" si="2453"/>
        <v>372190</v>
      </c>
      <c r="CO841" s="118">
        <f t="shared" si="2454"/>
        <v>608.54030013420777</v>
      </c>
      <c r="CP841" s="186">
        <v>0.92121212121212126</v>
      </c>
      <c r="CQ841" s="118">
        <f>+CQ828*CP841+CO829*CP840+CO830*CP839+CO831*CP838+CO832*CP837+CO833*CP836+CO834*CP835+CO835*CP834+CO836*CP833+CO837*CP832+CO838*CP831+CO839*CP830+CO840*CP829+CO841</f>
        <v>13704.239290186786</v>
      </c>
      <c r="CR841" s="119">
        <f t="shared" si="2455"/>
        <v>3.8183845552948778E-2</v>
      </c>
      <c r="CS841" s="119"/>
      <c r="CT841" s="177">
        <f t="shared" si="2456"/>
        <v>7.2113939385020833E-3</v>
      </c>
      <c r="CU841" s="177">
        <f t="shared" si="2465"/>
        <v>7.0023740789618956E-3</v>
      </c>
      <c r="CV841" s="119">
        <f>VLOOKUP($H841,RoR!$E:$F,2,FALSE)</f>
        <v>4.6391666666666664E-2</v>
      </c>
      <c r="CW841" s="177">
        <v>2.0840920205183799E-2</v>
      </c>
      <c r="CX841" s="177">
        <f t="shared" si="2463"/>
        <v>2.5550746461482865E-2</v>
      </c>
      <c r="CY841" s="177">
        <f t="shared" si="2466"/>
        <v>2.389956752957173E-2</v>
      </c>
      <c r="CZ841" s="177">
        <f t="shared" si="2467"/>
        <v>2.4810540821321614E-2</v>
      </c>
      <c r="DA841" s="187">
        <f t="shared" si="2457"/>
        <v>0.84720249999999997</v>
      </c>
      <c r="DB841" s="188">
        <f t="shared" si="2458"/>
        <v>1.1054151524782025</v>
      </c>
      <c r="DC841" s="188">
        <f t="shared" si="2459"/>
        <v>0.43611011316687626</v>
      </c>
      <c r="DD841" s="188">
        <f t="shared" si="2460"/>
        <v>0.83698442246886229</v>
      </c>
      <c r="DE841" s="188">
        <f t="shared" si="2461"/>
        <v>0.40349573304423936</v>
      </c>
      <c r="DF841" s="189">
        <f>INDEX('State Tax Lookup'!$D$7:$Z$91,MATCH(Calculation!$C841,'State Tax Lookup'!$B$7:$B$91,0),MATCH($H841,'State Tax Lookup'!$D$6:$Z$6,0))</f>
        <v>0.40745999999999999</v>
      </c>
      <c r="DG841" s="189">
        <v>0.375</v>
      </c>
      <c r="DH841" s="190">
        <f t="shared" si="2464"/>
        <v>20.863981008082103</v>
      </c>
      <c r="DI841" s="190">
        <v>20.532185339450717</v>
      </c>
      <c r="DJ841" s="177"/>
      <c r="DK841" s="189">
        <f>VLOOKUP($H841,RoR!$E:$F,2,FALSE)</f>
        <v>4.6391666666666664E-2</v>
      </c>
      <c r="DL841" s="191">
        <f>HLOOKUP($H841,'GDP-PI'!$D$8:$CQ$11,3,FALSE)</f>
        <v>2.0840920205183799E-2</v>
      </c>
      <c r="DM841" s="189">
        <f>VLOOKUP(H841,'HW Dx Data'!$E:$F,2,FALSE)</f>
        <v>611.61109612283201</v>
      </c>
      <c r="DN841" s="183">
        <f>VLOOKUP(H841,'ECI - Input Price'!$G$17:$H$37,2,FALSE)</f>
        <v>114.3</v>
      </c>
      <c r="DO841" s="177">
        <f t="shared" ref="DO841" si="2503">LN(DN841/DN840)</f>
        <v>2.1444394205745516E-2</v>
      </c>
      <c r="DP841" s="183">
        <f>HLOOKUP(H841,'GDP-PI'!$8:$9,2,FALSE)</f>
        <v>98.111999999999995</v>
      </c>
      <c r="DQ841" s="177">
        <f t="shared" ref="DQ841" si="2504">LN(DP841/DP840)</f>
        <v>2.0626719212849295E-2</v>
      </c>
    </row>
    <row r="842" spans="1:121" s="167" customFormat="1" ht="21" x14ac:dyDescent="0.35">
      <c r="A842" s="167" t="s">
        <v>85</v>
      </c>
      <c r="B842" s="168" t="s">
        <v>85</v>
      </c>
      <c r="C842" s="168">
        <v>4004218</v>
      </c>
      <c r="D842" s="168" t="s">
        <v>146</v>
      </c>
      <c r="E842" s="168"/>
      <c r="F842" s="168"/>
      <c r="G842" s="168" t="s">
        <v>18</v>
      </c>
      <c r="H842" s="169">
        <v>2012</v>
      </c>
      <c r="I842" s="170"/>
      <c r="J842" s="166">
        <f>IFERROR(INDEX('Labor Expenditures'!$F$7:$X$91,MATCH($C842,'Labor Expenditures'!$D$7:$D$91,0),MATCH($G842,'Labor Expenditures'!$F$5:$X$5,0)),"NA")</f>
        <v>270546.26669629122</v>
      </c>
      <c r="K842" s="166">
        <f t="shared" si="2471"/>
        <v>2322.2855510411264</v>
      </c>
      <c r="L842" s="172">
        <f t="shared" si="2478"/>
        <v>7.9404831570799292E-2</v>
      </c>
      <c r="M842" s="172">
        <f t="shared" si="2482"/>
        <v>7.2193487288215183E-3</v>
      </c>
      <c r="N842" s="196"/>
      <c r="O842" s="172"/>
      <c r="P842" s="166">
        <f>IFERROR(INDEX('Non-Labor Expenditures'!$F$7:$AB$91,MATCH($C842,'Non-Labor Expenditures'!$D$7:$D$91,0),MATCH($G842,'Non-Labor Expenditures'!$F$5:$AB$5,0)),"NA")</f>
        <v>391801.52524861792</v>
      </c>
      <c r="Q842" s="166">
        <f t="shared" si="2472"/>
        <v>3918.0152524861792</v>
      </c>
      <c r="R842" s="172">
        <f t="shared" si="2483"/>
        <v>7.940903103704694E-2</v>
      </c>
      <c r="S842" s="172">
        <f t="shared" si="2488"/>
        <v>7.2197305369648889E-3</v>
      </c>
      <c r="T842" s="172"/>
      <c r="U842" s="172"/>
      <c r="V842" s="166">
        <f t="shared" si="2451"/>
        <v>309243.48577840842</v>
      </c>
      <c r="W842" s="170"/>
      <c r="X842" s="174">
        <v>14315.230587935777</v>
      </c>
      <c r="Y842" s="175">
        <v>4.3618824346011852E-2</v>
      </c>
      <c r="Z842" s="175">
        <f t="shared" si="2489"/>
        <v>3.9657473967978597E-3</v>
      </c>
      <c r="AA842" s="175"/>
      <c r="AB842" s="175"/>
      <c r="AC842" s="170">
        <f t="shared" si="2462"/>
        <v>971591.2777233175</v>
      </c>
      <c r="AD842" s="175">
        <f t="shared" si="2484"/>
        <v>0.10419936437572784</v>
      </c>
      <c r="AE842" s="170"/>
      <c r="AF842" s="170"/>
      <c r="AG842" s="121">
        <f t="shared" si="2485"/>
        <v>222.25311639211913</v>
      </c>
      <c r="AH842" s="119">
        <f>+AZ842/$BB$50</f>
        <v>0.12073403824682276</v>
      </c>
      <c r="AI842" s="119"/>
      <c r="AJ842" s="176">
        <f t="shared" si="2490"/>
        <v>26.833516254961662</v>
      </c>
      <c r="AK842" s="176">
        <f t="shared" si="2491"/>
        <v>0</v>
      </c>
      <c r="AL842" s="120">
        <f t="shared" si="2473"/>
        <v>0.27845687059917734</v>
      </c>
      <c r="AM842" s="120">
        <f t="shared" si="2474"/>
        <v>0.4032575571970009</v>
      </c>
      <c r="AN842" s="120">
        <f t="shared" si="2475"/>
        <v>0.31828557220382175</v>
      </c>
      <c r="AO842" s="120">
        <f t="shared" si="2479"/>
        <v>6.8086452742033454E-2</v>
      </c>
      <c r="AP842" s="173">
        <f t="shared" si="2495"/>
        <v>112.78673046273711</v>
      </c>
      <c r="AQ842" s="175">
        <f t="shared" si="2496"/>
        <v>6.8086452742033496E-2</v>
      </c>
      <c r="AR842" s="177">
        <f>+AC842/$AE$50</f>
        <v>9.0918255048303587E-2</v>
      </c>
      <c r="AS842" s="177">
        <f t="shared" si="2492"/>
        <v>6.1903014757344705E-3</v>
      </c>
      <c r="AT842" s="177"/>
      <c r="AU842" s="177"/>
      <c r="AV842" s="177"/>
      <c r="AW842" s="190"/>
      <c r="AX842" s="120"/>
      <c r="AY842" s="120"/>
      <c r="AZ842" s="118">
        <f>IFERROR(INDEX('Total Customers'!$F$7:$AB$91,MATCH($C842,'Total Customers'!$D$7:$D$91,0),MATCH($G842,'Total Customers'!$F$5:$AB$5,0)),"NA")</f>
        <v>4371553</v>
      </c>
      <c r="BA842" s="119">
        <f t="shared" si="2452"/>
        <v>5.6332917188175544E-3</v>
      </c>
      <c r="BB842" s="119"/>
      <c r="BC842" s="121"/>
      <c r="BD842" s="119"/>
      <c r="BE842" s="119"/>
      <c r="BF842" s="119"/>
      <c r="BG842" s="173"/>
      <c r="BH842" s="173"/>
      <c r="BI842" s="173"/>
      <c r="BJ842" s="173"/>
      <c r="BK842" s="173"/>
      <c r="BL842" s="173"/>
      <c r="BM842" s="173"/>
      <c r="BN842" s="173"/>
      <c r="BO842" s="173"/>
      <c r="BP842" s="173"/>
      <c r="BQ842" s="118"/>
      <c r="BR842" s="118"/>
      <c r="BS842" s="118">
        <f>INDEX('Dist. Plant Gas Additions'!$F$7:$AE$91,MATCH($C842,'Dist. Plant Gas Additions'!$D$7:$D$91,0),MATCH(Calculation!$G842,'Dist. Plant Gas Additions'!$F$5:$AE$5,0))</f>
        <v>450738</v>
      </c>
      <c r="BT842" s="118">
        <f>INDEX('Gen. Plant Additions'!$F$7:$AE$91,MATCH($C842,'Gen. Plant Additions'!$D$7:$D$91,0),MATCH(Calculation!$G842,'Gen. Plant Additions'!$F$5:$AE$5,0))</f>
        <v>25899</v>
      </c>
      <c r="BU842" s="118"/>
      <c r="BV842" s="118"/>
      <c r="BW842" s="118">
        <f>INDEX('Dist Plant Depreciation'!$E$7:$AD$94,MATCH($C842,'Dist Plant Depreciation'!$D$7:$D$94,0),MATCH(Calculation!$G842,'Dist Plant Depreciation'!$E$5:$AD$5,0))</f>
        <v>4020208</v>
      </c>
      <c r="BX842" s="118">
        <f>INDEX('Gen. Plant Depreciation'!$E$7:$AD$94,MATCH($C842,'Gen. Plant Depreciation'!$D$7:$D$94,0),MATCH(Calculation!$G842,'Gen. Plant Depreciation'!$E$5:$AD$5,0))</f>
        <v>26672</v>
      </c>
      <c r="BY842" s="118"/>
      <c r="BZ842" s="118"/>
      <c r="CA842" s="118"/>
      <c r="CB842" s="118"/>
      <c r="CC842" s="118"/>
      <c r="CD842" s="183"/>
      <c r="CE842" s="118">
        <f>INDEX('Gross Dx Plant'!$E$7:$AD$91,MATCH($C842,'Gross Dx Plant'!$D$7:$D$91,0),MATCH(Calculation!$G842,'Gross Dx Plant'!$E$5:$AD$5,0))</f>
        <v>6699864</v>
      </c>
      <c r="CF842" s="118">
        <f>INDEX('Gross Gen Plant'!$E$7:$AD$91,MATCH($C842,'Gross Gen Plant'!$D$7:$D$91,0),MATCH(Calculation!$G842,'Gross Gen Plant'!$E$5:$AD$5,0))</f>
        <v>121403</v>
      </c>
      <c r="CG842" s="118">
        <f t="shared" si="2468"/>
        <v>2774387</v>
      </c>
      <c r="CH842" s="118"/>
      <c r="CI842" s="121">
        <v>2012</v>
      </c>
      <c r="CJ842" s="118"/>
      <c r="CK842" s="118"/>
      <c r="CL842" s="118"/>
      <c r="CM842" s="183"/>
      <c r="CN842" s="118">
        <f t="shared" si="2453"/>
        <v>476637</v>
      </c>
      <c r="CO842" s="118">
        <f t="shared" si="2454"/>
        <v>712.54781293303961</v>
      </c>
      <c r="CP842" s="186">
        <v>0.9135802469135802</v>
      </c>
      <c r="CQ842" s="118">
        <f>+CQ828*CP842+CO829*CP841+CO830*CP840+CO831*CP839+CO832*CP838+CO833*CP837+CO834*CP836+CO835*CP835+CO836*CP834+CO837*CP833+CO838*CP832+CO839*CP831+CO840*CP830+CO841*CP829+CO842</f>
        <v>14315.230587935777</v>
      </c>
      <c r="CR842" s="119">
        <f t="shared" si="2455"/>
        <v>4.3618824346011852E-2</v>
      </c>
      <c r="CS842" s="119"/>
      <c r="CT842" s="177">
        <f t="shared" si="2456"/>
        <v>7.4105912071142921E-3</v>
      </c>
      <c r="CU842" s="177">
        <f t="shared" si="2465"/>
        <v>7.2075556223703194E-3</v>
      </c>
      <c r="CV842" s="119">
        <f>VLOOKUP($H842,RoR!$E:$F,2,FALSE)</f>
        <v>3.6733333333333333E-2</v>
      </c>
      <c r="CW842" s="177">
        <v>1.924331376386168E-2</v>
      </c>
      <c r="CX842" s="177">
        <f t="shared" si="2463"/>
        <v>1.7490019569471653E-2</v>
      </c>
      <c r="CY842" s="177">
        <f t="shared" si="2466"/>
        <v>2.3694385986163306E-2</v>
      </c>
      <c r="CZ842" s="177">
        <f t="shared" si="2467"/>
        <v>6.7122682943869583E-2</v>
      </c>
      <c r="DA842" s="187">
        <f t="shared" si="2457"/>
        <v>0.84720249999999997</v>
      </c>
      <c r="DB842" s="188">
        <f t="shared" si="2458"/>
        <v>1.3960631020522127</v>
      </c>
      <c r="DC842" s="188">
        <f t="shared" si="2459"/>
        <v>0.29441923774954631</v>
      </c>
      <c r="DD842" s="188">
        <f t="shared" si="2460"/>
        <v>0.76377954189366437</v>
      </c>
      <c r="DE842" s="188">
        <f t="shared" si="2461"/>
        <v>0.31393465103033691</v>
      </c>
      <c r="DF842" s="189">
        <f>INDEX('State Tax Lookup'!$D$7:$Z$91,MATCH(Calculation!$C842,'State Tax Lookup'!$B$7:$B$91,0),MATCH($H842,'State Tax Lookup'!$D$6:$Z$6,0))</f>
        <v>0.40745999999999999</v>
      </c>
      <c r="DG842" s="189">
        <v>0.375</v>
      </c>
      <c r="DH842" s="190">
        <f t="shared" si="2464"/>
        <v>22.565534593361107</v>
      </c>
      <c r="DI842" s="190">
        <v>22.260242945152417</v>
      </c>
      <c r="DJ842" s="177"/>
      <c r="DK842" s="189">
        <f>VLOOKUP($H842,RoR!$E:$F,2,FALSE)</f>
        <v>3.6733333333333333E-2</v>
      </c>
      <c r="DL842" s="191">
        <f>HLOOKUP($H842,'GDP-PI'!$D$8:$CQ$11,3,FALSE)</f>
        <v>1.924331376386168E-2</v>
      </c>
      <c r="DM842" s="189">
        <f>VLOOKUP(H842,'HW Dx Data'!$E:$F,2,FALSE)</f>
        <v>668.91932211262167</v>
      </c>
      <c r="DN842" s="183">
        <f>VLOOKUP(H842,'ECI - Input Price'!$G$17:$H$37,2,FALSE)</f>
        <v>116.5</v>
      </c>
      <c r="DO842" s="177">
        <f t="shared" ref="DO842" si="2505">LN(DN842/DN841)</f>
        <v>1.9064702204990347E-2</v>
      </c>
      <c r="DP842" s="183">
        <f>HLOOKUP(H842,'GDP-PI'!$8:$9,2,FALSE)</f>
        <v>100</v>
      </c>
      <c r="DQ842" s="177">
        <f t="shared" ref="DQ842" si="2506">LN(DP842/DP841)</f>
        <v>1.9060502738742411E-2</v>
      </c>
    </row>
    <row r="843" spans="1:121" s="167" customFormat="1" ht="21" x14ac:dyDescent="0.35">
      <c r="A843" s="167" t="s">
        <v>85</v>
      </c>
      <c r="B843" s="168" t="s">
        <v>85</v>
      </c>
      <c r="C843" s="168">
        <v>4004218</v>
      </c>
      <c r="D843" s="168" t="s">
        <v>146</v>
      </c>
      <c r="E843" s="168"/>
      <c r="F843" s="168"/>
      <c r="G843" s="168" t="s">
        <v>19</v>
      </c>
      <c r="H843" s="169">
        <v>2013</v>
      </c>
      <c r="I843" s="170"/>
      <c r="J843" s="166">
        <f>IFERROR(INDEX('Labor Expenditures'!$F$7:$X$91,MATCH($C843,'Labor Expenditures'!$D$7:$D$91,0),MATCH($G843,'Labor Expenditures'!$F$5:$X$5,0)),"NA")</f>
        <v>300043.673205734</v>
      </c>
      <c r="K843" s="166">
        <f t="shared" si="2471"/>
        <v>2527.2156092291766</v>
      </c>
      <c r="L843" s="172">
        <f t="shared" si="2478"/>
        <v>8.4566294932142558E-2</v>
      </c>
      <c r="M843" s="172">
        <f t="shared" si="2482"/>
        <v>8.0288685707267122E-3</v>
      </c>
      <c r="N843" s="196"/>
      <c r="O843" s="172"/>
      <c r="P843" s="166">
        <f>IFERROR(INDEX('Non-Labor Expenditures'!$F$7:$AB$91,MATCH($C843,'Non-Labor Expenditures'!$D$7:$D$91,0),MATCH($G843,'Non-Labor Expenditures'!$F$5:$AB$5,0)),"NA")</f>
        <v>434519.27922986925</v>
      </c>
      <c r="Q843" s="166">
        <f t="shared" si="2472"/>
        <v>4269.4946521166639</v>
      </c>
      <c r="R843" s="172">
        <f t="shared" si="2483"/>
        <v>8.5910259345062384E-2</v>
      </c>
      <c r="S843" s="172">
        <f t="shared" si="2488"/>
        <v>8.1564668490209848E-3</v>
      </c>
      <c r="T843" s="172"/>
      <c r="U843" s="172"/>
      <c r="V843" s="166">
        <f t="shared" si="2451"/>
        <v>317853.49395862047</v>
      </c>
      <c r="W843" s="170"/>
      <c r="X843" s="174">
        <v>15200.322315603975</v>
      </c>
      <c r="Y843" s="175">
        <v>5.9992586047180385E-2</v>
      </c>
      <c r="Z843" s="175">
        <f t="shared" si="2489"/>
        <v>5.6957986509557591E-3</v>
      </c>
      <c r="AA843" s="175"/>
      <c r="AB843" s="175"/>
      <c r="AC843" s="170">
        <f t="shared" si="2462"/>
        <v>1052416.4463942237</v>
      </c>
      <c r="AD843" s="175">
        <f t="shared" si="2484"/>
        <v>7.9908956698887729E-2</v>
      </c>
      <c r="AE843" s="170"/>
      <c r="AF843" s="170"/>
      <c r="AG843" s="121">
        <f t="shared" si="2485"/>
        <v>238.66629408204008</v>
      </c>
      <c r="AH843" s="119">
        <f>+AZ843/$BB$51</f>
        <v>0.1210054748363588</v>
      </c>
      <c r="AI843" s="119"/>
      <c r="AJ843" s="176">
        <f t="shared" si="2490"/>
        <v>28.879928242831312</v>
      </c>
      <c r="AK843" s="176">
        <f t="shared" si="2491"/>
        <v>0</v>
      </c>
      <c r="AL843" s="120">
        <f t="shared" si="2473"/>
        <v>0.28509975707215518</v>
      </c>
      <c r="AM843" s="120">
        <f t="shared" si="2474"/>
        <v>0.41287769752992159</v>
      </c>
      <c r="AN843" s="120">
        <f t="shared" si="2475"/>
        <v>0.30202254539792323</v>
      </c>
      <c r="AO843" s="120">
        <f t="shared" si="2479"/>
        <v>7.7493087750921591E-2</v>
      </c>
      <c r="AP843" s="173">
        <f t="shared" si="2495"/>
        <v>121.87449456535205</v>
      </c>
      <c r="AQ843" s="175">
        <f t="shared" si="2496"/>
        <v>7.7493087750921591E-2</v>
      </c>
      <c r="AR843" s="177">
        <f>+AC843/$AE$51</f>
        <v>9.4941709071790517E-2</v>
      </c>
      <c r="AS843" s="177">
        <f t="shared" si="2492"/>
        <v>7.3573261923227306E-3</v>
      </c>
      <c r="AT843" s="177"/>
      <c r="AU843" s="177"/>
      <c r="AV843" s="177"/>
      <c r="AW843" s="190"/>
      <c r="AX843" s="120"/>
      <c r="AY843" s="120"/>
      <c r="AZ843" s="118">
        <f>IFERROR(INDEX('Total Customers'!$F$7:$AB$91,MATCH($C843,'Total Customers'!$D$7:$D$91,0),MATCH($G843,'Total Customers'!$F$5:$AB$5,0)),"NA")</f>
        <v>4409573</v>
      </c>
      <c r="BA843" s="119">
        <f t="shared" si="2452"/>
        <v>8.6595358238319761E-3</v>
      </c>
      <c r="BB843" s="119"/>
      <c r="BC843" s="121"/>
      <c r="BD843" s="119"/>
      <c r="BE843" s="119"/>
      <c r="BF843" s="119"/>
      <c r="BG843" s="173"/>
      <c r="BH843" s="173"/>
      <c r="BI843" s="173"/>
      <c r="BJ843" s="173"/>
      <c r="BK843" s="173"/>
      <c r="BL843" s="173"/>
      <c r="BM843" s="173"/>
      <c r="BN843" s="173"/>
      <c r="BO843" s="173"/>
      <c r="BP843" s="173"/>
      <c r="BQ843" s="118"/>
      <c r="BR843" s="118"/>
      <c r="BS843" s="118">
        <f>INDEX('Dist. Plant Gas Additions'!$F$7:$AE$91,MATCH($C843,'Dist. Plant Gas Additions'!$D$7:$D$91,0),MATCH(Calculation!$G843,'Dist. Plant Gas Additions'!$F$5:$AE$5,0))</f>
        <v>594565</v>
      </c>
      <c r="BT843" s="118">
        <f>INDEX('Gen. Plant Additions'!$F$7:$AE$91,MATCH($C843,'Gen. Plant Additions'!$D$7:$D$91,0),MATCH(Calculation!$G843,'Gen. Plant Additions'!$F$5:$AE$5,0))</f>
        <v>64622</v>
      </c>
      <c r="BU843" s="118"/>
      <c r="BV843" s="118"/>
      <c r="BW843" s="118">
        <f>INDEX('Dist Plant Depreciation'!$E$7:$AD$94,MATCH($C843,'Dist Plant Depreciation'!$D$7:$D$94,0),MATCH(Calculation!$G843,'Dist Plant Depreciation'!$E$5:$AD$5,0))</f>
        <v>4183610</v>
      </c>
      <c r="BX843" s="118">
        <f>INDEX('Gen. Plant Depreciation'!$E$7:$AD$94,MATCH($C843,'Gen. Plant Depreciation'!$D$7:$D$94,0),MATCH(Calculation!$G843,'Gen. Plant Depreciation'!$E$5:$AD$5,0))</f>
        <v>31130</v>
      </c>
      <c r="BY843" s="118"/>
      <c r="BZ843" s="118"/>
      <c r="CA843" s="118"/>
      <c r="CB843" s="118"/>
      <c r="CC843" s="118"/>
      <c r="CD843" s="183"/>
      <c r="CE843" s="118">
        <f>INDEX('Gross Dx Plant'!$E$7:$AD$91,MATCH($C843,'Gross Dx Plant'!$D$7:$D$91,0),MATCH(Calculation!$G843,'Gross Dx Plant'!$E$5:$AD$5,0))</f>
        <v>7246771</v>
      </c>
      <c r="CF843" s="118">
        <f>INDEX('Gross Gen Plant'!$E$7:$AD$91,MATCH($C843,'Gross Gen Plant'!$D$7:$D$91,0),MATCH(Calculation!$G843,'Gross Gen Plant'!$E$5:$AD$5,0))</f>
        <v>183776</v>
      </c>
      <c r="CG843" s="118">
        <f t="shared" si="2468"/>
        <v>3215807</v>
      </c>
      <c r="CH843" s="118"/>
      <c r="CI843" s="121">
        <v>2013</v>
      </c>
      <c r="CJ843" s="118"/>
      <c r="CK843" s="118"/>
      <c r="CL843" s="118"/>
      <c r="CM843" s="183"/>
      <c r="CN843" s="118">
        <f t="shared" si="2453"/>
        <v>659187</v>
      </c>
      <c r="CO843" s="118">
        <f t="shared" si="2454"/>
        <v>993.87649415421606</v>
      </c>
      <c r="CP843" s="186">
        <v>0.90566037735849059</v>
      </c>
      <c r="CQ843" s="118">
        <f>+CQ828*CP843+CO829*CP842+CO830*CP841+CO831*CP840+CO832*CP839+CO833*CP838+CO834*CP837+CO835*CP836+CO836*CP835+CO837*CP834+CO838*CP833+CO839*CP832+CO840*CP831+CO841*CP830+CO842*CP829+CO843</f>
        <v>15200.322315603975</v>
      </c>
      <c r="CR843" s="119">
        <f t="shared" si="2455"/>
        <v>5.9992586047180385E-2</v>
      </c>
      <c r="CS843" s="119"/>
      <c r="CT843" s="177">
        <f t="shared" si="2456"/>
        <v>7.5992325668646464E-3</v>
      </c>
      <c r="CU843" s="177">
        <f t="shared" si="2465"/>
        <v>7.407072570827007E-3</v>
      </c>
      <c r="CV843" s="119">
        <f>VLOOKUP($H843,RoR!$E:$F,2,FALSE)</f>
        <v>4.2350000000000006E-2</v>
      </c>
      <c r="CW843" s="177">
        <v>1.7730000000000024E-2</v>
      </c>
      <c r="CX843" s="177">
        <f t="shared" si="2463"/>
        <v>2.4619999999999982E-2</v>
      </c>
      <c r="CY843" s="177">
        <f t="shared" si="2466"/>
        <v>2.3494869037706617E-2</v>
      </c>
      <c r="CZ843" s="177">
        <f t="shared" si="2467"/>
        <v>5.3376742735721204E-2</v>
      </c>
      <c r="DA843" s="187">
        <f t="shared" si="2457"/>
        <v>0.84720249999999997</v>
      </c>
      <c r="DB843" s="188">
        <f t="shared" si="2458"/>
        <v>1.2109103018193925</v>
      </c>
      <c r="DC843" s="188">
        <f t="shared" si="2459"/>
        <v>0.38468122786304604</v>
      </c>
      <c r="DD843" s="188">
        <f t="shared" si="2460"/>
        <v>0.80969194503422559</v>
      </c>
      <c r="DE843" s="188">
        <f t="shared" si="2461"/>
        <v>0.37716621754800816</v>
      </c>
      <c r="DF843" s="189">
        <f>INDEX('State Tax Lookup'!$D$7:$Z$91,MATCH(Calculation!$C843,'State Tax Lookup'!$B$7:$B$91,0),MATCH($H843,'State Tax Lookup'!$D$6:$Z$6,0))</f>
        <v>0.40745999999999999</v>
      </c>
      <c r="DG843" s="189">
        <v>0.375</v>
      </c>
      <c r="DH843" s="190">
        <f t="shared" si="2464"/>
        <v>22.203868251098442</v>
      </c>
      <c r="DI843" s="190">
        <v>21.908859505368209</v>
      </c>
      <c r="DJ843" s="177"/>
      <c r="DK843" s="189">
        <f>VLOOKUP($H843,RoR!$E:$F,2,FALSE)</f>
        <v>4.2350000000000006E-2</v>
      </c>
      <c r="DL843" s="191">
        <f>HLOOKUP($H843,'GDP-PI'!$D$8:$CQ$11,3,FALSE)</f>
        <v>1.7730000000000024E-2</v>
      </c>
      <c r="DM843" s="189">
        <f>VLOOKUP(H843,'HW Dx Data'!$E:$F,2,FALSE)</f>
        <v>663.24840548821396</v>
      </c>
      <c r="DN843" s="183">
        <f>VLOOKUP(H843,'ECI - Input Price'!$G$17:$H$37,2,FALSE)</f>
        <v>118.72499999999999</v>
      </c>
      <c r="DO843" s="177">
        <f t="shared" ref="DO843" si="2507">LN(DN843/DN842)</f>
        <v>1.8918621429430321E-2</v>
      </c>
      <c r="DP843" s="183">
        <f>HLOOKUP(H843,'GDP-PI'!$8:$9,2,FALSE)</f>
        <v>101.773</v>
      </c>
      <c r="DQ843" s="177">
        <f t="shared" ref="DQ843" si="2508">LN(DP843/DP842)</f>
        <v>1.7574657016510519E-2</v>
      </c>
    </row>
    <row r="844" spans="1:121" s="167" customFormat="1" ht="21" x14ac:dyDescent="0.35">
      <c r="A844" s="167" t="s">
        <v>85</v>
      </c>
      <c r="B844" s="168" t="s">
        <v>85</v>
      </c>
      <c r="C844" s="168">
        <v>4004218</v>
      </c>
      <c r="D844" s="168" t="s">
        <v>146</v>
      </c>
      <c r="E844" s="168"/>
      <c r="F844" s="168"/>
      <c r="G844" s="168" t="s">
        <v>20</v>
      </c>
      <c r="H844" s="169">
        <v>2014</v>
      </c>
      <c r="I844" s="170"/>
      <c r="J844" s="166">
        <f>IFERROR(INDEX('Labor Expenditures'!$F$7:$X$91,MATCH($C844,'Labor Expenditures'!$D$7:$D$91,0),MATCH($G844,'Labor Expenditures'!$F$5:$X$5,0)),"NA")</f>
        <v>262813.24157941324</v>
      </c>
      <c r="K844" s="166">
        <f t="shared" si="2471"/>
        <v>2168.4260856387232</v>
      </c>
      <c r="L844" s="172">
        <f t="shared" si="2478"/>
        <v>-0.15311654874477709</v>
      </c>
      <c r="M844" s="172">
        <f t="shared" si="2482"/>
        <v>-1.3312796101686735E-2</v>
      </c>
      <c r="N844" s="196"/>
      <c r="O844" s="172"/>
      <c r="P844" s="166">
        <f>IFERROR(INDEX('Non-Labor Expenditures'!$F$7:$AB$91,MATCH($C844,'Non-Labor Expenditures'!$D$7:$D$91,0),MATCH($G844,'Non-Labor Expenditures'!$F$5:$AB$5,0)),"NA")</f>
        <v>380602.66054951696</v>
      </c>
      <c r="Q844" s="166">
        <f t="shared" si="2472"/>
        <v>3672.1049383920126</v>
      </c>
      <c r="R844" s="172">
        <f t="shared" si="2483"/>
        <v>-0.15073042144300436</v>
      </c>
      <c r="S844" s="172">
        <f t="shared" si="2488"/>
        <v>-1.3105333051470538E-2</v>
      </c>
      <c r="T844" s="172"/>
      <c r="U844" s="172"/>
      <c r="V844" s="166">
        <f t="shared" si="2451"/>
        <v>346007.05895076884</v>
      </c>
      <c r="W844" s="170"/>
      <c r="X844" s="174">
        <v>15994.406088570915</v>
      </c>
      <c r="Y844" s="175">
        <v>5.0922409042975493E-2</v>
      </c>
      <c r="Z844" s="175">
        <f t="shared" si="2489"/>
        <v>4.4274747187896353E-3</v>
      </c>
      <c r="AA844" s="175"/>
      <c r="AB844" s="175"/>
      <c r="AC844" s="170">
        <f t="shared" si="2462"/>
        <v>989422.96107969899</v>
      </c>
      <c r="AD844" s="175">
        <f t="shared" si="2484"/>
        <v>-6.1722270957575695E-2</v>
      </c>
      <c r="AE844" s="170"/>
      <c r="AF844" s="170"/>
      <c r="AG844" s="121">
        <f t="shared" si="2485"/>
        <v>225.08104483037624</v>
      </c>
      <c r="AH844" s="119">
        <f>+AZ844/$BB$52</f>
        <v>0.11998140380995143</v>
      </c>
      <c r="AI844" s="119"/>
      <c r="AJ844" s="176">
        <f t="shared" si="2490"/>
        <v>27.005539729759153</v>
      </c>
      <c r="AK844" s="176">
        <f t="shared" si="2491"/>
        <v>0</v>
      </c>
      <c r="AL844" s="120">
        <f t="shared" si="2473"/>
        <v>0.26562274367740629</v>
      </c>
      <c r="AM844" s="120">
        <f t="shared" si="2474"/>
        <v>0.38467134433002009</v>
      </c>
      <c r="AN844" s="120">
        <f t="shared" si="2475"/>
        <v>0.34970591199257367</v>
      </c>
      <c r="AO844" s="120">
        <f t="shared" si="2479"/>
        <v>-8.5676024369846407E-2</v>
      </c>
      <c r="AP844" s="173">
        <f t="shared" si="2495"/>
        <v>111.86756964221948</v>
      </c>
      <c r="AQ844" s="175">
        <f t="shared" si="2496"/>
        <v>-8.5676024369846379E-2</v>
      </c>
      <c r="AR844" s="177">
        <f>+AC844/$AE$52</f>
        <v>8.6945507920748788E-2</v>
      </c>
      <c r="AS844" s="177">
        <f t="shared" si="2492"/>
        <v>-7.4491454554667449E-3</v>
      </c>
      <c r="AT844" s="177"/>
      <c r="AU844" s="177"/>
      <c r="AV844" s="177"/>
      <c r="AW844" s="190"/>
      <c r="AX844" s="120"/>
      <c r="AY844" s="120"/>
      <c r="AZ844" s="118">
        <f>IFERROR(INDEX('Total Customers'!$F$7:$AB$91,MATCH($C844,'Total Customers'!$D$7:$D$91,0),MATCH($G844,'Total Customers'!$F$5:$AB$5,0)),"NA")</f>
        <v>4395852</v>
      </c>
      <c r="BA844" s="119">
        <f t="shared" si="2452"/>
        <v>-3.1164903693907671E-3</v>
      </c>
      <c r="BB844" s="119"/>
      <c r="BC844" s="121"/>
      <c r="BD844" s="119"/>
      <c r="BE844" s="119"/>
      <c r="BF844" s="119"/>
      <c r="BG844" s="173"/>
      <c r="BH844" s="173"/>
      <c r="BI844" s="173"/>
      <c r="BJ844" s="173"/>
      <c r="BK844" s="173"/>
      <c r="BL844" s="173"/>
      <c r="BM844" s="173"/>
      <c r="BN844" s="173"/>
      <c r="BO844" s="173"/>
      <c r="BP844" s="173"/>
      <c r="BQ844" s="118"/>
      <c r="BR844" s="118"/>
      <c r="BS844" s="118">
        <f>INDEX('Dist. Plant Gas Additions'!$F$7:$AE$91,MATCH($C844,'Dist. Plant Gas Additions'!$D$7:$D$91,0),MATCH(Calculation!$G844,'Dist. Plant Gas Additions'!$F$5:$AE$5,0))</f>
        <v>596995</v>
      </c>
      <c r="BT844" s="118">
        <f>INDEX('Gen. Plant Additions'!$F$7:$AE$91,MATCH($C844,'Gen. Plant Additions'!$D$7:$D$91,0),MATCH(Calculation!$G844,'Gen. Plant Additions'!$F$5:$AE$5,0))</f>
        <v>27110</v>
      </c>
      <c r="BU844" s="118"/>
      <c r="BV844" s="118"/>
      <c r="BW844" s="118">
        <f>INDEX('Dist Plant Depreciation'!$E$7:$AD$94,MATCH($C844,'Dist Plant Depreciation'!$D$7:$D$94,0),MATCH(Calculation!$G844,'Dist Plant Depreciation'!$E$5:$AD$5,0))</f>
        <v>4370240</v>
      </c>
      <c r="BX844" s="118">
        <f>INDEX('Gen. Plant Depreciation'!$E$7:$AD$94,MATCH($C844,'Gen. Plant Depreciation'!$D$7:$D$94,0),MATCH(Calculation!$G844,'Gen. Plant Depreciation'!$E$5:$AD$5,0))</f>
        <v>38002</v>
      </c>
      <c r="BY844" s="118"/>
      <c r="BZ844" s="118"/>
      <c r="CA844" s="118"/>
      <c r="CB844" s="118"/>
      <c r="CC844" s="118"/>
      <c r="CD844" s="183"/>
      <c r="CE844" s="118">
        <f>INDEX('Gross Dx Plant'!$E$7:$AD$91,MATCH($C844,'Gross Dx Plant'!$D$7:$D$91,0),MATCH(Calculation!$G844,'Gross Dx Plant'!$E$5:$AD$5,0))</f>
        <v>7789078</v>
      </c>
      <c r="CF844" s="118">
        <f>INDEX('Gross Gen Plant'!$E$7:$AD$91,MATCH($C844,'Gross Gen Plant'!$D$7:$D$91,0),MATCH(Calculation!$G844,'Gross Gen Plant'!$E$5:$AD$5,0))</f>
        <v>204572</v>
      </c>
      <c r="CG844" s="118">
        <f t="shared" si="2468"/>
        <v>3585408</v>
      </c>
      <c r="CH844" s="118"/>
      <c r="CI844" s="121">
        <v>2014</v>
      </c>
      <c r="CJ844" s="118"/>
      <c r="CK844" s="118"/>
      <c r="CL844" s="118"/>
      <c r="CM844" s="183"/>
      <c r="CN844" s="118">
        <f t="shared" si="2453"/>
        <v>624105</v>
      </c>
      <c r="CO844" s="118">
        <f t="shared" si="2454"/>
        <v>911.80881785401436</v>
      </c>
      <c r="CP844" s="186">
        <v>0.89743589743589747</v>
      </c>
      <c r="CQ844" s="118">
        <f>+CQ828*CP844+CO829*CP843+CO830*CP842+CO831*CP841+CO832*CP840+CO833*CP839+CO834*CP838+CO835*CP837+CO836*CP836+CO837*CP835+CO838*CP834+CO839*CP833+CO840*CP832+CO841*CP831+CO842*CP830+CO843*CP829+CO844</f>
        <v>15994.406088570915</v>
      </c>
      <c r="CR844" s="119">
        <f t="shared" si="2455"/>
        <v>5.0922409042975493E-2</v>
      </c>
      <c r="CS844" s="119"/>
      <c r="CT844" s="177">
        <f t="shared" si="2456"/>
        <v>7.7449045120722808E-3</v>
      </c>
      <c r="CU844" s="177">
        <f t="shared" si="2465"/>
        <v>7.5849094286837395E-3</v>
      </c>
      <c r="CV844" s="119">
        <f>VLOOKUP($H844,RoR!$E:$F,2,FALSE)</f>
        <v>4.1625000000000002E-2</v>
      </c>
      <c r="CW844" s="177">
        <v>1.841352814597208E-2</v>
      </c>
      <c r="CX844" s="177">
        <f t="shared" si="2463"/>
        <v>2.3211471854027922E-2</v>
      </c>
      <c r="CY844" s="177">
        <f t="shared" si="2466"/>
        <v>2.3317032179849886E-2</v>
      </c>
      <c r="CZ844" s="177">
        <f t="shared" si="2467"/>
        <v>3.9072621432650924E-2</v>
      </c>
      <c r="DA844" s="187">
        <f t="shared" si="2457"/>
        <v>0.84720249999999997</v>
      </c>
      <c r="DB844" s="188">
        <f t="shared" si="2458"/>
        <v>1.2320012320012319</v>
      </c>
      <c r="DC844" s="188">
        <f t="shared" si="2459"/>
        <v>0.37439939939939942</v>
      </c>
      <c r="DD844" s="188">
        <f t="shared" si="2460"/>
        <v>0.80432100613819935</v>
      </c>
      <c r="DE844" s="188">
        <f t="shared" si="2461"/>
        <v>0.37100152660040037</v>
      </c>
      <c r="DF844" s="189">
        <f>INDEX('State Tax Lookup'!$D$7:$Z$91,MATCH(Calculation!$C844,'State Tax Lookup'!$B$7:$B$91,0),MATCH($H844,'State Tax Lookup'!$D$6:$Z$6,0))</f>
        <v>0.40745999999999999</v>
      </c>
      <c r="DG844" s="189">
        <v>0.375</v>
      </c>
      <c r="DH844" s="190">
        <f t="shared" si="2464"/>
        <v>22.763139607610384</v>
      </c>
      <c r="DI844" s="190">
        <v>22.477736303015117</v>
      </c>
      <c r="DJ844" s="177"/>
      <c r="DK844" s="189">
        <f>VLOOKUP($H844,RoR!$E:$F,2,FALSE)</f>
        <v>4.1625000000000002E-2</v>
      </c>
      <c r="DL844" s="191">
        <f>HLOOKUP($H844,'GDP-PI'!$D$8:$CQ$11,3,FALSE)</f>
        <v>1.841352814597208E-2</v>
      </c>
      <c r="DM844" s="189">
        <f>VLOOKUP(H844,'HW Dx Data'!$E:$F,2,FALSE)</f>
        <v>684.46914285042885</v>
      </c>
      <c r="DN844" s="183">
        <f>VLOOKUP(H844,'ECI - Input Price'!$G$17:$H$37,2,FALSE)</f>
        <v>121.2</v>
      </c>
      <c r="DO844" s="177">
        <f t="shared" ref="DO844" si="2509">LN(DN844/DN843)</f>
        <v>2.0632179200028689E-2</v>
      </c>
      <c r="DP844" s="183">
        <f>HLOOKUP(H844,'GDP-PI'!$8:$9,2,FALSE)</f>
        <v>103.64700000000001</v>
      </c>
      <c r="DQ844" s="177">
        <f t="shared" ref="DQ844" si="2510">LN(DP844/DP843)</f>
        <v>1.8246051898256087E-2</v>
      </c>
    </row>
    <row r="845" spans="1:121" s="167" customFormat="1" ht="21" x14ac:dyDescent="0.35">
      <c r="A845" s="167" t="s">
        <v>85</v>
      </c>
      <c r="B845" s="168" t="s">
        <v>85</v>
      </c>
      <c r="C845" s="168">
        <v>4004218</v>
      </c>
      <c r="D845" s="168" t="s">
        <v>146</v>
      </c>
      <c r="E845" s="168"/>
      <c r="F845" s="168"/>
      <c r="G845" s="168" t="s">
        <v>21</v>
      </c>
      <c r="H845" s="169">
        <v>2015</v>
      </c>
      <c r="I845" s="170"/>
      <c r="J845" s="166">
        <f>IFERROR(INDEX('Labor Expenditures'!$F$7:$X$91,MATCH($C845,'Labor Expenditures'!$D$7:$D$91,0),MATCH($G845,'Labor Expenditures'!$F$5:$X$5,0)),"NA")</f>
        <v>294789.49262681877</v>
      </c>
      <c r="K845" s="166">
        <f t="shared" si="2471"/>
        <v>2382.1373141561112</v>
      </c>
      <c r="L845" s="172">
        <f t="shared" si="2478"/>
        <v>9.3996517619348574E-2</v>
      </c>
      <c r="M845" s="172">
        <f t="shared" si="2482"/>
        <v>8.825525640955071E-3</v>
      </c>
      <c r="N845" s="196"/>
      <c r="O845" s="172"/>
      <c r="P845" s="166">
        <f>IFERROR(INDEX('Non-Labor Expenditures'!$F$7:$AB$91,MATCH($C845,'Non-Labor Expenditures'!$D$7:$D$91,0),MATCH($G845,'Non-Labor Expenditures'!$F$5:$AB$5,0)),"NA")</f>
        <v>426910.24440603418</v>
      </c>
      <c r="Q845" s="166">
        <f t="shared" si="2472"/>
        <v>4079.8387255806556</v>
      </c>
      <c r="R845" s="172">
        <f t="shared" si="2483"/>
        <v>0.10529240924749128</v>
      </c>
      <c r="S845" s="172">
        <f t="shared" si="2488"/>
        <v>9.8861200515410023E-3</v>
      </c>
      <c r="T845" s="172"/>
      <c r="U845" s="172"/>
      <c r="V845" s="166">
        <f t="shared" si="2451"/>
        <v>357564.77869524847</v>
      </c>
      <c r="W845" s="170"/>
      <c r="X845" s="174">
        <v>16911.596614354898</v>
      </c>
      <c r="Y845" s="175">
        <v>5.5760535162362353E-2</v>
      </c>
      <c r="Z845" s="175">
        <f t="shared" si="2489"/>
        <v>5.2354709013975945E-3</v>
      </c>
      <c r="AA845" s="175"/>
      <c r="AB845" s="175"/>
      <c r="AC845" s="170">
        <f t="shared" si="2462"/>
        <v>1079264.5157281014</v>
      </c>
      <c r="AD845" s="175">
        <f t="shared" si="2484"/>
        <v>8.6913178575261721E-2</v>
      </c>
      <c r="AE845" s="170"/>
      <c r="AF845" s="170"/>
      <c r="AG845" s="121">
        <f t="shared" si="2485"/>
        <v>242.51118799742522</v>
      </c>
      <c r="AH845" s="119">
        <f>+AZ845/$BB$53</f>
        <v>0.12048453664765645</v>
      </c>
      <c r="AI845" s="119"/>
      <c r="AJ845" s="176">
        <f t="shared" si="2490"/>
        <v>29.218848117742482</v>
      </c>
      <c r="AK845" s="176">
        <f t="shared" si="2491"/>
        <v>0</v>
      </c>
      <c r="AL845" s="120">
        <f t="shared" si="2473"/>
        <v>0.27313924281847229</v>
      </c>
      <c r="AM845" s="120">
        <f t="shared" si="2474"/>
        <v>0.39555663897467142</v>
      </c>
      <c r="AN845" s="120">
        <f t="shared" si="2475"/>
        <v>0.33130411820685635</v>
      </c>
      <c r="AO845" s="120">
        <f t="shared" si="2479"/>
        <v>8.5383659207807105E-2</v>
      </c>
      <c r="AP845" s="173">
        <f t="shared" si="2495"/>
        <v>121.83886791724915</v>
      </c>
      <c r="AQ845" s="175">
        <f t="shared" si="2496"/>
        <v>8.5383659207807147E-2</v>
      </c>
      <c r="AR845" s="177">
        <f>+AC845/$AE$53</f>
        <v>9.3892049029892927E-2</v>
      </c>
      <c r="AS845" s="177">
        <f t="shared" si="2492"/>
        <v>8.0168467166910964E-3</v>
      </c>
      <c r="AT845" s="177"/>
      <c r="AU845" s="177"/>
      <c r="AV845" s="177"/>
      <c r="AW845" s="190"/>
      <c r="AX845" s="120"/>
      <c r="AY845" s="120"/>
      <c r="AZ845" s="118">
        <f>IFERROR(INDEX('Total Customers'!$F$7:$AB$91,MATCH($C845,'Total Customers'!$D$7:$D$91,0),MATCH($G845,'Total Customers'!$F$5:$AB$5,0)),"NA")</f>
        <v>4450370</v>
      </c>
      <c r="BA845" s="119">
        <f t="shared" si="2452"/>
        <v>1.2325869784464842E-2</v>
      </c>
      <c r="BB845" s="119"/>
      <c r="BC845" s="121"/>
      <c r="BD845" s="119"/>
      <c r="BE845" s="119"/>
      <c r="BF845" s="119"/>
      <c r="BG845" s="173"/>
      <c r="BH845" s="173"/>
      <c r="BI845" s="173"/>
      <c r="BJ845" s="173"/>
      <c r="BK845" s="173"/>
      <c r="BL845" s="173"/>
      <c r="BM845" s="173"/>
      <c r="BN845" s="173"/>
      <c r="BO845" s="173"/>
      <c r="BP845" s="173"/>
      <c r="BQ845" s="118"/>
      <c r="BR845" s="118"/>
      <c r="BS845" s="118">
        <f>INDEX('Dist. Plant Gas Additions'!$F$7:$AE$91,MATCH($C845,'Dist. Plant Gas Additions'!$D$7:$D$91,0),MATCH(Calculation!$G845,'Dist. Plant Gas Additions'!$F$5:$AE$5,0))</f>
        <v>671886</v>
      </c>
      <c r="BT845" s="118">
        <f>INDEX('Gen. Plant Additions'!$F$7:$AE$91,MATCH($C845,'Gen. Plant Additions'!$D$7:$D$91,0),MATCH(Calculation!$G845,'Gen. Plant Additions'!$F$5:$AE$5,0))</f>
        <v>33336</v>
      </c>
      <c r="BU845" s="118"/>
      <c r="BV845" s="118"/>
      <c r="BW845" s="118">
        <f>INDEX('Dist Plant Depreciation'!$E$7:$AD$94,MATCH($C845,'Dist Plant Depreciation'!$D$7:$D$94,0),MATCH(Calculation!$G845,'Dist Plant Depreciation'!$E$5:$AD$5,0))</f>
        <v>4600948</v>
      </c>
      <c r="BX845" s="118">
        <f>INDEX('Gen. Plant Depreciation'!$E$7:$AD$94,MATCH($C845,'Gen. Plant Depreciation'!$D$7:$D$94,0),MATCH(Calculation!$G845,'Gen. Plant Depreciation'!$E$5:$AD$5,0))</f>
        <v>34254</v>
      </c>
      <c r="BY845" s="118"/>
      <c r="BZ845" s="118"/>
      <c r="CA845" s="118"/>
      <c r="CB845" s="118"/>
      <c r="CC845" s="118"/>
      <c r="CD845" s="183"/>
      <c r="CE845" s="118">
        <f>INDEX('Gross Dx Plant'!$E$7:$AD$91,MATCH($C845,'Gross Dx Plant'!$D$7:$D$91,0),MATCH(Calculation!$G845,'Gross Dx Plant'!$E$5:$AD$5,0))</f>
        <v>8433857</v>
      </c>
      <c r="CF845" s="118">
        <f>INDEX('Gross Gen Plant'!$E$7:$AD$91,MATCH($C845,'Gross Gen Plant'!$D$7:$D$91,0),MATCH(Calculation!$G845,'Gross Gen Plant'!$E$5:$AD$5,0))</f>
        <v>226029</v>
      </c>
      <c r="CG845" s="118">
        <f t="shared" si="2468"/>
        <v>4024684</v>
      </c>
      <c r="CH845" s="118"/>
      <c r="CI845" s="121">
        <v>2015</v>
      </c>
      <c r="CJ845" s="118"/>
      <c r="CK845" s="118"/>
      <c r="CL845" s="118"/>
      <c r="CM845" s="183"/>
      <c r="CN845" s="118">
        <f t="shared" si="2453"/>
        <v>705222</v>
      </c>
      <c r="CO845" s="118">
        <f t="shared" si="2454"/>
        <v>1043.8228621219703</v>
      </c>
      <c r="CP845" s="186">
        <v>0.88888888888888884</v>
      </c>
      <c r="CQ845" s="118">
        <f>+CQ828*CP845+CO829*CP844+CO830*CP843+CO831*CP842+CO832*CP841+CO833*CP840+CO834*CP839+CO835*CP838+CO836*CP837+CO837*CP836+CO838*CP835+CO839*CP834+CO840*CP833+CO841*CP832+CO842*CP831+CO843*CP830+CO844*CP829+CO845</f>
        <v>16911.596614354898</v>
      </c>
      <c r="CR845" s="119">
        <f t="shared" si="2455"/>
        <v>5.5760535162362353E-2</v>
      </c>
      <c r="CS845" s="119"/>
      <c r="CT845" s="177">
        <f t="shared" si="2456"/>
        <v>7.9172890594840558E-3</v>
      </c>
      <c r="CU845" s="177">
        <f t="shared" si="2465"/>
        <v>7.753808712806994E-3</v>
      </c>
      <c r="CV845" s="119">
        <f>VLOOKUP($H845,RoR!$E:$F,2,FALSE)</f>
        <v>3.8866666666666674E-2</v>
      </c>
      <c r="CW845" s="177">
        <v>9.5709475431029478E-3</v>
      </c>
      <c r="CX845" s="177">
        <f t="shared" si="2463"/>
        <v>2.9295719123563727E-2</v>
      </c>
      <c r="CY845" s="177">
        <f t="shared" si="2466"/>
        <v>2.314813289572663E-2</v>
      </c>
      <c r="CZ845" s="177">
        <f t="shared" si="2467"/>
        <v>3.5270373279175926E-3</v>
      </c>
      <c r="DA845" s="187">
        <f t="shared" si="2457"/>
        <v>0.84720249999999997</v>
      </c>
      <c r="DB845" s="188">
        <f t="shared" si="2458"/>
        <v>1.3194352816994324</v>
      </c>
      <c r="DC845" s="188">
        <f t="shared" si="2459"/>
        <v>0.33177530017152673</v>
      </c>
      <c r="DD845" s="188">
        <f t="shared" si="2460"/>
        <v>0.78242572977668579</v>
      </c>
      <c r="DE845" s="188">
        <f t="shared" si="2461"/>
        <v>0.34251158643433932</v>
      </c>
      <c r="DF845" s="189">
        <f>INDEX('State Tax Lookup'!$D$7:$Z$91,MATCH(Calculation!$C845,'State Tax Lookup'!$B$7:$B$91,0),MATCH($H845,'State Tax Lookup'!$D$6:$Z$6,0))</f>
        <v>0.40745999999999999</v>
      </c>
      <c r="DG845" s="189">
        <v>0.375</v>
      </c>
      <c r="DH845" s="190">
        <f t="shared" si="2464"/>
        <v>22.355614626463229</v>
      </c>
      <c r="DI845" s="190">
        <v>22.042622603664629</v>
      </c>
      <c r="DJ845" s="177"/>
      <c r="DK845" s="189">
        <f>VLOOKUP($H845,RoR!$E:$F,2,FALSE)</f>
        <v>3.8866666666666674E-2</v>
      </c>
      <c r="DL845" s="191">
        <f>HLOOKUP($H845,'GDP-PI'!$D$8:$CQ$11,3,FALSE)</f>
        <v>9.5709475431029478E-3</v>
      </c>
      <c r="DM845" s="189">
        <f>VLOOKUP(H845,'HW Dx Data'!$E:$F,2,FALSE)</f>
        <v>675.61463308665782</v>
      </c>
      <c r="DN845" s="183">
        <f>VLOOKUP(H845,'ECI - Input Price'!$G$17:$H$37,2,FALSE)</f>
        <v>123.75</v>
      </c>
      <c r="DO845" s="177">
        <f t="shared" ref="DO845" si="2511">LN(DN845/DN844)</f>
        <v>2.0821327813585516E-2</v>
      </c>
      <c r="DP845" s="183">
        <f>HLOOKUP(H845,'GDP-PI'!$8:$9,2,FALSE)</f>
        <v>104.639</v>
      </c>
      <c r="DQ845" s="177">
        <f t="shared" ref="DQ845" si="2512">LN(DP845/DP844)</f>
        <v>9.5254361854427965E-3</v>
      </c>
    </row>
    <row r="846" spans="1:121" s="167" customFormat="1" ht="21" x14ac:dyDescent="0.35">
      <c r="A846" s="167" t="s">
        <v>85</v>
      </c>
      <c r="B846" s="168" t="s">
        <v>85</v>
      </c>
      <c r="C846" s="168">
        <v>4004218</v>
      </c>
      <c r="D846" s="168" t="s">
        <v>146</v>
      </c>
      <c r="E846" s="168"/>
      <c r="F846" s="168"/>
      <c r="G846" s="168" t="s">
        <v>22</v>
      </c>
      <c r="H846" s="169">
        <v>2016</v>
      </c>
      <c r="I846" s="170"/>
      <c r="J846" s="166">
        <f>IFERROR(INDEX('Labor Expenditures'!$F$7:$X$91,MATCH($C846,'Labor Expenditures'!$D$7:$D$91,0),MATCH($G846,'Labor Expenditures'!$F$5:$X$5,0)),"NA")</f>
        <v>335216.14992524328</v>
      </c>
      <c r="K846" s="166">
        <f t="shared" si="2471"/>
        <v>2652.0265025731273</v>
      </c>
      <c r="L846" s="172">
        <f t="shared" si="2478"/>
        <v>0.10732594984978414</v>
      </c>
      <c r="M846" s="172">
        <f t="shared" si="2482"/>
        <v>1.0768894762435375E-2</v>
      </c>
      <c r="N846" s="196"/>
      <c r="O846" s="172"/>
      <c r="P846" s="166">
        <f>IFERROR(INDEX('Non-Labor Expenditures'!$F$7:$AB$91,MATCH($C846,'Non-Labor Expenditures'!$D$7:$D$91,0),MATCH($G846,'Non-Labor Expenditures'!$F$5:$AB$5,0)),"NA")</f>
        <v>485455.59483220225</v>
      </c>
      <c r="Q846" s="166">
        <f t="shared" si="2472"/>
        <v>4591.204460469492</v>
      </c>
      <c r="R846" s="172">
        <f t="shared" si="2483"/>
        <v>0.11808493974653626</v>
      </c>
      <c r="S846" s="172">
        <f t="shared" si="2488"/>
        <v>1.1848432657142041E-2</v>
      </c>
      <c r="T846" s="172"/>
      <c r="U846" s="172"/>
      <c r="V846" s="166">
        <f t="shared" si="2451"/>
        <v>373140.9555634851</v>
      </c>
      <c r="W846" s="170"/>
      <c r="X846" s="174">
        <v>18230.410534972347</v>
      </c>
      <c r="Y846" s="175">
        <v>7.5091531376465778E-2</v>
      </c>
      <c r="Z846" s="175">
        <f t="shared" si="2489"/>
        <v>7.5345505916796732E-3</v>
      </c>
      <c r="AA846" s="175"/>
      <c r="AB846" s="175"/>
      <c r="AC846" s="170">
        <f t="shared" si="2462"/>
        <v>1193812.7003209307</v>
      </c>
      <c r="AD846" s="175">
        <f t="shared" si="2484"/>
        <v>0.10087233007038332</v>
      </c>
      <c r="AE846" s="170"/>
      <c r="AF846" s="170"/>
      <c r="AG846" s="121">
        <f t="shared" si="2485"/>
        <v>268.06276534202465</v>
      </c>
      <c r="AH846" s="119">
        <f>+AZ846/$BB$54</f>
        <v>0.11952704742718546</v>
      </c>
      <c r="AI846" s="119"/>
      <c r="AJ846" s="176">
        <f t="shared" si="2490"/>
        <v>32.040750866498669</v>
      </c>
      <c r="AK846" s="176">
        <f t="shared" si="2491"/>
        <v>0</v>
      </c>
      <c r="AL846" s="120">
        <f t="shared" si="2473"/>
        <v>0.280794591844372</v>
      </c>
      <c r="AM846" s="120">
        <f t="shared" si="2474"/>
        <v>0.40664301418614329</v>
      </c>
      <c r="AN846" s="120">
        <f t="shared" si="2475"/>
        <v>0.31256239396948471</v>
      </c>
      <c r="AO846" s="120">
        <f t="shared" si="2479"/>
        <v>0.10126404753432772</v>
      </c>
      <c r="AP846" s="173">
        <f t="shared" si="2495"/>
        <v>134.82308864028423</v>
      </c>
      <c r="AQ846" s="175">
        <f t="shared" si="2496"/>
        <v>0.10126404753432768</v>
      </c>
      <c r="AR846" s="177">
        <f>+AC846/$AE$54</f>
        <v>0.10033821995060624</v>
      </c>
      <c r="AS846" s="177">
        <f t="shared" si="2492"/>
        <v>1.0160654274588015E-2</v>
      </c>
      <c r="AT846" s="177"/>
      <c r="AU846" s="177"/>
      <c r="AV846" s="177"/>
      <c r="AW846" s="190"/>
      <c r="AX846" s="120"/>
      <c r="AY846" s="120"/>
      <c r="AZ846" s="118">
        <f>IFERROR(INDEX('Total Customers'!$F$7:$AB$91,MATCH($C846,'Total Customers'!$D$7:$D$91,0),MATCH($G846,'Total Customers'!$F$5:$AB$5,0)),"NA")</f>
        <v>4453482</v>
      </c>
      <c r="BA846" s="119">
        <f t="shared" si="2452"/>
        <v>6.9902332759317774E-4</v>
      </c>
      <c r="BB846" s="119"/>
      <c r="BC846" s="121"/>
      <c r="BD846" s="119"/>
      <c r="BE846" s="119"/>
      <c r="BF846" s="119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18"/>
      <c r="BR846" s="118"/>
      <c r="BS846" s="118">
        <f>INDEX('Dist. Plant Gas Additions'!$F$7:$AE$91,MATCH($C846,'Dist. Plant Gas Additions'!$D$7:$D$91,0),MATCH(Calculation!$G846,'Dist. Plant Gas Additions'!$F$5:$AE$5,0))</f>
        <v>938464</v>
      </c>
      <c r="BT846" s="118">
        <f>INDEX('Gen. Plant Additions'!$F$7:$AE$91,MATCH($C846,'Gen. Plant Additions'!$D$7:$D$91,0),MATCH(Calculation!$G846,'Gen. Plant Additions'!$F$5:$AE$5,0))</f>
        <v>38772</v>
      </c>
      <c r="BU846" s="118"/>
      <c r="BV846" s="118"/>
      <c r="BW846" s="118">
        <f>INDEX('Dist Plant Depreciation'!$E$7:$AD$94,MATCH($C846,'Dist Plant Depreciation'!$D$7:$D$94,0),MATCH(Calculation!$G846,'Dist Plant Depreciation'!$E$5:$AD$5,0))</f>
        <v>4849089</v>
      </c>
      <c r="BX846" s="118">
        <f>INDEX('Gen. Plant Depreciation'!$E$7:$AD$94,MATCH($C846,'Gen. Plant Depreciation'!$D$7:$D$94,0),MATCH(Calculation!$G846,'Gen. Plant Depreciation'!$E$5:$AD$5,0))</f>
        <v>41931</v>
      </c>
      <c r="BY846" s="118"/>
      <c r="BZ846" s="118"/>
      <c r="CA846" s="118"/>
      <c r="CB846" s="118"/>
      <c r="CC846" s="118"/>
      <c r="CD846" s="183"/>
      <c r="CE846" s="118">
        <f>INDEX('Gross Dx Plant'!$E$7:$AD$91,MATCH($C846,'Gross Dx Plant'!$D$7:$D$91,0),MATCH(Calculation!$G846,'Gross Dx Plant'!$E$5:$AD$5,0))</f>
        <v>9336286</v>
      </c>
      <c r="CF846" s="118">
        <f>INDEX('Gross Gen Plant'!$E$7:$AD$91,MATCH($C846,'Gross Gen Plant'!$D$7:$D$91,0),MATCH(Calculation!$G846,'Gross Gen Plant'!$E$5:$AD$5,0))</f>
        <v>284998</v>
      </c>
      <c r="CG846" s="118">
        <f t="shared" si="2468"/>
        <v>4730264</v>
      </c>
      <c r="CH846" s="118"/>
      <c r="CI846" s="121">
        <v>2016</v>
      </c>
      <c r="CJ846" s="118"/>
      <c r="CK846" s="118"/>
      <c r="CL846" s="118"/>
      <c r="CM846" s="183"/>
      <c r="CN846" s="118">
        <f t="shared" si="2453"/>
        <v>977236</v>
      </c>
      <c r="CO846" s="118">
        <f t="shared" si="2454"/>
        <v>1455.397564066051</v>
      </c>
      <c r="CP846" s="186">
        <v>0.88</v>
      </c>
      <c r="CQ846" s="118">
        <f>+CQ828*CP846+CO829*CP845+CO830*CP844+CO831*CP843+CO832*CP842+CO833*CP841+CO834*CP840+CO835*CP839+CO836*CP838+CO837*CP837+CO838*CP836+CO839*CP835+CO840*CP834+CO841*CP833+CO842*CP832+CO843*CP831+CO844*CP830+CO845*CP829+CO846</f>
        <v>18230.410534972347</v>
      </c>
      <c r="CR846" s="119">
        <f t="shared" si="2455"/>
        <v>7.5091531376465778E-2</v>
      </c>
      <c r="CS846" s="119"/>
      <c r="CT846" s="177">
        <f t="shared" si="2456"/>
        <v>8.0763304945830443E-3</v>
      </c>
      <c r="CU846" s="177">
        <f t="shared" si="2465"/>
        <v>7.9128413553797936E-3</v>
      </c>
      <c r="CV846" s="119">
        <f>VLOOKUP($H846,RoR!$E:$F,2,FALSE)</f>
        <v>3.6658333333333334E-2</v>
      </c>
      <c r="CW846" s="177">
        <v>1.0483662879041455E-2</v>
      </c>
      <c r="CX846" s="177">
        <f t="shared" si="2463"/>
        <v>2.6174670454291879E-2</v>
      </c>
      <c r="CY846" s="177">
        <f t="shared" si="2466"/>
        <v>2.298910025315383E-2</v>
      </c>
      <c r="CZ846" s="177">
        <f t="shared" si="2467"/>
        <v>4.301363574220729E-3</v>
      </c>
      <c r="DA846" s="187">
        <f t="shared" si="2457"/>
        <v>0.84720249999999997</v>
      </c>
      <c r="DB846" s="188">
        <f t="shared" si="2458"/>
        <v>1.3989193348138562</v>
      </c>
      <c r="DC846" s="188">
        <f t="shared" si="2459"/>
        <v>0.29302682427824522</v>
      </c>
      <c r="DD846" s="188">
        <f t="shared" si="2460"/>
        <v>0.76309497491941802</v>
      </c>
      <c r="DE846" s="188">
        <f t="shared" si="2461"/>
        <v>0.31280857135128509</v>
      </c>
      <c r="DF846" s="189">
        <f>INDEX('State Tax Lookup'!$D$7:$Z$91,MATCH(Calculation!$C846,'State Tax Lookup'!$B$7:$B$91,0),MATCH($H846,'State Tax Lookup'!$D$6:$Z$6,0))</f>
        <v>0.40745999999999999</v>
      </c>
      <c r="DG846" s="189">
        <v>0.375</v>
      </c>
      <c r="DH846" s="190">
        <f t="shared" si="2464"/>
        <v>22.064206240985886</v>
      </c>
      <c r="DI846" s="190">
        <v>21.727753165535265</v>
      </c>
      <c r="DJ846" s="177"/>
      <c r="DK846" s="189">
        <f>VLOOKUP($H846,RoR!$E:$F,2,FALSE)</f>
        <v>3.6658333333333334E-2</v>
      </c>
      <c r="DL846" s="191">
        <f>HLOOKUP($H846,'GDP-PI'!$D$8:$CQ$11,3,FALSE)</f>
        <v>1.0483662879041455E-2</v>
      </c>
      <c r="DM846" s="189">
        <f>VLOOKUP(H846,'HW Dx Data'!$E:$F,2,FALSE)</f>
        <v>671.45639385971219</v>
      </c>
      <c r="DN846" s="183">
        <f>VLOOKUP(H846,'ECI - Input Price'!$G$17:$H$37,2,FALSE)</f>
        <v>126.4</v>
      </c>
      <c r="DO846" s="177">
        <f t="shared" ref="DO846" si="2513">LN(DN846/DN845)</f>
        <v>2.11880802639575E-2</v>
      </c>
      <c r="DP846" s="183">
        <f>HLOOKUP(H846,'GDP-PI'!$8:$9,2,FALSE)</f>
        <v>105.736</v>
      </c>
      <c r="DQ846" s="177">
        <f t="shared" ref="DQ846" si="2514">LN(DP846/DP845)</f>
        <v>1.0429090367205095E-2</v>
      </c>
    </row>
    <row r="847" spans="1:121" s="167" customFormat="1" ht="21" x14ac:dyDescent="0.35">
      <c r="A847" s="167" t="s">
        <v>85</v>
      </c>
      <c r="B847" s="168" t="s">
        <v>85</v>
      </c>
      <c r="C847" s="168">
        <v>4004218</v>
      </c>
      <c r="D847" s="168" t="s">
        <v>146</v>
      </c>
      <c r="E847" s="168"/>
      <c r="F847" s="168"/>
      <c r="G847" s="168" t="s">
        <v>23</v>
      </c>
      <c r="H847" s="169">
        <v>2017</v>
      </c>
      <c r="I847" s="170"/>
      <c r="J847" s="166">
        <f>IFERROR(INDEX('Labor Expenditures'!$F$7:$X$91,MATCH($C847,'Labor Expenditures'!$D$7:$D$91,0),MATCH($G847,'Labor Expenditures'!$F$5:$X$5,0)),"NA")</f>
        <v>330916.043893828</v>
      </c>
      <c r="K847" s="166">
        <f t="shared" si="2471"/>
        <v>2555.3362462843861</v>
      </c>
      <c r="L847" s="172">
        <f t="shared" si="2478"/>
        <v>-3.7140247463321244E-2</v>
      </c>
      <c r="M847" s="172">
        <f t="shared" si="2482"/>
        <v>-3.6811911783050642E-3</v>
      </c>
      <c r="N847" s="196"/>
      <c r="O847" s="172"/>
      <c r="P847" s="166">
        <f>IFERROR(INDEX('Non-Labor Expenditures'!$F$7:$AB$91,MATCH($C847,'Non-Labor Expenditures'!$D$7:$D$91,0),MATCH($G847,'Non-Labor Expenditures'!$F$5:$AB$5,0)),"NA")</f>
        <v>479228.23814969225</v>
      </c>
      <c r="Q847" s="166">
        <f t="shared" si="2472"/>
        <v>4447.5525809476685</v>
      </c>
      <c r="R847" s="172">
        <f t="shared" si="2483"/>
        <v>-3.1788436264230814E-2</v>
      </c>
      <c r="S847" s="172">
        <f t="shared" si="2488"/>
        <v>-3.1507412885055366E-3</v>
      </c>
      <c r="T847" s="172"/>
      <c r="U847" s="172"/>
      <c r="V847" s="166">
        <f t="shared" si="2451"/>
        <v>364119.28503038583</v>
      </c>
      <c r="W847" s="170"/>
      <c r="X847" s="174">
        <v>19423.825645912406</v>
      </c>
      <c r="Y847" s="175">
        <v>6.340933043414218E-2</v>
      </c>
      <c r="Z847" s="175">
        <f t="shared" si="2489"/>
        <v>6.2848764819598063E-3</v>
      </c>
      <c r="AA847" s="175"/>
      <c r="AB847" s="175"/>
      <c r="AC847" s="170">
        <f t="shared" si="2462"/>
        <v>1174263.5670739061</v>
      </c>
      <c r="AD847" s="175">
        <f t="shared" si="2484"/>
        <v>-1.6510935583647648E-2</v>
      </c>
      <c r="AE847" s="170"/>
      <c r="AF847" s="170"/>
      <c r="AG847" s="121">
        <f t="shared" si="2485"/>
        <v>261.26765737874445</v>
      </c>
      <c r="AH847" s="119">
        <f>+AZ847/$BB$55</f>
        <v>0.11972122377876487</v>
      </c>
      <c r="AI847" s="119"/>
      <c r="AJ847" s="176">
        <f t="shared" si="2490"/>
        <v>31.279283675194332</v>
      </c>
      <c r="AK847" s="176">
        <f t="shared" si="2491"/>
        <v>0</v>
      </c>
      <c r="AL847" s="120">
        <f t="shared" si="2473"/>
        <v>0.28180729878082023</v>
      </c>
      <c r="AM847" s="120">
        <f t="shared" si="2474"/>
        <v>0.40810960297768523</v>
      </c>
      <c r="AN847" s="120">
        <f t="shared" si="2475"/>
        <v>0.31008309824149455</v>
      </c>
      <c r="AO847" s="120">
        <f t="shared" si="2479"/>
        <v>-3.6566756620222789E-3</v>
      </c>
      <c r="AP847" s="173">
        <f t="shared" si="2495"/>
        <v>134.33098461412061</v>
      </c>
      <c r="AQ847" s="175">
        <f t="shared" si="2496"/>
        <v>-3.6566756620221696E-3</v>
      </c>
      <c r="AR847" s="177">
        <f>+AC847/$AE$55</f>
        <v>9.9115957208968902E-2</v>
      </c>
      <c r="AS847" s="177">
        <f t="shared" si="2492"/>
        <v>-3.6243490844406739E-4</v>
      </c>
      <c r="AT847" s="177"/>
      <c r="AU847" s="177"/>
      <c r="AV847" s="177"/>
      <c r="AW847" s="190"/>
      <c r="AX847" s="120"/>
      <c r="AY847" s="120"/>
      <c r="AZ847" s="118">
        <f>IFERROR(INDEX('Total Customers'!$F$7:$AB$91,MATCH($C847,'Total Customers'!$D$7:$D$91,0),MATCH($G847,'Total Customers'!$F$5:$AB$5,0)),"NA")</f>
        <v>4494485</v>
      </c>
      <c r="BA847" s="119">
        <f t="shared" si="2452"/>
        <v>9.1648274966397228E-3</v>
      </c>
      <c r="BB847" s="119"/>
      <c r="BC847" s="121"/>
      <c r="BD847" s="119"/>
      <c r="BE847" s="119"/>
      <c r="BF847" s="119"/>
      <c r="BG847" s="173"/>
      <c r="BH847" s="173"/>
      <c r="BI847" s="173"/>
      <c r="BJ847" s="173"/>
      <c r="BK847" s="173"/>
      <c r="BL847" s="173"/>
      <c r="BM847" s="173"/>
      <c r="BN847" s="173"/>
      <c r="BO847" s="173"/>
      <c r="BP847" s="173"/>
      <c r="BQ847" s="118"/>
      <c r="BR847" s="118"/>
      <c r="BS847" s="118">
        <f>INDEX('Dist. Plant Gas Additions'!$F$7:$AE$91,MATCH($C847,'Dist. Plant Gas Additions'!$D$7:$D$91,0),MATCH(Calculation!$G847,'Dist. Plant Gas Additions'!$F$5:$AE$5,0))</f>
        <v>843826</v>
      </c>
      <c r="BT847" s="118">
        <f>INDEX('Gen. Plant Additions'!$F$7:$AE$91,MATCH($C847,'Gen. Plant Additions'!$D$7:$D$91,0),MATCH(Calculation!$G847,'Gen. Plant Additions'!$F$5:$AE$5,0))</f>
        <v>112560</v>
      </c>
      <c r="BU847" s="118"/>
      <c r="BV847" s="118"/>
      <c r="BW847" s="118">
        <f>INDEX('Dist Plant Depreciation'!$E$7:$AD$94,MATCH($C847,'Dist Plant Depreciation'!$D$7:$D$94,0),MATCH(Calculation!$G847,'Dist Plant Depreciation'!$E$5:$AD$5,0))</f>
        <v>5099734</v>
      </c>
      <c r="BX847" s="118">
        <f>INDEX('Gen. Plant Depreciation'!$E$7:$AD$94,MATCH($C847,'Gen. Plant Depreciation'!$D$7:$D$94,0),MATCH(Calculation!$G847,'Gen. Plant Depreciation'!$E$5:$AD$5,0))</f>
        <v>52753</v>
      </c>
      <c r="BY847" s="118"/>
      <c r="BZ847" s="118"/>
      <c r="CA847" s="118"/>
      <c r="CB847" s="118"/>
      <c r="CC847" s="118"/>
      <c r="CD847" s="183"/>
      <c r="CE847" s="118">
        <f>INDEX('Gross Dx Plant'!$E$7:$AD$91,MATCH($C847,'Gross Dx Plant'!$D$7:$D$91,0),MATCH(Calculation!$G847,'Gross Dx Plant'!$E$5:$AD$5,0))</f>
        <v>10153337</v>
      </c>
      <c r="CF847" s="118">
        <f>INDEX('Gross Gen Plant'!$E$7:$AD$91,MATCH($C847,'Gross Gen Plant'!$D$7:$D$91,0),MATCH(Calculation!$G847,'Gross Gen Plant'!$E$5:$AD$5,0))</f>
        <v>393077</v>
      </c>
      <c r="CG847" s="118">
        <f t="shared" si="2468"/>
        <v>5393927</v>
      </c>
      <c r="CH847" s="118"/>
      <c r="CI847" s="121">
        <v>2017</v>
      </c>
      <c r="CJ847" s="118"/>
      <c r="CK847" s="118"/>
      <c r="CL847" s="118"/>
      <c r="CM847" s="183"/>
      <c r="CN847" s="118">
        <f t="shared" si="2453"/>
        <v>956386</v>
      </c>
      <c r="CO847" s="118">
        <f t="shared" si="2454"/>
        <v>1342.4306967442583</v>
      </c>
      <c r="CP847" s="186">
        <v>0.87074829931972786</v>
      </c>
      <c r="CQ847" s="118">
        <f>+CQ828*CP847+CO829*CP846+CO830*CP845+CO831*CP844+CO832*CP843+CO833*CP842+CO834*CP841+CO835*CP840+CO836*CP839+CO837*CP838+CO838*CP837+CO839*CP836+CO840*CP835+CO841*CP834+CO842*CP833+CO843*CP832+CO844*CP831+CO845*CP830+CO846*CP829+CO847</f>
        <v>19423.825645912406</v>
      </c>
      <c r="CR847" s="119">
        <f t="shared" si="2455"/>
        <v>6.340933043414218E-2</v>
      </c>
      <c r="CS847" s="119"/>
      <c r="CT847" s="177">
        <f t="shared" si="2456"/>
        <v>8.1740115242240341E-3</v>
      </c>
      <c r="CU847" s="177">
        <f t="shared" si="2465"/>
        <v>8.0558770260970441E-3</v>
      </c>
      <c r="CV847" s="119">
        <f>VLOOKUP($H847,RoR!$E:$F,2,FALSE)</f>
        <v>3.7433333333333339E-2</v>
      </c>
      <c r="CW847" s="177">
        <v>1.9056896421275615E-2</v>
      </c>
      <c r="CX847" s="177">
        <f t="shared" si="2463"/>
        <v>1.8376436912057724E-2</v>
      </c>
      <c r="CY847" s="177">
        <f t="shared" si="2466"/>
        <v>2.2846064582436581E-2</v>
      </c>
      <c r="CZ847" s="177">
        <f t="shared" si="2467"/>
        <v>1.3976271617800498E-2</v>
      </c>
      <c r="DA847" s="187">
        <f t="shared" si="2457"/>
        <v>0.89970250000000007</v>
      </c>
      <c r="DB847" s="188">
        <f t="shared" si="2458"/>
        <v>1.3699568463593395</v>
      </c>
      <c r="DC847" s="188">
        <f t="shared" si="2459"/>
        <v>0.30714603739982199</v>
      </c>
      <c r="DD847" s="188">
        <f t="shared" si="2460"/>
        <v>0.77007188472689425</v>
      </c>
      <c r="DE847" s="188">
        <f t="shared" si="2461"/>
        <v>0.32402839633793828</v>
      </c>
      <c r="DF847" s="189">
        <f>INDEX('State Tax Lookup'!$D$7:$Z$91,MATCH(Calculation!$C847,'State Tax Lookup'!$B$7:$B$91,0),MATCH($H847,'State Tax Lookup'!$D$6:$Z$6,0))</f>
        <v>0.26745999999999998</v>
      </c>
      <c r="DG847" s="189">
        <v>0.375</v>
      </c>
      <c r="DH847" s="190">
        <f t="shared" si="2464"/>
        <v>19.973180764737954</v>
      </c>
      <c r="DI847" s="190">
        <v>19.742338076778744</v>
      </c>
      <c r="DJ847" s="177"/>
      <c r="DK847" s="189">
        <f>VLOOKUP($H847,RoR!$E:$F,2,FALSE)</f>
        <v>3.7433333333333339E-2</v>
      </c>
      <c r="DL847" s="191">
        <f>HLOOKUP($H847,'GDP-PI'!$D$8:$CQ$11,3,FALSE)</f>
        <v>1.9056896421275615E-2</v>
      </c>
      <c r="DM847" s="189">
        <f>VLOOKUP(H847,'HW Dx Data'!$E:$F,2,FALSE)</f>
        <v>712.42858370229726</v>
      </c>
      <c r="DN847" s="183">
        <f>VLOOKUP(H847,'ECI - Input Price'!$G$17:$H$37,2,FALSE)</f>
        <v>129.5</v>
      </c>
      <c r="DO847" s="177">
        <f t="shared" ref="DO847" si="2515">LN(DN847/DN846)</f>
        <v>2.4229399426835413E-2</v>
      </c>
      <c r="DP847" s="183">
        <f>HLOOKUP(H847,'GDP-PI'!$8:$9,2,FALSE)</f>
        <v>107.751</v>
      </c>
      <c r="DQ847" s="177">
        <f t="shared" ref="DQ847" si="2516">LN(DP847/DP846)</f>
        <v>1.8877588227745139E-2</v>
      </c>
    </row>
    <row r="848" spans="1:121" s="167" customFormat="1" ht="21" x14ac:dyDescent="0.35">
      <c r="A848" s="167" t="s">
        <v>85</v>
      </c>
      <c r="B848" s="168" t="s">
        <v>85</v>
      </c>
      <c r="C848" s="168">
        <v>4004218</v>
      </c>
      <c r="D848" s="168" t="s">
        <v>146</v>
      </c>
      <c r="E848" s="168"/>
      <c r="F848" s="168"/>
      <c r="G848" s="168" t="s">
        <v>24</v>
      </c>
      <c r="H848" s="169">
        <v>2018</v>
      </c>
      <c r="I848" s="170"/>
      <c r="J848" s="166">
        <f>IFERROR(INDEX('Labor Expenditures'!$F$7:$X$91,MATCH($C848,'Labor Expenditures'!$D$7:$D$91,0),MATCH($G848,'Labor Expenditures'!$F$5:$X$5,0)),"NA")</f>
        <v>345557.33900176245</v>
      </c>
      <c r="K848" s="166">
        <f t="shared" si="2471"/>
        <v>2593.300855547936</v>
      </c>
      <c r="L848" s="172">
        <f t="shared" si="2478"/>
        <v>1.4747707636994045E-2</v>
      </c>
      <c r="M848" s="172">
        <f t="shared" si="2482"/>
        <v>1.4359338157835613E-3</v>
      </c>
      <c r="N848" s="196"/>
      <c r="O848" s="172"/>
      <c r="P848" s="166">
        <f>IFERROR(INDEX('Non-Labor Expenditures'!$F$7:$AB$91,MATCH($C848,'Non-Labor Expenditures'!$D$7:$D$91,0),MATCH($G848,'Non-Labor Expenditures'!$F$5:$AB$5,0)),"NA")</f>
        <v>500431.56808269583</v>
      </c>
      <c r="Q848" s="166">
        <f t="shared" si="2472"/>
        <v>4536.0994913316999</v>
      </c>
      <c r="R848" s="172">
        <f t="shared" si="2483"/>
        <v>1.971353682684697E-2</v>
      </c>
      <c r="S848" s="172">
        <f t="shared" si="2488"/>
        <v>1.9194396075059347E-3</v>
      </c>
      <c r="T848" s="172"/>
      <c r="U848" s="172"/>
      <c r="V848" s="166">
        <f t="shared" si="2451"/>
        <v>408295.37569600041</v>
      </c>
      <c r="W848" s="170"/>
      <c r="X848" s="174">
        <v>20615.009437323446</v>
      </c>
      <c r="Y848" s="175">
        <v>5.951898533061447E-2</v>
      </c>
      <c r="Z848" s="175">
        <f t="shared" si="2489"/>
        <v>5.7951598866096748E-3</v>
      </c>
      <c r="AA848" s="175"/>
      <c r="AB848" s="175"/>
      <c r="AC848" s="170">
        <f t="shared" si="2462"/>
        <v>1254284.2827804587</v>
      </c>
      <c r="AD848" s="175">
        <f t="shared" si="2484"/>
        <v>6.5923917620975436E-2</v>
      </c>
      <c r="AE848" s="170"/>
      <c r="AF848" s="170"/>
      <c r="AG848" s="121">
        <f t="shared" si="2485"/>
        <v>280.44008892015432</v>
      </c>
      <c r="AH848" s="119">
        <f>+AZ848/$BB$56</f>
        <v>0.11810226223749615</v>
      </c>
      <c r="AI848" s="119"/>
      <c r="AJ848" s="176">
        <f t="shared" si="2490"/>
        <v>33.120608923554805</v>
      </c>
      <c r="AK848" s="176">
        <f t="shared" si="2491"/>
        <v>0</v>
      </c>
      <c r="AL848" s="120">
        <f t="shared" si="2473"/>
        <v>0.27550160975926574</v>
      </c>
      <c r="AM848" s="120">
        <f t="shared" si="2474"/>
        <v>0.39897778753422197</v>
      </c>
      <c r="AN848" s="120">
        <f t="shared" si="2475"/>
        <v>0.32552060270651229</v>
      </c>
      <c r="AO848" s="120">
        <f t="shared" si="2479"/>
        <v>3.0980031597395215E-2</v>
      </c>
      <c r="AP848" s="173">
        <f t="shared" si="2495"/>
        <v>138.55769654877602</v>
      </c>
      <c r="AQ848" s="175">
        <f t="shared" si="2496"/>
        <v>3.0980031597395159E-2</v>
      </c>
      <c r="AR848" s="177">
        <f>+AC848/$AE$56</f>
        <v>9.7366577310061236E-2</v>
      </c>
      <c r="AS848" s="177">
        <f t="shared" si="2492"/>
        <v>3.0164196415959155E-3</v>
      </c>
      <c r="AT848" s="177"/>
      <c r="AU848" s="177"/>
      <c r="AV848" s="177"/>
      <c r="AW848" s="190"/>
      <c r="AX848" s="120"/>
      <c r="AY848" s="120"/>
      <c r="AZ848" s="118">
        <f>IFERROR(INDEX('Total Customers'!$F$7:$AB$91,MATCH($C848,'Total Customers'!$D$7:$D$91,0),MATCH($G848,'Total Customers'!$F$5:$AB$5,0)),"NA")</f>
        <v>4472557</v>
      </c>
      <c r="BA848" s="119">
        <f t="shared" si="2452"/>
        <v>-4.8908087438007666E-3</v>
      </c>
      <c r="BB848" s="119"/>
      <c r="BC848" s="121"/>
      <c r="BD848" s="119"/>
      <c r="BE848" s="119"/>
      <c r="BF848" s="119"/>
      <c r="BG848" s="173"/>
      <c r="BH848" s="173"/>
      <c r="BI848" s="173"/>
      <c r="BJ848" s="173"/>
      <c r="BK848" s="173"/>
      <c r="BL848" s="173"/>
      <c r="BM848" s="173"/>
      <c r="BN848" s="173"/>
      <c r="BO848" s="173"/>
      <c r="BP848" s="173"/>
      <c r="BQ848" s="118"/>
      <c r="BR848" s="118"/>
      <c r="BS848" s="118">
        <f>INDEX('Dist. Plant Gas Additions'!$F$7:$AE$91,MATCH($C848,'Dist. Plant Gas Additions'!$D$7:$D$91,0),MATCH(Calculation!$G848,'Dist. Plant Gas Additions'!$F$5:$AE$5,0))</f>
        <v>959458</v>
      </c>
      <c r="BT848" s="118">
        <f>INDEX('Gen. Plant Additions'!$F$7:$AE$91,MATCH($C848,'Gen. Plant Additions'!$D$7:$D$91,0),MATCH(Calculation!$G848,'Gen. Plant Additions'!$F$5:$AE$5,0))</f>
        <v>61935</v>
      </c>
      <c r="BU848" s="118"/>
      <c r="BV848" s="118"/>
      <c r="BW848" s="118">
        <f>INDEX('Dist Plant Depreciation'!$E$7:$AD$94,MATCH($C848,'Dist Plant Depreciation'!$D$7:$D$94,0),MATCH(Calculation!$G848,'Dist Plant Depreciation'!$E$5:$AD$5,0))</f>
        <v>5344337</v>
      </c>
      <c r="BX848" s="118">
        <f>INDEX('Gen. Plant Depreciation'!$E$7:$AD$94,MATCH($C848,'Gen. Plant Depreciation'!$D$7:$D$94,0),MATCH(Calculation!$G848,'Gen. Plant Depreciation'!$E$5:$AD$5,0))</f>
        <v>65706</v>
      </c>
      <c r="BY848" s="118"/>
      <c r="BZ848" s="118"/>
      <c r="CA848" s="118"/>
      <c r="CB848" s="118"/>
      <c r="CC848" s="118"/>
      <c r="CD848" s="183"/>
      <c r="CE848" s="118">
        <f>INDEX('Gross Dx Plant'!$E$7:$AD$91,MATCH($C848,'Gross Dx Plant'!$D$7:$D$91,0),MATCH(Calculation!$G848,'Gross Dx Plant'!$E$5:$AD$5,0))</f>
        <v>11048640</v>
      </c>
      <c r="CF848" s="118">
        <f>INDEX('Gross Gen Plant'!$E$7:$AD$91,MATCH($C848,'Gross Gen Plant'!$D$7:$D$91,0),MATCH(Calculation!$G848,'Gross Gen Plant'!$E$5:$AD$5,0))</f>
        <v>460316</v>
      </c>
      <c r="CG848" s="118">
        <f t="shared" si="2468"/>
        <v>6098913</v>
      </c>
      <c r="CH848" s="118"/>
      <c r="CI848" s="121">
        <v>2018</v>
      </c>
      <c r="CJ848" s="118"/>
      <c r="CK848" s="118"/>
      <c r="CL848" s="118"/>
      <c r="CM848" s="183"/>
      <c r="CN848" s="118">
        <f t="shared" si="2453"/>
        <v>1021393</v>
      </c>
      <c r="CO848" s="118">
        <f t="shared" si="2454"/>
        <v>1352.5934848636605</v>
      </c>
      <c r="CP848" s="186">
        <v>0.86111111111111116</v>
      </c>
      <c r="CQ848" s="118">
        <f>+CQ828*CP848++CO829*CP847+CO830*CP846+CO831*CP845+CO832*CP844+CO833*CP843+CO834*CP842+CO835*CP841+CO836*CP840+CO837*CP839+CO838*CP838+CO839*CP837+CO840*CP836+CO841*CP835+CO842*CP834+CO843*CP833+CO844*CP832+CO845*CP831+CO846*CP830+CO847*CP829+CO848</f>
        <v>20615.009437323446</v>
      </c>
      <c r="CR848" s="119">
        <f t="shared" si="2455"/>
        <v>5.951898533061447E-2</v>
      </c>
      <c r="CS848" s="119"/>
      <c r="CT848" s="177">
        <f t="shared" si="2456"/>
        <v>8.3098817089406769E-3</v>
      </c>
      <c r="CU848" s="177">
        <f t="shared" si="2465"/>
        <v>8.1867412425825851E-3</v>
      </c>
      <c r="CV848" s="119">
        <f>VLOOKUP($H848,RoR!$E:$F,2,FALSE)</f>
        <v>3.9299999999999995E-2</v>
      </c>
      <c r="CW848" s="177">
        <v>2.386056741932796E-2</v>
      </c>
      <c r="CX848" s="177">
        <f t="shared" si="2463"/>
        <v>1.5439432580672034E-2</v>
      </c>
      <c r="CY848" s="177">
        <f t="shared" si="2466"/>
        <v>2.2715200365951038E-2</v>
      </c>
      <c r="CZ848" s="177">
        <f t="shared" si="2467"/>
        <v>3.8270792163076606E-2</v>
      </c>
      <c r="DA848" s="187">
        <f t="shared" si="2457"/>
        <v>0.89970250000000007</v>
      </c>
      <c r="DB848" s="188">
        <f t="shared" si="2458"/>
        <v>1.3048868010700074</v>
      </c>
      <c r="DC848" s="188">
        <f t="shared" si="2459"/>
        <v>0.33886768447837151</v>
      </c>
      <c r="DD848" s="188">
        <f t="shared" si="2460"/>
        <v>0.78602506232557801</v>
      </c>
      <c r="DE848" s="188">
        <f t="shared" si="2461"/>
        <v>0.34756768162358759</v>
      </c>
      <c r="DF848" s="189">
        <f>INDEX('State Tax Lookup'!$D$7:$Z$91,MATCH(Calculation!$C848,'State Tax Lookup'!$B$7:$B$91,0),MATCH($H848,'State Tax Lookup'!$D$6:$Z$6,0))</f>
        <v>0.26745999999999998</v>
      </c>
      <c r="DG848" s="189">
        <v>0.375</v>
      </c>
      <c r="DH848" s="190">
        <f t="shared" si="2464"/>
        <v>21.020337761419466</v>
      </c>
      <c r="DI848" s="190">
        <v>20.787126205419057</v>
      </c>
      <c r="DJ848" s="177"/>
      <c r="DK848" s="189">
        <f>VLOOKUP($H848,RoR!$E:$F,2,FALSE)</f>
        <v>3.9299999999999995E-2</v>
      </c>
      <c r="DL848" s="191">
        <f>HLOOKUP($H848,'GDP-PI'!$D$8:$CQ$11,3,FALSE)</f>
        <v>2.386056741932796E-2</v>
      </c>
      <c r="DM848" s="189">
        <f>VLOOKUP(H848,'HW Dx Data'!$E:$F,2,FALSE)</f>
        <v>755.13671434174842</v>
      </c>
      <c r="DN848" s="183">
        <f>VLOOKUP(H848,'ECI - Input Price'!$G$17:$H$37,2,FALSE)</f>
        <v>133.25</v>
      </c>
      <c r="DO848" s="177">
        <f t="shared" ref="DO848" si="2517">LN(DN848/DN847)</f>
        <v>2.8546181906361531E-2</v>
      </c>
      <c r="DP848" s="183">
        <f>HLOOKUP(H848,'GDP-PI'!$8:$9,2,FALSE)</f>
        <v>110.322</v>
      </c>
      <c r="DQ848" s="177">
        <f t="shared" ref="DQ848" si="2518">LN(DP848/DP847)</f>
        <v>2.3580352716508712E-2</v>
      </c>
    </row>
    <row r="849" spans="1:121" s="167" customFormat="1" ht="21" x14ac:dyDescent="0.35">
      <c r="A849" s="167" t="s">
        <v>85</v>
      </c>
      <c r="B849" s="168" t="s">
        <v>85</v>
      </c>
      <c r="C849" s="168">
        <v>4004218</v>
      </c>
      <c r="D849" s="168" t="s">
        <v>146</v>
      </c>
      <c r="E849" s="168"/>
      <c r="F849" s="168"/>
      <c r="G849" s="168" t="s">
        <v>25</v>
      </c>
      <c r="H849" s="169">
        <v>2019</v>
      </c>
      <c r="I849" s="170"/>
      <c r="J849" s="166">
        <f>IFERROR(INDEX('Labor Expenditures'!$F$7:$X$91,MATCH($C849,'Labor Expenditures'!$D$7:$D$91,0),MATCH($G849,'Labor Expenditures'!$F$5:$X$5,0)),"NA")</f>
        <v>422458.99195655232</v>
      </c>
      <c r="K849" s="166">
        <f t="shared" si="2471"/>
        <v>3087.0222284000902</v>
      </c>
      <c r="L849" s="172">
        <f t="shared" si="2478"/>
        <v>0.17427542026586901</v>
      </c>
      <c r="M849" s="172">
        <f t="shared" si="2482"/>
        <v>1.9354479936063828E-2</v>
      </c>
      <c r="N849" s="196"/>
      <c r="O849" s="172"/>
      <c r="P849" s="166">
        <f>IFERROR(INDEX('Non-Labor Expenditures'!$F$7:$AB$91,MATCH($C849,'Non-Labor Expenditures'!$D$7:$D$91,0),MATCH($G849,'Non-Labor Expenditures'!$F$5:$AB$5,0)),"NA")</f>
        <v>611799.52480874443</v>
      </c>
      <c r="Q849" s="166">
        <f t="shared" si="2472"/>
        <v>5447.0300825223421</v>
      </c>
      <c r="R849" s="172">
        <f t="shared" si="2483"/>
        <v>0.18300302125520151</v>
      </c>
      <c r="S849" s="172">
        <f t="shared" si="2488"/>
        <v>2.0323739846499336E-2</v>
      </c>
      <c r="T849" s="172"/>
      <c r="U849" s="172"/>
      <c r="V849" s="166">
        <f t="shared" si="2451"/>
        <v>441158.12434969161</v>
      </c>
      <c r="W849" s="170"/>
      <c r="X849" s="174">
        <v>21655.196641103303</v>
      </c>
      <c r="Y849" s="175">
        <v>4.9226031310247831E-2</v>
      </c>
      <c r="Z849" s="175">
        <f t="shared" si="2489"/>
        <v>5.4668881812063074E-3</v>
      </c>
      <c r="AA849" s="175"/>
      <c r="AB849" s="175"/>
      <c r="AC849" s="170">
        <f t="shared" si="2462"/>
        <v>1475416.6411149884</v>
      </c>
      <c r="AD849" s="175">
        <f t="shared" si="2484"/>
        <v>0.16237530115773244</v>
      </c>
      <c r="AE849" s="170"/>
      <c r="AF849" s="170"/>
      <c r="AG849" s="121">
        <f t="shared" si="2485"/>
        <v>326.56945711704628</v>
      </c>
      <c r="AH849" s="119">
        <f>+AZ849/$BB$57</f>
        <v>0.11832424769112036</v>
      </c>
      <c r="AI849" s="119"/>
      <c r="AJ849" s="176">
        <f t="shared" si="2490"/>
        <v>38.641085332272091</v>
      </c>
      <c r="AK849" s="176">
        <f t="shared" si="2491"/>
        <v>0</v>
      </c>
      <c r="AL849" s="120">
        <f t="shared" si="2473"/>
        <v>0.28633199611825949</v>
      </c>
      <c r="AM849" s="120">
        <f t="shared" si="2474"/>
        <v>0.41466220981918767</v>
      </c>
      <c r="AN849" s="120">
        <f t="shared" si="2475"/>
        <v>0.29900579406255284</v>
      </c>
      <c r="AO849" s="120">
        <f t="shared" si="2479"/>
        <v>0.13877766073748637</v>
      </c>
      <c r="AP849" s="173">
        <f t="shared" si="2495"/>
        <v>159.1845914256071</v>
      </c>
      <c r="AQ849" s="175">
        <f t="shared" si="2496"/>
        <v>0.13877766073748643</v>
      </c>
      <c r="AR849" s="177">
        <f>+AC849/$AE$57</f>
        <v>0.11105685418251898</v>
      </c>
      <c r="AS849" s="177">
        <f t="shared" si="2492"/>
        <v>1.5412210432314121E-2</v>
      </c>
      <c r="AT849" s="177"/>
      <c r="AU849" s="177"/>
      <c r="AV849" s="177"/>
      <c r="AW849" s="190"/>
      <c r="AX849" s="120"/>
      <c r="AY849" s="120"/>
      <c r="AZ849" s="118">
        <f>IFERROR(INDEX('Total Customers'!$F$7:$AB$91,MATCH($C849,'Total Customers'!$D$7:$D$91,0),MATCH($G849,'Total Customers'!$F$5:$AB$5,0)),"NA")</f>
        <v>4517926</v>
      </c>
      <c r="BA849" s="119">
        <f t="shared" si="2452"/>
        <v>1.0092758113391888E-2</v>
      </c>
      <c r="BB849" s="119"/>
      <c r="BC849" s="121"/>
      <c r="BD849" s="119"/>
      <c r="BE849" s="119"/>
      <c r="BF849" s="119"/>
      <c r="BG849" s="173"/>
      <c r="BH849" s="173"/>
      <c r="BI849" s="173"/>
      <c r="BJ849" s="173"/>
      <c r="BK849" s="173"/>
      <c r="BL849" s="173"/>
      <c r="BM849" s="173"/>
      <c r="BN849" s="173"/>
      <c r="BO849" s="173"/>
      <c r="BP849" s="173"/>
      <c r="BQ849" s="118"/>
      <c r="BR849" s="118"/>
      <c r="BS849" s="118">
        <f>INDEX('Dist. Plant Gas Additions'!$F$7:$AE$91,MATCH($C849,'Dist. Plant Gas Additions'!$D$7:$D$91,0),MATCH(Calculation!$G849,'Dist. Plant Gas Additions'!$F$5:$AE$5,0))</f>
        <v>914707</v>
      </c>
      <c r="BT849" s="118">
        <f>INDEX('Gen. Plant Additions'!$F$7:$AE$91,MATCH($C849,'Gen. Plant Additions'!$D$7:$D$91,0),MATCH(Calculation!$G849,'Gen. Plant Additions'!$F$5:$AE$5,0))</f>
        <v>24821</v>
      </c>
      <c r="BU849" s="118"/>
      <c r="BV849" s="118"/>
      <c r="BW849" s="118">
        <f>INDEX('Dist Plant Depreciation'!$E$7:$AD$94,MATCH($C849,'Dist Plant Depreciation'!$D$7:$D$94,0),MATCH(Calculation!$G849,'Dist Plant Depreciation'!$E$5:$AD$5,0))</f>
        <v>5623609</v>
      </c>
      <c r="BX849" s="118">
        <f>INDEX('Gen. Plant Depreciation'!$E$7:$AD$94,MATCH($C849,'Gen. Plant Depreciation'!$D$7:$D$94,0),MATCH(Calculation!$G849,'Gen. Plant Depreciation'!$E$5:$AD$5,0))</f>
        <v>78244</v>
      </c>
      <c r="BY849" s="118"/>
      <c r="BZ849" s="118"/>
      <c r="CA849" s="118"/>
      <c r="CB849" s="118"/>
      <c r="CC849" s="118"/>
      <c r="CD849" s="183"/>
      <c r="CE849" s="118">
        <f>INDEX('Gross Dx Plant'!$E$7:$AD$91,MATCH($C849,'Gross Dx Plant'!$D$7:$D$91,0),MATCH(Calculation!$G849,'Gross Dx Plant'!$E$5:$AD$5,0))</f>
        <v>11929220</v>
      </c>
      <c r="CF849" s="118">
        <f>INDEX('Gross Gen Plant'!$E$7:$AD$91,MATCH($C849,'Gross Gen Plant'!$D$7:$D$91,0),MATCH(Calculation!$G849,'Gross Gen Plant'!$E$5:$AD$5,0))</f>
        <v>484183</v>
      </c>
      <c r="CG849" s="118">
        <f t="shared" si="2468"/>
        <v>6711550</v>
      </c>
      <c r="CH849" s="118"/>
      <c r="CI849" s="121">
        <v>2019</v>
      </c>
      <c r="CJ849" s="118"/>
      <c r="CK849" s="118"/>
      <c r="CL849" s="118"/>
      <c r="CM849" s="183"/>
      <c r="CN849" s="118">
        <f t="shared" si="2453"/>
        <v>939528</v>
      </c>
      <c r="CO849" s="118">
        <f t="shared" si="2454"/>
        <v>1214.5834122491076</v>
      </c>
      <c r="CP849" s="186">
        <v>0.85106382978723405</v>
      </c>
      <c r="CQ849" s="118">
        <f>CQ828*CP849+CO829*CP848+CO830*CP847+CO831*CP846+CO832*CP845+CO833*CP844+CO834*CP843+CO835*CP842+CO836*CP841+CO837*CP840+CO838*CP839+CO839*CP838+CO840*CP837+CO841*CP836+CO842*CP835+CO843*CP834+CO844*CP833+CO845*CP832+CO846*CP831+CO847*CP830+CO848*CP829+CO849</f>
        <v>21655.196641103303</v>
      </c>
      <c r="CR849" s="119">
        <f t="shared" si="2455"/>
        <v>4.9226031310247831E-2</v>
      </c>
      <c r="CS849" s="119"/>
      <c r="CT849" s="177">
        <f t="shared" si="2456"/>
        <v>8.4596715320201053E-3</v>
      </c>
      <c r="CU849" s="177">
        <f t="shared" si="2465"/>
        <v>8.3145215883949387E-3</v>
      </c>
      <c r="CV849" s="119">
        <f>VLOOKUP($H849,RoR!$E:$F,2,FALSE)</f>
        <v>3.3875000000000009E-2</v>
      </c>
      <c r="CW849" s="177">
        <v>1.8092492884465461E-2</v>
      </c>
      <c r="CX849" s="177">
        <f t="shared" si="2463"/>
        <v>1.5782507115534548E-2</v>
      </c>
      <c r="CY849" s="177">
        <f t="shared" si="2466"/>
        <v>2.2587420020138686E-2</v>
      </c>
      <c r="CZ849" s="177">
        <f t="shared" si="2467"/>
        <v>4.8445665544254078E-2</v>
      </c>
      <c r="DA849" s="187">
        <f t="shared" si="2457"/>
        <v>0.89970250000000007</v>
      </c>
      <c r="DB849" s="188">
        <f t="shared" si="2458"/>
        <v>1.513861292459078</v>
      </c>
      <c r="DC849" s="188">
        <f t="shared" si="2459"/>
        <v>0.23699261992619944</v>
      </c>
      <c r="DD849" s="188">
        <f t="shared" si="2460"/>
        <v>0.73619765810468829</v>
      </c>
      <c r="DE849" s="188">
        <f t="shared" si="2461"/>
        <v>0.26412854465362851</v>
      </c>
      <c r="DF849" s="189">
        <f>INDEX('State Tax Lookup'!$D$7:$Z$91,MATCH(Calculation!$C849,'State Tax Lookup'!$B$7:$B$91,0),MATCH($H849,'State Tax Lookup'!$D$6:$Z$6,0))</f>
        <v>0.26745999999999998</v>
      </c>
      <c r="DG849" s="189">
        <v>0.375</v>
      </c>
      <c r="DH849" s="190">
        <f t="shared" si="2464"/>
        <v>21.399850710277892</v>
      </c>
      <c r="DI849" s="190">
        <v>21.150238430144185</v>
      </c>
      <c r="DJ849" s="177"/>
      <c r="DK849" s="189">
        <f>VLOOKUP($H849,RoR!$E:$F,2,FALSE)</f>
        <v>3.3875000000000009E-2</v>
      </c>
      <c r="DL849" s="191">
        <f>HLOOKUP($H849,'GDP-PI'!$D$8:$CQ$11,3,FALSE)</f>
        <v>1.8092492884465461E-2</v>
      </c>
      <c r="DM849" s="189">
        <f>VLOOKUP(H849,'HW Dx Data'!$E:$F,2,FALSE)</f>
        <v>773.53929793938721</v>
      </c>
      <c r="DN849" s="183">
        <f>VLOOKUP(H849,'ECI - Input Price'!$G$17:$H$37,2,FALSE)</f>
        <v>136.85</v>
      </c>
      <c r="DO849" s="177">
        <f t="shared" ref="DO849" si="2519">LN(DN849/DN848)</f>
        <v>2.6658372440734168E-2</v>
      </c>
      <c r="DP849" s="183">
        <f>HLOOKUP(H849,'GDP-PI'!$8:$9,2,FALSE)</f>
        <v>112.318</v>
      </c>
      <c r="DQ849" s="177">
        <f t="shared" ref="DQ849" si="2520">LN(DP849/DP848)</f>
        <v>1.7930771451401852E-2</v>
      </c>
    </row>
    <row r="850" spans="1:121" s="167" customFormat="1" ht="21" x14ac:dyDescent="0.35">
      <c r="A850" s="167" t="s">
        <v>85</v>
      </c>
      <c r="B850" s="167" t="s">
        <v>85</v>
      </c>
      <c r="C850" s="167">
        <v>4004218</v>
      </c>
      <c r="D850" s="167" t="s">
        <v>146</v>
      </c>
      <c r="G850" s="168" t="s">
        <v>26</v>
      </c>
      <c r="H850" s="169">
        <v>2020</v>
      </c>
      <c r="I850" s="170"/>
      <c r="J850" s="166">
        <f>IFERROR(INDEX('Labor Expenditures'!$F$7:$X$91,MATCH($C850,'Labor Expenditures'!$D$7:$D$91,0),MATCH($G850,'Labor Expenditures'!$F$5:$X$5,0)),"NA")</f>
        <v>421550.71411270759</v>
      </c>
      <c r="K850" s="166">
        <f t="shared" si="2471"/>
        <v>3001.429078766163</v>
      </c>
      <c r="L850" s="172">
        <f t="shared" si="2478"/>
        <v>-2.8118411308384567E-2</v>
      </c>
      <c r="M850" s="172">
        <f t="shared" si="2482"/>
        <v>-3.1120022458144205E-3</v>
      </c>
      <c r="N850" s="196"/>
      <c r="O850" s="172"/>
      <c r="P850" s="166">
        <f>IFERROR(INDEX('Non-Labor Expenditures'!$F$7:$AB$91,MATCH($C850,'Non-Labor Expenditures'!$D$7:$D$91,0),MATCH($G850,'Non-Labor Expenditures'!$F$5:$AB$5,0)),"NA")</f>
        <v>610484.16884795646</v>
      </c>
      <c r="Q850" s="166">
        <f t="shared" si="2472"/>
        <v>5372.8925380244882</v>
      </c>
      <c r="R850" s="172">
        <f t="shared" si="2483"/>
        <v>-1.3704109976212891E-2</v>
      </c>
      <c r="S850" s="172">
        <f t="shared" si="2488"/>
        <v>-1.5167009456948032E-3</v>
      </c>
      <c r="T850" s="172"/>
      <c r="U850" s="172"/>
      <c r="V850" s="166">
        <f t="shared" si="2451"/>
        <v>483842.55759061204</v>
      </c>
      <c r="W850" s="170"/>
      <c r="X850" s="174">
        <v>22790.792099463095</v>
      </c>
      <c r="Y850" s="175">
        <v>5.1111143844017506E-2</v>
      </c>
      <c r="Z850" s="175">
        <f t="shared" si="2489"/>
        <v>5.6567205267851394E-3</v>
      </c>
      <c r="AA850" s="175"/>
      <c r="AB850" s="175"/>
      <c r="AC850" s="170">
        <f t="shared" si="2462"/>
        <v>1515877.4405512761</v>
      </c>
      <c r="AD850" s="175">
        <f t="shared" si="2484"/>
        <v>2.7054021531005324E-2</v>
      </c>
      <c r="AE850" s="170"/>
      <c r="AF850" s="170"/>
      <c r="AG850" s="121">
        <f t="shared" si="2485"/>
        <v>335.52507069643815</v>
      </c>
      <c r="AH850" s="119">
        <f>+AZ850/$BB$58</f>
        <v>0.11749235481004623</v>
      </c>
      <c r="AI850" s="119"/>
      <c r="AJ850" s="176">
        <f t="shared" si="2490"/>
        <v>39.421630653931757</v>
      </c>
      <c r="AK850" s="176">
        <f t="shared" si="2491"/>
        <v>0</v>
      </c>
      <c r="AL850" s="120">
        <f t="shared" si="2473"/>
        <v>0.27809023528934046</v>
      </c>
      <c r="AM850" s="120">
        <f t="shared" si="2474"/>
        <v>0.40272660079032702</v>
      </c>
      <c r="AN850" s="120">
        <f t="shared" si="2475"/>
        <v>0.31918316392033252</v>
      </c>
      <c r="AO850" s="120">
        <f t="shared" si="2479"/>
        <v>2.2620510730064023E-3</v>
      </c>
      <c r="AP850" s="173">
        <f t="shared" si="2495"/>
        <v>159.54508267253772</v>
      </c>
      <c r="AQ850" s="175">
        <f t="shared" si="2496"/>
        <v>2.2620510730063212E-3</v>
      </c>
      <c r="AR850" s="177">
        <f>+AC850/$AE$58</f>
        <v>0.11067489594927646</v>
      </c>
      <c r="AS850" s="177">
        <f t="shared" si="2492"/>
        <v>2.5035226713692377E-4</v>
      </c>
      <c r="AT850" s="177"/>
      <c r="AU850" s="177"/>
      <c r="AV850" s="177"/>
      <c r="AW850" s="190"/>
      <c r="AX850" s="120"/>
      <c r="AY850" s="120"/>
      <c r="AZ850" s="118">
        <v>4517926</v>
      </c>
      <c r="BA850" s="119">
        <f t="shared" si="2452"/>
        <v>0</v>
      </c>
      <c r="BB850" s="119"/>
      <c r="BC850" s="121"/>
      <c r="BD850" s="119"/>
      <c r="BE850" s="119"/>
      <c r="BF850" s="119"/>
      <c r="BG850" s="173"/>
      <c r="BH850" s="173"/>
      <c r="BI850" s="173"/>
      <c r="BJ850" s="173"/>
      <c r="BK850" s="173"/>
      <c r="BL850" s="173"/>
      <c r="BM850" s="173"/>
      <c r="BN850" s="173"/>
      <c r="BO850" s="173"/>
      <c r="BP850" s="173"/>
      <c r="BQ850" s="118"/>
      <c r="BR850" s="118"/>
      <c r="BS850" s="118">
        <f>INDEX('Dist. Plant Gas Additions'!$F$7:$AE$91,MATCH($C850,'Dist. Plant Gas Additions'!$D$7:$D$91,0),MATCH(Calculation!$G850,'Dist. Plant Gas Additions'!$F$5:$AE$5,0))</f>
        <v>1051764</v>
      </c>
      <c r="BT850" s="118">
        <f>INDEX('Gen. Plant Additions'!$F$7:$AE$91,MATCH($C850,'Gen. Plant Additions'!$D$7:$D$91,0),MATCH(Calculation!$G850,'Gen. Plant Additions'!$F$5:$AE$5,0))</f>
        <v>23837</v>
      </c>
      <c r="BU850" s="118"/>
      <c r="BV850" s="118"/>
      <c r="BW850" s="118">
        <f>INDEX('Dist Plant Depreciation'!$E$7:$AD$94,MATCH($C850,'Dist Plant Depreciation'!$D$7:$D$94,0),MATCH(Calculation!$G850,'Dist Plant Depreciation'!$E$5:$AD$5,0))</f>
        <v>5894624</v>
      </c>
      <c r="BX850" s="118">
        <f>INDEX('Gen. Plant Depreciation'!$E$7:$AD$94,MATCH($C850,'Gen. Plant Depreciation'!$D$7:$D$94,0),MATCH(Calculation!$G850,'Gen. Plant Depreciation'!$E$5:$AD$5,0))</f>
        <v>87470</v>
      </c>
      <c r="BY850" s="118"/>
      <c r="BZ850" s="118"/>
      <c r="CA850" s="118"/>
      <c r="CB850" s="118"/>
      <c r="CC850" s="118"/>
      <c r="CD850" s="183"/>
      <c r="CE850" s="118">
        <f>INDEX('Gross Dx Plant'!$E$7:$AD$91,MATCH($C850,'Gross Dx Plant'!$D$7:$D$91,0),MATCH(Calculation!$G850,'Gross Dx Plant'!$E$5:$AD$5,0))</f>
        <v>12938513</v>
      </c>
      <c r="CF850" s="118">
        <f>INDEX('Gross Gen Plant'!$E$7:$AD$91,MATCH($C850,'Gross Gen Plant'!$D$7:$D$91,0),MATCH(Calculation!$G850,'Gross Gen Plant'!$E$5:$AD$5,0))</f>
        <v>491732</v>
      </c>
      <c r="CG850" s="118">
        <f t="shared" si="2468"/>
        <v>7448151</v>
      </c>
      <c r="CH850" s="118"/>
      <c r="CI850" s="121">
        <v>2020</v>
      </c>
      <c r="CJ850" s="118"/>
      <c r="CK850" s="118"/>
      <c r="CL850" s="118"/>
      <c r="CM850" s="183"/>
      <c r="CN850" s="118">
        <f t="shared" si="2453"/>
        <v>1075601</v>
      </c>
      <c r="CO850" s="118">
        <f t="shared" si="2454"/>
        <v>1322.872023771037</v>
      </c>
      <c r="CP850" s="186">
        <v>0.84057971014492749</v>
      </c>
      <c r="CQ850" s="118">
        <f>CQ828*CP850+CO829*CP849+CO830*CP848+CO831*CP847+CO832*CP846+CO833*CP845+CO834*CP844+CO835*CP843+CO836*CP842+CO837*CP841+CO838*CP840+CO839*CP839+CO840*CP838+CO841*CP837+CO842*CP836+CO843*CP835+CO844*CP834+CO845*CP833+CO846*CP832+CO847*CP831+CO848*CP830+CO849*CP829+CO850</f>
        <v>22790.792099463095</v>
      </c>
      <c r="CR850" s="119">
        <f t="shared" si="2455"/>
        <v>5.1111143844017506E-2</v>
      </c>
      <c r="CS850" s="119"/>
      <c r="CT850" s="177">
        <f t="shared" si="2456"/>
        <v>8.6481119758468859E-3</v>
      </c>
      <c r="CU850" s="177">
        <f t="shared" si="2465"/>
        <v>8.4725550722692233E-3</v>
      </c>
      <c r="CV850" s="119">
        <f>VLOOKUP($H850,RoR!$E:$F,2,FALSE)</f>
        <v>2.4766666666666666E-2</v>
      </c>
      <c r="CW850" s="177">
        <v>1.1618796630994188E-2</v>
      </c>
      <c r="CX850" s="177">
        <f t="shared" si="2463"/>
        <v>1.3147870035672478E-2</v>
      </c>
      <c r="CY850" s="177">
        <f t="shared" si="2466"/>
        <v>2.2429386536264403E-2</v>
      </c>
      <c r="CZ850" s="177">
        <f t="shared" si="2467"/>
        <v>4.5144642961987357E-2</v>
      </c>
      <c r="DA850" s="187">
        <f t="shared" si="2457"/>
        <v>0.89970250000000007</v>
      </c>
      <c r="DB850" s="188">
        <f t="shared" si="2458"/>
        <v>2.0706077233668081</v>
      </c>
      <c r="DC850" s="188">
        <f t="shared" si="2459"/>
        <v>-3.4421265141318998E-2</v>
      </c>
      <c r="DD850" s="188">
        <f t="shared" si="2460"/>
        <v>0.62416226176410472</v>
      </c>
      <c r="DE850" s="188">
        <f t="shared" si="2461"/>
        <v>-4.4485877841158712E-2</v>
      </c>
      <c r="DF850" s="189">
        <f>INDEX('State Tax Lookup'!$D$7:$Z$91,MATCH(Calculation!$C850,'State Tax Lookup'!$B$7:$B$91,0),MATCH($H850,'State Tax Lookup'!$D$6:$Z$6,0))</f>
        <v>0.26745999999999998</v>
      </c>
      <c r="DG850" s="189">
        <v>0.375</v>
      </c>
      <c r="DH850" s="190">
        <f t="shared" si="2464"/>
        <v>22.343023044742989</v>
      </c>
      <c r="DI850" s="190">
        <v>22.090123517570618</v>
      </c>
      <c r="DJ850" s="177"/>
      <c r="DK850" s="189">
        <f>VLOOKUP($H850,RoR!$E:$F,2,FALSE)</f>
        <v>2.4766666666666666E-2</v>
      </c>
      <c r="DL850" s="191">
        <f>HLOOKUP($H850,'GDP-PI'!$D$8:$CQ$11,3,FALSE)</f>
        <v>1.1618796630994188E-2</v>
      </c>
      <c r="DM850" s="189">
        <f>VLOOKUP(H850,'HW Dx Data'!$E:$F,2,FALSE)</f>
        <v>813.080162458833</v>
      </c>
      <c r="DN850" s="183">
        <f>VLOOKUP(H850,'ECI - Input Price'!$G$17:$H$37,2,FALSE)</f>
        <v>140.44999999999999</v>
      </c>
      <c r="DO850" s="177">
        <f t="shared" ref="DO850" si="2521">LN(DN850/DN849)</f>
        <v>2.5966118063564539E-2</v>
      </c>
      <c r="DP850" s="183">
        <f>HLOOKUP(H850,'GDP-PI'!$8:$9,2,FALSE)</f>
        <v>113.623</v>
      </c>
      <c r="DQ850" s="177">
        <f t="shared" ref="DQ850" si="2522">LN(DP850/DP849)</f>
        <v>1.1551816731392881E-2</v>
      </c>
    </row>
    <row r="851" spans="1:121" s="167" customFormat="1" ht="21" x14ac:dyDescent="0.35">
      <c r="A851" s="167" t="s">
        <v>85</v>
      </c>
      <c r="B851" s="167" t="s">
        <v>85</v>
      </c>
      <c r="C851" s="167">
        <v>4004218</v>
      </c>
      <c r="D851" s="167" t="s">
        <v>146</v>
      </c>
      <c r="G851" s="168" t="s">
        <v>462</v>
      </c>
      <c r="H851" s="169">
        <v>2021</v>
      </c>
      <c r="I851" s="170"/>
      <c r="J851" s="166">
        <f>IFERROR(INDEX('Labor Expenditures'!$E$7:$X$91,MATCH($C851,'Labor Expenditures'!$D$7:$D$91,0),MATCH($G851,'Labor Expenditures'!$E$5:$X$5,0)),"NA")</f>
        <v>476245.32590278739</v>
      </c>
      <c r="K851" s="166">
        <f t="shared" si="2471"/>
        <v>3273.7262478280618</v>
      </c>
      <c r="L851" s="171">
        <f t="shared" si="2478"/>
        <v>8.6840326639045715E-2</v>
      </c>
      <c r="M851" s="172">
        <f t="shared" si="2482"/>
        <v>9.0396982225494239E-3</v>
      </c>
      <c r="N851" s="196"/>
      <c r="O851" s="172"/>
      <c r="P851" s="166">
        <f>IFERROR(INDEX('Non-Labor Expenditures'!$E$7:$AB$91,MATCH($C851,'Non-Labor Expenditures'!$D$7:$D$91,0),MATCH($G851,'Non-Labor Expenditures'!$E$5:$AB$5,0)),"NA")</f>
        <v>671333.7726581461</v>
      </c>
      <c r="Q851" s="166">
        <f t="shared" si="2472"/>
        <v>5665.7420259781093</v>
      </c>
      <c r="R851" s="172">
        <f t="shared" si="2483"/>
        <v>5.3071459008909388E-2</v>
      </c>
      <c r="S851" s="172">
        <f t="shared" si="2488"/>
        <v>5.5245067843311697E-3</v>
      </c>
      <c r="T851" s="172"/>
      <c r="U851" s="172"/>
      <c r="V851" s="166">
        <f t="shared" si="2451"/>
        <v>387667.67441615585</v>
      </c>
      <c r="W851" s="170"/>
      <c r="X851" s="174">
        <v>23472.681483873348</v>
      </c>
      <c r="Y851" s="175"/>
      <c r="Z851" s="175">
        <f t="shared" si="2489"/>
        <v>0</v>
      </c>
      <c r="AA851" s="175"/>
      <c r="AB851" s="175"/>
      <c r="AC851" s="170">
        <f t="shared" si="2462"/>
        <v>1535246.7729770893</v>
      </c>
      <c r="AD851" s="175">
        <f t="shared" si="2484"/>
        <v>1.2696692283851729E-2</v>
      </c>
      <c r="AE851" s="118"/>
      <c r="AF851" s="119"/>
      <c r="AG851" s="121">
        <f t="shared" si="2485"/>
        <v>336.37860918454976</v>
      </c>
      <c r="AH851" s="119">
        <f>+AZ851/$BB$59</f>
        <v>0.11709830551507013</v>
      </c>
      <c r="AI851" s="119"/>
      <c r="AJ851" s="176">
        <f t="shared" si="2490"/>
        <v>39.38936514702678</v>
      </c>
      <c r="AK851" s="176">
        <f t="shared" si="2491"/>
        <v>0</v>
      </c>
      <c r="AL851" s="120">
        <f t="shared" si="2473"/>
        <v>0.3102076710308086</v>
      </c>
      <c r="AM851" s="120">
        <f t="shared" si="2474"/>
        <v>0.43728069289885069</v>
      </c>
      <c r="AN851" s="120">
        <f t="shared" si="2475"/>
        <v>0.25251163607034077</v>
      </c>
      <c r="AO851" s="120">
        <f t="shared" si="2479"/>
        <v>4.7834197500059281E-2</v>
      </c>
      <c r="AP851" s="173">
        <f t="shared" si="2495"/>
        <v>167.36226755842554</v>
      </c>
      <c r="AQ851" s="175">
        <f t="shared" si="2496"/>
        <v>4.7834197500059281E-2</v>
      </c>
      <c r="AR851" s="177">
        <f>+AC851/$AE$59</f>
        <v>0.10409562667956314</v>
      </c>
      <c r="AS851" s="177">
        <f t="shared" si="2492"/>
        <v>4.9793307654826631E-3</v>
      </c>
      <c r="AT851" s="177"/>
      <c r="AU851" s="177"/>
      <c r="AV851" s="177"/>
      <c r="AW851" s="190"/>
      <c r="AX851" s="120"/>
      <c r="AY851" s="120"/>
      <c r="AZ851" s="118">
        <f>INDEX('Total Customers'!$E$7:$E$91,MATCH(Calculation!$C851,'Total Customers'!$D$7:$D$91,0))</f>
        <v>4564044</v>
      </c>
      <c r="BA851" s="119">
        <f t="shared" si="2452"/>
        <v>1.0156033636494697E-2</v>
      </c>
      <c r="BB851" s="118"/>
      <c r="BC851" s="121"/>
      <c r="BD851" s="118"/>
      <c r="BE851" s="119"/>
      <c r="BF851" s="119"/>
      <c r="BG851" s="173"/>
      <c r="BH851" s="173"/>
      <c r="BI851" s="173"/>
      <c r="BJ851" s="173"/>
      <c r="BK851" s="173"/>
      <c r="BL851" s="173"/>
      <c r="BM851" s="173"/>
      <c r="BN851" s="173"/>
      <c r="BO851" s="173"/>
      <c r="BP851" s="173"/>
      <c r="BQ851" s="118"/>
      <c r="BR851" s="118"/>
      <c r="BS851" s="118">
        <f>INDEX('Dist. Plant Gas Additions'!$E$7:$AE$91,MATCH($C851,'Dist. Plant Gas Additions'!$D$7:$D$91,0),MATCH(Calculation!$G851,'Dist. Plant Gas Additions'!$E$5:$AE$5,0))</f>
        <v>1199092.95</v>
      </c>
      <c r="BT851" s="118">
        <f>INDEX('Gen. Plant Additions'!$E$7:$AE$91,MATCH($C851,'Gen. Plant Additions'!$D$7:$D$91,0),MATCH(Calculation!$G851,'Gen. Plant Additions'!$E$5:$AE$5,0))</f>
        <v>92663.921000000002</v>
      </c>
      <c r="BU851" s="118"/>
      <c r="BV851" s="118"/>
      <c r="BW851" s="118"/>
      <c r="BX851" s="118"/>
      <c r="BY851" s="183"/>
      <c r="BZ851" s="183"/>
      <c r="CA851" s="178"/>
      <c r="CB851" s="184"/>
      <c r="CC851" s="185"/>
      <c r="CD851" s="185"/>
      <c r="CE851" s="118"/>
      <c r="CF851" s="118"/>
      <c r="CG851" s="118"/>
      <c r="CH851" s="118"/>
      <c r="CI851" s="121">
        <v>2021</v>
      </c>
      <c r="CJ851" s="118"/>
      <c r="CK851" s="118"/>
      <c r="CL851" s="118"/>
      <c r="CM851" s="183"/>
      <c r="CN851" s="118">
        <f t="shared" si="2453"/>
        <v>1291756.871</v>
      </c>
      <c r="CO851" s="118">
        <f t="shared" si="2454"/>
        <v>1384.4863034756086</v>
      </c>
      <c r="CP851" s="186">
        <f>+(51-23)/(51-23*0.75)</f>
        <v>0.82962962962962961</v>
      </c>
      <c r="CQ851" s="118">
        <f>CQ828*CP851+CO829*CP850+CO830*CP849+CO831*CP848+CO832*CP847+CO833*CP846+CO834*CP845+CO835*CP844+CO836*CP843+CO837*CP842+CO838*CP841+CO839*CP840+CO840*CP839+CO841*CP838+CO842*CP837+CO833*CP836+CO844*CP835+CO845*CP834+CO846*CP833+CO847*CP832+CO848*CP831+CO849*CP830+CO851+CO850*CP829</f>
        <v>23472.681483873348</v>
      </c>
      <c r="CR851" s="119"/>
      <c r="CS851" s="118"/>
      <c r="CT851" s="177">
        <f t="shared" si="2456"/>
        <v>3.0828104437928123E-2</v>
      </c>
      <c r="CU851" s="177">
        <f t="shared" si="2465"/>
        <v>1.5978629315265037E-2</v>
      </c>
      <c r="CV851" s="119">
        <f>VLOOKUP($H851,RoR!$E:$F,2,FALSE)</f>
        <v>2.7033333333333336E-2</v>
      </c>
      <c r="CW851" s="177"/>
      <c r="CX851" s="177"/>
      <c r="CY851" s="177">
        <f t="shared" si="2466"/>
        <v>1.4923312293268588E-2</v>
      </c>
      <c r="CZ851" s="177">
        <f t="shared" si="2467"/>
        <v>7.433422950153494E-2</v>
      </c>
      <c r="DA851" s="187">
        <f t="shared" si="2457"/>
        <v>0.89970250000000007</v>
      </c>
      <c r="DB851" s="188">
        <f t="shared" si="2458"/>
        <v>1.8969932656739068</v>
      </c>
      <c r="DC851" s="188">
        <f t="shared" si="2459"/>
        <v>5.0215782983970621E-2</v>
      </c>
      <c r="DD851" s="188">
        <f t="shared" si="2460"/>
        <v>0.655952481704143</v>
      </c>
      <c r="DE851" s="188">
        <f t="shared" si="2461"/>
        <v>6.2485378865697057E-2</v>
      </c>
      <c r="DF851" s="189">
        <f>DF850</f>
        <v>0.26745999999999998</v>
      </c>
      <c r="DG851" s="189">
        <v>0.375</v>
      </c>
      <c r="DH851" s="190">
        <f t="shared" si="2464"/>
        <v>17.009837689023914</v>
      </c>
      <c r="DI851" s="190"/>
      <c r="DJ851" s="177">
        <f t="shared" ref="DJ851" si="2523">LN(DH851/DH850)</f>
        <v>-0.2727222400337872</v>
      </c>
      <c r="DK851" s="189">
        <f>VLOOKUP($H851,RoR!$E:$F,2,FALSE)</f>
        <v>2.7033333333333336E-2</v>
      </c>
      <c r="DL851" s="191">
        <f>HLOOKUP($H851,'GDP-PI'!$D$8:$CR$11,3,FALSE)</f>
        <v>4.2834637353352578E-2</v>
      </c>
      <c r="DM851" s="189">
        <f>VLOOKUP(H851,'HW Dx Data'!$E:$F,2,FALSE)</f>
        <v>933.02249921662576</v>
      </c>
      <c r="DN851" s="183">
        <f>VLOOKUP(H851,'ECI - Input Price'!$G$17:$H$37,2,FALSE)</f>
        <v>145.47500000000002</v>
      </c>
      <c r="DO851" s="177">
        <f t="shared" ref="DO851" si="2524">LN(DN851/DN850)</f>
        <v>3.5152696992481205E-2</v>
      </c>
      <c r="DP851" s="183">
        <f>HLOOKUP(H851,'GDP-PI'!$8:$9,2,FALSE)</f>
        <v>118.49</v>
      </c>
      <c r="DQ851" s="177">
        <f>LN(DP851/DP850)</f>
        <v>4.194261824609434E-2</v>
      </c>
    </row>
    <row r="852" spans="1:121" s="167" customFormat="1" ht="21" x14ac:dyDescent="0.35">
      <c r="A852" s="167" t="s">
        <v>88</v>
      </c>
      <c r="B852" s="168" t="s">
        <v>89</v>
      </c>
      <c r="C852" s="168">
        <v>4057135</v>
      </c>
      <c r="D852" s="168" t="s">
        <v>144</v>
      </c>
      <c r="E852" s="168"/>
      <c r="F852" s="168"/>
      <c r="G852" s="168" t="s">
        <v>4</v>
      </c>
      <c r="H852" s="169">
        <v>1998</v>
      </c>
      <c r="I852" s="170"/>
      <c r="J852" s="166"/>
      <c r="K852" s="166"/>
      <c r="L852" s="166"/>
      <c r="M852" s="166"/>
      <c r="N852" s="196"/>
      <c r="O852" s="166"/>
      <c r="P852" s="166"/>
      <c r="Q852" s="166"/>
      <c r="R852" s="166"/>
      <c r="S852" s="166"/>
      <c r="T852" s="166"/>
      <c r="U852" s="166"/>
      <c r="V852" s="166"/>
      <c r="W852" s="170"/>
      <c r="X852" s="174">
        <v>4955.7544206043767</v>
      </c>
      <c r="Y852" s="175"/>
      <c r="Z852" s="166"/>
      <c r="AA852" s="175"/>
      <c r="AB852" s="175"/>
      <c r="AC852" s="170">
        <f t="shared" si="2462"/>
        <v>0</v>
      </c>
      <c r="AD852" s="170"/>
      <c r="AE852" s="170"/>
      <c r="AF852" s="119"/>
      <c r="AG852" s="174">
        <f>+(AG874+AG873+AG872)/3</f>
        <v>587.06140199645552</v>
      </c>
      <c r="AH852" s="175"/>
      <c r="AI852" s="175"/>
      <c r="AJ852" s="174"/>
      <c r="AK852" s="174"/>
      <c r="AL852" s="120"/>
      <c r="AM852" s="120"/>
      <c r="AN852" s="120"/>
      <c r="AO852" s="120"/>
      <c r="AP852" s="120"/>
      <c r="AQ852" s="175">
        <f>AVERAGE(AQ861:AQ875)</f>
        <v>1.3998725190617662E-2</v>
      </c>
      <c r="AR852" s="120"/>
      <c r="AS852" s="120"/>
      <c r="AT852" s="120"/>
      <c r="AU852" s="120"/>
      <c r="AV852" s="120"/>
      <c r="AW852" s="120"/>
      <c r="AX852" s="120"/>
      <c r="AY852" s="120"/>
      <c r="AZ852" s="118">
        <f>IFERROR(INDEX('Total Customers'!$F$7:$AB$91,MATCH($C852,'Total Customers'!$D$7:$D$91,0),MATCH($G852,'Total Customers'!$F$5:$AB$5,0)),"NA")</f>
        <v>832509</v>
      </c>
      <c r="BA852" s="119"/>
      <c r="BB852" s="119"/>
      <c r="BC852" s="121"/>
      <c r="BD852" s="119"/>
      <c r="BE852" s="119"/>
      <c r="BF852" s="119"/>
      <c r="BG852" s="173"/>
      <c r="BH852" s="173"/>
      <c r="BI852" s="173"/>
      <c r="BJ852" s="173"/>
      <c r="BK852" s="173"/>
      <c r="BL852" s="173"/>
      <c r="BM852" s="173"/>
      <c r="BN852" s="173"/>
      <c r="BO852" s="173"/>
      <c r="BP852" s="173"/>
      <c r="BQ852" s="118">
        <f>INDEX('Gross Dx Plant'!$E$7:$AD$91,MATCH($C852,'Gross Dx Plant'!$D$7:$D$91,0),MATCH(Calculation!$G852,'Gross Dx Plant'!$E$5:$AD$5,0))</f>
        <v>1399780</v>
      </c>
      <c r="BR852" s="118">
        <f>INDEX('Gross Gen Plant'!$E$7:$AD$91,MATCH($C852,'Gross Gen Plant'!$D$7:$D$91,0),MATCH(Calculation!$G852,'Gross Gen Plant'!$E$5:$AD$5,0))</f>
        <v>106759</v>
      </c>
      <c r="BS852" s="118">
        <f>INDEX('Dist. Plant Gas Additions'!$F$7:$AE$91,MATCH($C852,'Dist. Plant Gas Additions'!$D$7:$D$91,0),MATCH(Calculation!$G852,'Dist. Plant Gas Additions'!$F$5:$AE$5,0))</f>
        <v>41407</v>
      </c>
      <c r="BT852" s="118">
        <f>INDEX('Gen. Plant Additions'!$F$7:$AE$91,MATCH($C852,'Gen. Plant Additions'!$D$7:$D$91,0),MATCH(Calculation!$G852,'Gen. Plant Additions'!$F$5:$AE$5,0))</f>
        <v>12300</v>
      </c>
      <c r="BU852" s="118" t="e">
        <f>INDEX('Dist Plant Depreciation'!$E$7:$AA$94,MATCH($C852,'Dist Plant Depreciation'!$D$7:$D$94,0),MATCH(#REF!,'Dist Plant Depreciation'!$E$5:$AA$5,0))</f>
        <v>#REF!</v>
      </c>
      <c r="BV852" s="118" t="e">
        <f>INDEX('Gen. Plant Depreciation'!$E$7:$AA$94,MATCH($C852,'Gen. Plant Depreciation'!$D$7:$D$94,0),MATCH(#REF!,'Gen. Plant Depreciation'!$E$5:$AA$5,0))</f>
        <v>#REF!</v>
      </c>
      <c r="BW852" s="118">
        <f>INDEX('Dist Plant Depreciation'!$E$7:$AD$94,MATCH($C852,'Dist Plant Depreciation'!$D$7:$D$94,0),MATCH(Calculation!$G852,'Dist Plant Depreciation'!$E$5:$AD$5,0))</f>
        <v>461009</v>
      </c>
      <c r="BX852" s="118">
        <f>INDEX('Gen. Plant Depreciation'!$E$7:$AD$94,MATCH($C852,'Gen. Plant Depreciation'!$D$7:$D$94,0),MATCH(Calculation!$G852,'Gen. Plant Depreciation'!$E$5:$AD$5,0))</f>
        <v>45858</v>
      </c>
      <c r="BY852" s="118"/>
      <c r="BZ852" s="118"/>
      <c r="CA852" s="118"/>
      <c r="CB852" s="118"/>
      <c r="CC852" s="118"/>
      <c r="CD852" s="183"/>
      <c r="CE852" s="118">
        <f>INDEX('Gross Dx Plant'!$E$7:$AD$91,MATCH($C852,'Gross Dx Plant'!$D$7:$D$91,0),MATCH(Calculation!$G852,'Gross Dx Plant'!$E$5:$AD$5,0))</f>
        <v>1399780</v>
      </c>
      <c r="CF852" s="118">
        <f>INDEX('Gross Gen Plant'!$E$7:$AD$91,MATCH($C852,'Gross Gen Plant'!$D$7:$D$91,0),MATCH(Calculation!$G852,'Gross Gen Plant'!$E$5:$AD$5,0))</f>
        <v>106759</v>
      </c>
      <c r="CG852" s="118">
        <f t="shared" si="2468"/>
        <v>999672</v>
      </c>
      <c r="CH852" s="118"/>
      <c r="CI852" s="121">
        <v>1998</v>
      </c>
      <c r="CJ852" s="118">
        <f>BQ852+BR852</f>
        <v>1506539</v>
      </c>
      <c r="CK852" s="118">
        <f>461009+45858</f>
        <v>506867</v>
      </c>
      <c r="CL852" s="118">
        <f>+CJ852-CK852</f>
        <v>999672</v>
      </c>
      <c r="CM852" s="118">
        <f>CL852/$CD$36</f>
        <v>4955.7544206043767</v>
      </c>
      <c r="CN852" s="183"/>
      <c r="CO852" s="183"/>
      <c r="CP852" s="186">
        <v>1</v>
      </c>
      <c r="CQ852" s="118">
        <f>+CM852</f>
        <v>4955.7544206043767</v>
      </c>
      <c r="CR852" s="119"/>
      <c r="CS852" s="119"/>
      <c r="CT852" s="177"/>
      <c r="CU852" s="177"/>
      <c r="CV852" s="119" t="e">
        <f>VLOOKUP($H852,RoR!$E:$F,2,FALSE)</f>
        <v>#N/A</v>
      </c>
      <c r="CW852" s="177">
        <v>1.1028127770464469E-2</v>
      </c>
      <c r="CX852" s="177"/>
      <c r="CY852" s="177"/>
      <c r="CZ852" s="177"/>
      <c r="DA852" s="187"/>
      <c r="DB852" s="190" t="e">
        <f>2/(DK852*39)</f>
        <v>#N/A</v>
      </c>
      <c r="DC852" s="188" t="e">
        <f>+(DK852*40-(1+DK852))/(DK852*40)</f>
        <v>#N/A</v>
      </c>
      <c r="DD852" s="188" t="e">
        <f>+(1-(1/(1+DK852)^40))</f>
        <v>#N/A</v>
      </c>
      <c r="DE852" s="188" t="e">
        <f>+DD852*DC852*DB852</f>
        <v>#N/A</v>
      </c>
      <c r="DF852" s="189">
        <f>INDEX('State Tax Lookup'!$D$7:$Z$91,MATCH(Calculation!$C852,'State Tax Lookup'!$B$7:$B$91,0),MATCH($H852,'State Tax Lookup'!$D$6:$Z$6,0))</f>
        <v>0.40134999999999998</v>
      </c>
      <c r="DG852" s="189">
        <v>0.375</v>
      </c>
      <c r="DH852" s="183"/>
      <c r="DI852" s="183"/>
      <c r="DJ852" s="177"/>
      <c r="DK852" s="189" t="e">
        <f>VLOOKUP($H852,RoR!$E:$F,2,FALSE)</f>
        <v>#N/A</v>
      </c>
      <c r="DL852" s="191">
        <f>HLOOKUP($H852,'GDP-PI'!$D$8:$CQ$11,3,FALSE)</f>
        <v>1.1028127770464469E-2</v>
      </c>
      <c r="DM852" s="189">
        <f>VLOOKUP(H852,'HW Dx Data'!$E:$F,2,FALSE)</f>
        <v>329.24564746449528</v>
      </c>
      <c r="DN852" s="183" t="e">
        <f>VLOOKUP(H852,'ECI - Input Price'!$G$17:$H$37,2,FALSE)</f>
        <v>#N/A</v>
      </c>
      <c r="DO852" s="177"/>
      <c r="DP852" s="183">
        <f>HLOOKUP(H852,'GDP-PI'!$8:$9,2,FALSE)</f>
        <v>75.266999999999996</v>
      </c>
    </row>
    <row r="853" spans="1:121" s="167" customFormat="1" ht="21" x14ac:dyDescent="0.35">
      <c r="A853" s="167" t="s">
        <v>88</v>
      </c>
      <c r="B853" s="168" t="s">
        <v>89</v>
      </c>
      <c r="C853" s="168">
        <v>4057135</v>
      </c>
      <c r="D853" s="168" t="s">
        <v>144</v>
      </c>
      <c r="E853" s="168"/>
      <c r="F853" s="168"/>
      <c r="G853" s="168" t="s">
        <v>5</v>
      </c>
      <c r="H853" s="169">
        <v>1999</v>
      </c>
      <c r="I853" s="170"/>
      <c r="J853" s="166"/>
      <c r="K853" s="166"/>
      <c r="L853" s="166"/>
      <c r="M853" s="166"/>
      <c r="N853" s="196"/>
      <c r="O853" s="166"/>
      <c r="P853" s="166"/>
      <c r="Q853" s="166"/>
      <c r="R853" s="166"/>
      <c r="S853" s="195"/>
      <c r="T853" s="166"/>
      <c r="U853" s="166"/>
      <c r="V853" s="166">
        <f t="shared" ref="V853:V875" si="2525">+CQ852*DH853</f>
        <v>0</v>
      </c>
      <c r="W853" s="170"/>
      <c r="X853" s="174">
        <v>5114.7953445758985</v>
      </c>
      <c r="Y853" s="175">
        <v>3.1587977164538122E-2</v>
      </c>
      <c r="Z853" s="175"/>
      <c r="AA853" s="175"/>
      <c r="AB853" s="175"/>
      <c r="AC853" s="170">
        <f t="shared" si="2462"/>
        <v>0</v>
      </c>
      <c r="AD853" s="175"/>
      <c r="AE853" s="170"/>
      <c r="AF853" s="119"/>
      <c r="AG853" s="174"/>
      <c r="AH853" s="175"/>
      <c r="AI853" s="175"/>
      <c r="AJ853" s="174"/>
      <c r="AK853" s="174"/>
      <c r="AL853" s="120"/>
      <c r="AM853" s="120"/>
      <c r="AN853" s="120"/>
      <c r="AO853" s="120"/>
      <c r="AP853" s="120"/>
      <c r="AQ853" s="175"/>
      <c r="AR853" s="120"/>
      <c r="AS853" s="120"/>
      <c r="AT853" s="120"/>
      <c r="AU853" s="120"/>
      <c r="AV853" s="120"/>
      <c r="AW853" s="120"/>
      <c r="AX853" s="120"/>
      <c r="AY853" s="120"/>
      <c r="AZ853" s="118">
        <f>IFERROR(INDEX('Total Customers'!$F$7:$AB$91,MATCH($C853,'Total Customers'!$D$7:$D$91,0),MATCH($G853,'Total Customers'!$F$5:$AB$5,0)),"NA")</f>
        <v>836928</v>
      </c>
      <c r="BA853" s="119">
        <f t="shared" ref="BA853:BA875" si="2526">LN(AZ853/AZ852)</f>
        <v>5.2940126770637591E-3</v>
      </c>
      <c r="BB853" s="119"/>
      <c r="BC853" s="121"/>
      <c r="BD853" s="119"/>
      <c r="BE853" s="119"/>
      <c r="BF853" s="119"/>
      <c r="BG853" s="173"/>
      <c r="BH853" s="173"/>
      <c r="BI853" s="173"/>
      <c r="BJ853" s="173"/>
      <c r="BK853" s="173"/>
      <c r="BL853" s="173"/>
      <c r="BM853" s="173"/>
      <c r="BN853" s="173"/>
      <c r="BO853" s="173"/>
      <c r="BP853" s="173"/>
      <c r="BQ853" s="118"/>
      <c r="BR853" s="118"/>
      <c r="BS853" s="118">
        <f>INDEX('Dist. Plant Gas Additions'!$F$7:$AE$91,MATCH($C853,'Dist. Plant Gas Additions'!$D$7:$D$91,0),MATCH(Calculation!$G853,'Dist. Plant Gas Additions'!$F$5:$AE$5,0))</f>
        <v>49270</v>
      </c>
      <c r="BT853" s="118">
        <f>INDEX('Gen. Plant Additions'!$F$7:$AE$91,MATCH($C853,'Gen. Plant Additions'!$D$7:$D$91,0),MATCH(Calculation!$G853,'Gen. Plant Additions'!$F$5:$AE$5,0))</f>
        <v>12328</v>
      </c>
      <c r="BU853" s="118"/>
      <c r="BV853" s="118"/>
      <c r="BW853" s="118">
        <f>INDEX('Dist Plant Depreciation'!$E$7:$AD$94,MATCH($C853,'Dist Plant Depreciation'!$D$7:$D$94,0),MATCH(Calculation!$G853,'Dist Plant Depreciation'!$E$5:$AD$5,0))</f>
        <v>491646</v>
      </c>
      <c r="BX853" s="118">
        <f>INDEX('Gen. Plant Depreciation'!$E$7:$AD$94,MATCH($C853,'Gen. Plant Depreciation'!$D$7:$D$94,0),MATCH(Calculation!$G853,'Gen. Plant Depreciation'!$E$5:$AD$5,0))</f>
        <v>52236</v>
      </c>
      <c r="BY853" s="118"/>
      <c r="BZ853" s="118"/>
      <c r="CA853" s="118"/>
      <c r="CB853" s="118"/>
      <c r="CC853" s="118"/>
      <c r="CD853" s="183"/>
      <c r="CE853" s="118">
        <f>INDEX('Gross Dx Plant'!$E$7:$AD$91,MATCH($C853,'Gross Dx Plant'!$D$7:$D$91,0),MATCH(Calculation!$G853,'Gross Dx Plant'!$E$5:$AD$5,0))</f>
        <v>1436973</v>
      </c>
      <c r="CF853" s="118">
        <f>INDEX('Gross Gen Plant'!$E$7:$AD$91,MATCH($C853,'Gross Gen Plant'!$D$7:$D$91,0),MATCH(Calculation!$G853,'Gross Gen Plant'!$E$5:$AD$5,0))</f>
        <v>113248</v>
      </c>
      <c r="CG853" s="118">
        <f t="shared" si="2468"/>
        <v>1006339</v>
      </c>
      <c r="CH853" s="118"/>
      <c r="CI853" s="121">
        <v>1999</v>
      </c>
      <c r="CJ853" s="118"/>
      <c r="CK853" s="118"/>
      <c r="CL853" s="118"/>
      <c r="CM853" s="183"/>
      <c r="CN853" s="118">
        <f t="shared" ref="CN853:CN875" si="2527">+BT853+BS853</f>
        <v>61598</v>
      </c>
      <c r="CO853" s="118">
        <f t="shared" ref="CO853:CO875" si="2528">+CN853/$DM853</f>
        <v>183.69641860139367</v>
      </c>
      <c r="CP853" s="186">
        <v>0.99502487562189057</v>
      </c>
      <c r="CQ853" s="118">
        <f>+CQ852*CP853+CO853</f>
        <v>5114.7953445758985</v>
      </c>
      <c r="CR853" s="119">
        <f t="shared" ref="CR853:CR874" si="2529">LN(CQ853/CQ852)</f>
        <v>3.1587977164538122E-2</v>
      </c>
      <c r="CS853" s="119"/>
      <c r="CT853" s="177">
        <f t="shared" ref="CT853:CT875" si="2530">+(CQ852-CQ853+CO853)/CQ852</f>
        <v>4.9751243781093208E-3</v>
      </c>
      <c r="CU853" s="177"/>
      <c r="CV853" s="119">
        <f>VLOOKUP($H853,RoR!$E:$F,2,FALSE)</f>
        <v>7.0416666666666669E-2</v>
      </c>
      <c r="CW853" s="177">
        <v>1.4335631817396832E-2</v>
      </c>
      <c r="CX853" s="177">
        <f>+CV853-CW853</f>
        <v>5.6081034849269837E-2</v>
      </c>
      <c r="CY853" s="177"/>
      <c r="CZ853" s="177"/>
      <c r="DA853" s="187">
        <f t="shared" ref="DA853:DA875" si="2531">1-DF853*DG853</f>
        <v>0.84949374999999994</v>
      </c>
      <c r="DB853" s="188">
        <f t="shared" ref="DB853:DB875" si="2532">2/(DK853*39)</f>
        <v>0.72826581702321336</v>
      </c>
      <c r="DC853" s="188">
        <f t="shared" ref="DC853:DC875" si="2533">+(DK853*40-(1+DK853))/(DK853*40)</f>
        <v>0.61997041420118348</v>
      </c>
      <c r="DD853" s="188">
        <f t="shared" ref="DD853:DD875" si="2534">+(1-(1/(1+DK853)^40))</f>
        <v>0.93425155319585029</v>
      </c>
      <c r="DE853" s="188">
        <f t="shared" ref="DE853:DE875" si="2535">+DD853*DC853*DB853</f>
        <v>0.42181762214141483</v>
      </c>
      <c r="DF853" s="189">
        <f>INDEX('State Tax Lookup'!$D$7:$Z$91,MATCH(Calculation!$C853,'State Tax Lookup'!$B$7:$B$91,0),MATCH($H853,'State Tax Lookup'!$D$6:$Z$6,0))</f>
        <v>0.40134999999999998</v>
      </c>
      <c r="DG853" s="189">
        <v>0.375</v>
      </c>
      <c r="DH853" s="190"/>
      <c r="DI853" s="190"/>
      <c r="DJ853" s="177"/>
      <c r="DK853" s="189">
        <f>VLOOKUP($H853,RoR!$E:$F,2,FALSE)</f>
        <v>7.0416666666666669E-2</v>
      </c>
      <c r="DL853" s="191">
        <f>HLOOKUP($H853,'GDP-PI'!$D$8:$CQ$11,3,FALSE)</f>
        <v>1.4335631817396832E-2</v>
      </c>
      <c r="DM853" s="189">
        <f>VLOOKUP(H853,'HW Dx Data'!$E:$F,2,FALSE)</f>
        <v>335.32499146683239</v>
      </c>
      <c r="DN853" s="183" t="e">
        <f>VLOOKUP(H853,'ECI - Input Price'!$G$17:$H$37,2,FALSE)</f>
        <v>#N/A</v>
      </c>
      <c r="DO853" s="177"/>
      <c r="DP853" s="183">
        <f>HLOOKUP(H853,'GDP-PI'!$8:$9,2,FALSE)</f>
        <v>76.346000000000004</v>
      </c>
    </row>
    <row r="854" spans="1:121" s="167" customFormat="1" ht="21" x14ac:dyDescent="0.35">
      <c r="A854" s="167" t="s">
        <v>88</v>
      </c>
      <c r="B854" s="168" t="s">
        <v>89</v>
      </c>
      <c r="C854" s="168">
        <v>4057135</v>
      </c>
      <c r="D854" s="168" t="s">
        <v>144</v>
      </c>
      <c r="E854" s="168"/>
      <c r="F854" s="168"/>
      <c r="G854" s="168" t="s">
        <v>6</v>
      </c>
      <c r="H854" s="169">
        <v>2000</v>
      </c>
      <c r="I854" s="170"/>
      <c r="J854" s="166"/>
      <c r="K854" s="166"/>
      <c r="L854" s="166"/>
      <c r="M854" s="166"/>
      <c r="N854" s="196"/>
      <c r="O854" s="166"/>
      <c r="P854" s="166"/>
      <c r="Q854" s="166"/>
      <c r="R854" s="166"/>
      <c r="S854" s="166"/>
      <c r="T854" s="166"/>
      <c r="U854" s="166"/>
      <c r="V854" s="166">
        <f t="shared" si="2525"/>
        <v>0</v>
      </c>
      <c r="W854" s="170"/>
      <c r="X854" s="174">
        <v>5291.2498344110027</v>
      </c>
      <c r="Y854" s="175">
        <v>3.3917093790589325E-2</v>
      </c>
      <c r="Z854" s="175"/>
      <c r="AA854" s="175"/>
      <c r="AB854" s="175"/>
      <c r="AC854" s="170">
        <f t="shared" si="2462"/>
        <v>0</v>
      </c>
      <c r="AD854" s="175"/>
      <c r="AE854" s="170"/>
      <c r="AF854" s="170"/>
      <c r="AG854" s="174"/>
      <c r="AH854" s="175"/>
      <c r="AI854" s="175"/>
      <c r="AJ854" s="174"/>
      <c r="AK854" s="174"/>
      <c r="AL854" s="120"/>
      <c r="AM854" s="120"/>
      <c r="AN854" s="120"/>
      <c r="AO854" s="120"/>
      <c r="AP854" s="120"/>
      <c r="AQ854" s="175"/>
      <c r="AR854" s="120"/>
      <c r="AS854" s="120"/>
      <c r="AT854" s="120"/>
      <c r="AU854" s="120"/>
      <c r="AV854" s="120"/>
      <c r="AW854" s="120"/>
      <c r="AX854" s="120"/>
      <c r="AY854" s="120"/>
      <c r="AZ854" s="118">
        <f>IFERROR(INDEX('Total Customers'!$F$7:$AB$91,MATCH($C854,'Total Customers'!$D$7:$D$91,0),MATCH($G854,'Total Customers'!$F$5:$AB$5,0)),"NA")</f>
        <v>840561</v>
      </c>
      <c r="BA854" s="119">
        <f t="shared" si="2526"/>
        <v>4.331480778843491E-3</v>
      </c>
      <c r="BB854" s="119"/>
      <c r="BC854" s="121"/>
      <c r="BD854" s="119"/>
      <c r="BE854" s="119"/>
      <c r="BF854" s="119"/>
      <c r="BG854" s="173"/>
      <c r="BH854" s="173"/>
      <c r="BI854" s="173"/>
      <c r="BJ854" s="173"/>
      <c r="BK854" s="173"/>
      <c r="BL854" s="173"/>
      <c r="BM854" s="173"/>
      <c r="BN854" s="173"/>
      <c r="BO854" s="173"/>
      <c r="BP854" s="173"/>
      <c r="BQ854" s="118"/>
      <c r="BR854" s="118"/>
      <c r="BS854" s="118">
        <f>INDEX('Dist. Plant Gas Additions'!$F$7:$AE$91,MATCH($C854,'Dist. Plant Gas Additions'!$D$7:$D$91,0),MATCH(Calculation!$G854,'Dist. Plant Gas Additions'!$F$5:$AE$5,0))</f>
        <v>56835</v>
      </c>
      <c r="BT854" s="118">
        <f>INDEX('Gen. Plant Additions'!$F$7:$AE$91,MATCH($C854,'Gen. Plant Additions'!$D$7:$D$91,0),MATCH(Calculation!$G854,'Gen. Plant Additions'!$F$5:$AE$5,0))</f>
        <v>13432</v>
      </c>
      <c r="BU854" s="118"/>
      <c r="BV854" s="118"/>
      <c r="BW854" s="118">
        <f>INDEX('Dist Plant Depreciation'!$E$7:$AD$94,MATCH($C854,'Dist Plant Depreciation'!$D$7:$D$94,0),MATCH(Calculation!$G854,'Dist Plant Depreciation'!$E$5:$AD$5,0))</f>
        <v>520985</v>
      </c>
      <c r="BX854" s="118">
        <f>INDEX('Gen. Plant Depreciation'!$E$7:$AD$94,MATCH($C854,'Gen. Plant Depreciation'!$D$7:$D$94,0),MATCH(Calculation!$G854,'Gen. Plant Depreciation'!$E$5:$AD$5,0))</f>
        <v>51763</v>
      </c>
      <c r="BY854" s="118"/>
      <c r="BZ854" s="118"/>
      <c r="CA854" s="118"/>
      <c r="CB854" s="118"/>
      <c r="CC854" s="118"/>
      <c r="CD854" s="183"/>
      <c r="CE854" s="118">
        <f>INDEX('Gross Dx Plant'!$E$7:$AD$91,MATCH($C854,'Gross Dx Plant'!$D$7:$D$91,0),MATCH(Calculation!$G854,'Gross Dx Plant'!$E$5:$AD$5,0))</f>
        <v>1481850</v>
      </c>
      <c r="CF854" s="118">
        <f>INDEX('Gross Gen Plant'!$E$7:$AD$91,MATCH($C854,'Gross Gen Plant'!$D$7:$D$91,0),MATCH(Calculation!$G854,'Gross Gen Plant'!$E$5:$AD$5,0))</f>
        <v>108984</v>
      </c>
      <c r="CG854" s="118">
        <f t="shared" si="2468"/>
        <v>1018086</v>
      </c>
      <c r="CH854" s="118"/>
      <c r="CI854" s="121">
        <v>2000</v>
      </c>
      <c r="CJ854" s="118"/>
      <c r="CK854" s="118"/>
      <c r="CL854" s="118"/>
      <c r="CM854" s="183"/>
      <c r="CN854" s="118">
        <f t="shared" si="2527"/>
        <v>70267</v>
      </c>
      <c r="CO854" s="118">
        <f t="shared" si="2528"/>
        <v>202.77103319623848</v>
      </c>
      <c r="CP854" s="186">
        <v>0.98989898989898994</v>
      </c>
      <c r="CQ854" s="118">
        <f>+CQ852*CP854+CO853*CP853+CO854</f>
        <v>5291.2498344110027</v>
      </c>
      <c r="CR854" s="119">
        <f t="shared" si="2529"/>
        <v>3.3917093790589325E-2</v>
      </c>
      <c r="CS854" s="119"/>
      <c r="CT854" s="177">
        <f t="shared" si="2530"/>
        <v>5.145180127107591E-3</v>
      </c>
      <c r="CU854" s="177"/>
      <c r="CV854" s="119">
        <f>VLOOKUP($H854,RoR!$E:$F,2,FALSE)</f>
        <v>7.6225000000000001E-2</v>
      </c>
      <c r="CW854" s="177">
        <v>2.2568307442433211E-2</v>
      </c>
      <c r="CX854" s="177">
        <f t="shared" ref="CX854:CX874" si="2536">+CV854-CW854</f>
        <v>5.365669255756679E-2</v>
      </c>
      <c r="CY854" s="177"/>
      <c r="CZ854" s="177"/>
      <c r="DA854" s="187">
        <f t="shared" si="2531"/>
        <v>0.84949374999999994</v>
      </c>
      <c r="DB854" s="188">
        <f t="shared" si="2532"/>
        <v>0.67277207323124022</v>
      </c>
      <c r="DC854" s="188">
        <f t="shared" si="2533"/>
        <v>0.6470236142997704</v>
      </c>
      <c r="DD854" s="188">
        <f t="shared" si="2534"/>
        <v>0.94704866037543145</v>
      </c>
      <c r="DE854" s="188">
        <f t="shared" si="2535"/>
        <v>0.41224973107878493</v>
      </c>
      <c r="DF854" s="189">
        <f>INDEX('State Tax Lookup'!$D$7:$Z$91,MATCH(Calculation!$C854,'State Tax Lookup'!$B$7:$B$91,0),MATCH($H854,'State Tax Lookup'!$D$6:$Z$6,0))</f>
        <v>0.40134999999999998</v>
      </c>
      <c r="DG854" s="189">
        <v>0.375</v>
      </c>
      <c r="DH854" s="190"/>
      <c r="DI854" s="190"/>
      <c r="DJ854" s="177"/>
      <c r="DK854" s="189">
        <f>VLOOKUP($H854,RoR!$E:$F,2,FALSE)</f>
        <v>7.6225000000000001E-2</v>
      </c>
      <c r="DL854" s="191">
        <f>HLOOKUP($H854,'GDP-PI'!$D$8:$CQ$11,3,FALSE)</f>
        <v>2.2568307442433211E-2</v>
      </c>
      <c r="DM854" s="189">
        <f>VLOOKUP(H854,'HW Dx Data'!$E:$F,2,FALSE)</f>
        <v>346.53371782150339</v>
      </c>
      <c r="DN854" s="183" t="e">
        <f>VLOOKUP(H854,'ECI - Input Price'!$G$17:$H$37,2,FALSE)</f>
        <v>#N/A</v>
      </c>
      <c r="DO854" s="177"/>
      <c r="DP854" s="183">
        <f>HLOOKUP(H854,'GDP-PI'!$8:$9,2,FALSE)</f>
        <v>78.069000000000003</v>
      </c>
    </row>
    <row r="855" spans="1:121" s="167" customFormat="1" ht="21" x14ac:dyDescent="0.35">
      <c r="A855" s="167" t="s">
        <v>88</v>
      </c>
      <c r="B855" s="168" t="s">
        <v>89</v>
      </c>
      <c r="C855" s="168">
        <v>4057135</v>
      </c>
      <c r="D855" s="168" t="s">
        <v>144</v>
      </c>
      <c r="E855" s="168"/>
      <c r="F855" s="168"/>
      <c r="G855" s="168" t="s">
        <v>7</v>
      </c>
      <c r="H855" s="169">
        <v>2001</v>
      </c>
      <c r="I855" s="170"/>
      <c r="J855" s="166"/>
      <c r="K855" s="166"/>
      <c r="L855" s="166"/>
      <c r="M855" s="166"/>
      <c r="N855" s="196"/>
      <c r="O855" s="166"/>
      <c r="P855" s="166"/>
      <c r="Q855" s="166"/>
      <c r="R855" s="166"/>
      <c r="S855" s="166"/>
      <c r="T855" s="166"/>
      <c r="U855" s="166"/>
      <c r="V855" s="166">
        <f t="shared" si="2525"/>
        <v>68340.723013690658</v>
      </c>
      <c r="W855" s="170"/>
      <c r="X855" s="174">
        <v>5490.1349890884139</v>
      </c>
      <c r="Y855" s="175">
        <v>3.689836183742818E-2</v>
      </c>
      <c r="Z855" s="175"/>
      <c r="AA855" s="175"/>
      <c r="AB855" s="175"/>
      <c r="AC855" s="170">
        <f t="shared" si="2462"/>
        <v>68340.723013690658</v>
      </c>
      <c r="AD855" s="175"/>
      <c r="AE855" s="170"/>
      <c r="AF855" s="170"/>
      <c r="AG855" s="174"/>
      <c r="AH855" s="175"/>
      <c r="AI855" s="175"/>
      <c r="AJ855" s="174"/>
      <c r="AK855" s="174"/>
      <c r="AL855" s="120"/>
      <c r="AM855" s="120"/>
      <c r="AN855" s="120"/>
      <c r="AO855" s="120"/>
      <c r="AP855" s="120"/>
      <c r="AQ855" s="175"/>
      <c r="AR855" s="120"/>
      <c r="AS855" s="120"/>
      <c r="AT855" s="120"/>
      <c r="AU855" s="120"/>
      <c r="AV855" s="120"/>
      <c r="AW855" s="120"/>
      <c r="AX855" s="120"/>
      <c r="AY855" s="120"/>
      <c r="AZ855" s="118">
        <f>IFERROR(INDEX('Total Customers'!$F$7:$AB$91,MATCH($C855,'Total Customers'!$D$7:$D$91,0),MATCH($G855,'Total Customers'!$F$5:$AB$5,0)),"NA")</f>
        <v>845637</v>
      </c>
      <c r="BA855" s="119">
        <f t="shared" si="2526"/>
        <v>6.0206634488465804E-3</v>
      </c>
      <c r="BB855" s="119"/>
      <c r="BC855" s="121"/>
      <c r="BD855" s="119"/>
      <c r="BE855" s="119"/>
      <c r="BF855" s="119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18"/>
      <c r="BR855" s="118"/>
      <c r="BS855" s="118">
        <f>INDEX('Dist. Plant Gas Additions'!$F$7:$AE$91,MATCH($C855,'Dist. Plant Gas Additions'!$D$7:$D$91,0),MATCH(Calculation!$G855,'Dist. Plant Gas Additions'!$F$5:$AE$5,0))</f>
        <v>68464</v>
      </c>
      <c r="BT855" s="118">
        <f>INDEX('Gen. Plant Additions'!$F$7:$AE$91,MATCH($C855,'Gen. Plant Additions'!$D$7:$D$91,0),MATCH(Calculation!$G855,'Gen. Plant Additions'!$F$5:$AE$5,0))</f>
        <v>11419</v>
      </c>
      <c r="BU855" s="118"/>
      <c r="BV855" s="118"/>
      <c r="BW855" s="118">
        <f>INDEX('Dist Plant Depreciation'!$E$7:$AD$94,MATCH($C855,'Dist Plant Depreciation'!$D$7:$D$94,0),MATCH(Calculation!$G855,'Dist Plant Depreciation'!$E$5:$AD$5,0))</f>
        <v>544737</v>
      </c>
      <c r="BX855" s="118">
        <f>INDEX('Gen. Plant Depreciation'!$E$7:$AD$94,MATCH($C855,'Gen. Plant Depreciation'!$D$7:$D$94,0),MATCH(Calculation!$G855,'Gen. Plant Depreciation'!$E$5:$AD$5,0))</f>
        <v>57925</v>
      </c>
      <c r="BY855" s="118"/>
      <c r="BZ855" s="118"/>
      <c r="CA855" s="118"/>
      <c r="CB855" s="118"/>
      <c r="CC855" s="118"/>
      <c r="CD855" s="183"/>
      <c r="CE855" s="118">
        <f>INDEX('Gross Dx Plant'!$E$7:$AD$91,MATCH($C855,'Gross Dx Plant'!$D$7:$D$91,0),MATCH(Calculation!$G855,'Gross Dx Plant'!$E$5:$AD$5,0))</f>
        <v>1539749</v>
      </c>
      <c r="CF855" s="118">
        <f>INDEX('Gross Gen Plant'!$E$7:$AD$91,MATCH($C855,'Gross Gen Plant'!$D$7:$D$91,0),MATCH(Calculation!$G855,'Gross Gen Plant'!$E$5:$AD$5,0))</f>
        <v>116468</v>
      </c>
      <c r="CG855" s="118">
        <f t="shared" si="2468"/>
        <v>1053555</v>
      </c>
      <c r="CH855" s="118"/>
      <c r="CI855" s="121">
        <v>2001</v>
      </c>
      <c r="CJ855" s="118"/>
      <c r="CK855" s="118"/>
      <c r="CL855" s="118"/>
      <c r="CM855" s="183"/>
      <c r="CN855" s="118">
        <f t="shared" si="2527"/>
        <v>79883</v>
      </c>
      <c r="CO855" s="118">
        <f t="shared" si="2528"/>
        <v>226.01101176782294</v>
      </c>
      <c r="CP855" s="186">
        <v>0.98461538461538467</v>
      </c>
      <c r="CQ855" s="118">
        <f>+CQ852*CP855+CO853*CP854+CO854*CP852+CO855</f>
        <v>5490.1349890884139</v>
      </c>
      <c r="CR855" s="119">
        <f t="shared" si="2529"/>
        <v>3.689836183742818E-2</v>
      </c>
      <c r="CS855" s="119"/>
      <c r="CT855" s="177">
        <f t="shared" si="2530"/>
        <v>5.1265500475902578E-3</v>
      </c>
      <c r="CU855" s="177">
        <f>+(CT855+CT854+CT853)/3</f>
        <v>5.0822848509357232E-3</v>
      </c>
      <c r="CV855" s="119">
        <f>VLOOKUP($H855,RoR!$E:$F,2,FALSE)</f>
        <v>7.0824999999999999E-2</v>
      </c>
      <c r="CW855" s="177">
        <v>2.2454495382290052E-2</v>
      </c>
      <c r="CX855" s="177">
        <f t="shared" si="2536"/>
        <v>4.8370504617709947E-2</v>
      </c>
      <c r="CY855" s="177">
        <f>+$CX$35-CU855</f>
        <v>2.5819656757597901E-2</v>
      </c>
      <c r="CZ855" s="177">
        <f>+((DM853/DM852-1)+(DM854/DM853-1)+(DM855/DM854-1))/3</f>
        <v>2.3947275901631187E-2</v>
      </c>
      <c r="DA855" s="187">
        <f t="shared" si="2531"/>
        <v>0.84949374999999994</v>
      </c>
      <c r="DB855" s="188">
        <f t="shared" si="2532"/>
        <v>0.72406708481540816</v>
      </c>
      <c r="DC855" s="188">
        <f t="shared" si="2533"/>
        <v>0.62201729615248857</v>
      </c>
      <c r="DD855" s="188">
        <f t="shared" si="2534"/>
        <v>0.9352469954311422</v>
      </c>
      <c r="DE855" s="188">
        <f t="shared" si="2535"/>
        <v>0.42121864641655071</v>
      </c>
      <c r="DF855" s="189">
        <f>INDEX('State Tax Lookup'!$D$7:$Z$91,MATCH(Calculation!$C855,'State Tax Lookup'!$B$7:$B$91,0),MATCH($H855,'State Tax Lookup'!$D$6:$Z$6,0))</f>
        <v>0.40134999999999998</v>
      </c>
      <c r="DG855" s="189">
        <v>0.375</v>
      </c>
      <c r="DH855" s="190">
        <f t="shared" ref="DH855:DH875" si="2537">+(DM855*CY855-CZ855)*DA855/(1-DF855)</f>
        <v>12.915799698068506</v>
      </c>
      <c r="DI855" s="190"/>
      <c r="DJ855" s="177"/>
      <c r="DK855" s="189">
        <f>VLOOKUP($H855,RoR!$E:$F,2,FALSE)</f>
        <v>7.0824999999999999E-2</v>
      </c>
      <c r="DL855" s="191">
        <f>HLOOKUP($H855,'GDP-PI'!$D$8:$CQ$11,3,FALSE)</f>
        <v>2.2454495382290052E-2</v>
      </c>
      <c r="DM855" s="189">
        <f>VLOOKUP(H855,'HW Dx Data'!$E:$F,2,FALSE)</f>
        <v>353.44738017483138</v>
      </c>
      <c r="DN855" s="183">
        <f>VLOOKUP(H855,'ECI - Input Price'!$G$17:$H$37,2,FALSE)</f>
        <v>86.2</v>
      </c>
      <c r="DO855" s="177"/>
      <c r="DP855" s="183">
        <f>HLOOKUP(H855,'GDP-PI'!$8:$9,2,FALSE)</f>
        <v>79.822000000000003</v>
      </c>
    </row>
    <row r="856" spans="1:121" s="167" customFormat="1" ht="21" x14ac:dyDescent="0.35">
      <c r="A856" s="167" t="s">
        <v>88</v>
      </c>
      <c r="B856" s="168" t="s">
        <v>89</v>
      </c>
      <c r="C856" s="168">
        <v>4057135</v>
      </c>
      <c r="D856" s="168" t="s">
        <v>144</v>
      </c>
      <c r="E856" s="168"/>
      <c r="F856" s="168"/>
      <c r="G856" s="168" t="s">
        <v>8</v>
      </c>
      <c r="H856" s="169">
        <v>2002</v>
      </c>
      <c r="I856" s="170"/>
      <c r="J856" s="166"/>
      <c r="K856" s="166"/>
      <c r="L856" s="166"/>
      <c r="M856" s="166"/>
      <c r="N856" s="196"/>
      <c r="O856" s="166"/>
      <c r="P856" s="166"/>
      <c r="Q856" s="166"/>
      <c r="R856" s="166"/>
      <c r="S856" s="166"/>
      <c r="T856" s="166"/>
      <c r="U856" s="166"/>
      <c r="V856" s="166">
        <f t="shared" si="2525"/>
        <v>71833.733109831286</v>
      </c>
      <c r="W856" s="170"/>
      <c r="X856" s="174">
        <v>5620.5204686820971</v>
      </c>
      <c r="Y856" s="175">
        <v>2.3471426307781811E-2</v>
      </c>
      <c r="Z856" s="175"/>
      <c r="AA856" s="175"/>
      <c r="AB856" s="175"/>
      <c r="AC856" s="170">
        <f t="shared" si="2462"/>
        <v>71833.733109831286</v>
      </c>
      <c r="AD856" s="175"/>
      <c r="AE856" s="170"/>
      <c r="AF856" s="170"/>
      <c r="AG856" s="174"/>
      <c r="AH856" s="175"/>
      <c r="AI856" s="175"/>
      <c r="AJ856" s="174"/>
      <c r="AK856" s="174"/>
      <c r="AL856" s="120"/>
      <c r="AM856" s="120"/>
      <c r="AN856" s="120"/>
      <c r="AO856" s="120"/>
      <c r="AP856" s="120"/>
      <c r="AQ856" s="175"/>
      <c r="AR856" s="120"/>
      <c r="AS856" s="120"/>
      <c r="AT856" s="120"/>
      <c r="AU856" s="120"/>
      <c r="AV856" s="120"/>
      <c r="AW856" s="120"/>
      <c r="AX856" s="120"/>
      <c r="AY856" s="120"/>
      <c r="AZ856" s="118">
        <f>IFERROR(INDEX('Total Customers'!$F$7:$AB$91,MATCH($C856,'Total Customers'!$D$7:$D$91,0),MATCH($G856,'Total Customers'!$F$5:$AB$5,0)),"NA")</f>
        <v>837212</v>
      </c>
      <c r="BA856" s="119">
        <f t="shared" si="2526"/>
        <v>-1.0012865550011595E-2</v>
      </c>
      <c r="BB856" s="119"/>
      <c r="BC856" s="121"/>
      <c r="BD856" s="119"/>
      <c r="BE856" s="119"/>
      <c r="BF856" s="119"/>
      <c r="BG856" s="173"/>
      <c r="BH856" s="173"/>
      <c r="BI856" s="173"/>
      <c r="BJ856" s="173"/>
      <c r="BK856" s="173"/>
      <c r="BL856" s="173"/>
      <c r="BM856" s="173"/>
      <c r="BN856" s="173"/>
      <c r="BO856" s="173"/>
      <c r="BP856" s="173"/>
      <c r="BQ856" s="118"/>
      <c r="BR856" s="118"/>
      <c r="BS856" s="118">
        <f>INDEX('Dist. Plant Gas Additions'!$F$7:$AE$91,MATCH($C856,'Dist. Plant Gas Additions'!$D$7:$D$91,0),MATCH(Calculation!$G856,'Dist. Plant Gas Additions'!$F$5:$AE$5,0))</f>
        <v>50577</v>
      </c>
      <c r="BT856" s="118">
        <f>INDEX('Gen. Plant Additions'!$F$7:$AE$91,MATCH($C856,'Gen. Plant Additions'!$D$7:$D$91,0),MATCH(Calculation!$G856,'Gen. Plant Additions'!$F$5:$AE$5,0))</f>
        <v>7792</v>
      </c>
      <c r="BU856" s="118"/>
      <c r="BV856" s="118"/>
      <c r="BW856" s="118">
        <f>INDEX('Dist Plant Depreciation'!$E$7:$AD$94,MATCH($C856,'Dist Plant Depreciation'!$D$7:$D$94,0),MATCH(Calculation!$G856,'Dist Plant Depreciation'!$E$5:$AD$5,0))</f>
        <v>565543</v>
      </c>
      <c r="BX856" s="118">
        <f>INDEX('Gen. Plant Depreciation'!$E$7:$AD$94,MATCH($C856,'Gen. Plant Depreciation'!$D$7:$D$94,0),MATCH(Calculation!$G856,'Gen. Plant Depreciation'!$E$5:$AD$5,0))</f>
        <v>66064</v>
      </c>
      <c r="BY856" s="118"/>
      <c r="BZ856" s="118"/>
      <c r="CA856" s="118"/>
      <c r="CB856" s="118"/>
      <c r="CC856" s="118"/>
      <c r="CD856" s="183"/>
      <c r="CE856" s="118">
        <f>INDEX('Gross Dx Plant'!$E$7:$AD$91,MATCH($C856,'Gross Dx Plant'!$D$7:$D$91,0),MATCH(Calculation!$G856,'Gross Dx Plant'!$E$5:$AD$5,0))</f>
        <v>1575897</v>
      </c>
      <c r="CF856" s="118">
        <f>INDEX('Gross Gen Plant'!$E$7:$AD$91,MATCH($C856,'Gross Gen Plant'!$D$7:$D$91,0),MATCH(Calculation!$G856,'Gross Gen Plant'!$E$5:$AD$5,0))</f>
        <v>119568</v>
      </c>
      <c r="CG856" s="118">
        <f t="shared" si="2468"/>
        <v>1063858</v>
      </c>
      <c r="CH856" s="118"/>
      <c r="CI856" s="121">
        <v>2002</v>
      </c>
      <c r="CJ856" s="118"/>
      <c r="CK856" s="118"/>
      <c r="CL856" s="118"/>
      <c r="CM856" s="183"/>
      <c r="CN856" s="118">
        <f t="shared" si="2527"/>
        <v>58369</v>
      </c>
      <c r="CO856" s="118">
        <f t="shared" si="2528"/>
        <v>161.53119217144533</v>
      </c>
      <c r="CP856" s="186">
        <v>0.97916666666666663</v>
      </c>
      <c r="CQ856" s="118">
        <f>+CQ852*CP856+CO853*CP855+CO854*CP854+CO855*CP853+CO856</f>
        <v>5620.5204686820971</v>
      </c>
      <c r="CR856" s="119">
        <f t="shared" si="2529"/>
        <v>2.3471426307781811E-2</v>
      </c>
      <c r="CS856" s="119"/>
      <c r="CT856" s="177">
        <f t="shared" si="2530"/>
        <v>5.6730322004220199E-3</v>
      </c>
      <c r="CU856" s="177">
        <f t="shared" ref="CU856:CU875" si="2538">+(CT856+CT855+CT854)/3</f>
        <v>5.314920791706622E-3</v>
      </c>
      <c r="CV856" s="119">
        <f>VLOOKUP($H856,RoR!$E:$F,2,FALSE)</f>
        <v>6.4916666666666664E-2</v>
      </c>
      <c r="CW856" s="177">
        <v>1.5246423291824351E-2</v>
      </c>
      <c r="CX856" s="177">
        <f t="shared" si="2536"/>
        <v>4.9670243374842313E-2</v>
      </c>
      <c r="CY856" s="177">
        <f t="shared" ref="CY856:CY875" si="2539">+$CX$35-CU856</f>
        <v>2.5587020816827004E-2</v>
      </c>
      <c r="CZ856" s="177">
        <f t="shared" ref="CZ856:CZ875" si="2540">+((DM854/DM853-1)+(DM855/DM854-1)+(DM856/DM855-1))/3</f>
        <v>2.5243621214759093E-2</v>
      </c>
      <c r="DA856" s="187">
        <f t="shared" si="2531"/>
        <v>0.84949374999999994</v>
      </c>
      <c r="DB856" s="188">
        <f t="shared" si="2532"/>
        <v>0.78996741384417901</v>
      </c>
      <c r="DC856" s="188">
        <f t="shared" si="2533"/>
        <v>0.58989088575096271</v>
      </c>
      <c r="DD856" s="188">
        <f t="shared" si="2534"/>
        <v>0.91920675783645744</v>
      </c>
      <c r="DE856" s="188">
        <f t="shared" si="2535"/>
        <v>0.42834536472275586</v>
      </c>
      <c r="DF856" s="189">
        <f>INDEX('State Tax Lookup'!$D$7:$Z$91,MATCH(Calculation!$C856,'State Tax Lookup'!$B$7:$B$91,0),MATCH($H856,'State Tax Lookup'!$D$6:$Z$6,0))</f>
        <v>0.40134999999999998</v>
      </c>
      <c r="DG856" s="189">
        <v>0.375</v>
      </c>
      <c r="DH856" s="190">
        <f t="shared" si="2537"/>
        <v>13.084146975001541</v>
      </c>
      <c r="DI856" s="190"/>
      <c r="DJ856" s="177"/>
      <c r="DK856" s="189">
        <f>VLOOKUP($H856,RoR!$E:$F,2,FALSE)</f>
        <v>6.4916666666666664E-2</v>
      </c>
      <c r="DL856" s="191">
        <f>HLOOKUP($H856,'GDP-PI'!$D$8:$CQ$11,3,FALSE)</f>
        <v>1.5246423291824351E-2</v>
      </c>
      <c r="DM856" s="189">
        <f>VLOOKUP(H856,'HW Dx Data'!$E:$F,2,FALSE)</f>
        <v>361.34816573413599</v>
      </c>
      <c r="DN856" s="183">
        <f>VLOOKUP(H856,'ECI - Input Price'!$G$17:$H$37,2,FALSE)</f>
        <v>89.275000000000006</v>
      </c>
      <c r="DO856" s="177">
        <f>LN(DN856/DN855)</f>
        <v>3.5051315810864674E-2</v>
      </c>
      <c r="DP856" s="183">
        <f>HLOOKUP(H856,'GDP-PI'!$8:$9,2,FALSE)</f>
        <v>81.039000000000001</v>
      </c>
      <c r="DQ856" s="177">
        <f>LN(DP856/DP855)</f>
        <v>1.513136459537477E-2</v>
      </c>
    </row>
    <row r="857" spans="1:121" s="167" customFormat="1" ht="21" x14ac:dyDescent="0.35">
      <c r="A857" s="167" t="s">
        <v>88</v>
      </c>
      <c r="B857" s="168" t="s">
        <v>89</v>
      </c>
      <c r="C857" s="168">
        <v>4057135</v>
      </c>
      <c r="D857" s="168" t="s">
        <v>144</v>
      </c>
      <c r="E857" s="168"/>
      <c r="F857" s="168"/>
      <c r="G857" s="168" t="s">
        <v>9</v>
      </c>
      <c r="H857" s="169">
        <v>2003</v>
      </c>
      <c r="I857" s="170"/>
      <c r="J857" s="166"/>
      <c r="K857" s="166"/>
      <c r="L857" s="166"/>
      <c r="M857" s="172"/>
      <c r="N857" s="196"/>
      <c r="O857" s="172"/>
      <c r="P857" s="166"/>
      <c r="Q857" s="166"/>
      <c r="R857" s="166"/>
      <c r="S857" s="166"/>
      <c r="T857" s="166"/>
      <c r="U857" s="166"/>
      <c r="V857" s="166">
        <f t="shared" si="2525"/>
        <v>74659.968203459634</v>
      </c>
      <c r="W857" s="170"/>
      <c r="X857" s="174">
        <v>5712.0416140477437</v>
      </c>
      <c r="Y857" s="175">
        <v>1.6152240679916427E-2</v>
      </c>
      <c r="Z857" s="175"/>
      <c r="AA857" s="175"/>
      <c r="AB857" s="175"/>
      <c r="AC857" s="170">
        <f t="shared" si="2462"/>
        <v>74659.968203459634</v>
      </c>
      <c r="AD857" s="175"/>
      <c r="AE857" s="170"/>
      <c r="AF857" s="170"/>
      <c r="AG857" s="174"/>
      <c r="AH857" s="175"/>
      <c r="AI857" s="175"/>
      <c r="AJ857" s="174"/>
      <c r="AK857" s="174"/>
      <c r="AL857" s="120"/>
      <c r="AM857" s="120"/>
      <c r="AN857" s="120"/>
      <c r="AO857" s="120"/>
      <c r="AP857" s="120"/>
      <c r="AQ857" s="175"/>
      <c r="AR857" s="120"/>
      <c r="AS857" s="120"/>
      <c r="AT857" s="120"/>
      <c r="AU857" s="120"/>
      <c r="AV857" s="120"/>
      <c r="AW857" s="120"/>
      <c r="AX857" s="120"/>
      <c r="AY857" s="120"/>
      <c r="AZ857" s="118">
        <f>IFERROR(INDEX('Total Customers'!$F$7:$AB$91,MATCH($C857,'Total Customers'!$D$7:$D$91,0),MATCH($G857,'Total Customers'!$F$5:$AB$5,0)),"NA")</f>
        <v>818730</v>
      </c>
      <c r="BA857" s="119">
        <f t="shared" si="2526"/>
        <v>-2.2322964791525578E-2</v>
      </c>
      <c r="BB857" s="119"/>
      <c r="BC857" s="121"/>
      <c r="BD857" s="119"/>
      <c r="BE857" s="119"/>
      <c r="BF857" s="119"/>
      <c r="BG857" s="173"/>
      <c r="BH857" s="173"/>
      <c r="BI857" s="173"/>
      <c r="BJ857" s="173"/>
      <c r="BK857" s="173"/>
      <c r="BL857" s="173"/>
      <c r="BM857" s="173"/>
      <c r="BN857" s="173"/>
      <c r="BO857" s="173"/>
      <c r="BP857" s="173"/>
      <c r="BQ857" s="118"/>
      <c r="BR857" s="118"/>
      <c r="BS857" s="118">
        <f>INDEX('Dist. Plant Gas Additions'!$F$7:$AE$91,MATCH($C857,'Dist. Plant Gas Additions'!$D$7:$D$91,0),MATCH(Calculation!$G857,'Dist. Plant Gas Additions'!$F$5:$AE$5,0))</f>
        <v>35405</v>
      </c>
      <c r="BT857" s="118">
        <f>INDEX('Gen. Plant Additions'!$F$7:$AE$91,MATCH($C857,'Gen. Plant Additions'!$D$7:$D$91,0),MATCH(Calculation!$G857,'Gen. Plant Additions'!$F$5:$AE$5,0))</f>
        <v>10164</v>
      </c>
      <c r="BU857" s="118"/>
      <c r="BV857" s="118"/>
      <c r="BW857" s="118">
        <f>INDEX('Dist Plant Depreciation'!$E$7:$AD$94,MATCH($C857,'Dist Plant Depreciation'!$D$7:$D$94,0),MATCH(Calculation!$G857,'Dist Plant Depreciation'!$E$5:$AD$5,0))</f>
        <v>588522</v>
      </c>
      <c r="BX857" s="118">
        <f>INDEX('Gen. Plant Depreciation'!$E$7:$AD$94,MATCH($C857,'Gen. Plant Depreciation'!$D$7:$D$94,0),MATCH(Calculation!$G857,'Gen. Plant Depreciation'!$E$5:$AD$5,0))</f>
        <v>74149</v>
      </c>
      <c r="BY857" s="118"/>
      <c r="BZ857" s="118"/>
      <c r="CA857" s="118"/>
      <c r="CB857" s="118"/>
      <c r="CC857" s="118"/>
      <c r="CD857" s="183"/>
      <c r="CE857" s="118">
        <f>INDEX('Gross Dx Plant'!$E$7:$AD$91,MATCH($C857,'Gross Dx Plant'!$D$7:$D$91,0),MATCH(Calculation!$G857,'Gross Dx Plant'!$E$5:$AD$5,0))</f>
        <v>1597448</v>
      </c>
      <c r="CF857" s="118">
        <f>INDEX('Gross Gen Plant'!$E$7:$AD$91,MATCH($C857,'Gross Gen Plant'!$D$7:$D$91,0),MATCH(Calculation!$G857,'Gross Gen Plant'!$E$5:$AD$5,0))</f>
        <v>126752</v>
      </c>
      <c r="CG857" s="118">
        <f t="shared" si="2468"/>
        <v>1061529</v>
      </c>
      <c r="CH857" s="118"/>
      <c r="CI857" s="121">
        <v>2003</v>
      </c>
      <c r="CJ857" s="118"/>
      <c r="CK857" s="118"/>
      <c r="CL857" s="118"/>
      <c r="CM857" s="183"/>
      <c r="CN857" s="118">
        <f t="shared" si="2527"/>
        <v>45569</v>
      </c>
      <c r="CO857" s="118">
        <f t="shared" si="2528"/>
        <v>123.41529237070139</v>
      </c>
      <c r="CP857" s="186">
        <v>0.97354497354497349</v>
      </c>
      <c r="CQ857" s="118">
        <f>+CQ852*CP857+CO853*CP856+CO854*CP855+CO855*CP854+CO856*CP853+CO857</f>
        <v>5712.0416140477437</v>
      </c>
      <c r="CR857" s="119">
        <f t="shared" si="2529"/>
        <v>1.6152240679916427E-2</v>
      </c>
      <c r="CS857" s="119"/>
      <c r="CT857" s="177">
        <f t="shared" si="2530"/>
        <v>5.6745896012248423E-3</v>
      </c>
      <c r="CU857" s="177">
        <f t="shared" si="2538"/>
        <v>5.4913906164123739E-3</v>
      </c>
      <c r="CV857" s="119">
        <f>VLOOKUP($H857,RoR!$E:$F,2,FALSE)</f>
        <v>5.6666666666666671E-2</v>
      </c>
      <c r="CW857" s="177">
        <v>1.8855119140166909E-2</v>
      </c>
      <c r="CX857" s="177">
        <f t="shared" si="2536"/>
        <v>3.7811547526499761E-2</v>
      </c>
      <c r="CY857" s="177">
        <f t="shared" si="2539"/>
        <v>2.541055099212125E-2</v>
      </c>
      <c r="CZ857" s="177">
        <f t="shared" si="2540"/>
        <v>2.1375012817671957E-2</v>
      </c>
      <c r="DA857" s="187">
        <f t="shared" si="2531"/>
        <v>0.84949374999999994</v>
      </c>
      <c r="DB857" s="188">
        <f t="shared" si="2532"/>
        <v>0.90497737556561086</v>
      </c>
      <c r="DC857" s="188">
        <f t="shared" si="2533"/>
        <v>0.5338235294117647</v>
      </c>
      <c r="DD857" s="188">
        <f t="shared" si="2534"/>
        <v>0.88972433127405692</v>
      </c>
      <c r="DE857" s="188">
        <f t="shared" si="2535"/>
        <v>0.42982423775949252</v>
      </c>
      <c r="DF857" s="189">
        <f>INDEX('State Tax Lookup'!$D$7:$Z$91,MATCH(Calculation!$C857,'State Tax Lookup'!$B$7:$B$91,0),MATCH($H857,'State Tax Lookup'!$D$6:$Z$6,0))</f>
        <v>0.40134999999999998</v>
      </c>
      <c r="DG857" s="189">
        <v>0.375</v>
      </c>
      <c r="DH857" s="190">
        <f t="shared" si="2537"/>
        <v>13.283461668624781</v>
      </c>
      <c r="DI857" s="190"/>
      <c r="DJ857" s="177"/>
      <c r="DK857" s="189">
        <f>VLOOKUP($H857,RoR!$E:$F,2,FALSE)</f>
        <v>5.6666666666666671E-2</v>
      </c>
      <c r="DL857" s="191">
        <f>HLOOKUP($H857,'GDP-PI'!$D$8:$CQ$11,3,FALSE)</f>
        <v>1.8855119140166909E-2</v>
      </c>
      <c r="DM857" s="189">
        <f>VLOOKUP(H857,'HW Dx Data'!$E:$F,2,FALSE)</f>
        <v>369.23301095560191</v>
      </c>
      <c r="DN857" s="183">
        <f>VLOOKUP(H857,'ECI - Input Price'!$G$17:$H$37,2,FALSE)</f>
        <v>92.625</v>
      </c>
      <c r="DO857" s="177">
        <f t="shared" ref="DO857" si="2541">LN(DN857/DN856)</f>
        <v>3.6837590135738785E-2</v>
      </c>
      <c r="DP857" s="183">
        <f>HLOOKUP(H857,'GDP-PI'!$8:$9,2,FALSE)</f>
        <v>82.566999999999993</v>
      </c>
      <c r="DQ857" s="177">
        <f t="shared" ref="DQ857" si="2542">LN(DP857/DP856)</f>
        <v>1.8679564681853753E-2</v>
      </c>
    </row>
    <row r="858" spans="1:121" s="167" customFormat="1" ht="21" x14ac:dyDescent="0.35">
      <c r="A858" s="167" t="s">
        <v>88</v>
      </c>
      <c r="B858" s="168" t="s">
        <v>89</v>
      </c>
      <c r="C858" s="168">
        <v>4057135</v>
      </c>
      <c r="D858" s="168" t="s">
        <v>144</v>
      </c>
      <c r="E858" s="168"/>
      <c r="F858" s="168"/>
      <c r="G858" s="168" t="s">
        <v>10</v>
      </c>
      <c r="H858" s="169">
        <v>2004</v>
      </c>
      <c r="I858" s="170"/>
      <c r="J858" s="166">
        <f>IFERROR(INDEX('Labor Expenditures'!$F$7:$X$91,MATCH($C858,'Labor Expenditures'!$D$7:$D$91,0),MATCH($G858,'Labor Expenditures'!$F$5:$X$5,0)),"NA")</f>
        <v>82432.621796345367</v>
      </c>
      <c r="K858" s="166">
        <f t="shared" ref="K858:K875" si="2543">+J858/DN858</f>
        <v>857.11070232747977</v>
      </c>
      <c r="L858" s="172"/>
      <c r="M858" s="172"/>
      <c r="N858" s="196"/>
      <c r="O858" s="172"/>
      <c r="P858" s="166">
        <f>IFERROR(INDEX('Non-Labor Expenditures'!$F$7:$AB$91,MATCH($C858,'Non-Labor Expenditures'!$D$7:$D$91,0),MATCH($G858,'Non-Labor Expenditures'!$F$5:$AB$5,0)),"NA")</f>
        <v>119377.83265110318</v>
      </c>
      <c r="Q858" s="166">
        <f t="shared" ref="Q858:Q875" si="2544">+P858/DP858</f>
        <v>1408.1227753792632</v>
      </c>
      <c r="R858" s="166"/>
      <c r="S858" s="166"/>
      <c r="T858" s="166"/>
      <c r="U858" s="166"/>
      <c r="V858" s="166">
        <f t="shared" si="2525"/>
        <v>84164.818136117072</v>
      </c>
      <c r="W858" s="170"/>
      <c r="X858" s="174">
        <v>5810.7912466475864</v>
      </c>
      <c r="Y858" s="175">
        <v>1.7140238238524452E-2</v>
      </c>
      <c r="Z858" s="175"/>
      <c r="AA858" s="175"/>
      <c r="AB858" s="175"/>
      <c r="AC858" s="170">
        <f t="shared" si="2462"/>
        <v>285975.27258356562</v>
      </c>
      <c r="AD858" s="175"/>
      <c r="AE858" s="170"/>
      <c r="AF858" s="170"/>
      <c r="AG858" s="174"/>
      <c r="AH858" s="175"/>
      <c r="AI858" s="175"/>
      <c r="AJ858" s="174"/>
      <c r="AK858" s="174"/>
      <c r="AL858" s="120">
        <f t="shared" ref="AL858:AL875" si="2545">+J858/AC858</f>
        <v>0.28825087236260089</v>
      </c>
      <c r="AM858" s="120">
        <f t="shared" ref="AM858:AM875" si="2546">+P858/AC858</f>
        <v>0.41744110101763943</v>
      </c>
      <c r="AN858" s="120">
        <f t="shared" ref="AN858:AN875" si="2547">+V858/AC858</f>
        <v>0.29430802661975974</v>
      </c>
      <c r="AO858" s="120"/>
      <c r="AP858" s="120"/>
      <c r="AQ858" s="175"/>
      <c r="AR858" s="120"/>
      <c r="AS858" s="120"/>
      <c r="AT858" s="120"/>
      <c r="AU858" s="120"/>
      <c r="AV858" s="120"/>
      <c r="AW858" s="120"/>
      <c r="AX858" s="120"/>
      <c r="AY858" s="120"/>
      <c r="AZ858" s="118">
        <f>IFERROR(INDEX('Total Customers'!$F$7:$AB$91,MATCH($C858,'Total Customers'!$D$7:$D$91,0),MATCH($G858,'Total Customers'!$F$5:$AB$5,0)),"NA")</f>
        <v>812705</v>
      </c>
      <c r="BA858" s="119">
        <f t="shared" si="2526"/>
        <v>-7.3861690982224872E-3</v>
      </c>
      <c r="BB858" s="119"/>
      <c r="BC858" s="121"/>
      <c r="BD858" s="119"/>
      <c r="BE858" s="119"/>
      <c r="BF858" s="119"/>
      <c r="BG858" s="173"/>
      <c r="BH858" s="173"/>
      <c r="BI858" s="173"/>
      <c r="BJ858" s="173"/>
      <c r="BK858" s="173"/>
      <c r="BL858" s="173"/>
      <c r="BM858" s="173"/>
      <c r="BN858" s="173"/>
      <c r="BO858" s="173"/>
      <c r="BP858" s="173"/>
      <c r="BQ858" s="118"/>
      <c r="BR858" s="118"/>
      <c r="BS858" s="118">
        <f>INDEX('Dist. Plant Gas Additions'!$F$7:$AE$91,MATCH($C858,'Dist. Plant Gas Additions'!$D$7:$D$91,0),MATCH(Calculation!$G858,'Dist. Plant Gas Additions'!$F$5:$AE$5,0))</f>
        <v>50016</v>
      </c>
      <c r="BT858" s="118">
        <f>INDEX('Gen. Plant Additions'!$F$7:$AE$91,MATCH($C858,'Gen. Plant Additions'!$D$7:$D$91,0),MATCH(Calculation!$G858,'Gen. Plant Additions'!$F$5:$AE$5,0))</f>
        <v>4866</v>
      </c>
      <c r="BU858" s="118"/>
      <c r="BV858" s="118"/>
      <c r="BW858" s="118">
        <f>INDEX('Dist Plant Depreciation'!$E$7:$AD$94,MATCH($C858,'Dist Plant Depreciation'!$D$7:$D$94,0),MATCH(Calculation!$G858,'Dist Plant Depreciation'!$E$5:$AD$5,0))</f>
        <v>612763</v>
      </c>
      <c r="BX858" s="118">
        <f>INDEX('Gen. Plant Depreciation'!$E$7:$AD$94,MATCH($C858,'Gen. Plant Depreciation'!$D$7:$D$94,0),MATCH(Calculation!$G858,'Gen. Plant Depreciation'!$E$5:$AD$5,0))</f>
        <v>80485</v>
      </c>
      <c r="BY858" s="118"/>
      <c r="BZ858" s="118"/>
      <c r="CA858" s="118"/>
      <c r="CB858" s="118"/>
      <c r="CC858" s="118"/>
      <c r="CD858" s="183"/>
      <c r="CE858" s="118">
        <f>INDEX('Gross Dx Plant'!$E$7:$AD$91,MATCH($C858,'Gross Dx Plant'!$D$7:$D$91,0),MATCH(Calculation!$G858,'Gross Dx Plant'!$E$5:$AD$5,0))</f>
        <v>1633603</v>
      </c>
      <c r="CF858" s="118">
        <f>INDEX('Gross Gen Plant'!$E$7:$AD$91,MATCH($C858,'Gross Gen Plant'!$D$7:$D$91,0),MATCH(Calculation!$G858,'Gross Gen Plant'!$E$5:$AD$5,0))</f>
        <v>127227</v>
      </c>
      <c r="CG858" s="118">
        <f t="shared" si="2468"/>
        <v>1067582</v>
      </c>
      <c r="CH858" s="118"/>
      <c r="CI858" s="121">
        <v>2004</v>
      </c>
      <c r="CJ858" s="118"/>
      <c r="CK858" s="118"/>
      <c r="CL858" s="118"/>
      <c r="CM858" s="183"/>
      <c r="CN858" s="118">
        <f t="shared" si="2527"/>
        <v>54882</v>
      </c>
      <c r="CO858" s="118">
        <f t="shared" si="2528"/>
        <v>132.28174102246339</v>
      </c>
      <c r="CP858" s="186">
        <v>0.967741935483871</v>
      </c>
      <c r="CQ858" s="118">
        <f>+CQ852*CP858+CO853*CP857+CO854*CP856+CO855*CP855+CO856*CP854+CO857*CP853+CO858</f>
        <v>5810.7912466475864</v>
      </c>
      <c r="CR858" s="119">
        <f t="shared" si="2529"/>
        <v>1.7140238238524452E-2</v>
      </c>
      <c r="CS858" s="119"/>
      <c r="CT858" s="177">
        <f t="shared" si="2530"/>
        <v>5.8704243925944933E-3</v>
      </c>
      <c r="CU858" s="177">
        <f t="shared" si="2538"/>
        <v>5.7393487314137855E-3</v>
      </c>
      <c r="CV858" s="119">
        <f>VLOOKUP($H858,RoR!$E:$F,2,FALSE)</f>
        <v>5.6283333333333331E-2</v>
      </c>
      <c r="CW858" s="177">
        <v>2.6778252812867276E-2</v>
      </c>
      <c r="CX858" s="177">
        <f t="shared" si="2536"/>
        <v>2.9505080520466055E-2</v>
      </c>
      <c r="CY858" s="177">
        <f t="shared" si="2539"/>
        <v>2.516259287711984E-2</v>
      </c>
      <c r="CZ858" s="177">
        <f t="shared" si="2540"/>
        <v>5.5940039414565046E-2</v>
      </c>
      <c r="DA858" s="187">
        <f t="shared" si="2531"/>
        <v>0.84949374999999994</v>
      </c>
      <c r="DB858" s="188">
        <f t="shared" si="2532"/>
        <v>0.91114097628755619</v>
      </c>
      <c r="DC858" s="188">
        <f t="shared" si="2533"/>
        <v>0.53081877405981637</v>
      </c>
      <c r="DD858" s="188">
        <f t="shared" si="2534"/>
        <v>0.88811215519385678</v>
      </c>
      <c r="DE858" s="188">
        <f t="shared" si="2535"/>
        <v>0.42953609753547711</v>
      </c>
      <c r="DF858" s="189">
        <f>INDEX('State Tax Lookup'!$D$7:$Z$91,MATCH(Calculation!$C858,'State Tax Lookup'!$B$7:$B$91,0),MATCH($H858,'State Tax Lookup'!$D$6:$Z$6,0))</f>
        <v>0.40134999999999998</v>
      </c>
      <c r="DG858" s="189">
        <v>0.375</v>
      </c>
      <c r="DH858" s="190">
        <f t="shared" si="2537"/>
        <v>14.734629721381717</v>
      </c>
      <c r="DI858" s="190"/>
      <c r="DJ858" s="177"/>
      <c r="DK858" s="189">
        <f>VLOOKUP($H858,RoR!$E:$F,2,FALSE)</f>
        <v>5.6283333333333331E-2</v>
      </c>
      <c r="DL858" s="191">
        <f>HLOOKUP($H858,'GDP-PI'!$D$8:$CQ$11,3,FALSE)</f>
        <v>2.6778252812867276E-2</v>
      </c>
      <c r="DM858" s="189">
        <f>VLOOKUP(H858,'HW Dx Data'!$E:$F,2,FALSE)</f>
        <v>414.88719135228365</v>
      </c>
      <c r="DN858" s="183">
        <f>VLOOKUP(H858,'ECI - Input Price'!$G$17:$H$37,2,FALSE)</f>
        <v>96.174999999999997</v>
      </c>
      <c r="DO858" s="177">
        <f t="shared" ref="DO858" si="2548">LN(DN858/DN857)</f>
        <v>3.7610365022107912E-2</v>
      </c>
      <c r="DP858" s="183">
        <f>HLOOKUP(H858,'GDP-PI'!$8:$9,2,FALSE)</f>
        <v>84.778000000000006</v>
      </c>
      <c r="DQ858" s="177">
        <f t="shared" ref="DQ858" si="2549">LN(DP858/DP857)</f>
        <v>2.6425990216022755E-2</v>
      </c>
    </row>
    <row r="859" spans="1:121" s="167" customFormat="1" ht="21" x14ac:dyDescent="0.35">
      <c r="A859" s="167" t="s">
        <v>88</v>
      </c>
      <c r="B859" s="168" t="s">
        <v>89</v>
      </c>
      <c r="C859" s="168">
        <v>4057135</v>
      </c>
      <c r="D859" s="168" t="s">
        <v>144</v>
      </c>
      <c r="E859" s="168"/>
      <c r="F859" s="168"/>
      <c r="G859" s="168" t="s">
        <v>11</v>
      </c>
      <c r="H859" s="169">
        <v>2005</v>
      </c>
      <c r="I859" s="170"/>
      <c r="J859" s="166">
        <f>IFERROR(INDEX('Labor Expenditures'!$F$7:$X$91,MATCH($C859,'Labor Expenditures'!$D$7:$D$91,0),MATCH($G859,'Labor Expenditures'!$F$5:$X$5,0)),"NA")</f>
        <v>102825.17628040782</v>
      </c>
      <c r="K859" s="166">
        <f t="shared" si="2543"/>
        <v>1037.0668308664428</v>
      </c>
      <c r="L859" s="172">
        <f t="shared" ref="L859:L875" si="2550">LN(K859/K858)</f>
        <v>0.1905845680044507</v>
      </c>
      <c r="M859" s="172"/>
      <c r="N859" s="196"/>
      <c r="O859" s="172"/>
      <c r="P859" s="166">
        <f>IFERROR(INDEX('Non-Labor Expenditures'!$F$7:$AB$91,MATCH($C859,'Non-Labor Expenditures'!$D$7:$D$91,0),MATCH($G859,'Non-Labor Expenditures'!$F$5:$AB$5,0)),"NA")</f>
        <v>148910.06034781874</v>
      </c>
      <c r="Q859" s="166">
        <f t="shared" si="2544"/>
        <v>1703.6399870470184</v>
      </c>
      <c r="R859" s="172">
        <f>LN(Q859/Q858)</f>
        <v>0.19050967852116316</v>
      </c>
      <c r="S859" s="172"/>
      <c r="T859" s="172"/>
      <c r="U859" s="172"/>
      <c r="V859" s="166">
        <f t="shared" si="2525"/>
        <v>96076.910267786428</v>
      </c>
      <c r="W859" s="170"/>
      <c r="X859" s="174">
        <v>5912.0285772556708</v>
      </c>
      <c r="Y859" s="175">
        <v>1.7272268783701143E-2</v>
      </c>
      <c r="Z859" s="175"/>
      <c r="AA859" s="175"/>
      <c r="AB859" s="175"/>
      <c r="AC859" s="170">
        <f t="shared" si="2462"/>
        <v>347812.146896013</v>
      </c>
      <c r="AD859" s="175">
        <f>LN(AC859/AC858)</f>
        <v>0.19575717867173678</v>
      </c>
      <c r="AE859" s="170"/>
      <c r="AF859" s="170"/>
      <c r="AG859" s="121"/>
      <c r="AH859" s="119"/>
      <c r="AI859" s="119"/>
      <c r="AJ859" s="121"/>
      <c r="AK859" s="121"/>
      <c r="AL859" s="120">
        <f t="shared" si="2545"/>
        <v>0.29563423013846013</v>
      </c>
      <c r="AM859" s="120">
        <f t="shared" si="2546"/>
        <v>0.42813358209809466</v>
      </c>
      <c r="AN859" s="120">
        <f t="shared" si="2547"/>
        <v>0.27623218776344516</v>
      </c>
      <c r="AO859" s="120">
        <f t="shared" ref="AO859:AO875" si="2551">+(((AL859+AL858)/2)*L859+((AM858+AM859)/2)*R859+((AN858+AN859)/2)*Y859)</f>
        <v>0.14111208750257459</v>
      </c>
      <c r="AP859" s="173">
        <v>100</v>
      </c>
      <c r="AQ859" s="175"/>
      <c r="AR859" s="120"/>
      <c r="AS859" s="120"/>
      <c r="AT859" s="120"/>
      <c r="AU859" s="120"/>
      <c r="AV859" s="120"/>
      <c r="AW859" s="120"/>
      <c r="AX859" s="120"/>
      <c r="AY859" s="120"/>
      <c r="AZ859" s="118">
        <f>IFERROR(INDEX('Total Customers'!$F$7:$AB$91,MATCH($C859,'Total Customers'!$D$7:$D$91,0),MATCH($G859,'Total Customers'!$F$5:$AB$5,0)),"NA")</f>
        <v>816428</v>
      </c>
      <c r="BA859" s="119">
        <f t="shared" si="2526"/>
        <v>4.5705371888745475E-3</v>
      </c>
      <c r="BB859" s="119"/>
      <c r="BC859" s="121"/>
      <c r="BD859" s="119"/>
      <c r="BE859" s="119"/>
      <c r="BF859" s="119"/>
      <c r="BG859" s="173"/>
      <c r="BH859" s="173"/>
      <c r="BI859" s="173"/>
      <c r="BJ859" s="173"/>
      <c r="BK859" s="173"/>
      <c r="BL859" s="173"/>
      <c r="BM859" s="173"/>
      <c r="BN859" s="173"/>
      <c r="BO859" s="173"/>
      <c r="BP859" s="173"/>
      <c r="BQ859" s="118"/>
      <c r="BR859" s="118"/>
      <c r="BS859" s="118">
        <f>INDEX('Dist. Plant Gas Additions'!$F$7:$AE$91,MATCH($C859,'Dist. Plant Gas Additions'!$D$7:$D$91,0),MATCH(Calculation!$G859,'Dist. Plant Gas Additions'!$F$5:$AE$5,0))</f>
        <v>54795</v>
      </c>
      <c r="BT859" s="118">
        <f>INDEX('Gen. Plant Additions'!$F$7:$AE$91,MATCH($C859,'Gen. Plant Additions'!$D$7:$D$91,0),MATCH(Calculation!$G859,'Gen. Plant Additions'!$F$5:$AE$5,0))</f>
        <v>9261</v>
      </c>
      <c r="BU859" s="118"/>
      <c r="BV859" s="118"/>
      <c r="BW859" s="118">
        <f>INDEX('Dist Plant Depreciation'!$E$7:$AD$94,MATCH($C859,'Dist Plant Depreciation'!$D$7:$D$94,0),MATCH(Calculation!$G859,'Dist Plant Depreciation'!$E$5:$AD$5,0))</f>
        <v>635733</v>
      </c>
      <c r="BX859" s="118">
        <f>INDEX('Gen. Plant Depreciation'!$E$7:$AD$94,MATCH($C859,'Gen. Plant Depreciation'!$D$7:$D$94,0),MATCH(Calculation!$G859,'Gen. Plant Depreciation'!$E$5:$AD$5,0))</f>
        <v>46634</v>
      </c>
      <c r="BY859" s="118"/>
      <c r="BZ859" s="118"/>
      <c r="CA859" s="118"/>
      <c r="CB859" s="118"/>
      <c r="CC859" s="118"/>
      <c r="CD859" s="183"/>
      <c r="CE859" s="118">
        <f>INDEX('Gross Dx Plant'!$E$7:$AD$91,MATCH($C859,'Gross Dx Plant'!$D$7:$D$91,0),MATCH(Calculation!$G859,'Gross Dx Plant'!$E$5:$AD$5,0))</f>
        <v>1677354</v>
      </c>
      <c r="CF859" s="118">
        <f>INDEX('Gross Gen Plant'!$E$7:$AD$91,MATCH($C859,'Gross Gen Plant'!$D$7:$D$91,0),MATCH(Calculation!$G859,'Gross Gen Plant'!$E$5:$AD$5,0))</f>
        <v>91870</v>
      </c>
      <c r="CG859" s="118">
        <f t="shared" si="2468"/>
        <v>1086857</v>
      </c>
      <c r="CH859" s="118"/>
      <c r="CI859" s="121">
        <v>2005</v>
      </c>
      <c r="CJ859" s="118"/>
      <c r="CK859" s="118"/>
      <c r="CL859" s="118"/>
      <c r="CM859" s="183"/>
      <c r="CN859" s="118">
        <f t="shared" si="2527"/>
        <v>64056</v>
      </c>
      <c r="CO859" s="118">
        <f t="shared" si="2528"/>
        <v>136.52024347453852</v>
      </c>
      <c r="CP859" s="186">
        <v>0.96174863387978138</v>
      </c>
      <c r="CQ859" s="118">
        <f>+CQ852*CP859+CO853*CP858+CO854*CP857+CO855*CP856+CO856*CP855+CO857*CP854+CO858*CP853+CO859</f>
        <v>5912.0285772556708</v>
      </c>
      <c r="CR859" s="119">
        <f t="shared" si="2529"/>
        <v>1.7272268783701143E-2</v>
      </c>
      <c r="CS859" s="119"/>
      <c r="CT859" s="177">
        <f t="shared" si="2530"/>
        <v>6.0719635878865551E-3</v>
      </c>
      <c r="CU859" s="177">
        <f t="shared" si="2538"/>
        <v>5.8723258605686305E-3</v>
      </c>
      <c r="CV859" s="119">
        <f>VLOOKUP($H859,RoR!$E:$F,2,FALSE)</f>
        <v>5.2350000000000001E-2</v>
      </c>
      <c r="CW859" s="177">
        <v>3.1010403642454332E-2</v>
      </c>
      <c r="CX859" s="177">
        <f t="shared" si="2536"/>
        <v>2.1339596357545669E-2</v>
      </c>
      <c r="CY859" s="177">
        <f t="shared" si="2539"/>
        <v>2.5029615747964994E-2</v>
      </c>
      <c r="CZ859" s="177">
        <f t="shared" si="2540"/>
        <v>9.2129610649277341E-2</v>
      </c>
      <c r="DA859" s="187">
        <f t="shared" si="2531"/>
        <v>0.84949374999999994</v>
      </c>
      <c r="DB859" s="188">
        <f t="shared" si="2532"/>
        <v>0.97959983346802826</v>
      </c>
      <c r="DC859" s="188">
        <f t="shared" si="2533"/>
        <v>0.49744508118433622</v>
      </c>
      <c r="DD859" s="188">
        <f t="shared" si="2534"/>
        <v>0.87010519444335932</v>
      </c>
      <c r="DE859" s="188">
        <f t="shared" si="2535"/>
        <v>0.42399975420741998</v>
      </c>
      <c r="DF859" s="189">
        <f>INDEX('State Tax Lookup'!$D$7:$Z$91,MATCH(Calculation!$C859,'State Tax Lookup'!$B$7:$B$91,0),MATCH($H859,'State Tax Lookup'!$D$6:$Z$6,0))</f>
        <v>0.40134999999999998</v>
      </c>
      <c r="DG859" s="189">
        <v>0.375</v>
      </c>
      <c r="DH859" s="190">
        <f t="shared" si="2537"/>
        <v>16.534221621404139</v>
      </c>
      <c r="DI859" s="190"/>
      <c r="DJ859" s="177"/>
      <c r="DK859" s="189">
        <f>VLOOKUP($H859,RoR!$E:$F,2,FALSE)</f>
        <v>5.2350000000000001E-2</v>
      </c>
      <c r="DL859" s="191">
        <f>HLOOKUP($H859,'GDP-PI'!$D$8:$CQ$11,3,FALSE)</f>
        <v>3.1010403642454332E-2</v>
      </c>
      <c r="DM859" s="189">
        <f>VLOOKUP(H859,'HW Dx Data'!$E:$F,2,FALSE)</f>
        <v>469.20514034936258</v>
      </c>
      <c r="DN859" s="183">
        <f>VLOOKUP(H859,'ECI - Input Price'!$G$17:$H$37,2,FALSE)</f>
        <v>99.15</v>
      </c>
      <c r="DO859" s="177">
        <f t="shared" ref="DO859" si="2552">LN(DN859/DN858)</f>
        <v>3.046440632744625E-2</v>
      </c>
      <c r="DP859" s="183">
        <f>HLOOKUP(H859,'GDP-PI'!$8:$9,2,FALSE)</f>
        <v>87.406999999999996</v>
      </c>
      <c r="DQ859" s="177">
        <f t="shared" ref="DQ859" si="2553">LN(DP859/DP858)</f>
        <v>3.0539295810733648E-2</v>
      </c>
    </row>
    <row r="860" spans="1:121" s="167" customFormat="1" ht="21" x14ac:dyDescent="0.35">
      <c r="A860" s="167" t="s">
        <v>88</v>
      </c>
      <c r="B860" s="168" t="s">
        <v>89</v>
      </c>
      <c r="C860" s="168">
        <v>4057135</v>
      </c>
      <c r="D860" s="168" t="s">
        <v>144</v>
      </c>
      <c r="E860" s="168"/>
      <c r="F860" s="168"/>
      <c r="G860" s="168" t="s">
        <v>12</v>
      </c>
      <c r="H860" s="169">
        <v>2006</v>
      </c>
      <c r="I860" s="170"/>
      <c r="J860" s="166">
        <f>IFERROR(INDEX('Labor Expenditures'!$F$7:$X$91,MATCH($C860,'Labor Expenditures'!$D$7:$D$91,0),MATCH($G860,'Labor Expenditures'!$F$5:$X$5,0)),"NA")</f>
        <v>93063.124150521369</v>
      </c>
      <c r="K860" s="166">
        <f t="shared" si="2543"/>
        <v>911.93654238629472</v>
      </c>
      <c r="L860" s="172">
        <f t="shared" si="2550"/>
        <v>-0.12858124556769118</v>
      </c>
      <c r="M860" s="172">
        <f t="shared" ref="M860:M875" si="2554">+L860*AR860</f>
        <v>-5.2245365019273626E-3</v>
      </c>
      <c r="N860" s="196"/>
      <c r="O860" s="172"/>
      <c r="P860" s="166">
        <f>IFERROR(INDEX('Non-Labor Expenditures'!$F$7:$AB$91,MATCH($C860,'Non-Labor Expenditures'!$D$7:$D$91,0),MATCH($G860,'Non-Labor Expenditures'!$F$5:$AB$5,0)),"NA")</f>
        <v>134772.78556391038</v>
      </c>
      <c r="Q860" s="166">
        <f t="shared" si="2544"/>
        <v>1496.2451491430422</v>
      </c>
      <c r="R860" s="172">
        <f t="shared" ref="R860:R875" si="2555">LN(Q860/Q859)</f>
        <v>-0.1298083950030966</v>
      </c>
      <c r="S860" s="172">
        <f>+R860*AR860</f>
        <v>-5.2743982604621254E-3</v>
      </c>
      <c r="T860" s="172"/>
      <c r="U860" s="172"/>
      <c r="V860" s="166">
        <f t="shared" si="2525"/>
        <v>95374.335073510723</v>
      </c>
      <c r="W860" s="170"/>
      <c r="X860" s="174">
        <v>6052.5671523009296</v>
      </c>
      <c r="Y860" s="175">
        <v>2.3493487332227503E-2</v>
      </c>
      <c r="Z860" s="175">
        <f>+Y860*AR860</f>
        <v>9.5459164035063934E-4</v>
      </c>
      <c r="AA860" s="175"/>
      <c r="AB860" s="175"/>
      <c r="AC860" s="170">
        <f t="shared" si="2462"/>
        <v>323210.24478794244</v>
      </c>
      <c r="AD860" s="175">
        <f t="shared" ref="AD860:AD875" si="2556">LN(AC860/AC859)</f>
        <v>-7.3359502128664128E-2</v>
      </c>
      <c r="AE860" s="170"/>
      <c r="AF860" s="170"/>
      <c r="AG860" s="121">
        <f t="shared" ref="AG860:AG875" si="2557">+(AC860*1000)/AZ860</f>
        <v>395.11675230674177</v>
      </c>
      <c r="AH860" s="119">
        <f>+AZ860/$BB$44</f>
        <v>2.3269114080733708E-2</v>
      </c>
      <c r="AI860" s="119"/>
      <c r="AJ860" s="176">
        <f>+AH860*AG860</f>
        <v>9.1940167846345773</v>
      </c>
      <c r="AK860" s="176">
        <f>+AI860*AG860</f>
        <v>0</v>
      </c>
      <c r="AL860" s="120">
        <f t="shared" si="2545"/>
        <v>0.28793370770651122</v>
      </c>
      <c r="AM860" s="120">
        <f t="shared" si="2546"/>
        <v>0.41698178735743513</v>
      </c>
      <c r="AN860" s="120">
        <f t="shared" si="2547"/>
        <v>0.2950845049360537</v>
      </c>
      <c r="AO860" s="120">
        <f t="shared" si="2551"/>
        <v>-8.5658370270160475E-2</v>
      </c>
      <c r="AP860" s="173">
        <f>+AP859*EXP(AO860)</f>
        <v>91.790776224217481</v>
      </c>
      <c r="AQ860" s="175">
        <f>LN(AP860/AP859)</f>
        <v>-8.5658370270160447E-2</v>
      </c>
      <c r="AR860" s="177">
        <f>+AC860/$AE$44</f>
        <v>4.0632181457418863E-2</v>
      </c>
      <c r="AS860" s="177">
        <f>+AR860*AQ860</f>
        <v>-3.4804864441639327E-3</v>
      </c>
      <c r="AT860" s="177"/>
      <c r="AU860" s="177"/>
      <c r="AV860" s="177"/>
      <c r="AW860" s="190"/>
      <c r="AX860" s="120"/>
      <c r="AY860" s="120"/>
      <c r="AZ860" s="118">
        <f>IFERROR(INDEX('Total Customers'!$F$7:$AB$91,MATCH($C860,'Total Customers'!$D$7:$D$91,0),MATCH($G860,'Total Customers'!$F$5:$AB$5,0)),"NA")</f>
        <v>818012</v>
      </c>
      <c r="BA860" s="119">
        <f t="shared" si="2526"/>
        <v>1.9382791609532236E-3</v>
      </c>
      <c r="BB860" s="119"/>
      <c r="BC860" s="121"/>
      <c r="BD860" s="119"/>
      <c r="BE860" s="119"/>
      <c r="BF860" s="119"/>
      <c r="BG860" s="173"/>
      <c r="BH860" s="173"/>
      <c r="BI860" s="173"/>
      <c r="BJ860" s="173"/>
      <c r="BK860" s="173"/>
      <c r="BL860" s="173"/>
      <c r="BM860" s="173"/>
      <c r="BN860" s="173"/>
      <c r="BO860" s="173"/>
      <c r="BP860" s="173"/>
      <c r="BQ860" s="118"/>
      <c r="BR860" s="118"/>
      <c r="BS860" s="118">
        <f>INDEX('Dist. Plant Gas Additions'!$F$7:$AE$91,MATCH($C860,'Dist. Plant Gas Additions'!$D$7:$D$91,0),MATCH(Calculation!$G860,'Dist. Plant Gas Additions'!$F$5:$AE$5,0))</f>
        <v>70211</v>
      </c>
      <c r="BT860" s="118">
        <f>INDEX('Gen. Plant Additions'!$F$7:$AE$91,MATCH($C860,'Gen. Plant Additions'!$D$7:$D$91,0),MATCH(Calculation!$G860,'Gen. Plant Additions'!$F$5:$AE$5,0))</f>
        <v>11709</v>
      </c>
      <c r="BU860" s="118"/>
      <c r="BV860" s="118"/>
      <c r="BW860" s="118">
        <f>INDEX('Dist Plant Depreciation'!$E$7:$AD$94,MATCH($C860,'Dist Plant Depreciation'!$D$7:$D$94,0),MATCH(Calculation!$G860,'Dist Plant Depreciation'!$E$5:$AD$5,0))</f>
        <v>666881</v>
      </c>
      <c r="BX860" s="118">
        <f>INDEX('Gen. Plant Depreciation'!$E$7:$AD$94,MATCH($C860,'Gen. Plant Depreciation'!$D$7:$D$94,0),MATCH(Calculation!$G860,'Gen. Plant Depreciation'!$E$5:$AD$5,0))</f>
        <v>47197</v>
      </c>
      <c r="BY860" s="118"/>
      <c r="BZ860" s="118"/>
      <c r="CA860" s="118"/>
      <c r="CB860" s="118"/>
      <c r="CC860" s="118"/>
      <c r="CD860" s="183"/>
      <c r="CE860" s="118">
        <f>INDEX('Gross Dx Plant'!$E$7:$AD$91,MATCH($C860,'Gross Dx Plant'!$D$7:$D$91,0),MATCH(Calculation!$G860,'Gross Dx Plant'!$E$5:$AD$5,0))</f>
        <v>1756857</v>
      </c>
      <c r="CF860" s="118">
        <f>INDEX('Gross Gen Plant'!$E$7:$AD$91,MATCH($C860,'Gross Gen Plant'!$D$7:$D$91,0),MATCH(Calculation!$G860,'Gross Gen Plant'!$E$5:$AD$5,0))</f>
        <v>95617</v>
      </c>
      <c r="CG860" s="118">
        <f t="shared" si="2468"/>
        <v>1138396</v>
      </c>
      <c r="CH860" s="119" t="e">
        <f>SUM(#REF!)/15</f>
        <v>#REF!</v>
      </c>
      <c r="CI860" s="121">
        <v>2006</v>
      </c>
      <c r="CJ860" s="118"/>
      <c r="CK860" s="118"/>
      <c r="CL860" s="118"/>
      <c r="CM860" s="183"/>
      <c r="CN860" s="118">
        <f t="shared" si="2527"/>
        <v>81920</v>
      </c>
      <c r="CO860" s="118">
        <f t="shared" si="2528"/>
        <v>177.66763281760075</v>
      </c>
      <c r="CP860" s="186">
        <v>0.9555555555555556</v>
      </c>
      <c r="CQ860" s="118">
        <f>+CQ852*CP860+CO853*CP859+CO854*CP858+CO855*CP857+CO856*CP856+CO857*CP855+CO858*CP854+CO859*CP853+CO860</f>
        <v>6052.5671523009296</v>
      </c>
      <c r="CR860" s="119">
        <f t="shared" si="2529"/>
        <v>2.3493487332227503E-2</v>
      </c>
      <c r="CS860" s="119"/>
      <c r="CT860" s="177">
        <f t="shared" si="2530"/>
        <v>6.2802568166165857E-3</v>
      </c>
      <c r="CU860" s="177">
        <f t="shared" si="2538"/>
        <v>6.0742149323658777E-3</v>
      </c>
      <c r="CV860" s="119">
        <f>VLOOKUP($H860,RoR!$E:$F,2,FALSE)</f>
        <v>5.5874999999999994E-2</v>
      </c>
      <c r="CW860" s="177">
        <v>3.0512430354548314E-2</v>
      </c>
      <c r="CX860" s="177">
        <f t="shared" si="2536"/>
        <v>2.536256964545168E-2</v>
      </c>
      <c r="CY860" s="177">
        <f t="shared" si="2539"/>
        <v>2.4827726676167748E-2</v>
      </c>
      <c r="CZ860" s="177">
        <f t="shared" si="2540"/>
        <v>7.9087823893859641E-2</v>
      </c>
      <c r="DA860" s="187">
        <f t="shared" si="2531"/>
        <v>0.84949374999999994</v>
      </c>
      <c r="DB860" s="188">
        <f t="shared" si="2532"/>
        <v>0.91779957551769631</v>
      </c>
      <c r="DC860" s="188">
        <f t="shared" si="2533"/>
        <v>0.52757270693512304</v>
      </c>
      <c r="DD860" s="188">
        <f t="shared" si="2534"/>
        <v>0.88636824549024895</v>
      </c>
      <c r="DE860" s="188">
        <f t="shared" si="2535"/>
        <v>0.42918482841932087</v>
      </c>
      <c r="DF860" s="189">
        <f>INDEX('State Tax Lookup'!$D$7:$Z$91,MATCH(Calculation!$C860,'State Tax Lookup'!$B$7:$B$91,0),MATCH($H860,'State Tax Lookup'!$D$6:$Z$6,0))</f>
        <v>0.40134999999999998</v>
      </c>
      <c r="DG860" s="189">
        <v>0.375</v>
      </c>
      <c r="DH860" s="190">
        <f t="shared" si="2537"/>
        <v>16.132252039583836</v>
      </c>
      <c r="DI860" s="190">
        <v>15.655484084604176</v>
      </c>
      <c r="DJ860" s="177"/>
      <c r="DK860" s="189">
        <f>VLOOKUP($H860,RoR!$E:$F,2,FALSE)</f>
        <v>5.5874999999999994E-2</v>
      </c>
      <c r="DL860" s="191">
        <f>HLOOKUP($H860,'GDP-PI'!$D$8:$CQ$11,3,FALSE)</f>
        <v>3.0512430354548314E-2</v>
      </c>
      <c r="DM860" s="189">
        <f>VLOOKUP(H860,'HW Dx Data'!$E:$F,2,FALSE)</f>
        <v>461.08567272971823</v>
      </c>
      <c r="DN860" s="183">
        <f>VLOOKUP(H860,'ECI - Input Price'!$G$17:$H$37,2,FALSE)</f>
        <v>102.05</v>
      </c>
      <c r="DO860" s="177">
        <f t="shared" ref="DO860" si="2558">LN(DN860/DN859)</f>
        <v>2.8829034290048662E-2</v>
      </c>
      <c r="DP860" s="183">
        <f>HLOOKUP(H860,'GDP-PI'!$8:$9,2,FALSE)</f>
        <v>90.073999999999998</v>
      </c>
      <c r="DQ860" s="177">
        <f t="shared" ref="DQ860" si="2559">LN(DP860/DP859)</f>
        <v>3.005618372545445E-2</v>
      </c>
    </row>
    <row r="861" spans="1:121" s="167" customFormat="1" ht="21" x14ac:dyDescent="0.35">
      <c r="A861" s="167" t="s">
        <v>88</v>
      </c>
      <c r="B861" s="168" t="s">
        <v>89</v>
      </c>
      <c r="C861" s="168">
        <v>4057135</v>
      </c>
      <c r="D861" s="168" t="s">
        <v>144</v>
      </c>
      <c r="E861" s="168"/>
      <c r="F861" s="168"/>
      <c r="G861" s="168" t="s">
        <v>13</v>
      </c>
      <c r="H861" s="169">
        <v>2007</v>
      </c>
      <c r="I861" s="170"/>
      <c r="J861" s="166">
        <f>IFERROR(INDEX('Labor Expenditures'!$F$7:$X$91,MATCH($C861,'Labor Expenditures'!$D$7:$D$91,0),MATCH($G861,'Labor Expenditures'!$F$5:$X$5,0)),"NA")</f>
        <v>111088.57815179335</v>
      </c>
      <c r="K861" s="166">
        <f t="shared" si="2543"/>
        <v>1055.7241924618043</v>
      </c>
      <c r="L861" s="172">
        <f t="shared" si="2550"/>
        <v>0.14641184183484376</v>
      </c>
      <c r="M861" s="172">
        <f t="shared" si="2554"/>
        <v>6.5648621195108425E-3</v>
      </c>
      <c r="N861" s="196"/>
      <c r="O861" s="172"/>
      <c r="P861" s="166">
        <f>IFERROR(INDEX('Non-Labor Expenditures'!$F$7:$AB$91,MATCH($C861,'Non-Labor Expenditures'!$D$7:$D$91,0),MATCH($G861,'Non-Labor Expenditures'!$F$5:$AB$5,0)),"NA")</f>
        <v>160877.00964816008</v>
      </c>
      <c r="Q861" s="166">
        <f t="shared" si="2544"/>
        <v>1739.24852048866</v>
      </c>
      <c r="R861" s="172">
        <f t="shared" si="2555"/>
        <v>0.15049439928558636</v>
      </c>
      <c r="S861" s="172">
        <f t="shared" ref="S861:S875" si="2560">+R861*AR861</f>
        <v>6.7479171676765471E-3</v>
      </c>
      <c r="T861" s="172"/>
      <c r="U861" s="172"/>
      <c r="V861" s="166">
        <f t="shared" si="2525"/>
        <v>104764.21065951583</v>
      </c>
      <c r="W861" s="170"/>
      <c r="X861" s="174">
        <v>6190.2616805407297</v>
      </c>
      <c r="Y861" s="175">
        <v>2.2494855789117103E-2</v>
      </c>
      <c r="Z861" s="175">
        <f t="shared" ref="Z861:Z875" si="2561">+Y861*AR861</f>
        <v>1.0086317117738049E-3</v>
      </c>
      <c r="AA861" s="175"/>
      <c r="AB861" s="175"/>
      <c r="AC861" s="170">
        <f t="shared" si="2462"/>
        <v>376729.79845946922</v>
      </c>
      <c r="AD861" s="175">
        <f t="shared" si="2556"/>
        <v>0.15322519139637061</v>
      </c>
      <c r="AE861" s="170"/>
      <c r="AF861" s="170"/>
      <c r="AG861" s="121">
        <f t="shared" si="2557"/>
        <v>453.79072405571441</v>
      </c>
      <c r="AH861" s="119">
        <f>+AZ861/$BB$45</f>
        <v>2.3438295061311024E-2</v>
      </c>
      <c r="AI861" s="119"/>
      <c r="AJ861" s="176">
        <f t="shared" ref="AJ861:AJ875" si="2562">+AH861*AG861</f>
        <v>10.636080886503805</v>
      </c>
      <c r="AK861" s="176">
        <f t="shared" ref="AK861:AK875" si="2563">+AI861*AG861</f>
        <v>0</v>
      </c>
      <c r="AL861" s="120">
        <f t="shared" si="2545"/>
        <v>0.29487600557762861</v>
      </c>
      <c r="AM861" s="120">
        <f t="shared" si="2546"/>
        <v>0.42703553131719724</v>
      </c>
      <c r="AN861" s="120">
        <f t="shared" si="2547"/>
        <v>0.27808846310517421</v>
      </c>
      <c r="AO861" s="120">
        <f t="shared" si="2551"/>
        <v>0.11262178309002294</v>
      </c>
      <c r="AP861" s="173">
        <f>+AP860*EXP(AO861)</f>
        <v>102.73302149602422</v>
      </c>
      <c r="AQ861" s="175">
        <f>LN(AP861/AP860)</f>
        <v>0.11262178309002299</v>
      </c>
      <c r="AR861" s="177">
        <f>+AC861/$AE$45</f>
        <v>4.4838327537168557E-2</v>
      </c>
      <c r="AS861" s="177">
        <f t="shared" ref="AS861:AS875" si="2564">+AR861*AQ861</f>
        <v>5.0497723980104017E-3</v>
      </c>
      <c r="AT861" s="177"/>
      <c r="AU861" s="177"/>
      <c r="AV861" s="177"/>
      <c r="AW861" s="190"/>
      <c r="AX861" s="120"/>
      <c r="AY861" s="120"/>
      <c r="AZ861" s="118">
        <f>IFERROR(INDEX('Total Customers'!$F$7:$AB$91,MATCH($C861,'Total Customers'!$D$7:$D$91,0),MATCH($G861,'Total Customers'!$F$5:$AB$5,0)),"NA")</f>
        <v>830184</v>
      </c>
      <c r="BA861" s="119">
        <f t="shared" si="2526"/>
        <v>1.47703565469606E-2</v>
      </c>
      <c r="BB861" s="119"/>
      <c r="BC861" s="121"/>
      <c r="BD861" s="119"/>
      <c r="BE861" s="119"/>
      <c r="BF861" s="119"/>
      <c r="BG861" s="173"/>
      <c r="BH861" s="173"/>
      <c r="BI861" s="173"/>
      <c r="BJ861" s="173"/>
      <c r="BK861" s="173"/>
      <c r="BL861" s="173"/>
      <c r="BM861" s="173"/>
      <c r="BN861" s="173"/>
      <c r="BO861" s="173"/>
      <c r="BP861" s="173"/>
      <c r="BQ861" s="118"/>
      <c r="BR861" s="118"/>
      <c r="BS861" s="118">
        <f>INDEX('Dist. Plant Gas Additions'!$F$7:$AE$91,MATCH($C861,'Dist. Plant Gas Additions'!$D$7:$D$91,0),MATCH(Calculation!$G861,'Dist. Plant Gas Additions'!$F$5:$AE$5,0))</f>
        <v>78853</v>
      </c>
      <c r="BT861" s="118">
        <f>INDEX('Gen. Plant Additions'!$F$7:$AE$91,MATCH($C861,'Gen. Plant Additions'!$D$7:$D$91,0),MATCH(Calculation!$G861,'Gen. Plant Additions'!$F$5:$AE$5,0))</f>
        <v>9274</v>
      </c>
      <c r="BU861" s="118"/>
      <c r="BV861" s="118"/>
      <c r="BW861" s="118">
        <f>INDEX('Dist Plant Depreciation'!$E$7:$AD$94,MATCH($C861,'Dist Plant Depreciation'!$D$7:$D$94,0),MATCH(Calculation!$G861,'Dist Plant Depreciation'!$E$5:$AD$5,0))</f>
        <v>682590</v>
      </c>
      <c r="BX861" s="118">
        <f>INDEX('Gen. Plant Depreciation'!$E$7:$AD$94,MATCH($C861,'Gen. Plant Depreciation'!$D$7:$D$94,0),MATCH(Calculation!$G861,'Gen. Plant Depreciation'!$E$5:$AD$5,0))</f>
        <v>46375</v>
      </c>
      <c r="BY861" s="118"/>
      <c r="BZ861" s="118"/>
      <c r="CA861" s="118"/>
      <c r="CB861" s="118"/>
      <c r="CC861" s="118"/>
      <c r="CD861" s="183"/>
      <c r="CE861" s="118">
        <f>INDEX('Gross Dx Plant'!$E$7:$AD$91,MATCH($C861,'Gross Dx Plant'!$D$7:$D$91,0),MATCH(Calculation!$G861,'Gross Dx Plant'!$E$5:$AD$5,0))</f>
        <v>1891171</v>
      </c>
      <c r="CF861" s="118">
        <f>INDEX('Gross Gen Plant'!$E$7:$AD$91,MATCH($C861,'Gross Gen Plant'!$D$7:$D$91,0),MATCH(Calculation!$G861,'Gross Gen Plant'!$E$5:$AD$5,0))</f>
        <v>94706</v>
      </c>
      <c r="CG861" s="118">
        <f t="shared" si="2468"/>
        <v>1256912</v>
      </c>
      <c r="CH861" s="118"/>
      <c r="CI861" s="121">
        <v>2007</v>
      </c>
      <c r="CJ861" s="118"/>
      <c r="CK861" s="118"/>
      <c r="CL861" s="118"/>
      <c r="CM861" s="183"/>
      <c r="CN861" s="118">
        <f t="shared" si="2527"/>
        <v>88127</v>
      </c>
      <c r="CO861" s="118">
        <f t="shared" si="2528"/>
        <v>176.9539180499298</v>
      </c>
      <c r="CP861" s="186">
        <v>0.94915254237288138</v>
      </c>
      <c r="CQ861" s="118">
        <f>+CQ852*CP861+CO853*CP860+CO854*CP859+CO855*CP858+CO856*CP857+CO857*CP856+CO858*CP855+CO859*CP854+CO860*CP853+CO861</f>
        <v>6190.2616805407297</v>
      </c>
      <c r="CR861" s="119">
        <f t="shared" si="2529"/>
        <v>2.2494855789117103E-2</v>
      </c>
      <c r="CS861" s="119"/>
      <c r="CT861" s="177">
        <f t="shared" si="2530"/>
        <v>6.486403012514276E-3</v>
      </c>
      <c r="CU861" s="177">
        <f t="shared" si="2538"/>
        <v>6.2795411390058056E-3</v>
      </c>
      <c r="CV861" s="119">
        <f>VLOOKUP($H861,RoR!$E:$F,2,FALSE)</f>
        <v>5.5558333333333321E-2</v>
      </c>
      <c r="CW861" s="177">
        <v>2.691120634145272E-2</v>
      </c>
      <c r="CX861" s="177">
        <f t="shared" si="2536"/>
        <v>2.86471269918806E-2</v>
      </c>
      <c r="CY861" s="177">
        <f t="shared" si="2539"/>
        <v>2.4622400469527819E-2</v>
      </c>
      <c r="CZ861" s="177">
        <f t="shared" si="2540"/>
        <v>6.4575155250632399E-2</v>
      </c>
      <c r="DA861" s="187">
        <f t="shared" si="2531"/>
        <v>0.84949374999999994</v>
      </c>
      <c r="DB861" s="188">
        <f t="shared" si="2532"/>
        <v>0.92303077153834634</v>
      </c>
      <c r="DC861" s="188">
        <f t="shared" si="2533"/>
        <v>0.52502249887505614</v>
      </c>
      <c r="DD861" s="188">
        <f t="shared" si="2534"/>
        <v>0.88499666072084604</v>
      </c>
      <c r="DE861" s="188">
        <f t="shared" si="2535"/>
        <v>0.42887993290280618</v>
      </c>
      <c r="DF861" s="189">
        <f>INDEX('State Tax Lookup'!$D$7:$Z$91,MATCH(Calculation!$C861,'State Tax Lookup'!$B$7:$B$91,0),MATCH($H861,'State Tax Lookup'!$D$6:$Z$6,0))</f>
        <v>0.40134999999999998</v>
      </c>
      <c r="DG861" s="189">
        <v>0.375</v>
      </c>
      <c r="DH861" s="190">
        <f t="shared" si="2537"/>
        <v>17.309053831759456</v>
      </c>
      <c r="DI861" s="190">
        <v>17.052118028457365</v>
      </c>
      <c r="DJ861" s="177"/>
      <c r="DK861" s="189">
        <f>VLOOKUP($H861,RoR!$E:$F,2,FALSE)</f>
        <v>5.5558333333333321E-2</v>
      </c>
      <c r="DL861" s="191">
        <f>HLOOKUP($H861,'GDP-PI'!$D$8:$CQ$11,3,FALSE)</f>
        <v>2.691120634145272E-2</v>
      </c>
      <c r="DM861" s="189">
        <f>VLOOKUP(H861,'HW Dx Data'!$E:$F,2,FALSE)</f>
        <v>498.0223154772637</v>
      </c>
      <c r="DN861" s="183">
        <f>VLOOKUP(H861,'ECI - Input Price'!$G$17:$H$37,2,FALSE)</f>
        <v>105.22500000000001</v>
      </c>
      <c r="DO861" s="177">
        <f t="shared" ref="DO861" si="2565">LN(DN861/DN860)</f>
        <v>3.0638025400780679E-2</v>
      </c>
      <c r="DP861" s="183">
        <f>HLOOKUP(H861,'GDP-PI'!$8:$9,2,FALSE)</f>
        <v>92.498000000000005</v>
      </c>
      <c r="DQ861" s="177">
        <f t="shared" ref="DQ861" si="2566">LN(DP861/DP860)</f>
        <v>2.6555467950038037E-2</v>
      </c>
    </row>
    <row r="862" spans="1:121" s="167" customFormat="1" ht="21" x14ac:dyDescent="0.35">
      <c r="A862" s="167" t="s">
        <v>88</v>
      </c>
      <c r="B862" s="168" t="s">
        <v>89</v>
      </c>
      <c r="C862" s="168">
        <v>4057135</v>
      </c>
      <c r="D862" s="168" t="s">
        <v>144</v>
      </c>
      <c r="E862" s="168"/>
      <c r="F862" s="168"/>
      <c r="G862" s="168" t="s">
        <v>14</v>
      </c>
      <c r="H862" s="169">
        <v>2008</v>
      </c>
      <c r="I862" s="170"/>
      <c r="J862" s="166">
        <f>IFERROR(INDEX('Labor Expenditures'!$F$7:$X$91,MATCH($C862,'Labor Expenditures'!$D$7:$D$91,0),MATCH($G862,'Labor Expenditures'!$F$5:$X$5,0)),"NA")</f>
        <v>106917.00431375243</v>
      </c>
      <c r="K862" s="166">
        <f t="shared" si="2543"/>
        <v>987.91410777318026</v>
      </c>
      <c r="L862" s="172">
        <f t="shared" si="2550"/>
        <v>-6.6386490255027034E-2</v>
      </c>
      <c r="M862" s="172">
        <f t="shared" si="2554"/>
        <v>-2.8333829284567401E-3</v>
      </c>
      <c r="N862" s="196"/>
      <c r="O862" s="172"/>
      <c r="P862" s="166">
        <f>IFERROR(INDEX('Non-Labor Expenditures'!$F$7:$AB$91,MATCH($C862,'Non-Labor Expenditures'!$D$7:$D$91,0),MATCH($G862,'Non-Labor Expenditures'!$F$5:$AB$5,0)),"NA")</f>
        <v>154835.79158815838</v>
      </c>
      <c r="Q862" s="166">
        <f t="shared" si="2544"/>
        <v>1642.5760798200627</v>
      </c>
      <c r="R862" s="172">
        <f t="shared" si="2555"/>
        <v>-5.7187345331649576E-2</v>
      </c>
      <c r="S862" s="172">
        <f t="shared" si="2560"/>
        <v>-2.4407623804782535E-3</v>
      </c>
      <c r="T862" s="172"/>
      <c r="U862" s="172"/>
      <c r="V862" s="166">
        <f t="shared" si="2525"/>
        <v>121601.92405458252</v>
      </c>
      <c r="W862" s="170"/>
      <c r="X862" s="174">
        <v>6360.1657471952876</v>
      </c>
      <c r="Y862" s="175">
        <v>2.7077077365394435E-2</v>
      </c>
      <c r="Z862" s="175">
        <f t="shared" si="2561"/>
        <v>1.1556527309229379E-3</v>
      </c>
      <c r="AA862" s="175"/>
      <c r="AB862" s="175"/>
      <c r="AC862" s="170">
        <f t="shared" si="2462"/>
        <v>383354.71995649335</v>
      </c>
      <c r="AD862" s="175">
        <f t="shared" si="2556"/>
        <v>1.7432506800331978E-2</v>
      </c>
      <c r="AE862" s="170"/>
      <c r="AF862" s="170"/>
      <c r="AG862" s="121">
        <f t="shared" si="2557"/>
        <v>461.99784032858673</v>
      </c>
      <c r="AH862" s="119">
        <f>+AZ862/$BB$46</f>
        <v>2.3301867370754195E-2</v>
      </c>
      <c r="AI862" s="119"/>
      <c r="AJ862" s="176">
        <f t="shared" si="2562"/>
        <v>10.765412400911602</v>
      </c>
      <c r="AK862" s="176">
        <f t="shared" si="2563"/>
        <v>0</v>
      </c>
      <c r="AL862" s="120">
        <f t="shared" si="2545"/>
        <v>0.27889836422487863</v>
      </c>
      <c r="AM862" s="120">
        <f t="shared" si="2546"/>
        <v>0.40389692242665115</v>
      </c>
      <c r="AN862" s="120">
        <f t="shared" si="2547"/>
        <v>0.31720471334847011</v>
      </c>
      <c r="AO862" s="120">
        <f t="shared" si="2551"/>
        <v>-3.4745444197538049E-2</v>
      </c>
      <c r="AP862" s="173">
        <f t="shared" ref="AP862:AP875" si="2567">+AP861*EXP(AO862)</f>
        <v>99.224817023442881</v>
      </c>
      <c r="AQ862" s="175">
        <f t="shared" ref="AQ862:AQ875" si="2568">LN(AP862/AP861)</f>
        <v>-3.474544419753809E-2</v>
      </c>
      <c r="AR862" s="177">
        <f>+AC862/$AE$46</f>
        <v>4.2680113341918777E-2</v>
      </c>
      <c r="AS862" s="177">
        <f t="shared" si="2564"/>
        <v>-1.4829394964662398E-3</v>
      </c>
      <c r="AT862" s="177"/>
      <c r="AU862" s="177"/>
      <c r="AV862" s="177"/>
      <c r="AW862" s="190"/>
      <c r="AX862" s="120"/>
      <c r="AY862" s="120"/>
      <c r="AZ862" s="118">
        <f>IFERROR(INDEX('Total Customers'!$F$7:$AB$91,MATCH($C862,'Total Customers'!$D$7:$D$91,0),MATCH($G862,'Total Customers'!$F$5:$AB$5,0)),"NA")</f>
        <v>829776</v>
      </c>
      <c r="BA862" s="119">
        <f t="shared" si="2526"/>
        <v>-4.9157812021505991E-4</v>
      </c>
      <c r="BB862" s="119"/>
      <c r="BC862" s="121"/>
      <c r="BD862" s="119"/>
      <c r="BE862" s="119"/>
      <c r="BF862" s="119"/>
      <c r="BG862" s="173"/>
      <c r="BH862" s="173"/>
      <c r="BI862" s="173"/>
      <c r="BJ862" s="173"/>
      <c r="BK862" s="173"/>
      <c r="BL862" s="173"/>
      <c r="BM862" s="173"/>
      <c r="BN862" s="173"/>
      <c r="BO862" s="173"/>
      <c r="BP862" s="173"/>
      <c r="BQ862" s="118"/>
      <c r="BR862" s="118"/>
      <c r="BS862" s="118">
        <f>INDEX('Dist. Plant Gas Additions'!$F$7:$AE$91,MATCH($C862,'Dist. Plant Gas Additions'!$D$7:$D$91,0),MATCH(Calculation!$G862,'Dist. Plant Gas Additions'!$F$5:$AE$5,0))</f>
        <v>117769</v>
      </c>
      <c r="BT862" s="118">
        <f>INDEX('Gen. Plant Additions'!$F$7:$AE$91,MATCH($C862,'Gen. Plant Additions'!$D$7:$D$91,0),MATCH(Calculation!$G862,'Gen. Plant Additions'!$F$5:$AE$5,0))</f>
        <v>2693</v>
      </c>
      <c r="BU862" s="118"/>
      <c r="BV862" s="118"/>
      <c r="BW862" s="118">
        <f>INDEX('Dist Plant Depreciation'!$E$7:$AD$94,MATCH($C862,'Dist Plant Depreciation'!$D$7:$D$94,0),MATCH(Calculation!$G862,'Dist Plant Depreciation'!$E$5:$AD$5,0))</f>
        <v>709147</v>
      </c>
      <c r="BX862" s="118">
        <f>INDEX('Gen. Plant Depreciation'!$E$7:$AD$94,MATCH($C862,'Gen. Plant Depreciation'!$D$7:$D$94,0),MATCH(Calculation!$G862,'Gen. Plant Depreciation'!$E$5:$AD$5,0))</f>
        <v>34762</v>
      </c>
      <c r="BY862" s="118"/>
      <c r="BZ862" s="118"/>
      <c r="CA862" s="118"/>
      <c r="CB862" s="118"/>
      <c r="CC862" s="118"/>
      <c r="CD862" s="183"/>
      <c r="CE862" s="118">
        <f>INDEX('Gross Dx Plant'!$E$7:$AD$91,MATCH($C862,'Gross Dx Plant'!$D$7:$D$91,0),MATCH(Calculation!$G862,'Gross Dx Plant'!$E$5:$AD$5,0))</f>
        <v>1995335</v>
      </c>
      <c r="CF862" s="118">
        <f>INDEX('Gross Gen Plant'!$E$7:$AD$91,MATCH($C862,'Gross Gen Plant'!$D$7:$D$91,0),MATCH(Calculation!$G862,'Gross Gen Plant'!$E$5:$AD$5,0))</f>
        <v>66657</v>
      </c>
      <c r="CG862" s="118">
        <f t="shared" si="2468"/>
        <v>1318083</v>
      </c>
      <c r="CH862" s="118"/>
      <c r="CI862" s="121">
        <v>2008</v>
      </c>
      <c r="CJ862" s="118"/>
      <c r="CK862" s="118"/>
      <c r="CL862" s="118"/>
      <c r="CM862" s="183"/>
      <c r="CN862" s="118">
        <f t="shared" si="2527"/>
        <v>120462</v>
      </c>
      <c r="CO862" s="118">
        <f t="shared" si="2528"/>
        <v>211.38089709752285</v>
      </c>
      <c r="CP862" s="186">
        <v>0.94252873563218387</v>
      </c>
      <c r="CQ862" s="118">
        <f>+CQ852*CP862+CO853*CP861+CO854*CP860+CO855*CP859+CO856*CP858+CO857*CP857+CO858*CP856+CO859*CP855+CO860*CP854+CO861*CP853+CO862</f>
        <v>6360.1657471952876</v>
      </c>
      <c r="CR862" s="119">
        <f t="shared" si="2529"/>
        <v>2.7077077365394435E-2</v>
      </c>
      <c r="CS862" s="119"/>
      <c r="CT862" s="177">
        <f t="shared" si="2530"/>
        <v>6.700335556628979E-3</v>
      </c>
      <c r="CU862" s="177">
        <f t="shared" si="2538"/>
        <v>6.4889984619199469E-3</v>
      </c>
      <c r="CV862" s="119">
        <f>VLOOKUP($H862,RoR!$E:$F,2,FALSE)</f>
        <v>5.6316666666666668E-2</v>
      </c>
      <c r="CW862" s="177">
        <v>1.9092304698479889E-2</v>
      </c>
      <c r="CX862" s="177">
        <f t="shared" si="2536"/>
        <v>3.7224361968186778E-2</v>
      </c>
      <c r="CY862" s="177">
        <f t="shared" si="2539"/>
        <v>2.4412943146613679E-2</v>
      </c>
      <c r="CZ862" s="177">
        <f t="shared" si="2540"/>
        <v>6.9030581091053131E-2</v>
      </c>
      <c r="DA862" s="187">
        <f t="shared" si="2531"/>
        <v>0.84949374999999994</v>
      </c>
      <c r="DB862" s="188">
        <f t="shared" si="2532"/>
        <v>0.91060168006009956</v>
      </c>
      <c r="DC862" s="188">
        <f t="shared" si="2533"/>
        <v>0.53108168097070152</v>
      </c>
      <c r="DD862" s="188">
        <f t="shared" si="2534"/>
        <v>0.88825329850328805</v>
      </c>
      <c r="DE862" s="188">
        <f t="shared" si="2535"/>
        <v>0.4295627335323573</v>
      </c>
      <c r="DF862" s="189">
        <f>INDEX('State Tax Lookup'!$D$7:$Z$91,MATCH(Calculation!$C862,'State Tax Lookup'!$B$7:$B$91,0),MATCH($H862,'State Tax Lookup'!$D$6:$Z$6,0))</f>
        <v>0.40134999999999998</v>
      </c>
      <c r="DG862" s="189">
        <v>0.375</v>
      </c>
      <c r="DH862" s="190">
        <f t="shared" si="2537"/>
        <v>19.644068430393137</v>
      </c>
      <c r="DI862" s="190">
        <v>19.361890453392288</v>
      </c>
      <c r="DJ862" s="177"/>
      <c r="DK862" s="189">
        <f>VLOOKUP($H862,RoR!$E:$F,2,FALSE)</f>
        <v>5.6316666666666668E-2</v>
      </c>
      <c r="DL862" s="191">
        <f>HLOOKUP($H862,'GDP-PI'!$D$8:$CQ$11,3,FALSE)</f>
        <v>1.9092304698479889E-2</v>
      </c>
      <c r="DM862" s="189">
        <f>VLOOKUP(H862,'HW Dx Data'!$E:$F,2,FALSE)</f>
        <v>569.88120333515076</v>
      </c>
      <c r="DN862" s="183">
        <f>VLOOKUP(H862,'ECI - Input Price'!$G$17:$H$37,2,FALSE)</f>
        <v>108.22499999999999</v>
      </c>
      <c r="DO862" s="177">
        <f t="shared" ref="DO862" si="2569">LN(DN862/DN861)</f>
        <v>2.8111478671409691E-2</v>
      </c>
      <c r="DP862" s="183">
        <f>HLOOKUP(H862,'GDP-PI'!$8:$9,2,FALSE)</f>
        <v>94.263999999999996</v>
      </c>
      <c r="DQ862" s="177">
        <f t="shared" ref="DQ862" si="2570">LN(DP862/DP861)</f>
        <v>1.8912333748032254E-2</v>
      </c>
    </row>
    <row r="863" spans="1:121" s="167" customFormat="1" ht="21" x14ac:dyDescent="0.35">
      <c r="A863" s="167" t="s">
        <v>88</v>
      </c>
      <c r="B863" s="168" t="s">
        <v>89</v>
      </c>
      <c r="C863" s="168">
        <v>4057135</v>
      </c>
      <c r="D863" s="168" t="s">
        <v>144</v>
      </c>
      <c r="E863" s="168"/>
      <c r="F863" s="168"/>
      <c r="G863" s="168" t="s">
        <v>15</v>
      </c>
      <c r="H863" s="169">
        <v>2009</v>
      </c>
      <c r="I863" s="170"/>
      <c r="J863" s="166">
        <f>IFERROR(INDEX('Labor Expenditures'!$F$7:$X$91,MATCH($C863,'Labor Expenditures'!$D$7:$D$91,0),MATCH($G863,'Labor Expenditures'!$F$5:$X$5,0)),"NA")</f>
        <v>106341.60850569638</v>
      </c>
      <c r="K863" s="166">
        <f t="shared" si="2543"/>
        <v>968.72337513729349</v>
      </c>
      <c r="L863" s="172">
        <f t="shared" si="2550"/>
        <v>-1.9616661955888962E-2</v>
      </c>
      <c r="M863" s="172">
        <f t="shared" si="2554"/>
        <v>-7.9588050693493295E-4</v>
      </c>
      <c r="N863" s="196"/>
      <c r="O863" s="172"/>
      <c r="P863" s="166">
        <f>IFERROR(INDEX('Non-Labor Expenditures'!$F$7:$AB$91,MATCH($C863,'Non-Labor Expenditures'!$D$7:$D$91,0),MATCH($G863,'Non-Labor Expenditures'!$F$5:$AB$5,0)),"NA")</f>
        <v>154002.5109889805</v>
      </c>
      <c r="Q863" s="166">
        <f t="shared" si="2544"/>
        <v>1621.0961272116601</v>
      </c>
      <c r="R863" s="172">
        <f t="shared" si="2555"/>
        <v>-1.3163247654462026E-2</v>
      </c>
      <c r="S863" s="172">
        <f t="shared" si="2560"/>
        <v>-5.3405478667578686E-4</v>
      </c>
      <c r="T863" s="172"/>
      <c r="U863" s="172"/>
      <c r="V863" s="166">
        <f t="shared" si="2525"/>
        <v>119767.10125900005</v>
      </c>
      <c r="W863" s="170"/>
      <c r="X863" s="174">
        <v>6422.6727875519937</v>
      </c>
      <c r="Y863" s="175">
        <v>9.7799152202740977E-3</v>
      </c>
      <c r="Z863" s="175">
        <f t="shared" si="2561"/>
        <v>3.9678737905537233E-4</v>
      </c>
      <c r="AA863" s="175"/>
      <c r="AB863" s="175"/>
      <c r="AC863" s="170">
        <f t="shared" si="2462"/>
        <v>380111.22075367696</v>
      </c>
      <c r="AD863" s="175">
        <f t="shared" si="2556"/>
        <v>-8.4968262336977598E-3</v>
      </c>
      <c r="AE863" s="170"/>
      <c r="AF863" s="170"/>
      <c r="AG863" s="121">
        <f t="shared" si="2557"/>
        <v>462.47754690179238</v>
      </c>
      <c r="AH863" s="119">
        <f>+AZ863/$BB$47</f>
        <v>2.3047446361905262E-2</v>
      </c>
      <c r="AI863" s="119"/>
      <c r="AJ863" s="176">
        <f t="shared" si="2562"/>
        <v>10.658926455804584</v>
      </c>
      <c r="AK863" s="176">
        <f t="shared" si="2563"/>
        <v>0</v>
      </c>
      <c r="AL863" s="120">
        <f t="shared" si="2545"/>
        <v>0.27976445497937252</v>
      </c>
      <c r="AM863" s="120">
        <f t="shared" si="2546"/>
        <v>0.40515118360259766</v>
      </c>
      <c r="AN863" s="120">
        <f t="shared" si="2547"/>
        <v>0.31508436141802976</v>
      </c>
      <c r="AO863" s="120">
        <f t="shared" si="2551"/>
        <v>-7.7125333548841209E-3</v>
      </c>
      <c r="AP863" s="173">
        <f t="shared" si="2567"/>
        <v>98.462485843662307</v>
      </c>
      <c r="AQ863" s="175">
        <f t="shared" si="2568"/>
        <v>-7.7125333548839891E-3</v>
      </c>
      <c r="AR863" s="177">
        <f>+AC863/$AE$47</f>
        <v>4.0571658354749185E-2</v>
      </c>
      <c r="AS863" s="177">
        <f t="shared" si="2564"/>
        <v>-3.1291026832396077E-4</v>
      </c>
      <c r="AT863" s="177"/>
      <c r="AU863" s="177"/>
      <c r="AV863" s="177"/>
      <c r="AW863" s="190"/>
      <c r="AX863" s="120"/>
      <c r="AY863" s="120"/>
      <c r="AZ863" s="118">
        <f>IFERROR(INDEX('Total Customers'!$F$7:$AB$91,MATCH($C863,'Total Customers'!$D$7:$D$91,0),MATCH($G863,'Total Customers'!$F$5:$AB$5,0)),"NA")</f>
        <v>821902</v>
      </c>
      <c r="BA863" s="119">
        <f t="shared" si="2526"/>
        <v>-9.5346183109903202E-3</v>
      </c>
      <c r="BB863" s="119"/>
      <c r="BC863" s="121"/>
      <c r="BD863" s="119"/>
      <c r="BE863" s="119"/>
      <c r="BF863" s="119"/>
      <c r="BG863" s="173"/>
      <c r="BH863" s="173"/>
      <c r="BI863" s="173"/>
      <c r="BJ863" s="173"/>
      <c r="BK863" s="173"/>
      <c r="BL863" s="173"/>
      <c r="BM863" s="173"/>
      <c r="BN863" s="173"/>
      <c r="BO863" s="173"/>
      <c r="BP863" s="173"/>
      <c r="BQ863" s="118"/>
      <c r="BR863" s="118"/>
      <c r="BS863" s="118">
        <f>INDEX('Dist. Plant Gas Additions'!$F$7:$AE$91,MATCH($C863,'Dist. Plant Gas Additions'!$D$7:$D$91,0),MATCH(Calculation!$G863,'Dist. Plant Gas Additions'!$F$5:$AE$5,0))</f>
        <v>56714</v>
      </c>
      <c r="BT863" s="118">
        <f>INDEX('Gen. Plant Additions'!$F$7:$AE$91,MATCH($C863,'Gen. Plant Additions'!$D$7:$D$91,0),MATCH(Calculation!$G863,'Gen. Plant Additions'!$F$5:$AE$5,0))</f>
        <v>1944</v>
      </c>
      <c r="BU863" s="118"/>
      <c r="BV863" s="118"/>
      <c r="BW863" s="118">
        <f>INDEX('Dist Plant Depreciation'!$E$7:$AD$94,MATCH($C863,'Dist Plant Depreciation'!$D$7:$D$94,0),MATCH(Calculation!$G863,'Dist Plant Depreciation'!$E$5:$AD$5,0))</f>
        <v>732535</v>
      </c>
      <c r="BX863" s="118">
        <f>INDEX('Gen. Plant Depreciation'!$E$7:$AD$94,MATCH($C863,'Gen. Plant Depreciation'!$D$7:$D$94,0),MATCH(Calculation!$G863,'Gen. Plant Depreciation'!$E$5:$AD$5,0))</f>
        <v>38654</v>
      </c>
      <c r="BY863" s="118"/>
      <c r="BZ863" s="118"/>
      <c r="CA863" s="118"/>
      <c r="CB863" s="118"/>
      <c r="CC863" s="118"/>
      <c r="CD863" s="183"/>
      <c r="CE863" s="118">
        <f>INDEX('Gross Dx Plant'!$E$7:$AD$91,MATCH($C863,'Gross Dx Plant'!$D$7:$D$91,0),MATCH(Calculation!$G863,'Gross Dx Plant'!$E$5:$AD$5,0))</f>
        <v>2036231</v>
      </c>
      <c r="CF863" s="118">
        <f>INDEX('Gross Gen Plant'!$E$7:$AD$91,MATCH($C863,'Gross Gen Plant'!$D$7:$D$91,0),MATCH(Calculation!$G863,'Gross Gen Plant'!$E$5:$AD$5,0))</f>
        <v>66402</v>
      </c>
      <c r="CG863" s="118">
        <f t="shared" si="2468"/>
        <v>1331444</v>
      </c>
      <c r="CH863" s="118"/>
      <c r="CI863" s="121">
        <v>2009</v>
      </c>
      <c r="CJ863" s="118"/>
      <c r="CK863" s="118"/>
      <c r="CL863" s="118"/>
      <c r="CM863" s="183"/>
      <c r="CN863" s="118">
        <f t="shared" si="2527"/>
        <v>58658</v>
      </c>
      <c r="CO863" s="118">
        <f t="shared" si="2528"/>
        <v>106.4688209260208</v>
      </c>
      <c r="CP863" s="186">
        <v>0.93567251461988299</v>
      </c>
      <c r="CQ863" s="118">
        <f>+CQ852*CP863+CO853*CP862+CO854*CP861+CO855*CP860+CO856*CP859+CO857*CP858+CO858*CP857+CO859*CP856+CO860*CP855+CO861*CP854+CO862*CP853+CO863</f>
        <v>6422.6727875519937</v>
      </c>
      <c r="CR863" s="119">
        <f t="shared" si="2529"/>
        <v>9.7799152202740977E-3</v>
      </c>
      <c r="CS863" s="119"/>
      <c r="CT863" s="177">
        <f t="shared" si="2530"/>
        <v>6.9120495151719988E-3</v>
      </c>
      <c r="CU863" s="177">
        <f t="shared" si="2538"/>
        <v>6.6995960281050855E-3</v>
      </c>
      <c r="CV863" s="119">
        <f>VLOOKUP($H863,RoR!$E:$F,2,FALSE)</f>
        <v>5.3133333333333324E-2</v>
      </c>
      <c r="CW863" s="177">
        <v>7.7972502758210105E-3</v>
      </c>
      <c r="CX863" s="177">
        <f t="shared" si="2536"/>
        <v>4.5336083057512314E-2</v>
      </c>
      <c r="CY863" s="177">
        <f t="shared" si="2539"/>
        <v>2.4202345580428539E-2</v>
      </c>
      <c r="CZ863" s="177">
        <f t="shared" si="2540"/>
        <v>6.3720160300892073E-2</v>
      </c>
      <c r="DA863" s="187">
        <f t="shared" si="2531"/>
        <v>0.84949374999999994</v>
      </c>
      <c r="DB863" s="188">
        <f t="shared" si="2532"/>
        <v>0.96515780330083989</v>
      </c>
      <c r="DC863" s="188">
        <f t="shared" si="2533"/>
        <v>0.50448557089084056</v>
      </c>
      <c r="DD863" s="188">
        <f t="shared" si="2534"/>
        <v>0.87391435735465484</v>
      </c>
      <c r="DE863" s="188">
        <f t="shared" si="2535"/>
        <v>0.42551605393279146</v>
      </c>
      <c r="DF863" s="189">
        <f>INDEX('State Tax Lookup'!$D$7:$Z$91,MATCH(Calculation!$C863,'State Tax Lookup'!$B$7:$B$91,0),MATCH($H863,'State Tax Lookup'!$D$6:$Z$6,0))</f>
        <v>0.40134999999999998</v>
      </c>
      <c r="DG863" s="189">
        <v>0.375</v>
      </c>
      <c r="DH863" s="190">
        <f t="shared" si="2537"/>
        <v>18.830814481810489</v>
      </c>
      <c r="DI863" s="190">
        <v>18.494721698220591</v>
      </c>
      <c r="DJ863" s="177"/>
      <c r="DK863" s="189">
        <f>VLOOKUP($H863,RoR!$E:$F,2,FALSE)</f>
        <v>5.3133333333333324E-2</v>
      </c>
      <c r="DL863" s="191">
        <f>HLOOKUP($H863,'GDP-PI'!$D$8:$CQ$11,3,FALSE)</f>
        <v>7.7972502758210105E-3</v>
      </c>
      <c r="DM863" s="189">
        <f>VLOOKUP(H863,'HW Dx Data'!$E:$F,2,FALSE)</f>
        <v>550.94063679692806</v>
      </c>
      <c r="DN863" s="183">
        <f>VLOOKUP(H863,'ECI - Input Price'!$G$17:$H$37,2,FALSE)</f>
        <v>109.77499999999999</v>
      </c>
      <c r="DO863" s="177">
        <f t="shared" ref="DO863" si="2571">LN(DN863/DN862)</f>
        <v>1.4220423119736749E-2</v>
      </c>
      <c r="DP863" s="183">
        <f>HLOOKUP(H863,'GDP-PI'!$8:$9,2,FALSE)</f>
        <v>94.998999999999995</v>
      </c>
      <c r="DQ863" s="177">
        <f t="shared" ref="DQ863" si="2572">LN(DP863/DP862)</f>
        <v>7.7670088183096342E-3</v>
      </c>
    </row>
    <row r="864" spans="1:121" s="167" customFormat="1" ht="21" x14ac:dyDescent="0.35">
      <c r="A864" s="167" t="s">
        <v>88</v>
      </c>
      <c r="B864" s="168" t="s">
        <v>89</v>
      </c>
      <c r="C864" s="168">
        <v>4057135</v>
      </c>
      <c r="D864" s="168" t="s">
        <v>144</v>
      </c>
      <c r="E864" s="168"/>
      <c r="F864" s="168"/>
      <c r="G864" s="168" t="s">
        <v>16</v>
      </c>
      <c r="H864" s="169">
        <v>2010</v>
      </c>
      <c r="I864" s="170"/>
      <c r="J864" s="166">
        <f>IFERROR(INDEX('Labor Expenditures'!$F$7:$X$91,MATCH($C864,'Labor Expenditures'!$D$7:$D$91,0),MATCH($G864,'Labor Expenditures'!$F$5:$X$5,0)),"NA")</f>
        <v>109369.67656118533</v>
      </c>
      <c r="K864" s="166">
        <f t="shared" si="2543"/>
        <v>977.60604747428226</v>
      </c>
      <c r="L864" s="172">
        <f t="shared" si="2550"/>
        <v>9.1276778791850796E-3</v>
      </c>
      <c r="M864" s="172">
        <f t="shared" si="2554"/>
        <v>3.6811811627426942E-4</v>
      </c>
      <c r="N864" s="196"/>
      <c r="O864" s="172"/>
      <c r="P864" s="166">
        <f>IFERROR(INDEX('Non-Labor Expenditures'!$F$7:$AB$91,MATCH($C864,'Non-Labor Expenditures'!$D$7:$D$91,0),MATCH($G864,'Non-Labor Expenditures'!$F$5:$AB$5,0)),"NA")</f>
        <v>158387.71909842751</v>
      </c>
      <c r="Q864" s="166">
        <f t="shared" si="2544"/>
        <v>1648.0009062463193</v>
      </c>
      <c r="R864" s="172">
        <f t="shared" si="2555"/>
        <v>1.6460439219273131E-2</v>
      </c>
      <c r="S864" s="172">
        <f t="shared" si="2560"/>
        <v>6.6384747124609463E-4</v>
      </c>
      <c r="T864" s="172"/>
      <c r="U864" s="172"/>
      <c r="V864" s="166">
        <f t="shared" si="2525"/>
        <v>123892.42785658033</v>
      </c>
      <c r="W864" s="170"/>
      <c r="X864" s="174">
        <v>6678.804188187506</v>
      </c>
      <c r="Y864" s="175">
        <v>3.9104604666807895E-2</v>
      </c>
      <c r="Z864" s="175">
        <f t="shared" si="2561"/>
        <v>1.5770838539802333E-3</v>
      </c>
      <c r="AA864" s="175"/>
      <c r="AB864" s="175"/>
      <c r="AC864" s="170">
        <f t="shared" si="2462"/>
        <v>391649.8235161932</v>
      </c>
      <c r="AD864" s="175">
        <f t="shared" si="2556"/>
        <v>2.9904237106947375E-2</v>
      </c>
      <c r="AE864" s="170"/>
      <c r="AF864" s="170"/>
      <c r="AG864" s="121">
        <f t="shared" si="2557"/>
        <v>478.11501075035125</v>
      </c>
      <c r="AH864" s="119">
        <f>+AZ864/$BB$48</f>
        <v>2.284393333364524E-2</v>
      </c>
      <c r="AI864" s="119"/>
      <c r="AJ864" s="176">
        <f t="shared" si="2562"/>
        <v>10.922027431396101</v>
      </c>
      <c r="AK864" s="176">
        <f t="shared" si="2563"/>
        <v>0</v>
      </c>
      <c r="AL864" s="120">
        <f t="shared" si="2545"/>
        <v>0.27925373635886069</v>
      </c>
      <c r="AM864" s="120">
        <f t="shared" si="2546"/>
        <v>0.40441156765101616</v>
      </c>
      <c r="AN864" s="120">
        <f t="shared" si="2547"/>
        <v>0.31633469599012304</v>
      </c>
      <c r="AO864" s="120">
        <f t="shared" si="2551"/>
        <v>2.1559844529685991E-2</v>
      </c>
      <c r="AP864" s="173">
        <f t="shared" si="2567"/>
        <v>100.60837108509592</v>
      </c>
      <c r="AQ864" s="175">
        <f t="shared" si="2568"/>
        <v>2.1559844529685894E-2</v>
      </c>
      <c r="AR864" s="177">
        <f>+AC864/$AE$48</f>
        <v>4.0329875916604439E-2</v>
      </c>
      <c r="AS864" s="177">
        <f t="shared" si="2564"/>
        <v>8.6950585466351511E-4</v>
      </c>
      <c r="AT864" s="177"/>
      <c r="AU864" s="177"/>
      <c r="AV864" s="177"/>
      <c r="AW864" s="190"/>
      <c r="AX864" s="120"/>
      <c r="AY864" s="120"/>
      <c r="AZ864" s="118">
        <f>IFERROR(INDEX('Total Customers'!$F$7:$AB$91,MATCH($C864,'Total Customers'!$D$7:$D$91,0),MATCH($G864,'Total Customers'!$F$5:$AB$5,0)),"NA")</f>
        <v>819154</v>
      </c>
      <c r="BA864" s="119">
        <f t="shared" si="2526"/>
        <v>-3.3490661726588381E-3</v>
      </c>
      <c r="BB864" s="119"/>
      <c r="BC864" s="121"/>
      <c r="BD864" s="119"/>
      <c r="BE864" s="119"/>
      <c r="BF864" s="119"/>
      <c r="BG864" s="173"/>
      <c r="BH864" s="173"/>
      <c r="BI864" s="173"/>
      <c r="BJ864" s="173"/>
      <c r="BK864" s="173"/>
      <c r="BL864" s="173"/>
      <c r="BM864" s="173"/>
      <c r="BN864" s="173"/>
      <c r="BO864" s="173"/>
      <c r="BP864" s="173"/>
      <c r="BQ864" s="118"/>
      <c r="BR864" s="118"/>
      <c r="BS864" s="118">
        <f>INDEX('Dist. Plant Gas Additions'!$F$7:$AE$91,MATCH($C864,'Dist. Plant Gas Additions'!$D$7:$D$91,0),MATCH(Calculation!$G864,'Dist. Plant Gas Additions'!$F$5:$AE$5,0))</f>
        <v>168910</v>
      </c>
      <c r="BT864" s="118">
        <f>INDEX('Gen. Plant Additions'!$F$7:$AE$91,MATCH($C864,'Gen. Plant Additions'!$D$7:$D$91,0),MATCH(Calculation!$G864,'Gen. Plant Additions'!$F$5:$AE$5,0))</f>
        <v>3018</v>
      </c>
      <c r="BU864" s="118"/>
      <c r="BV864" s="118"/>
      <c r="BW864" s="118">
        <f>INDEX('Dist Plant Depreciation'!$E$7:$AD$94,MATCH($C864,'Dist Plant Depreciation'!$D$7:$D$94,0),MATCH(Calculation!$G864,'Dist Plant Depreciation'!$E$5:$AD$5,0))</f>
        <v>778105</v>
      </c>
      <c r="BX864" s="118">
        <f>INDEX('Gen. Plant Depreciation'!$E$7:$AD$94,MATCH($C864,'Gen. Plant Depreciation'!$D$7:$D$94,0),MATCH(Calculation!$G864,'Gen. Plant Depreciation'!$E$5:$AD$5,0))</f>
        <v>39023</v>
      </c>
      <c r="BY864" s="118"/>
      <c r="BZ864" s="118"/>
      <c r="CA864" s="118"/>
      <c r="CB864" s="118"/>
      <c r="CC864" s="118"/>
      <c r="CD864" s="183"/>
      <c r="CE864" s="118">
        <f>INDEX('Gross Dx Plant'!$E$7:$AD$91,MATCH($C864,'Gross Dx Plant'!$D$7:$D$91,0),MATCH(Calculation!$G864,'Gross Dx Plant'!$E$5:$AD$5,0))</f>
        <v>2197878</v>
      </c>
      <c r="CF864" s="118">
        <f>INDEX('Gross Gen Plant'!$E$7:$AD$91,MATCH($C864,'Gross Gen Plant'!$D$7:$D$91,0),MATCH(Calculation!$G864,'Gross Gen Plant'!$E$5:$AD$5,0))</f>
        <v>64615</v>
      </c>
      <c r="CG864" s="118">
        <f t="shared" si="2468"/>
        <v>1445365</v>
      </c>
      <c r="CH864" s="118"/>
      <c r="CI864" s="121">
        <v>2010</v>
      </c>
      <c r="CJ864" s="118"/>
      <c r="CK864" s="118"/>
      <c r="CL864" s="118"/>
      <c r="CM864" s="183"/>
      <c r="CN864" s="118">
        <f t="shared" si="2527"/>
        <v>171928</v>
      </c>
      <c r="CO864" s="118">
        <f t="shared" si="2528"/>
        <v>302.16374679215471</v>
      </c>
      <c r="CP864" s="186">
        <v>0.9285714285714286</v>
      </c>
      <c r="CQ864" s="118">
        <f>+CQ852*CP864+CO853*CP863+CO854*CP862+CO855*CP861+CO856*CP860+CO857*CP859+CO858*CP858+CO859*CP857+CO860*CP856+CO861*CP855+CO862*CP854+CO863*CP853+CO864</f>
        <v>6678.804188187506</v>
      </c>
      <c r="CR864" s="119">
        <f t="shared" si="2529"/>
        <v>3.9104604666807895E-2</v>
      </c>
      <c r="CS864" s="119"/>
      <c r="CT864" s="177">
        <f t="shared" si="2530"/>
        <v>7.1671635282213415E-3</v>
      </c>
      <c r="CU864" s="177">
        <f t="shared" si="2538"/>
        <v>6.9265162000074392E-3</v>
      </c>
      <c r="CV864" s="119">
        <f>VLOOKUP($H864,RoR!$E:$F,2,FALSE)</f>
        <v>4.9433333333333322E-2</v>
      </c>
      <c r="CW864" s="177">
        <v>1.1684333519300205E-2</v>
      </c>
      <c r="CX864" s="177">
        <f t="shared" si="2536"/>
        <v>3.7748999814033117E-2</v>
      </c>
      <c r="CY864" s="177">
        <f t="shared" si="2539"/>
        <v>2.3975425408526187E-2</v>
      </c>
      <c r="CZ864" s="177">
        <f t="shared" si="2540"/>
        <v>4.7937530248493419E-2</v>
      </c>
      <c r="DA864" s="187">
        <f t="shared" si="2531"/>
        <v>0.84949374999999994</v>
      </c>
      <c r="DB864" s="188">
        <f t="shared" si="2532"/>
        <v>1.037398205301105</v>
      </c>
      <c r="DC864" s="188">
        <f t="shared" si="2533"/>
        <v>0.46926837491571133</v>
      </c>
      <c r="DD864" s="188">
        <f t="shared" si="2534"/>
        <v>0.8548537519972772</v>
      </c>
      <c r="DE864" s="188">
        <f t="shared" si="2535"/>
        <v>0.41615833911547367</v>
      </c>
      <c r="DF864" s="189">
        <f>INDEX('State Tax Lookup'!$D$7:$Z$91,MATCH(Calculation!$C864,'State Tax Lookup'!$B$7:$B$91,0),MATCH($H864,'State Tax Lookup'!$D$6:$Z$6,0))</f>
        <v>0.40134999999999998</v>
      </c>
      <c r="DG864" s="189">
        <v>0.375</v>
      </c>
      <c r="DH864" s="190">
        <f t="shared" si="2537"/>
        <v>19.289855166948652</v>
      </c>
      <c r="DI864" s="190">
        <v>18.952577793177852</v>
      </c>
      <c r="DJ864" s="177"/>
      <c r="DK864" s="189">
        <f>VLOOKUP($H864,RoR!$E:$F,2,FALSE)</f>
        <v>4.9433333333333322E-2</v>
      </c>
      <c r="DL864" s="191">
        <f>HLOOKUP($H864,'GDP-PI'!$D$8:$CQ$11,3,FALSE)</f>
        <v>1.1684333519300205E-2</v>
      </c>
      <c r="DM864" s="189">
        <f>VLOOKUP(H864,'HW Dx Data'!$E:$F,2,FALSE)</f>
        <v>568.98950262971744</v>
      </c>
      <c r="DN864" s="183">
        <f>VLOOKUP(H864,'ECI - Input Price'!$G$17:$H$37,2,FALSE)</f>
        <v>111.875</v>
      </c>
      <c r="DO864" s="177">
        <f t="shared" ref="DO864" si="2573">LN(DN864/DN863)</f>
        <v>1.8949360147238387E-2</v>
      </c>
      <c r="DP864" s="183">
        <f>HLOOKUP(H864,'GDP-PI'!$8:$9,2,FALSE)</f>
        <v>96.108999999999995</v>
      </c>
      <c r="DQ864" s="177">
        <f t="shared" ref="DQ864" si="2574">LN(DP864/DP863)</f>
        <v>1.1616598807150427E-2</v>
      </c>
    </row>
    <row r="865" spans="1:121" s="167" customFormat="1" ht="21" x14ac:dyDescent="0.35">
      <c r="A865" s="167" t="s">
        <v>88</v>
      </c>
      <c r="B865" s="168" t="s">
        <v>89</v>
      </c>
      <c r="C865" s="168">
        <v>4057135</v>
      </c>
      <c r="D865" s="168" t="s">
        <v>144</v>
      </c>
      <c r="E865" s="168"/>
      <c r="F865" s="168"/>
      <c r="G865" s="168" t="s">
        <v>17</v>
      </c>
      <c r="H865" s="169">
        <v>2011</v>
      </c>
      <c r="I865" s="170"/>
      <c r="J865" s="166">
        <f>IFERROR(INDEX('Labor Expenditures'!$F$7:$X$91,MATCH($C865,'Labor Expenditures'!$D$7:$D$91,0),MATCH($G865,'Labor Expenditures'!$F$5:$X$5,0)),"NA")</f>
        <v>103349.14587868258</v>
      </c>
      <c r="K865" s="166">
        <f t="shared" si="2543"/>
        <v>904.19200243816783</v>
      </c>
      <c r="L865" s="172">
        <f t="shared" si="2550"/>
        <v>-7.8065044522020177E-2</v>
      </c>
      <c r="M865" s="172">
        <f t="shared" si="2554"/>
        <v>-2.9888109486562319E-3</v>
      </c>
      <c r="N865" s="196"/>
      <c r="O865" s="172"/>
      <c r="P865" s="166">
        <f>IFERROR(INDEX('Non-Labor Expenditures'!$F$7:$AB$91,MATCH($C865,'Non-Labor Expenditures'!$D$7:$D$91,0),MATCH($G865,'Non-Labor Expenditures'!$F$5:$AB$5,0)),"NA")</f>
        <v>149668.86619014226</v>
      </c>
      <c r="Q865" s="166">
        <f t="shared" si="2544"/>
        <v>1525.4899114292061</v>
      </c>
      <c r="R865" s="172">
        <f t="shared" si="2555"/>
        <v>-7.7247369529123616E-2</v>
      </c>
      <c r="S865" s="172">
        <f t="shared" si="2560"/>
        <v>-2.9575053113357753E-3</v>
      </c>
      <c r="T865" s="172"/>
      <c r="U865" s="172"/>
      <c r="V865" s="166">
        <f t="shared" si="2525"/>
        <v>137456.83794564259</v>
      </c>
      <c r="W865" s="170"/>
      <c r="X865" s="174">
        <v>6961.7240383414246</v>
      </c>
      <c r="Y865" s="175">
        <v>4.1488192551053883E-2</v>
      </c>
      <c r="Z865" s="175">
        <f t="shared" si="2561"/>
        <v>1.5884236651087849E-3</v>
      </c>
      <c r="AA865" s="175"/>
      <c r="AB865" s="175"/>
      <c r="AC865" s="170">
        <f t="shared" si="2462"/>
        <v>390474.85001446743</v>
      </c>
      <c r="AD865" s="175">
        <f t="shared" si="2556"/>
        <v>-3.0045705637666955E-3</v>
      </c>
      <c r="AE865" s="170"/>
      <c r="AF865" s="170"/>
      <c r="AG865" s="121">
        <f t="shared" si="2557"/>
        <v>471.82959633250289</v>
      </c>
      <c r="AH865" s="119">
        <f>+AZ865/$BB$49</f>
        <v>2.296660470924388E-2</v>
      </c>
      <c r="AI865" s="119"/>
      <c r="AJ865" s="176">
        <f t="shared" si="2562"/>
        <v>10.8363238290907</v>
      </c>
      <c r="AK865" s="176">
        <f t="shared" si="2563"/>
        <v>0</v>
      </c>
      <c r="AL865" s="120">
        <f t="shared" si="2545"/>
        <v>0.26467555048642288</v>
      </c>
      <c r="AM865" s="120">
        <f t="shared" si="2546"/>
        <v>0.38329963167819103</v>
      </c>
      <c r="AN865" s="120">
        <f t="shared" si="2547"/>
        <v>0.35202481783538603</v>
      </c>
      <c r="AO865" s="120">
        <f t="shared" si="2551"/>
        <v>-3.7790726944149353E-2</v>
      </c>
      <c r="AP865" s="173">
        <f t="shared" si="2567"/>
        <v>96.877252483043435</v>
      </c>
      <c r="AQ865" s="175">
        <f t="shared" si="2568"/>
        <v>-3.7790726944149311E-2</v>
      </c>
      <c r="AR865" s="177">
        <f>+AC865/$AE$49</f>
        <v>3.8286162096700833E-2</v>
      </c>
      <c r="AS865" s="177">
        <f t="shared" si="2564"/>
        <v>-1.4468618975358603E-3</v>
      </c>
      <c r="AT865" s="177"/>
      <c r="AU865" s="177"/>
      <c r="AV865" s="177"/>
      <c r="AW865" s="190"/>
      <c r="AX865" s="120"/>
      <c r="AY865" s="120"/>
      <c r="AZ865" s="118">
        <f>IFERROR(INDEX('Total Customers'!$F$7:$AB$91,MATCH($C865,'Total Customers'!$D$7:$D$91,0),MATCH($G865,'Total Customers'!$F$5:$AB$5,0)),"NA")</f>
        <v>827576</v>
      </c>
      <c r="BA865" s="119">
        <f t="shared" si="2526"/>
        <v>1.0228845569327712E-2</v>
      </c>
      <c r="BB865" s="119"/>
      <c r="BC865" s="121"/>
      <c r="BD865" s="119"/>
      <c r="BE865" s="119"/>
      <c r="BF865" s="119"/>
      <c r="BG865" s="173"/>
      <c r="BH865" s="173"/>
      <c r="BI865" s="173"/>
      <c r="BJ865" s="173"/>
      <c r="BK865" s="173"/>
      <c r="BL865" s="173"/>
      <c r="BM865" s="173"/>
      <c r="BN865" s="173"/>
      <c r="BO865" s="173"/>
      <c r="BP865" s="173"/>
      <c r="BQ865" s="118"/>
      <c r="BR865" s="118"/>
      <c r="BS865" s="118">
        <f>INDEX('Dist. Plant Gas Additions'!$F$7:$AE$91,MATCH($C865,'Dist. Plant Gas Additions'!$D$7:$D$91,0),MATCH(Calculation!$G865,'Dist. Plant Gas Additions'!$F$5:$AE$5,0))</f>
        <v>191552</v>
      </c>
      <c r="BT865" s="118">
        <f>INDEX('Gen. Plant Additions'!$F$7:$AE$91,MATCH($C865,'Gen. Plant Additions'!$D$7:$D$91,0),MATCH(Calculation!$G865,'Gen. Plant Additions'!$F$5:$AE$5,0))</f>
        <v>11561</v>
      </c>
      <c r="BU865" s="118"/>
      <c r="BV865" s="118"/>
      <c r="BW865" s="118">
        <f>INDEX('Dist Plant Depreciation'!$E$7:$AD$94,MATCH($C865,'Dist Plant Depreciation'!$D$7:$D$94,0),MATCH(Calculation!$G865,'Dist Plant Depreciation'!$E$5:$AD$5,0))</f>
        <v>803704</v>
      </c>
      <c r="BX865" s="118">
        <f>INDEX('Gen. Plant Depreciation'!$E$7:$AD$94,MATCH($C865,'Gen. Plant Depreciation'!$D$7:$D$94,0),MATCH(Calculation!$G865,'Gen. Plant Depreciation'!$E$5:$AD$5,0))</f>
        <v>34180</v>
      </c>
      <c r="BY865" s="118"/>
      <c r="BZ865" s="118"/>
      <c r="CA865" s="118"/>
      <c r="CB865" s="118"/>
      <c r="CC865" s="118"/>
      <c r="CD865" s="183"/>
      <c r="CE865" s="118">
        <f>INDEX('Gross Dx Plant'!$E$7:$AD$91,MATCH($C865,'Gross Dx Plant'!$D$7:$D$91,0),MATCH(Calculation!$G865,'Gross Dx Plant'!$E$5:$AD$5,0))</f>
        <v>2365701</v>
      </c>
      <c r="CF865" s="118">
        <f>INDEX('Gross Gen Plant'!$E$7:$AD$91,MATCH($C865,'Gross Gen Plant'!$D$7:$D$91,0),MATCH(Calculation!$G865,'Gross Gen Plant'!$E$5:$AD$5,0))</f>
        <v>64672</v>
      </c>
      <c r="CG865" s="118">
        <f t="shared" si="2468"/>
        <v>1592489</v>
      </c>
      <c r="CH865" s="118"/>
      <c r="CI865" s="121">
        <v>2011</v>
      </c>
      <c r="CJ865" s="118"/>
      <c r="CK865" s="118"/>
      <c r="CL865" s="118"/>
      <c r="CM865" s="183"/>
      <c r="CN865" s="118">
        <f t="shared" si="2527"/>
        <v>203113</v>
      </c>
      <c r="CO865" s="118">
        <f t="shared" si="2528"/>
        <v>332.09502130943696</v>
      </c>
      <c r="CP865" s="186">
        <v>0.92121212121212126</v>
      </c>
      <c r="CQ865" s="118">
        <f>+CQ852*CP865+CO853*CP864+CO854*CP863+CO855*CP862+CO856*CP861+CO857*CP860+CO858*CP859+CO859*CP858+CO860*CP857+CO861*CP856+CO862*CP855+CO863*CP854+CO864*CP853+CO865</f>
        <v>6961.7240383414246</v>
      </c>
      <c r="CR865" s="119">
        <f t="shared" si="2529"/>
        <v>4.1488192551053883E-2</v>
      </c>
      <c r="CS865" s="119"/>
      <c r="CT865" s="177">
        <f t="shared" si="2530"/>
        <v>7.3628706232310662E-3</v>
      </c>
      <c r="CU865" s="177">
        <f t="shared" si="2538"/>
        <v>7.1473612222081352E-3</v>
      </c>
      <c r="CV865" s="119">
        <f>VLOOKUP($H865,RoR!$E:$F,2,FALSE)</f>
        <v>4.6391666666666664E-2</v>
      </c>
      <c r="CW865" s="177">
        <v>2.0840920205183799E-2</v>
      </c>
      <c r="CX865" s="177">
        <f t="shared" si="2536"/>
        <v>2.5550746461482865E-2</v>
      </c>
      <c r="CY865" s="177">
        <f t="shared" si="2539"/>
        <v>2.375458038632549E-2</v>
      </c>
      <c r="CZ865" s="177">
        <f t="shared" si="2540"/>
        <v>2.4810540821321614E-2</v>
      </c>
      <c r="DA865" s="187">
        <f t="shared" si="2531"/>
        <v>0.84949374999999994</v>
      </c>
      <c r="DB865" s="188">
        <f t="shared" si="2532"/>
        <v>1.1054151524782025</v>
      </c>
      <c r="DC865" s="188">
        <f t="shared" si="2533"/>
        <v>0.43611011316687626</v>
      </c>
      <c r="DD865" s="188">
        <f t="shared" si="2534"/>
        <v>0.83698442246886229</v>
      </c>
      <c r="DE865" s="188">
        <f t="shared" si="2535"/>
        <v>0.40349573304423936</v>
      </c>
      <c r="DF865" s="189">
        <f>INDEX('State Tax Lookup'!$D$7:$Z$91,MATCH(Calculation!$C865,'State Tax Lookup'!$B$7:$B$91,0),MATCH($H865,'State Tax Lookup'!$D$6:$Z$6,0))</f>
        <v>0.40134999999999998</v>
      </c>
      <c r="DG865" s="189">
        <v>0.375</v>
      </c>
      <c r="DH865" s="190">
        <f t="shared" si="2537"/>
        <v>20.581055241708714</v>
      </c>
      <c r="DI865" s="190">
        <v>20.247169613961425</v>
      </c>
      <c r="DJ865" s="177"/>
      <c r="DK865" s="189">
        <f>VLOOKUP($H865,RoR!$E:$F,2,FALSE)</f>
        <v>4.6391666666666664E-2</v>
      </c>
      <c r="DL865" s="191">
        <f>HLOOKUP($H865,'GDP-PI'!$D$8:$CQ$11,3,FALSE)</f>
        <v>2.0840920205183799E-2</v>
      </c>
      <c r="DM865" s="189">
        <f>VLOOKUP(H865,'HW Dx Data'!$E:$F,2,FALSE)</f>
        <v>611.61109612283201</v>
      </c>
      <c r="DN865" s="183">
        <f>VLOOKUP(H865,'ECI - Input Price'!$G$17:$H$37,2,FALSE)</f>
        <v>114.3</v>
      </c>
      <c r="DO865" s="177">
        <f t="shared" ref="DO865" si="2575">LN(DN865/DN864)</f>
        <v>2.1444394205745516E-2</v>
      </c>
      <c r="DP865" s="183">
        <f>HLOOKUP(H865,'GDP-PI'!$8:$9,2,FALSE)</f>
        <v>98.111999999999995</v>
      </c>
      <c r="DQ865" s="177">
        <f t="shared" ref="DQ865" si="2576">LN(DP865/DP864)</f>
        <v>2.0626719212849295E-2</v>
      </c>
    </row>
    <row r="866" spans="1:121" s="167" customFormat="1" ht="21" x14ac:dyDescent="0.35">
      <c r="A866" s="167" t="s">
        <v>88</v>
      </c>
      <c r="B866" s="168" t="s">
        <v>89</v>
      </c>
      <c r="C866" s="168">
        <v>4057135</v>
      </c>
      <c r="D866" s="168" t="s">
        <v>144</v>
      </c>
      <c r="E866" s="168"/>
      <c r="F866" s="168"/>
      <c r="G866" s="168" t="s">
        <v>18</v>
      </c>
      <c r="H866" s="169">
        <v>2012</v>
      </c>
      <c r="I866" s="170"/>
      <c r="J866" s="166">
        <f>IFERROR(INDEX('Labor Expenditures'!$F$7:$X$91,MATCH($C866,'Labor Expenditures'!$D$7:$D$91,0),MATCH($G866,'Labor Expenditures'!$F$5:$X$5,0)),"NA")</f>
        <v>111863.37422452439</v>
      </c>
      <c r="K866" s="166">
        <f t="shared" si="2543"/>
        <v>960.20063712038109</v>
      </c>
      <c r="L866" s="172">
        <f t="shared" si="2550"/>
        <v>6.0100529707656551E-2</v>
      </c>
      <c r="M866" s="172">
        <f t="shared" si="2554"/>
        <v>2.4113166202904342E-3</v>
      </c>
      <c r="N866" s="196"/>
      <c r="O866" s="172"/>
      <c r="P866" s="166">
        <f>IFERROR(INDEX('Non-Labor Expenditures'!$F$7:$AB$91,MATCH($C866,'Non-Labor Expenditures'!$D$7:$D$91,0),MATCH($G866,'Non-Labor Expenditures'!$F$5:$AB$5,0)),"NA")</f>
        <v>161999.05907341951</v>
      </c>
      <c r="Q866" s="166">
        <f t="shared" si="2544"/>
        <v>1619.9905907341952</v>
      </c>
      <c r="R866" s="172">
        <f t="shared" si="2555"/>
        <v>6.0104729173904539E-2</v>
      </c>
      <c r="S866" s="172">
        <f t="shared" si="2560"/>
        <v>2.4114851087015912E-3</v>
      </c>
      <c r="T866" s="172"/>
      <c r="U866" s="172"/>
      <c r="V866" s="166">
        <f t="shared" si="2525"/>
        <v>154891.83375102739</v>
      </c>
      <c r="W866" s="170"/>
      <c r="X866" s="174">
        <v>7267.5914506524741</v>
      </c>
      <c r="Y866" s="175">
        <v>4.2997786550484675E-2</v>
      </c>
      <c r="Z866" s="175">
        <f t="shared" si="2561"/>
        <v>1.7251308407632163E-3</v>
      </c>
      <c r="AA866" s="175"/>
      <c r="AB866" s="175"/>
      <c r="AC866" s="170">
        <f t="shared" si="2462"/>
        <v>428754.26704897126</v>
      </c>
      <c r="AD866" s="175">
        <f t="shared" si="2556"/>
        <v>9.3520388098182874E-2</v>
      </c>
      <c r="AE866" s="170"/>
      <c r="AF866" s="170"/>
      <c r="AG866" s="121">
        <f t="shared" si="2557"/>
        <v>516.07957602931572</v>
      </c>
      <c r="AH866" s="119">
        <f>+AZ866/$BB$50</f>
        <v>2.2944878483485417E-2</v>
      </c>
      <c r="AI866" s="119"/>
      <c r="AJ866" s="176">
        <f t="shared" si="2562"/>
        <v>11.841383159801323</v>
      </c>
      <c r="AK866" s="176">
        <f t="shared" si="2563"/>
        <v>0</v>
      </c>
      <c r="AL866" s="120">
        <f t="shared" si="2545"/>
        <v>0.26090323250764902</v>
      </c>
      <c r="AM866" s="120">
        <f t="shared" si="2546"/>
        <v>0.37783661067311636</v>
      </c>
      <c r="AN866" s="120">
        <f t="shared" si="2547"/>
        <v>0.36126015681923468</v>
      </c>
      <c r="AO866" s="120">
        <f t="shared" si="2551"/>
        <v>5.4002563030942571E-2</v>
      </c>
      <c r="AP866" s="173">
        <f t="shared" si="2567"/>
        <v>102.25271037146713</v>
      </c>
      <c r="AQ866" s="175">
        <f t="shared" si="2568"/>
        <v>5.4002563030942578E-2</v>
      </c>
      <c r="AR866" s="177">
        <f>+AC866/$AE$50</f>
        <v>4.012138714949201E-2</v>
      </c>
      <c r="AS866" s="177">
        <f t="shared" si="2564"/>
        <v>2.1666577384292919E-3</v>
      </c>
      <c r="AT866" s="177"/>
      <c r="AU866" s="177"/>
      <c r="AV866" s="177"/>
      <c r="AW866" s="190"/>
      <c r="AX866" s="120"/>
      <c r="AY866" s="120"/>
      <c r="AZ866" s="118">
        <f>IFERROR(INDEX('Total Customers'!$F$7:$AB$91,MATCH($C866,'Total Customers'!$D$7:$D$91,0),MATCH($G866,'Total Customers'!$F$5:$AB$5,0)),"NA")</f>
        <v>830791</v>
      </c>
      <c r="BA866" s="119">
        <f t="shared" si="2526"/>
        <v>3.8773130769479171E-3</v>
      </c>
      <c r="BB866" s="119"/>
      <c r="BC866" s="121"/>
      <c r="BD866" s="119"/>
      <c r="BE866" s="119"/>
      <c r="BF866" s="119"/>
      <c r="BG866" s="173"/>
      <c r="BH866" s="173"/>
      <c r="BI866" s="173"/>
      <c r="BJ866" s="173"/>
      <c r="BK866" s="173"/>
      <c r="BL866" s="173"/>
      <c r="BM866" s="173"/>
      <c r="BN866" s="173"/>
      <c r="BO866" s="173"/>
      <c r="BP866" s="173"/>
      <c r="BQ866" s="118"/>
      <c r="BR866" s="118"/>
      <c r="BS866" s="118">
        <f>INDEX('Dist. Plant Gas Additions'!$F$7:$AE$91,MATCH($C866,'Dist. Plant Gas Additions'!$D$7:$D$91,0),MATCH(Calculation!$G866,'Dist. Plant Gas Additions'!$F$5:$AE$5,0))</f>
        <v>223706</v>
      </c>
      <c r="BT866" s="118">
        <f>INDEX('Gen. Plant Additions'!$F$7:$AE$91,MATCH($C866,'Gen. Plant Additions'!$D$7:$D$91,0),MATCH(Calculation!$G866,'Gen. Plant Additions'!$F$5:$AE$5,0))</f>
        <v>16081</v>
      </c>
      <c r="BU866" s="118"/>
      <c r="BV866" s="118"/>
      <c r="BW866" s="118">
        <f>INDEX('Dist Plant Depreciation'!$E$7:$AD$94,MATCH($C866,'Dist Plant Depreciation'!$D$7:$D$94,0),MATCH(Calculation!$G866,'Dist Plant Depreciation'!$E$5:$AD$5,0))</f>
        <v>822936</v>
      </c>
      <c r="BX866" s="118">
        <f>INDEX('Gen. Plant Depreciation'!$E$7:$AD$94,MATCH($C866,'Gen. Plant Depreciation'!$D$7:$D$94,0),MATCH(Calculation!$G866,'Gen. Plant Depreciation'!$E$5:$AD$5,0))</f>
        <v>38159</v>
      </c>
      <c r="BY866" s="118"/>
      <c r="BZ866" s="118"/>
      <c r="CA866" s="118"/>
      <c r="CB866" s="118"/>
      <c r="CC866" s="118"/>
      <c r="CD866" s="183"/>
      <c r="CE866" s="118">
        <f>INDEX('Gross Dx Plant'!$E$7:$AD$91,MATCH($C866,'Gross Dx Plant'!$D$7:$D$91,0),MATCH(Calculation!$G866,'Gross Dx Plant'!$E$5:$AD$5,0))</f>
        <v>2555557</v>
      </c>
      <c r="CF866" s="118">
        <f>INDEX('Gross Gen Plant'!$E$7:$AD$91,MATCH($C866,'Gross Gen Plant'!$D$7:$D$91,0),MATCH(Calculation!$G866,'Gross Gen Plant'!$E$5:$AD$5,0))</f>
        <v>78118</v>
      </c>
      <c r="CG866" s="118">
        <f t="shared" si="2468"/>
        <v>1772580</v>
      </c>
      <c r="CH866" s="118"/>
      <c r="CI866" s="121">
        <v>2012</v>
      </c>
      <c r="CJ866" s="118"/>
      <c r="CK866" s="118"/>
      <c r="CL866" s="118"/>
      <c r="CM866" s="183"/>
      <c r="CN866" s="118">
        <f t="shared" si="2527"/>
        <v>239787</v>
      </c>
      <c r="CO866" s="118">
        <f t="shared" si="2528"/>
        <v>358.46923847660747</v>
      </c>
      <c r="CP866" s="186">
        <v>0.9135802469135802</v>
      </c>
      <c r="CQ866" s="118">
        <f>+CQ852*CP866+CO853*CP865+CO854*CP864+CO855*CP863+CO856*CP862+CO857*CP861+CO858*CP860+CO859*CP859+CO860*CP858+CO861*CP857+CO862*CP856+CO863*CP855+CO864*CP854+CO865*CP853+CO866</f>
        <v>7267.5914506524741</v>
      </c>
      <c r="CR866" s="119">
        <f t="shared" si="2529"/>
        <v>4.2997786550484675E-2</v>
      </c>
      <c r="CS866" s="119"/>
      <c r="CT866" s="177">
        <f t="shared" si="2530"/>
        <v>7.5558620071487234E-3</v>
      </c>
      <c r="CU866" s="177">
        <f t="shared" si="2538"/>
        <v>7.3619653862003779E-3</v>
      </c>
      <c r="CV866" s="119">
        <f>VLOOKUP($H866,RoR!$E:$F,2,FALSE)</f>
        <v>3.6733333333333333E-2</v>
      </c>
      <c r="CW866" s="177">
        <v>1.924331376386168E-2</v>
      </c>
      <c r="CX866" s="177">
        <f t="shared" si="2536"/>
        <v>1.7490019569471653E-2</v>
      </c>
      <c r="CY866" s="177">
        <f t="shared" si="2539"/>
        <v>2.3539976222333246E-2</v>
      </c>
      <c r="CZ866" s="177">
        <f t="shared" si="2540"/>
        <v>6.7122682943869583E-2</v>
      </c>
      <c r="DA866" s="187">
        <f t="shared" si="2531"/>
        <v>0.84949374999999994</v>
      </c>
      <c r="DB866" s="188">
        <f t="shared" si="2532"/>
        <v>1.3960631020522127</v>
      </c>
      <c r="DC866" s="188">
        <f t="shared" si="2533"/>
        <v>0.29441923774954631</v>
      </c>
      <c r="DD866" s="188">
        <f t="shared" si="2534"/>
        <v>0.76377954189366437</v>
      </c>
      <c r="DE866" s="188">
        <f t="shared" si="2535"/>
        <v>0.31393465103033691</v>
      </c>
      <c r="DF866" s="189">
        <f>INDEX('State Tax Lookup'!$D$7:$Z$91,MATCH(Calculation!$C866,'State Tax Lookup'!$B$7:$B$91,0),MATCH($H866,'State Tax Lookup'!$D$6:$Z$6,0))</f>
        <v>0.40134999999999998</v>
      </c>
      <c r="DG866" s="189">
        <v>0.375</v>
      </c>
      <c r="DH866" s="190">
        <f t="shared" si="2537"/>
        <v>22.249062573863405</v>
      </c>
      <c r="DI866" s="190">
        <v>21.955709423965807</v>
      </c>
      <c r="DJ866" s="177"/>
      <c r="DK866" s="189">
        <f>VLOOKUP($H866,RoR!$E:$F,2,FALSE)</f>
        <v>3.6733333333333333E-2</v>
      </c>
      <c r="DL866" s="191">
        <f>HLOOKUP($H866,'GDP-PI'!$D$8:$CQ$11,3,FALSE)</f>
        <v>1.924331376386168E-2</v>
      </c>
      <c r="DM866" s="189">
        <f>VLOOKUP(H866,'HW Dx Data'!$E:$F,2,FALSE)</f>
        <v>668.91932211262167</v>
      </c>
      <c r="DN866" s="183">
        <f>VLOOKUP(H866,'ECI - Input Price'!$G$17:$H$37,2,FALSE)</f>
        <v>116.5</v>
      </c>
      <c r="DO866" s="177">
        <f t="shared" ref="DO866" si="2577">LN(DN866/DN865)</f>
        <v>1.9064702204990347E-2</v>
      </c>
      <c r="DP866" s="183">
        <f>HLOOKUP(H866,'GDP-PI'!$8:$9,2,FALSE)</f>
        <v>100</v>
      </c>
      <c r="DQ866" s="177">
        <f t="shared" ref="DQ866" si="2578">LN(DP866/DP865)</f>
        <v>1.9060502738742411E-2</v>
      </c>
    </row>
    <row r="867" spans="1:121" s="167" customFormat="1" ht="21" x14ac:dyDescent="0.35">
      <c r="A867" s="167" t="s">
        <v>88</v>
      </c>
      <c r="B867" s="168" t="s">
        <v>89</v>
      </c>
      <c r="C867" s="168">
        <v>4057135</v>
      </c>
      <c r="D867" s="168" t="s">
        <v>144</v>
      </c>
      <c r="E867" s="168"/>
      <c r="F867" s="168"/>
      <c r="G867" s="168" t="s">
        <v>19</v>
      </c>
      <c r="H867" s="169">
        <v>2013</v>
      </c>
      <c r="I867" s="170"/>
      <c r="J867" s="166">
        <f>IFERROR(INDEX('Labor Expenditures'!$F$7:$X$91,MATCH($C867,'Labor Expenditures'!$D$7:$D$91,0),MATCH($G867,'Labor Expenditures'!$F$5:$X$5,0)),"NA")</f>
        <v>138974.0076375358</v>
      </c>
      <c r="K867" s="166">
        <f t="shared" si="2543"/>
        <v>1170.5538651298025</v>
      </c>
      <c r="L867" s="172">
        <f t="shared" si="2550"/>
        <v>0.1980900451529613</v>
      </c>
      <c r="M867" s="172">
        <f t="shared" si="2554"/>
        <v>8.9239436011823367E-3</v>
      </c>
      <c r="N867" s="196"/>
      <c r="O867" s="172"/>
      <c r="P867" s="166">
        <f>IFERROR(INDEX('Non-Labor Expenditures'!$F$7:$AB$91,MATCH($C867,'Non-Labor Expenditures'!$D$7:$D$91,0),MATCH($G867,'Non-Labor Expenditures'!$F$5:$AB$5,0)),"NA")</f>
        <v>201260.3198233156</v>
      </c>
      <c r="Q867" s="166">
        <f t="shared" si="2544"/>
        <v>1977.5413893991099</v>
      </c>
      <c r="R867" s="172">
        <f t="shared" si="2555"/>
        <v>0.1994340095658812</v>
      </c>
      <c r="S867" s="172">
        <f t="shared" si="2560"/>
        <v>8.9844891102392518E-3</v>
      </c>
      <c r="T867" s="172"/>
      <c r="U867" s="172"/>
      <c r="V867" s="166">
        <f t="shared" si="2525"/>
        <v>159138.31563901814</v>
      </c>
      <c r="W867" s="170"/>
      <c r="X867" s="174">
        <v>7688.4215672581076</v>
      </c>
      <c r="Y867" s="175">
        <v>5.629056773464975E-2</v>
      </c>
      <c r="Z867" s="175">
        <f t="shared" si="2561"/>
        <v>2.5358864013315567E-3</v>
      </c>
      <c r="AA867" s="175"/>
      <c r="AB867" s="175"/>
      <c r="AC867" s="170">
        <f t="shared" si="2462"/>
        <v>499372.64309986954</v>
      </c>
      <c r="AD867" s="175">
        <f t="shared" si="2556"/>
        <v>0.15246864607808211</v>
      </c>
      <c r="AE867" s="170"/>
      <c r="AF867" s="170"/>
      <c r="AG867" s="121">
        <f t="shared" si="2557"/>
        <v>601.05345757053442</v>
      </c>
      <c r="AH867" s="119">
        <f>+AZ867/$BB$51</f>
        <v>2.2799227420164526E-2</v>
      </c>
      <c r="AI867" s="119"/>
      <c r="AJ867" s="176">
        <f t="shared" si="2562"/>
        <v>13.703554470826823</v>
      </c>
      <c r="AK867" s="176">
        <f t="shared" si="2563"/>
        <v>0</v>
      </c>
      <c r="AL867" s="120">
        <f t="shared" si="2545"/>
        <v>0.27829719861074248</v>
      </c>
      <c r="AM867" s="120">
        <f t="shared" si="2546"/>
        <v>0.40302632233513347</v>
      </c>
      <c r="AN867" s="120">
        <f t="shared" si="2547"/>
        <v>0.31867647905412405</v>
      </c>
      <c r="AO867" s="120">
        <f t="shared" si="2551"/>
        <v>0.15040744132742345</v>
      </c>
      <c r="AP867" s="173">
        <f t="shared" si="2567"/>
        <v>118.84911449868432</v>
      </c>
      <c r="AQ867" s="175">
        <f t="shared" si="2568"/>
        <v>0.15040744132742345</v>
      </c>
      <c r="AR867" s="177">
        <f>+AC867/$AE$51</f>
        <v>4.5049934711718809E-2</v>
      </c>
      <c r="AS867" s="177">
        <f t="shared" si="2564"/>
        <v>6.7758454119571038E-3</v>
      </c>
      <c r="AT867" s="177"/>
      <c r="AU867" s="177"/>
      <c r="AV867" s="177"/>
      <c r="AW867" s="190"/>
      <c r="AX867" s="120"/>
      <c r="AY867" s="120"/>
      <c r="AZ867" s="118">
        <f>IFERROR(INDEX('Total Customers'!$F$7:$AB$91,MATCH($C867,'Total Customers'!$D$7:$D$91,0),MATCH($G867,'Total Customers'!$F$5:$AB$5,0)),"NA")</f>
        <v>830829</v>
      </c>
      <c r="BA867" s="119">
        <f t="shared" si="2526"/>
        <v>4.5738496174369374E-5</v>
      </c>
      <c r="BB867" s="119"/>
      <c r="BC867" s="121"/>
      <c r="BD867" s="119"/>
      <c r="BE867" s="119"/>
      <c r="BF867" s="119"/>
      <c r="BG867" s="173"/>
      <c r="BH867" s="173"/>
      <c r="BI867" s="173"/>
      <c r="BJ867" s="173"/>
      <c r="BK867" s="173"/>
      <c r="BL867" s="173"/>
      <c r="BM867" s="173"/>
      <c r="BN867" s="173"/>
      <c r="BO867" s="173"/>
      <c r="BP867" s="173"/>
      <c r="BQ867" s="118"/>
      <c r="BR867" s="118"/>
      <c r="BS867" s="118">
        <f>INDEX('Dist. Plant Gas Additions'!$F$7:$AE$91,MATCH($C867,'Dist. Plant Gas Additions'!$D$7:$D$91,0),MATCH(Calculation!$G867,'Dist. Plant Gas Additions'!$F$5:$AE$5,0))</f>
        <v>304610</v>
      </c>
      <c r="BT867" s="118">
        <f>INDEX('Gen. Plant Additions'!$F$7:$AE$91,MATCH($C867,'Gen. Plant Additions'!$D$7:$D$91,0),MATCH(Calculation!$G867,'Gen. Plant Additions'!$F$5:$AE$5,0))</f>
        <v>11851</v>
      </c>
      <c r="BU867" s="118"/>
      <c r="BV867" s="118"/>
      <c r="BW867" s="118">
        <f>INDEX('Dist Plant Depreciation'!$E$7:$AD$94,MATCH($C867,'Dist Plant Depreciation'!$D$7:$D$94,0),MATCH(Calculation!$G867,'Dist Plant Depreciation'!$E$5:$AD$5,0))</f>
        <v>853597</v>
      </c>
      <c r="BX867" s="118">
        <f>INDEX('Gen. Plant Depreciation'!$E$7:$AD$94,MATCH($C867,'Gen. Plant Depreciation'!$D$7:$D$94,0),MATCH(Calculation!$G867,'Gen. Plant Depreciation'!$E$5:$AD$5,0))</f>
        <v>40659</v>
      </c>
      <c r="BY867" s="118"/>
      <c r="BZ867" s="118"/>
      <c r="CA867" s="118"/>
      <c r="CB867" s="118"/>
      <c r="CC867" s="118"/>
      <c r="CD867" s="183"/>
      <c r="CE867" s="118">
        <f>INDEX('Gross Dx Plant'!$E$7:$AD$91,MATCH($C867,'Gross Dx Plant'!$D$7:$D$91,0),MATCH(Calculation!$G867,'Gross Dx Plant'!$E$5:$AD$5,0))</f>
        <v>2829609</v>
      </c>
      <c r="CF867" s="118">
        <f>INDEX('Gross Gen Plant'!$E$7:$AD$91,MATCH($C867,'Gross Gen Plant'!$D$7:$D$91,0),MATCH(Calculation!$G867,'Gross Gen Plant'!$E$5:$AD$5,0))</f>
        <v>84661</v>
      </c>
      <c r="CG867" s="118">
        <f t="shared" si="2468"/>
        <v>2020014</v>
      </c>
      <c r="CH867" s="118"/>
      <c r="CI867" s="121">
        <v>2013</v>
      </c>
      <c r="CJ867" s="118"/>
      <c r="CK867" s="118"/>
      <c r="CL867" s="118"/>
      <c r="CM867" s="183"/>
      <c r="CN867" s="118">
        <f t="shared" si="2527"/>
        <v>316461</v>
      </c>
      <c r="CO867" s="118">
        <f t="shared" si="2528"/>
        <v>477.13797331642974</v>
      </c>
      <c r="CP867" s="186">
        <v>0.90566037735849059</v>
      </c>
      <c r="CQ867" s="118">
        <f>+CQ852*CP867+CO853*CP866+CO854*CP865+CO855*CP864+CO856*CP863+CO857*CP862+CO858*CP861+CO859*CP860+CO860*CP859+CO861*CP858+CO862*CP857+CO863*CP856+CO864*CP855+CO865*CP854+CO866*CP853+CO867</f>
        <v>7688.4215672581076</v>
      </c>
      <c r="CR867" s="119">
        <f t="shared" si="2529"/>
        <v>5.629056773464975E-2</v>
      </c>
      <c r="CS867" s="119"/>
      <c r="CT867" s="177">
        <f t="shared" si="2530"/>
        <v>7.7478016056806518E-3</v>
      </c>
      <c r="CU867" s="177">
        <f t="shared" si="2538"/>
        <v>7.555511412020148E-3</v>
      </c>
      <c r="CV867" s="119">
        <f>VLOOKUP($H867,RoR!$E:$F,2,FALSE)</f>
        <v>4.2350000000000006E-2</v>
      </c>
      <c r="CW867" s="177">
        <v>1.7730000000000024E-2</v>
      </c>
      <c r="CX867" s="177">
        <f t="shared" si="2536"/>
        <v>2.4619999999999982E-2</v>
      </c>
      <c r="CY867" s="177">
        <f t="shared" si="2539"/>
        <v>2.3346430196513477E-2</v>
      </c>
      <c r="CZ867" s="177">
        <f t="shared" si="2540"/>
        <v>5.3376742735721204E-2</v>
      </c>
      <c r="DA867" s="187">
        <f t="shared" si="2531"/>
        <v>0.84949374999999994</v>
      </c>
      <c r="DB867" s="188">
        <f t="shared" si="2532"/>
        <v>1.2109103018193925</v>
      </c>
      <c r="DC867" s="188">
        <f t="shared" si="2533"/>
        <v>0.38468122786304604</v>
      </c>
      <c r="DD867" s="188">
        <f t="shared" si="2534"/>
        <v>0.80969194503422559</v>
      </c>
      <c r="DE867" s="188">
        <f t="shared" si="2535"/>
        <v>0.37716621754800816</v>
      </c>
      <c r="DF867" s="189">
        <f>INDEX('State Tax Lookup'!$D$7:$Z$91,MATCH(Calculation!$C867,'State Tax Lookup'!$B$7:$B$91,0),MATCH($H867,'State Tax Lookup'!$D$6:$Z$6,0))</f>
        <v>0.40134999999999998</v>
      </c>
      <c r="DG867" s="189">
        <v>0.375</v>
      </c>
      <c r="DH867" s="190">
        <f t="shared" si="2537"/>
        <v>21.896981513006065</v>
      </c>
      <c r="DI867" s="190">
        <v>21.605259252102798</v>
      </c>
      <c r="DJ867" s="177"/>
      <c r="DK867" s="189">
        <f>VLOOKUP($H867,RoR!$E:$F,2,FALSE)</f>
        <v>4.2350000000000006E-2</v>
      </c>
      <c r="DL867" s="191">
        <f>HLOOKUP($H867,'GDP-PI'!$D$8:$CQ$11,3,FALSE)</f>
        <v>1.7730000000000024E-2</v>
      </c>
      <c r="DM867" s="189">
        <f>VLOOKUP(H867,'HW Dx Data'!$E:$F,2,FALSE)</f>
        <v>663.24840548821396</v>
      </c>
      <c r="DN867" s="183">
        <f>VLOOKUP(H867,'ECI - Input Price'!$G$17:$H$37,2,FALSE)</f>
        <v>118.72499999999999</v>
      </c>
      <c r="DO867" s="177">
        <f t="shared" ref="DO867" si="2579">LN(DN867/DN866)</f>
        <v>1.8918621429430321E-2</v>
      </c>
      <c r="DP867" s="183">
        <f>HLOOKUP(H867,'GDP-PI'!$8:$9,2,FALSE)</f>
        <v>101.773</v>
      </c>
      <c r="DQ867" s="177">
        <f t="shared" ref="DQ867" si="2580">LN(DP867/DP866)</f>
        <v>1.7574657016510519E-2</v>
      </c>
    </row>
    <row r="868" spans="1:121" s="167" customFormat="1" ht="21" x14ac:dyDescent="0.35">
      <c r="A868" s="167" t="s">
        <v>88</v>
      </c>
      <c r="B868" s="168" t="s">
        <v>89</v>
      </c>
      <c r="C868" s="168">
        <v>4057135</v>
      </c>
      <c r="D868" s="168" t="s">
        <v>144</v>
      </c>
      <c r="E868" s="168"/>
      <c r="F868" s="168"/>
      <c r="G868" s="168" t="s">
        <v>20</v>
      </c>
      <c r="H868" s="169">
        <v>2014</v>
      </c>
      <c r="I868" s="170"/>
      <c r="J868" s="166">
        <f>IFERROR(INDEX('Labor Expenditures'!$F$7:$X$91,MATCH($C868,'Labor Expenditures'!$D$7:$D$91,0),MATCH($G868,'Labor Expenditures'!$F$5:$X$5,0)),"NA")</f>
        <v>160921.62275994557</v>
      </c>
      <c r="K868" s="166">
        <f t="shared" si="2543"/>
        <v>1327.7361613856895</v>
      </c>
      <c r="L868" s="172">
        <f t="shared" si="2550"/>
        <v>0.12599833186439027</v>
      </c>
      <c r="M868" s="172">
        <f t="shared" si="2554"/>
        <v>6.2727276954551497E-3</v>
      </c>
      <c r="N868" s="196"/>
      <c r="O868" s="172"/>
      <c r="P868" s="166">
        <f>IFERROR(INDEX('Non-Labor Expenditures'!$F$7:$AB$91,MATCH($C868,'Non-Labor Expenditures'!$D$7:$D$91,0),MATCH($G868,'Non-Labor Expenditures'!$F$5:$AB$5,0)),"NA")</f>
        <v>233044.56576962146</v>
      </c>
      <c r="Q868" s="166">
        <f t="shared" si="2544"/>
        <v>2248.4448731716448</v>
      </c>
      <c r="R868" s="172">
        <f t="shared" si="2555"/>
        <v>0.12838445916616276</v>
      </c>
      <c r="S868" s="172">
        <f t="shared" si="2560"/>
        <v>6.3915191634788633E-3</v>
      </c>
      <c r="T868" s="172"/>
      <c r="U868" s="172"/>
      <c r="V868" s="166">
        <f t="shared" si="2525"/>
        <v>172568.45906457779</v>
      </c>
      <c r="W868" s="170"/>
      <c r="X868" s="174">
        <v>8023.9757315125216</v>
      </c>
      <c r="Y868" s="175">
        <v>4.2718521552103865E-2</v>
      </c>
      <c r="Z868" s="175">
        <f t="shared" si="2561"/>
        <v>2.1267079435399344E-3</v>
      </c>
      <c r="AA868" s="175"/>
      <c r="AB868" s="175"/>
      <c r="AC868" s="170">
        <f t="shared" si="2462"/>
        <v>566534.6475941448</v>
      </c>
      <c r="AD868" s="175">
        <f t="shared" si="2556"/>
        <v>0.12618564258996776</v>
      </c>
      <c r="AE868" s="170"/>
      <c r="AF868" s="170"/>
      <c r="AG868" s="121">
        <f t="shared" si="2557"/>
        <v>681.69387571205857</v>
      </c>
      <c r="AH868" s="119">
        <f>+AZ868/$BB$52</f>
        <v>2.2683389996508645E-2</v>
      </c>
      <c r="AI868" s="119"/>
      <c r="AJ868" s="176">
        <f t="shared" si="2562"/>
        <v>15.463128041008117</v>
      </c>
      <c r="AK868" s="176">
        <f t="shared" si="2563"/>
        <v>0</v>
      </c>
      <c r="AL868" s="120">
        <f t="shared" si="2545"/>
        <v>0.28404550973769732</v>
      </c>
      <c r="AM868" s="120">
        <f t="shared" si="2546"/>
        <v>0.41135095048338577</v>
      </c>
      <c r="AN868" s="120">
        <f t="shared" si="2547"/>
        <v>0.30460353977891697</v>
      </c>
      <c r="AO868" s="120">
        <f t="shared" si="2551"/>
        <v>0.10101661491677093</v>
      </c>
      <c r="AP868" s="173">
        <f t="shared" si="2567"/>
        <v>131.48218381155391</v>
      </c>
      <c r="AQ868" s="175">
        <f t="shared" si="2568"/>
        <v>0.10101661491677094</v>
      </c>
      <c r="AR868" s="177">
        <f>+AC868/$AE$52</f>
        <v>4.9784212240257066E-2</v>
      </c>
      <c r="AS868" s="177">
        <f t="shared" si="2564"/>
        <v>5.029032596808842E-3</v>
      </c>
      <c r="AT868" s="177"/>
      <c r="AU868" s="177"/>
      <c r="AV868" s="177"/>
      <c r="AW868" s="190"/>
      <c r="AX868" s="120"/>
      <c r="AY868" s="120"/>
      <c r="AZ868" s="118">
        <f>IFERROR(INDEX('Total Customers'!$F$7:$AB$91,MATCH($C868,'Total Customers'!$D$7:$D$91,0),MATCH($G868,'Total Customers'!$F$5:$AB$5,0)),"NA")</f>
        <v>831069</v>
      </c>
      <c r="BA868" s="119">
        <f t="shared" si="2526"/>
        <v>2.8882639207511874E-4</v>
      </c>
      <c r="BB868" s="119"/>
      <c r="BC868" s="121"/>
      <c r="BD868" s="119"/>
      <c r="BE868" s="119"/>
      <c r="BF868" s="119"/>
      <c r="BG868" s="173"/>
      <c r="BH868" s="173"/>
      <c r="BI868" s="173"/>
      <c r="BJ868" s="173"/>
      <c r="BK868" s="173"/>
      <c r="BL868" s="173"/>
      <c r="BM868" s="173"/>
      <c r="BN868" s="173"/>
      <c r="BO868" s="173"/>
      <c r="BP868" s="173"/>
      <c r="BQ868" s="118"/>
      <c r="BR868" s="118"/>
      <c r="BS868" s="118">
        <f>INDEX('Dist. Plant Gas Additions'!$F$7:$AE$91,MATCH($C868,'Dist. Plant Gas Additions'!$D$7:$D$91,0),MATCH(Calculation!$G868,'Dist. Plant Gas Additions'!$F$5:$AE$5,0))</f>
        <v>259442</v>
      </c>
      <c r="BT868" s="118">
        <f>INDEX('Gen. Plant Additions'!$F$7:$AE$91,MATCH($C868,'Gen. Plant Additions'!$D$7:$D$91,0),MATCH(Calculation!$G868,'Gen. Plant Additions'!$F$5:$AE$5,0))</f>
        <v>11827</v>
      </c>
      <c r="BU868" s="118"/>
      <c r="BV868" s="118"/>
      <c r="BW868" s="118">
        <f>INDEX('Dist Plant Depreciation'!$E$7:$AD$94,MATCH($C868,'Dist Plant Depreciation'!$D$7:$D$94,0),MATCH(Calculation!$G868,'Dist Plant Depreciation'!$E$5:$AD$5,0))</f>
        <v>883686</v>
      </c>
      <c r="BX868" s="118">
        <f>INDEX('Gen. Plant Depreciation'!$E$7:$AD$94,MATCH($C868,'Gen. Plant Depreciation'!$D$7:$D$94,0),MATCH(Calculation!$G868,'Gen. Plant Depreciation'!$E$5:$AD$5,0))</f>
        <v>47025</v>
      </c>
      <c r="BY868" s="118"/>
      <c r="BZ868" s="118"/>
      <c r="CA868" s="118"/>
      <c r="CB868" s="118"/>
      <c r="CC868" s="118"/>
      <c r="CD868" s="183"/>
      <c r="CE868" s="118">
        <f>INDEX('Gross Dx Plant'!$E$7:$AD$91,MATCH($C868,'Gross Dx Plant'!$D$7:$D$91,0),MATCH(Calculation!$G868,'Gross Dx Plant'!$E$5:$AD$5,0))</f>
        <v>3054042</v>
      </c>
      <c r="CF868" s="118">
        <f>INDEX('Gross Gen Plant'!$E$7:$AD$91,MATCH($C868,'Gross Gen Plant'!$D$7:$D$91,0),MATCH(Calculation!$G868,'Gross Gen Plant'!$E$5:$AD$5,0))</f>
        <v>95148</v>
      </c>
      <c r="CG868" s="118">
        <f t="shared" si="2468"/>
        <v>2218479</v>
      </c>
      <c r="CH868" s="118"/>
      <c r="CI868" s="121">
        <v>2014</v>
      </c>
      <c r="CJ868" s="118"/>
      <c r="CK868" s="118"/>
      <c r="CL868" s="118"/>
      <c r="CM868" s="183"/>
      <c r="CN868" s="118">
        <f t="shared" si="2527"/>
        <v>271269</v>
      </c>
      <c r="CO868" s="118">
        <f t="shared" si="2528"/>
        <v>396.32027657275717</v>
      </c>
      <c r="CP868" s="186">
        <v>0.89743589743589747</v>
      </c>
      <c r="CQ868" s="118">
        <f>+CQ852*CP868+CO853*CP867+CO854*CP866+CO855*CP865+CO856*CP864+CO857*CP863+CO858*CP862+CO859*CP861+CO860*CP860+CO861*CP859+CO862*CP858+CO863*CP857+CO864*CP856+CO865*CP855+CO866*CP854+CO867*CP853+CO868</f>
        <v>8023.9757315125216</v>
      </c>
      <c r="CR868" s="119">
        <f t="shared" si="2529"/>
        <v>4.2718521552103865E-2</v>
      </c>
      <c r="CS868" s="119"/>
      <c r="CT868" s="177">
        <f t="shared" si="2530"/>
        <v>7.9035874641840125E-3</v>
      </c>
      <c r="CU868" s="177">
        <f t="shared" si="2538"/>
        <v>7.735750359004462E-3</v>
      </c>
      <c r="CV868" s="119">
        <f>VLOOKUP($H868,RoR!$E:$F,2,FALSE)</f>
        <v>4.1625000000000002E-2</v>
      </c>
      <c r="CW868" s="177">
        <v>1.841352814597208E-2</v>
      </c>
      <c r="CX868" s="177">
        <f t="shared" si="2536"/>
        <v>2.3211471854027922E-2</v>
      </c>
      <c r="CY868" s="177">
        <f t="shared" si="2539"/>
        <v>2.3166191249529164E-2</v>
      </c>
      <c r="CZ868" s="177">
        <f t="shared" si="2540"/>
        <v>3.9072621432650924E-2</v>
      </c>
      <c r="DA868" s="187">
        <f t="shared" si="2531"/>
        <v>0.84949374999999994</v>
      </c>
      <c r="DB868" s="188">
        <f t="shared" si="2532"/>
        <v>1.2320012320012319</v>
      </c>
      <c r="DC868" s="188">
        <f t="shared" si="2533"/>
        <v>0.37439939939939942</v>
      </c>
      <c r="DD868" s="188">
        <f t="shared" si="2534"/>
        <v>0.80432100613819935</v>
      </c>
      <c r="DE868" s="188">
        <f t="shared" si="2535"/>
        <v>0.37100152660040037</v>
      </c>
      <c r="DF868" s="189">
        <f>INDEX('State Tax Lookup'!$D$7:$Z$91,MATCH(Calculation!$C868,'State Tax Lookup'!$B$7:$B$91,0),MATCH($H868,'State Tax Lookup'!$D$6:$Z$6,0))</f>
        <v>0.40134999999999998</v>
      </c>
      <c r="DG868" s="189">
        <v>0.375</v>
      </c>
      <c r="DH868" s="190">
        <f t="shared" si="2537"/>
        <v>22.445238929077121</v>
      </c>
      <c r="DI868" s="190">
        <v>22.156005037553314</v>
      </c>
      <c r="DJ868" s="177"/>
      <c r="DK868" s="189">
        <f>VLOOKUP($H868,RoR!$E:$F,2,FALSE)</f>
        <v>4.1625000000000002E-2</v>
      </c>
      <c r="DL868" s="191">
        <f>HLOOKUP($H868,'GDP-PI'!$D$8:$CQ$11,3,FALSE)</f>
        <v>1.841352814597208E-2</v>
      </c>
      <c r="DM868" s="189">
        <f>VLOOKUP(H868,'HW Dx Data'!$E:$F,2,FALSE)</f>
        <v>684.46914285042885</v>
      </c>
      <c r="DN868" s="183">
        <f>VLOOKUP(H868,'ECI - Input Price'!$G$17:$H$37,2,FALSE)</f>
        <v>121.2</v>
      </c>
      <c r="DO868" s="177">
        <f t="shared" ref="DO868" si="2581">LN(DN868/DN867)</f>
        <v>2.0632179200028689E-2</v>
      </c>
      <c r="DP868" s="183">
        <f>HLOOKUP(H868,'GDP-PI'!$8:$9,2,FALSE)</f>
        <v>103.64700000000001</v>
      </c>
      <c r="DQ868" s="177">
        <f t="shared" ref="DQ868" si="2582">LN(DP868/DP867)</f>
        <v>1.8246051898256087E-2</v>
      </c>
    </row>
    <row r="869" spans="1:121" s="167" customFormat="1" ht="21" x14ac:dyDescent="0.35">
      <c r="A869" s="167" t="s">
        <v>88</v>
      </c>
      <c r="B869" s="168" t="s">
        <v>89</v>
      </c>
      <c r="C869" s="168">
        <v>4057135</v>
      </c>
      <c r="D869" s="168" t="s">
        <v>144</v>
      </c>
      <c r="E869" s="168"/>
      <c r="F869" s="168"/>
      <c r="G869" s="168" t="s">
        <v>21</v>
      </c>
      <c r="H869" s="169">
        <v>2015</v>
      </c>
      <c r="I869" s="170"/>
      <c r="J869" s="166">
        <f>IFERROR(INDEX('Labor Expenditures'!$F$7:$X$91,MATCH($C869,'Labor Expenditures'!$D$7:$D$91,0),MATCH($G869,'Labor Expenditures'!$F$5:$X$5,0)),"NA")</f>
        <v>133235.14975086332</v>
      </c>
      <c r="K869" s="166">
        <f t="shared" si="2543"/>
        <v>1076.6476747544511</v>
      </c>
      <c r="L869" s="172">
        <f t="shared" si="2550"/>
        <v>-0.20962314879673527</v>
      </c>
      <c r="M869" s="172">
        <f t="shared" si="2554"/>
        <v>-9.1720653278936914E-3</v>
      </c>
      <c r="N869" s="196"/>
      <c r="O869" s="172"/>
      <c r="P869" s="166">
        <f>IFERROR(INDEX('Non-Labor Expenditures'!$F$7:$AB$91,MATCH($C869,'Non-Labor Expenditures'!$D$7:$D$91,0),MATCH($G869,'Non-Labor Expenditures'!$F$5:$AB$5,0)),"NA")</f>
        <v>192949.3817326139</v>
      </c>
      <c r="Q869" s="166">
        <f t="shared" si="2544"/>
        <v>1843.9528448533902</v>
      </c>
      <c r="R869" s="172">
        <f t="shared" si="2555"/>
        <v>-0.19832725716859298</v>
      </c>
      <c r="S869" s="172">
        <f t="shared" si="2560"/>
        <v>-8.6778133497851448E-3</v>
      </c>
      <c r="T869" s="172"/>
      <c r="U869" s="172"/>
      <c r="V869" s="166">
        <f t="shared" si="2525"/>
        <v>176767.97936965828</v>
      </c>
      <c r="W869" s="170"/>
      <c r="X869" s="174">
        <v>8466.6769713326721</v>
      </c>
      <c r="Y869" s="175">
        <v>5.3704076274588383E-2</v>
      </c>
      <c r="Z869" s="175">
        <f t="shared" si="2561"/>
        <v>2.3498229980427705E-3</v>
      </c>
      <c r="AA869" s="175"/>
      <c r="AB869" s="175"/>
      <c r="AC869" s="170">
        <f t="shared" si="2462"/>
        <v>502952.51085313549</v>
      </c>
      <c r="AD869" s="175">
        <f t="shared" si="2556"/>
        <v>-0.11904248557961293</v>
      </c>
      <c r="AE869" s="170"/>
      <c r="AF869" s="170"/>
      <c r="AG869" s="121">
        <f t="shared" si="2557"/>
        <v>602.38955749906336</v>
      </c>
      <c r="AH869" s="119">
        <f>+AZ869/$BB$53</f>
        <v>2.260397083808563E-2</v>
      </c>
      <c r="AI869" s="119"/>
      <c r="AJ869" s="176">
        <f t="shared" si="2562"/>
        <v>13.616395990876136</v>
      </c>
      <c r="AK869" s="176">
        <f t="shared" si="2563"/>
        <v>0</v>
      </c>
      <c r="AL869" s="120">
        <f t="shared" si="2545"/>
        <v>0.26490602368176386</v>
      </c>
      <c r="AM869" s="120">
        <f t="shared" si="2546"/>
        <v>0.38363339991149986</v>
      </c>
      <c r="AN869" s="120">
        <f t="shared" si="2547"/>
        <v>0.35146057640673628</v>
      </c>
      <c r="AO869" s="120">
        <f t="shared" si="2551"/>
        <v>-0.11875334867065115</v>
      </c>
      <c r="AP869" s="173">
        <f t="shared" si="2567"/>
        <v>116.75970383392321</v>
      </c>
      <c r="AQ869" s="175">
        <f t="shared" si="2568"/>
        <v>-0.1187533486706511</v>
      </c>
      <c r="AR869" s="177">
        <f>+AC869/$AE$53</f>
        <v>4.3755021239507967E-2</v>
      </c>
      <c r="AS869" s="177">
        <f t="shared" si="2564"/>
        <v>-5.1960552933470339E-3</v>
      </c>
      <c r="AT869" s="177"/>
      <c r="AU869" s="177"/>
      <c r="AV869" s="177"/>
      <c r="AW869" s="190"/>
      <c r="AX869" s="120"/>
      <c r="AY869" s="120"/>
      <c r="AZ869" s="118">
        <f>IFERROR(INDEX('Total Customers'!$F$7:$AB$91,MATCH($C869,'Total Customers'!$D$7:$D$91,0),MATCH($G869,'Total Customers'!$F$5:$AB$5,0)),"NA")</f>
        <v>834929</v>
      </c>
      <c r="BA869" s="119">
        <f t="shared" si="2526"/>
        <v>4.6338673960689665E-3</v>
      </c>
      <c r="BB869" s="119"/>
      <c r="BC869" s="121"/>
      <c r="BD869" s="119"/>
      <c r="BE869" s="119"/>
      <c r="BF869" s="119"/>
      <c r="BG869" s="173"/>
      <c r="BH869" s="173"/>
      <c r="BI869" s="173"/>
      <c r="BJ869" s="173"/>
      <c r="BK869" s="173"/>
      <c r="BL869" s="173"/>
      <c r="BM869" s="173"/>
      <c r="BN869" s="173"/>
      <c r="BO869" s="173"/>
      <c r="BP869" s="173"/>
      <c r="BQ869" s="118"/>
      <c r="BR869" s="118"/>
      <c r="BS869" s="118">
        <f>INDEX('Dist. Plant Gas Additions'!$F$7:$AE$91,MATCH($C869,'Dist. Plant Gas Additions'!$D$7:$D$91,0),MATCH(Calculation!$G869,'Dist. Plant Gas Additions'!$F$5:$AE$5,0))</f>
        <v>332216</v>
      </c>
      <c r="BT869" s="118">
        <f>INDEX('Gen. Plant Additions'!$F$7:$AE$91,MATCH($C869,'Gen. Plant Additions'!$D$7:$D$91,0),MATCH(Calculation!$G869,'Gen. Plant Additions'!$F$5:$AE$5,0))</f>
        <v>10803</v>
      </c>
      <c r="BU869" s="118"/>
      <c r="BV869" s="118"/>
      <c r="BW869" s="118">
        <f>INDEX('Dist Plant Depreciation'!$E$7:$AD$94,MATCH($C869,'Dist Plant Depreciation'!$D$7:$D$94,0),MATCH(Calculation!$G869,'Dist Plant Depreciation'!$E$5:$AD$5,0))</f>
        <v>908933</v>
      </c>
      <c r="BX869" s="118">
        <f>INDEX('Gen. Plant Depreciation'!$E$7:$AD$94,MATCH($C869,'Gen. Plant Depreciation'!$D$7:$D$94,0),MATCH(Calculation!$G869,'Gen. Plant Depreciation'!$E$5:$AD$5,0))</f>
        <v>44479</v>
      </c>
      <c r="BY869" s="118"/>
      <c r="BZ869" s="118"/>
      <c r="CA869" s="118"/>
      <c r="CB869" s="118"/>
      <c r="CC869" s="118"/>
      <c r="CD869" s="183"/>
      <c r="CE869" s="118">
        <f>INDEX('Gross Dx Plant'!$E$7:$AD$91,MATCH($C869,'Gross Dx Plant'!$D$7:$D$91,0),MATCH(Calculation!$G869,'Gross Dx Plant'!$E$5:$AD$5,0))</f>
        <v>3325097</v>
      </c>
      <c r="CF869" s="118">
        <f>INDEX('Gross Gen Plant'!$E$7:$AD$91,MATCH($C869,'Gross Gen Plant'!$D$7:$D$91,0),MATCH(Calculation!$G869,'Gross Gen Plant'!$E$5:$AD$5,0))</f>
        <v>95283</v>
      </c>
      <c r="CG869" s="118">
        <f t="shared" si="2468"/>
        <v>2466968</v>
      </c>
      <c r="CH869" s="118"/>
      <c r="CI869" s="121">
        <v>2015</v>
      </c>
      <c r="CJ869" s="118"/>
      <c r="CK869" s="118"/>
      <c r="CL869" s="118"/>
      <c r="CM869" s="183"/>
      <c r="CN869" s="118">
        <f t="shared" si="2527"/>
        <v>343019</v>
      </c>
      <c r="CO869" s="118">
        <f t="shared" si="2528"/>
        <v>507.71398842097403</v>
      </c>
      <c r="CP869" s="186">
        <v>0.88888888888888884</v>
      </c>
      <c r="CQ869" s="118">
        <f>+CQ852*CP869+CO853*CP868+CO854*CP867+CO855*CP866+CO856*CP865+CO857*CP864+CO858*CP863+CO859*CP862+CO860*CP861+CO861*CP860+CO862*CP859+CO863*CP858+CO864*CP857+CO865*CP856+CO866*CP855+CO867*CP854+CO868*CP853+CO869</f>
        <v>8466.6769713326721</v>
      </c>
      <c r="CR869" s="119">
        <f t="shared" si="2529"/>
        <v>5.3704076274588383E-2</v>
      </c>
      <c r="CS869" s="119"/>
      <c r="CT869" s="177">
        <f t="shared" si="2530"/>
        <v>8.1023112202968529E-3</v>
      </c>
      <c r="CU869" s="177">
        <f t="shared" si="2538"/>
        <v>7.9179000967205052E-3</v>
      </c>
      <c r="CV869" s="119">
        <f>VLOOKUP($H869,RoR!$E:$F,2,FALSE)</f>
        <v>3.8866666666666674E-2</v>
      </c>
      <c r="CW869" s="177">
        <v>9.5709475431029478E-3</v>
      </c>
      <c r="CX869" s="177">
        <f t="shared" si="2536"/>
        <v>2.9295719123563727E-2</v>
      </c>
      <c r="CY869" s="177">
        <f t="shared" si="2539"/>
        <v>2.298404151181312E-2</v>
      </c>
      <c r="CZ869" s="177">
        <f t="shared" si="2540"/>
        <v>3.5270373279175926E-3</v>
      </c>
      <c r="DA869" s="187">
        <f t="shared" si="2531"/>
        <v>0.84949374999999994</v>
      </c>
      <c r="DB869" s="188">
        <f t="shared" si="2532"/>
        <v>1.3194352816994324</v>
      </c>
      <c r="DC869" s="188">
        <f t="shared" si="2533"/>
        <v>0.33177530017152673</v>
      </c>
      <c r="DD869" s="188">
        <f t="shared" si="2534"/>
        <v>0.78242572977668579</v>
      </c>
      <c r="DE869" s="188">
        <f t="shared" si="2535"/>
        <v>0.34251158643433932</v>
      </c>
      <c r="DF869" s="189">
        <f>INDEX('State Tax Lookup'!$D$7:$Z$91,MATCH(Calculation!$C869,'State Tax Lookup'!$B$7:$B$91,0),MATCH($H869,'State Tax Lookup'!$D$6:$Z$6,0))</f>
        <v>0.40134999999999998</v>
      </c>
      <c r="DG869" s="189">
        <v>0.375</v>
      </c>
      <c r="DH869" s="190">
        <f t="shared" si="2537"/>
        <v>22.029974327494315</v>
      </c>
      <c r="DI869" s="190">
        <v>21.701558605280844</v>
      </c>
      <c r="DJ869" s="177"/>
      <c r="DK869" s="189">
        <f>VLOOKUP($H869,RoR!$E:$F,2,FALSE)</f>
        <v>3.8866666666666674E-2</v>
      </c>
      <c r="DL869" s="191">
        <f>HLOOKUP($H869,'GDP-PI'!$D$8:$CQ$11,3,FALSE)</f>
        <v>9.5709475431029478E-3</v>
      </c>
      <c r="DM869" s="189">
        <f>VLOOKUP(H869,'HW Dx Data'!$E:$F,2,FALSE)</f>
        <v>675.61463308665782</v>
      </c>
      <c r="DN869" s="183">
        <f>VLOOKUP(H869,'ECI - Input Price'!$G$17:$H$37,2,FALSE)</f>
        <v>123.75</v>
      </c>
      <c r="DO869" s="177">
        <f t="shared" ref="DO869" si="2583">LN(DN869/DN868)</f>
        <v>2.0821327813585516E-2</v>
      </c>
      <c r="DP869" s="183">
        <f>HLOOKUP(H869,'GDP-PI'!$8:$9,2,FALSE)</f>
        <v>104.639</v>
      </c>
      <c r="DQ869" s="177">
        <f t="shared" ref="DQ869" si="2584">LN(DP869/DP868)</f>
        <v>9.5254361854427965E-3</v>
      </c>
    </row>
    <row r="870" spans="1:121" s="167" customFormat="1" ht="21" x14ac:dyDescent="0.35">
      <c r="A870" s="167" t="s">
        <v>88</v>
      </c>
      <c r="B870" s="168" t="s">
        <v>89</v>
      </c>
      <c r="C870" s="168">
        <v>4057135</v>
      </c>
      <c r="D870" s="168" t="s">
        <v>144</v>
      </c>
      <c r="E870" s="168"/>
      <c r="F870" s="168"/>
      <c r="G870" s="168" t="s">
        <v>22</v>
      </c>
      <c r="H870" s="169">
        <v>2016</v>
      </c>
      <c r="I870" s="170"/>
      <c r="J870" s="166">
        <f>IFERROR(INDEX('Labor Expenditures'!$F$7:$X$91,MATCH($C870,'Labor Expenditures'!$D$7:$D$91,0),MATCH($G870,'Labor Expenditures'!$F$5:$X$5,0)),"NA")</f>
        <v>153902.12940365064</v>
      </c>
      <c r="K870" s="166">
        <f t="shared" si="2543"/>
        <v>1217.5801376871095</v>
      </c>
      <c r="L870" s="172">
        <f t="shared" si="2550"/>
        <v>0.12301318645345934</v>
      </c>
      <c r="M870" s="172">
        <f t="shared" si="2554"/>
        <v>5.79758544173818E-3</v>
      </c>
      <c r="N870" s="196"/>
      <c r="O870" s="172"/>
      <c r="P870" s="166">
        <f>IFERROR(INDEX('Non-Labor Expenditures'!$F$7:$AB$91,MATCH($C870,'Non-Labor Expenditures'!$D$7:$D$91,0),MATCH($G870,'Non-Labor Expenditures'!$F$5:$AB$5,0)),"NA")</f>
        <v>222879.02832919447</v>
      </c>
      <c r="Q870" s="166">
        <f t="shared" si="2544"/>
        <v>2107.8821624536058</v>
      </c>
      <c r="R870" s="172">
        <f t="shared" si="2555"/>
        <v>0.1337721763502121</v>
      </c>
      <c r="S870" s="172">
        <f t="shared" si="2560"/>
        <v>6.3046543584255902E-3</v>
      </c>
      <c r="T870" s="172"/>
      <c r="U870" s="172"/>
      <c r="V870" s="166">
        <f t="shared" si="2525"/>
        <v>183963.69026886029</v>
      </c>
      <c r="W870" s="170"/>
      <c r="X870" s="174">
        <v>8751.8557468740819</v>
      </c>
      <c r="Y870" s="175">
        <v>3.3127660797464369E-2</v>
      </c>
      <c r="Z870" s="175">
        <f t="shared" si="2561"/>
        <v>1.5612996418955783E-3</v>
      </c>
      <c r="AA870" s="175"/>
      <c r="AB870" s="175"/>
      <c r="AC870" s="170">
        <f t="shared" si="2462"/>
        <v>560744.84800170537</v>
      </c>
      <c r="AD870" s="175">
        <f t="shared" si="2556"/>
        <v>0.10877023184623026</v>
      </c>
      <c r="AE870" s="170"/>
      <c r="AF870" s="170"/>
      <c r="AG870" s="121">
        <f t="shared" si="2557"/>
        <v>663.16309290720051</v>
      </c>
      <c r="AH870" s="119">
        <f>+AZ870/$BB$54</f>
        <v>2.2694020038607626E-2</v>
      </c>
      <c r="AI870" s="119"/>
      <c r="AJ870" s="176">
        <f t="shared" si="2562"/>
        <v>15.049836519301019</v>
      </c>
      <c r="AK870" s="176">
        <f t="shared" si="2563"/>
        <v>0</v>
      </c>
      <c r="AL870" s="120">
        <f t="shared" si="2545"/>
        <v>0.27446017551851426</v>
      </c>
      <c r="AM870" s="120">
        <f t="shared" si="2546"/>
        <v>0.39746959624052869</v>
      </c>
      <c r="AN870" s="120">
        <f t="shared" si="2547"/>
        <v>0.32807022824095711</v>
      </c>
      <c r="AO870" s="120">
        <f t="shared" si="2551"/>
        <v>9.6675134287821277E-2</v>
      </c>
      <c r="AP870" s="173">
        <f t="shared" si="2567"/>
        <v>128.61110276543423</v>
      </c>
      <c r="AQ870" s="175">
        <f t="shared" si="2568"/>
        <v>9.6675134287821193E-2</v>
      </c>
      <c r="AR870" s="177">
        <f>+AC870/$AE$54</f>
        <v>4.7129788349411075E-2</v>
      </c>
      <c r="AS870" s="177">
        <f t="shared" si="2564"/>
        <v>4.5562786176359064E-3</v>
      </c>
      <c r="AT870" s="177"/>
      <c r="AU870" s="177"/>
      <c r="AV870" s="177"/>
      <c r="AW870" s="190"/>
      <c r="AX870" s="120"/>
      <c r="AY870" s="120"/>
      <c r="AZ870" s="118">
        <f>IFERROR(INDEX('Total Customers'!$F$7:$AB$91,MATCH($C870,'Total Customers'!$D$7:$D$91,0),MATCH($G870,'Total Customers'!$F$5:$AB$5,0)),"NA")</f>
        <v>845561</v>
      </c>
      <c r="BA870" s="119">
        <f t="shared" si="2526"/>
        <v>1.2653621099486373E-2</v>
      </c>
      <c r="BB870" s="119"/>
      <c r="BC870" s="121"/>
      <c r="BD870" s="119"/>
      <c r="BE870" s="119"/>
      <c r="BF870" s="119"/>
      <c r="BG870" s="173"/>
      <c r="BH870" s="173"/>
      <c r="BI870" s="173"/>
      <c r="BJ870" s="173"/>
      <c r="BK870" s="173"/>
      <c r="BL870" s="173"/>
      <c r="BM870" s="173"/>
      <c r="BN870" s="173"/>
      <c r="BO870" s="173"/>
      <c r="BP870" s="173"/>
      <c r="BQ870" s="118"/>
      <c r="BR870" s="118"/>
      <c r="BS870" s="118">
        <f>INDEX('Dist. Plant Gas Additions'!$F$7:$AE$91,MATCH($C870,'Dist. Plant Gas Additions'!$D$7:$D$91,0),MATCH(Calculation!$G870,'Dist. Plant Gas Additions'!$F$5:$AE$5,0))</f>
        <v>229083</v>
      </c>
      <c r="BT870" s="118">
        <f>INDEX('Gen. Plant Additions'!$F$7:$AE$91,MATCH($C870,'Gen. Plant Additions'!$D$7:$D$91,0),MATCH(Calculation!$G870,'Gen. Plant Additions'!$F$5:$AE$5,0))</f>
        <v>9407</v>
      </c>
      <c r="BU870" s="118"/>
      <c r="BV870" s="118"/>
      <c r="BW870" s="118">
        <f>INDEX('Dist Plant Depreciation'!$E$7:$AD$94,MATCH($C870,'Dist Plant Depreciation'!$D$7:$D$94,0),MATCH(Calculation!$G870,'Dist Plant Depreciation'!$E$5:$AD$5,0))</f>
        <v>954359</v>
      </c>
      <c r="BX870" s="118">
        <f>INDEX('Gen. Plant Depreciation'!$E$7:$AD$94,MATCH($C870,'Gen. Plant Depreciation'!$D$7:$D$94,0),MATCH(Calculation!$G870,'Gen. Plant Depreciation'!$E$5:$AD$5,0))</f>
        <v>41884</v>
      </c>
      <c r="BY870" s="118"/>
      <c r="BZ870" s="118"/>
      <c r="CA870" s="118"/>
      <c r="CB870" s="118"/>
      <c r="CC870" s="118"/>
      <c r="CD870" s="183"/>
      <c r="CE870" s="118">
        <f>INDEX('Gross Dx Plant'!$E$7:$AD$91,MATCH($C870,'Gross Dx Plant'!$D$7:$D$91,0),MATCH(Calculation!$G870,'Gross Dx Plant'!$E$5:$AD$5,0))</f>
        <v>3508438</v>
      </c>
      <c r="CF870" s="118">
        <f>INDEX('Gross Gen Plant'!$E$7:$AD$91,MATCH($C870,'Gross Gen Plant'!$D$7:$D$91,0),MATCH(Calculation!$G870,'Gross Gen Plant'!$E$5:$AD$5,0))</f>
        <v>94039</v>
      </c>
      <c r="CG870" s="118">
        <f t="shared" si="2468"/>
        <v>2606234</v>
      </c>
      <c r="CH870" s="118"/>
      <c r="CI870" s="121">
        <v>2016</v>
      </c>
      <c r="CJ870" s="118"/>
      <c r="CK870" s="118"/>
      <c r="CL870" s="118"/>
      <c r="CM870" s="183"/>
      <c r="CN870" s="118">
        <f t="shared" si="2527"/>
        <v>238490</v>
      </c>
      <c r="CO870" s="118">
        <f t="shared" si="2528"/>
        <v>355.18315438042856</v>
      </c>
      <c r="CP870" s="186">
        <v>0.88</v>
      </c>
      <c r="CQ870" s="118">
        <f>+CQ852*CP870+CO853*CP869+CO854*CP868+CO855*CP867+CO856*CP866+CO857*CP865+CO858*CP864+CO859*CP863+CO860*CP862+CO861*CP861+CO862*CP860+CO863*CP859+CO864*CP858+CO865*CP857+CO866*CP856+CO867*CP855+CO868*CP854+CO869*CP853+CO870</f>
        <v>8751.8557468740819</v>
      </c>
      <c r="CR870" s="119">
        <f t="shared" si="2529"/>
        <v>3.3127660797464369E-2</v>
      </c>
      <c r="CS870" s="119"/>
      <c r="CT870" s="177">
        <f t="shared" si="2530"/>
        <v>8.2682236580002601E-3</v>
      </c>
      <c r="CU870" s="177">
        <f t="shared" si="2538"/>
        <v>8.0913741141603757E-3</v>
      </c>
      <c r="CV870" s="119">
        <f>VLOOKUP($H870,RoR!$E:$F,2,FALSE)</f>
        <v>3.6658333333333334E-2</v>
      </c>
      <c r="CW870" s="177">
        <v>1.0483662879041455E-2</v>
      </c>
      <c r="CX870" s="177">
        <f t="shared" si="2536"/>
        <v>2.6174670454291879E-2</v>
      </c>
      <c r="CY870" s="177">
        <f t="shared" si="2539"/>
        <v>2.2810567494373248E-2</v>
      </c>
      <c r="CZ870" s="177">
        <f t="shared" si="2540"/>
        <v>4.301363574220729E-3</v>
      </c>
      <c r="DA870" s="187">
        <f t="shared" si="2531"/>
        <v>0.84949374999999994</v>
      </c>
      <c r="DB870" s="188">
        <f t="shared" si="2532"/>
        <v>1.3989193348138562</v>
      </c>
      <c r="DC870" s="188">
        <f t="shared" si="2533"/>
        <v>0.29302682427824522</v>
      </c>
      <c r="DD870" s="188">
        <f t="shared" si="2534"/>
        <v>0.76309497491941802</v>
      </c>
      <c r="DE870" s="188">
        <f t="shared" si="2535"/>
        <v>0.31280857135128509</v>
      </c>
      <c r="DF870" s="189">
        <f>INDEX('State Tax Lookup'!$D$7:$Z$91,MATCH(Calculation!$C870,'State Tax Lookup'!$B$7:$B$91,0),MATCH($H870,'State Tax Lookup'!$D$6:$Z$6,0))</f>
        <v>0.40134999999999998</v>
      </c>
      <c r="DG870" s="189">
        <v>0.375</v>
      </c>
      <c r="DH870" s="190">
        <f t="shared" si="2537"/>
        <v>21.727968468827036</v>
      </c>
      <c r="DI870" s="190">
        <v>21.384141394708397</v>
      </c>
      <c r="DJ870" s="177"/>
      <c r="DK870" s="189">
        <f>VLOOKUP($H870,RoR!$E:$F,2,FALSE)</f>
        <v>3.6658333333333334E-2</v>
      </c>
      <c r="DL870" s="191">
        <f>HLOOKUP($H870,'GDP-PI'!$D$8:$CQ$11,3,FALSE)</f>
        <v>1.0483662879041455E-2</v>
      </c>
      <c r="DM870" s="189">
        <f>VLOOKUP(H870,'HW Dx Data'!$E:$F,2,FALSE)</f>
        <v>671.45639385971219</v>
      </c>
      <c r="DN870" s="183">
        <f>VLOOKUP(H870,'ECI - Input Price'!$G$17:$H$37,2,FALSE)</f>
        <v>126.4</v>
      </c>
      <c r="DO870" s="177">
        <f t="shared" ref="DO870" si="2585">LN(DN870/DN869)</f>
        <v>2.11880802639575E-2</v>
      </c>
      <c r="DP870" s="183">
        <f>HLOOKUP(H870,'GDP-PI'!$8:$9,2,FALSE)</f>
        <v>105.736</v>
      </c>
      <c r="DQ870" s="177">
        <f t="shared" ref="DQ870" si="2586">LN(DP870/DP869)</f>
        <v>1.0429090367205095E-2</v>
      </c>
    </row>
    <row r="871" spans="1:121" s="167" customFormat="1" ht="21" x14ac:dyDescent="0.35">
      <c r="A871" s="167" t="s">
        <v>88</v>
      </c>
      <c r="B871" s="168" t="s">
        <v>89</v>
      </c>
      <c r="C871" s="168">
        <v>4057135</v>
      </c>
      <c r="D871" s="168" t="s">
        <v>144</v>
      </c>
      <c r="E871" s="168"/>
      <c r="F871" s="168"/>
      <c r="G871" s="168" t="s">
        <v>23</v>
      </c>
      <c r="H871" s="169">
        <v>2017</v>
      </c>
      <c r="I871" s="170"/>
      <c r="J871" s="166">
        <f>IFERROR(INDEX('Labor Expenditures'!$F$7:$X$91,MATCH($C871,'Labor Expenditures'!$D$7:$D$91,0),MATCH($G871,'Labor Expenditures'!$F$5:$X$5,0)),"NA")</f>
        <v>124827.45666933454</v>
      </c>
      <c r="K871" s="166">
        <f t="shared" si="2543"/>
        <v>963.9185843191857</v>
      </c>
      <c r="L871" s="172">
        <f t="shared" si="2550"/>
        <v>-0.23361383935602542</v>
      </c>
      <c r="M871" s="172">
        <f t="shared" si="2554"/>
        <v>-9.4175247614675991E-3</v>
      </c>
      <c r="N871" s="196"/>
      <c r="O871" s="172"/>
      <c r="P871" s="166">
        <f>IFERROR(INDEX('Non-Labor Expenditures'!$F$7:$AB$91,MATCH($C871,'Non-Labor Expenditures'!$D$7:$D$91,0),MATCH($G871,'Non-Labor Expenditures'!$F$5:$AB$5,0)),"NA")</f>
        <v>180773.47181010456</v>
      </c>
      <c r="Q871" s="166">
        <f t="shared" si="2544"/>
        <v>1677.6964650917814</v>
      </c>
      <c r="R871" s="172">
        <f t="shared" si="2555"/>
        <v>-0.22826202815693541</v>
      </c>
      <c r="S871" s="172">
        <f t="shared" si="2560"/>
        <v>-9.2017806316460806E-3</v>
      </c>
      <c r="T871" s="172"/>
      <c r="U871" s="172"/>
      <c r="V871" s="166">
        <f t="shared" si="2525"/>
        <v>171994.55477202707</v>
      </c>
      <c r="W871" s="170"/>
      <c r="X871" s="174">
        <v>9184.8972154691073</v>
      </c>
      <c r="Y871" s="175">
        <v>4.8294764887872529E-2</v>
      </c>
      <c r="Z871" s="175">
        <f t="shared" si="2561"/>
        <v>1.9468758590438569E-3</v>
      </c>
      <c r="AA871" s="175"/>
      <c r="AB871" s="175"/>
      <c r="AC871" s="170">
        <f t="shared" si="2462"/>
        <v>477595.48325146618</v>
      </c>
      <c r="AD871" s="175">
        <f t="shared" si="2556"/>
        <v>-0.16050188081109973</v>
      </c>
      <c r="AE871" s="170"/>
      <c r="AF871" s="170"/>
      <c r="AG871" s="121">
        <f t="shared" si="2557"/>
        <v>564.09359512846493</v>
      </c>
      <c r="AH871" s="119">
        <f>+AZ871/$BB$55</f>
        <v>2.2552788878932528E-2</v>
      </c>
      <c r="AI871" s="119"/>
      <c r="AJ871" s="176">
        <f t="shared" si="2562"/>
        <v>12.721883758890312</v>
      </c>
      <c r="AK871" s="176">
        <f t="shared" si="2563"/>
        <v>0</v>
      </c>
      <c r="AL871" s="120">
        <f t="shared" si="2545"/>
        <v>0.26136649329158274</v>
      </c>
      <c r="AM871" s="120">
        <f t="shared" si="2546"/>
        <v>0.37850749881343143</v>
      </c>
      <c r="AN871" s="120">
        <f t="shared" si="2547"/>
        <v>0.36012600789498578</v>
      </c>
      <c r="AO871" s="120">
        <f t="shared" si="2551"/>
        <v>-0.13453317771475801</v>
      </c>
      <c r="AP871" s="173">
        <f t="shared" si="2567"/>
        <v>112.42203576978415</v>
      </c>
      <c r="AQ871" s="175">
        <f t="shared" si="2568"/>
        <v>-0.13453317771475798</v>
      </c>
      <c r="AR871" s="177">
        <f>+AC871/$AE$55</f>
        <v>4.0312358152358327E-2</v>
      </c>
      <c r="AS871" s="177">
        <f t="shared" si="2564"/>
        <v>-5.4233496434121951E-3</v>
      </c>
      <c r="AT871" s="177"/>
      <c r="AU871" s="177"/>
      <c r="AV871" s="177"/>
      <c r="AW871" s="190"/>
      <c r="AX871" s="120"/>
      <c r="AY871" s="120"/>
      <c r="AZ871" s="118">
        <f>IFERROR(INDEX('Total Customers'!$F$7:$AB$91,MATCH($C871,'Total Customers'!$D$7:$D$91,0),MATCH($G871,'Total Customers'!$F$5:$AB$5,0)),"NA")</f>
        <v>846660</v>
      </c>
      <c r="BA871" s="119">
        <f t="shared" si="2526"/>
        <v>1.2988849027525395E-3</v>
      </c>
      <c r="BB871" s="119"/>
      <c r="BC871" s="121"/>
      <c r="BD871" s="119"/>
      <c r="BE871" s="119"/>
      <c r="BF871" s="119"/>
      <c r="BG871" s="173"/>
      <c r="BH871" s="173"/>
      <c r="BI871" s="173"/>
      <c r="BJ871" s="173"/>
      <c r="BK871" s="173"/>
      <c r="BL871" s="173"/>
      <c r="BM871" s="173"/>
      <c r="BN871" s="173"/>
      <c r="BO871" s="173"/>
      <c r="BP871" s="173"/>
      <c r="BQ871" s="118"/>
      <c r="BR871" s="118"/>
      <c r="BS871" s="118">
        <f>INDEX('Dist. Plant Gas Additions'!$F$7:$AE$91,MATCH($C871,'Dist. Plant Gas Additions'!$D$7:$D$91,0),MATCH(Calculation!$G871,'Dist. Plant Gas Additions'!$F$5:$AE$5,0))</f>
        <v>355876</v>
      </c>
      <c r="BT871" s="118">
        <f>INDEX('Gen. Plant Additions'!$F$7:$AE$91,MATCH($C871,'Gen. Plant Additions'!$D$7:$D$91,0),MATCH(Calculation!$G871,'Gen. Plant Additions'!$F$5:$AE$5,0))</f>
        <v>5681</v>
      </c>
      <c r="BU871" s="118"/>
      <c r="BV871" s="118"/>
      <c r="BW871" s="118">
        <f>INDEX('Dist Plant Depreciation'!$E$7:$AD$94,MATCH($C871,'Dist Plant Depreciation'!$D$7:$D$94,0),MATCH(Calculation!$G871,'Dist Plant Depreciation'!$E$5:$AD$5,0))</f>
        <v>1015905</v>
      </c>
      <c r="BX871" s="118">
        <f>INDEX('Gen. Plant Depreciation'!$E$7:$AD$94,MATCH($C871,'Gen. Plant Depreciation'!$D$7:$D$94,0),MATCH(Calculation!$G871,'Gen. Plant Depreciation'!$E$5:$AD$5,0))</f>
        <v>44651</v>
      </c>
      <c r="BY871" s="118"/>
      <c r="BZ871" s="118"/>
      <c r="CA871" s="118"/>
      <c r="CB871" s="118"/>
      <c r="CC871" s="118"/>
      <c r="CD871" s="183"/>
      <c r="CE871" s="118">
        <f>INDEX('Gross Dx Plant'!$E$7:$AD$91,MATCH($C871,'Gross Dx Plant'!$D$7:$D$91,0),MATCH(Calculation!$G871,'Gross Dx Plant'!$E$5:$AD$5,0))</f>
        <v>3826155</v>
      </c>
      <c r="CF871" s="118">
        <f>INDEX('Gross Gen Plant'!$E$7:$AD$91,MATCH($C871,'Gross Gen Plant'!$D$7:$D$91,0),MATCH(Calculation!$G871,'Gross Gen Plant'!$E$5:$AD$5,0))</f>
        <v>96354</v>
      </c>
      <c r="CG871" s="118">
        <f t="shared" si="2468"/>
        <v>2861953</v>
      </c>
      <c r="CH871" s="118"/>
      <c r="CI871" s="121">
        <v>2017</v>
      </c>
      <c r="CJ871" s="118"/>
      <c r="CK871" s="118"/>
      <c r="CL871" s="118"/>
      <c r="CM871" s="183"/>
      <c r="CN871" s="118">
        <f t="shared" si="2527"/>
        <v>361557</v>
      </c>
      <c r="CO871" s="118">
        <f t="shared" si="2528"/>
        <v>507.49928943205333</v>
      </c>
      <c r="CP871" s="186">
        <v>0.87074829931972786</v>
      </c>
      <c r="CQ871" s="118">
        <f>+CQ852*CP871+CO853*CP870+CO854*CP869+CO855*CP868+CO856*CP867+CO857*CP866+CO858*CP865+CO859*CP864+CO860*CP863+CO861*CP862+CO862*CP861+CO863*CP860+CO864*CP859+CO865*CP858+CO866*CP857+CO867*CP856+CO868*CP855+CO869*CP854+CO870*CP853+CO871</f>
        <v>9184.8972154691073</v>
      </c>
      <c r="CR871" s="119">
        <f t="shared" si="2529"/>
        <v>4.8294764887872529E-2</v>
      </c>
      <c r="CS871" s="119"/>
      <c r="CT871" s="177">
        <f t="shared" si="2530"/>
        <v>8.5076608882204384E-3</v>
      </c>
      <c r="CU871" s="177">
        <f t="shared" si="2538"/>
        <v>8.2927319221725165E-3</v>
      </c>
      <c r="CV871" s="119">
        <f>VLOOKUP($H871,RoR!$E:$F,2,FALSE)</f>
        <v>3.7433333333333339E-2</v>
      </c>
      <c r="CW871" s="177">
        <v>1.9056896421275615E-2</v>
      </c>
      <c r="CX871" s="177">
        <f t="shared" si="2536"/>
        <v>1.8376436912057724E-2</v>
      </c>
      <c r="CY871" s="177">
        <f t="shared" si="2539"/>
        <v>2.2609209686361108E-2</v>
      </c>
      <c r="CZ871" s="177">
        <f t="shared" si="2540"/>
        <v>1.3976271617800498E-2</v>
      </c>
      <c r="DA871" s="187">
        <f t="shared" si="2531"/>
        <v>0.90199375000000004</v>
      </c>
      <c r="DB871" s="188">
        <f t="shared" si="2532"/>
        <v>1.3699568463593395</v>
      </c>
      <c r="DC871" s="188">
        <f t="shared" si="2533"/>
        <v>0.30714603739982199</v>
      </c>
      <c r="DD871" s="188">
        <f t="shared" si="2534"/>
        <v>0.77007188472689425</v>
      </c>
      <c r="DE871" s="188">
        <f t="shared" si="2535"/>
        <v>0.32402839633793828</v>
      </c>
      <c r="DF871" s="189">
        <f>INDEX('State Tax Lookup'!$D$7:$Z$91,MATCH(Calculation!$C871,'State Tax Lookup'!$B$7:$B$91,0),MATCH($H871,'State Tax Lookup'!$D$6:$Z$6,0))</f>
        <v>0.26134999999999997</v>
      </c>
      <c r="DG871" s="189">
        <v>0.375</v>
      </c>
      <c r="DH871" s="190">
        <f t="shared" si="2537"/>
        <v>19.652352569163256</v>
      </c>
      <c r="DI871" s="190">
        <v>19.342133968778619</v>
      </c>
      <c r="DJ871" s="177"/>
      <c r="DK871" s="189">
        <f>VLOOKUP($H871,RoR!$E:$F,2,FALSE)</f>
        <v>3.7433333333333339E-2</v>
      </c>
      <c r="DL871" s="191">
        <f>HLOOKUP($H871,'GDP-PI'!$D$8:$CQ$11,3,FALSE)</f>
        <v>1.9056896421275615E-2</v>
      </c>
      <c r="DM871" s="189">
        <f>VLOOKUP(H871,'HW Dx Data'!$E:$F,2,FALSE)</f>
        <v>712.42858370229726</v>
      </c>
      <c r="DN871" s="183">
        <f>VLOOKUP(H871,'ECI - Input Price'!$G$17:$H$37,2,FALSE)</f>
        <v>129.5</v>
      </c>
      <c r="DO871" s="177">
        <f t="shared" ref="DO871" si="2587">LN(DN871/DN870)</f>
        <v>2.4229399426835413E-2</v>
      </c>
      <c r="DP871" s="183">
        <f>HLOOKUP(H871,'GDP-PI'!$8:$9,2,FALSE)</f>
        <v>107.751</v>
      </c>
      <c r="DQ871" s="177">
        <f t="shared" ref="DQ871" si="2588">LN(DP871/DP870)</f>
        <v>1.8877588227745139E-2</v>
      </c>
    </row>
    <row r="872" spans="1:121" s="167" customFormat="1" ht="21" x14ac:dyDescent="0.35">
      <c r="A872" s="167" t="s">
        <v>88</v>
      </c>
      <c r="B872" s="168" t="s">
        <v>89</v>
      </c>
      <c r="C872" s="168">
        <v>4057135</v>
      </c>
      <c r="D872" s="168" t="s">
        <v>144</v>
      </c>
      <c r="E872" s="168"/>
      <c r="F872" s="168"/>
      <c r="G872" s="168" t="s">
        <v>24</v>
      </c>
      <c r="H872" s="169">
        <v>2018</v>
      </c>
      <c r="I872" s="170"/>
      <c r="J872" s="166">
        <f>IFERROR(INDEX('Labor Expenditures'!$F$7:$X$91,MATCH($C872,'Labor Expenditures'!$D$7:$D$91,0),MATCH($G872,'Labor Expenditures'!$F$5:$X$5,0)),"NA")</f>
        <v>137354.20216691581</v>
      </c>
      <c r="K872" s="166">
        <f t="shared" si="2543"/>
        <v>1030.8007667310756</v>
      </c>
      <c r="L872" s="172">
        <f t="shared" si="2550"/>
        <v>6.7084387655812011E-2</v>
      </c>
      <c r="M872" s="172">
        <f t="shared" si="2554"/>
        <v>2.7373717538464542E-3</v>
      </c>
      <c r="N872" s="196"/>
      <c r="O872" s="172"/>
      <c r="P872" s="166">
        <f>IFERROR(INDEX('Non-Labor Expenditures'!$F$7:$AB$91,MATCH($C872,'Non-Labor Expenditures'!$D$7:$D$91,0),MATCH($G872,'Non-Labor Expenditures'!$F$5:$AB$5,0)),"NA")</f>
        <v>198914.53896392783</v>
      </c>
      <c r="Q872" s="166">
        <f t="shared" si="2544"/>
        <v>1803.0360124356685</v>
      </c>
      <c r="R872" s="172">
        <f t="shared" si="2555"/>
        <v>7.2050216845664886E-2</v>
      </c>
      <c r="S872" s="172">
        <f t="shared" si="2560"/>
        <v>2.9400019191312943E-3</v>
      </c>
      <c r="T872" s="172"/>
      <c r="U872" s="172"/>
      <c r="V872" s="166">
        <f t="shared" si="2525"/>
        <v>189383.35215353023</v>
      </c>
      <c r="W872" s="170"/>
      <c r="X872" s="174">
        <v>9600.21183688372</v>
      </c>
      <c r="Y872" s="175">
        <v>4.4224636444873074E-2</v>
      </c>
      <c r="Z872" s="175">
        <f t="shared" si="2561"/>
        <v>1.8045818834844171E-3</v>
      </c>
      <c r="AA872" s="175"/>
      <c r="AB872" s="175"/>
      <c r="AC872" s="170">
        <f t="shared" si="2462"/>
        <v>525652.09328437387</v>
      </c>
      <c r="AD872" s="175">
        <f t="shared" si="2556"/>
        <v>9.5875469436801683E-2</v>
      </c>
      <c r="AE872" s="170"/>
      <c r="AF872" s="170"/>
      <c r="AG872" s="121">
        <f t="shared" si="2557"/>
        <v>608.87706359954075</v>
      </c>
      <c r="AH872" s="119">
        <f>+AZ872/$BB$56</f>
        <v>2.2796654446506047E-2</v>
      </c>
      <c r="AI872" s="119"/>
      <c r="AJ872" s="176">
        <f t="shared" si="2562"/>
        <v>13.880360019282016</v>
      </c>
      <c r="AK872" s="176">
        <f t="shared" si="2563"/>
        <v>0</v>
      </c>
      <c r="AL872" s="120">
        <f t="shared" si="2545"/>
        <v>0.26130249250735543</v>
      </c>
      <c r="AM872" s="120">
        <f t="shared" si="2546"/>
        <v>0.37841481372417279</v>
      </c>
      <c r="AN872" s="120">
        <f t="shared" si="2547"/>
        <v>0.36028269376847177</v>
      </c>
      <c r="AO872" s="120">
        <f t="shared" si="2551"/>
        <v>6.0729579267726014E-2</v>
      </c>
      <c r="AP872" s="173">
        <f t="shared" si="2567"/>
        <v>119.46095066433433</v>
      </c>
      <c r="AQ872" s="175">
        <f t="shared" si="2568"/>
        <v>6.0729579267726055E-2</v>
      </c>
      <c r="AR872" s="177">
        <f>+AC872/$AE$56</f>
        <v>4.0804900357606463E-2</v>
      </c>
      <c r="AS872" s="177">
        <f t="shared" si="2564"/>
        <v>2.478064430778925E-3</v>
      </c>
      <c r="AT872" s="177"/>
      <c r="AU872" s="177"/>
      <c r="AV872" s="177"/>
      <c r="AW872" s="190"/>
      <c r="AX872" s="120"/>
      <c r="AY872" s="120"/>
      <c r="AZ872" s="118">
        <f>IFERROR(INDEX('Total Customers'!$F$7:$AB$91,MATCH($C872,'Total Customers'!$D$7:$D$91,0),MATCH($G872,'Total Customers'!$F$5:$AB$5,0)),"NA")</f>
        <v>863314</v>
      </c>
      <c r="BA872" s="119">
        <f t="shared" si="2526"/>
        <v>1.9479274654610173E-2</v>
      </c>
      <c r="BB872" s="119"/>
      <c r="BC872" s="121"/>
      <c r="BD872" s="119"/>
      <c r="BE872" s="119"/>
      <c r="BF872" s="119"/>
      <c r="BG872" s="173"/>
      <c r="BH872" s="173"/>
      <c r="BI872" s="173"/>
      <c r="BJ872" s="173"/>
      <c r="BK872" s="173"/>
      <c r="BL872" s="173"/>
      <c r="BM872" s="173"/>
      <c r="BN872" s="173"/>
      <c r="BO872" s="173"/>
      <c r="BP872" s="173"/>
      <c r="BQ872" s="118"/>
      <c r="BR872" s="118"/>
      <c r="BS872" s="118">
        <f>INDEX('Dist. Plant Gas Additions'!$F$7:$AE$91,MATCH($C872,'Dist. Plant Gas Additions'!$D$7:$D$91,0),MATCH(Calculation!$G872,'Dist. Plant Gas Additions'!$F$5:$AE$5,0))</f>
        <v>352003</v>
      </c>
      <c r="BT872" s="118">
        <f>INDEX('Gen. Plant Additions'!$F$7:$AE$91,MATCH($C872,'Gen. Plant Additions'!$D$7:$D$91,0),MATCH(Calculation!$G872,'Gen. Plant Additions'!$F$5:$AE$5,0))</f>
        <v>21938</v>
      </c>
      <c r="BU872" s="118"/>
      <c r="BV872" s="118"/>
      <c r="BW872" s="118">
        <f>INDEX('Dist Plant Depreciation'!$E$7:$AD$94,MATCH($C872,'Dist Plant Depreciation'!$D$7:$D$94,0),MATCH(Calculation!$G872,'Dist Plant Depreciation'!$E$5:$AD$5,0))</f>
        <v>1103891</v>
      </c>
      <c r="BX872" s="118">
        <f>INDEX('Gen. Plant Depreciation'!$E$7:$AD$94,MATCH($C872,'Gen. Plant Depreciation'!$D$7:$D$94,0),MATCH(Calculation!$G872,'Gen. Plant Depreciation'!$E$5:$AD$5,0))</f>
        <v>45419</v>
      </c>
      <c r="BY872" s="118"/>
      <c r="BZ872" s="118"/>
      <c r="CA872" s="118"/>
      <c r="CB872" s="118"/>
      <c r="CC872" s="118"/>
      <c r="CD872" s="183"/>
      <c r="CE872" s="118">
        <f>INDEX('Gross Dx Plant'!$E$7:$AD$91,MATCH($C872,'Gross Dx Plant'!$D$7:$D$91,0),MATCH(Calculation!$G872,'Gross Dx Plant'!$E$5:$AD$5,0))</f>
        <v>4021752</v>
      </c>
      <c r="CF872" s="118">
        <f>INDEX('Gross Gen Plant'!$E$7:$AD$91,MATCH($C872,'Gross Gen Plant'!$D$7:$D$91,0),MATCH(Calculation!$G872,'Gross Gen Plant'!$E$5:$AD$5,0))</f>
        <v>109666</v>
      </c>
      <c r="CG872" s="118">
        <f t="shared" si="2468"/>
        <v>2982108</v>
      </c>
      <c r="CH872" s="118"/>
      <c r="CI872" s="121">
        <v>2018</v>
      </c>
      <c r="CJ872" s="118"/>
      <c r="CK872" s="118"/>
      <c r="CL872" s="118"/>
      <c r="CM872" s="183"/>
      <c r="CN872" s="118">
        <f t="shared" si="2527"/>
        <v>373941</v>
      </c>
      <c r="CO872" s="118">
        <f t="shared" si="2528"/>
        <v>495.19642324100721</v>
      </c>
      <c r="CP872" s="186">
        <v>0.86111111111111116</v>
      </c>
      <c r="CQ872" s="118">
        <f>+CQ852*CP872++CO853*CP871+CO854*CP870+CO855*CP869+CO856*CP868+CO857*CP867+CO858*CP866+CO859*CP865+CO860*CP864+CO861*CP863+CO862*CP862+CO863*CP861+CO864*CP860+CO865*CP859+CO866*CP858+CO867*CP857+CO868*CP856+CO869*CP855+CO870*CP854+CO871*CP853+CO872</f>
        <v>9600.21183688372</v>
      </c>
      <c r="CR872" s="119">
        <f t="shared" si="2529"/>
        <v>4.4224636444873074E-2</v>
      </c>
      <c r="CS872" s="119"/>
      <c r="CT872" s="177">
        <f t="shared" si="2530"/>
        <v>8.6970817367295547E-3</v>
      </c>
      <c r="CU872" s="177">
        <f t="shared" si="2538"/>
        <v>8.4909887609834183E-3</v>
      </c>
      <c r="CV872" s="119">
        <f>VLOOKUP($H872,RoR!$E:$F,2,FALSE)</f>
        <v>3.9299999999999995E-2</v>
      </c>
      <c r="CW872" s="177">
        <v>2.386056741932796E-2</v>
      </c>
      <c r="CX872" s="177">
        <f t="shared" si="2536"/>
        <v>1.5439432580672034E-2</v>
      </c>
      <c r="CY872" s="177">
        <f t="shared" si="2539"/>
        <v>2.2410952847550208E-2</v>
      </c>
      <c r="CZ872" s="177">
        <f t="shared" si="2540"/>
        <v>3.8270792163076606E-2</v>
      </c>
      <c r="DA872" s="187">
        <f t="shared" si="2531"/>
        <v>0.90199375000000004</v>
      </c>
      <c r="DB872" s="188">
        <f t="shared" si="2532"/>
        <v>1.3048868010700074</v>
      </c>
      <c r="DC872" s="188">
        <f t="shared" si="2533"/>
        <v>0.33886768447837151</v>
      </c>
      <c r="DD872" s="188">
        <f t="shared" si="2534"/>
        <v>0.78602506232557801</v>
      </c>
      <c r="DE872" s="188">
        <f t="shared" si="2535"/>
        <v>0.34756768162358759</v>
      </c>
      <c r="DF872" s="189">
        <f>INDEX('State Tax Lookup'!$D$7:$Z$91,MATCH(Calculation!$C872,'State Tax Lookup'!$B$7:$B$91,0),MATCH($H872,'State Tax Lookup'!$D$6:$Z$6,0))</f>
        <v>0.26134999999999997</v>
      </c>
      <c r="DG872" s="189">
        <v>0.375</v>
      </c>
      <c r="DH872" s="190">
        <f t="shared" si="2537"/>
        <v>20.618995260455694</v>
      </c>
      <c r="DI872" s="190">
        <v>20.314926788197276</v>
      </c>
      <c r="DJ872" s="177"/>
      <c r="DK872" s="189">
        <f>VLOOKUP($H872,RoR!$E:$F,2,FALSE)</f>
        <v>3.9299999999999995E-2</v>
      </c>
      <c r="DL872" s="191">
        <f>HLOOKUP($H872,'GDP-PI'!$D$8:$CQ$11,3,FALSE)</f>
        <v>2.386056741932796E-2</v>
      </c>
      <c r="DM872" s="189">
        <f>VLOOKUP(H872,'HW Dx Data'!$E:$F,2,FALSE)</f>
        <v>755.13671434174842</v>
      </c>
      <c r="DN872" s="183">
        <f>VLOOKUP(H872,'ECI - Input Price'!$G$17:$H$37,2,FALSE)</f>
        <v>133.25</v>
      </c>
      <c r="DO872" s="177">
        <f t="shared" ref="DO872" si="2589">LN(DN872/DN871)</f>
        <v>2.8546181906361531E-2</v>
      </c>
      <c r="DP872" s="183">
        <f>HLOOKUP(H872,'GDP-PI'!$8:$9,2,FALSE)</f>
        <v>110.322</v>
      </c>
      <c r="DQ872" s="177">
        <f t="shared" ref="DQ872" si="2590">LN(DP872/DP871)</f>
        <v>2.3580352716508712E-2</v>
      </c>
    </row>
    <row r="873" spans="1:121" s="167" customFormat="1" ht="21" x14ac:dyDescent="0.35">
      <c r="A873" s="167" t="s">
        <v>88</v>
      </c>
      <c r="B873" s="168" t="s">
        <v>89</v>
      </c>
      <c r="C873" s="168">
        <v>4057135</v>
      </c>
      <c r="D873" s="168" t="s">
        <v>144</v>
      </c>
      <c r="E873" s="168"/>
      <c r="F873" s="168"/>
      <c r="G873" s="168" t="s">
        <v>25</v>
      </c>
      <c r="H873" s="169">
        <v>2019</v>
      </c>
      <c r="I873" s="170"/>
      <c r="J873" s="166">
        <f>IFERROR(INDEX('Labor Expenditures'!$F$7:$X$91,MATCH($C873,'Labor Expenditures'!$D$7:$D$91,0),MATCH($G873,'Labor Expenditures'!$F$5:$X$5,0)),"NA")</f>
        <v>128836.84035805496</v>
      </c>
      <c r="K873" s="166">
        <f t="shared" si="2543"/>
        <v>941.44567305849444</v>
      </c>
      <c r="L873" s="172">
        <f t="shared" si="2550"/>
        <v>-9.0674578707060513E-2</v>
      </c>
      <c r="M873" s="172">
        <f t="shared" si="2554"/>
        <v>-3.5228495505106655E-3</v>
      </c>
      <c r="N873" s="196"/>
      <c r="O873" s="172"/>
      <c r="P873" s="166">
        <f>IFERROR(INDEX('Non-Labor Expenditures'!$F$7:$AB$91,MATCH($C873,'Non-Labor Expenditures'!$D$7:$D$91,0),MATCH($G873,'Non-Labor Expenditures'!$F$5:$AB$5,0)),"NA")</f>
        <v>186579.80824094889</v>
      </c>
      <c r="Q873" s="166">
        <f t="shared" si="2544"/>
        <v>1661.1745957099386</v>
      </c>
      <c r="R873" s="172">
        <f t="shared" si="2555"/>
        <v>-8.1946977717727923E-2</v>
      </c>
      <c r="S873" s="172">
        <f t="shared" si="2560"/>
        <v>-3.1837685681590741E-3</v>
      </c>
      <c r="T873" s="172"/>
      <c r="U873" s="172"/>
      <c r="V873" s="166">
        <f t="shared" si="2525"/>
        <v>200735.64312464927</v>
      </c>
      <c r="W873" s="170"/>
      <c r="X873" s="174">
        <v>10070.738306315803</v>
      </c>
      <c r="Y873" s="175">
        <v>4.7848856880206715E-2</v>
      </c>
      <c r="Z873" s="175">
        <f t="shared" si="2561"/>
        <v>1.859003111527662E-3</v>
      </c>
      <c r="AA873" s="175"/>
      <c r="AB873" s="175"/>
      <c r="AC873" s="170">
        <f t="shared" si="2462"/>
        <v>516152.29172365309</v>
      </c>
      <c r="AD873" s="175">
        <f t="shared" si="2556"/>
        <v>-1.8237713355858859E-2</v>
      </c>
      <c r="AE873" s="170"/>
      <c r="AF873" s="170"/>
      <c r="AG873" s="121">
        <f t="shared" si="2557"/>
        <v>595.9548128476423</v>
      </c>
      <c r="AH873" s="119">
        <f>+AZ873/$BB$57</f>
        <v>2.2682930764148308E-2</v>
      </c>
      <c r="AI873" s="119"/>
      <c r="AJ873" s="176">
        <f t="shared" si="2562"/>
        <v>13.518001758384033</v>
      </c>
      <c r="AK873" s="176">
        <f t="shared" si="2563"/>
        <v>0</v>
      </c>
      <c r="AL873" s="120">
        <f t="shared" si="2545"/>
        <v>0.24961012945968658</v>
      </c>
      <c r="AM873" s="120">
        <f t="shared" si="2546"/>
        <v>0.36148208819896771</v>
      </c>
      <c r="AN873" s="120">
        <f t="shared" si="2547"/>
        <v>0.38890778234134576</v>
      </c>
      <c r="AO873" s="120">
        <f t="shared" si="2551"/>
        <v>-3.5555596910450071E-2</v>
      </c>
      <c r="AP873" s="173">
        <f t="shared" si="2567"/>
        <v>115.28806950021961</v>
      </c>
      <c r="AQ873" s="175">
        <f t="shared" si="2568"/>
        <v>-3.5555596910450113E-2</v>
      </c>
      <c r="AR873" s="177">
        <f>+AC873/$AE$57</f>
        <v>3.8851567889737031E-2</v>
      </c>
      <c r="AS873" s="177">
        <f t="shared" si="2564"/>
        <v>-1.3813906872264768E-3</v>
      </c>
      <c r="AT873" s="177"/>
      <c r="AU873" s="177"/>
      <c r="AV873" s="177"/>
      <c r="AW873" s="190"/>
      <c r="AX873" s="120"/>
      <c r="AY873" s="120"/>
      <c r="AZ873" s="118">
        <f>IFERROR(INDEX('Total Customers'!$F$7:$AB$91,MATCH($C873,'Total Customers'!$D$7:$D$91,0),MATCH($G873,'Total Customers'!$F$5:$AB$5,0)),"NA")</f>
        <v>866093</v>
      </c>
      <c r="BA873" s="119">
        <f t="shared" si="2526"/>
        <v>3.2138211444061081E-3</v>
      </c>
      <c r="BB873" s="119"/>
      <c r="BC873" s="121"/>
      <c r="BD873" s="119"/>
      <c r="BE873" s="119"/>
      <c r="BF873" s="119"/>
      <c r="BG873" s="173"/>
      <c r="BH873" s="173"/>
      <c r="BI873" s="173"/>
      <c r="BJ873" s="173"/>
      <c r="BK873" s="173"/>
      <c r="BL873" s="173"/>
      <c r="BM873" s="173"/>
      <c r="BN873" s="173"/>
      <c r="BO873" s="173"/>
      <c r="BP873" s="173"/>
      <c r="BQ873" s="118"/>
      <c r="BR873" s="118"/>
      <c r="BS873" s="118">
        <f>INDEX('Dist. Plant Gas Additions'!$F$7:$AE$91,MATCH($C873,'Dist. Plant Gas Additions'!$D$7:$D$91,0),MATCH(Calculation!$G873,'Dist. Plant Gas Additions'!$F$5:$AE$5,0))</f>
        <v>414285</v>
      </c>
      <c r="BT873" s="118">
        <f>INDEX('Gen. Plant Additions'!$F$7:$AE$91,MATCH($C873,'Gen. Plant Additions'!$D$7:$D$91,0),MATCH(Calculation!$G873,'Gen. Plant Additions'!$F$5:$AE$5,0))</f>
        <v>15820</v>
      </c>
      <c r="BU873" s="118"/>
      <c r="BV873" s="118"/>
      <c r="BW873" s="118">
        <f>INDEX('Dist Plant Depreciation'!$E$7:$AD$94,MATCH($C873,'Dist Plant Depreciation'!$D$7:$D$94,0),MATCH(Calculation!$G873,'Dist Plant Depreciation'!$E$5:$AD$5,0))</f>
        <v>1175936</v>
      </c>
      <c r="BX873" s="118">
        <f>INDEX('Gen. Plant Depreciation'!$E$7:$AD$94,MATCH($C873,'Gen. Plant Depreciation'!$D$7:$D$94,0),MATCH(Calculation!$G873,'Gen. Plant Depreciation'!$E$5:$AD$5,0))</f>
        <v>44152</v>
      </c>
      <c r="BY873" s="118"/>
      <c r="BZ873" s="118"/>
      <c r="CA873" s="118"/>
      <c r="CB873" s="118"/>
      <c r="CC873" s="118"/>
      <c r="CD873" s="183"/>
      <c r="CE873" s="118">
        <f>INDEX('Gross Dx Plant'!$E$7:$AD$91,MATCH($C873,'Gross Dx Plant'!$D$7:$D$91,0),MATCH(Calculation!$G873,'Gross Dx Plant'!$E$5:$AD$5,0))</f>
        <v>4403106</v>
      </c>
      <c r="CF873" s="118">
        <f>INDEX('Gross Gen Plant'!$E$7:$AD$91,MATCH($C873,'Gross Gen Plant'!$D$7:$D$91,0),MATCH(Calculation!$G873,'Gross Gen Plant'!$E$5:$AD$5,0))</f>
        <v>115565</v>
      </c>
      <c r="CG873" s="118">
        <f t="shared" si="2468"/>
        <v>3298583</v>
      </c>
      <c r="CH873" s="118"/>
      <c r="CI873" s="121">
        <v>2019</v>
      </c>
      <c r="CJ873" s="118"/>
      <c r="CK873" s="118"/>
      <c r="CL873" s="118"/>
      <c r="CM873" s="183"/>
      <c r="CN873" s="118">
        <f t="shared" si="2527"/>
        <v>430105</v>
      </c>
      <c r="CO873" s="118">
        <f t="shared" si="2528"/>
        <v>556.02217126621281</v>
      </c>
      <c r="CP873" s="186">
        <v>0.85106382978723405</v>
      </c>
      <c r="CQ873" s="118">
        <f>CQ852*CP873+CO853*CP872+CO854*CP871+CO855*CP870+CO856*CP869+CO857*CP868+CO858*CP867+CO859*CP866+CO860*CP865+CO861*CP864+CO862*CP863+CO863*CP862+CO864*CP861+CO865*CP860+CO866*CP859+CO867*CP858+CO868*CP857+CO869*CP856+CO870*CP855+CO871*CP854+CO872*CP853+CO873</f>
        <v>10070.738306315803</v>
      </c>
      <c r="CR873" s="119">
        <f t="shared" si="2529"/>
        <v>4.7848856880206715E-2</v>
      </c>
      <c r="CS873" s="119"/>
      <c r="CT873" s="177">
        <f t="shared" si="2530"/>
        <v>8.9056057602456065E-3</v>
      </c>
      <c r="CU873" s="177">
        <f t="shared" si="2538"/>
        <v>8.7034494617318665E-3</v>
      </c>
      <c r="CV873" s="119">
        <f>VLOOKUP($H873,RoR!$E:$F,2,FALSE)</f>
        <v>3.3875000000000009E-2</v>
      </c>
      <c r="CW873" s="177">
        <v>1.8092492884465461E-2</v>
      </c>
      <c r="CX873" s="177">
        <f t="shared" si="2536"/>
        <v>1.5782507115534548E-2</v>
      </c>
      <c r="CY873" s="177">
        <f t="shared" si="2539"/>
        <v>2.2198492146801758E-2</v>
      </c>
      <c r="CZ873" s="177">
        <f t="shared" si="2540"/>
        <v>4.8445665544254078E-2</v>
      </c>
      <c r="DA873" s="187">
        <f t="shared" si="2531"/>
        <v>0.90199375000000004</v>
      </c>
      <c r="DB873" s="188">
        <f t="shared" si="2532"/>
        <v>1.513861292459078</v>
      </c>
      <c r="DC873" s="188">
        <f t="shared" si="2533"/>
        <v>0.23699261992619944</v>
      </c>
      <c r="DD873" s="188">
        <f t="shared" si="2534"/>
        <v>0.73619765810468829</v>
      </c>
      <c r="DE873" s="188">
        <f t="shared" si="2535"/>
        <v>0.26412854465362851</v>
      </c>
      <c r="DF873" s="189">
        <f>INDEX('State Tax Lookup'!$D$7:$Z$91,MATCH(Calculation!$C873,'State Tax Lookup'!$B$7:$B$91,0),MATCH($H873,'State Tax Lookup'!$D$6:$Z$6,0))</f>
        <v>0.26134999999999997</v>
      </c>
      <c r="DG873" s="189">
        <v>0.375</v>
      </c>
      <c r="DH873" s="190">
        <f t="shared" si="2537"/>
        <v>20.909501429273579</v>
      </c>
      <c r="DI873" s="190">
        <v>20.612607370102864</v>
      </c>
      <c r="DJ873" s="177"/>
      <c r="DK873" s="189">
        <f>VLOOKUP($H873,RoR!$E:$F,2,FALSE)</f>
        <v>3.3875000000000009E-2</v>
      </c>
      <c r="DL873" s="191">
        <f>HLOOKUP($H873,'GDP-PI'!$D$8:$CQ$11,3,FALSE)</f>
        <v>1.8092492884465461E-2</v>
      </c>
      <c r="DM873" s="189">
        <f>VLOOKUP(H873,'HW Dx Data'!$E:$F,2,FALSE)</f>
        <v>773.53929793938721</v>
      </c>
      <c r="DN873" s="183">
        <f>VLOOKUP(H873,'ECI - Input Price'!$G$17:$H$37,2,FALSE)</f>
        <v>136.85</v>
      </c>
      <c r="DO873" s="177">
        <f t="shared" ref="DO873" si="2591">LN(DN873/DN872)</f>
        <v>2.6658372440734168E-2</v>
      </c>
      <c r="DP873" s="183">
        <f>HLOOKUP(H873,'GDP-PI'!$8:$9,2,FALSE)</f>
        <v>112.318</v>
      </c>
      <c r="DQ873" s="177">
        <f t="shared" ref="DQ873" si="2592">LN(DP873/DP872)</f>
        <v>1.7930771451401852E-2</v>
      </c>
    </row>
    <row r="874" spans="1:121" s="167" customFormat="1" ht="21" x14ac:dyDescent="0.35">
      <c r="A874" s="167" t="s">
        <v>88</v>
      </c>
      <c r="B874" s="167" t="s">
        <v>89</v>
      </c>
      <c r="C874" s="167">
        <v>4057135</v>
      </c>
      <c r="D874" s="167" t="s">
        <v>144</v>
      </c>
      <c r="G874" s="168" t="s">
        <v>26</v>
      </c>
      <c r="H874" s="169">
        <v>2020</v>
      </c>
      <c r="I874" s="170"/>
      <c r="J874" s="166">
        <f>IFERROR(INDEX('Labor Expenditures'!$F$7:$X$91,MATCH($C874,'Labor Expenditures'!$D$7:$D$91,0),MATCH($G874,'Labor Expenditures'!$F$5:$X$5,0)),"NA")</f>
        <v>108314.16272068916</v>
      </c>
      <c r="K874" s="166">
        <f t="shared" si="2543"/>
        <v>771.19375379629173</v>
      </c>
      <c r="L874" s="172">
        <f t="shared" si="2550"/>
        <v>-0.19947699995924847</v>
      </c>
      <c r="M874" s="172">
        <f t="shared" si="2554"/>
        <v>-7.0576138556181786E-3</v>
      </c>
      <c r="N874" s="196"/>
      <c r="O874" s="172"/>
      <c r="P874" s="166">
        <f>IFERROR(INDEX('Non-Labor Expenditures'!$F$7:$AB$91,MATCH($C874,'Non-Labor Expenditures'!$D$7:$D$91,0),MATCH($G874,'Non-Labor Expenditures'!$F$5:$AB$5,0)),"NA")</f>
        <v>156859.13791459746</v>
      </c>
      <c r="Q874" s="166">
        <f t="shared" si="2544"/>
        <v>1380.5227631254011</v>
      </c>
      <c r="R874" s="172">
        <f t="shared" si="2555"/>
        <v>-0.18506269862707678</v>
      </c>
      <c r="S874" s="172">
        <f t="shared" si="2560"/>
        <v>-6.5476273768673796E-3</v>
      </c>
      <c r="T874" s="172"/>
      <c r="U874" s="172"/>
      <c r="V874" s="166">
        <f t="shared" si="2525"/>
        <v>219422.93085186434</v>
      </c>
      <c r="W874" s="170"/>
      <c r="X874" s="174">
        <v>10666.852023529473</v>
      </c>
      <c r="Y874" s="175">
        <v>5.7506969733929679E-2</v>
      </c>
      <c r="Z874" s="175">
        <f t="shared" si="2561"/>
        <v>2.0346304910927658E-3</v>
      </c>
      <c r="AA874" s="175"/>
      <c r="AB874" s="175"/>
      <c r="AC874" s="170">
        <f t="shared" si="2462"/>
        <v>484596.23148715094</v>
      </c>
      <c r="AD874" s="175">
        <f t="shared" si="2556"/>
        <v>-6.3085829126985321E-2</v>
      </c>
      <c r="AE874" s="170"/>
      <c r="AF874" s="170"/>
      <c r="AG874" s="121">
        <f t="shared" si="2557"/>
        <v>556.35232954218361</v>
      </c>
      <c r="AH874" s="119">
        <f>+AZ874/$BB$58</f>
        <v>2.2651690367674397E-2</v>
      </c>
      <c r="AI874" s="119"/>
      <c r="AJ874" s="176">
        <f t="shared" si="2562"/>
        <v>12.602320704123892</v>
      </c>
      <c r="AK874" s="176">
        <f t="shared" si="2563"/>
        <v>0</v>
      </c>
      <c r="AL874" s="120">
        <f t="shared" si="2545"/>
        <v>0.22351424894141197</v>
      </c>
      <c r="AM874" s="120">
        <f t="shared" si="2546"/>
        <v>0.32369037917034765</v>
      </c>
      <c r="AN874" s="120">
        <f t="shared" si="2547"/>
        <v>0.45279537188824037</v>
      </c>
      <c r="AO874" s="120">
        <f t="shared" si="2551"/>
        <v>-8.6386749816069835E-2</v>
      </c>
      <c r="AP874" s="173">
        <f t="shared" si="2567"/>
        <v>105.74676205155809</v>
      </c>
      <c r="AQ874" s="175">
        <f t="shared" si="2568"/>
        <v>-8.6386749816069822E-2</v>
      </c>
      <c r="AR874" s="177">
        <f>+AC874/$AE$58</f>
        <v>3.5380589526912837E-2</v>
      </c>
      <c r="AS874" s="177">
        <f t="shared" si="2564"/>
        <v>-3.0564141358064793E-3</v>
      </c>
      <c r="AT874" s="177"/>
      <c r="AU874" s="177"/>
      <c r="AV874" s="177"/>
      <c r="AW874" s="190"/>
      <c r="AX874" s="120"/>
      <c r="AY874" s="120"/>
      <c r="AZ874" s="118">
        <f>IFERROR(INDEX('Total Customers'!$F$7:$AB$91,MATCH($C874,'Total Customers'!$D$7:$D$91,0),MATCH($G874,'Total Customers'!$F$5:$AB$5,0)),"NA")</f>
        <v>871024</v>
      </c>
      <c r="BA874" s="119">
        <f t="shared" si="2526"/>
        <v>5.6772379111602843E-3</v>
      </c>
      <c r="BB874" s="119"/>
      <c r="BC874" s="121"/>
      <c r="BD874" s="119"/>
      <c r="BE874" s="119"/>
      <c r="BF874" s="119"/>
      <c r="BG874" s="173"/>
      <c r="BH874" s="173"/>
      <c r="BI874" s="173"/>
      <c r="BJ874" s="173"/>
      <c r="BK874" s="173"/>
      <c r="BL874" s="173"/>
      <c r="BM874" s="173"/>
      <c r="BN874" s="173"/>
      <c r="BO874" s="173"/>
      <c r="BP874" s="173"/>
      <c r="BQ874" s="118"/>
      <c r="BR874" s="118"/>
      <c r="BS874" s="118">
        <f>INDEX('Dist. Plant Gas Additions'!$F$7:$AE$91,MATCH($C874,'Dist. Plant Gas Additions'!$D$7:$D$91,0),MATCH(Calculation!$G874,'Dist. Plant Gas Additions'!$F$5:$AE$5,0))</f>
        <v>534562</v>
      </c>
      <c r="BT874" s="118">
        <f>INDEX('Gen. Plant Additions'!$F$7:$AE$91,MATCH($C874,'Gen. Plant Additions'!$D$7:$D$91,0),MATCH(Calculation!$G874,'Gen. Plant Additions'!$F$5:$AE$5,0))</f>
        <v>24669</v>
      </c>
      <c r="BU874" s="118"/>
      <c r="BV874" s="118"/>
      <c r="BW874" s="118">
        <f>INDEX('Dist Plant Depreciation'!$E$7:$AD$94,MATCH($C874,'Dist Plant Depreciation'!$D$7:$D$94,0),MATCH(Calculation!$G874,'Dist Plant Depreciation'!$E$5:$AD$5,0))</f>
        <v>1239365</v>
      </c>
      <c r="BX874" s="118">
        <f>INDEX('Gen. Plant Depreciation'!$E$7:$AD$94,MATCH($C874,'Gen. Plant Depreciation'!$D$7:$D$94,0),MATCH(Calculation!$G874,'Gen. Plant Depreciation'!$E$5:$AD$5,0))</f>
        <v>46257</v>
      </c>
      <c r="BY874" s="118"/>
      <c r="BZ874" s="118"/>
      <c r="CA874" s="118"/>
      <c r="CB874" s="118"/>
      <c r="CC874" s="118"/>
      <c r="CD874" s="183"/>
      <c r="CE874" s="118">
        <f>INDEX('Gross Dx Plant'!$E$7:$AD$91,MATCH($C874,'Gross Dx Plant'!$D$7:$D$91,0),MATCH(Calculation!$G874,'Gross Dx Plant'!$E$5:$AD$5,0))</f>
        <v>4889714</v>
      </c>
      <c r="CF874" s="118">
        <f>INDEX('Gross Gen Plant'!$E$7:$AD$91,MATCH($C874,'Gross Gen Plant'!$D$7:$D$91,0),MATCH(Calculation!$G874,'Gross Gen Plant'!$E$5:$AD$5,0))</f>
        <v>132815</v>
      </c>
      <c r="CG874" s="118">
        <f t="shared" si="2468"/>
        <v>3736907</v>
      </c>
      <c r="CH874" s="118"/>
      <c r="CI874" s="121">
        <v>2020</v>
      </c>
      <c r="CJ874" s="118"/>
      <c r="CK874" s="118"/>
      <c r="CL874" s="118"/>
      <c r="CM874" s="183"/>
      <c r="CN874" s="118">
        <f t="shared" si="2527"/>
        <v>559231</v>
      </c>
      <c r="CO874" s="118">
        <f t="shared" si="2528"/>
        <v>687.79319164402114</v>
      </c>
      <c r="CP874" s="186">
        <v>0.84057971014492749</v>
      </c>
      <c r="CQ874" s="118">
        <f>CQ852*CP874+CO853*CP873+CO854*CP872+CO855*CP871+CO856*CP870+CO857*CP869+CO858*CP868+CO859*CP867+CO860*CP866+CO861*CP865+CO862*CP864+CO863*CP863+CO864*CP862+CO865*CP861+CO866*CP860+CO867*CP859+CO868*CP858+CO869*CP857+CO870*CP856+CO871*CP855+CO872*CP854+CO873*CP853+CO874</f>
        <v>10666.852023529473</v>
      </c>
      <c r="CR874" s="119">
        <f t="shared" si="2529"/>
        <v>5.7506969733929679E-2</v>
      </c>
      <c r="CS874" s="119"/>
      <c r="CT874" s="177">
        <f t="shared" si="2530"/>
        <v>9.1035504688723092E-3</v>
      </c>
      <c r="CU874" s="177">
        <f t="shared" si="2538"/>
        <v>8.9020793219491568E-3</v>
      </c>
      <c r="CV874" s="119">
        <f>VLOOKUP($H874,RoR!$E:$F,2,FALSE)</f>
        <v>2.4766666666666666E-2</v>
      </c>
      <c r="CW874" s="177">
        <v>1.1618796630994188E-2</v>
      </c>
      <c r="CX874" s="177">
        <f t="shared" si="2536"/>
        <v>1.3147870035672478E-2</v>
      </c>
      <c r="CY874" s="177">
        <f t="shared" si="2539"/>
        <v>2.1999862286584466E-2</v>
      </c>
      <c r="CZ874" s="177">
        <f t="shared" si="2540"/>
        <v>4.5144642961987357E-2</v>
      </c>
      <c r="DA874" s="187">
        <f t="shared" si="2531"/>
        <v>0.90199375000000004</v>
      </c>
      <c r="DB874" s="188">
        <f t="shared" si="2532"/>
        <v>2.0706077233668081</v>
      </c>
      <c r="DC874" s="188">
        <f t="shared" si="2533"/>
        <v>-3.4421265141318998E-2</v>
      </c>
      <c r="DD874" s="188">
        <f t="shared" si="2534"/>
        <v>0.62416226176410472</v>
      </c>
      <c r="DE874" s="188">
        <f t="shared" si="2535"/>
        <v>-4.4485877841158712E-2</v>
      </c>
      <c r="DF874" s="189">
        <f>INDEX('State Tax Lookup'!$D$7:$Z$91,MATCH(Calculation!$C874,'State Tax Lookup'!$B$7:$B$91,0),MATCH($H874,'State Tax Lookup'!$D$6:$Z$6,0))</f>
        <v>0.26134999999999997</v>
      </c>
      <c r="DG874" s="189">
        <v>0.375</v>
      </c>
      <c r="DH874" s="190">
        <f t="shared" si="2537"/>
        <v>21.788167280074646</v>
      </c>
      <c r="DI874" s="190">
        <v>21.516073126506821</v>
      </c>
      <c r="DJ874" s="177"/>
      <c r="DK874" s="189">
        <f>VLOOKUP($H874,RoR!$E:$F,2,FALSE)</f>
        <v>2.4766666666666666E-2</v>
      </c>
      <c r="DL874" s="191">
        <f>HLOOKUP($H874,'GDP-PI'!$D$8:$CQ$11,3,FALSE)</f>
        <v>1.1618796630994188E-2</v>
      </c>
      <c r="DM874" s="189">
        <f>VLOOKUP(H874,'HW Dx Data'!$E:$F,2,FALSE)</f>
        <v>813.080162458833</v>
      </c>
      <c r="DN874" s="183">
        <f>VLOOKUP(H874,'ECI - Input Price'!$G$17:$H$37,2,FALSE)</f>
        <v>140.44999999999999</v>
      </c>
      <c r="DO874" s="177">
        <f t="shared" ref="DO874" si="2593">LN(DN874/DN873)</f>
        <v>2.5966118063564539E-2</v>
      </c>
      <c r="DP874" s="183">
        <f>HLOOKUP(H874,'GDP-PI'!$8:$9,2,FALSE)</f>
        <v>113.623</v>
      </c>
      <c r="DQ874" s="177">
        <f t="shared" ref="DQ874" si="2594">LN(DP874/DP873)</f>
        <v>1.1551816731392881E-2</v>
      </c>
    </row>
    <row r="875" spans="1:121" s="167" customFormat="1" ht="21" x14ac:dyDescent="0.35">
      <c r="A875" s="167" t="s">
        <v>88</v>
      </c>
      <c r="B875" s="167" t="s">
        <v>89</v>
      </c>
      <c r="C875" s="167">
        <v>4057135</v>
      </c>
      <c r="D875" s="167" t="s">
        <v>144</v>
      </c>
      <c r="G875" s="168" t="s">
        <v>462</v>
      </c>
      <c r="H875" s="169">
        <v>2021</v>
      </c>
      <c r="I875" s="170"/>
      <c r="J875" s="166">
        <f>IFERROR(INDEX('Labor Expenditures'!$E$7:$X$91,MATCH($C875,'Labor Expenditures'!$D$7:$D$91,0),MATCH($G875,'Labor Expenditures'!$E$5:$X$5,0)),"NA")</f>
        <v>127782.05061886803</v>
      </c>
      <c r="K875" s="166">
        <f t="shared" si="2543"/>
        <v>878.37807608776768</v>
      </c>
      <c r="L875" s="171">
        <f t="shared" si="2550"/>
        <v>0.13013746759431002</v>
      </c>
      <c r="M875" s="172">
        <f t="shared" si="2554"/>
        <v>3.9146674426525302E-3</v>
      </c>
      <c r="N875" s="196"/>
      <c r="O875" s="172"/>
      <c r="P875" s="166">
        <f>IFERROR(INDEX('Non-Labor Expenditures'!$E$7:$AB$91,MATCH($C875,'Non-Labor Expenditures'!$D$7:$D$91,0),MATCH($G875,'Non-Labor Expenditures'!$E$5:$AB$5,0)),"NA")</f>
        <v>180126.50508924772</v>
      </c>
      <c r="Q875" s="166">
        <f t="shared" si="2544"/>
        <v>1520.1831807684</v>
      </c>
      <c r="R875" s="172">
        <f t="shared" si="2555"/>
        <v>9.6368599964173352E-2</v>
      </c>
      <c r="S875" s="172">
        <f t="shared" si="2560"/>
        <v>2.8988655438554859E-3</v>
      </c>
      <c r="T875" s="172"/>
      <c r="U875" s="172"/>
      <c r="V875" s="166">
        <f t="shared" si="2525"/>
        <v>135739.14158560918</v>
      </c>
      <c r="W875" s="170"/>
      <c r="X875" s="174">
        <v>10605.881681424602</v>
      </c>
      <c r="Y875" s="175"/>
      <c r="Z875" s="175">
        <f t="shared" si="2561"/>
        <v>0</v>
      </c>
      <c r="AA875" s="175"/>
      <c r="AB875" s="175"/>
      <c r="AC875" s="170">
        <f t="shared" si="2462"/>
        <v>443647.69729372492</v>
      </c>
      <c r="AD875" s="175">
        <f t="shared" si="2556"/>
        <v>-8.8285258907981279E-2</v>
      </c>
      <c r="AE875" s="118"/>
      <c r="AF875" s="119"/>
      <c r="AG875" s="121">
        <f t="shared" si="2557"/>
        <v>505.66901308685368</v>
      </c>
      <c r="AH875" s="119">
        <f>+AZ875/$BB$59</f>
        <v>2.2509854012589654E-2</v>
      </c>
      <c r="AI875" s="119"/>
      <c r="AJ875" s="176">
        <f t="shared" si="2562"/>
        <v>11.382535663275364</v>
      </c>
      <c r="AK875" s="176">
        <f t="shared" si="2563"/>
        <v>0</v>
      </c>
      <c r="AL875" s="120">
        <f t="shared" si="2545"/>
        <v>0.28802595257080221</v>
      </c>
      <c r="AM875" s="120">
        <f t="shared" si="2546"/>
        <v>0.40601248735884171</v>
      </c>
      <c r="AN875" s="120">
        <f t="shared" si="2547"/>
        <v>0.30596156007035608</v>
      </c>
      <c r="AO875" s="120">
        <f t="shared" si="2551"/>
        <v>6.8445495017372307E-2</v>
      </c>
      <c r="AP875" s="173">
        <f t="shared" si="2567"/>
        <v>113.23810135860218</v>
      </c>
      <c r="AQ875" s="175">
        <f t="shared" si="2568"/>
        <v>6.8445495017372224E-2</v>
      </c>
      <c r="AR875" s="177">
        <f>+AC875/$AE$59</f>
        <v>3.0081017519536322E-2</v>
      </c>
      <c r="AS875" s="177">
        <f t="shared" si="2564"/>
        <v>2.0589101347509098E-3</v>
      </c>
      <c r="AT875" s="177"/>
      <c r="AU875" s="177"/>
      <c r="AV875" s="177"/>
      <c r="AW875" s="190"/>
      <c r="AX875" s="120"/>
      <c r="AY875" s="120"/>
      <c r="AZ875" s="118">
        <f>INDEX('Total Customers'!$E$7:$E$91,MATCH(Calculation!$C875,'Total Customers'!$D$7:$D$91,0))</f>
        <v>877348</v>
      </c>
      <c r="BA875" s="119">
        <f t="shared" si="2526"/>
        <v>7.2341899546923627E-3</v>
      </c>
      <c r="BB875" s="118"/>
      <c r="BC875" s="121"/>
      <c r="BD875" s="118"/>
      <c r="BE875" s="119"/>
      <c r="BF875" s="119"/>
      <c r="BG875" s="173"/>
      <c r="BH875" s="173"/>
      <c r="BI875" s="173"/>
      <c r="BJ875" s="173"/>
      <c r="BK875" s="173"/>
      <c r="BL875" s="173"/>
      <c r="BM875" s="173"/>
      <c r="BN875" s="173"/>
      <c r="BO875" s="173"/>
      <c r="BP875" s="173"/>
      <c r="BQ875" s="118"/>
      <c r="BR875" s="118"/>
      <c r="BS875" s="118">
        <f>INDEX('Dist. Plant Gas Additions'!$E$7:$AE$91,MATCH($C875,'Dist. Plant Gas Additions'!$D$7:$D$91,0),MATCH(Calculation!$G875,'Dist. Plant Gas Additions'!$E$5:$AE$5,0))</f>
        <v>338834</v>
      </c>
      <c r="BT875" s="118">
        <f>INDEX('Gen. Plant Additions'!$E$7:$AE$91,MATCH($C875,'Gen. Plant Additions'!$D$7:$D$91,0),MATCH(Calculation!$G875,'Gen. Plant Additions'!$E$5:$AE$5,0))</f>
        <v>11839</v>
      </c>
      <c r="BU875" s="118"/>
      <c r="BV875" s="118"/>
      <c r="BW875" s="118"/>
      <c r="BX875" s="118"/>
      <c r="BY875" s="183"/>
      <c r="BZ875" s="183"/>
      <c r="CA875" s="178"/>
      <c r="CB875" s="184"/>
      <c r="CC875" s="185"/>
      <c r="CD875" s="185"/>
      <c r="CE875" s="118"/>
      <c r="CF875" s="118"/>
      <c r="CG875" s="118"/>
      <c r="CH875" s="118"/>
      <c r="CI875" s="121">
        <v>2021</v>
      </c>
      <c r="CJ875" s="118"/>
      <c r="CK875" s="118"/>
      <c r="CL875" s="118"/>
      <c r="CM875" s="183"/>
      <c r="CN875" s="118">
        <f t="shared" si="2527"/>
        <v>350673</v>
      </c>
      <c r="CO875" s="118">
        <f t="shared" si="2528"/>
        <v>375.84624196568495</v>
      </c>
      <c r="CP875" s="186">
        <f>+(51-23)/(51-23*0.75)</f>
        <v>0.82962962962962961</v>
      </c>
      <c r="CQ875" s="118">
        <f>CQ852*CP875+CO853*CP874+CO854*CP873+CO855*CP872+CO856*CP871+CO857*CP870+CO858*CP869+CO859*CP868+CO860*CP867+CO861*CP866+CO862*CP865+CO863*CP864+CO864*CP863+CO865*CP862+CO866*CP861+CO857*CP860+CO868*CP859+CO869*CP858+CO870*CP857+CO871*CP856+CO872*CP855+CO873*CP854+CO875+CO874*CP853</f>
        <v>10605.881681424602</v>
      </c>
      <c r="CR875" s="119"/>
      <c r="CS875" s="118"/>
      <c r="CT875" s="177">
        <f t="shared" si="2530"/>
        <v>4.0950843145381964E-2</v>
      </c>
      <c r="CU875" s="177">
        <f t="shared" si="2538"/>
        <v>1.9653333124833295E-2</v>
      </c>
      <c r="CV875" s="119">
        <f>VLOOKUP($H875,RoR!$E:$F,2,FALSE)</f>
        <v>2.7033333333333336E-2</v>
      </c>
      <c r="CW875" s="177"/>
      <c r="CX875" s="177"/>
      <c r="CY875" s="177">
        <f t="shared" si="2539"/>
        <v>1.124860848370033E-2</v>
      </c>
      <c r="CZ875" s="177">
        <f t="shared" si="2540"/>
        <v>7.433422950153494E-2</v>
      </c>
      <c r="DA875" s="187">
        <f t="shared" si="2531"/>
        <v>0.90199375000000004</v>
      </c>
      <c r="DB875" s="188">
        <f t="shared" si="2532"/>
        <v>1.8969932656739068</v>
      </c>
      <c r="DC875" s="188">
        <f t="shared" si="2533"/>
        <v>5.0215782983970621E-2</v>
      </c>
      <c r="DD875" s="188">
        <f t="shared" si="2534"/>
        <v>0.655952481704143</v>
      </c>
      <c r="DE875" s="188">
        <f t="shared" si="2535"/>
        <v>6.2485378865697057E-2</v>
      </c>
      <c r="DF875" s="189">
        <f>DF874</f>
        <v>0.26134999999999997</v>
      </c>
      <c r="DG875" s="189">
        <v>0.375</v>
      </c>
      <c r="DH875" s="190">
        <f t="shared" si="2537"/>
        <v>12.725323393086267</v>
      </c>
      <c r="DI875" s="190"/>
      <c r="DJ875" s="177">
        <f t="shared" ref="DJ875" si="2595">LN(DH875/DH874)</f>
        <v>-0.53777306100744204</v>
      </c>
      <c r="DK875" s="189">
        <f>VLOOKUP($H875,RoR!$E:$F,2,FALSE)</f>
        <v>2.7033333333333336E-2</v>
      </c>
      <c r="DL875" s="191">
        <f>HLOOKUP($H875,'GDP-PI'!$D$8:$CR$11,3,FALSE)</f>
        <v>4.2834637353352578E-2</v>
      </c>
      <c r="DM875" s="189">
        <f>VLOOKUP(H875,'HW Dx Data'!$E:$F,2,FALSE)</f>
        <v>933.02249921662576</v>
      </c>
      <c r="DN875" s="183">
        <f>VLOOKUP(H875,'ECI - Input Price'!$G$17:$H$37,2,FALSE)</f>
        <v>145.47500000000002</v>
      </c>
      <c r="DO875" s="177">
        <f t="shared" ref="DO875" si="2596">LN(DN875/DN874)</f>
        <v>3.5152696992481205E-2</v>
      </c>
      <c r="DP875" s="183">
        <f>HLOOKUP(H875,'GDP-PI'!$8:$9,2,FALSE)</f>
        <v>118.49</v>
      </c>
      <c r="DQ875" s="177">
        <f t="shared" ref="DQ875" si="2597">LN(DP875/DP874)</f>
        <v>4.194261824609434E-2</v>
      </c>
    </row>
    <row r="876" spans="1:121" s="167" customFormat="1" ht="21" x14ac:dyDescent="0.35">
      <c r="A876" s="167" t="s">
        <v>90</v>
      </c>
      <c r="B876" s="168" t="s">
        <v>90</v>
      </c>
      <c r="C876" s="168">
        <v>4063341</v>
      </c>
      <c r="D876" s="168" t="s">
        <v>147</v>
      </c>
      <c r="E876" s="168"/>
      <c r="F876" s="168"/>
      <c r="G876" s="168" t="s">
        <v>4</v>
      </c>
      <c r="H876" s="169">
        <v>1998</v>
      </c>
      <c r="I876" s="170"/>
      <c r="J876" s="166"/>
      <c r="K876" s="166"/>
      <c r="L876" s="166"/>
      <c r="M876" s="166"/>
      <c r="N876" s="196"/>
      <c r="O876" s="166"/>
      <c r="P876" s="172"/>
      <c r="Q876" s="172"/>
      <c r="R876" s="172"/>
      <c r="S876" s="166"/>
      <c r="T876" s="172"/>
      <c r="U876" s="172"/>
      <c r="V876" s="166"/>
      <c r="W876" s="170"/>
      <c r="X876" s="174">
        <v>1528.4545803086621</v>
      </c>
      <c r="Y876" s="175"/>
      <c r="Z876" s="166"/>
      <c r="AA876" s="175"/>
      <c r="AB876" s="175"/>
      <c r="AC876" s="170">
        <f t="shared" si="2462"/>
        <v>0</v>
      </c>
      <c r="AD876" s="170"/>
      <c r="AE876" s="170"/>
      <c r="AF876" s="119"/>
      <c r="AG876" s="174"/>
      <c r="AH876" s="175"/>
      <c r="AI876" s="175"/>
      <c r="AJ876" s="174"/>
      <c r="AK876" s="174"/>
      <c r="AL876" s="120"/>
      <c r="AM876" s="120"/>
      <c r="AN876" s="120"/>
      <c r="AO876" s="120"/>
      <c r="AP876" s="120"/>
      <c r="AQ876" s="175">
        <f>AVERAGE(AQ885:AQ899)</f>
        <v>2.4898642517767005E-2</v>
      </c>
      <c r="AR876" s="120"/>
      <c r="AS876" s="120"/>
      <c r="AT876" s="120"/>
      <c r="AU876" s="120"/>
      <c r="AV876" s="120"/>
      <c r="AW876" s="120"/>
      <c r="AX876" s="120"/>
      <c r="AY876" s="120"/>
      <c r="AZ876" s="118">
        <f>IFERROR(INDEX('Total Customers'!$F$7:$AB$91,MATCH($C876,'Total Customers'!$D$7:$D$91,0),MATCH($G876,'Total Customers'!$F$5:$AB$5,0)),"NA")</f>
        <v>237335</v>
      </c>
      <c r="BA876" s="119"/>
      <c r="BB876" s="119"/>
      <c r="BC876" s="121"/>
      <c r="BD876" s="119"/>
      <c r="BE876" s="119"/>
      <c r="BF876" s="119"/>
      <c r="BG876" s="173"/>
      <c r="BH876" s="173"/>
      <c r="BI876" s="173"/>
      <c r="BJ876" s="173"/>
      <c r="BK876" s="173"/>
      <c r="BL876" s="173"/>
      <c r="BM876" s="173"/>
      <c r="BN876" s="173"/>
      <c r="BO876" s="173"/>
      <c r="BP876" s="173"/>
      <c r="BQ876" s="118">
        <f>INDEX('Gross Dx Plant'!$E$7:$AD$91,MATCH($C876,'Gross Dx Plant'!$D$7:$D$91,0),MATCH(Calculation!$G876,'Gross Dx Plant'!$E$5:$AD$5,0))</f>
        <v>455488</v>
      </c>
      <c r="BR876" s="118">
        <f>INDEX('Gross Gen Plant'!$E$7:$AD$91,MATCH($C876,'Gross Gen Plant'!$D$7:$D$91,0),MATCH(Calculation!$G876,'Gross Gen Plant'!$E$5:$AD$5,0))</f>
        <v>43886</v>
      </c>
      <c r="BS876" s="118">
        <f>INDEX('Dist. Plant Gas Additions'!$F$7:$AE$91,MATCH($C876,'Dist. Plant Gas Additions'!$D$7:$D$91,0),MATCH(Calculation!$G876,'Dist. Plant Gas Additions'!$F$5:$AE$5,0))</f>
        <v>0</v>
      </c>
      <c r="BT876" s="118">
        <f>INDEX('Gen. Plant Additions'!$F$7:$AE$91,MATCH($C876,'Gen. Plant Additions'!$D$7:$D$91,0),MATCH(Calculation!$G876,'Gen. Plant Additions'!$F$5:$AE$5,0))</f>
        <v>0</v>
      </c>
      <c r="BU876" s="118" t="e">
        <f>INDEX('Dist Plant Depreciation'!$E$7:$AA$94,MATCH($C876,'Dist Plant Depreciation'!$D$7:$D$94,0),MATCH(#REF!,'Dist Plant Depreciation'!$E$5:$AA$5,0))</f>
        <v>#REF!</v>
      </c>
      <c r="BV876" s="118" t="e">
        <f>INDEX('Gen. Plant Depreciation'!$E$7:$AA$94,MATCH($C876,'Gen. Plant Depreciation'!$D$7:$D$94,0),MATCH(#REF!,'Gen. Plant Depreciation'!$E$5:$AA$5,0))</f>
        <v>#REF!</v>
      </c>
      <c r="BW876" s="118">
        <f>INDEX('Dist Plant Depreciation'!$E$7:$AD$94,MATCH($C876,'Dist Plant Depreciation'!$D$7:$D$94,0),MATCH(Calculation!$G876,'Dist Plant Depreciation'!$E$5:$AD$5,0))</f>
        <v>172412</v>
      </c>
      <c r="BX876" s="118">
        <f>INDEX('Gen. Plant Depreciation'!$E$7:$AD$94,MATCH($C876,'Gen. Plant Depreciation'!$D$7:$D$94,0),MATCH(Calculation!$G876,'Gen. Plant Depreciation'!$E$5:$AD$5,0))</f>
        <v>18643</v>
      </c>
      <c r="BY876" s="118"/>
      <c r="BZ876" s="118"/>
      <c r="CA876" s="118"/>
      <c r="CB876" s="118"/>
      <c r="CC876" s="118"/>
      <c r="CD876" s="183"/>
      <c r="CE876" s="118">
        <f>INDEX('Gross Dx Plant'!$E$7:$AD$91,MATCH($C876,'Gross Dx Plant'!$D$7:$D$91,0),MATCH(Calculation!$G876,'Gross Dx Plant'!$E$5:$AD$5,0))</f>
        <v>455488</v>
      </c>
      <c r="CF876" s="118">
        <f>INDEX('Gross Gen Plant'!$E$7:$AD$91,MATCH($C876,'Gross Gen Plant'!$D$7:$D$91,0),MATCH(Calculation!$G876,'Gross Gen Plant'!$E$5:$AD$5,0))</f>
        <v>43886</v>
      </c>
      <c r="CG876" s="118">
        <f t="shared" ref="CG876:CG941" si="2598">IF(OR(BW876="NA",BX876="NA"),"NA",(SUM(CE876:CF876)-SUM(BW876:BX876)))</f>
        <v>308319</v>
      </c>
      <c r="CH876" s="118"/>
      <c r="CI876" s="121">
        <v>1998</v>
      </c>
      <c r="CJ876" s="118">
        <f>BQ876+BR876</f>
        <v>499374</v>
      </c>
      <c r="CK876" s="118">
        <f>172412+18643</f>
        <v>191055</v>
      </c>
      <c r="CL876" s="118">
        <f>+CJ876-CK876</f>
        <v>308319</v>
      </c>
      <c r="CM876" s="118">
        <f>CL876/$CD$36</f>
        <v>1528.4545803086621</v>
      </c>
      <c r="CN876" s="183"/>
      <c r="CO876" s="183"/>
      <c r="CP876" s="186">
        <v>1</v>
      </c>
      <c r="CQ876" s="118">
        <f>+CM876</f>
        <v>1528.4545803086621</v>
      </c>
      <c r="CR876" s="119"/>
      <c r="CS876" s="119"/>
      <c r="CT876" s="177"/>
      <c r="CU876" s="177"/>
      <c r="CV876" s="119" t="e">
        <f>VLOOKUP($H876,RoR!$E:$F,2,FALSE)</f>
        <v>#N/A</v>
      </c>
      <c r="CW876" s="177">
        <v>1.1028127770464469E-2</v>
      </c>
      <c r="CX876" s="177"/>
      <c r="CY876" s="177"/>
      <c r="CZ876" s="177"/>
      <c r="DA876" s="187"/>
      <c r="DB876" s="190" t="e">
        <f>2/(DK876*39)</f>
        <v>#N/A</v>
      </c>
      <c r="DC876" s="188" t="e">
        <f>+(DK876*40-(1+DK876))/(DK876*40)</f>
        <v>#N/A</v>
      </c>
      <c r="DD876" s="188" t="e">
        <f>+(1-(1/(1+DK876)^40))</f>
        <v>#N/A</v>
      </c>
      <c r="DE876" s="188" t="e">
        <f>+DD876*DC876*DB876</f>
        <v>#N/A</v>
      </c>
      <c r="DF876" s="189">
        <f>INDEX('State Tax Lookup'!$D$7:$Z$91,MATCH(Calculation!$C876,'State Tax Lookup'!$B$7:$B$91,0),MATCH($H876,'State Tax Lookup'!$D$6:$Z$6,0))</f>
        <v>0.38574999999999998</v>
      </c>
      <c r="DG876" s="189">
        <v>0.375</v>
      </c>
      <c r="DH876" s="183"/>
      <c r="DI876" s="183"/>
      <c r="DJ876" s="177"/>
      <c r="DK876" s="189" t="e">
        <f>VLOOKUP($H876,RoR!$E:$F,2,FALSE)</f>
        <v>#N/A</v>
      </c>
      <c r="DL876" s="191">
        <f>HLOOKUP($H876,'GDP-PI'!$D$8:$CQ$11,3,FALSE)</f>
        <v>1.1028127770464469E-2</v>
      </c>
      <c r="DM876" s="189">
        <f>VLOOKUP(H876,'HW Dx Data'!$E:$F,2,FALSE)</f>
        <v>329.24564746449528</v>
      </c>
      <c r="DN876" s="183" t="e">
        <f>VLOOKUP(H876,'ECI - Input Price'!$G$17:$H$37,2,FALSE)</f>
        <v>#N/A</v>
      </c>
      <c r="DO876" s="177"/>
      <c r="DP876" s="183">
        <f>HLOOKUP(H876,'GDP-PI'!$8:$9,2,FALSE)</f>
        <v>75.266999999999996</v>
      </c>
    </row>
    <row r="877" spans="1:121" s="167" customFormat="1" ht="21" x14ac:dyDescent="0.35">
      <c r="A877" s="167" t="s">
        <v>90</v>
      </c>
      <c r="B877" s="168" t="s">
        <v>90</v>
      </c>
      <c r="C877" s="168">
        <v>4063341</v>
      </c>
      <c r="D877" s="168" t="s">
        <v>147</v>
      </c>
      <c r="E877" s="168"/>
      <c r="F877" s="168"/>
      <c r="G877" s="168" t="s">
        <v>5</v>
      </c>
      <c r="H877" s="169">
        <v>1999</v>
      </c>
      <c r="I877" s="170"/>
      <c r="J877" s="166"/>
      <c r="K877" s="170"/>
      <c r="L877" s="170"/>
      <c r="M877" s="166"/>
      <c r="N877" s="173"/>
      <c r="O877" s="170"/>
      <c r="P877" s="177"/>
      <c r="Q877" s="177"/>
      <c r="R877" s="177"/>
      <c r="S877" s="195"/>
      <c r="T877" s="177"/>
      <c r="U877" s="177"/>
      <c r="V877" s="166">
        <f t="shared" ref="V877:V899" si="2599">+CQ876*DH877</f>
        <v>0</v>
      </c>
      <c r="W877" s="170"/>
      <c r="X877" s="174">
        <v>1753.8899230545576</v>
      </c>
      <c r="Y877" s="175">
        <v>0.13757898761313545</v>
      </c>
      <c r="Z877" s="175"/>
      <c r="AA877" s="175"/>
      <c r="AB877" s="175"/>
      <c r="AC877" s="170">
        <f t="shared" si="2462"/>
        <v>0</v>
      </c>
      <c r="AD877" s="175"/>
      <c r="AE877" s="170"/>
      <c r="AF877" s="119"/>
      <c r="AG877" s="174"/>
      <c r="AH877" s="175"/>
      <c r="AI877" s="175"/>
      <c r="AJ877" s="174"/>
      <c r="AK877" s="174"/>
      <c r="AL877" s="120"/>
      <c r="AM877" s="120"/>
      <c r="AN877" s="120"/>
      <c r="AO877" s="120"/>
      <c r="AP877" s="120"/>
      <c r="AQ877" s="175"/>
      <c r="AR877" s="120"/>
      <c r="AS877" s="120"/>
      <c r="AT877" s="120"/>
      <c r="AU877" s="120"/>
      <c r="AV877" s="120"/>
      <c r="AW877" s="120"/>
      <c r="AX877" s="120"/>
      <c r="AY877" s="120"/>
      <c r="AZ877" s="118">
        <f>IFERROR(INDEX('Total Customers'!$F$7:$AB$91,MATCH($C877,'Total Customers'!$D$7:$D$91,0),MATCH($G877,'Total Customers'!$F$5:$AB$5,0)),"NA")</f>
        <v>246789</v>
      </c>
      <c r="BA877" s="119">
        <f t="shared" ref="BA877:BA899" si="2600">LN(AZ877/AZ876)</f>
        <v>3.9061075344388629E-2</v>
      </c>
      <c r="BB877" s="119"/>
      <c r="BC877" s="121"/>
      <c r="BD877" s="119"/>
      <c r="BE877" s="119"/>
      <c r="BF877" s="119"/>
      <c r="BG877" s="173"/>
      <c r="BH877" s="173"/>
      <c r="BI877" s="173"/>
      <c r="BJ877" s="173"/>
      <c r="BK877" s="173"/>
      <c r="BL877" s="173"/>
      <c r="BM877" s="173"/>
      <c r="BN877" s="173"/>
      <c r="BO877" s="173"/>
      <c r="BP877" s="173"/>
      <c r="BQ877" s="118"/>
      <c r="BR877" s="118"/>
      <c r="BS877" s="118">
        <f>INDEX('Dist. Plant Gas Additions'!$F$7:$AE$91,MATCH($C877,'Dist. Plant Gas Additions'!$D$7:$D$91,0),MATCH(Calculation!$G877,'Dist. Plant Gas Additions'!$F$5:$AE$5,0))</f>
        <v>70775</v>
      </c>
      <c r="BT877" s="118">
        <f>INDEX('Gen. Plant Additions'!$F$7:$AE$91,MATCH($C877,'Gen. Plant Additions'!$D$7:$D$91,0),MATCH(Calculation!$G877,'Gen. Plant Additions'!$F$5:$AE$5,0))</f>
        <v>7369</v>
      </c>
      <c r="BU877" s="118"/>
      <c r="BV877" s="118"/>
      <c r="BW877" s="118">
        <f>INDEX('Dist Plant Depreciation'!$E$7:$AD$94,MATCH($C877,'Dist Plant Depreciation'!$D$7:$D$94,0),MATCH(Calculation!$G877,'Dist Plant Depreciation'!$E$5:$AD$5,0))</f>
        <v>187152</v>
      </c>
      <c r="BX877" s="118">
        <f>INDEX('Gen. Plant Depreciation'!$E$7:$AD$94,MATCH($C877,'Gen. Plant Depreciation'!$D$7:$D$94,0),MATCH(Calculation!$G877,'Gen. Plant Depreciation'!$E$5:$AD$5,0))</f>
        <v>19890</v>
      </c>
      <c r="BY877" s="118"/>
      <c r="BZ877" s="118"/>
      <c r="CA877" s="118"/>
      <c r="CB877" s="118"/>
      <c r="CC877" s="118"/>
      <c r="CD877" s="183"/>
      <c r="CE877" s="118">
        <f>INDEX('Gross Dx Plant'!$E$7:$AD$91,MATCH($C877,'Gross Dx Plant'!$D$7:$D$91,0),MATCH(Calculation!$G877,'Gross Dx Plant'!$E$5:$AD$5,0))</f>
        <v>522830</v>
      </c>
      <c r="CF877" s="118">
        <f>INDEX('Gross Gen Plant'!$E$7:$AD$91,MATCH($C877,'Gross Gen Plant'!$D$7:$D$91,0),MATCH(Calculation!$G877,'Gross Gen Plant'!$E$5:$AD$5,0))</f>
        <v>48732</v>
      </c>
      <c r="CG877" s="118">
        <f t="shared" si="2598"/>
        <v>364520</v>
      </c>
      <c r="CH877" s="118"/>
      <c r="CI877" s="121">
        <v>1999</v>
      </c>
      <c r="CJ877" s="118"/>
      <c r="CK877" s="118"/>
      <c r="CL877" s="118"/>
      <c r="CM877" s="183"/>
      <c r="CN877" s="118">
        <f t="shared" ref="CN877:CN899" si="2601">+BT877+BS877</f>
        <v>78144</v>
      </c>
      <c r="CO877" s="118">
        <f t="shared" ref="CO877:CO899" si="2602">+CN877/$DM877</f>
        <v>233.03959438922215</v>
      </c>
      <c r="CP877" s="186">
        <v>0.99502487562189057</v>
      </c>
      <c r="CQ877" s="118">
        <f>+CQ876*CP877+CO877</f>
        <v>1753.8899230545576</v>
      </c>
      <c r="CR877" s="119">
        <f t="shared" ref="CR877:CR898" si="2603">LN(CQ877/CQ876)</f>
        <v>0.13757898761313545</v>
      </c>
      <c r="CS877" s="119"/>
      <c r="CT877" s="177">
        <f t="shared" ref="CT877:CT899" si="2604">+(CQ876-CQ877+CO877)/CQ876</f>
        <v>4.9751243781094526E-3</v>
      </c>
      <c r="CU877" s="177"/>
      <c r="CV877" s="119">
        <f>VLOOKUP($H877,RoR!$E:$F,2,FALSE)</f>
        <v>7.0416666666666669E-2</v>
      </c>
      <c r="CW877" s="177">
        <v>1.4335631817396832E-2</v>
      </c>
      <c r="CX877" s="177">
        <f>+CV877-CW877</f>
        <v>5.6081034849269837E-2</v>
      </c>
      <c r="CY877" s="177"/>
      <c r="CZ877" s="177"/>
      <c r="DA877" s="187">
        <f t="shared" ref="DA877:DA899" si="2605">1-DF877*DG877</f>
        <v>0.85534375000000007</v>
      </c>
      <c r="DB877" s="188">
        <f t="shared" ref="DB877:DB899" si="2606">2/(DK877*39)</f>
        <v>0.72826581702321336</v>
      </c>
      <c r="DC877" s="188">
        <f t="shared" ref="DC877:DC899" si="2607">+(DK877*40-(1+DK877))/(DK877*40)</f>
        <v>0.61997041420118348</v>
      </c>
      <c r="DD877" s="188">
        <f t="shared" ref="DD877:DD899" si="2608">+(1-(1/(1+DK877)^40))</f>
        <v>0.93425155319585029</v>
      </c>
      <c r="DE877" s="188">
        <f t="shared" ref="DE877:DE899" si="2609">+DD877*DC877*DB877</f>
        <v>0.42181762214141483</v>
      </c>
      <c r="DF877" s="189">
        <f>INDEX('State Tax Lookup'!$D$7:$Z$91,MATCH(Calculation!$C877,'State Tax Lookup'!$B$7:$B$91,0),MATCH($H877,'State Tax Lookup'!$D$6:$Z$6,0))</f>
        <v>0.38574999999999998</v>
      </c>
      <c r="DG877" s="189">
        <v>0.375</v>
      </c>
      <c r="DH877" s="190"/>
      <c r="DI877" s="190"/>
      <c r="DJ877" s="177"/>
      <c r="DK877" s="189">
        <f>VLOOKUP($H877,RoR!$E:$F,2,FALSE)</f>
        <v>7.0416666666666669E-2</v>
      </c>
      <c r="DL877" s="191">
        <f>HLOOKUP($H877,'GDP-PI'!$D$8:$CQ$11,3,FALSE)</f>
        <v>1.4335631817396832E-2</v>
      </c>
      <c r="DM877" s="189">
        <f>VLOOKUP(H877,'HW Dx Data'!$E:$F,2,FALSE)</f>
        <v>335.32499146683239</v>
      </c>
      <c r="DN877" s="183" t="e">
        <f>VLOOKUP(H877,'ECI - Input Price'!$G$17:$H$37,2,FALSE)</f>
        <v>#N/A</v>
      </c>
      <c r="DO877" s="177"/>
      <c r="DP877" s="183">
        <f>HLOOKUP(H877,'GDP-PI'!$8:$9,2,FALSE)</f>
        <v>76.346000000000004</v>
      </c>
    </row>
    <row r="878" spans="1:121" s="167" customFormat="1" ht="21" x14ac:dyDescent="0.35">
      <c r="A878" s="167" t="s">
        <v>90</v>
      </c>
      <c r="B878" s="168" t="s">
        <v>90</v>
      </c>
      <c r="C878" s="168">
        <v>4063341</v>
      </c>
      <c r="D878" s="168" t="s">
        <v>147</v>
      </c>
      <c r="E878" s="168"/>
      <c r="F878" s="168"/>
      <c r="G878" s="168" t="s">
        <v>6</v>
      </c>
      <c r="H878" s="169">
        <v>2000</v>
      </c>
      <c r="I878" s="170"/>
      <c r="J878" s="166"/>
      <c r="K878" s="166"/>
      <c r="L878" s="166"/>
      <c r="M878" s="166"/>
      <c r="N878" s="196"/>
      <c r="O878" s="166"/>
      <c r="P878" s="166"/>
      <c r="Q878" s="166"/>
      <c r="R878" s="166"/>
      <c r="S878" s="166"/>
      <c r="T878" s="166"/>
      <c r="U878" s="166"/>
      <c r="V878" s="166">
        <f t="shared" si="2599"/>
        <v>0</v>
      </c>
      <c r="W878" s="170"/>
      <c r="X878" s="174">
        <v>1744.8958385761409</v>
      </c>
      <c r="Y878" s="175">
        <v>-5.1412718026453159E-3</v>
      </c>
      <c r="Z878" s="175"/>
      <c r="AA878" s="175"/>
      <c r="AB878" s="175"/>
      <c r="AC878" s="170">
        <f t="shared" si="2462"/>
        <v>0</v>
      </c>
      <c r="AD878" s="175"/>
      <c r="AE878" s="170"/>
      <c r="AF878" s="170"/>
      <c r="AG878" s="174"/>
      <c r="AH878" s="175"/>
      <c r="AI878" s="175"/>
      <c r="AJ878" s="174"/>
      <c r="AK878" s="174"/>
      <c r="AL878" s="120"/>
      <c r="AM878" s="120"/>
      <c r="AN878" s="120"/>
      <c r="AO878" s="120"/>
      <c r="AP878" s="120"/>
      <c r="AQ878" s="175"/>
      <c r="AR878" s="120"/>
      <c r="AS878" s="120"/>
      <c r="AT878" s="120"/>
      <c r="AU878" s="120"/>
      <c r="AV878" s="120"/>
      <c r="AW878" s="120"/>
      <c r="AX878" s="120"/>
      <c r="AY878" s="120"/>
      <c r="AZ878" s="118">
        <f>IFERROR(INDEX('Total Customers'!$F$7:$AB$91,MATCH($C878,'Total Customers'!$D$7:$D$91,0),MATCH($G878,'Total Customers'!$F$5:$AB$5,0)),"NA")</f>
        <v>255640</v>
      </c>
      <c r="BA878" s="119">
        <f t="shared" si="2600"/>
        <v>3.5236484246573753E-2</v>
      </c>
      <c r="BB878" s="119"/>
      <c r="BC878" s="121"/>
      <c r="BD878" s="119"/>
      <c r="BE878" s="119"/>
      <c r="BF878" s="119"/>
      <c r="BG878" s="173"/>
      <c r="BH878" s="173"/>
      <c r="BI878" s="173"/>
      <c r="BJ878" s="173"/>
      <c r="BK878" s="173"/>
      <c r="BL878" s="173"/>
      <c r="BM878" s="173"/>
      <c r="BN878" s="173"/>
      <c r="BO878" s="173"/>
      <c r="BP878" s="173"/>
      <c r="BQ878" s="118"/>
      <c r="BR878" s="118"/>
      <c r="BS878" s="118">
        <f>INDEX('Dist. Plant Gas Additions'!$F$7:$AE$91,MATCH($C878,'Dist. Plant Gas Additions'!$D$7:$D$91,0),MATCH(Calculation!$G878,'Dist. Plant Gas Additions'!$F$5:$AE$5,0))</f>
        <v>0</v>
      </c>
      <c r="BT878" s="118">
        <f>INDEX('Gen. Plant Additions'!$F$7:$AE$91,MATCH($C878,'Gen. Plant Additions'!$D$7:$D$91,0),MATCH(Calculation!$G878,'Gen. Plant Additions'!$F$5:$AE$5,0))</f>
        <v>0</v>
      </c>
      <c r="BU878" s="118"/>
      <c r="BV878" s="118"/>
      <c r="BW878" s="118" t="str">
        <f>INDEX('Dist Plant Depreciation'!$E$7:$AD$94,MATCH($C878,'Dist Plant Depreciation'!$D$7:$D$94,0),MATCH(Calculation!$G878,'Dist Plant Depreciation'!$E$5:$AD$5,0))</f>
        <v>NA</v>
      </c>
      <c r="BX878" s="118" t="str">
        <f>INDEX('Gen. Plant Depreciation'!$E$7:$AD$94,MATCH($C878,'Gen. Plant Depreciation'!$D$7:$D$94,0),MATCH(Calculation!$G878,'Gen. Plant Depreciation'!$E$5:$AD$5,0))</f>
        <v>NA</v>
      </c>
      <c r="BY878" s="118"/>
      <c r="BZ878" s="118"/>
      <c r="CA878" s="118"/>
      <c r="CB878" s="118"/>
      <c r="CC878" s="118"/>
      <c r="CD878" s="183"/>
      <c r="CE878" s="118">
        <f>INDEX('Gross Dx Plant'!$E$7:$AD$91,MATCH($C878,'Gross Dx Plant'!$D$7:$D$91,0),MATCH(Calculation!$G878,'Gross Dx Plant'!$E$5:$AD$5,0))</f>
        <v>554666</v>
      </c>
      <c r="CF878" s="118">
        <f>INDEX('Gross Gen Plant'!$E$7:$AD$91,MATCH($C878,'Gross Gen Plant'!$D$7:$D$91,0),MATCH(Calculation!$G878,'Gross Gen Plant'!$E$5:$AD$5,0))</f>
        <v>41668</v>
      </c>
      <c r="CG878" s="118" t="str">
        <f t="shared" si="2598"/>
        <v>NA</v>
      </c>
      <c r="CH878" s="118"/>
      <c r="CI878" s="121">
        <v>2000</v>
      </c>
      <c r="CJ878" s="118"/>
      <c r="CK878" s="118"/>
      <c r="CL878" s="118"/>
      <c r="CM878" s="183"/>
      <c r="CN878" s="118">
        <f t="shared" si="2601"/>
        <v>0</v>
      </c>
      <c r="CO878" s="118">
        <f t="shared" si="2602"/>
        <v>0</v>
      </c>
      <c r="CP878" s="186">
        <v>0.98989898989898994</v>
      </c>
      <c r="CQ878" s="118">
        <f>+CQ876*CP878+CO877*CP877+CO878</f>
        <v>1744.8958385761409</v>
      </c>
      <c r="CR878" s="119">
        <f t="shared" si="2603"/>
        <v>-5.1412718026453159E-3</v>
      </c>
      <c r="CS878" s="119"/>
      <c r="CT878" s="177">
        <f t="shared" si="2604"/>
        <v>5.128078085284077E-3</v>
      </c>
      <c r="CU878" s="177"/>
      <c r="CV878" s="119">
        <f>VLOOKUP($H878,RoR!$E:$F,2,FALSE)</f>
        <v>7.6225000000000001E-2</v>
      </c>
      <c r="CW878" s="177">
        <v>2.2568307442433211E-2</v>
      </c>
      <c r="CX878" s="177">
        <f t="shared" ref="CX878:CX898" si="2610">+CV878-CW878</f>
        <v>5.365669255756679E-2</v>
      </c>
      <c r="CY878" s="177"/>
      <c r="CZ878" s="177"/>
      <c r="DA878" s="187">
        <f t="shared" si="2605"/>
        <v>0.85534375000000007</v>
      </c>
      <c r="DB878" s="188">
        <f t="shared" si="2606"/>
        <v>0.67277207323124022</v>
      </c>
      <c r="DC878" s="188">
        <f t="shared" si="2607"/>
        <v>0.6470236142997704</v>
      </c>
      <c r="DD878" s="188">
        <f t="shared" si="2608"/>
        <v>0.94704866037543145</v>
      </c>
      <c r="DE878" s="188">
        <f t="shared" si="2609"/>
        <v>0.41224973107878493</v>
      </c>
      <c r="DF878" s="189">
        <f>INDEX('State Tax Lookup'!$D$7:$Z$91,MATCH(Calculation!$C878,'State Tax Lookup'!$B$7:$B$91,0),MATCH($H878,'State Tax Lookup'!$D$6:$Z$6,0))</f>
        <v>0.38574999999999998</v>
      </c>
      <c r="DG878" s="189">
        <v>0.375</v>
      </c>
      <c r="DH878" s="190"/>
      <c r="DI878" s="190"/>
      <c r="DJ878" s="177"/>
      <c r="DK878" s="189">
        <f>VLOOKUP($H878,RoR!$E:$F,2,FALSE)</f>
        <v>7.6225000000000001E-2</v>
      </c>
      <c r="DL878" s="191">
        <f>HLOOKUP($H878,'GDP-PI'!$D$8:$CQ$11,3,FALSE)</f>
        <v>2.2568307442433211E-2</v>
      </c>
      <c r="DM878" s="189">
        <f>VLOOKUP(H878,'HW Dx Data'!$E:$F,2,FALSE)</f>
        <v>346.53371782150339</v>
      </c>
      <c r="DN878" s="183" t="e">
        <f>VLOOKUP(H878,'ECI - Input Price'!$G$17:$H$37,2,FALSE)</f>
        <v>#N/A</v>
      </c>
      <c r="DO878" s="177"/>
      <c r="DP878" s="183">
        <f>HLOOKUP(H878,'GDP-PI'!$8:$9,2,FALSE)</f>
        <v>78.069000000000003</v>
      </c>
    </row>
    <row r="879" spans="1:121" s="167" customFormat="1" ht="21" x14ac:dyDescent="0.35">
      <c r="A879" s="167" t="s">
        <v>90</v>
      </c>
      <c r="B879" s="168" t="s">
        <v>90</v>
      </c>
      <c r="C879" s="168">
        <v>4063341</v>
      </c>
      <c r="D879" s="168" t="s">
        <v>147</v>
      </c>
      <c r="E879" s="168"/>
      <c r="F879" s="168"/>
      <c r="G879" s="168" t="s">
        <v>7</v>
      </c>
      <c r="H879" s="169">
        <v>2001</v>
      </c>
      <c r="I879" s="170"/>
      <c r="J879" s="166"/>
      <c r="K879" s="166"/>
      <c r="L879" s="166"/>
      <c r="M879" s="166"/>
      <c r="N879" s="196"/>
      <c r="O879" s="166"/>
      <c r="P879" s="166"/>
      <c r="Q879" s="166"/>
      <c r="R879" s="166"/>
      <c r="S879" s="166"/>
      <c r="T879" s="166"/>
      <c r="U879" s="166"/>
      <c r="V879" s="166">
        <f t="shared" si="2599"/>
        <v>22067.198907576141</v>
      </c>
      <c r="W879" s="170"/>
      <c r="X879" s="174">
        <v>1845.1156846719239</v>
      </c>
      <c r="Y879" s="175">
        <v>5.5847114733607067E-2</v>
      </c>
      <c r="Z879" s="175"/>
      <c r="AA879" s="175"/>
      <c r="AB879" s="175"/>
      <c r="AC879" s="170">
        <f t="shared" si="2462"/>
        <v>22067.198907576141</v>
      </c>
      <c r="AD879" s="175"/>
      <c r="AE879" s="170"/>
      <c r="AF879" s="170"/>
      <c r="AG879" s="174"/>
      <c r="AH879" s="175"/>
      <c r="AI879" s="175"/>
      <c r="AJ879" s="174"/>
      <c r="AK879" s="174"/>
      <c r="AL879" s="120"/>
      <c r="AM879" s="120"/>
      <c r="AN879" s="120"/>
      <c r="AO879" s="120"/>
      <c r="AP879" s="120"/>
      <c r="AQ879" s="175"/>
      <c r="AR879" s="120"/>
      <c r="AS879" s="120"/>
      <c r="AT879" s="120"/>
      <c r="AU879" s="120"/>
      <c r="AV879" s="120"/>
      <c r="AW879" s="120"/>
      <c r="AX879" s="120"/>
      <c r="AY879" s="120"/>
      <c r="AZ879" s="118">
        <f>IFERROR(INDEX('Total Customers'!$F$7:$AB$91,MATCH($C879,'Total Customers'!$D$7:$D$91,0),MATCH($G879,'Total Customers'!$F$5:$AB$5,0)),"NA")</f>
        <v>266326</v>
      </c>
      <c r="BA879" s="119">
        <f t="shared" si="2600"/>
        <v>4.0950917518982478E-2</v>
      </c>
      <c r="BB879" s="119"/>
      <c r="BC879" s="121"/>
      <c r="BD879" s="119"/>
      <c r="BE879" s="119"/>
      <c r="BF879" s="119"/>
      <c r="BG879" s="173"/>
      <c r="BH879" s="173"/>
      <c r="BI879" s="173"/>
      <c r="BJ879" s="173"/>
      <c r="BK879" s="173"/>
      <c r="BL879" s="173"/>
      <c r="BM879" s="173"/>
      <c r="BN879" s="173"/>
      <c r="BO879" s="173"/>
      <c r="BP879" s="173"/>
      <c r="BQ879" s="118"/>
      <c r="BR879" s="118"/>
      <c r="BS879" s="118">
        <f>INDEX('Dist. Plant Gas Additions'!$F$7:$AE$91,MATCH($C879,'Dist. Plant Gas Additions'!$D$7:$D$91,0),MATCH(Calculation!$G879,'Dist. Plant Gas Additions'!$F$5:$AE$5,0))</f>
        <v>25807</v>
      </c>
      <c r="BT879" s="118">
        <f>INDEX('Gen. Plant Additions'!$F$7:$AE$91,MATCH($C879,'Gen. Plant Additions'!$D$7:$D$91,0),MATCH(Calculation!$G879,'Gen. Plant Additions'!$F$5:$AE$5,0))</f>
        <v>12892</v>
      </c>
      <c r="BU879" s="118"/>
      <c r="BV879" s="118"/>
      <c r="BW879" s="118" t="str">
        <f>INDEX('Dist Plant Depreciation'!$E$7:$AD$94,MATCH($C879,'Dist Plant Depreciation'!$D$7:$D$94,0),MATCH(Calculation!$G879,'Dist Plant Depreciation'!$E$5:$AD$5,0))</f>
        <v>NA</v>
      </c>
      <c r="BX879" s="118" t="str">
        <f>INDEX('Gen. Plant Depreciation'!$E$7:$AD$94,MATCH($C879,'Gen. Plant Depreciation'!$D$7:$D$94,0),MATCH(Calculation!$G879,'Gen. Plant Depreciation'!$E$5:$AD$5,0))</f>
        <v>NA</v>
      </c>
      <c r="BY879" s="118"/>
      <c r="BZ879" s="118"/>
      <c r="CA879" s="118"/>
      <c r="CB879" s="118"/>
      <c r="CC879" s="118"/>
      <c r="CD879" s="183"/>
      <c r="CE879" s="118">
        <f>INDEX('Gross Dx Plant'!$E$7:$AD$91,MATCH($C879,'Gross Dx Plant'!$D$7:$D$91,0),MATCH(Calculation!$G879,'Gross Dx Plant'!$E$5:$AD$5,0))</f>
        <v>571023</v>
      </c>
      <c r="CF879" s="118">
        <f>INDEX('Gross Gen Plant'!$E$7:$AD$91,MATCH($C879,'Gross Gen Plant'!$D$7:$D$91,0),MATCH(Calculation!$G879,'Gross Gen Plant'!$E$5:$AD$5,0))</f>
        <v>47078</v>
      </c>
      <c r="CG879" s="118" t="str">
        <f t="shared" si="2598"/>
        <v>NA</v>
      </c>
      <c r="CH879" s="118"/>
      <c r="CI879" s="121">
        <v>2001</v>
      </c>
      <c r="CJ879" s="118"/>
      <c r="CK879" s="118"/>
      <c r="CL879" s="118"/>
      <c r="CM879" s="183"/>
      <c r="CN879" s="118">
        <f t="shared" si="2601"/>
        <v>38699</v>
      </c>
      <c r="CO879" s="118">
        <f t="shared" si="2602"/>
        <v>109.49013112180288</v>
      </c>
      <c r="CP879" s="186">
        <v>0.98461538461538467</v>
      </c>
      <c r="CQ879" s="118">
        <f>+CQ876*CP879+CO877*CP878+CO878*CP876+CO879</f>
        <v>1845.1156846719239</v>
      </c>
      <c r="CR879" s="119">
        <f t="shared" si="2603"/>
        <v>5.5847114733607067E-2</v>
      </c>
      <c r="CS879" s="119"/>
      <c r="CT879" s="177">
        <f t="shared" si="2604"/>
        <v>5.3128013839408399E-3</v>
      </c>
      <c r="CU879" s="177">
        <f>+(CT879+CT878+CT877)/3</f>
        <v>5.1386679491114565E-3</v>
      </c>
      <c r="CV879" s="119">
        <f>VLOOKUP($H879,RoR!$E:$F,2,FALSE)</f>
        <v>7.0824999999999999E-2</v>
      </c>
      <c r="CW879" s="177">
        <v>2.2454495382290052E-2</v>
      </c>
      <c r="CX879" s="177">
        <f t="shared" si="2610"/>
        <v>4.8370504617709947E-2</v>
      </c>
      <c r="CY879" s="177">
        <f>+$CX$35-CU879</f>
        <v>2.5763273659422169E-2</v>
      </c>
      <c r="CZ879" s="177">
        <f>+((DM877/DM876-1)+(DM878/DM877-1)+(DM879/DM878-1))/3</f>
        <v>2.3947275901631187E-2</v>
      </c>
      <c r="DA879" s="187">
        <f t="shared" si="2605"/>
        <v>0.85534375000000007</v>
      </c>
      <c r="DB879" s="188">
        <f t="shared" si="2606"/>
        <v>0.72406708481540816</v>
      </c>
      <c r="DC879" s="188">
        <f t="shared" si="2607"/>
        <v>0.62201729615248857</v>
      </c>
      <c r="DD879" s="188">
        <f t="shared" si="2608"/>
        <v>0.9352469954311422</v>
      </c>
      <c r="DE879" s="188">
        <f t="shared" si="2609"/>
        <v>0.42121864641655071</v>
      </c>
      <c r="DF879" s="189">
        <f>INDEX('State Tax Lookup'!$D$7:$Z$91,MATCH(Calculation!$C879,'State Tax Lookup'!$B$7:$B$91,0),MATCH($H879,'State Tax Lookup'!$D$6:$Z$6,0))</f>
        <v>0.38574999999999998</v>
      </c>
      <c r="DG879" s="189">
        <v>0.375</v>
      </c>
      <c r="DH879" s="190">
        <f t="shared" ref="DH879:DH899" si="2611">+(DM879*CY879-CZ879)*DA879/(1-DF879)</f>
        <v>12.646714158928409</v>
      </c>
      <c r="DI879" s="190"/>
      <c r="DJ879" s="177"/>
      <c r="DK879" s="189">
        <f>VLOOKUP($H879,RoR!$E:$F,2,FALSE)</f>
        <v>7.0824999999999999E-2</v>
      </c>
      <c r="DL879" s="191">
        <f>HLOOKUP($H879,'GDP-PI'!$D$8:$CQ$11,3,FALSE)</f>
        <v>2.2454495382290052E-2</v>
      </c>
      <c r="DM879" s="189">
        <f>VLOOKUP(H879,'HW Dx Data'!$E:$F,2,FALSE)</f>
        <v>353.44738017483138</v>
      </c>
      <c r="DN879" s="183">
        <f>VLOOKUP(H879,'ECI - Input Price'!$G$17:$H$37,2,FALSE)</f>
        <v>86.2</v>
      </c>
      <c r="DO879" s="177"/>
      <c r="DP879" s="183">
        <f>HLOOKUP(H879,'GDP-PI'!$8:$9,2,FALSE)</f>
        <v>79.822000000000003</v>
      </c>
    </row>
    <row r="880" spans="1:121" s="167" customFormat="1" ht="21" x14ac:dyDescent="0.35">
      <c r="A880" s="167" t="s">
        <v>90</v>
      </c>
      <c r="B880" s="168" t="s">
        <v>90</v>
      </c>
      <c r="C880" s="168">
        <v>4063341</v>
      </c>
      <c r="D880" s="168" t="s">
        <v>147</v>
      </c>
      <c r="E880" s="168"/>
      <c r="F880" s="168"/>
      <c r="G880" s="168" t="s">
        <v>8</v>
      </c>
      <c r="H880" s="169">
        <v>2002</v>
      </c>
      <c r="I880" s="170"/>
      <c r="J880" s="166"/>
      <c r="K880" s="166"/>
      <c r="L880" s="166"/>
      <c r="M880" s="166"/>
      <c r="N880" s="196"/>
      <c r="O880" s="166"/>
      <c r="P880" s="166"/>
      <c r="Q880" s="166"/>
      <c r="R880" s="166"/>
      <c r="S880" s="166"/>
      <c r="T880" s="166"/>
      <c r="U880" s="166"/>
      <c r="V880" s="166">
        <f t="shared" si="2599"/>
        <v>23699.251480192168</v>
      </c>
      <c r="W880" s="170"/>
      <c r="X880" s="174">
        <v>1988.8853079382889</v>
      </c>
      <c r="Y880" s="175">
        <v>7.5032357784893922E-2</v>
      </c>
      <c r="Z880" s="175"/>
      <c r="AA880" s="175"/>
      <c r="AB880" s="175"/>
      <c r="AC880" s="170">
        <f t="shared" si="2462"/>
        <v>23699.251480192168</v>
      </c>
      <c r="AD880" s="175"/>
      <c r="AE880" s="170"/>
      <c r="AF880" s="170"/>
      <c r="AG880" s="174"/>
      <c r="AH880" s="175"/>
      <c r="AI880" s="175"/>
      <c r="AJ880" s="174"/>
      <c r="AK880" s="174"/>
      <c r="AL880" s="120"/>
      <c r="AM880" s="120"/>
      <c r="AN880" s="120"/>
      <c r="AO880" s="120"/>
      <c r="AP880" s="120"/>
      <c r="AQ880" s="175"/>
      <c r="AR880" s="120"/>
      <c r="AS880" s="120"/>
      <c r="AT880" s="120"/>
      <c r="AU880" s="120"/>
      <c r="AV880" s="120"/>
      <c r="AW880" s="120"/>
      <c r="AX880" s="120"/>
      <c r="AY880" s="120"/>
      <c r="AZ880" s="118">
        <f>IFERROR(INDEX('Total Customers'!$F$7:$AB$91,MATCH($C880,'Total Customers'!$D$7:$D$91,0),MATCH($G880,'Total Customers'!$F$5:$AB$5,0)),"NA")</f>
        <v>277160</v>
      </c>
      <c r="BA880" s="119">
        <f t="shared" si="2600"/>
        <v>3.9873834458117194E-2</v>
      </c>
      <c r="BB880" s="119"/>
      <c r="BC880" s="121"/>
      <c r="BD880" s="119"/>
      <c r="BE880" s="119"/>
      <c r="BF880" s="119"/>
      <c r="BG880" s="173"/>
      <c r="BH880" s="173"/>
      <c r="BI880" s="173"/>
      <c r="BJ880" s="173"/>
      <c r="BK880" s="173"/>
      <c r="BL880" s="173"/>
      <c r="BM880" s="173"/>
      <c r="BN880" s="173"/>
      <c r="BO880" s="173"/>
      <c r="BP880" s="173"/>
      <c r="BQ880" s="118"/>
      <c r="BR880" s="118"/>
      <c r="BS880" s="118">
        <f>INDEX('Dist. Plant Gas Additions'!$F$7:$AE$91,MATCH($C880,'Dist. Plant Gas Additions'!$D$7:$D$91,0),MATCH(Calculation!$G880,'Dist. Plant Gas Additions'!$F$5:$AE$5,0))</f>
        <v>47016</v>
      </c>
      <c r="BT880" s="118">
        <f>INDEX('Gen. Plant Additions'!$F$7:$AE$91,MATCH($C880,'Gen. Plant Additions'!$D$7:$D$91,0),MATCH(Calculation!$G880,'Gen. Plant Additions'!$F$5:$AE$5,0))</f>
        <v>8586</v>
      </c>
      <c r="BU880" s="118"/>
      <c r="BV880" s="118"/>
      <c r="BW880" s="118">
        <f>INDEX('Dist Plant Depreciation'!$E$7:$AD$94,MATCH($C880,'Dist Plant Depreciation'!$D$7:$D$94,0),MATCH(Calculation!$G880,'Dist Plant Depreciation'!$E$5:$AD$5,0))</f>
        <v>217568</v>
      </c>
      <c r="BX880" s="118">
        <f>INDEX('Gen. Plant Depreciation'!$E$7:$AD$94,MATCH($C880,'Gen. Plant Depreciation'!$D$7:$D$94,0),MATCH(Calculation!$G880,'Gen. Plant Depreciation'!$E$5:$AD$5,0))</f>
        <v>18714</v>
      </c>
      <c r="BY880" s="118"/>
      <c r="BZ880" s="118"/>
      <c r="CA880" s="118"/>
      <c r="CB880" s="118"/>
      <c r="CC880" s="118"/>
      <c r="CD880" s="183"/>
      <c r="CE880" s="118">
        <f>INDEX('Gross Dx Plant'!$E$7:$AD$91,MATCH($C880,'Gross Dx Plant'!$D$7:$D$91,0),MATCH(Calculation!$G880,'Gross Dx Plant'!$E$5:$AD$5,0))</f>
        <v>564642</v>
      </c>
      <c r="CF880" s="118">
        <f>INDEX('Gross Gen Plant'!$E$7:$AD$91,MATCH($C880,'Gross Gen Plant'!$D$7:$D$91,0),MATCH(Calculation!$G880,'Gross Gen Plant'!$E$5:$AD$5,0))</f>
        <v>50350</v>
      </c>
      <c r="CG880" s="118">
        <f t="shared" si="2598"/>
        <v>378710</v>
      </c>
      <c r="CH880" s="118"/>
      <c r="CI880" s="121">
        <v>2002</v>
      </c>
      <c r="CJ880" s="118"/>
      <c r="CK880" s="118"/>
      <c r="CL880" s="118"/>
      <c r="CM880" s="183"/>
      <c r="CN880" s="118">
        <f t="shared" si="2601"/>
        <v>55602</v>
      </c>
      <c r="CO880" s="118">
        <f t="shared" si="2602"/>
        <v>153.87375742460387</v>
      </c>
      <c r="CP880" s="186">
        <v>0.97916666666666663</v>
      </c>
      <c r="CQ880" s="118">
        <f>+CQ876*CP880+CO877*CP879+CO878*CP878+CO879*CP877+CO880</f>
        <v>1988.8853079382889</v>
      </c>
      <c r="CR880" s="119">
        <f t="shared" si="2603"/>
        <v>7.5032357784893922E-2</v>
      </c>
      <c r="CS880" s="119"/>
      <c r="CT880" s="177">
        <f t="shared" si="2604"/>
        <v>5.4761521145680753E-3</v>
      </c>
      <c r="CU880" s="177">
        <f t="shared" ref="CU880:CU899" si="2612">+(CT880+CT879+CT878)/3</f>
        <v>5.3056771945976635E-3</v>
      </c>
      <c r="CV880" s="119">
        <f>VLOOKUP($H880,RoR!$E:$F,2,FALSE)</f>
        <v>6.4916666666666664E-2</v>
      </c>
      <c r="CW880" s="177">
        <v>1.5246423291824351E-2</v>
      </c>
      <c r="CX880" s="177">
        <f t="shared" si="2610"/>
        <v>4.9670243374842313E-2</v>
      </c>
      <c r="CY880" s="177">
        <f t="shared" ref="CY880:CY899" si="2613">+$CX$35-CU880</f>
        <v>2.5596264413935962E-2</v>
      </c>
      <c r="CZ880" s="177">
        <f t="shared" ref="CZ880:CZ899" si="2614">+((DM878/DM877-1)+(DM879/DM878-1)+(DM880/DM879-1))/3</f>
        <v>2.5243621214759093E-2</v>
      </c>
      <c r="DA880" s="187">
        <f t="shared" si="2605"/>
        <v>0.85534375000000007</v>
      </c>
      <c r="DB880" s="188">
        <f t="shared" si="2606"/>
        <v>0.78996741384417901</v>
      </c>
      <c r="DC880" s="188">
        <f t="shared" si="2607"/>
        <v>0.58989088575096271</v>
      </c>
      <c r="DD880" s="188">
        <f t="shared" si="2608"/>
        <v>0.91920675783645744</v>
      </c>
      <c r="DE880" s="188">
        <f t="shared" si="2609"/>
        <v>0.42834536472275586</v>
      </c>
      <c r="DF880" s="189">
        <f>INDEX('State Tax Lookup'!$D$7:$Z$91,MATCH(Calculation!$C880,'State Tax Lookup'!$B$7:$B$91,0),MATCH($H880,'State Tax Lookup'!$D$6:$Z$6,0))</f>
        <v>0.38574999999999998</v>
      </c>
      <c r="DG880" s="189">
        <v>0.375</v>
      </c>
      <c r="DH880" s="190">
        <f t="shared" si="2611"/>
        <v>12.844317392709218</v>
      </c>
      <c r="DI880" s="190"/>
      <c r="DJ880" s="177"/>
      <c r="DK880" s="189">
        <f>VLOOKUP($H880,RoR!$E:$F,2,FALSE)</f>
        <v>6.4916666666666664E-2</v>
      </c>
      <c r="DL880" s="191">
        <f>HLOOKUP($H880,'GDP-PI'!$D$8:$CQ$11,3,FALSE)</f>
        <v>1.5246423291824351E-2</v>
      </c>
      <c r="DM880" s="189">
        <f>VLOOKUP(H880,'HW Dx Data'!$E:$F,2,FALSE)</f>
        <v>361.34816573413599</v>
      </c>
      <c r="DN880" s="183">
        <f>VLOOKUP(H880,'ECI - Input Price'!$G$17:$H$37,2,FALSE)</f>
        <v>89.275000000000006</v>
      </c>
      <c r="DO880" s="177">
        <f>LN(DN880/DN879)</f>
        <v>3.5051315810864674E-2</v>
      </c>
      <c r="DP880" s="183">
        <f>HLOOKUP(H880,'GDP-PI'!$8:$9,2,FALSE)</f>
        <v>81.039000000000001</v>
      </c>
      <c r="DQ880" s="177">
        <f>LN(DP880/DP879)</f>
        <v>1.513136459537477E-2</v>
      </c>
    </row>
    <row r="881" spans="1:121" s="167" customFormat="1" ht="21" x14ac:dyDescent="0.35">
      <c r="A881" s="167" t="s">
        <v>90</v>
      </c>
      <c r="B881" s="168" t="s">
        <v>90</v>
      </c>
      <c r="C881" s="168">
        <v>4063341</v>
      </c>
      <c r="D881" s="168" t="s">
        <v>147</v>
      </c>
      <c r="E881" s="168"/>
      <c r="F881" s="168"/>
      <c r="G881" s="168" t="s">
        <v>9</v>
      </c>
      <c r="H881" s="169">
        <v>2003</v>
      </c>
      <c r="I881" s="170"/>
      <c r="J881" s="166"/>
      <c r="K881" s="166"/>
      <c r="L881" s="166"/>
      <c r="M881" s="172"/>
      <c r="N881" s="196"/>
      <c r="O881" s="172"/>
      <c r="P881" s="166"/>
      <c r="Q881" s="166"/>
      <c r="R881" s="166"/>
      <c r="S881" s="166"/>
      <c r="T881" s="166"/>
      <c r="U881" s="166"/>
      <c r="V881" s="166">
        <f t="shared" si="2599"/>
        <v>25945.888722435182</v>
      </c>
      <c r="W881" s="170"/>
      <c r="X881" s="174">
        <v>2186.0227068480685</v>
      </c>
      <c r="Y881" s="175">
        <v>9.4509442065673105E-2</v>
      </c>
      <c r="Z881" s="175"/>
      <c r="AA881" s="175"/>
      <c r="AB881" s="175"/>
      <c r="AC881" s="170">
        <f t="shared" si="2462"/>
        <v>25945.888722435182</v>
      </c>
      <c r="AD881" s="175"/>
      <c r="AE881" s="170"/>
      <c r="AF881" s="170"/>
      <c r="AG881" s="174"/>
      <c r="AH881" s="175"/>
      <c r="AI881" s="175"/>
      <c r="AJ881" s="174"/>
      <c r="AK881" s="174"/>
      <c r="AL881" s="120"/>
      <c r="AM881" s="120"/>
      <c r="AN881" s="120"/>
      <c r="AO881" s="120"/>
      <c r="AP881" s="120"/>
      <c r="AQ881" s="175"/>
      <c r="AR881" s="120"/>
      <c r="AS881" s="120"/>
      <c r="AT881" s="120"/>
      <c r="AU881" s="120"/>
      <c r="AV881" s="120"/>
      <c r="AW881" s="120"/>
      <c r="AX881" s="120"/>
      <c r="AY881" s="120"/>
      <c r="AZ881" s="118">
        <f>IFERROR(INDEX('Total Customers'!$F$7:$AB$91,MATCH($C881,'Total Customers'!$D$7:$D$91,0),MATCH($G881,'Total Customers'!$F$5:$AB$5,0)),"NA")</f>
        <v>291911</v>
      </c>
      <c r="BA881" s="119">
        <f t="shared" si="2600"/>
        <v>5.1854004529262705E-2</v>
      </c>
      <c r="BB881" s="119"/>
      <c r="BC881" s="121"/>
      <c r="BD881" s="119"/>
      <c r="BE881" s="119"/>
      <c r="BF881" s="119"/>
      <c r="BG881" s="173"/>
      <c r="BH881" s="173"/>
      <c r="BI881" s="173"/>
      <c r="BJ881" s="173"/>
      <c r="BK881" s="173"/>
      <c r="BL881" s="173"/>
      <c r="BM881" s="173"/>
      <c r="BN881" s="173"/>
      <c r="BO881" s="173"/>
      <c r="BP881" s="173"/>
      <c r="BQ881" s="118"/>
      <c r="BR881" s="118"/>
      <c r="BS881" s="118">
        <f>INDEX('Dist. Plant Gas Additions'!$F$7:$AE$91,MATCH($C881,'Dist. Plant Gas Additions'!$D$7:$D$91,0),MATCH(Calculation!$G881,'Dist. Plant Gas Additions'!$F$5:$AE$5,0))</f>
        <v>69653</v>
      </c>
      <c r="BT881" s="118">
        <f>INDEX('Gen. Plant Additions'!$F$7:$AE$91,MATCH($C881,'Gen. Plant Additions'!$D$7:$D$91,0),MATCH(Calculation!$G881,'Gen. Plant Additions'!$F$5:$AE$5,0))</f>
        <v>7268</v>
      </c>
      <c r="BU881" s="118"/>
      <c r="BV881" s="118"/>
      <c r="BW881" s="118">
        <f>INDEX('Dist Plant Depreciation'!$E$7:$AD$94,MATCH($C881,'Dist Plant Depreciation'!$D$7:$D$94,0),MATCH(Calculation!$G881,'Dist Plant Depreciation'!$E$5:$AD$5,0))</f>
        <v>253590</v>
      </c>
      <c r="BX881" s="118">
        <f>INDEX('Gen. Plant Depreciation'!$E$7:$AD$94,MATCH($C881,'Gen. Plant Depreciation'!$D$7:$D$94,0),MATCH(Calculation!$G881,'Gen. Plant Depreciation'!$E$5:$AD$5,0))</f>
        <v>25511</v>
      </c>
      <c r="BY881" s="118"/>
      <c r="BZ881" s="118"/>
      <c r="CA881" s="118"/>
      <c r="CB881" s="118"/>
      <c r="CC881" s="118"/>
      <c r="CD881" s="183"/>
      <c r="CE881" s="118">
        <f>INDEX('Gross Dx Plant'!$E$7:$AD$91,MATCH($C881,'Gross Dx Plant'!$D$7:$D$91,0),MATCH(Calculation!$G881,'Gross Dx Plant'!$E$5:$AD$5,0))</f>
        <v>679673</v>
      </c>
      <c r="CF881" s="118">
        <f>INDEX('Gross Gen Plant'!$E$7:$AD$91,MATCH($C881,'Gross Gen Plant'!$D$7:$D$91,0),MATCH(Calculation!$G881,'Gross Gen Plant'!$E$5:$AD$5,0))</f>
        <v>40426</v>
      </c>
      <c r="CG881" s="118">
        <f t="shared" si="2598"/>
        <v>440998</v>
      </c>
      <c r="CH881" s="118"/>
      <c r="CI881" s="121">
        <v>2003</v>
      </c>
      <c r="CJ881" s="118"/>
      <c r="CK881" s="118"/>
      <c r="CL881" s="118"/>
      <c r="CM881" s="183"/>
      <c r="CN881" s="118">
        <f t="shared" si="2601"/>
        <v>76921</v>
      </c>
      <c r="CO881" s="118">
        <f t="shared" si="2602"/>
        <v>208.32644351306197</v>
      </c>
      <c r="CP881" s="186">
        <v>0.97354497354497349</v>
      </c>
      <c r="CQ881" s="118">
        <f>+CQ876*CP881+CO877*CP880+CO878*CP879+CO879*CP878+CO880*CP877+CO881</f>
        <v>2186.0227068480685</v>
      </c>
      <c r="CR881" s="119">
        <f t="shared" si="2603"/>
        <v>9.4509442065673105E-2</v>
      </c>
      <c r="CS881" s="119"/>
      <c r="CT881" s="177">
        <f t="shared" si="2604"/>
        <v>5.6257867452804734E-3</v>
      </c>
      <c r="CU881" s="177">
        <f t="shared" si="2612"/>
        <v>5.4715800812631292E-3</v>
      </c>
      <c r="CV881" s="119">
        <f>VLOOKUP($H881,RoR!$E:$F,2,FALSE)</f>
        <v>5.6666666666666671E-2</v>
      </c>
      <c r="CW881" s="177">
        <v>1.8855119140166909E-2</v>
      </c>
      <c r="CX881" s="177">
        <f t="shared" si="2610"/>
        <v>3.7811547526499761E-2</v>
      </c>
      <c r="CY881" s="177">
        <f t="shared" si="2613"/>
        <v>2.5430361527270497E-2</v>
      </c>
      <c r="CZ881" s="177">
        <f t="shared" si="2614"/>
        <v>2.1375012817671957E-2</v>
      </c>
      <c r="DA881" s="187">
        <f t="shared" si="2605"/>
        <v>0.85534375000000007</v>
      </c>
      <c r="DB881" s="188">
        <f t="shared" si="2606"/>
        <v>0.90497737556561086</v>
      </c>
      <c r="DC881" s="188">
        <f t="shared" si="2607"/>
        <v>0.5338235294117647</v>
      </c>
      <c r="DD881" s="188">
        <f t="shared" si="2608"/>
        <v>0.88972433127405692</v>
      </c>
      <c r="DE881" s="188">
        <f t="shared" si="2609"/>
        <v>0.42982423775949252</v>
      </c>
      <c r="DF881" s="189">
        <f>INDEX('State Tax Lookup'!$D$7:$Z$91,MATCH(Calculation!$C881,'State Tax Lookup'!$B$7:$B$91,0),MATCH($H881,'State Tax Lookup'!$D$6:$Z$6,0))</f>
        <v>0.38574999999999998</v>
      </c>
      <c r="DG881" s="189">
        <v>0.375</v>
      </c>
      <c r="DH881" s="190">
        <f t="shared" si="2611"/>
        <v>13.045442398753057</v>
      </c>
      <c r="DI881" s="190"/>
      <c r="DJ881" s="177"/>
      <c r="DK881" s="189">
        <f>VLOOKUP($H881,RoR!$E:$F,2,FALSE)</f>
        <v>5.6666666666666671E-2</v>
      </c>
      <c r="DL881" s="191">
        <f>HLOOKUP($H881,'GDP-PI'!$D$8:$CQ$11,3,FALSE)</f>
        <v>1.8855119140166909E-2</v>
      </c>
      <c r="DM881" s="189">
        <f>VLOOKUP(H881,'HW Dx Data'!$E:$F,2,FALSE)</f>
        <v>369.23301095560191</v>
      </c>
      <c r="DN881" s="183">
        <f>VLOOKUP(H881,'ECI - Input Price'!$G$17:$H$37,2,FALSE)</f>
        <v>92.625</v>
      </c>
      <c r="DO881" s="177">
        <f t="shared" ref="DO881" si="2615">LN(DN881/DN880)</f>
        <v>3.6837590135738785E-2</v>
      </c>
      <c r="DP881" s="183">
        <f>HLOOKUP(H881,'GDP-PI'!$8:$9,2,FALSE)</f>
        <v>82.566999999999993</v>
      </c>
      <c r="DQ881" s="177">
        <f t="shared" ref="DQ881" si="2616">LN(DP881/DP880)</f>
        <v>1.8679564681853753E-2</v>
      </c>
    </row>
    <row r="882" spans="1:121" s="167" customFormat="1" ht="21" x14ac:dyDescent="0.35">
      <c r="A882" s="167" t="s">
        <v>90</v>
      </c>
      <c r="B882" s="168" t="s">
        <v>90</v>
      </c>
      <c r="C882" s="168">
        <v>4063341</v>
      </c>
      <c r="D882" s="168" t="s">
        <v>147</v>
      </c>
      <c r="E882" s="168"/>
      <c r="F882" s="168"/>
      <c r="G882" s="168" t="s">
        <v>10</v>
      </c>
      <c r="H882" s="169">
        <v>2004</v>
      </c>
      <c r="I882" s="170"/>
      <c r="J882" s="166">
        <f>IFERROR(INDEX('Labor Expenditures'!$F$7:$X$91,MATCH($C882,'Labor Expenditures'!$D$7:$D$91,0),MATCH($G882,'Labor Expenditures'!$F$5:$X$5,0)),"NA")</f>
        <v>23530.377459861564</v>
      </c>
      <c r="K882" s="166">
        <f t="shared" ref="K882:K899" si="2617">+J882/DN882</f>
        <v>244.66209992057773</v>
      </c>
      <c r="L882" s="172"/>
      <c r="M882" s="172"/>
      <c r="N882" s="196"/>
      <c r="O882" s="172"/>
      <c r="P882" s="166">
        <f>IFERROR(INDEX('Non-Labor Expenditures'!$F$7:$AB$91,MATCH($C882,'Non-Labor Expenditures'!$D$7:$D$91,0),MATCH($G882,'Non-Labor Expenditures'!$F$5:$AB$5,0)),"NA")</f>
        <v>34076.381430163136</v>
      </c>
      <c r="Q882" s="166">
        <f t="shared" ref="Q882:Q899" si="2618">+P882/DP882</f>
        <v>401.94839970467729</v>
      </c>
      <c r="R882" s="166"/>
      <c r="S882" s="166"/>
      <c r="T882" s="166"/>
      <c r="U882" s="166"/>
      <c r="V882" s="166">
        <f t="shared" si="2599"/>
        <v>31759.840215851349</v>
      </c>
      <c r="W882" s="170"/>
      <c r="X882" s="174">
        <v>2271.499648265813</v>
      </c>
      <c r="Y882" s="175">
        <v>3.8356474274062545E-2</v>
      </c>
      <c r="Z882" s="175"/>
      <c r="AA882" s="175"/>
      <c r="AB882" s="175"/>
      <c r="AC882" s="170">
        <f t="shared" si="2462"/>
        <v>89366.599105876056</v>
      </c>
      <c r="AD882" s="175"/>
      <c r="AE882" s="170"/>
      <c r="AF882" s="170"/>
      <c r="AG882" s="174"/>
      <c r="AH882" s="175"/>
      <c r="AI882" s="175"/>
      <c r="AJ882" s="174"/>
      <c r="AK882" s="174"/>
      <c r="AL882" s="120">
        <f t="shared" ref="AL882:AL899" si="2619">+J882/AC882</f>
        <v>0.26330169991121871</v>
      </c>
      <c r="AM882" s="120">
        <f t="shared" ref="AM882:AM899" si="2620">+P882/AC882</f>
        <v>0.3813100394454032</v>
      </c>
      <c r="AN882" s="120">
        <f t="shared" ref="AN882:AN899" si="2621">+V882/AC882</f>
        <v>0.35538826064337797</v>
      </c>
      <c r="AO882" s="120"/>
      <c r="AP882" s="120"/>
      <c r="AQ882" s="175"/>
      <c r="AR882" s="120"/>
      <c r="AS882" s="120"/>
      <c r="AT882" s="120"/>
      <c r="AU882" s="120"/>
      <c r="AV882" s="120"/>
      <c r="AW882" s="120"/>
      <c r="AX882" s="120"/>
      <c r="AY882" s="120"/>
      <c r="AZ882" s="118">
        <f>IFERROR(INDEX('Total Customers'!$F$7:$AB$91,MATCH($C882,'Total Customers'!$D$7:$D$91,0),MATCH($G882,'Total Customers'!$F$5:$AB$5,0)),"NA")</f>
        <v>307395</v>
      </c>
      <c r="BA882" s="119">
        <f t="shared" si="2600"/>
        <v>5.1684604231588729E-2</v>
      </c>
      <c r="BB882" s="119"/>
      <c r="BC882" s="121"/>
      <c r="BD882" s="119"/>
      <c r="BE882" s="119"/>
      <c r="BF882" s="119"/>
      <c r="BG882" s="173"/>
      <c r="BH882" s="173"/>
      <c r="BI882" s="173"/>
      <c r="BJ882" s="173"/>
      <c r="BK882" s="173"/>
      <c r="BL882" s="173"/>
      <c r="BM882" s="173"/>
      <c r="BN882" s="173"/>
      <c r="BO882" s="173"/>
      <c r="BP882" s="173"/>
      <c r="BQ882" s="118"/>
      <c r="BR882" s="118"/>
      <c r="BS882" s="118">
        <f>INDEX('Dist. Plant Gas Additions'!$F$7:$AE$91,MATCH($C882,'Dist. Plant Gas Additions'!$D$7:$D$91,0),MATCH(Calculation!$G882,'Dist. Plant Gas Additions'!$F$5:$AE$5,0))</f>
        <v>37869</v>
      </c>
      <c r="BT882" s="118">
        <f>INDEX('Gen. Plant Additions'!$F$7:$AE$91,MATCH($C882,'Gen. Plant Additions'!$D$7:$D$91,0),MATCH(Calculation!$G882,'Gen. Plant Additions'!$F$5:$AE$5,0))</f>
        <v>2815</v>
      </c>
      <c r="BU882" s="118"/>
      <c r="BV882" s="118"/>
      <c r="BW882" s="118">
        <f>INDEX('Dist Plant Depreciation'!$E$7:$AD$94,MATCH($C882,'Dist Plant Depreciation'!$D$7:$D$94,0),MATCH(Calculation!$G882,'Dist Plant Depreciation'!$E$5:$AD$5,0))</f>
        <v>272786</v>
      </c>
      <c r="BX882" s="118">
        <f>INDEX('Gen. Plant Depreciation'!$E$7:$AD$94,MATCH($C882,'Gen. Plant Depreciation'!$D$7:$D$94,0),MATCH(Calculation!$G882,'Gen. Plant Depreciation'!$E$5:$AD$5,0))</f>
        <v>26170</v>
      </c>
      <c r="BY882" s="118"/>
      <c r="BZ882" s="118"/>
      <c r="CA882" s="118"/>
      <c r="CB882" s="118"/>
      <c r="CC882" s="118"/>
      <c r="CD882" s="183"/>
      <c r="CE882" s="118">
        <f>INDEX('Gross Dx Plant'!$E$7:$AD$91,MATCH($C882,'Gross Dx Plant'!$D$7:$D$91,0),MATCH(Calculation!$G882,'Gross Dx Plant'!$E$5:$AD$5,0))</f>
        <v>710113</v>
      </c>
      <c r="CF882" s="118">
        <f>INDEX('Gross Gen Plant'!$E$7:$AD$91,MATCH($C882,'Gross Gen Plant'!$D$7:$D$91,0),MATCH(Calculation!$G882,'Gross Gen Plant'!$E$5:$AD$5,0))</f>
        <v>39484</v>
      </c>
      <c r="CG882" s="118">
        <f t="shared" si="2598"/>
        <v>450641</v>
      </c>
      <c r="CH882" s="118"/>
      <c r="CI882" s="121">
        <v>2004</v>
      </c>
      <c r="CJ882" s="118"/>
      <c r="CK882" s="118"/>
      <c r="CL882" s="118"/>
      <c r="CM882" s="183"/>
      <c r="CN882" s="118">
        <f t="shared" si="2601"/>
        <v>40684</v>
      </c>
      <c r="CO882" s="118">
        <f t="shared" si="2602"/>
        <v>98.060390506138631</v>
      </c>
      <c r="CP882" s="186">
        <v>0.967741935483871</v>
      </c>
      <c r="CQ882" s="118">
        <f>+CQ876*CP882+CO877*CP881+CO878*CP880+CO879*CP879+CO880*CP878+CO881*CP877+CO882</f>
        <v>2271.499648265813</v>
      </c>
      <c r="CR882" s="119">
        <f t="shared" si="2603"/>
        <v>3.8356474274062545E-2</v>
      </c>
      <c r="CS882" s="119"/>
      <c r="CT882" s="177">
        <f t="shared" si="2604"/>
        <v>5.7563213085456491E-3</v>
      </c>
      <c r="CU882" s="177">
        <f t="shared" si="2612"/>
        <v>5.619420056131399E-3</v>
      </c>
      <c r="CV882" s="119">
        <f>VLOOKUP($H882,RoR!$E:$F,2,FALSE)</f>
        <v>5.6283333333333331E-2</v>
      </c>
      <c r="CW882" s="177">
        <v>2.6778252812867276E-2</v>
      </c>
      <c r="CX882" s="177">
        <f t="shared" si="2610"/>
        <v>2.9505080520466055E-2</v>
      </c>
      <c r="CY882" s="177">
        <f t="shared" si="2613"/>
        <v>2.5282521552402227E-2</v>
      </c>
      <c r="CZ882" s="177">
        <f t="shared" si="2614"/>
        <v>5.5940039414565046E-2</v>
      </c>
      <c r="DA882" s="187">
        <f t="shared" si="2605"/>
        <v>0.85534375000000007</v>
      </c>
      <c r="DB882" s="188">
        <f t="shared" si="2606"/>
        <v>0.91114097628755619</v>
      </c>
      <c r="DC882" s="188">
        <f t="shared" si="2607"/>
        <v>0.53081877405981637</v>
      </c>
      <c r="DD882" s="188">
        <f t="shared" si="2608"/>
        <v>0.88811215519385678</v>
      </c>
      <c r="DE882" s="188">
        <f t="shared" si="2609"/>
        <v>0.42953609753547711</v>
      </c>
      <c r="DF882" s="189">
        <f>INDEX('State Tax Lookup'!$D$7:$Z$91,MATCH(Calculation!$C882,'State Tax Lookup'!$B$7:$B$91,0),MATCH($H882,'State Tax Lookup'!$D$6:$Z$6,0))</f>
        <v>0.38574999999999998</v>
      </c>
      <c r="DG882" s="189">
        <v>0.375</v>
      </c>
      <c r="DH882" s="190">
        <f t="shared" si="2611"/>
        <v>14.528595753538392</v>
      </c>
      <c r="DI882" s="190"/>
      <c r="DJ882" s="177"/>
      <c r="DK882" s="189">
        <f>VLOOKUP($H882,RoR!$E:$F,2,FALSE)</f>
        <v>5.6283333333333331E-2</v>
      </c>
      <c r="DL882" s="191">
        <f>HLOOKUP($H882,'GDP-PI'!$D$8:$CQ$11,3,FALSE)</f>
        <v>2.6778252812867276E-2</v>
      </c>
      <c r="DM882" s="189">
        <f>VLOOKUP(H882,'HW Dx Data'!$E:$F,2,FALSE)</f>
        <v>414.88719135228365</v>
      </c>
      <c r="DN882" s="183">
        <f>VLOOKUP(H882,'ECI - Input Price'!$G$17:$H$37,2,FALSE)</f>
        <v>96.174999999999997</v>
      </c>
      <c r="DO882" s="177">
        <f t="shared" ref="DO882" si="2622">LN(DN882/DN881)</f>
        <v>3.7610365022107912E-2</v>
      </c>
      <c r="DP882" s="183">
        <f>HLOOKUP(H882,'GDP-PI'!$8:$9,2,FALSE)</f>
        <v>84.778000000000006</v>
      </c>
      <c r="DQ882" s="177">
        <f t="shared" ref="DQ882" si="2623">LN(DP882/DP881)</f>
        <v>2.6425990216022755E-2</v>
      </c>
    </row>
    <row r="883" spans="1:121" s="167" customFormat="1" ht="21" x14ac:dyDescent="0.35">
      <c r="A883" s="167" t="s">
        <v>90</v>
      </c>
      <c r="B883" s="168" t="s">
        <v>90</v>
      </c>
      <c r="C883" s="168">
        <v>4063341</v>
      </c>
      <c r="D883" s="168" t="s">
        <v>147</v>
      </c>
      <c r="E883" s="168"/>
      <c r="F883" s="168"/>
      <c r="G883" s="168" t="s">
        <v>11</v>
      </c>
      <c r="H883" s="169">
        <v>2005</v>
      </c>
      <c r="I883" s="170"/>
      <c r="J883" s="166">
        <f>IFERROR(INDEX('Labor Expenditures'!$F$7:$X$91,MATCH($C883,'Labor Expenditures'!$D$7:$D$91,0),MATCH($G883,'Labor Expenditures'!$F$5:$X$5,0)),"NA")</f>
        <v>24466.010083575813</v>
      </c>
      <c r="K883" s="166">
        <f t="shared" si="2617"/>
        <v>246.75753992512165</v>
      </c>
      <c r="L883" s="172">
        <f t="shared" ref="L883:L899" si="2624">LN(K883/K882)</f>
        <v>8.5281601899941141E-3</v>
      </c>
      <c r="M883" s="172"/>
      <c r="N883" s="196"/>
      <c r="O883" s="172"/>
      <c r="P883" s="166">
        <f>IFERROR(INDEX('Non-Labor Expenditures'!$F$7:$AB$91,MATCH($C883,'Non-Labor Expenditures'!$D$7:$D$91,0),MATCH($G883,'Non-Labor Expenditures'!$F$5:$AB$5,0)),"NA")</f>
        <v>35431.35222137026</v>
      </c>
      <c r="Q883" s="166">
        <f t="shared" si="2618"/>
        <v>405.36058006075325</v>
      </c>
      <c r="R883" s="172">
        <f>LN(Q883/Q882)</f>
        <v>8.4532707067066122E-3</v>
      </c>
      <c r="S883" s="172"/>
      <c r="T883" s="172"/>
      <c r="U883" s="172"/>
      <c r="V883" s="166">
        <f t="shared" si="2599"/>
        <v>37004.755305765742</v>
      </c>
      <c r="W883" s="170"/>
      <c r="X883" s="174">
        <v>2331.5906123522304</v>
      </c>
      <c r="Y883" s="175">
        <v>2.6110449541944896E-2</v>
      </c>
      <c r="Z883" s="175"/>
      <c r="AA883" s="175"/>
      <c r="AB883" s="175"/>
      <c r="AC883" s="170">
        <f t="shared" si="2462"/>
        <v>96902.117610711808</v>
      </c>
      <c r="AD883" s="175">
        <f>LN(AC883/AC882)</f>
        <v>8.0954371647552897E-2</v>
      </c>
      <c r="AE883" s="170"/>
      <c r="AF883" s="170"/>
      <c r="AG883" s="121"/>
      <c r="AH883" s="119"/>
      <c r="AI883" s="119"/>
      <c r="AJ883" s="121"/>
      <c r="AK883" s="121"/>
      <c r="AL883" s="120">
        <f t="shared" si="2619"/>
        <v>0.25248168653923492</v>
      </c>
      <c r="AM883" s="120">
        <f t="shared" si="2620"/>
        <v>0.36564063918303463</v>
      </c>
      <c r="AN883" s="120">
        <f t="shared" si="2621"/>
        <v>0.38187767427773056</v>
      </c>
      <c r="AO883" s="120">
        <f t="shared" ref="AO883:AO899" si="2625">+(((AL883+AL882)/2)*L883+((AM882+AM883)/2)*R883+((AN882+AN883)/2)*Y883)</f>
        <v>1.4981602313371971E-2</v>
      </c>
      <c r="AP883" s="173">
        <v>100</v>
      </c>
      <c r="AQ883" s="175"/>
      <c r="AR883" s="120"/>
      <c r="AS883" s="120"/>
      <c r="AT883" s="120"/>
      <c r="AU883" s="120"/>
      <c r="AV883" s="120"/>
      <c r="AW883" s="120"/>
      <c r="AX883" s="120"/>
      <c r="AY883" s="120"/>
      <c r="AZ883" s="118">
        <f>IFERROR(INDEX('Total Customers'!$F$7:$AB$91,MATCH($C883,'Total Customers'!$D$7:$D$91,0),MATCH($G883,'Total Customers'!$F$5:$AB$5,0)),"NA")</f>
        <v>318404</v>
      </c>
      <c r="BA883" s="119">
        <f t="shared" si="2600"/>
        <v>3.5187451185354823E-2</v>
      </c>
      <c r="BB883" s="119"/>
      <c r="BC883" s="121"/>
      <c r="BD883" s="119"/>
      <c r="BE883" s="119"/>
      <c r="BF883" s="119"/>
      <c r="BG883" s="173"/>
      <c r="BH883" s="173"/>
      <c r="BI883" s="173"/>
      <c r="BJ883" s="173"/>
      <c r="BK883" s="173"/>
      <c r="BL883" s="173"/>
      <c r="BM883" s="173"/>
      <c r="BN883" s="173"/>
      <c r="BO883" s="173"/>
      <c r="BP883" s="173"/>
      <c r="BQ883" s="118"/>
      <c r="BR883" s="118"/>
      <c r="BS883" s="118">
        <f>INDEX('Dist. Plant Gas Additions'!$F$7:$AE$91,MATCH($C883,'Dist. Plant Gas Additions'!$D$7:$D$91,0),MATCH(Calculation!$G883,'Dist. Plant Gas Additions'!$F$5:$AE$5,0))</f>
        <v>31836</v>
      </c>
      <c r="BT883" s="118">
        <f>INDEX('Gen. Plant Additions'!$F$7:$AE$91,MATCH($C883,'Gen. Plant Additions'!$D$7:$D$91,0),MATCH(Calculation!$G883,'Gen. Plant Additions'!$F$5:$AE$5,0))</f>
        <v>2683</v>
      </c>
      <c r="BU883" s="118"/>
      <c r="BV883" s="118"/>
      <c r="BW883" s="118">
        <f>INDEX('Dist Plant Depreciation'!$E$7:$AD$94,MATCH($C883,'Dist Plant Depreciation'!$D$7:$D$94,0),MATCH(Calculation!$G883,'Dist Plant Depreciation'!$E$5:$AD$5,0))</f>
        <v>292024</v>
      </c>
      <c r="BX883" s="118">
        <f>INDEX('Gen. Plant Depreciation'!$E$7:$AD$94,MATCH($C883,'Gen. Plant Depreciation'!$D$7:$D$94,0),MATCH(Calculation!$G883,'Gen. Plant Depreciation'!$E$5:$AD$5,0))</f>
        <v>30349</v>
      </c>
      <c r="BY883" s="118"/>
      <c r="BZ883" s="118"/>
      <c r="CA883" s="118"/>
      <c r="CB883" s="118"/>
      <c r="CC883" s="118"/>
      <c r="CD883" s="183"/>
      <c r="CE883" s="118">
        <f>INDEX('Gross Dx Plant'!$E$7:$AD$91,MATCH($C883,'Gross Dx Plant'!$D$7:$D$91,0),MATCH(Calculation!$G883,'Gross Dx Plant'!$E$5:$AD$5,0))</f>
        <v>734677</v>
      </c>
      <c r="CF883" s="118">
        <f>INDEX('Gross Gen Plant'!$E$7:$AD$91,MATCH($C883,'Gross Gen Plant'!$D$7:$D$91,0),MATCH(Calculation!$G883,'Gross Gen Plant'!$E$5:$AD$5,0))</f>
        <v>40843</v>
      </c>
      <c r="CG883" s="118">
        <f t="shared" si="2598"/>
        <v>453147</v>
      </c>
      <c r="CH883" s="118"/>
      <c r="CI883" s="121">
        <v>2005</v>
      </c>
      <c r="CJ883" s="118"/>
      <c r="CK883" s="118"/>
      <c r="CL883" s="118"/>
      <c r="CM883" s="183"/>
      <c r="CN883" s="118">
        <f t="shared" si="2601"/>
        <v>34519</v>
      </c>
      <c r="CO883" s="118">
        <f t="shared" si="2602"/>
        <v>73.569100232571429</v>
      </c>
      <c r="CP883" s="186">
        <v>0.96174863387978138</v>
      </c>
      <c r="CQ883" s="118">
        <f>+CQ876*CP883+CO877*CP882+CO878*CP881+CO879*CP880+CO880*CP879+CO881*CP878+CO882*CP877+CO883</f>
        <v>2331.5906123522304</v>
      </c>
      <c r="CR883" s="119">
        <f t="shared" si="2603"/>
        <v>2.6110449541944896E-2</v>
      </c>
      <c r="CS883" s="119"/>
      <c r="CT883" s="177">
        <f t="shared" si="2604"/>
        <v>5.9335849584849958E-3</v>
      </c>
      <c r="CU883" s="177">
        <f t="shared" si="2612"/>
        <v>5.7718976707703722E-3</v>
      </c>
      <c r="CV883" s="119">
        <f>VLOOKUP($H883,RoR!$E:$F,2,FALSE)</f>
        <v>5.2350000000000001E-2</v>
      </c>
      <c r="CW883" s="177">
        <v>3.1010403642454332E-2</v>
      </c>
      <c r="CX883" s="177">
        <f t="shared" si="2610"/>
        <v>2.1339596357545669E-2</v>
      </c>
      <c r="CY883" s="177">
        <f t="shared" si="2613"/>
        <v>2.5130043937763254E-2</v>
      </c>
      <c r="CZ883" s="177">
        <f t="shared" si="2614"/>
        <v>9.2129610649277341E-2</v>
      </c>
      <c r="DA883" s="187">
        <f t="shared" si="2605"/>
        <v>0.85534375000000007</v>
      </c>
      <c r="DB883" s="188">
        <f t="shared" si="2606"/>
        <v>0.97959983346802826</v>
      </c>
      <c r="DC883" s="188">
        <f t="shared" si="2607"/>
        <v>0.49744508118433622</v>
      </c>
      <c r="DD883" s="188">
        <f t="shared" si="2608"/>
        <v>0.87010519444335932</v>
      </c>
      <c r="DE883" s="188">
        <f t="shared" si="2609"/>
        <v>0.42399975420741998</v>
      </c>
      <c r="DF883" s="189">
        <f>INDEX('State Tax Lookup'!$D$7:$Z$91,MATCH(Calculation!$C883,'State Tax Lookup'!$B$7:$B$91,0),MATCH($H883,'State Tax Lookup'!$D$6:$Z$6,0))</f>
        <v>0.38574999999999998</v>
      </c>
      <c r="DG883" s="189">
        <v>0.375</v>
      </c>
      <c r="DH883" s="190">
        <f t="shared" si="2611"/>
        <v>16.290891937411125</v>
      </c>
      <c r="DI883" s="190"/>
      <c r="DJ883" s="177"/>
      <c r="DK883" s="189">
        <f>VLOOKUP($H883,RoR!$E:$F,2,FALSE)</f>
        <v>5.2350000000000001E-2</v>
      </c>
      <c r="DL883" s="191">
        <f>HLOOKUP($H883,'GDP-PI'!$D$8:$CQ$11,3,FALSE)</f>
        <v>3.1010403642454332E-2</v>
      </c>
      <c r="DM883" s="189">
        <f>VLOOKUP(H883,'HW Dx Data'!$E:$F,2,FALSE)</f>
        <v>469.20514034936258</v>
      </c>
      <c r="DN883" s="183">
        <f>VLOOKUP(H883,'ECI - Input Price'!$G$17:$H$37,2,FALSE)</f>
        <v>99.15</v>
      </c>
      <c r="DO883" s="177">
        <f t="shared" ref="DO883" si="2626">LN(DN883/DN882)</f>
        <v>3.046440632744625E-2</v>
      </c>
      <c r="DP883" s="183">
        <f>HLOOKUP(H883,'GDP-PI'!$8:$9,2,FALSE)</f>
        <v>87.406999999999996</v>
      </c>
      <c r="DQ883" s="177">
        <f t="shared" ref="DQ883" si="2627">LN(DP883/DP882)</f>
        <v>3.0539295810733648E-2</v>
      </c>
    </row>
    <row r="884" spans="1:121" s="167" customFormat="1" ht="21" x14ac:dyDescent="0.35">
      <c r="A884" s="167" t="s">
        <v>90</v>
      </c>
      <c r="B884" s="168" t="s">
        <v>90</v>
      </c>
      <c r="C884" s="168">
        <v>4063341</v>
      </c>
      <c r="D884" s="168" t="s">
        <v>147</v>
      </c>
      <c r="E884" s="168"/>
      <c r="F884" s="168"/>
      <c r="G884" s="168" t="s">
        <v>12</v>
      </c>
      <c r="H884" s="169">
        <v>2006</v>
      </c>
      <c r="I884" s="170"/>
      <c r="J884" s="166">
        <f>IFERROR(INDEX('Labor Expenditures'!$F$7:$X$91,MATCH($C884,'Labor Expenditures'!$D$7:$D$91,0),MATCH($G884,'Labor Expenditures'!$F$5:$X$5,0)),"NA")</f>
        <v>25572.637831802076</v>
      </c>
      <c r="K884" s="166">
        <f t="shared" si="2617"/>
        <v>250.58929771486601</v>
      </c>
      <c r="L884" s="172">
        <f t="shared" si="2624"/>
        <v>1.540910011797113E-2</v>
      </c>
      <c r="M884" s="172">
        <f t="shared" ref="M884:M899" si="2628">+L884*AR884</f>
        <v>1.9317218908644507E-4</v>
      </c>
      <c r="N884" s="196"/>
      <c r="O884" s="172"/>
      <c r="P884" s="166">
        <f>IFERROR(INDEX('Non-Labor Expenditures'!$F$7:$AB$91,MATCH($C884,'Non-Labor Expenditures'!$D$7:$D$91,0),MATCH($G884,'Non-Labor Expenditures'!$F$5:$AB$5,0)),"NA")</f>
        <v>37033.955890354613</v>
      </c>
      <c r="Q884" s="166">
        <f t="shared" si="2618"/>
        <v>411.15034183398774</v>
      </c>
      <c r="R884" s="172">
        <f t="shared" ref="R884:R899" si="2629">LN(Q884/Q883)</f>
        <v>1.4181950682565682E-2</v>
      </c>
      <c r="S884" s="172">
        <f>+R884*AR884</f>
        <v>1.777883483067359E-4</v>
      </c>
      <c r="T884" s="172"/>
      <c r="U884" s="172"/>
      <c r="V884" s="166">
        <f t="shared" si="2599"/>
        <v>37113.413961124978</v>
      </c>
      <c r="W884" s="170"/>
      <c r="X884" s="174">
        <v>2432.5957243828243</v>
      </c>
      <c r="Y884" s="175">
        <v>4.2408185655413516E-2</v>
      </c>
      <c r="Z884" s="175">
        <f>+Y884*AR884</f>
        <v>5.3163922588097472E-4</v>
      </c>
      <c r="AA884" s="175"/>
      <c r="AB884" s="175"/>
      <c r="AC884" s="170">
        <f t="shared" si="2462"/>
        <v>99720.00768328167</v>
      </c>
      <c r="AD884" s="175">
        <f t="shared" ref="AD884:AD899" si="2630">LN(AC884/AC883)</f>
        <v>2.8664963478254698E-2</v>
      </c>
      <c r="AE884" s="170"/>
      <c r="AF884" s="170"/>
      <c r="AG884" s="121">
        <f t="shared" ref="AG884:AG899" si="2631">+(AC884*1000)/AZ884</f>
        <v>303.94842656190121</v>
      </c>
      <c r="AH884" s="119">
        <f>+AZ884/$BB$44</f>
        <v>9.3325984042230154E-3</v>
      </c>
      <c r="AI884" s="119"/>
      <c r="AJ884" s="176">
        <f>+AH884*AG884</f>
        <v>2.8366286006976957</v>
      </c>
      <c r="AK884" s="176">
        <f>+AI884*AG884</f>
        <v>0</v>
      </c>
      <c r="AL884" s="120">
        <f t="shared" si="2619"/>
        <v>0.2564444029429151</v>
      </c>
      <c r="AM884" s="120">
        <f t="shared" si="2620"/>
        <v>0.37137939266889425</v>
      </c>
      <c r="AN884" s="120">
        <f t="shared" si="2621"/>
        <v>0.3721762043881906</v>
      </c>
      <c r="AO884" s="120">
        <f t="shared" si="2625"/>
        <v>2.5136265844957036E-2</v>
      </c>
      <c r="AP884" s="173">
        <f>+AP883*EXP(AO884)</f>
        <v>102.54548454753274</v>
      </c>
      <c r="AQ884" s="175">
        <f>LN(AP884/AP883)</f>
        <v>2.5136265844957057E-2</v>
      </c>
      <c r="AR884" s="177">
        <f>+AC884/$AE$44</f>
        <v>1.2536240767308316E-2</v>
      </c>
      <c r="AS884" s="177">
        <f>+AR884*AQ884</f>
        <v>3.1511428062345028E-4</v>
      </c>
      <c r="AT884" s="177"/>
      <c r="AU884" s="177"/>
      <c r="AV884" s="177"/>
      <c r="AW884" s="190"/>
      <c r="AX884" s="120"/>
      <c r="AY884" s="120"/>
      <c r="AZ884" s="118">
        <f>IFERROR(INDEX('Total Customers'!$F$7:$AB$91,MATCH($C884,'Total Customers'!$D$7:$D$91,0),MATCH($G884,'Total Customers'!$F$5:$AB$5,0)),"NA")</f>
        <v>328082</v>
      </c>
      <c r="BA884" s="119">
        <f t="shared" si="2600"/>
        <v>2.9942560433964184E-2</v>
      </c>
      <c r="BB884" s="119"/>
      <c r="BC884" s="121"/>
      <c r="BD884" s="119"/>
      <c r="BE884" s="119"/>
      <c r="BF884" s="119"/>
      <c r="BG884" s="173"/>
      <c r="BH884" s="173"/>
      <c r="BI884" s="173"/>
      <c r="BJ884" s="173"/>
      <c r="BK884" s="173"/>
      <c r="BL884" s="173"/>
      <c r="BM884" s="173"/>
      <c r="BN884" s="173"/>
      <c r="BO884" s="173"/>
      <c r="BP884" s="173"/>
      <c r="BQ884" s="118"/>
      <c r="BR884" s="118"/>
      <c r="BS884" s="118">
        <f>INDEX('Dist. Plant Gas Additions'!$F$7:$AE$91,MATCH($C884,'Dist. Plant Gas Additions'!$D$7:$D$91,0),MATCH(Calculation!$G884,'Dist. Plant Gas Additions'!$F$5:$AE$5,0))</f>
        <v>49421</v>
      </c>
      <c r="BT884" s="118">
        <f>INDEX('Gen. Plant Additions'!$F$7:$AE$91,MATCH($C884,'Gen. Plant Additions'!$D$7:$D$91,0),MATCH(Calculation!$G884,'Gen. Plant Additions'!$F$5:$AE$5,0))</f>
        <v>3738</v>
      </c>
      <c r="BU884" s="118"/>
      <c r="BV884" s="118"/>
      <c r="BW884" s="118">
        <f>INDEX('Dist Plant Depreciation'!$E$7:$AD$94,MATCH($C884,'Dist Plant Depreciation'!$D$7:$D$94,0),MATCH(Calculation!$G884,'Dist Plant Depreciation'!$E$5:$AD$5,0))</f>
        <v>317020</v>
      </c>
      <c r="BX884" s="118">
        <f>INDEX('Gen. Plant Depreciation'!$E$7:$AD$94,MATCH($C884,'Gen. Plant Depreciation'!$D$7:$D$94,0),MATCH(Calculation!$G884,'Gen. Plant Depreciation'!$E$5:$AD$5,0))</f>
        <v>32478</v>
      </c>
      <c r="BY884" s="118"/>
      <c r="BZ884" s="118"/>
      <c r="CA884" s="118"/>
      <c r="CB884" s="118"/>
      <c r="CC884" s="118"/>
      <c r="CD884" s="183"/>
      <c r="CE884" s="118">
        <f>INDEX('Gross Dx Plant'!$E$7:$AD$91,MATCH($C884,'Gross Dx Plant'!$D$7:$D$91,0),MATCH(Calculation!$G884,'Gross Dx Plant'!$E$5:$AD$5,0))</f>
        <v>781064</v>
      </c>
      <c r="CF884" s="118">
        <f>INDEX('Gross Gen Plant'!$E$7:$AD$91,MATCH($C884,'Gross Gen Plant'!$D$7:$D$91,0),MATCH(Calculation!$G884,'Gross Gen Plant'!$E$5:$AD$5,0))</f>
        <v>41199</v>
      </c>
      <c r="CG884" s="118">
        <f t="shared" si="2598"/>
        <v>472765</v>
      </c>
      <c r="CH884" s="119" t="e">
        <f>SUM(#REF!)/15</f>
        <v>#REF!</v>
      </c>
      <c r="CI884" s="121">
        <v>2006</v>
      </c>
      <c r="CJ884" s="118"/>
      <c r="CK884" s="118"/>
      <c r="CL884" s="118"/>
      <c r="CM884" s="183"/>
      <c r="CN884" s="118">
        <f t="shared" si="2601"/>
        <v>53159</v>
      </c>
      <c r="CO884" s="118">
        <f t="shared" si="2602"/>
        <v>115.29093863465378</v>
      </c>
      <c r="CP884" s="186">
        <v>0.9555555555555556</v>
      </c>
      <c r="CQ884" s="118">
        <f>+CQ876*CP884+CO877*CP883+CO878*CP882+CO879*CP881+CO880*CP880+CO881*CP879+CO882*CP878+CO883*CP877+CO884</f>
        <v>2432.5957243828243</v>
      </c>
      <c r="CR884" s="119">
        <f t="shared" si="2603"/>
        <v>4.2408185655413516E-2</v>
      </c>
      <c r="CS884" s="119"/>
      <c r="CT884" s="177">
        <f t="shared" si="2604"/>
        <v>6.127073307113564E-3</v>
      </c>
      <c r="CU884" s="177">
        <f t="shared" si="2612"/>
        <v>5.938993191381403E-3</v>
      </c>
      <c r="CV884" s="119">
        <f>VLOOKUP($H884,RoR!$E:$F,2,FALSE)</f>
        <v>5.5874999999999994E-2</v>
      </c>
      <c r="CW884" s="177">
        <v>3.0512430354548314E-2</v>
      </c>
      <c r="CX884" s="177">
        <f t="shared" si="2610"/>
        <v>2.536256964545168E-2</v>
      </c>
      <c r="CY884" s="177">
        <f t="shared" si="2613"/>
        <v>2.4962948417152221E-2</v>
      </c>
      <c r="CZ884" s="177">
        <f t="shared" si="2614"/>
        <v>7.9087823893859641E-2</v>
      </c>
      <c r="DA884" s="187">
        <f t="shared" si="2605"/>
        <v>0.85534375000000007</v>
      </c>
      <c r="DB884" s="188">
        <f t="shared" si="2606"/>
        <v>0.91779957551769631</v>
      </c>
      <c r="DC884" s="188">
        <f t="shared" si="2607"/>
        <v>0.52757270693512304</v>
      </c>
      <c r="DD884" s="188">
        <f t="shared" si="2608"/>
        <v>0.88636824549024895</v>
      </c>
      <c r="DE884" s="188">
        <f t="shared" si="2609"/>
        <v>0.42918482841932087</v>
      </c>
      <c r="DF884" s="189">
        <f>INDEX('State Tax Lookup'!$D$7:$Z$91,MATCH(Calculation!$C884,'State Tax Lookup'!$B$7:$B$91,0),MATCH($H884,'State Tax Lookup'!$D$6:$Z$6,0))</f>
        <v>0.38574999999999998</v>
      </c>
      <c r="DG884" s="189">
        <v>0.375</v>
      </c>
      <c r="DH884" s="190">
        <f t="shared" si="2611"/>
        <v>15.917637412205492</v>
      </c>
      <c r="DI884" s="190">
        <v>15.459357709386341</v>
      </c>
      <c r="DJ884" s="177"/>
      <c r="DK884" s="189">
        <f>VLOOKUP($H884,RoR!$E:$F,2,FALSE)</f>
        <v>5.5874999999999994E-2</v>
      </c>
      <c r="DL884" s="191">
        <f>HLOOKUP($H884,'GDP-PI'!$D$8:$CQ$11,3,FALSE)</f>
        <v>3.0512430354548314E-2</v>
      </c>
      <c r="DM884" s="189">
        <f>VLOOKUP(H884,'HW Dx Data'!$E:$F,2,FALSE)</f>
        <v>461.08567272971823</v>
      </c>
      <c r="DN884" s="183">
        <f>VLOOKUP(H884,'ECI - Input Price'!$G$17:$H$37,2,FALSE)</f>
        <v>102.05</v>
      </c>
      <c r="DO884" s="177">
        <f t="shared" ref="DO884" si="2632">LN(DN884/DN883)</f>
        <v>2.8829034290048662E-2</v>
      </c>
      <c r="DP884" s="183">
        <f>HLOOKUP(H884,'GDP-PI'!$8:$9,2,FALSE)</f>
        <v>90.073999999999998</v>
      </c>
      <c r="DQ884" s="177">
        <f t="shared" ref="DQ884" si="2633">LN(DP884/DP883)</f>
        <v>3.005618372545445E-2</v>
      </c>
    </row>
    <row r="885" spans="1:121" s="167" customFormat="1" ht="21" x14ac:dyDescent="0.35">
      <c r="A885" s="167" t="s">
        <v>90</v>
      </c>
      <c r="B885" s="168" t="s">
        <v>90</v>
      </c>
      <c r="C885" s="168">
        <v>4063341</v>
      </c>
      <c r="D885" s="168" t="s">
        <v>147</v>
      </c>
      <c r="E885" s="168"/>
      <c r="F885" s="168"/>
      <c r="G885" s="168" t="s">
        <v>13</v>
      </c>
      <c r="H885" s="169">
        <v>2007</v>
      </c>
      <c r="I885" s="170"/>
      <c r="J885" s="166">
        <f>IFERROR(INDEX('Labor Expenditures'!$F$7:$X$91,MATCH($C885,'Labor Expenditures'!$D$7:$D$91,0),MATCH($G885,'Labor Expenditures'!$F$5:$X$5,0)),"NA")</f>
        <v>25713.725465201464</v>
      </c>
      <c r="K885" s="166">
        <f t="shared" si="2617"/>
        <v>244.36897567309538</v>
      </c>
      <c r="L885" s="172">
        <f t="shared" si="2624"/>
        <v>-2.5136056446762353E-2</v>
      </c>
      <c r="M885" s="172">
        <f t="shared" si="2628"/>
        <v>-3.1274493746132553E-4</v>
      </c>
      <c r="N885" s="196"/>
      <c r="O885" s="172"/>
      <c r="P885" s="166">
        <f>IFERROR(INDEX('Non-Labor Expenditures'!$F$7:$AB$91,MATCH($C885,'Non-Labor Expenditures'!$D$7:$D$91,0),MATCH($G885,'Non-Labor Expenditures'!$F$5:$AB$5,0)),"NA")</f>
        <v>37238.277135051918</v>
      </c>
      <c r="Q885" s="166">
        <f t="shared" si="2618"/>
        <v>402.5846735610707</v>
      </c>
      <c r="R885" s="172">
        <f t="shared" si="2629"/>
        <v>-2.1053498996019826E-2</v>
      </c>
      <c r="S885" s="172">
        <f t="shared" ref="S885:S899" si="2634">+R885*AR885</f>
        <v>-2.6194941282049836E-4</v>
      </c>
      <c r="T885" s="172"/>
      <c r="U885" s="172"/>
      <c r="V885" s="166">
        <f t="shared" si="2599"/>
        <v>41585.883420020495</v>
      </c>
      <c r="W885" s="170"/>
      <c r="X885" s="174">
        <v>2492.2761635294073</v>
      </c>
      <c r="Y885" s="175">
        <v>2.4237528252990047E-2</v>
      </c>
      <c r="Z885" s="175">
        <f t="shared" ref="Z885:Z899" si="2635">+Y885*AR885</f>
        <v>3.015653737790219E-4</v>
      </c>
      <c r="AA885" s="175"/>
      <c r="AB885" s="175"/>
      <c r="AC885" s="170">
        <f t="shared" si="2462"/>
        <v>104537.88602027387</v>
      </c>
      <c r="AD885" s="175">
        <f t="shared" si="2630"/>
        <v>4.7183215645719062E-2</v>
      </c>
      <c r="AE885" s="170"/>
      <c r="AF885" s="170"/>
      <c r="AG885" s="121">
        <f t="shared" si="2631"/>
        <v>312.66659095681342</v>
      </c>
      <c r="AH885" s="119">
        <f>+AZ885/$BB$45</f>
        <v>9.4393892024947617E-3</v>
      </c>
      <c r="AI885" s="119"/>
      <c r="AJ885" s="176">
        <f t="shared" ref="AJ885:AJ899" si="2636">+AH885*AG885</f>
        <v>2.9513816426585908</v>
      </c>
      <c r="AK885" s="176">
        <f t="shared" ref="AK885:AK899" si="2637">+AI885*AG885</f>
        <v>0</v>
      </c>
      <c r="AL885" s="120">
        <f t="shared" si="2619"/>
        <v>0.24597518128704643</v>
      </c>
      <c r="AM885" s="120">
        <f t="shared" si="2620"/>
        <v>0.35621800433031525</v>
      </c>
      <c r="AN885" s="120">
        <f t="shared" si="2621"/>
        <v>0.39780681438263837</v>
      </c>
      <c r="AO885" s="120">
        <f t="shared" si="2625"/>
        <v>-4.6424164623060735E-3</v>
      </c>
      <c r="AP885" s="173">
        <f>+AP884*EXP(AO885)</f>
        <v>102.07052902562202</v>
      </c>
      <c r="AQ885" s="175">
        <f>LN(AP885/AP884)</f>
        <v>-4.642416462306123E-3</v>
      </c>
      <c r="AR885" s="177">
        <f>+AC885/$AE$45</f>
        <v>1.2442084466340726E-2</v>
      </c>
      <c r="AS885" s="177">
        <f t="shared" ref="AS885:AS899" si="2638">+AR885*AQ885</f>
        <v>-5.7761337751943477E-5</v>
      </c>
      <c r="AT885" s="177"/>
      <c r="AU885" s="177"/>
      <c r="AV885" s="177"/>
      <c r="AW885" s="190"/>
      <c r="AX885" s="120"/>
      <c r="AY885" s="120"/>
      <c r="AZ885" s="118">
        <f>IFERROR(INDEX('Total Customers'!$F$7:$AB$91,MATCH($C885,'Total Customers'!$D$7:$D$91,0),MATCH($G885,'Total Customers'!$F$5:$AB$5,0)),"NA")</f>
        <v>334343</v>
      </c>
      <c r="BA885" s="119">
        <f t="shared" si="2600"/>
        <v>1.8903834996713883E-2</v>
      </c>
      <c r="BB885" s="119"/>
      <c r="BC885" s="121"/>
      <c r="BD885" s="119"/>
      <c r="BE885" s="119"/>
      <c r="BF885" s="119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18"/>
      <c r="BR885" s="118"/>
      <c r="BS885" s="118">
        <f>INDEX('Dist. Plant Gas Additions'!$F$7:$AE$91,MATCH($C885,'Dist. Plant Gas Additions'!$D$7:$D$91,0),MATCH(Calculation!$G885,'Dist. Plant Gas Additions'!$F$5:$AE$5,0))</f>
        <v>33594</v>
      </c>
      <c r="BT885" s="118">
        <f>INDEX('Gen. Plant Additions'!$F$7:$AE$91,MATCH($C885,'Gen. Plant Additions'!$D$7:$D$91,0),MATCH(Calculation!$G885,'Gen. Plant Additions'!$F$5:$AE$5,0))</f>
        <v>3765</v>
      </c>
      <c r="BU885" s="118"/>
      <c r="BV885" s="118"/>
      <c r="BW885" s="118">
        <f>INDEX('Dist Plant Depreciation'!$E$7:$AD$94,MATCH($C885,'Dist Plant Depreciation'!$D$7:$D$94,0),MATCH(Calculation!$G885,'Dist Plant Depreciation'!$E$5:$AD$5,0))</f>
        <v>375308</v>
      </c>
      <c r="BX885" s="118">
        <f>INDEX('Gen. Plant Depreciation'!$E$7:$AD$94,MATCH($C885,'Gen. Plant Depreciation'!$D$7:$D$94,0),MATCH(Calculation!$G885,'Gen. Plant Depreciation'!$E$5:$AD$5,0))</f>
        <v>3270</v>
      </c>
      <c r="BY885" s="118"/>
      <c r="BZ885" s="118"/>
      <c r="CA885" s="118"/>
      <c r="CB885" s="118"/>
      <c r="CC885" s="118"/>
      <c r="CD885" s="183"/>
      <c r="CE885" s="118">
        <f>INDEX('Gross Dx Plant'!$E$7:$AD$91,MATCH($C885,'Gross Dx Plant'!$D$7:$D$91,0),MATCH(Calculation!$G885,'Gross Dx Plant'!$E$5:$AD$5,0))</f>
        <v>808651</v>
      </c>
      <c r="CF885" s="118">
        <f>INDEX('Gross Gen Plant'!$E$7:$AD$91,MATCH($C885,'Gross Gen Plant'!$D$7:$D$91,0),MATCH(Calculation!$G885,'Gross Gen Plant'!$E$5:$AD$5,0))</f>
        <v>42233</v>
      </c>
      <c r="CG885" s="118">
        <f t="shared" si="2598"/>
        <v>472306</v>
      </c>
      <c r="CH885" s="118"/>
      <c r="CI885" s="121">
        <v>2007</v>
      </c>
      <c r="CJ885" s="118"/>
      <c r="CK885" s="118"/>
      <c r="CL885" s="118"/>
      <c r="CM885" s="183"/>
      <c r="CN885" s="118">
        <f t="shared" si="2601"/>
        <v>37359</v>
      </c>
      <c r="CO885" s="118">
        <f t="shared" si="2602"/>
        <v>75.014710865311727</v>
      </c>
      <c r="CP885" s="186">
        <v>0.94915254237288138</v>
      </c>
      <c r="CQ885" s="118">
        <f>+CQ876*CP885+CO877*CP884+CO878*CP883+CO879*CP882+CO880*CP881+CO881*CP880+CO882*CP879+CO883*CP878+CO884*CP877+CO885</f>
        <v>2492.2761635294073</v>
      </c>
      <c r="CR885" s="119">
        <f t="shared" si="2603"/>
        <v>2.4237528252990047E-2</v>
      </c>
      <c r="CS885" s="119"/>
      <c r="CT885" s="177">
        <f t="shared" si="2604"/>
        <v>6.3036663120910417E-3</v>
      </c>
      <c r="CU885" s="177">
        <f t="shared" si="2612"/>
        <v>6.1214415258965338E-3</v>
      </c>
      <c r="CV885" s="119">
        <f>VLOOKUP($H885,RoR!$E:$F,2,FALSE)</f>
        <v>5.5558333333333321E-2</v>
      </c>
      <c r="CW885" s="177">
        <v>2.691120634145272E-2</v>
      </c>
      <c r="CX885" s="177">
        <f t="shared" si="2610"/>
        <v>2.86471269918806E-2</v>
      </c>
      <c r="CY885" s="177">
        <f t="shared" si="2613"/>
        <v>2.4780500082637092E-2</v>
      </c>
      <c r="CZ885" s="177">
        <f t="shared" si="2614"/>
        <v>6.4575155250632399E-2</v>
      </c>
      <c r="DA885" s="187">
        <f t="shared" si="2605"/>
        <v>0.85534375000000007</v>
      </c>
      <c r="DB885" s="188">
        <f t="shared" si="2606"/>
        <v>0.92303077153834634</v>
      </c>
      <c r="DC885" s="188">
        <f t="shared" si="2607"/>
        <v>0.52502249887505614</v>
      </c>
      <c r="DD885" s="188">
        <f t="shared" si="2608"/>
        <v>0.88499666072084604</v>
      </c>
      <c r="DE885" s="188">
        <f t="shared" si="2609"/>
        <v>0.42887993290280618</v>
      </c>
      <c r="DF885" s="189">
        <f>INDEX('State Tax Lookup'!$D$7:$Z$91,MATCH(Calculation!$C885,'State Tax Lookup'!$B$7:$B$91,0),MATCH($H885,'State Tax Lookup'!$D$6:$Z$6,0))</f>
        <v>0.38574999999999998</v>
      </c>
      <c r="DG885" s="189">
        <v>0.375</v>
      </c>
      <c r="DH885" s="190">
        <f t="shared" si="2611"/>
        <v>17.095271114385962</v>
      </c>
      <c r="DI885" s="190">
        <v>16.859708249150685</v>
      </c>
      <c r="DJ885" s="177"/>
      <c r="DK885" s="189">
        <f>VLOOKUP($H885,RoR!$E:$F,2,FALSE)</f>
        <v>5.5558333333333321E-2</v>
      </c>
      <c r="DL885" s="191">
        <f>HLOOKUP($H885,'GDP-PI'!$D$8:$CQ$11,3,FALSE)</f>
        <v>2.691120634145272E-2</v>
      </c>
      <c r="DM885" s="189">
        <f>VLOOKUP(H885,'HW Dx Data'!$E:$F,2,FALSE)</f>
        <v>498.0223154772637</v>
      </c>
      <c r="DN885" s="183">
        <f>VLOOKUP(H885,'ECI - Input Price'!$G$17:$H$37,2,FALSE)</f>
        <v>105.22500000000001</v>
      </c>
      <c r="DO885" s="177">
        <f t="shared" ref="DO885" si="2639">LN(DN885/DN884)</f>
        <v>3.0638025400780679E-2</v>
      </c>
      <c r="DP885" s="183">
        <f>HLOOKUP(H885,'GDP-PI'!$8:$9,2,FALSE)</f>
        <v>92.498000000000005</v>
      </c>
      <c r="DQ885" s="177">
        <f t="shared" ref="DQ885" si="2640">LN(DP885/DP884)</f>
        <v>2.6555467950038037E-2</v>
      </c>
    </row>
    <row r="886" spans="1:121" s="167" customFormat="1" ht="21" x14ac:dyDescent="0.35">
      <c r="A886" s="167" t="s">
        <v>90</v>
      </c>
      <c r="B886" s="168" t="s">
        <v>90</v>
      </c>
      <c r="C886" s="168">
        <v>4063341</v>
      </c>
      <c r="D886" s="168" t="s">
        <v>147</v>
      </c>
      <c r="E886" s="168"/>
      <c r="F886" s="168"/>
      <c r="G886" s="168" t="s">
        <v>14</v>
      </c>
      <c r="H886" s="169">
        <v>2008</v>
      </c>
      <c r="I886" s="170"/>
      <c r="J886" s="166">
        <f>IFERROR(INDEX('Labor Expenditures'!$F$7:$X$91,MATCH($C886,'Labor Expenditures'!$D$7:$D$91,0),MATCH($G886,'Labor Expenditures'!$F$5:$X$5,0)),"NA")</f>
        <v>25222.138380751185</v>
      </c>
      <c r="K886" s="166">
        <f t="shared" si="2617"/>
        <v>233.05279169093265</v>
      </c>
      <c r="L886" s="172">
        <f t="shared" si="2624"/>
        <v>-4.7414276776097136E-2</v>
      </c>
      <c r="M886" s="172">
        <f t="shared" si="2628"/>
        <v>-5.8140167618727636E-4</v>
      </c>
      <c r="N886" s="196"/>
      <c r="O886" s="172"/>
      <c r="P886" s="166">
        <f>IFERROR(INDEX('Non-Labor Expenditures'!$F$7:$AB$91,MATCH($C886,'Non-Labor Expenditures'!$D$7:$D$91,0),MATCH($G886,'Non-Labor Expenditures'!$F$5:$AB$5,0)),"NA")</f>
        <v>36526.367220965563</v>
      </c>
      <c r="Q886" s="166">
        <f t="shared" si="2618"/>
        <v>387.49010461009044</v>
      </c>
      <c r="R886" s="172">
        <f t="shared" si="2629"/>
        <v>-3.8215131852719735E-2</v>
      </c>
      <c r="S886" s="172">
        <f t="shared" si="2634"/>
        <v>-4.6860024502345498E-4</v>
      </c>
      <c r="T886" s="172"/>
      <c r="U886" s="172"/>
      <c r="V886" s="166">
        <f t="shared" si="2599"/>
        <v>48390.816645034676</v>
      </c>
      <c r="W886" s="170"/>
      <c r="X886" s="174">
        <v>2555.0512617253116</v>
      </c>
      <c r="Y886" s="175">
        <v>2.4875871930982639E-2</v>
      </c>
      <c r="Z886" s="175">
        <f t="shared" si="2635"/>
        <v>3.0503204141636226E-4</v>
      </c>
      <c r="AA886" s="175"/>
      <c r="AB886" s="175"/>
      <c r="AC886" s="170">
        <f t="shared" si="2462"/>
        <v>110139.32224675143</v>
      </c>
      <c r="AD886" s="175">
        <f t="shared" si="2630"/>
        <v>5.2196578904413045E-2</v>
      </c>
      <c r="AE886" s="170"/>
      <c r="AF886" s="170"/>
      <c r="AG886" s="121">
        <f t="shared" si="2631"/>
        <v>328.63969733795858</v>
      </c>
      <c r="AH886" s="119">
        <f>+AZ886/$BB$46</f>
        <v>9.4113567095607115E-3</v>
      </c>
      <c r="AI886" s="119"/>
      <c r="AJ886" s="176">
        <f t="shared" si="2636"/>
        <v>3.0929454205695981</v>
      </c>
      <c r="AK886" s="176">
        <f t="shared" si="2637"/>
        <v>0</v>
      </c>
      <c r="AL886" s="120">
        <f t="shared" si="2619"/>
        <v>0.22900212082515439</v>
      </c>
      <c r="AM886" s="120">
        <f t="shared" si="2620"/>
        <v>0.33163784265108742</v>
      </c>
      <c r="AN886" s="120">
        <f t="shared" si="2621"/>
        <v>0.43936003652375816</v>
      </c>
      <c r="AO886" s="120">
        <f t="shared" si="2625"/>
        <v>-1.3990975892379376E-2</v>
      </c>
      <c r="AP886" s="173">
        <f t="shared" ref="AP886:AP899" si="2641">+AP885*EXP(AO886)</f>
        <v>100.65240630782557</v>
      </c>
      <c r="AQ886" s="175">
        <f t="shared" ref="AQ886:AQ899" si="2642">LN(AP886/AP885)</f>
        <v>-1.3990975892379322E-2</v>
      </c>
      <c r="AR886" s="177">
        <f>+AC886/$AE$46</f>
        <v>1.2262164810249245E-2</v>
      </c>
      <c r="AS886" s="177">
        <f t="shared" si="2638"/>
        <v>-1.7155965224857926E-4</v>
      </c>
      <c r="AT886" s="177"/>
      <c r="AU886" s="177"/>
      <c r="AV886" s="177"/>
      <c r="AW886" s="190"/>
      <c r="AX886" s="120"/>
      <c r="AY886" s="120"/>
      <c r="AZ886" s="118">
        <f>IFERROR(INDEX('Total Customers'!$F$7:$AB$91,MATCH($C886,'Total Customers'!$D$7:$D$91,0),MATCH($G886,'Total Customers'!$F$5:$AB$5,0)),"NA")</f>
        <v>335137</v>
      </c>
      <c r="BA886" s="119">
        <f t="shared" si="2600"/>
        <v>2.3719913134861294E-3</v>
      </c>
      <c r="BB886" s="119"/>
      <c r="BC886" s="121"/>
      <c r="BD886" s="119"/>
      <c r="BE886" s="119"/>
      <c r="BF886" s="119"/>
      <c r="BG886" s="173"/>
      <c r="BH886" s="173"/>
      <c r="BI886" s="173"/>
      <c r="BJ886" s="173"/>
      <c r="BK886" s="173"/>
      <c r="BL886" s="173"/>
      <c r="BM886" s="173"/>
      <c r="BN886" s="173"/>
      <c r="BO886" s="173"/>
      <c r="BP886" s="173"/>
      <c r="BQ886" s="118"/>
      <c r="BR886" s="118"/>
      <c r="BS886" s="118">
        <f>INDEX('Dist. Plant Gas Additions'!$F$7:$AE$91,MATCH($C886,'Dist. Plant Gas Additions'!$D$7:$D$91,0),MATCH(Calculation!$G886,'Dist. Plant Gas Additions'!$F$5:$AE$5,0))</f>
        <v>42244</v>
      </c>
      <c r="BT886" s="118">
        <f>INDEX('Gen. Plant Additions'!$F$7:$AE$91,MATCH($C886,'Gen. Plant Additions'!$D$7:$D$91,0),MATCH(Calculation!$G886,'Gen. Plant Additions'!$F$5:$AE$5,0))</f>
        <v>2776</v>
      </c>
      <c r="BU886" s="118"/>
      <c r="BV886" s="118"/>
      <c r="BW886" s="118">
        <f>INDEX('Dist Plant Depreciation'!$E$7:$AD$94,MATCH($C886,'Dist Plant Depreciation'!$D$7:$D$94,0),MATCH(Calculation!$G886,'Dist Plant Depreciation'!$E$5:$AD$5,0))</f>
        <v>372292</v>
      </c>
      <c r="BX886" s="118">
        <f>INDEX('Gen. Plant Depreciation'!$E$7:$AD$94,MATCH($C886,'Gen. Plant Depreciation'!$D$7:$D$94,0),MATCH(Calculation!$G886,'Gen. Plant Depreciation'!$E$5:$AD$5,0))</f>
        <v>35857</v>
      </c>
      <c r="BY886" s="118"/>
      <c r="BZ886" s="118"/>
      <c r="CA886" s="118"/>
      <c r="CB886" s="118"/>
      <c r="CC886" s="118"/>
      <c r="CD886" s="183"/>
      <c r="CE886" s="118">
        <f>INDEX('Gross Dx Plant'!$E$7:$AD$91,MATCH($C886,'Gross Dx Plant'!$D$7:$D$91,0),MATCH(Calculation!$G886,'Gross Dx Plant'!$E$5:$AD$5,0))</f>
        <v>899768</v>
      </c>
      <c r="CF886" s="118">
        <f>INDEX('Gross Gen Plant'!$E$7:$AD$91,MATCH($C886,'Gross Gen Plant'!$D$7:$D$91,0),MATCH(Calculation!$G886,'Gross Gen Plant'!$E$5:$AD$5,0))</f>
        <v>43266</v>
      </c>
      <c r="CG886" s="118">
        <f t="shared" si="2598"/>
        <v>534885</v>
      </c>
      <c r="CH886" s="118"/>
      <c r="CI886" s="121">
        <v>2008</v>
      </c>
      <c r="CJ886" s="118"/>
      <c r="CK886" s="118"/>
      <c r="CL886" s="118"/>
      <c r="CM886" s="183"/>
      <c r="CN886" s="118">
        <f t="shared" si="2601"/>
        <v>45020</v>
      </c>
      <c r="CO886" s="118">
        <f t="shared" si="2602"/>
        <v>78.998920716329451</v>
      </c>
      <c r="CP886" s="186">
        <v>0.94252873563218387</v>
      </c>
      <c r="CQ886" s="118">
        <f>+CQ876*CP886+CO877*CP885+CO878*CP884+CO879*CP883+CO880*CP882+CO881*CP881+CO882*CP880+CO883*CP879+CO884*CP878+CO885*CP877+CO886</f>
        <v>2555.0512617253116</v>
      </c>
      <c r="CR886" s="119">
        <f t="shared" si="2603"/>
        <v>2.4875871930982639E-2</v>
      </c>
      <c r="CS886" s="119"/>
      <c r="CT886" s="177">
        <f t="shared" si="2604"/>
        <v>6.5096407684812731E-3</v>
      </c>
      <c r="CU886" s="177">
        <f t="shared" si="2612"/>
        <v>6.3134601292286268E-3</v>
      </c>
      <c r="CV886" s="119">
        <f>VLOOKUP($H886,RoR!$E:$F,2,FALSE)</f>
        <v>5.6316666666666668E-2</v>
      </c>
      <c r="CW886" s="177">
        <v>1.9092304698479889E-2</v>
      </c>
      <c r="CX886" s="177">
        <f t="shared" si="2610"/>
        <v>3.7224361968186778E-2</v>
      </c>
      <c r="CY886" s="177">
        <f t="shared" si="2613"/>
        <v>2.4588481479304997E-2</v>
      </c>
      <c r="CZ886" s="177">
        <f t="shared" si="2614"/>
        <v>6.9030581091053131E-2</v>
      </c>
      <c r="DA886" s="187">
        <f t="shared" si="2605"/>
        <v>0.85534375000000007</v>
      </c>
      <c r="DB886" s="188">
        <f t="shared" si="2606"/>
        <v>0.91060168006009956</v>
      </c>
      <c r="DC886" s="188">
        <f t="shared" si="2607"/>
        <v>0.53108168097070152</v>
      </c>
      <c r="DD886" s="188">
        <f t="shared" si="2608"/>
        <v>0.88825329850328805</v>
      </c>
      <c r="DE886" s="188">
        <f t="shared" si="2609"/>
        <v>0.4295627335323573</v>
      </c>
      <c r="DF886" s="189">
        <f>INDEX('State Tax Lookup'!$D$7:$Z$91,MATCH(Calculation!$C886,'State Tax Lookup'!$B$7:$B$91,0),MATCH($H886,'State Tax Lookup'!$D$6:$Z$6,0))</f>
        <v>0.38574999999999998</v>
      </c>
      <c r="DG886" s="189">
        <v>0.375</v>
      </c>
      <c r="DH886" s="190">
        <f t="shared" si="2611"/>
        <v>19.416314031791163</v>
      </c>
      <c r="DI886" s="190">
        <v>19.150787493837743</v>
      </c>
      <c r="DJ886" s="177"/>
      <c r="DK886" s="189">
        <f>VLOOKUP($H886,RoR!$E:$F,2,FALSE)</f>
        <v>5.6316666666666668E-2</v>
      </c>
      <c r="DL886" s="191">
        <f>HLOOKUP($H886,'GDP-PI'!$D$8:$CQ$11,3,FALSE)</f>
        <v>1.9092304698479889E-2</v>
      </c>
      <c r="DM886" s="189">
        <f>VLOOKUP(H886,'HW Dx Data'!$E:$F,2,FALSE)</f>
        <v>569.88120333515076</v>
      </c>
      <c r="DN886" s="183">
        <f>VLOOKUP(H886,'ECI - Input Price'!$G$17:$H$37,2,FALSE)</f>
        <v>108.22499999999999</v>
      </c>
      <c r="DO886" s="177">
        <f t="shared" ref="DO886" si="2643">LN(DN886/DN885)</f>
        <v>2.8111478671409691E-2</v>
      </c>
      <c r="DP886" s="183">
        <f>HLOOKUP(H886,'GDP-PI'!$8:$9,2,FALSE)</f>
        <v>94.263999999999996</v>
      </c>
      <c r="DQ886" s="177">
        <f t="shared" ref="DQ886" si="2644">LN(DP886/DP885)</f>
        <v>1.8912333748032254E-2</v>
      </c>
    </row>
    <row r="887" spans="1:121" s="167" customFormat="1" ht="21" x14ac:dyDescent="0.35">
      <c r="A887" s="167" t="s">
        <v>90</v>
      </c>
      <c r="B887" s="168" t="s">
        <v>90</v>
      </c>
      <c r="C887" s="168">
        <v>4063341</v>
      </c>
      <c r="D887" s="168" t="s">
        <v>147</v>
      </c>
      <c r="E887" s="168"/>
      <c r="F887" s="168"/>
      <c r="G887" s="168" t="s">
        <v>15</v>
      </c>
      <c r="H887" s="169">
        <v>2009</v>
      </c>
      <c r="I887" s="170"/>
      <c r="J887" s="166">
        <f>IFERROR(INDEX('Labor Expenditures'!$F$7:$X$91,MATCH($C887,'Labor Expenditures'!$D$7:$D$91,0),MATCH($G887,'Labor Expenditures'!$F$5:$X$5,0)),"NA")</f>
        <v>29007.987022348712</v>
      </c>
      <c r="K887" s="166">
        <f t="shared" si="2617"/>
        <v>264.24948323706411</v>
      </c>
      <c r="L887" s="172">
        <f t="shared" si="2624"/>
        <v>0.12562866748238519</v>
      </c>
      <c r="M887" s="172">
        <f t="shared" si="2628"/>
        <v>1.5903349744022784E-3</v>
      </c>
      <c r="N887" s="196"/>
      <c r="O887" s="172"/>
      <c r="P887" s="166">
        <f>IFERROR(INDEX('Non-Labor Expenditures'!$F$7:$AB$91,MATCH($C887,'Non-Labor Expenditures'!$D$7:$D$91,0),MATCH($G887,'Non-Labor Expenditures'!$F$5:$AB$5,0)),"NA")</f>
        <v>42008.983152988163</v>
      </c>
      <c r="Q887" s="166">
        <f t="shared" si="2618"/>
        <v>442.20447744700647</v>
      </c>
      <c r="R887" s="172">
        <f t="shared" si="2629"/>
        <v>0.13208208178381259</v>
      </c>
      <c r="S887" s="172">
        <f t="shared" si="2634"/>
        <v>1.672028831971108E-3</v>
      </c>
      <c r="T887" s="172"/>
      <c r="U887" s="172"/>
      <c r="V887" s="166">
        <f t="shared" si="2599"/>
        <v>47583.875829508237</v>
      </c>
      <c r="W887" s="170"/>
      <c r="X887" s="174">
        <v>2650.2788695926561</v>
      </c>
      <c r="Y887" s="175">
        <v>3.6592581518010987E-2</v>
      </c>
      <c r="Z887" s="175">
        <f t="shared" si="2635"/>
        <v>4.6322597666586667E-4</v>
      </c>
      <c r="AA887" s="175"/>
      <c r="AB887" s="175"/>
      <c r="AC887" s="170">
        <f t="shared" si="2462"/>
        <v>118600.84600484511</v>
      </c>
      <c r="AD887" s="175">
        <f t="shared" si="2630"/>
        <v>7.4017489545907922E-2</v>
      </c>
      <c r="AE887" s="170"/>
      <c r="AF887" s="170"/>
      <c r="AG887" s="121">
        <f t="shared" si="2631"/>
        <v>354.61776007811437</v>
      </c>
      <c r="AH887" s="119">
        <f>+AZ887/$BB$47</f>
        <v>9.3784286854152066E-3</v>
      </c>
      <c r="AI887" s="119"/>
      <c r="AJ887" s="176">
        <f t="shared" si="2636"/>
        <v>3.3257573734742754</v>
      </c>
      <c r="AK887" s="176">
        <f t="shared" si="2637"/>
        <v>0</v>
      </c>
      <c r="AL887" s="120">
        <f t="shared" si="2619"/>
        <v>0.2445849924305234</v>
      </c>
      <c r="AM887" s="120">
        <f t="shared" si="2620"/>
        <v>0.3542047512146077</v>
      </c>
      <c r="AN887" s="120">
        <f t="shared" si="2621"/>
        <v>0.4012102563548689</v>
      </c>
      <c r="AO887" s="120">
        <f t="shared" si="2625"/>
        <v>9.0421136256355339E-2</v>
      </c>
      <c r="AP887" s="173">
        <f t="shared" si="2641"/>
        <v>110.17766461533134</v>
      </c>
      <c r="AQ887" s="175">
        <f t="shared" si="2642"/>
        <v>9.0421136256355297E-2</v>
      </c>
      <c r="AR887" s="177">
        <f>+AC887/$AE$47</f>
        <v>1.2659013314976571E-2</v>
      </c>
      <c r="AS887" s="177">
        <f t="shared" si="2638"/>
        <v>1.1446423678245126E-3</v>
      </c>
      <c r="AT887" s="177"/>
      <c r="AU887" s="177"/>
      <c r="AV887" s="177"/>
      <c r="AW887" s="190"/>
      <c r="AX887" s="120"/>
      <c r="AY887" s="120"/>
      <c r="AZ887" s="118">
        <f>IFERROR(INDEX('Total Customers'!$F$7:$AB$91,MATCH($C887,'Total Customers'!$D$7:$D$91,0),MATCH($G887,'Total Customers'!$F$5:$AB$5,0)),"NA")</f>
        <v>334447</v>
      </c>
      <c r="BA887" s="119">
        <f t="shared" si="2600"/>
        <v>-2.0609818760294581E-3</v>
      </c>
      <c r="BB887" s="119"/>
      <c r="BC887" s="121"/>
      <c r="BD887" s="119"/>
      <c r="BE887" s="119"/>
      <c r="BF887" s="119"/>
      <c r="BG887" s="173"/>
      <c r="BH887" s="173"/>
      <c r="BI887" s="173"/>
      <c r="BJ887" s="173"/>
      <c r="BK887" s="173"/>
      <c r="BL887" s="173"/>
      <c r="BM887" s="173"/>
      <c r="BN887" s="173"/>
      <c r="BO887" s="173"/>
      <c r="BP887" s="173"/>
      <c r="BQ887" s="118"/>
      <c r="BR887" s="118"/>
      <c r="BS887" s="118">
        <f>INDEX('Dist. Plant Gas Additions'!$F$7:$AE$91,MATCH($C887,'Dist. Plant Gas Additions'!$D$7:$D$91,0),MATCH(Calculation!$G887,'Dist. Plant Gas Additions'!$F$5:$AE$5,0))</f>
        <v>59754</v>
      </c>
      <c r="BT887" s="118">
        <f>INDEX('Gen. Plant Additions'!$F$7:$AE$91,MATCH($C887,'Gen. Plant Additions'!$D$7:$D$91,0),MATCH(Calculation!$G887,'Gen. Plant Additions'!$F$5:$AE$5,0))</f>
        <v>2171</v>
      </c>
      <c r="BU887" s="118"/>
      <c r="BV887" s="118"/>
      <c r="BW887" s="118">
        <f>INDEX('Dist Plant Depreciation'!$E$7:$AD$94,MATCH($C887,'Dist Plant Depreciation'!$D$7:$D$94,0),MATCH(Calculation!$G887,'Dist Plant Depreciation'!$E$5:$AD$5,0))</f>
        <v>404540</v>
      </c>
      <c r="BX887" s="118">
        <f>INDEX('Gen. Plant Depreciation'!$E$7:$AD$94,MATCH($C887,'Gen. Plant Depreciation'!$D$7:$D$94,0),MATCH(Calculation!$G887,'Gen. Plant Depreciation'!$E$5:$AD$5,0))</f>
        <v>35414</v>
      </c>
      <c r="BY887" s="118"/>
      <c r="BZ887" s="118"/>
      <c r="CA887" s="118"/>
      <c r="CB887" s="118"/>
      <c r="CC887" s="118"/>
      <c r="CD887" s="183"/>
      <c r="CE887" s="118">
        <f>INDEX('Gross Dx Plant'!$E$7:$AD$91,MATCH($C887,'Gross Dx Plant'!$D$7:$D$91,0),MATCH(Calculation!$G887,'Gross Dx Plant'!$E$5:$AD$5,0))</f>
        <v>955763</v>
      </c>
      <c r="CF887" s="118">
        <f>INDEX('Gross Gen Plant'!$E$7:$AD$91,MATCH($C887,'Gross Gen Plant'!$D$7:$D$91,0),MATCH(Calculation!$G887,'Gross Gen Plant'!$E$5:$AD$5,0))</f>
        <v>38040</v>
      </c>
      <c r="CG887" s="118">
        <f t="shared" si="2598"/>
        <v>553849</v>
      </c>
      <c r="CH887" s="118"/>
      <c r="CI887" s="121">
        <v>2009</v>
      </c>
      <c r="CJ887" s="118"/>
      <c r="CK887" s="118"/>
      <c r="CL887" s="118"/>
      <c r="CM887" s="183"/>
      <c r="CN887" s="118">
        <f t="shared" si="2601"/>
        <v>61925</v>
      </c>
      <c r="CO887" s="118">
        <f t="shared" si="2602"/>
        <v>112.39867939315759</v>
      </c>
      <c r="CP887" s="186">
        <v>0.93567251461988299</v>
      </c>
      <c r="CQ887" s="118">
        <f>+CQ876*CP887+CO877*CP886+CO878*CP885+CO879*CP884+CO880*CP883+CO881*CP882+CO882*CP881+CO883*CP880+CO884*CP879+CO885*CP878+CO886*CP877+CO887</f>
        <v>2650.2788695926561</v>
      </c>
      <c r="CR887" s="119">
        <f t="shared" si="2603"/>
        <v>3.6592581518010987E-2</v>
      </c>
      <c r="CS887" s="119"/>
      <c r="CT887" s="177">
        <f t="shared" si="2604"/>
        <v>6.720441105443147E-3</v>
      </c>
      <c r="CU887" s="177">
        <f t="shared" si="2612"/>
        <v>6.5112493953384878E-3</v>
      </c>
      <c r="CV887" s="119">
        <f>VLOOKUP($H887,RoR!$E:$F,2,FALSE)</f>
        <v>5.3133333333333324E-2</v>
      </c>
      <c r="CW887" s="177">
        <v>7.7972502758210105E-3</v>
      </c>
      <c r="CX887" s="177">
        <f t="shared" si="2610"/>
        <v>4.5336083057512314E-2</v>
      </c>
      <c r="CY887" s="177">
        <f t="shared" si="2613"/>
        <v>2.4390692213195137E-2</v>
      </c>
      <c r="CZ887" s="177">
        <f t="shared" si="2614"/>
        <v>6.3720160300892073E-2</v>
      </c>
      <c r="DA887" s="187">
        <f t="shared" si="2605"/>
        <v>0.85534375000000007</v>
      </c>
      <c r="DB887" s="188">
        <f t="shared" si="2606"/>
        <v>0.96515780330083989</v>
      </c>
      <c r="DC887" s="188">
        <f t="shared" si="2607"/>
        <v>0.50448557089084056</v>
      </c>
      <c r="DD887" s="188">
        <f t="shared" si="2608"/>
        <v>0.87391435735465484</v>
      </c>
      <c r="DE887" s="188">
        <f t="shared" si="2609"/>
        <v>0.42551605393279146</v>
      </c>
      <c r="DF887" s="189">
        <f>INDEX('State Tax Lookup'!$D$7:$Z$91,MATCH(Calculation!$C887,'State Tax Lookup'!$B$7:$B$91,0),MATCH($H887,'State Tax Lookup'!$D$6:$Z$6,0))</f>
        <v>0.38574999999999998</v>
      </c>
      <c r="DG887" s="189">
        <v>0.375</v>
      </c>
      <c r="DH887" s="190">
        <f t="shared" si="2611"/>
        <v>18.623452508493695</v>
      </c>
      <c r="DI887" s="190">
        <v>18.294929384220818</v>
      </c>
      <c r="DJ887" s="177"/>
      <c r="DK887" s="189">
        <f>VLOOKUP($H887,RoR!$E:$F,2,FALSE)</f>
        <v>5.3133333333333324E-2</v>
      </c>
      <c r="DL887" s="191">
        <f>HLOOKUP($H887,'GDP-PI'!$D$8:$CQ$11,3,FALSE)</f>
        <v>7.7972502758210105E-3</v>
      </c>
      <c r="DM887" s="189">
        <f>VLOOKUP(H887,'HW Dx Data'!$E:$F,2,FALSE)</f>
        <v>550.94063679692806</v>
      </c>
      <c r="DN887" s="183">
        <f>VLOOKUP(H887,'ECI - Input Price'!$G$17:$H$37,2,FALSE)</f>
        <v>109.77499999999999</v>
      </c>
      <c r="DO887" s="177">
        <f t="shared" ref="DO887" si="2645">LN(DN887/DN886)</f>
        <v>1.4220423119736749E-2</v>
      </c>
      <c r="DP887" s="183">
        <f>HLOOKUP(H887,'GDP-PI'!$8:$9,2,FALSE)</f>
        <v>94.998999999999995</v>
      </c>
      <c r="DQ887" s="177">
        <f t="shared" ref="DQ887" si="2646">LN(DP887/DP886)</f>
        <v>7.7670088183096342E-3</v>
      </c>
    </row>
    <row r="888" spans="1:121" s="167" customFormat="1" ht="21" x14ac:dyDescent="0.35">
      <c r="A888" s="167" t="s">
        <v>90</v>
      </c>
      <c r="B888" s="168" t="s">
        <v>90</v>
      </c>
      <c r="C888" s="168">
        <v>4063341</v>
      </c>
      <c r="D888" s="168" t="s">
        <v>147</v>
      </c>
      <c r="E888" s="168"/>
      <c r="F888" s="168"/>
      <c r="G888" s="168" t="s">
        <v>16</v>
      </c>
      <c r="H888" s="169">
        <v>2010</v>
      </c>
      <c r="I888" s="170"/>
      <c r="J888" s="166">
        <f>IFERROR(INDEX('Labor Expenditures'!$F$7:$X$91,MATCH($C888,'Labor Expenditures'!$D$7:$D$91,0),MATCH($G888,'Labor Expenditures'!$F$5:$X$5,0)),"NA")</f>
        <v>30317.849999375052</v>
      </c>
      <c r="K888" s="166">
        <f t="shared" si="2617"/>
        <v>270.99754189385521</v>
      </c>
      <c r="L888" s="172">
        <f t="shared" si="2624"/>
        <v>2.521608117123433E-2</v>
      </c>
      <c r="M888" s="172">
        <f t="shared" si="2628"/>
        <v>3.2415143759632962E-4</v>
      </c>
      <c r="N888" s="196"/>
      <c r="O888" s="172"/>
      <c r="P888" s="166">
        <f>IFERROR(INDEX('Non-Labor Expenditures'!$F$7:$AB$91,MATCH($C888,'Non-Labor Expenditures'!$D$7:$D$91,0),MATCH($G888,'Non-Labor Expenditures'!$F$5:$AB$5,0)),"NA")</f>
        <v>43905.909392379697</v>
      </c>
      <c r="Q888" s="166">
        <f t="shared" si="2618"/>
        <v>456.83452530335035</v>
      </c>
      <c r="R888" s="172">
        <f t="shared" si="2629"/>
        <v>3.2548842511322208E-2</v>
      </c>
      <c r="S888" s="172">
        <f t="shared" si="2634"/>
        <v>4.184137106989318E-4</v>
      </c>
      <c r="T888" s="172"/>
      <c r="U888" s="172"/>
      <c r="V888" s="166">
        <f t="shared" si="2599"/>
        <v>50612.689896099851</v>
      </c>
      <c r="W888" s="170"/>
      <c r="X888" s="174">
        <v>2719.0307027253712</v>
      </c>
      <c r="Y888" s="175">
        <v>2.5610589234710001E-2</v>
      </c>
      <c r="Z888" s="175">
        <f t="shared" si="2635"/>
        <v>3.2922281863490531E-4</v>
      </c>
      <c r="AA888" s="175"/>
      <c r="AB888" s="175"/>
      <c r="AC888" s="170">
        <f t="shared" si="2462"/>
        <v>124836.4492878546</v>
      </c>
      <c r="AD888" s="175">
        <f t="shared" si="2630"/>
        <v>5.1240855095092713E-2</v>
      </c>
      <c r="AE888" s="170"/>
      <c r="AF888" s="170"/>
      <c r="AG888" s="121">
        <f t="shared" si="2631"/>
        <v>371.51604310427268</v>
      </c>
      <c r="AH888" s="119">
        <f>+AZ888/$BB$48</f>
        <v>9.3706380422217805E-3</v>
      </c>
      <c r="AI888" s="119"/>
      <c r="AJ888" s="176">
        <f t="shared" si="2636"/>
        <v>3.4813423668086045</v>
      </c>
      <c r="AK888" s="176">
        <f t="shared" si="2637"/>
        <v>0</v>
      </c>
      <c r="AL888" s="120">
        <f t="shared" si="2619"/>
        <v>0.24286056013549795</v>
      </c>
      <c r="AM888" s="120">
        <f t="shared" si="2620"/>
        <v>0.35170745117188562</v>
      </c>
      <c r="AN888" s="120">
        <f t="shared" si="2621"/>
        <v>0.40543198869261643</v>
      </c>
      <c r="AO888" s="120">
        <f t="shared" si="2625"/>
        <v>2.7963337459817991E-2</v>
      </c>
      <c r="AP888" s="173">
        <f t="shared" si="2641"/>
        <v>113.30208079180019</v>
      </c>
      <c r="AQ888" s="175">
        <f t="shared" si="2642"/>
        <v>2.7963337459817991E-2</v>
      </c>
      <c r="AR888" s="177">
        <f>+AC888/$AE$48</f>
        <v>1.2854949006355153E-2</v>
      </c>
      <c r="AS888" s="177">
        <f t="shared" si="2638"/>
        <v>3.5946727709346111E-4</v>
      </c>
      <c r="AT888" s="177"/>
      <c r="AU888" s="177"/>
      <c r="AV888" s="177"/>
      <c r="AW888" s="190"/>
      <c r="AX888" s="120"/>
      <c r="AY888" s="120"/>
      <c r="AZ888" s="118">
        <f>IFERROR(INDEX('Total Customers'!$F$7:$AB$91,MATCH($C888,'Total Customers'!$D$7:$D$91,0),MATCH($G888,'Total Customers'!$F$5:$AB$5,0)),"NA")</f>
        <v>336019</v>
      </c>
      <c r="BA888" s="119">
        <f t="shared" si="2600"/>
        <v>4.6892844099740063E-3</v>
      </c>
      <c r="BB888" s="119"/>
      <c r="BC888" s="121"/>
      <c r="BD888" s="119"/>
      <c r="BE888" s="119"/>
      <c r="BF888" s="119"/>
      <c r="BG888" s="173"/>
      <c r="BH888" s="173"/>
      <c r="BI888" s="173"/>
      <c r="BJ888" s="173"/>
      <c r="BK888" s="173"/>
      <c r="BL888" s="173"/>
      <c r="BM888" s="173"/>
      <c r="BN888" s="173"/>
      <c r="BO888" s="173"/>
      <c r="BP888" s="173"/>
      <c r="BQ888" s="118"/>
      <c r="BR888" s="118"/>
      <c r="BS888" s="118">
        <f>INDEX('Dist. Plant Gas Additions'!$F$7:$AE$91,MATCH($C888,'Dist. Plant Gas Additions'!$D$7:$D$91,0),MATCH(Calculation!$G888,'Dist. Plant Gas Additions'!$F$5:$AE$5,0))</f>
        <v>48022</v>
      </c>
      <c r="BT888" s="118">
        <f>INDEX('Gen. Plant Additions'!$F$7:$AE$91,MATCH($C888,'Gen. Plant Additions'!$D$7:$D$91,0),MATCH(Calculation!$G888,'Gen. Plant Additions'!$F$5:$AE$5,0))</f>
        <v>1524</v>
      </c>
      <c r="BU888" s="118"/>
      <c r="BV888" s="118"/>
      <c r="BW888" s="118">
        <f>INDEX('Dist Plant Depreciation'!$E$7:$AD$94,MATCH($C888,'Dist Plant Depreciation'!$D$7:$D$94,0),MATCH(Calculation!$G888,'Dist Plant Depreciation'!$E$5:$AD$5,0))</f>
        <v>439314</v>
      </c>
      <c r="BX888" s="118">
        <f>INDEX('Gen. Plant Depreciation'!$E$7:$AD$94,MATCH($C888,'Gen. Plant Depreciation'!$D$7:$D$94,0),MATCH(Calculation!$G888,'Gen. Plant Depreciation'!$E$5:$AD$5,0))</f>
        <v>35432</v>
      </c>
      <c r="BY888" s="118"/>
      <c r="BZ888" s="118"/>
      <c r="CA888" s="118"/>
      <c r="CB888" s="118"/>
      <c r="CC888" s="118"/>
      <c r="CD888" s="183"/>
      <c r="CE888" s="118">
        <f>INDEX('Gross Dx Plant'!$E$7:$AD$91,MATCH($C888,'Gross Dx Plant'!$D$7:$D$91,0),MATCH(Calculation!$G888,'Gross Dx Plant'!$E$5:$AD$5,0))</f>
        <v>983845</v>
      </c>
      <c r="CF888" s="118">
        <f>INDEX('Gross Gen Plant'!$E$7:$AD$91,MATCH($C888,'Gross Gen Plant'!$D$7:$D$91,0),MATCH(Calculation!$G888,'Gross Gen Plant'!$E$5:$AD$5,0))</f>
        <v>36047</v>
      </c>
      <c r="CG888" s="118">
        <f t="shared" si="2598"/>
        <v>545146</v>
      </c>
      <c r="CH888" s="118"/>
      <c r="CI888" s="121">
        <v>2010</v>
      </c>
      <c r="CJ888" s="118"/>
      <c r="CK888" s="118"/>
      <c r="CL888" s="118"/>
      <c r="CM888" s="183"/>
      <c r="CN888" s="118">
        <f t="shared" si="2601"/>
        <v>49546</v>
      </c>
      <c r="CO888" s="118">
        <f t="shared" si="2602"/>
        <v>87.077177647411119</v>
      </c>
      <c r="CP888" s="186">
        <v>0.9285714285714286</v>
      </c>
      <c r="CQ888" s="118">
        <f>+CQ876*CP888+CO877*CP887+CO878*CP886+CO879*CP885+CO880*CP884+CO881*CP883+CO882*CP882+CO883*CP881+CO884*CP880+CO885*CP879+CO886*CP878+CO887*CP877+CO888</f>
        <v>2719.0307027253712</v>
      </c>
      <c r="CR888" s="119">
        <f t="shared" si="2603"/>
        <v>2.5610589234710001E-2</v>
      </c>
      <c r="CS888" s="119"/>
      <c r="CT888" s="177">
        <f t="shared" si="2604"/>
        <v>6.9144967063457007E-3</v>
      </c>
      <c r="CU888" s="177">
        <f t="shared" si="2612"/>
        <v>6.7148595267567069E-3</v>
      </c>
      <c r="CV888" s="119">
        <f>VLOOKUP($H888,RoR!$E:$F,2,FALSE)</f>
        <v>4.9433333333333322E-2</v>
      </c>
      <c r="CW888" s="177">
        <v>1.1684333519300205E-2</v>
      </c>
      <c r="CX888" s="177">
        <f t="shared" si="2610"/>
        <v>3.7748999814033117E-2</v>
      </c>
      <c r="CY888" s="177">
        <f t="shared" si="2613"/>
        <v>2.4187082081776917E-2</v>
      </c>
      <c r="CZ888" s="177">
        <f t="shared" si="2614"/>
        <v>4.7937530248493419E-2</v>
      </c>
      <c r="DA888" s="187">
        <f t="shared" si="2605"/>
        <v>0.85534375000000007</v>
      </c>
      <c r="DB888" s="188">
        <f t="shared" si="2606"/>
        <v>1.037398205301105</v>
      </c>
      <c r="DC888" s="188">
        <f t="shared" si="2607"/>
        <v>0.46926837491571133</v>
      </c>
      <c r="DD888" s="188">
        <f t="shared" si="2608"/>
        <v>0.8548537519972772</v>
      </c>
      <c r="DE888" s="188">
        <f t="shared" si="2609"/>
        <v>0.41615833911547367</v>
      </c>
      <c r="DF888" s="189">
        <f>INDEX('State Tax Lookup'!$D$7:$Z$91,MATCH(Calculation!$C888,'State Tax Lookup'!$B$7:$B$91,0),MATCH($H888,'State Tax Lookup'!$D$6:$Z$6,0))</f>
        <v>0.38574999999999998</v>
      </c>
      <c r="DG888" s="189">
        <v>0.375</v>
      </c>
      <c r="DH888" s="190">
        <f t="shared" si="2611"/>
        <v>19.097118600156573</v>
      </c>
      <c r="DI888" s="190">
        <v>18.797117554341561</v>
      </c>
      <c r="DJ888" s="177"/>
      <c r="DK888" s="189">
        <f>VLOOKUP($H888,RoR!$E:$F,2,FALSE)</f>
        <v>4.9433333333333322E-2</v>
      </c>
      <c r="DL888" s="191">
        <f>HLOOKUP($H888,'GDP-PI'!$D$8:$CQ$11,3,FALSE)</f>
        <v>1.1684333519300205E-2</v>
      </c>
      <c r="DM888" s="189">
        <f>VLOOKUP(H888,'HW Dx Data'!$E:$F,2,FALSE)</f>
        <v>568.98950262971744</v>
      </c>
      <c r="DN888" s="183">
        <f>VLOOKUP(H888,'ECI - Input Price'!$G$17:$H$37,2,FALSE)</f>
        <v>111.875</v>
      </c>
      <c r="DO888" s="177">
        <f t="shared" ref="DO888" si="2647">LN(DN888/DN887)</f>
        <v>1.8949360147238387E-2</v>
      </c>
      <c r="DP888" s="183">
        <f>HLOOKUP(H888,'GDP-PI'!$8:$9,2,FALSE)</f>
        <v>96.108999999999995</v>
      </c>
      <c r="DQ888" s="177">
        <f t="shared" ref="DQ888" si="2648">LN(DP888/DP887)</f>
        <v>1.1616598807150427E-2</v>
      </c>
    </row>
    <row r="889" spans="1:121" s="167" customFormat="1" ht="21" x14ac:dyDescent="0.35">
      <c r="A889" s="167" t="s">
        <v>90</v>
      </c>
      <c r="B889" s="168" t="s">
        <v>90</v>
      </c>
      <c r="C889" s="168">
        <v>4063341</v>
      </c>
      <c r="D889" s="168" t="s">
        <v>147</v>
      </c>
      <c r="E889" s="168"/>
      <c r="F889" s="168"/>
      <c r="G889" s="168" t="s">
        <v>17</v>
      </c>
      <c r="H889" s="169">
        <v>2011</v>
      </c>
      <c r="I889" s="170"/>
      <c r="J889" s="166">
        <f>IFERROR(INDEX('Labor Expenditures'!$F$7:$X$91,MATCH($C889,'Labor Expenditures'!$D$7:$D$91,0),MATCH($G889,'Labor Expenditures'!$F$5:$X$5,0)),"NA")</f>
        <v>30267.994801800101</v>
      </c>
      <c r="K889" s="166">
        <f t="shared" si="2617"/>
        <v>264.81185303412161</v>
      </c>
      <c r="L889" s="172">
        <f t="shared" si="2624"/>
        <v>-2.3090165061678984E-2</v>
      </c>
      <c r="M889" s="172">
        <f t="shared" si="2628"/>
        <v>-2.9326658561523603E-4</v>
      </c>
      <c r="N889" s="196"/>
      <c r="O889" s="172"/>
      <c r="P889" s="166">
        <f>IFERROR(INDEX('Non-Labor Expenditures'!$F$7:$AB$91,MATCH($C889,'Non-Labor Expenditures'!$D$7:$D$91,0),MATCH($G889,'Non-Labor Expenditures'!$F$5:$AB$5,0)),"NA")</f>
        <v>43833.70975462471</v>
      </c>
      <c r="Q889" s="166">
        <f t="shared" si="2618"/>
        <v>446.77215584867002</v>
      </c>
      <c r="R889" s="172">
        <f t="shared" si="2629"/>
        <v>-2.227249006878251E-2</v>
      </c>
      <c r="S889" s="172">
        <f t="shared" si="2634"/>
        <v>-2.8288135221958202E-4</v>
      </c>
      <c r="T889" s="172"/>
      <c r="U889" s="172"/>
      <c r="V889" s="166">
        <f t="shared" si="2599"/>
        <v>55433.190741293176</v>
      </c>
      <c r="W889" s="170"/>
      <c r="X889" s="174">
        <v>2802.5027629337633</v>
      </c>
      <c r="Y889" s="175">
        <v>3.0237404340797077E-2</v>
      </c>
      <c r="Z889" s="175">
        <f t="shared" si="2635"/>
        <v>3.8404317618369045E-4</v>
      </c>
      <c r="AA889" s="175"/>
      <c r="AB889" s="175"/>
      <c r="AC889" s="170">
        <f t="shared" si="2462"/>
        <v>129534.89529771799</v>
      </c>
      <c r="AD889" s="175">
        <f t="shared" si="2630"/>
        <v>3.6945831704694072E-2</v>
      </c>
      <c r="AE889" s="170"/>
      <c r="AF889" s="170"/>
      <c r="AG889" s="121">
        <f t="shared" si="2631"/>
        <v>382.28926719902603</v>
      </c>
      <c r="AH889" s="119">
        <f>+AZ889/$BB$49</f>
        <v>9.403371218691935E-3</v>
      </c>
      <c r="AI889" s="119"/>
      <c r="AJ889" s="176">
        <f t="shared" si="2636"/>
        <v>3.5948078923941522</v>
      </c>
      <c r="AK889" s="176">
        <f t="shared" si="2637"/>
        <v>0</v>
      </c>
      <c r="AL889" s="120">
        <f t="shared" si="2619"/>
        <v>0.23366672534249025</v>
      </c>
      <c r="AM889" s="120">
        <f t="shared" si="2620"/>
        <v>0.3383930612201369</v>
      </c>
      <c r="AN889" s="120">
        <f t="shared" si="2621"/>
        <v>0.42794021343737282</v>
      </c>
      <c r="AO889" s="120">
        <f t="shared" si="2625"/>
        <v>-5.8716912230432836E-4</v>
      </c>
      <c r="AP889" s="173">
        <f t="shared" si="2641"/>
        <v>113.23557283608623</v>
      </c>
      <c r="AQ889" s="175">
        <f t="shared" si="2642"/>
        <v>-5.8716912230428141E-4</v>
      </c>
      <c r="AR889" s="177">
        <f>+AC889/$AE$49</f>
        <v>1.270093067034625E-2</v>
      </c>
      <c r="AS889" s="177">
        <f t="shared" si="2638"/>
        <v>-7.4575943141547359E-6</v>
      </c>
      <c r="AT889" s="177"/>
      <c r="AU889" s="177"/>
      <c r="AV889" s="177"/>
      <c r="AW889" s="190"/>
      <c r="AX889" s="120"/>
      <c r="AY889" s="120"/>
      <c r="AZ889" s="118">
        <f>IFERROR(INDEX('Total Customers'!$F$7:$AB$91,MATCH($C889,'Total Customers'!$D$7:$D$91,0),MATCH($G889,'Total Customers'!$F$5:$AB$5,0)),"NA")</f>
        <v>338840</v>
      </c>
      <c r="BA889" s="119">
        <f t="shared" si="2600"/>
        <v>8.3603135798546342E-3</v>
      </c>
      <c r="BB889" s="119"/>
      <c r="BC889" s="121"/>
      <c r="BD889" s="119"/>
      <c r="BE889" s="119"/>
      <c r="BF889" s="119"/>
      <c r="BG889" s="173"/>
      <c r="BH889" s="173"/>
      <c r="BI889" s="173"/>
      <c r="BJ889" s="173"/>
      <c r="BK889" s="173"/>
      <c r="BL889" s="173"/>
      <c r="BM889" s="173"/>
      <c r="BN889" s="173"/>
      <c r="BO889" s="173"/>
      <c r="BP889" s="173"/>
      <c r="BQ889" s="118"/>
      <c r="BR889" s="118"/>
      <c r="BS889" s="118">
        <f>INDEX('Dist. Plant Gas Additions'!$F$7:$AE$91,MATCH($C889,'Dist. Plant Gas Additions'!$D$7:$D$91,0),MATCH(Calculation!$G889,'Dist. Plant Gas Additions'!$F$5:$AE$5,0))</f>
        <v>58176</v>
      </c>
      <c r="BT889" s="118">
        <f>INDEX('Gen. Plant Additions'!$F$7:$AE$91,MATCH($C889,'Gen. Plant Additions'!$D$7:$D$91,0),MATCH(Calculation!$G889,'Gen. Plant Additions'!$F$5:$AE$5,0))</f>
        <v>4743</v>
      </c>
      <c r="BU889" s="118"/>
      <c r="BV889" s="118"/>
      <c r="BW889" s="118">
        <f>INDEX('Dist Plant Depreciation'!$E$7:$AD$94,MATCH($C889,'Dist Plant Depreciation'!$D$7:$D$94,0),MATCH(Calculation!$G889,'Dist Plant Depreciation'!$E$5:$AD$5,0))</f>
        <v>473465</v>
      </c>
      <c r="BX889" s="118">
        <f>INDEX('Gen. Plant Depreciation'!$E$7:$AD$94,MATCH($C889,'Gen. Plant Depreciation'!$D$7:$D$94,0),MATCH(Calculation!$G889,'Gen. Plant Depreciation'!$E$5:$AD$5,0))</f>
        <v>40714</v>
      </c>
      <c r="BY889" s="118"/>
      <c r="BZ889" s="118"/>
      <c r="CA889" s="118"/>
      <c r="CB889" s="118"/>
      <c r="CC889" s="118"/>
      <c r="CD889" s="183"/>
      <c r="CE889" s="118">
        <f>INDEX('Gross Dx Plant'!$E$7:$AD$91,MATCH($C889,'Gross Dx Plant'!$D$7:$D$91,0),MATCH(Calculation!$G889,'Gross Dx Plant'!$E$5:$AD$5,0))</f>
        <v>1035565</v>
      </c>
      <c r="CF889" s="118">
        <f>INDEX('Gross Gen Plant'!$E$7:$AD$91,MATCH($C889,'Gross Gen Plant'!$D$7:$D$91,0),MATCH(Calculation!$G889,'Gross Gen Plant'!$E$5:$AD$5,0))</f>
        <v>37210</v>
      </c>
      <c r="CG889" s="118">
        <f t="shared" si="2598"/>
        <v>558596</v>
      </c>
      <c r="CH889" s="118"/>
      <c r="CI889" s="121">
        <v>2011</v>
      </c>
      <c r="CJ889" s="118"/>
      <c r="CK889" s="118"/>
      <c r="CL889" s="118"/>
      <c r="CM889" s="183"/>
      <c r="CN889" s="118">
        <f t="shared" si="2601"/>
        <v>62919</v>
      </c>
      <c r="CO889" s="118">
        <f t="shared" si="2602"/>
        <v>102.87419636246062</v>
      </c>
      <c r="CP889" s="186">
        <v>0.92121212121212126</v>
      </c>
      <c r="CQ889" s="118">
        <f>+CQ876*CP889+CO877*CP888+CO878*CP887+CO879*CP886+CO880*CP885+CO881*CP884+CO882*CP883+CO883*CP882+CO884*CP881+CO885*CP880+CO886*CP879+CO887*CP878+CO888*CP877+CO889</f>
        <v>2802.5027629337633</v>
      </c>
      <c r="CR889" s="119">
        <f t="shared" si="2603"/>
        <v>3.0237404340797077E-2</v>
      </c>
      <c r="CS889" s="119"/>
      <c r="CT889" s="177">
        <f t="shared" si="2604"/>
        <v>7.1356811582234513E-3</v>
      </c>
      <c r="CU889" s="177">
        <f t="shared" si="2612"/>
        <v>6.9235396566707666E-3</v>
      </c>
      <c r="CV889" s="119">
        <f>VLOOKUP($H889,RoR!$E:$F,2,FALSE)</f>
        <v>4.6391666666666664E-2</v>
      </c>
      <c r="CW889" s="177">
        <v>2.0840920205183799E-2</v>
      </c>
      <c r="CX889" s="177">
        <f t="shared" si="2610"/>
        <v>2.5550746461482865E-2</v>
      </c>
      <c r="CY889" s="177">
        <f t="shared" si="2613"/>
        <v>2.3978401951862859E-2</v>
      </c>
      <c r="CZ889" s="177">
        <f t="shared" si="2614"/>
        <v>2.4810540821321614E-2</v>
      </c>
      <c r="DA889" s="187">
        <f t="shared" si="2605"/>
        <v>0.85534375000000007</v>
      </c>
      <c r="DB889" s="188">
        <f t="shared" si="2606"/>
        <v>1.1054151524782025</v>
      </c>
      <c r="DC889" s="188">
        <f t="shared" si="2607"/>
        <v>0.43611011316687626</v>
      </c>
      <c r="DD889" s="188">
        <f t="shared" si="2608"/>
        <v>0.83698442246886229</v>
      </c>
      <c r="DE889" s="188">
        <f t="shared" si="2609"/>
        <v>0.40349573304423936</v>
      </c>
      <c r="DF889" s="189">
        <f>INDEX('State Tax Lookup'!$D$7:$Z$91,MATCH(Calculation!$C889,'State Tax Lookup'!$B$7:$B$91,0),MATCH($H889,'State Tax Lookup'!$D$6:$Z$6,0))</f>
        <v>0.38574999999999998</v>
      </c>
      <c r="DG889" s="189">
        <v>0.375</v>
      </c>
      <c r="DH889" s="190">
        <f t="shared" si="2611"/>
        <v>20.387114674994557</v>
      </c>
      <c r="DI889" s="190">
        <v>20.06065513664721</v>
      </c>
      <c r="DJ889" s="177"/>
      <c r="DK889" s="189">
        <f>VLOOKUP($H889,RoR!$E:$F,2,FALSE)</f>
        <v>4.6391666666666664E-2</v>
      </c>
      <c r="DL889" s="191">
        <f>HLOOKUP($H889,'GDP-PI'!$D$8:$CQ$11,3,FALSE)</f>
        <v>2.0840920205183799E-2</v>
      </c>
      <c r="DM889" s="189">
        <f>VLOOKUP(H889,'HW Dx Data'!$E:$F,2,FALSE)</f>
        <v>611.61109612283201</v>
      </c>
      <c r="DN889" s="183">
        <f>VLOOKUP(H889,'ECI - Input Price'!$G$17:$H$37,2,FALSE)</f>
        <v>114.3</v>
      </c>
      <c r="DO889" s="177">
        <f t="shared" ref="DO889" si="2649">LN(DN889/DN888)</f>
        <v>2.1444394205745516E-2</v>
      </c>
      <c r="DP889" s="183">
        <f>HLOOKUP(H889,'GDP-PI'!$8:$9,2,FALSE)</f>
        <v>98.111999999999995</v>
      </c>
      <c r="DQ889" s="177">
        <f t="shared" ref="DQ889" si="2650">LN(DP889/DP888)</f>
        <v>2.0626719212849295E-2</v>
      </c>
    </row>
    <row r="890" spans="1:121" s="167" customFormat="1" ht="21" x14ac:dyDescent="0.35">
      <c r="A890" s="167" t="s">
        <v>90</v>
      </c>
      <c r="B890" s="168" t="s">
        <v>90</v>
      </c>
      <c r="C890" s="168">
        <v>4063341</v>
      </c>
      <c r="D890" s="168" t="s">
        <v>147</v>
      </c>
      <c r="E890" s="168"/>
      <c r="F890" s="168"/>
      <c r="G890" s="168" t="s">
        <v>18</v>
      </c>
      <c r="H890" s="169">
        <v>2012</v>
      </c>
      <c r="I890" s="170"/>
      <c r="J890" s="166">
        <f>IFERROR(INDEX('Labor Expenditures'!$F$7:$X$91,MATCH($C890,'Labor Expenditures'!$D$7:$D$91,0),MATCH($G890,'Labor Expenditures'!$F$5:$X$5,0)),"NA")</f>
        <v>28996.13897955589</v>
      </c>
      <c r="K890" s="166">
        <f t="shared" si="2617"/>
        <v>248.89389682022224</v>
      </c>
      <c r="L890" s="172">
        <f t="shared" si="2624"/>
        <v>-6.1992896811388233E-2</v>
      </c>
      <c r="M890" s="172">
        <f t="shared" si="2628"/>
        <v>-7.7021321222476278E-4</v>
      </c>
      <c r="N890" s="196"/>
      <c r="O890" s="172"/>
      <c r="P890" s="166">
        <f>IFERROR(INDEX('Non-Labor Expenditures'!$F$7:$AB$91,MATCH($C890,'Non-Labor Expenditures'!$D$7:$D$91,0),MATCH($G890,'Non-Labor Expenditures'!$F$5:$AB$5,0)),"NA")</f>
        <v>41991.824974115007</v>
      </c>
      <c r="Q890" s="166">
        <f t="shared" si="2618"/>
        <v>419.91824974115008</v>
      </c>
      <c r="R890" s="172">
        <f t="shared" si="2629"/>
        <v>-6.1988697345140627E-2</v>
      </c>
      <c r="S890" s="172">
        <f t="shared" si="2634"/>
        <v>-7.701610371441557E-4</v>
      </c>
      <c r="T890" s="172"/>
      <c r="U890" s="172"/>
      <c r="V890" s="166">
        <f t="shared" si="2599"/>
        <v>61782.523300288361</v>
      </c>
      <c r="W890" s="170"/>
      <c r="X890" s="174">
        <v>2862.6905084252708</v>
      </c>
      <c r="Y890" s="175">
        <v>2.1249057981962687E-2</v>
      </c>
      <c r="Z890" s="175">
        <f t="shared" si="2635"/>
        <v>2.6400291076624101E-4</v>
      </c>
      <c r="AA890" s="175"/>
      <c r="AB890" s="175"/>
      <c r="AC890" s="170">
        <f t="shared" si="2462"/>
        <v>132770.48725395926</v>
      </c>
      <c r="AD890" s="175">
        <f t="shared" si="2630"/>
        <v>2.467167121140772E-2</v>
      </c>
      <c r="AE890" s="170"/>
      <c r="AF890" s="170"/>
      <c r="AG890" s="121">
        <f t="shared" si="2631"/>
        <v>387.18869220101914</v>
      </c>
      <c r="AH890" s="119">
        <f>+AZ890/$BB$50</f>
        <v>9.4704990014257522E-3</v>
      </c>
      <c r="AI890" s="119"/>
      <c r="AJ890" s="176">
        <f t="shared" si="2636"/>
        <v>3.6668701228530947</v>
      </c>
      <c r="AK890" s="176">
        <f t="shared" si="2637"/>
        <v>0</v>
      </c>
      <c r="AL890" s="120">
        <f t="shared" si="2619"/>
        <v>0.21839295448312226</v>
      </c>
      <c r="AM890" s="120">
        <f t="shared" si="2620"/>
        <v>0.31627378826888197</v>
      </c>
      <c r="AN890" s="120">
        <f t="shared" si="2621"/>
        <v>0.46533325724799574</v>
      </c>
      <c r="AO890" s="120">
        <f t="shared" si="2625"/>
        <v>-2.4812607253273736E-2</v>
      </c>
      <c r="AP890" s="173">
        <f t="shared" si="2641"/>
        <v>110.46047413354754</v>
      </c>
      <c r="AQ890" s="175">
        <f t="shared" si="2642"/>
        <v>-2.4812607253273798E-2</v>
      </c>
      <c r="AR890" s="177">
        <f>+AC890/$AE$50</f>
        <v>1.2424217157783678E-2</v>
      </c>
      <c r="AS890" s="177">
        <f t="shared" si="2638"/>
        <v>-3.0827722076547207E-4</v>
      </c>
      <c r="AT890" s="177"/>
      <c r="AU890" s="177"/>
      <c r="AV890" s="177"/>
      <c r="AW890" s="190"/>
      <c r="AX890" s="120"/>
      <c r="AY890" s="120"/>
      <c r="AZ890" s="118">
        <f>IFERROR(INDEX('Total Customers'!$F$7:$AB$91,MATCH($C890,'Total Customers'!$D$7:$D$91,0),MATCH($G890,'Total Customers'!$F$5:$AB$5,0)),"NA")</f>
        <v>342909</v>
      </c>
      <c r="BA890" s="119">
        <f t="shared" si="2600"/>
        <v>1.1937086280245554E-2</v>
      </c>
      <c r="BB890" s="119"/>
      <c r="BC890" s="121"/>
      <c r="BD890" s="119"/>
      <c r="BE890" s="119"/>
      <c r="BF890" s="119"/>
      <c r="BG890" s="173"/>
      <c r="BH890" s="173"/>
      <c r="BI890" s="173"/>
      <c r="BJ890" s="173"/>
      <c r="BK890" s="173"/>
      <c r="BL890" s="173"/>
      <c r="BM890" s="173"/>
      <c r="BN890" s="173"/>
      <c r="BO890" s="173"/>
      <c r="BP890" s="173"/>
      <c r="BQ890" s="118"/>
      <c r="BR890" s="118"/>
      <c r="BS890" s="118">
        <f>INDEX('Dist. Plant Gas Additions'!$F$7:$AE$91,MATCH($C890,'Dist. Plant Gas Additions'!$D$7:$D$91,0),MATCH(Calculation!$G890,'Dist. Plant Gas Additions'!$F$5:$AE$5,0))</f>
        <v>53089</v>
      </c>
      <c r="BT890" s="118">
        <f>INDEX('Gen. Plant Additions'!$F$7:$AE$91,MATCH($C890,'Gen. Plant Additions'!$D$7:$D$91,0),MATCH(Calculation!$G890,'Gen. Plant Additions'!$F$5:$AE$5,0))</f>
        <v>955</v>
      </c>
      <c r="BU890" s="118"/>
      <c r="BV890" s="118"/>
      <c r="BW890" s="118">
        <f>INDEX('Dist Plant Depreciation'!$E$7:$AD$94,MATCH($C890,'Dist Plant Depreciation'!$D$7:$D$94,0),MATCH(Calculation!$G890,'Dist Plant Depreciation'!$E$5:$AD$5,0))</f>
        <v>536373</v>
      </c>
      <c r="BX890" s="118">
        <f>INDEX('Gen. Plant Depreciation'!$E$7:$AD$94,MATCH($C890,'Gen. Plant Depreciation'!$D$7:$D$94,0),MATCH(Calculation!$G890,'Gen. Plant Depreciation'!$E$5:$AD$5,0))</f>
        <v>20578</v>
      </c>
      <c r="BY890" s="118"/>
      <c r="BZ890" s="118"/>
      <c r="CA890" s="118"/>
      <c r="CB890" s="118"/>
      <c r="CC890" s="118"/>
      <c r="CD890" s="183"/>
      <c r="CE890" s="118">
        <f>INDEX('Gross Dx Plant'!$E$7:$AD$91,MATCH($C890,'Gross Dx Plant'!$D$7:$D$91,0),MATCH(Calculation!$G890,'Gross Dx Plant'!$E$5:$AD$5,0))</f>
        <v>1100724</v>
      </c>
      <c r="CF890" s="118">
        <f>INDEX('Gross Gen Plant'!$E$7:$AD$91,MATCH($C890,'Gross Gen Plant'!$D$7:$D$91,0),MATCH(Calculation!$G890,'Gross Gen Plant'!$E$5:$AD$5,0))</f>
        <v>38807</v>
      </c>
      <c r="CG890" s="118">
        <f t="shared" si="2598"/>
        <v>582580</v>
      </c>
      <c r="CH890" s="118"/>
      <c r="CI890" s="121">
        <v>2012</v>
      </c>
      <c r="CJ890" s="118"/>
      <c r="CK890" s="118"/>
      <c r="CL890" s="118"/>
      <c r="CM890" s="183"/>
      <c r="CN890" s="118">
        <f t="shared" si="2601"/>
        <v>54044</v>
      </c>
      <c r="CO890" s="118">
        <f t="shared" si="2602"/>
        <v>80.793001806727531</v>
      </c>
      <c r="CP890" s="186">
        <v>0.9135802469135802</v>
      </c>
      <c r="CQ890" s="118">
        <f>+CQ876*CP890+CO877*CP889+CO878*CP888+CO879*CP887+CO880*CP886+CO881*CP885+CO882*CP884+CO883*CP883+CO884*CP882+CO885*CP881+CO886*CP880+CO887*CP879+CO888*CP878+CO889*CP877+CO890</f>
        <v>2862.6905084252708</v>
      </c>
      <c r="CR890" s="119">
        <f t="shared" si="2603"/>
        <v>2.1249057981962687E-2</v>
      </c>
      <c r="CS890" s="119"/>
      <c r="CT890" s="177">
        <f t="shared" si="2604"/>
        <v>7.3524481715942017E-3</v>
      </c>
      <c r="CU890" s="177">
        <f t="shared" si="2612"/>
        <v>7.1342086787211179E-3</v>
      </c>
      <c r="CV890" s="119">
        <f>VLOOKUP($H890,RoR!$E:$F,2,FALSE)</f>
        <v>3.6733333333333333E-2</v>
      </c>
      <c r="CW890" s="177">
        <v>1.924331376386168E-2</v>
      </c>
      <c r="CX890" s="177">
        <f t="shared" si="2610"/>
        <v>1.7490019569471653E-2</v>
      </c>
      <c r="CY890" s="177">
        <f t="shared" si="2613"/>
        <v>2.3767732929812508E-2</v>
      </c>
      <c r="CZ890" s="177">
        <f t="shared" si="2614"/>
        <v>6.7122682943869583E-2</v>
      </c>
      <c r="DA890" s="187">
        <f t="shared" si="2605"/>
        <v>0.85534375000000007</v>
      </c>
      <c r="DB890" s="188">
        <f t="shared" si="2606"/>
        <v>1.3960631020522127</v>
      </c>
      <c r="DC890" s="188">
        <f t="shared" si="2607"/>
        <v>0.29441923774954631</v>
      </c>
      <c r="DD890" s="188">
        <f t="shared" si="2608"/>
        <v>0.76377954189366437</v>
      </c>
      <c r="DE890" s="188">
        <f t="shared" si="2609"/>
        <v>0.31393465103033691</v>
      </c>
      <c r="DF890" s="189">
        <f>INDEX('State Tax Lookup'!$D$7:$Z$91,MATCH(Calculation!$C890,'State Tax Lookup'!$B$7:$B$91,0),MATCH($H890,'State Tax Lookup'!$D$6:$Z$6,0))</f>
        <v>0.38574999999999998</v>
      </c>
      <c r="DG890" s="189">
        <v>0.375</v>
      </c>
      <c r="DH890" s="190">
        <f t="shared" si="2611"/>
        <v>22.045481673535313</v>
      </c>
      <c r="DI890" s="190">
        <v>21.733418961641949</v>
      </c>
      <c r="DJ890" s="177"/>
      <c r="DK890" s="189">
        <f>VLOOKUP($H890,RoR!$E:$F,2,FALSE)</f>
        <v>3.6733333333333333E-2</v>
      </c>
      <c r="DL890" s="191">
        <f>HLOOKUP($H890,'GDP-PI'!$D$8:$CQ$11,3,FALSE)</f>
        <v>1.924331376386168E-2</v>
      </c>
      <c r="DM890" s="189">
        <f>VLOOKUP(H890,'HW Dx Data'!$E:$F,2,FALSE)</f>
        <v>668.91932211262167</v>
      </c>
      <c r="DN890" s="183">
        <f>VLOOKUP(H890,'ECI - Input Price'!$G$17:$H$37,2,FALSE)</f>
        <v>116.5</v>
      </c>
      <c r="DO890" s="177">
        <f t="shared" ref="DO890" si="2651">LN(DN890/DN889)</f>
        <v>1.9064702204990347E-2</v>
      </c>
      <c r="DP890" s="183">
        <f>HLOOKUP(H890,'GDP-PI'!$8:$9,2,FALSE)</f>
        <v>100</v>
      </c>
      <c r="DQ890" s="177">
        <f t="shared" ref="DQ890" si="2652">LN(DP890/DP889)</f>
        <v>1.9060502738742411E-2</v>
      </c>
    </row>
    <row r="891" spans="1:121" s="167" customFormat="1" ht="21" x14ac:dyDescent="0.35">
      <c r="A891" s="167" t="s">
        <v>90</v>
      </c>
      <c r="B891" s="168" t="s">
        <v>90</v>
      </c>
      <c r="C891" s="168">
        <v>4063341</v>
      </c>
      <c r="D891" s="168" t="s">
        <v>147</v>
      </c>
      <c r="E891" s="168"/>
      <c r="F891" s="168"/>
      <c r="G891" s="168" t="s">
        <v>19</v>
      </c>
      <c r="H891" s="169">
        <v>2013</v>
      </c>
      <c r="I891" s="170"/>
      <c r="J891" s="166">
        <f>IFERROR(INDEX('Labor Expenditures'!$F$7:$X$91,MATCH($C891,'Labor Expenditures'!$D$7:$D$91,0),MATCH($G891,'Labor Expenditures'!$F$5:$X$5,0)),"NA")</f>
        <v>31498.845400426508</v>
      </c>
      <c r="K891" s="166">
        <f t="shared" si="2617"/>
        <v>265.30928953823127</v>
      </c>
      <c r="L891" s="172">
        <f t="shared" si="2624"/>
        <v>6.3869587288935159E-2</v>
      </c>
      <c r="M891" s="172">
        <f t="shared" si="2628"/>
        <v>8.0170242218821782E-4</v>
      </c>
      <c r="N891" s="196"/>
      <c r="O891" s="172"/>
      <c r="P891" s="166">
        <f>IFERROR(INDEX('Non-Labor Expenditures'!$F$7:$AB$91,MATCH($C891,'Non-Labor Expenditures'!$D$7:$D$91,0),MATCH($G891,'Non-Labor Expenditures'!$F$5:$AB$5,0)),"NA")</f>
        <v>45616.211312616491</v>
      </c>
      <c r="Q891" s="166">
        <f t="shared" si="2618"/>
        <v>448.21525662618274</v>
      </c>
      <c r="R891" s="172">
        <f t="shared" si="2629"/>
        <v>6.5213551701854916E-2</v>
      </c>
      <c r="S891" s="172">
        <f t="shared" si="2634"/>
        <v>8.185721025933579E-4</v>
      </c>
      <c r="T891" s="172"/>
      <c r="U891" s="172"/>
      <c r="V891" s="166">
        <f t="shared" si="2599"/>
        <v>62024.196113234852</v>
      </c>
      <c r="W891" s="170"/>
      <c r="X891" s="174">
        <v>2971.4237789688141</v>
      </c>
      <c r="Y891" s="175">
        <v>3.7279304976163372E-2</v>
      </c>
      <c r="Z891" s="175">
        <f t="shared" si="2635"/>
        <v>4.6793646812966173E-4</v>
      </c>
      <c r="AA891" s="175"/>
      <c r="AB891" s="175"/>
      <c r="AC891" s="170">
        <f t="shared" si="2462"/>
        <v>139139.25282627787</v>
      </c>
      <c r="AD891" s="175">
        <f t="shared" si="2630"/>
        <v>4.6853272727991738E-2</v>
      </c>
      <c r="AE891" s="170"/>
      <c r="AF891" s="170"/>
      <c r="AG891" s="121">
        <f t="shared" si="2631"/>
        <v>400.55403313002631</v>
      </c>
      <c r="AH891" s="119">
        <f>+AZ891/$BB$51</f>
        <v>9.5322855019026667E-3</v>
      </c>
      <c r="AI891" s="119"/>
      <c r="AJ891" s="176">
        <f t="shared" si="2636"/>
        <v>3.8181954027339904</v>
      </c>
      <c r="AK891" s="176">
        <f t="shared" si="2637"/>
        <v>0</v>
      </c>
      <c r="AL891" s="120">
        <f t="shared" si="2619"/>
        <v>0.22638360319322939</v>
      </c>
      <c r="AM891" s="120">
        <f t="shared" si="2620"/>
        <v>0.3278457400484287</v>
      </c>
      <c r="AN891" s="120">
        <f t="shared" si="2621"/>
        <v>0.44577065675834182</v>
      </c>
      <c r="AO891" s="120">
        <f t="shared" si="2625"/>
        <v>5.2189169005947778E-2</v>
      </c>
      <c r="AP891" s="173">
        <f t="shared" si="2641"/>
        <v>116.37839706232593</v>
      </c>
      <c r="AQ891" s="175">
        <f t="shared" si="2642"/>
        <v>5.2189169005947757E-2</v>
      </c>
      <c r="AR891" s="177">
        <f>+AC891/$AE$51</f>
        <v>1.2552177902159478E-2</v>
      </c>
      <c r="AS891" s="177">
        <f t="shared" si="2638"/>
        <v>6.550877339285238E-4</v>
      </c>
      <c r="AT891" s="177"/>
      <c r="AU891" s="177"/>
      <c r="AV891" s="177"/>
      <c r="AW891" s="190"/>
      <c r="AX891" s="120"/>
      <c r="AY891" s="120"/>
      <c r="AZ891" s="118">
        <f>IFERROR(INDEX('Total Customers'!$F$7:$AB$91,MATCH($C891,'Total Customers'!$D$7:$D$91,0),MATCH($G891,'Total Customers'!$F$5:$AB$5,0)),"NA")</f>
        <v>347367</v>
      </c>
      <c r="BA891" s="119">
        <f t="shared" si="2600"/>
        <v>1.2916752087022015E-2</v>
      </c>
      <c r="BB891" s="119"/>
      <c r="BC891" s="121"/>
      <c r="BD891" s="119"/>
      <c r="BE891" s="119"/>
      <c r="BF891" s="119"/>
      <c r="BG891" s="173"/>
      <c r="BH891" s="173"/>
      <c r="BI891" s="173"/>
      <c r="BJ891" s="173"/>
      <c r="BK891" s="173"/>
      <c r="BL891" s="173"/>
      <c r="BM891" s="173"/>
      <c r="BN891" s="173"/>
      <c r="BO891" s="173"/>
      <c r="BP891" s="173"/>
      <c r="BQ891" s="118"/>
      <c r="BR891" s="118"/>
      <c r="BS891" s="118">
        <f>INDEX('Dist. Plant Gas Additions'!$F$7:$AE$91,MATCH($C891,'Dist. Plant Gas Additions'!$D$7:$D$91,0),MATCH(Calculation!$G891,'Dist. Plant Gas Additions'!$F$5:$AE$5,0))</f>
        <v>82623</v>
      </c>
      <c r="BT891" s="118">
        <f>INDEX('Gen. Plant Additions'!$F$7:$AE$91,MATCH($C891,'Gen. Plant Additions'!$D$7:$D$91,0),MATCH(Calculation!$G891,'Gen. Plant Additions'!$F$5:$AE$5,0))</f>
        <v>3921</v>
      </c>
      <c r="BU891" s="118"/>
      <c r="BV891" s="118"/>
      <c r="BW891" s="118">
        <f>INDEX('Dist Plant Depreciation'!$E$7:$AD$94,MATCH($C891,'Dist Plant Depreciation'!$D$7:$D$94,0),MATCH(Calculation!$G891,'Dist Plant Depreciation'!$E$5:$AD$5,0))</f>
        <v>553400</v>
      </c>
      <c r="BX891" s="118">
        <f>INDEX('Gen. Plant Depreciation'!$E$7:$AD$94,MATCH($C891,'Gen. Plant Depreciation'!$D$7:$D$94,0),MATCH(Calculation!$G891,'Gen. Plant Depreciation'!$E$5:$AD$5,0))</f>
        <v>42296</v>
      </c>
      <c r="BY891" s="118"/>
      <c r="BZ891" s="118"/>
      <c r="CA891" s="118"/>
      <c r="CB891" s="118"/>
      <c r="CC891" s="118"/>
      <c r="CD891" s="183"/>
      <c r="CE891" s="118">
        <f>INDEX('Gross Dx Plant'!$E$7:$AD$91,MATCH($C891,'Gross Dx Plant'!$D$7:$D$91,0),MATCH(Calculation!$G891,'Gross Dx Plant'!$E$5:$AD$5,0))</f>
        <v>1175198</v>
      </c>
      <c r="CF891" s="118">
        <f>INDEX('Gross Gen Plant'!$E$7:$AD$91,MATCH($C891,'Gross Gen Plant'!$D$7:$D$91,0),MATCH(Calculation!$G891,'Gross Gen Plant'!$E$5:$AD$5,0))</f>
        <v>42636</v>
      </c>
      <c r="CG891" s="118">
        <f t="shared" si="2598"/>
        <v>622138</v>
      </c>
      <c r="CH891" s="118"/>
      <c r="CI891" s="121">
        <v>2013</v>
      </c>
      <c r="CJ891" s="118"/>
      <c r="CK891" s="118"/>
      <c r="CL891" s="118"/>
      <c r="CM891" s="183"/>
      <c r="CN891" s="118">
        <f t="shared" si="2601"/>
        <v>86544</v>
      </c>
      <c r="CO891" s="118">
        <f t="shared" si="2602"/>
        <v>130.48504796071899</v>
      </c>
      <c r="CP891" s="186">
        <v>0.90566037735849059</v>
      </c>
      <c r="CQ891" s="118">
        <f>+CQ876*CP891+CO877*CP890+CO878*CP889+CO879*CP888+CO880*CP887+CO881*CP886+CO882*CP885+CO883*CP884+CO884*CP883+CO885*CP882+CO886*CP881+CO887*CP880+CO888*CP879+CO889*CP878+CO890*CP877+CO891</f>
        <v>2971.4237789688141</v>
      </c>
      <c r="CR891" s="119">
        <f t="shared" si="2603"/>
        <v>3.7279304976163372E-2</v>
      </c>
      <c r="CS891" s="119"/>
      <c r="CT891" s="177">
        <f t="shared" si="2604"/>
        <v>7.5983685114256547E-3</v>
      </c>
      <c r="CU891" s="177">
        <f t="shared" si="2612"/>
        <v>7.3621659470811023E-3</v>
      </c>
      <c r="CV891" s="119">
        <f>VLOOKUP($H891,RoR!$E:$F,2,FALSE)</f>
        <v>4.2350000000000006E-2</v>
      </c>
      <c r="CW891" s="177">
        <v>1.7730000000000024E-2</v>
      </c>
      <c r="CX891" s="177">
        <f t="shared" si="2610"/>
        <v>2.4619999999999982E-2</v>
      </c>
      <c r="CY891" s="177">
        <f t="shared" si="2613"/>
        <v>2.3539775661452524E-2</v>
      </c>
      <c r="CZ891" s="177">
        <f t="shared" si="2614"/>
        <v>5.3376742735721204E-2</v>
      </c>
      <c r="DA891" s="187">
        <f t="shared" si="2605"/>
        <v>0.85534375000000007</v>
      </c>
      <c r="DB891" s="188">
        <f t="shared" si="2606"/>
        <v>1.2109103018193925</v>
      </c>
      <c r="DC891" s="188">
        <f t="shared" si="2607"/>
        <v>0.38468122786304604</v>
      </c>
      <c r="DD891" s="188">
        <f t="shared" si="2608"/>
        <v>0.80969194503422559</v>
      </c>
      <c r="DE891" s="188">
        <f t="shared" si="2609"/>
        <v>0.37716621754800816</v>
      </c>
      <c r="DF891" s="189">
        <f>INDEX('State Tax Lookup'!$D$7:$Z$91,MATCH(Calculation!$C891,'State Tax Lookup'!$B$7:$B$91,0),MATCH($H891,'State Tax Lookup'!$D$6:$Z$6,0))</f>
        <v>0.38574999999999998</v>
      </c>
      <c r="DG891" s="189">
        <v>0.375</v>
      </c>
      <c r="DH891" s="190">
        <f t="shared" si="2611"/>
        <v>21.666399469551308</v>
      </c>
      <c r="DI891" s="190">
        <v>21.338199490974091</v>
      </c>
      <c r="DJ891" s="177"/>
      <c r="DK891" s="189">
        <f>VLOOKUP($H891,RoR!$E:$F,2,FALSE)</f>
        <v>4.2350000000000006E-2</v>
      </c>
      <c r="DL891" s="191">
        <f>HLOOKUP($H891,'GDP-PI'!$D$8:$CQ$11,3,FALSE)</f>
        <v>1.7730000000000024E-2</v>
      </c>
      <c r="DM891" s="189">
        <f>VLOOKUP(H891,'HW Dx Data'!$E:$F,2,FALSE)</f>
        <v>663.24840548821396</v>
      </c>
      <c r="DN891" s="183">
        <f>VLOOKUP(H891,'ECI - Input Price'!$G$17:$H$37,2,FALSE)</f>
        <v>118.72499999999999</v>
      </c>
      <c r="DO891" s="177">
        <f t="shared" ref="DO891" si="2653">LN(DN891/DN890)</f>
        <v>1.8918621429430321E-2</v>
      </c>
      <c r="DP891" s="183">
        <f>HLOOKUP(H891,'GDP-PI'!$8:$9,2,FALSE)</f>
        <v>101.773</v>
      </c>
      <c r="DQ891" s="177">
        <f t="shared" ref="DQ891" si="2654">LN(DP891/DP890)</f>
        <v>1.7574657016510519E-2</v>
      </c>
    </row>
    <row r="892" spans="1:121" s="167" customFormat="1" ht="21" x14ac:dyDescent="0.35">
      <c r="A892" s="167" t="s">
        <v>90</v>
      </c>
      <c r="B892" s="168" t="s">
        <v>90</v>
      </c>
      <c r="C892" s="168">
        <v>4063341</v>
      </c>
      <c r="D892" s="168" t="s">
        <v>147</v>
      </c>
      <c r="E892" s="168"/>
      <c r="F892" s="168"/>
      <c r="G892" s="168" t="s">
        <v>20</v>
      </c>
      <c r="H892" s="169">
        <v>2014</v>
      </c>
      <c r="I892" s="170"/>
      <c r="J892" s="166">
        <f>IFERROR(INDEX('Labor Expenditures'!$F$7:$X$91,MATCH($C892,'Labor Expenditures'!$D$7:$D$91,0),MATCH($G892,'Labor Expenditures'!$F$5:$X$5,0)),"NA")</f>
        <v>31734.670799491338</v>
      </c>
      <c r="K892" s="166">
        <f t="shared" si="2617"/>
        <v>261.83721781758527</v>
      </c>
      <c r="L892" s="172">
        <f t="shared" si="2624"/>
        <v>-1.317327112128676E-2</v>
      </c>
      <c r="M892" s="172">
        <f t="shared" si="2628"/>
        <v>-1.6619032856881672E-4</v>
      </c>
      <c r="N892" s="196"/>
      <c r="O892" s="172"/>
      <c r="P892" s="166">
        <f>IFERROR(INDEX('Non-Labor Expenditures'!$F$7:$AB$91,MATCH($C892,'Non-Labor Expenditures'!$D$7:$D$91,0),MATCH($G892,'Non-Labor Expenditures'!$F$5:$AB$5,0)),"NA")</f>
        <v>45957.730536571216</v>
      </c>
      <c r="Q892" s="166">
        <f t="shared" si="2618"/>
        <v>443.40627839272929</v>
      </c>
      <c r="R892" s="172">
        <f t="shared" si="2629"/>
        <v>-1.0787143819514249E-2</v>
      </c>
      <c r="S892" s="172">
        <f t="shared" si="2634"/>
        <v>-1.3608760946150187E-4</v>
      </c>
      <c r="T892" s="172"/>
      <c r="U892" s="172"/>
      <c r="V892" s="166">
        <f t="shared" si="2599"/>
        <v>65872.062045125436</v>
      </c>
      <c r="W892" s="170"/>
      <c r="X892" s="174">
        <v>3054.9761460733321</v>
      </c>
      <c r="Y892" s="175">
        <v>2.7730559630148002E-2</v>
      </c>
      <c r="Z892" s="175">
        <f t="shared" si="2635"/>
        <v>3.4984103598114508E-4</v>
      </c>
      <c r="AA892" s="175"/>
      <c r="AB892" s="175"/>
      <c r="AC892" s="170">
        <f t="shared" si="2462"/>
        <v>143564.46338118799</v>
      </c>
      <c r="AD892" s="175">
        <f t="shared" si="2630"/>
        <v>3.1308905959029631E-2</v>
      </c>
      <c r="AE892" s="170"/>
      <c r="AF892" s="170"/>
      <c r="AG892" s="121">
        <f t="shared" si="2631"/>
        <v>405.66048714248814</v>
      </c>
      <c r="AH892" s="119">
        <f>+AZ892/$BB$52</f>
        <v>9.6595105459768068E-3</v>
      </c>
      <c r="AI892" s="119"/>
      <c r="AJ892" s="176">
        <f t="shared" si="2636"/>
        <v>3.9184817536389529</v>
      </c>
      <c r="AK892" s="176">
        <f t="shared" si="2637"/>
        <v>0</v>
      </c>
      <c r="AL892" s="120">
        <f t="shared" si="2619"/>
        <v>0.22104823193766557</v>
      </c>
      <c r="AM892" s="120">
        <f t="shared" si="2620"/>
        <v>0.32011912596047987</v>
      </c>
      <c r="AN892" s="120">
        <f t="shared" si="2621"/>
        <v>0.45883264210185459</v>
      </c>
      <c r="AO892" s="120">
        <f t="shared" si="2625"/>
        <v>6.1006623242833681E-3</v>
      </c>
      <c r="AP892" s="173">
        <f t="shared" si="2641"/>
        <v>117.09055246571036</v>
      </c>
      <c r="AQ892" s="175">
        <f t="shared" si="2642"/>
        <v>6.1006623242832805E-3</v>
      </c>
      <c r="AR892" s="177">
        <f>+AC892/$AE$52</f>
        <v>1.2615722172473082E-2</v>
      </c>
      <c r="AS892" s="177">
        <f t="shared" si="2638"/>
        <v>7.696426095123175E-5</v>
      </c>
      <c r="AT892" s="177"/>
      <c r="AU892" s="177"/>
      <c r="AV892" s="177"/>
      <c r="AW892" s="190"/>
      <c r="AX892" s="120"/>
      <c r="AY892" s="120"/>
      <c r="AZ892" s="118">
        <f>IFERROR(INDEX('Total Customers'!$F$7:$AB$91,MATCH($C892,'Total Customers'!$D$7:$D$91,0),MATCH($G892,'Total Customers'!$F$5:$AB$5,0)),"NA")</f>
        <v>353903</v>
      </c>
      <c r="BA892" s="119">
        <f t="shared" si="2600"/>
        <v>1.8641006355766276E-2</v>
      </c>
      <c r="BB892" s="119"/>
      <c r="BC892" s="121"/>
      <c r="BD892" s="119"/>
      <c r="BE892" s="119"/>
      <c r="BF892" s="119"/>
      <c r="BG892" s="173"/>
      <c r="BH892" s="173"/>
      <c r="BI892" s="173"/>
      <c r="BJ892" s="173"/>
      <c r="BK892" s="173"/>
      <c r="BL892" s="173"/>
      <c r="BM892" s="173"/>
      <c r="BN892" s="173"/>
      <c r="BO892" s="173"/>
      <c r="BP892" s="173"/>
      <c r="BQ892" s="118"/>
      <c r="BR892" s="118"/>
      <c r="BS892" s="118">
        <f>INDEX('Dist. Plant Gas Additions'!$F$7:$AE$91,MATCH($C892,'Dist. Plant Gas Additions'!$D$7:$D$91,0),MATCH(Calculation!$G892,'Dist. Plant Gas Additions'!$F$5:$AE$5,0))</f>
        <v>68179</v>
      </c>
      <c r="BT892" s="118">
        <f>INDEX('Gen. Plant Additions'!$F$7:$AE$91,MATCH($C892,'Gen. Plant Additions'!$D$7:$D$91,0),MATCH(Calculation!$G892,'Gen. Plant Additions'!$F$5:$AE$5,0))</f>
        <v>4889</v>
      </c>
      <c r="BU892" s="118"/>
      <c r="BV892" s="118"/>
      <c r="BW892" s="118">
        <f>INDEX('Dist Plant Depreciation'!$E$7:$AD$94,MATCH($C892,'Dist Plant Depreciation'!$D$7:$D$94,0),MATCH(Calculation!$G892,'Dist Plant Depreciation'!$E$5:$AD$5,0))</f>
        <v>591363</v>
      </c>
      <c r="BX892" s="118">
        <f>INDEX('Gen. Plant Depreciation'!$E$7:$AD$94,MATCH($C892,'Gen. Plant Depreciation'!$D$7:$D$94,0),MATCH(Calculation!$G892,'Gen. Plant Depreciation'!$E$5:$AD$5,0))</f>
        <v>39163</v>
      </c>
      <c r="BY892" s="118"/>
      <c r="BZ892" s="118"/>
      <c r="CA892" s="118"/>
      <c r="CB892" s="118"/>
      <c r="CC892" s="118"/>
      <c r="CD892" s="183"/>
      <c r="CE892" s="118">
        <f>INDEX('Gross Dx Plant'!$E$7:$AD$91,MATCH($C892,'Gross Dx Plant'!$D$7:$D$91,0),MATCH(Calculation!$G892,'Gross Dx Plant'!$E$5:$AD$5,0))</f>
        <v>1238426</v>
      </c>
      <c r="CF892" s="118">
        <f>INDEX('Gross Gen Plant'!$E$7:$AD$91,MATCH($C892,'Gross Gen Plant'!$D$7:$D$91,0),MATCH(Calculation!$G892,'Gross Gen Plant'!$E$5:$AD$5,0))</f>
        <v>36557</v>
      </c>
      <c r="CG892" s="118">
        <f t="shared" si="2598"/>
        <v>644457</v>
      </c>
      <c r="CH892" s="118"/>
      <c r="CI892" s="121">
        <v>2014</v>
      </c>
      <c r="CJ892" s="118"/>
      <c r="CK892" s="118"/>
      <c r="CL892" s="118"/>
      <c r="CM892" s="183"/>
      <c r="CN892" s="118">
        <f t="shared" si="2601"/>
        <v>73068</v>
      </c>
      <c r="CO892" s="118">
        <f t="shared" si="2602"/>
        <v>106.75134264740247</v>
      </c>
      <c r="CP892" s="186">
        <v>0.89743589743589747</v>
      </c>
      <c r="CQ892" s="118">
        <f>+CQ876*CP892+CO877*CP891+CO878*CP890+CO879*CP889+CO880*CP888+CO881*CP887+CO882*CP886+CO883*CP885+CO884*CP884+CO885*CP883+CO886*CP882+CO887*CP881+CO888*CP880+CO889*CP879+CO890*CP878+CO891*CP877+CO892</f>
        <v>3054.9761460733321</v>
      </c>
      <c r="CR892" s="119">
        <f t="shared" si="2603"/>
        <v>2.7730559630148002E-2</v>
      </c>
      <c r="CS892" s="119"/>
      <c r="CT892" s="177">
        <f t="shared" si="2604"/>
        <v>7.8073601305483622E-3</v>
      </c>
      <c r="CU892" s="177">
        <f t="shared" si="2612"/>
        <v>7.5860589378560729E-3</v>
      </c>
      <c r="CV892" s="119">
        <f>VLOOKUP($H892,RoR!$E:$F,2,FALSE)</f>
        <v>4.1625000000000002E-2</v>
      </c>
      <c r="CW892" s="177">
        <v>1.841352814597208E-2</v>
      </c>
      <c r="CX892" s="177">
        <f t="shared" si="2610"/>
        <v>2.3211471854027922E-2</v>
      </c>
      <c r="CY892" s="177">
        <f t="shared" si="2613"/>
        <v>2.3315882670677551E-2</v>
      </c>
      <c r="CZ892" s="177">
        <f t="shared" si="2614"/>
        <v>3.9072621432650924E-2</v>
      </c>
      <c r="DA892" s="187">
        <f t="shared" si="2605"/>
        <v>0.85534375000000007</v>
      </c>
      <c r="DB892" s="188">
        <f t="shared" si="2606"/>
        <v>1.2320012320012319</v>
      </c>
      <c r="DC892" s="188">
        <f t="shared" si="2607"/>
        <v>0.37439939939939942</v>
      </c>
      <c r="DD892" s="188">
        <f t="shared" si="2608"/>
        <v>0.80432100613819935</v>
      </c>
      <c r="DE892" s="188">
        <f t="shared" si="2609"/>
        <v>0.37100152660040037</v>
      </c>
      <c r="DF892" s="189">
        <f>INDEX('State Tax Lookup'!$D$7:$Z$91,MATCH(Calculation!$C892,'State Tax Lookup'!$B$7:$B$91,0),MATCH($H892,'State Tax Lookup'!$D$6:$Z$6,0))</f>
        <v>0.38574999999999998</v>
      </c>
      <c r="DG892" s="189">
        <v>0.375</v>
      </c>
      <c r="DH892" s="190">
        <f t="shared" si="2611"/>
        <v>22.168518173461376</v>
      </c>
      <c r="DI892" s="190">
        <v>21.832360758493721</v>
      </c>
      <c r="DJ892" s="177"/>
      <c r="DK892" s="189">
        <f>VLOOKUP($H892,RoR!$E:$F,2,FALSE)</f>
        <v>4.1625000000000002E-2</v>
      </c>
      <c r="DL892" s="191">
        <f>HLOOKUP($H892,'GDP-PI'!$D$8:$CQ$11,3,FALSE)</f>
        <v>1.841352814597208E-2</v>
      </c>
      <c r="DM892" s="189">
        <f>VLOOKUP(H892,'HW Dx Data'!$E:$F,2,FALSE)</f>
        <v>684.46914285042885</v>
      </c>
      <c r="DN892" s="183">
        <f>VLOOKUP(H892,'ECI - Input Price'!$G$17:$H$37,2,FALSE)</f>
        <v>121.2</v>
      </c>
      <c r="DO892" s="177">
        <f t="shared" ref="DO892" si="2655">LN(DN892/DN891)</f>
        <v>2.0632179200028689E-2</v>
      </c>
      <c r="DP892" s="183">
        <f>HLOOKUP(H892,'GDP-PI'!$8:$9,2,FALSE)</f>
        <v>103.64700000000001</v>
      </c>
      <c r="DQ892" s="177">
        <f t="shared" ref="DQ892" si="2656">LN(DP892/DP891)</f>
        <v>1.8246051898256087E-2</v>
      </c>
    </row>
    <row r="893" spans="1:121" s="167" customFormat="1" ht="21" x14ac:dyDescent="0.35">
      <c r="A893" s="167" t="s">
        <v>90</v>
      </c>
      <c r="B893" s="168" t="s">
        <v>90</v>
      </c>
      <c r="C893" s="168">
        <v>4063341</v>
      </c>
      <c r="D893" s="168" t="s">
        <v>147</v>
      </c>
      <c r="E893" s="168"/>
      <c r="F893" s="168"/>
      <c r="G893" s="168" t="s">
        <v>21</v>
      </c>
      <c r="H893" s="169">
        <v>2015</v>
      </c>
      <c r="I893" s="170"/>
      <c r="J893" s="166">
        <f>IFERROR(INDEX('Labor Expenditures'!$F$7:$X$91,MATCH($C893,'Labor Expenditures'!$D$7:$D$91,0),MATCH($G893,'Labor Expenditures'!$F$5:$X$5,0)),"NA")</f>
        <v>32988.470061060958</v>
      </c>
      <c r="K893" s="166">
        <f t="shared" si="2617"/>
        <v>266.57349544291685</v>
      </c>
      <c r="L893" s="172">
        <f t="shared" si="2624"/>
        <v>1.7926981228353268E-2</v>
      </c>
      <c r="M893" s="172">
        <f t="shared" si="2628"/>
        <v>2.2940018764707148E-4</v>
      </c>
      <c r="N893" s="196"/>
      <c r="O893" s="172"/>
      <c r="P893" s="166">
        <f>IFERROR(INDEX('Non-Labor Expenditures'!$F$7:$AB$91,MATCH($C893,'Non-Labor Expenditures'!$D$7:$D$91,0),MATCH($G893,'Non-Labor Expenditures'!$F$5:$AB$5,0)),"NA")</f>
        <v>47773.466044723769</v>
      </c>
      <c r="Q893" s="166">
        <f t="shared" si="2618"/>
        <v>456.55507071669047</v>
      </c>
      <c r="R893" s="172">
        <f t="shared" si="2629"/>
        <v>2.9222872856496059E-2</v>
      </c>
      <c r="S893" s="172">
        <f t="shared" si="2634"/>
        <v>3.7394653519601511E-4</v>
      </c>
      <c r="T893" s="172"/>
      <c r="U893" s="172"/>
      <c r="V893" s="166">
        <f t="shared" si="2599"/>
        <v>66328.923727702495</v>
      </c>
      <c r="W893" s="170"/>
      <c r="X893" s="174">
        <v>3174.4063551220484</v>
      </c>
      <c r="Y893" s="175">
        <v>3.8348855664212658E-2</v>
      </c>
      <c r="Z893" s="175">
        <f t="shared" si="2635"/>
        <v>4.9072593836976635E-4</v>
      </c>
      <c r="AA893" s="175"/>
      <c r="AB893" s="175"/>
      <c r="AC893" s="170">
        <f t="shared" si="2462"/>
        <v>147090.85983348722</v>
      </c>
      <c r="AD893" s="175">
        <f t="shared" si="2630"/>
        <v>2.4266333444443285E-2</v>
      </c>
      <c r="AE893" s="170"/>
      <c r="AF893" s="170"/>
      <c r="AG893" s="121">
        <f t="shared" si="2631"/>
        <v>407.25309911868169</v>
      </c>
      <c r="AH893" s="119">
        <f>+AZ893/$BB$53</f>
        <v>9.77814518283362E-3</v>
      </c>
      <c r="AI893" s="119"/>
      <c r="AJ893" s="176">
        <f t="shared" si="2636"/>
        <v>3.9821799293414002</v>
      </c>
      <c r="AK893" s="176">
        <f t="shared" si="2637"/>
        <v>0</v>
      </c>
      <c r="AL893" s="120">
        <f t="shared" si="2619"/>
        <v>0.22427273930144426</v>
      </c>
      <c r="AM893" s="120">
        <f t="shared" si="2620"/>
        <v>0.32478881487813216</v>
      </c>
      <c r="AN893" s="120">
        <f t="shared" si="2621"/>
        <v>0.45093844582042358</v>
      </c>
      <c r="AO893" s="120">
        <f t="shared" si="2625"/>
        <v>3.0859001794736093E-2</v>
      </c>
      <c r="AP893" s="173">
        <f t="shared" si="2641"/>
        <v>120.76017934144767</v>
      </c>
      <c r="AQ893" s="175">
        <f t="shared" si="2642"/>
        <v>3.0859001794736166E-2</v>
      </c>
      <c r="AR893" s="177">
        <f>+AC893/$AE$53</f>
        <v>1.2796364581687224E-2</v>
      </c>
      <c r="AS893" s="177">
        <f t="shared" si="2638"/>
        <v>3.9488303759238434E-4</v>
      </c>
      <c r="AT893" s="177"/>
      <c r="AU893" s="177"/>
      <c r="AV893" s="177"/>
      <c r="AW893" s="190"/>
      <c r="AX893" s="120"/>
      <c r="AY893" s="120"/>
      <c r="AZ893" s="118">
        <f>IFERROR(INDEX('Total Customers'!$F$7:$AB$91,MATCH($C893,'Total Customers'!$D$7:$D$91,0),MATCH($G893,'Total Customers'!$F$5:$AB$5,0)),"NA")</f>
        <v>361178</v>
      </c>
      <c r="BA893" s="119">
        <f t="shared" si="2600"/>
        <v>2.0348047317309555E-2</v>
      </c>
      <c r="BB893" s="119"/>
      <c r="BC893" s="121"/>
      <c r="BD893" s="119"/>
      <c r="BE893" s="119"/>
      <c r="BF893" s="119"/>
      <c r="BG893" s="173"/>
      <c r="BH893" s="173"/>
      <c r="BI893" s="173"/>
      <c r="BJ893" s="173"/>
      <c r="BK893" s="173"/>
      <c r="BL893" s="173"/>
      <c r="BM893" s="173"/>
      <c r="BN893" s="173"/>
      <c r="BO893" s="173"/>
      <c r="BP893" s="173"/>
      <c r="BQ893" s="118"/>
      <c r="BR893" s="118"/>
      <c r="BS893" s="118">
        <f>INDEX('Dist. Plant Gas Additions'!$F$7:$AE$91,MATCH($C893,'Dist. Plant Gas Additions'!$D$7:$D$91,0),MATCH(Calculation!$G893,'Dist. Plant Gas Additions'!$F$5:$AE$5,0))</f>
        <v>92874</v>
      </c>
      <c r="BT893" s="118">
        <f>INDEX('Gen. Plant Additions'!$F$7:$AE$91,MATCH($C893,'Gen. Plant Additions'!$D$7:$D$91,0),MATCH(Calculation!$G893,'Gen. Plant Additions'!$F$5:$AE$5,0))</f>
        <v>4430</v>
      </c>
      <c r="BU893" s="118"/>
      <c r="BV893" s="118"/>
      <c r="BW893" s="118">
        <f>INDEX('Dist Plant Depreciation'!$E$7:$AD$94,MATCH($C893,'Dist Plant Depreciation'!$D$7:$D$94,0),MATCH(Calculation!$G893,'Dist Plant Depreciation'!$E$5:$AD$5,0))</f>
        <v>632212</v>
      </c>
      <c r="BX893" s="118">
        <f>INDEX('Gen. Plant Depreciation'!$E$7:$AD$94,MATCH($C893,'Gen. Plant Depreciation'!$D$7:$D$94,0),MATCH(Calculation!$G893,'Gen. Plant Depreciation'!$E$5:$AD$5,0))</f>
        <v>36385</v>
      </c>
      <c r="BY893" s="118"/>
      <c r="BZ893" s="118"/>
      <c r="CA893" s="118"/>
      <c r="CB893" s="118"/>
      <c r="CC893" s="118"/>
      <c r="CD893" s="183"/>
      <c r="CE893" s="118">
        <f>INDEX('Gross Dx Plant'!$E$7:$AD$91,MATCH($C893,'Gross Dx Plant'!$D$7:$D$91,0),MATCH(Calculation!$G893,'Gross Dx Plant'!$E$5:$AD$5,0))</f>
        <v>1326146</v>
      </c>
      <c r="CF893" s="118">
        <f>INDEX('Gross Gen Plant'!$E$7:$AD$91,MATCH($C893,'Gross Gen Plant'!$D$7:$D$91,0),MATCH(Calculation!$G893,'Gross Gen Plant'!$E$5:$AD$5,0))</f>
        <v>47356</v>
      </c>
      <c r="CG893" s="118">
        <f t="shared" si="2598"/>
        <v>704905</v>
      </c>
      <c r="CH893" s="118"/>
      <c r="CI893" s="121">
        <v>2015</v>
      </c>
      <c r="CJ893" s="118"/>
      <c r="CK893" s="118"/>
      <c r="CL893" s="118"/>
      <c r="CM893" s="183"/>
      <c r="CN893" s="118">
        <f t="shared" si="2601"/>
        <v>97304</v>
      </c>
      <c r="CO893" s="118">
        <f t="shared" si="2602"/>
        <v>144.02293146826986</v>
      </c>
      <c r="CP893" s="186">
        <v>0.88888888888888884</v>
      </c>
      <c r="CQ893" s="118">
        <f>+CQ876*CP893+CO877*CP892+CO878*CP891+CO879*CP890+CO880*CP889+CO881*CP888+CO882*CP887+CO883*CP886+CO884*CP885+CO885*CP884+CO886*CP883+CO887*CP882+CO888*CP881+CO889*CP880+CO890*CP879+CO891*CP878+CO892*CP877+CO893</f>
        <v>3174.4063551220484</v>
      </c>
      <c r="CR893" s="119">
        <f t="shared" si="2603"/>
        <v>3.8348855664212658E-2</v>
      </c>
      <c r="CS893" s="119"/>
      <c r="CT893" s="177">
        <f t="shared" si="2604"/>
        <v>8.0500538281333134E-3</v>
      </c>
      <c r="CU893" s="177">
        <f t="shared" si="2612"/>
        <v>7.8185941567024426E-3</v>
      </c>
      <c r="CV893" s="119">
        <f>VLOOKUP($H893,RoR!$E:$F,2,FALSE)</f>
        <v>3.8866666666666674E-2</v>
      </c>
      <c r="CW893" s="177">
        <v>9.5709475431029478E-3</v>
      </c>
      <c r="CX893" s="177">
        <f t="shared" si="2610"/>
        <v>2.9295719123563727E-2</v>
      </c>
      <c r="CY893" s="177">
        <f t="shared" si="2613"/>
        <v>2.3083347451831181E-2</v>
      </c>
      <c r="CZ893" s="177">
        <f t="shared" si="2614"/>
        <v>3.5270373279175926E-3</v>
      </c>
      <c r="DA893" s="187">
        <f t="shared" si="2605"/>
        <v>0.85534375000000007</v>
      </c>
      <c r="DB893" s="188">
        <f t="shared" si="2606"/>
        <v>1.3194352816994324</v>
      </c>
      <c r="DC893" s="188">
        <f t="shared" si="2607"/>
        <v>0.33177530017152673</v>
      </c>
      <c r="DD893" s="188">
        <f t="shared" si="2608"/>
        <v>0.78242572977668579</v>
      </c>
      <c r="DE893" s="188">
        <f t="shared" si="2609"/>
        <v>0.34251158643433932</v>
      </c>
      <c r="DF893" s="189">
        <f>INDEX('State Tax Lookup'!$D$7:$Z$91,MATCH(Calculation!$C893,'State Tax Lookup'!$B$7:$B$91,0),MATCH($H893,'State Tax Lookup'!$D$6:$Z$6,0))</f>
        <v>0.38574999999999998</v>
      </c>
      <c r="DG893" s="189">
        <v>0.375</v>
      </c>
      <c r="DH893" s="190">
        <f t="shared" si="2611"/>
        <v>21.711764857135588</v>
      </c>
      <c r="DI893" s="190">
        <v>21.343907590777327</v>
      </c>
      <c r="DJ893" s="177"/>
      <c r="DK893" s="189">
        <f>VLOOKUP($H893,RoR!$E:$F,2,FALSE)</f>
        <v>3.8866666666666674E-2</v>
      </c>
      <c r="DL893" s="191">
        <f>HLOOKUP($H893,'GDP-PI'!$D$8:$CQ$11,3,FALSE)</f>
        <v>9.5709475431029478E-3</v>
      </c>
      <c r="DM893" s="189">
        <f>VLOOKUP(H893,'HW Dx Data'!$E:$F,2,FALSE)</f>
        <v>675.61463308665782</v>
      </c>
      <c r="DN893" s="183">
        <f>VLOOKUP(H893,'ECI - Input Price'!$G$17:$H$37,2,FALSE)</f>
        <v>123.75</v>
      </c>
      <c r="DO893" s="177">
        <f t="shared" ref="DO893" si="2657">LN(DN893/DN892)</f>
        <v>2.0821327813585516E-2</v>
      </c>
      <c r="DP893" s="183">
        <f>HLOOKUP(H893,'GDP-PI'!$8:$9,2,FALSE)</f>
        <v>104.639</v>
      </c>
      <c r="DQ893" s="177">
        <f t="shared" ref="DQ893" si="2658">LN(DP893/DP892)</f>
        <v>9.5254361854427965E-3</v>
      </c>
    </row>
    <row r="894" spans="1:121" s="167" customFormat="1" ht="21" x14ac:dyDescent="0.35">
      <c r="A894" s="167" t="s">
        <v>90</v>
      </c>
      <c r="B894" s="168" t="s">
        <v>90</v>
      </c>
      <c r="C894" s="168">
        <v>4063341</v>
      </c>
      <c r="D894" s="168" t="s">
        <v>147</v>
      </c>
      <c r="E894" s="168"/>
      <c r="F894" s="168"/>
      <c r="G894" s="168" t="s">
        <v>22</v>
      </c>
      <c r="H894" s="169">
        <v>2016</v>
      </c>
      <c r="I894" s="170"/>
      <c r="J894" s="166">
        <f>IFERROR(INDEX('Labor Expenditures'!$F$7:$X$91,MATCH($C894,'Labor Expenditures'!$D$7:$D$91,0),MATCH($G894,'Labor Expenditures'!$F$5:$X$5,0)),"NA")</f>
        <v>35605.765951955444</v>
      </c>
      <c r="K894" s="166">
        <f t="shared" si="2617"/>
        <v>281.69118632876143</v>
      </c>
      <c r="L894" s="172">
        <f t="shared" si="2624"/>
        <v>5.5161401095909439E-2</v>
      </c>
      <c r="M894" s="172">
        <f t="shared" si="2628"/>
        <v>7.1863509542516042E-4</v>
      </c>
      <c r="N894" s="196"/>
      <c r="O894" s="172"/>
      <c r="P894" s="166">
        <f>IFERROR(INDEX('Non-Labor Expenditures'!$F$7:$AB$91,MATCH($C894,'Non-Labor Expenditures'!$D$7:$D$91,0),MATCH($G894,'Non-Labor Expenditures'!$F$5:$AB$5,0)),"NA")</f>
        <v>51563.799338180586</v>
      </c>
      <c r="Q894" s="166">
        <f t="shared" si="2618"/>
        <v>487.66550028543338</v>
      </c>
      <c r="R894" s="172">
        <f t="shared" si="2629"/>
        <v>6.592039099266174E-2</v>
      </c>
      <c r="S894" s="172">
        <f t="shared" si="2634"/>
        <v>8.5880172603136325E-4</v>
      </c>
      <c r="T894" s="172"/>
      <c r="U894" s="172"/>
      <c r="V894" s="166">
        <f t="shared" si="2599"/>
        <v>67834.445777342698</v>
      </c>
      <c r="W894" s="170"/>
      <c r="X894" s="174">
        <v>3321.3850552074337</v>
      </c>
      <c r="Y894" s="175">
        <v>4.5261241136262217E-2</v>
      </c>
      <c r="Z894" s="175">
        <f t="shared" si="2635"/>
        <v>5.8965718231966777E-4</v>
      </c>
      <c r="AA894" s="175"/>
      <c r="AB894" s="175"/>
      <c r="AC894" s="170">
        <f t="shared" ref="AC894:AC957" si="2659">+J894+P894+V894</f>
        <v>155004.01106747874</v>
      </c>
      <c r="AD894" s="175">
        <f t="shared" si="2630"/>
        <v>5.2400504496516551E-2</v>
      </c>
      <c r="AE894" s="170"/>
      <c r="AF894" s="170"/>
      <c r="AG894" s="121">
        <f t="shared" si="2631"/>
        <v>418.62088531294137</v>
      </c>
      <c r="AH894" s="119">
        <f>+AZ894/$BB$54</f>
        <v>9.9377607076903511E-3</v>
      </c>
      <c r="AI894" s="119"/>
      <c r="AJ894" s="176">
        <f t="shared" si="2636"/>
        <v>4.1601541854814972</v>
      </c>
      <c r="AK894" s="176">
        <f t="shared" si="2637"/>
        <v>0</v>
      </c>
      <c r="AL894" s="120">
        <f t="shared" si="2619"/>
        <v>0.22970867467716685</v>
      </c>
      <c r="AM894" s="120">
        <f t="shared" si="2620"/>
        <v>0.33266106459485772</v>
      </c>
      <c r="AN894" s="120">
        <f t="shared" si="2621"/>
        <v>0.43763026072797534</v>
      </c>
      <c r="AO894" s="120">
        <f t="shared" si="2625"/>
        <v>5.42996632363619E-2</v>
      </c>
      <c r="AP894" s="173">
        <f t="shared" si="2641"/>
        <v>127.49871080069815</v>
      </c>
      <c r="AQ894" s="175">
        <f t="shared" si="2642"/>
        <v>5.4299663236361935E-2</v>
      </c>
      <c r="AR894" s="177">
        <f>+AC894/$AE$54</f>
        <v>1.3027861532662405E-2</v>
      </c>
      <c r="AS894" s="177">
        <f t="shared" si="2638"/>
        <v>7.0740849391352268E-4</v>
      </c>
      <c r="AT894" s="177"/>
      <c r="AU894" s="177"/>
      <c r="AV894" s="177"/>
      <c r="AW894" s="190"/>
      <c r="AX894" s="120"/>
      <c r="AY894" s="120"/>
      <c r="AZ894" s="118">
        <f>IFERROR(INDEX('Total Customers'!$F$7:$AB$91,MATCH($C894,'Total Customers'!$D$7:$D$91,0),MATCH($G894,'Total Customers'!$F$5:$AB$5,0)),"NA")</f>
        <v>370273</v>
      </c>
      <c r="BA894" s="119">
        <f t="shared" si="2600"/>
        <v>2.486965980389674E-2</v>
      </c>
      <c r="BB894" s="119"/>
      <c r="BC894" s="121"/>
      <c r="BD894" s="119"/>
      <c r="BE894" s="119"/>
      <c r="BF894" s="119"/>
      <c r="BG894" s="173"/>
      <c r="BH894" s="173"/>
      <c r="BI894" s="173"/>
      <c r="BJ894" s="173"/>
      <c r="BK894" s="173"/>
      <c r="BL894" s="173"/>
      <c r="BM894" s="173"/>
      <c r="BN894" s="173"/>
      <c r="BO894" s="173"/>
      <c r="BP894" s="173"/>
      <c r="BQ894" s="118"/>
      <c r="BR894" s="118"/>
      <c r="BS894" s="118">
        <f>INDEX('Dist. Plant Gas Additions'!$F$7:$AE$91,MATCH($C894,'Dist. Plant Gas Additions'!$D$7:$D$91,0),MATCH(Calculation!$G894,'Dist. Plant Gas Additions'!$F$5:$AE$5,0))</f>
        <v>111742</v>
      </c>
      <c r="BT894" s="118">
        <f>INDEX('Gen. Plant Additions'!$F$7:$AE$91,MATCH($C894,'Gen. Plant Additions'!$D$7:$D$91,0),MATCH(Calculation!$G894,'Gen. Plant Additions'!$F$5:$AE$5,0))</f>
        <v>4565</v>
      </c>
      <c r="BU894" s="118"/>
      <c r="BV894" s="118"/>
      <c r="BW894" s="118">
        <f>INDEX('Dist Plant Depreciation'!$E$7:$AD$94,MATCH($C894,'Dist Plant Depreciation'!$D$7:$D$94,0),MATCH(Calculation!$G894,'Dist Plant Depreciation'!$E$5:$AD$5,0))</f>
        <v>659288</v>
      </c>
      <c r="BX894" s="118">
        <f>INDEX('Gen. Plant Depreciation'!$E$7:$AD$94,MATCH($C894,'Gen. Plant Depreciation'!$D$7:$D$94,0),MATCH(Calculation!$G894,'Gen. Plant Depreciation'!$E$5:$AD$5,0))</f>
        <v>27669</v>
      </c>
      <c r="BY894" s="118"/>
      <c r="BZ894" s="118"/>
      <c r="CA894" s="118"/>
      <c r="CB894" s="118"/>
      <c r="CC894" s="118"/>
      <c r="CD894" s="183"/>
      <c r="CE894" s="118">
        <f>INDEX('Gross Dx Plant'!$E$7:$AD$91,MATCH($C894,'Gross Dx Plant'!$D$7:$D$91,0),MATCH(Calculation!$G894,'Gross Dx Plant'!$E$5:$AD$5,0))</f>
        <v>1429078</v>
      </c>
      <c r="CF894" s="118">
        <f>INDEX('Gross Gen Plant'!$E$7:$AD$91,MATCH($C894,'Gross Gen Plant'!$D$7:$D$91,0),MATCH(Calculation!$G894,'Gross Gen Plant'!$E$5:$AD$5,0))</f>
        <v>38838</v>
      </c>
      <c r="CG894" s="118">
        <f t="shared" si="2598"/>
        <v>780959</v>
      </c>
      <c r="CH894" s="118"/>
      <c r="CI894" s="121">
        <v>2016</v>
      </c>
      <c r="CJ894" s="118"/>
      <c r="CK894" s="118"/>
      <c r="CL894" s="118"/>
      <c r="CM894" s="183"/>
      <c r="CN894" s="118">
        <f t="shared" si="2601"/>
        <v>116307</v>
      </c>
      <c r="CO894" s="118">
        <f t="shared" si="2602"/>
        <v>173.21601382248525</v>
      </c>
      <c r="CP894" s="186">
        <v>0.88</v>
      </c>
      <c r="CQ894" s="118">
        <f>+CQ876*CP894+CO877*CP893+CO878*CP892+CO879*CP891+CO880*CP890+CO881*CP889+CO882*CP888+CO883*CP887+CO884*CP886+CO885*CP885+CO886*CP884+CO887*CP883+CO888*CP882+CO889*CP881+CO890*CP880+CO891*CP879+CO892*CP878+CO893*CP877+CO894</f>
        <v>3321.3850552074337</v>
      </c>
      <c r="CR894" s="119">
        <f t="shared" si="2603"/>
        <v>4.5261241136262217E-2</v>
      </c>
      <c r="CS894" s="119"/>
      <c r="CT894" s="177">
        <f t="shared" si="2604"/>
        <v>8.2652662582926289E-3</v>
      </c>
      <c r="CU894" s="177">
        <f t="shared" si="2612"/>
        <v>8.0408934056581029E-3</v>
      </c>
      <c r="CV894" s="119">
        <f>VLOOKUP($H894,RoR!$E:$F,2,FALSE)</f>
        <v>3.6658333333333334E-2</v>
      </c>
      <c r="CW894" s="177">
        <v>1.0483662879041455E-2</v>
      </c>
      <c r="CX894" s="177">
        <f t="shared" si="2610"/>
        <v>2.6174670454291879E-2</v>
      </c>
      <c r="CY894" s="177">
        <f t="shared" si="2613"/>
        <v>2.2861048202875524E-2</v>
      </c>
      <c r="CZ894" s="177">
        <f t="shared" si="2614"/>
        <v>4.301363574220729E-3</v>
      </c>
      <c r="DA894" s="187">
        <f t="shared" si="2605"/>
        <v>0.85534375000000007</v>
      </c>
      <c r="DB894" s="188">
        <f t="shared" si="2606"/>
        <v>1.3989193348138562</v>
      </c>
      <c r="DC894" s="188">
        <f t="shared" si="2607"/>
        <v>0.29302682427824522</v>
      </c>
      <c r="DD894" s="188">
        <f t="shared" si="2608"/>
        <v>0.76309497491941802</v>
      </c>
      <c r="DE894" s="188">
        <f t="shared" si="2609"/>
        <v>0.31280857135128509</v>
      </c>
      <c r="DF894" s="189">
        <f>INDEX('State Tax Lookup'!$D$7:$Z$91,MATCH(Calculation!$C894,'State Tax Lookup'!$B$7:$B$91,0),MATCH($H894,'State Tax Lookup'!$D$6:$Z$6,0))</f>
        <v>0.38574999999999998</v>
      </c>
      <c r="DG894" s="189">
        <v>0.375</v>
      </c>
      <c r="DH894" s="190">
        <f t="shared" si="2611"/>
        <v>21.369175268909334</v>
      </c>
      <c r="DI894" s="190">
        <v>20.98615703362174</v>
      </c>
      <c r="DJ894" s="177"/>
      <c r="DK894" s="189">
        <f>VLOOKUP($H894,RoR!$E:$F,2,FALSE)</f>
        <v>3.6658333333333334E-2</v>
      </c>
      <c r="DL894" s="191">
        <f>HLOOKUP($H894,'GDP-PI'!$D$8:$CQ$11,3,FALSE)</f>
        <v>1.0483662879041455E-2</v>
      </c>
      <c r="DM894" s="189">
        <f>VLOOKUP(H894,'HW Dx Data'!$E:$F,2,FALSE)</f>
        <v>671.45639385971219</v>
      </c>
      <c r="DN894" s="183">
        <f>VLOOKUP(H894,'ECI - Input Price'!$G$17:$H$37,2,FALSE)</f>
        <v>126.4</v>
      </c>
      <c r="DO894" s="177">
        <f t="shared" ref="DO894" si="2660">LN(DN894/DN893)</f>
        <v>2.11880802639575E-2</v>
      </c>
      <c r="DP894" s="183">
        <f>HLOOKUP(H894,'GDP-PI'!$8:$9,2,FALSE)</f>
        <v>105.736</v>
      </c>
      <c r="DQ894" s="177">
        <f t="shared" ref="DQ894" si="2661">LN(DP894/DP893)</f>
        <v>1.0429090367205095E-2</v>
      </c>
    </row>
    <row r="895" spans="1:121" s="167" customFormat="1" ht="21" x14ac:dyDescent="0.35">
      <c r="A895" s="167" t="s">
        <v>90</v>
      </c>
      <c r="B895" s="168" t="s">
        <v>90</v>
      </c>
      <c r="C895" s="168">
        <v>4063341</v>
      </c>
      <c r="D895" s="168" t="s">
        <v>147</v>
      </c>
      <c r="E895" s="168"/>
      <c r="F895" s="168"/>
      <c r="G895" s="168" t="s">
        <v>23</v>
      </c>
      <c r="H895" s="169">
        <v>2017</v>
      </c>
      <c r="I895" s="170"/>
      <c r="J895" s="166">
        <f>IFERROR(INDEX('Labor Expenditures'!$F$7:$X$91,MATCH($C895,'Labor Expenditures'!$D$7:$D$91,0),MATCH($G895,'Labor Expenditures'!$F$5:$X$5,0)),"NA")</f>
        <v>35069.038711156834</v>
      </c>
      <c r="K895" s="166">
        <f t="shared" si="2617"/>
        <v>270.80338773094081</v>
      </c>
      <c r="L895" s="172">
        <f t="shared" si="2624"/>
        <v>-3.9418335910443775E-2</v>
      </c>
      <c r="M895" s="172">
        <f t="shared" si="2628"/>
        <v>-5.0004087646146232E-4</v>
      </c>
      <c r="N895" s="196"/>
      <c r="O895" s="172"/>
      <c r="P895" s="166">
        <f>IFERROR(INDEX('Non-Labor Expenditures'!$F$7:$AB$91,MATCH($C895,'Non-Labor Expenditures'!$D$7:$D$91,0),MATCH($G895,'Non-Labor Expenditures'!$F$5:$AB$5,0)),"NA")</f>
        <v>50786.518046683625</v>
      </c>
      <c r="Q895" s="166">
        <f t="shared" si="2618"/>
        <v>471.3322200878286</v>
      </c>
      <c r="R895" s="172">
        <f t="shared" si="2629"/>
        <v>-3.4066524711353394E-2</v>
      </c>
      <c r="S895" s="172">
        <f t="shared" si="2634"/>
        <v>-4.3215053302511262E-4</v>
      </c>
      <c r="T895" s="172"/>
      <c r="U895" s="172"/>
      <c r="V895" s="166">
        <f t="shared" si="2599"/>
        <v>64434.147107627774</v>
      </c>
      <c r="W895" s="170"/>
      <c r="X895" s="174">
        <v>3462.138504708807</v>
      </c>
      <c r="Y895" s="175">
        <v>4.1504581856654003E-2</v>
      </c>
      <c r="Z895" s="175">
        <f t="shared" si="2635"/>
        <v>5.265059269858489E-4</v>
      </c>
      <c r="AA895" s="175"/>
      <c r="AB895" s="175"/>
      <c r="AC895" s="170">
        <f t="shared" si="2659"/>
        <v>150289.70386546824</v>
      </c>
      <c r="AD895" s="175">
        <f t="shared" si="2630"/>
        <v>-3.0886203915792207E-2</v>
      </c>
      <c r="AE895" s="170"/>
      <c r="AF895" s="170"/>
      <c r="AG895" s="121">
        <f t="shared" si="2631"/>
        <v>402.25821732389824</v>
      </c>
      <c r="AH895" s="119">
        <f>+AZ895/$BB$55</f>
        <v>9.9521179895145362E-3</v>
      </c>
      <c r="AI895" s="119"/>
      <c r="AJ895" s="176">
        <f t="shared" si="2636"/>
        <v>4.0033212410592158</v>
      </c>
      <c r="AK895" s="176">
        <f t="shared" si="2637"/>
        <v>0</v>
      </c>
      <c r="AL895" s="120">
        <f t="shared" si="2619"/>
        <v>0.23334292243032742</v>
      </c>
      <c r="AM895" s="120">
        <f t="shared" si="2620"/>
        <v>0.33792413412528349</v>
      </c>
      <c r="AN895" s="120">
        <f t="shared" si="2621"/>
        <v>0.42873294344438906</v>
      </c>
      <c r="AO895" s="120">
        <f t="shared" si="2625"/>
        <v>-2.5695940583766279E-3</v>
      </c>
      <c r="AP895" s="173">
        <f t="shared" si="2641"/>
        <v>127.17151143578234</v>
      </c>
      <c r="AQ895" s="175">
        <f t="shared" si="2642"/>
        <v>-2.5695940583766795E-3</v>
      </c>
      <c r="AR895" s="177">
        <f>+AC895/$AE$55</f>
        <v>1.268548925042211E-2</v>
      </c>
      <c r="AS895" s="177">
        <f t="shared" si="2638"/>
        <v>-3.2596557805485888E-5</v>
      </c>
      <c r="AT895" s="177"/>
      <c r="AU895" s="177"/>
      <c r="AV895" s="177"/>
      <c r="AW895" s="190"/>
      <c r="AX895" s="120"/>
      <c r="AY895" s="120"/>
      <c r="AZ895" s="118">
        <f>IFERROR(INDEX('Total Customers'!$F$7:$AB$91,MATCH($C895,'Total Customers'!$D$7:$D$91,0),MATCH($G895,'Total Customers'!$F$5:$AB$5,0)),"NA")</f>
        <v>373615</v>
      </c>
      <c r="BA895" s="119">
        <f t="shared" si="2600"/>
        <v>8.9852840340452766E-3</v>
      </c>
      <c r="BB895" s="119"/>
      <c r="BC895" s="121"/>
      <c r="BD895" s="119"/>
      <c r="BE895" s="119"/>
      <c r="BF895" s="119"/>
      <c r="BG895" s="173"/>
      <c r="BH895" s="173"/>
      <c r="BI895" s="173"/>
      <c r="BJ895" s="173"/>
      <c r="BK895" s="173"/>
      <c r="BL895" s="173"/>
      <c r="BM895" s="173"/>
      <c r="BN895" s="173"/>
      <c r="BO895" s="173"/>
      <c r="BP895" s="173"/>
      <c r="BQ895" s="118"/>
      <c r="BR895" s="118"/>
      <c r="BS895" s="118">
        <f>INDEX('Dist. Plant Gas Additions'!$F$7:$AE$91,MATCH($C895,'Dist. Plant Gas Additions'!$D$7:$D$91,0),MATCH(Calculation!$G895,'Dist. Plant Gas Additions'!$F$5:$AE$5,0))</f>
        <v>117169</v>
      </c>
      <c r="BT895" s="118">
        <f>INDEX('Gen. Plant Additions'!$F$7:$AE$91,MATCH($C895,'Gen. Plant Additions'!$D$7:$D$91,0),MATCH(Calculation!$G895,'Gen. Plant Additions'!$F$5:$AE$5,0))</f>
        <v>3129</v>
      </c>
      <c r="BU895" s="118"/>
      <c r="BV895" s="118"/>
      <c r="BW895" s="118">
        <f>INDEX('Dist Plant Depreciation'!$E$7:$AD$94,MATCH($C895,'Dist Plant Depreciation'!$D$7:$D$94,0),MATCH(Calculation!$G895,'Dist Plant Depreciation'!$E$5:$AD$5,0))</f>
        <v>683169</v>
      </c>
      <c r="BX895" s="118">
        <f>INDEX('Gen. Plant Depreciation'!$E$7:$AD$94,MATCH($C895,'Gen. Plant Depreciation'!$D$7:$D$94,0),MATCH(Calculation!$G895,'Gen. Plant Depreciation'!$E$5:$AD$5,0))</f>
        <v>30446</v>
      </c>
      <c r="BY895" s="118"/>
      <c r="BZ895" s="118"/>
      <c r="CA895" s="118"/>
      <c r="CB895" s="118"/>
      <c r="CC895" s="118"/>
      <c r="CD895" s="183"/>
      <c r="CE895" s="118">
        <f>INDEX('Gross Dx Plant'!$E$7:$AD$91,MATCH($C895,'Gross Dx Plant'!$D$7:$D$91,0),MATCH(Calculation!$G895,'Gross Dx Plant'!$E$5:$AD$5,0))</f>
        <v>1534151</v>
      </c>
      <c r="CF895" s="118">
        <f>INDEX('Gross Gen Plant'!$E$7:$AD$91,MATCH($C895,'Gross Gen Plant'!$D$7:$D$91,0),MATCH(Calculation!$G895,'Gross Gen Plant'!$E$5:$AD$5,0))</f>
        <v>39196</v>
      </c>
      <c r="CG895" s="118">
        <f t="shared" si="2598"/>
        <v>859732</v>
      </c>
      <c r="CH895" s="118"/>
      <c r="CI895" s="121">
        <v>2017</v>
      </c>
      <c r="CJ895" s="118"/>
      <c r="CK895" s="118"/>
      <c r="CL895" s="118"/>
      <c r="CM895" s="183"/>
      <c r="CN895" s="118">
        <f t="shared" si="2601"/>
        <v>120298</v>
      </c>
      <c r="CO895" s="118">
        <f t="shared" si="2602"/>
        <v>168.85622327903249</v>
      </c>
      <c r="CP895" s="186">
        <v>0.87074829931972786</v>
      </c>
      <c r="CQ895" s="118">
        <f>+CQ876*CP895+CO877*CP894+CO878*CP893+CO879*CP892+CO880*CP891+CO881*CP890+CO882*CP889+CO883*CP888+CO884*CP887+CO885*CP886+CO886*CP885+CO887*CP884+CO888*CP883+CO889*CP882+CO890*CP881+CO891*CP880+CO892*CP879+CO893*CP878+CO894*CP877+CO895</f>
        <v>3462.138504708807</v>
      </c>
      <c r="CR895" s="119">
        <f t="shared" si="2603"/>
        <v>4.1504581856654003E-2</v>
      </c>
      <c r="CS895" s="119"/>
      <c r="CT895" s="177">
        <f t="shared" si="2604"/>
        <v>8.4611610248556488E-3</v>
      </c>
      <c r="CU895" s="177">
        <f t="shared" si="2612"/>
        <v>8.2588270370938643E-3</v>
      </c>
      <c r="CV895" s="119">
        <f>VLOOKUP($H895,RoR!$E:$F,2,FALSE)</f>
        <v>3.7433333333333339E-2</v>
      </c>
      <c r="CW895" s="177">
        <v>1.9056896421275615E-2</v>
      </c>
      <c r="CX895" s="177">
        <f t="shared" si="2610"/>
        <v>1.8376436912057724E-2</v>
      </c>
      <c r="CY895" s="177">
        <f t="shared" si="2613"/>
        <v>2.2643114571439762E-2</v>
      </c>
      <c r="CZ895" s="177">
        <f t="shared" si="2614"/>
        <v>1.3976271617800498E-2</v>
      </c>
      <c r="DA895" s="187">
        <f t="shared" si="2605"/>
        <v>0.90784375000000006</v>
      </c>
      <c r="DB895" s="188">
        <f t="shared" si="2606"/>
        <v>1.3699568463593395</v>
      </c>
      <c r="DC895" s="188">
        <f t="shared" si="2607"/>
        <v>0.30714603739982199</v>
      </c>
      <c r="DD895" s="188">
        <f t="shared" si="2608"/>
        <v>0.77007188472689425</v>
      </c>
      <c r="DE895" s="188">
        <f t="shared" si="2609"/>
        <v>0.32402839633793828</v>
      </c>
      <c r="DF895" s="189">
        <f>INDEX('State Tax Lookup'!$D$7:$Z$91,MATCH(Calculation!$C895,'State Tax Lookup'!$B$7:$B$91,0),MATCH($H895,'State Tax Lookup'!$D$6:$Z$6,0))</f>
        <v>0.24574999999999997</v>
      </c>
      <c r="DG895" s="189">
        <v>0.375</v>
      </c>
      <c r="DH895" s="190">
        <f t="shared" si="2611"/>
        <v>19.399782330749243</v>
      </c>
      <c r="DI895" s="190">
        <v>19.103212783112834</v>
      </c>
      <c r="DJ895" s="177"/>
      <c r="DK895" s="189">
        <f>VLOOKUP($H895,RoR!$E:$F,2,FALSE)</f>
        <v>3.7433333333333339E-2</v>
      </c>
      <c r="DL895" s="191">
        <f>HLOOKUP($H895,'GDP-PI'!$D$8:$CQ$11,3,FALSE)</f>
        <v>1.9056896421275615E-2</v>
      </c>
      <c r="DM895" s="189">
        <f>VLOOKUP(H895,'HW Dx Data'!$E:$F,2,FALSE)</f>
        <v>712.42858370229726</v>
      </c>
      <c r="DN895" s="183">
        <f>VLOOKUP(H895,'ECI - Input Price'!$G$17:$H$37,2,FALSE)</f>
        <v>129.5</v>
      </c>
      <c r="DO895" s="177">
        <f t="shared" ref="DO895" si="2662">LN(DN895/DN894)</f>
        <v>2.4229399426835413E-2</v>
      </c>
      <c r="DP895" s="183">
        <f>HLOOKUP(H895,'GDP-PI'!$8:$9,2,FALSE)</f>
        <v>107.751</v>
      </c>
      <c r="DQ895" s="177">
        <f t="shared" ref="DQ895" si="2663">LN(DP895/DP894)</f>
        <v>1.8877588227745139E-2</v>
      </c>
    </row>
    <row r="896" spans="1:121" s="167" customFormat="1" ht="21" x14ac:dyDescent="0.35">
      <c r="A896" s="167" t="s">
        <v>90</v>
      </c>
      <c r="B896" s="168" t="s">
        <v>90</v>
      </c>
      <c r="C896" s="168">
        <v>4063341</v>
      </c>
      <c r="D896" s="168" t="s">
        <v>147</v>
      </c>
      <c r="E896" s="168"/>
      <c r="F896" s="168"/>
      <c r="G896" s="168" t="s">
        <v>24</v>
      </c>
      <c r="H896" s="169">
        <v>2018</v>
      </c>
      <c r="I896" s="170"/>
      <c r="J896" s="166">
        <f>IFERROR(INDEX('Labor Expenditures'!$F$7:$X$91,MATCH($C896,'Labor Expenditures'!$D$7:$D$91,0),MATCH($G896,'Labor Expenditures'!$F$5:$X$5,0)),"NA")</f>
        <v>39082.779872590072</v>
      </c>
      <c r="K896" s="166">
        <f t="shared" si="2617"/>
        <v>293.30416414701745</v>
      </c>
      <c r="L896" s="172">
        <f t="shared" si="2624"/>
        <v>7.9817122407137842E-2</v>
      </c>
      <c r="M896" s="172">
        <f t="shared" si="2628"/>
        <v>1.0292787123203093E-3</v>
      </c>
      <c r="N896" s="196"/>
      <c r="O896" s="172"/>
      <c r="P896" s="166">
        <f>IFERROR(INDEX('Non-Labor Expenditures'!$F$7:$AB$91,MATCH($C896,'Non-Labor Expenditures'!$D$7:$D$91,0),MATCH($G896,'Non-Labor Expenditures'!$F$5:$AB$5,0)),"NA")</f>
        <v>56599.164911879714</v>
      </c>
      <c r="Q896" s="166">
        <f t="shared" si="2618"/>
        <v>513.03606635013602</v>
      </c>
      <c r="R896" s="172">
        <f t="shared" si="2629"/>
        <v>8.4782951596990494E-2</v>
      </c>
      <c r="S896" s="172">
        <f t="shared" si="2634"/>
        <v>1.0933153766347955E-3</v>
      </c>
      <c r="T896" s="172"/>
      <c r="U896" s="172"/>
      <c r="V896" s="166">
        <f t="shared" si="2599"/>
        <v>70438.467724409085</v>
      </c>
      <c r="W896" s="170"/>
      <c r="X896" s="174">
        <v>3631.4175711984253</v>
      </c>
      <c r="Y896" s="175">
        <v>4.7736624436192782E-2</v>
      </c>
      <c r="Z896" s="175">
        <f t="shared" si="2635"/>
        <v>6.1558585236353705E-4</v>
      </c>
      <c r="AA896" s="175"/>
      <c r="AB896" s="175"/>
      <c r="AC896" s="170">
        <f t="shared" si="2659"/>
        <v>166120.41250887886</v>
      </c>
      <c r="AD896" s="175">
        <f t="shared" si="2630"/>
        <v>0.10014811143430265</v>
      </c>
      <c r="AE896" s="170"/>
      <c r="AF896" s="170"/>
      <c r="AG896" s="121">
        <f t="shared" si="2631"/>
        <v>429.97166446369852</v>
      </c>
      <c r="AH896" s="119">
        <f>+AZ896/$BB$56</f>
        <v>1.020200418239077E-2</v>
      </c>
      <c r="AI896" s="119"/>
      <c r="AJ896" s="176">
        <f t="shared" si="2636"/>
        <v>4.3865727191681732</v>
      </c>
      <c r="AK896" s="176">
        <f t="shared" si="2637"/>
        <v>0</v>
      </c>
      <c r="AL896" s="120">
        <f t="shared" si="2619"/>
        <v>0.23526777523804404</v>
      </c>
      <c r="AM896" s="120">
        <f t="shared" si="2620"/>
        <v>0.3407116805037706</v>
      </c>
      <c r="AN896" s="120">
        <f t="shared" si="2621"/>
        <v>0.42402054425818542</v>
      </c>
      <c r="AO896" s="120">
        <f t="shared" si="2625"/>
        <v>6.7823738909940659E-2</v>
      </c>
      <c r="AP896" s="173">
        <f t="shared" si="2641"/>
        <v>136.09598352702668</v>
      </c>
      <c r="AQ896" s="175">
        <f t="shared" si="2642"/>
        <v>6.7823738909940742E-2</v>
      </c>
      <c r="AR896" s="177">
        <f>+AC896/$AE$56</f>
        <v>1.2895462543363547E-2</v>
      </c>
      <c r="AS896" s="177">
        <f t="shared" si="2638"/>
        <v>8.7461848466400963E-4</v>
      </c>
      <c r="AT896" s="177"/>
      <c r="AU896" s="177"/>
      <c r="AV896" s="177"/>
      <c r="AW896" s="190"/>
      <c r="AX896" s="120"/>
      <c r="AY896" s="120"/>
      <c r="AZ896" s="118">
        <f>IFERROR(INDEX('Total Customers'!$F$7:$AB$91,MATCH($C896,'Total Customers'!$D$7:$D$91,0),MATCH($G896,'Total Customers'!$F$5:$AB$5,0)),"NA")</f>
        <v>386352</v>
      </c>
      <c r="BA896" s="119">
        <f t="shared" si="2600"/>
        <v>3.3523015577851846E-2</v>
      </c>
      <c r="BB896" s="119"/>
      <c r="BC896" s="121"/>
      <c r="BD896" s="119"/>
      <c r="BE896" s="119"/>
      <c r="BF896" s="119"/>
      <c r="BG896" s="173"/>
      <c r="BH896" s="173"/>
      <c r="BI896" s="173"/>
      <c r="BJ896" s="173"/>
      <c r="BK896" s="173"/>
      <c r="BL896" s="173"/>
      <c r="BM896" s="173"/>
      <c r="BN896" s="173"/>
      <c r="BO896" s="173"/>
      <c r="BP896" s="173"/>
      <c r="BQ896" s="118"/>
      <c r="BR896" s="118"/>
      <c r="BS896" s="118">
        <f>INDEX('Dist. Plant Gas Additions'!$F$7:$AE$91,MATCH($C896,'Dist. Plant Gas Additions'!$D$7:$D$91,0),MATCH(Calculation!$G896,'Dist. Plant Gas Additions'!$F$5:$AE$5,0))</f>
        <v>146440</v>
      </c>
      <c r="BT896" s="118">
        <f>INDEX('Gen. Plant Additions'!$F$7:$AE$91,MATCH($C896,'Gen. Plant Additions'!$D$7:$D$91,0),MATCH(Calculation!$G896,'Gen. Plant Additions'!$F$5:$AE$5,0))</f>
        <v>4067</v>
      </c>
      <c r="BU896" s="118"/>
      <c r="BV896" s="118"/>
      <c r="BW896" s="118">
        <f>INDEX('Dist Plant Depreciation'!$E$7:$AD$94,MATCH($C896,'Dist Plant Depreciation'!$D$7:$D$94,0),MATCH(Calculation!$G896,'Dist Plant Depreciation'!$E$5:$AD$5,0))</f>
        <v>716667</v>
      </c>
      <c r="BX896" s="118">
        <f>INDEX('Gen. Plant Depreciation'!$E$7:$AD$94,MATCH($C896,'Gen. Plant Depreciation'!$D$7:$D$94,0),MATCH(Calculation!$G896,'Gen. Plant Depreciation'!$E$5:$AD$5,0))</f>
        <v>35263</v>
      </c>
      <c r="BY896" s="118"/>
      <c r="BZ896" s="118"/>
      <c r="CA896" s="118"/>
      <c r="CB896" s="118"/>
      <c r="CC896" s="118"/>
      <c r="CD896" s="183"/>
      <c r="CE896" s="118">
        <f>INDEX('Gross Dx Plant'!$E$7:$AD$91,MATCH($C896,'Gross Dx Plant'!$D$7:$D$91,0),MATCH(Calculation!$G896,'Gross Dx Plant'!$E$5:$AD$5,0))</f>
        <v>1677614</v>
      </c>
      <c r="CF896" s="118">
        <f>INDEX('Gross Gen Plant'!$E$7:$AD$91,MATCH($C896,'Gross Gen Plant'!$D$7:$D$91,0),MATCH(Calculation!$G896,'Gross Gen Plant'!$E$5:$AD$5,0))</f>
        <v>42059</v>
      </c>
      <c r="CG896" s="118">
        <f t="shared" si="2598"/>
        <v>967743</v>
      </c>
      <c r="CH896" s="118"/>
      <c r="CI896" s="121">
        <v>2018</v>
      </c>
      <c r="CJ896" s="118"/>
      <c r="CK896" s="118"/>
      <c r="CL896" s="118"/>
      <c r="CM896" s="183"/>
      <c r="CN896" s="118">
        <f t="shared" si="2601"/>
        <v>150507</v>
      </c>
      <c r="CO896" s="118">
        <f t="shared" si="2602"/>
        <v>199.31092892390583</v>
      </c>
      <c r="CP896" s="186">
        <v>0.86111111111111116</v>
      </c>
      <c r="CQ896" s="118">
        <f>+CQ876*CP896++CO877*CP895+CO878*CP894+CO879*CP893+CO880*CP892+CO881*CP891+CO882*CP890+CO883*CP889+CO884*CP888+CO885*CP887+CO886*CP886+CO887*CP885+CO888*CP884+CO889*CP883+CO890*CP882+CO891*CP881+CO892*CP880+CO893*CP879+CO894*CP878+CO895*CP877+CO896</f>
        <v>3631.4175711984253</v>
      </c>
      <c r="CR896" s="119">
        <f t="shared" si="2603"/>
        <v>4.7736624436192782E-2</v>
      </c>
      <c r="CS896" s="119"/>
      <c r="CT896" s="177">
        <f t="shared" si="2604"/>
        <v>8.674367704654672E-3</v>
      </c>
      <c r="CU896" s="177">
        <f t="shared" si="2612"/>
        <v>8.4669316626009832E-3</v>
      </c>
      <c r="CV896" s="119">
        <f>VLOOKUP($H896,RoR!$E:$F,2,FALSE)</f>
        <v>3.9299999999999995E-2</v>
      </c>
      <c r="CW896" s="177">
        <v>2.386056741932796E-2</v>
      </c>
      <c r="CX896" s="177">
        <f t="shared" si="2610"/>
        <v>1.5439432580672034E-2</v>
      </c>
      <c r="CY896" s="177">
        <f t="shared" si="2613"/>
        <v>2.2435009945932644E-2</v>
      </c>
      <c r="CZ896" s="177">
        <f t="shared" si="2614"/>
        <v>3.8270792163076606E-2</v>
      </c>
      <c r="DA896" s="187">
        <f t="shared" si="2605"/>
        <v>0.90784375000000006</v>
      </c>
      <c r="DB896" s="188">
        <f t="shared" si="2606"/>
        <v>1.3048868010700074</v>
      </c>
      <c r="DC896" s="188">
        <f t="shared" si="2607"/>
        <v>0.33886768447837151</v>
      </c>
      <c r="DD896" s="188">
        <f t="shared" si="2608"/>
        <v>0.78602506232557801</v>
      </c>
      <c r="DE896" s="188">
        <f t="shared" si="2609"/>
        <v>0.34756768162358759</v>
      </c>
      <c r="DF896" s="189">
        <f>INDEX('State Tax Lookup'!$D$7:$Z$91,MATCH(Calculation!$C896,'State Tax Lookup'!$B$7:$B$91,0),MATCH($H896,'State Tax Lookup'!$D$6:$Z$6,0))</f>
        <v>0.24574999999999997</v>
      </c>
      <c r="DG896" s="189">
        <v>0.375</v>
      </c>
      <c r="DH896" s="190">
        <f t="shared" si="2611"/>
        <v>20.345363892463197</v>
      </c>
      <c r="DI896" s="190">
        <v>20.042681775244958</v>
      </c>
      <c r="DJ896" s="177"/>
      <c r="DK896" s="189">
        <f>VLOOKUP($H896,RoR!$E:$F,2,FALSE)</f>
        <v>3.9299999999999995E-2</v>
      </c>
      <c r="DL896" s="191">
        <f>HLOOKUP($H896,'GDP-PI'!$D$8:$CQ$11,3,FALSE)</f>
        <v>2.386056741932796E-2</v>
      </c>
      <c r="DM896" s="189">
        <f>VLOOKUP(H896,'HW Dx Data'!$E:$F,2,FALSE)</f>
        <v>755.13671434174842</v>
      </c>
      <c r="DN896" s="183">
        <f>VLOOKUP(H896,'ECI - Input Price'!$G$17:$H$37,2,FALSE)</f>
        <v>133.25</v>
      </c>
      <c r="DO896" s="177">
        <f t="shared" ref="DO896" si="2664">LN(DN896/DN895)</f>
        <v>2.8546181906361531E-2</v>
      </c>
      <c r="DP896" s="183">
        <f>HLOOKUP(H896,'GDP-PI'!$8:$9,2,FALSE)</f>
        <v>110.322</v>
      </c>
      <c r="DQ896" s="177">
        <f t="shared" ref="DQ896" si="2665">LN(DP896/DP895)</f>
        <v>2.3580352716508712E-2</v>
      </c>
    </row>
    <row r="897" spans="1:121" s="167" customFormat="1" ht="21" x14ac:dyDescent="0.35">
      <c r="A897" s="167" t="s">
        <v>90</v>
      </c>
      <c r="B897" s="168" t="s">
        <v>90</v>
      </c>
      <c r="C897" s="168">
        <v>4063341</v>
      </c>
      <c r="D897" s="168" t="s">
        <v>147</v>
      </c>
      <c r="E897" s="168"/>
      <c r="F897" s="168"/>
      <c r="G897" s="168" t="s">
        <v>25</v>
      </c>
      <c r="H897" s="169">
        <v>2019</v>
      </c>
      <c r="I897" s="170"/>
      <c r="J897" s="166">
        <f>IFERROR(INDEX('Labor Expenditures'!$F$7:$X$91,MATCH($C897,'Labor Expenditures'!$D$7:$D$91,0),MATCH($G897,'Labor Expenditures'!$F$5:$X$5,0)),"NA")</f>
        <v>42221.048351104422</v>
      </c>
      <c r="K897" s="166">
        <f t="shared" si="2617"/>
        <v>308.52063099089821</v>
      </c>
      <c r="L897" s="172">
        <f t="shared" si="2624"/>
        <v>5.057854283076535E-2</v>
      </c>
      <c r="M897" s="172">
        <f t="shared" si="2628"/>
        <v>6.7891841323981859E-4</v>
      </c>
      <c r="N897" s="196"/>
      <c r="O897" s="172"/>
      <c r="P897" s="166">
        <f>IFERROR(INDEX('Non-Labor Expenditures'!$F$7:$AB$91,MATCH($C897,'Non-Labor Expenditures'!$D$7:$D$91,0),MATCH($G897,'Non-Labor Expenditures'!$F$5:$AB$5,0)),"NA")</f>
        <v>61143.96381646736</v>
      </c>
      <c r="Q897" s="166">
        <f t="shared" si="2618"/>
        <v>544.38259064858141</v>
      </c>
      <c r="R897" s="172">
        <f t="shared" si="2629"/>
        <v>5.9306143820098092E-2</v>
      </c>
      <c r="S897" s="172">
        <f t="shared" si="2634"/>
        <v>7.9606945562737952E-4</v>
      </c>
      <c r="T897" s="172"/>
      <c r="U897" s="172"/>
      <c r="V897" s="166">
        <f t="shared" si="2599"/>
        <v>74963.417185197512</v>
      </c>
      <c r="W897" s="170"/>
      <c r="X897" s="174">
        <v>3833.8903110245369</v>
      </c>
      <c r="Y897" s="175">
        <v>5.4256947147331681E-2</v>
      </c>
      <c r="Z897" s="175">
        <f t="shared" si="2635"/>
        <v>7.2829382585725495E-4</v>
      </c>
      <c r="AA897" s="175"/>
      <c r="AB897" s="175"/>
      <c r="AC897" s="170">
        <f t="shared" si="2659"/>
        <v>178328.42935276928</v>
      </c>
      <c r="AD897" s="175">
        <f t="shared" si="2630"/>
        <v>7.0914056935726999E-2</v>
      </c>
      <c r="AE897" s="170"/>
      <c r="AF897" s="170"/>
      <c r="AG897" s="121">
        <f t="shared" si="2631"/>
        <v>447.50817921757346</v>
      </c>
      <c r="AH897" s="119">
        <f>+AZ897/$BB$57</f>
        <v>1.0436484818682274E-2</v>
      </c>
      <c r="AI897" s="119"/>
      <c r="AJ897" s="176">
        <f t="shared" si="2636"/>
        <v>4.6704123186403521</v>
      </c>
      <c r="AK897" s="176">
        <f t="shared" si="2637"/>
        <v>0</v>
      </c>
      <c r="AL897" s="120">
        <f t="shared" si="2619"/>
        <v>0.23676005281010326</v>
      </c>
      <c r="AM897" s="120">
        <f t="shared" si="2620"/>
        <v>0.34287277714711645</v>
      </c>
      <c r="AN897" s="120">
        <f t="shared" si="2621"/>
        <v>0.4203671700427804</v>
      </c>
      <c r="AO897" s="120">
        <f t="shared" si="2625"/>
        <v>5.5114568731778661E-2</v>
      </c>
      <c r="AP897" s="173">
        <f t="shared" si="2641"/>
        <v>143.80740897920626</v>
      </c>
      <c r="AQ897" s="175">
        <f t="shared" si="2642"/>
        <v>5.5114568731778724E-2</v>
      </c>
      <c r="AR897" s="177">
        <f>+AC897/$AE$57</f>
        <v>1.3423052054138138E-2</v>
      </c>
      <c r="AS897" s="177">
        <f t="shared" si="2638"/>
        <v>7.3980572502803995E-4</v>
      </c>
      <c r="AT897" s="177"/>
      <c r="AU897" s="177"/>
      <c r="AV897" s="177"/>
      <c r="AW897" s="190"/>
      <c r="AX897" s="120"/>
      <c r="AY897" s="120"/>
      <c r="AZ897" s="118">
        <f>IFERROR(INDEX('Total Customers'!$F$7:$AB$91,MATCH($C897,'Total Customers'!$D$7:$D$91,0),MATCH($G897,'Total Customers'!$F$5:$AB$5,0)),"NA")</f>
        <v>398492</v>
      </c>
      <c r="BA897" s="119">
        <f t="shared" si="2600"/>
        <v>3.0938551726962131E-2</v>
      </c>
      <c r="BB897" s="119"/>
      <c r="BC897" s="121"/>
      <c r="BD897" s="119"/>
      <c r="BE897" s="119"/>
      <c r="BF897" s="119"/>
      <c r="BG897" s="173"/>
      <c r="BH897" s="173"/>
      <c r="BI897" s="173"/>
      <c r="BJ897" s="173"/>
      <c r="BK897" s="173"/>
      <c r="BL897" s="173"/>
      <c r="BM897" s="173"/>
      <c r="BN897" s="173"/>
      <c r="BO897" s="173"/>
      <c r="BP897" s="173"/>
      <c r="BQ897" s="118"/>
      <c r="BR897" s="118"/>
      <c r="BS897" s="118">
        <f>INDEX('Dist. Plant Gas Additions'!$F$7:$AE$91,MATCH($C897,'Dist. Plant Gas Additions'!$D$7:$D$91,0),MATCH(Calculation!$G897,'Dist. Plant Gas Additions'!$F$5:$AE$5,0))</f>
        <v>174542</v>
      </c>
      <c r="BT897" s="118">
        <f>INDEX('Gen. Plant Additions'!$F$7:$AE$91,MATCH($C897,'Gen. Plant Additions'!$D$7:$D$91,0),MATCH(Calculation!$G897,'Gen. Plant Additions'!$F$5:$AE$5,0))</f>
        <v>6989</v>
      </c>
      <c r="BU897" s="118"/>
      <c r="BV897" s="118"/>
      <c r="BW897" s="118">
        <f>INDEX('Dist Plant Depreciation'!$E$7:$AD$94,MATCH($C897,'Dist Plant Depreciation'!$D$7:$D$94,0),MATCH(Calculation!$G897,'Dist Plant Depreciation'!$E$5:$AD$5,0))</f>
        <v>737863</v>
      </c>
      <c r="BX897" s="118">
        <f>INDEX('Gen. Plant Depreciation'!$E$7:$AD$94,MATCH($C897,'Gen. Plant Depreciation'!$D$7:$D$94,0),MATCH(Calculation!$G897,'Gen. Plant Depreciation'!$E$5:$AD$5,0))</f>
        <v>39601</v>
      </c>
      <c r="BY897" s="118"/>
      <c r="BZ897" s="118"/>
      <c r="CA897" s="118"/>
      <c r="CB897" s="118"/>
      <c r="CC897" s="118"/>
      <c r="CD897" s="183"/>
      <c r="CE897" s="118">
        <f>INDEX('Gross Dx Plant'!$E$7:$AD$91,MATCH($C897,'Gross Dx Plant'!$D$7:$D$91,0),MATCH(Calculation!$G897,'Gross Dx Plant'!$E$5:$AD$5,0))</f>
        <v>1847779</v>
      </c>
      <c r="CF897" s="118">
        <f>INDEX('Gross Gen Plant'!$E$7:$AD$91,MATCH($C897,'Gross Gen Plant'!$D$7:$D$91,0),MATCH(Calculation!$G897,'Gross Gen Plant'!$E$5:$AD$5,0))</f>
        <v>46965</v>
      </c>
      <c r="CG897" s="118">
        <f t="shared" si="2598"/>
        <v>1117280</v>
      </c>
      <c r="CH897" s="118"/>
      <c r="CI897" s="121">
        <v>2019</v>
      </c>
      <c r="CJ897" s="118"/>
      <c r="CK897" s="118"/>
      <c r="CL897" s="118"/>
      <c r="CM897" s="183"/>
      <c r="CN897" s="118">
        <f t="shared" si="2601"/>
        <v>181531</v>
      </c>
      <c r="CO897" s="118">
        <f t="shared" si="2602"/>
        <v>234.67586001587259</v>
      </c>
      <c r="CP897" s="186">
        <v>0.85106382978723405</v>
      </c>
      <c r="CQ897" s="118">
        <f>CQ876*CP897+CO877*CP896+CO878*CP895+CO879*CP894+CO880*CP893+CO881*CP892+CO882*CP891+CO883*CP890+CO884*CP889+CO885*CP888+CO886*CP887+CO887*CP886+CO888*CP885+CO889*CP884+CO890*CP883+CO891*CP882+CO892*CP881+CO893*CP880+CO894*CP879+CO895*CP878+CO896*CP877+CO897</f>
        <v>3833.8903110245369</v>
      </c>
      <c r="CR897" s="119">
        <f t="shared" si="2603"/>
        <v>5.4256947147331681E-2</v>
      </c>
      <c r="CS897" s="119"/>
      <c r="CT897" s="177">
        <f t="shared" si="2604"/>
        <v>8.8679199123700495E-3</v>
      </c>
      <c r="CU897" s="177">
        <f t="shared" si="2612"/>
        <v>8.6678162139601223E-3</v>
      </c>
      <c r="CV897" s="119">
        <f>VLOOKUP($H897,RoR!$E:$F,2,FALSE)</f>
        <v>3.3875000000000009E-2</v>
      </c>
      <c r="CW897" s="177">
        <v>1.8092492884465461E-2</v>
      </c>
      <c r="CX897" s="177">
        <f t="shared" si="2610"/>
        <v>1.5782507115534548E-2</v>
      </c>
      <c r="CY897" s="177">
        <f t="shared" si="2613"/>
        <v>2.2234125394573503E-2</v>
      </c>
      <c r="CZ897" s="177">
        <f t="shared" si="2614"/>
        <v>4.8445665544254078E-2</v>
      </c>
      <c r="DA897" s="187">
        <f t="shared" si="2605"/>
        <v>0.90784375000000006</v>
      </c>
      <c r="DB897" s="188">
        <f t="shared" si="2606"/>
        <v>1.513861292459078</v>
      </c>
      <c r="DC897" s="188">
        <f t="shared" si="2607"/>
        <v>0.23699261992619944</v>
      </c>
      <c r="DD897" s="188">
        <f t="shared" si="2608"/>
        <v>0.73619765810468829</v>
      </c>
      <c r="DE897" s="188">
        <f t="shared" si="2609"/>
        <v>0.26412854465362851</v>
      </c>
      <c r="DF897" s="189">
        <f>INDEX('State Tax Lookup'!$D$7:$Z$91,MATCH(Calculation!$C897,'State Tax Lookup'!$B$7:$B$91,0),MATCH($H897,'State Tax Lookup'!$D$6:$Z$6,0))</f>
        <v>0.24574999999999997</v>
      </c>
      <c r="DG897" s="189">
        <v>0.375</v>
      </c>
      <c r="DH897" s="190">
        <f t="shared" si="2611"/>
        <v>20.643017696380863</v>
      </c>
      <c r="DI897" s="190">
        <v>20.350080199723106</v>
      </c>
      <c r="DJ897" s="177"/>
      <c r="DK897" s="189">
        <f>VLOOKUP($H897,RoR!$E:$F,2,FALSE)</f>
        <v>3.3875000000000009E-2</v>
      </c>
      <c r="DL897" s="191">
        <f>HLOOKUP($H897,'GDP-PI'!$D$8:$CQ$11,3,FALSE)</f>
        <v>1.8092492884465461E-2</v>
      </c>
      <c r="DM897" s="189">
        <f>VLOOKUP(H897,'HW Dx Data'!$E:$F,2,FALSE)</f>
        <v>773.53929793938721</v>
      </c>
      <c r="DN897" s="183">
        <f>VLOOKUP(H897,'ECI - Input Price'!$G$17:$H$37,2,FALSE)</f>
        <v>136.85</v>
      </c>
      <c r="DO897" s="177">
        <f t="shared" ref="DO897" si="2666">LN(DN897/DN896)</f>
        <v>2.6658372440734168E-2</v>
      </c>
      <c r="DP897" s="183">
        <f>HLOOKUP(H897,'GDP-PI'!$8:$9,2,FALSE)</f>
        <v>112.318</v>
      </c>
      <c r="DQ897" s="177">
        <f t="shared" ref="DQ897" si="2667">LN(DP897/DP896)</f>
        <v>1.7930771451401852E-2</v>
      </c>
    </row>
    <row r="898" spans="1:121" s="167" customFormat="1" ht="21" x14ac:dyDescent="0.35">
      <c r="A898" s="167" t="s">
        <v>90</v>
      </c>
      <c r="B898" s="167" t="s">
        <v>90</v>
      </c>
      <c r="C898" s="167">
        <v>4063341</v>
      </c>
      <c r="D898" s="167" t="s">
        <v>147</v>
      </c>
      <c r="G898" s="168" t="s">
        <v>26</v>
      </c>
      <c r="H898" s="169">
        <v>2020</v>
      </c>
      <c r="I898" s="170"/>
      <c r="J898" s="166">
        <f>IFERROR(INDEX('Labor Expenditures'!$F$7:$X$91,MATCH($C898,'Labor Expenditures'!$D$7:$D$91,0),MATCH($G898,'Labor Expenditures'!$F$5:$X$5,0)),"NA")</f>
        <v>42445.656639748879</v>
      </c>
      <c r="K898" s="166">
        <f t="shared" si="2617"/>
        <v>302.21186642754634</v>
      </c>
      <c r="L898" s="172">
        <f t="shared" si="2624"/>
        <v>-2.0660400412828843E-2</v>
      </c>
      <c r="M898" s="172">
        <f t="shared" si="2628"/>
        <v>-2.8118291280514261E-4</v>
      </c>
      <c r="N898" s="196"/>
      <c r="O898" s="172"/>
      <c r="P898" s="166">
        <f>IFERROR(INDEX('Non-Labor Expenditures'!$F$7:$AB$91,MATCH($C898,'Non-Labor Expenditures'!$D$7:$D$91,0),MATCH($G898,'Non-Labor Expenditures'!$F$5:$AB$5,0)),"NA")</f>
        <v>61469.23856946615</v>
      </c>
      <c r="Q898" s="166">
        <f t="shared" si="2618"/>
        <v>540.99292017871517</v>
      </c>
      <c r="R898" s="172">
        <f t="shared" si="2629"/>
        <v>-6.2460990806573078E-3</v>
      </c>
      <c r="S898" s="172">
        <f t="shared" si="2634"/>
        <v>-8.5007855514658499E-5</v>
      </c>
      <c r="T898" s="172"/>
      <c r="U898" s="172"/>
      <c r="V898" s="166">
        <f t="shared" si="2599"/>
        <v>82493.36743258452</v>
      </c>
      <c r="W898" s="170"/>
      <c r="X898" s="174">
        <v>4103.7260227137576</v>
      </c>
      <c r="Y898" s="175">
        <v>6.8015312367575825E-2</v>
      </c>
      <c r="Z898" s="175">
        <f t="shared" si="2635"/>
        <v>9.2567149061599584E-4</v>
      </c>
      <c r="AA898" s="175"/>
      <c r="AB898" s="175"/>
      <c r="AC898" s="170">
        <f t="shared" si="2659"/>
        <v>186408.26264179955</v>
      </c>
      <c r="AD898" s="175">
        <f t="shared" si="2630"/>
        <v>4.4312269853162979E-2</v>
      </c>
      <c r="AE898" s="170"/>
      <c r="AF898" s="170"/>
      <c r="AG898" s="121">
        <f t="shared" si="2631"/>
        <v>447.72439903781839</v>
      </c>
      <c r="AH898" s="119">
        <f>+AZ898/$BB$58</f>
        <v>1.0827417703553248E-2</v>
      </c>
      <c r="AI898" s="119"/>
      <c r="AJ898" s="176">
        <f t="shared" si="2636"/>
        <v>4.8476990844548133</v>
      </c>
      <c r="AK898" s="176">
        <f t="shared" si="2637"/>
        <v>0</v>
      </c>
      <c r="AL898" s="120">
        <f t="shared" si="2619"/>
        <v>0.22770265672886009</v>
      </c>
      <c r="AM898" s="120">
        <f t="shared" si="2620"/>
        <v>0.32975597593323902</v>
      </c>
      <c r="AN898" s="120">
        <f t="shared" si="2621"/>
        <v>0.44254136733790089</v>
      </c>
      <c r="AO898" s="120">
        <f t="shared" si="2625"/>
        <v>2.2446851161226869E-2</v>
      </c>
      <c r="AP898" s="173">
        <f t="shared" si="2641"/>
        <v>147.07193457336186</v>
      </c>
      <c r="AQ898" s="175">
        <f t="shared" si="2642"/>
        <v>2.2446851161226931E-2</v>
      </c>
      <c r="AR898" s="177">
        <f>+AC898/$AE$58</f>
        <v>1.3609751369123768E-2</v>
      </c>
      <c r="AS898" s="177">
        <f t="shared" si="2638"/>
        <v>3.0549606332402565E-4</v>
      </c>
      <c r="AT898" s="177"/>
      <c r="AU898" s="177"/>
      <c r="AV898" s="177"/>
      <c r="AW898" s="190"/>
      <c r="AX898" s="120"/>
      <c r="AY898" s="120"/>
      <c r="AZ898" s="118">
        <f>IFERROR(INDEX('Total Customers'!$F$7:$AB$91,MATCH($C898,'Total Customers'!$D$7:$D$91,0),MATCH($G898,'Total Customers'!$F$5:$AB$5,0)),"NA")</f>
        <v>416346</v>
      </c>
      <c r="BA898" s="119">
        <f t="shared" si="2600"/>
        <v>4.3829222587678816E-2</v>
      </c>
      <c r="BB898" s="119"/>
      <c r="BC898" s="121"/>
      <c r="BD898" s="119"/>
      <c r="BE898" s="119"/>
      <c r="BF898" s="119"/>
      <c r="BG898" s="173"/>
      <c r="BH898" s="173"/>
      <c r="BI898" s="173"/>
      <c r="BJ898" s="173"/>
      <c r="BK898" s="173"/>
      <c r="BL898" s="173"/>
      <c r="BM898" s="173"/>
      <c r="BN898" s="173"/>
      <c r="BO898" s="173"/>
      <c r="BP898" s="173"/>
      <c r="BQ898" s="118"/>
      <c r="BR898" s="118"/>
      <c r="BS898" s="118">
        <f>INDEX('Dist. Plant Gas Additions'!$F$7:$AE$91,MATCH($C898,'Dist. Plant Gas Additions'!$D$7:$D$91,0),MATCH(Calculation!$G898,'Dist. Plant Gas Additions'!$F$5:$AE$5,0))</f>
        <v>241689</v>
      </c>
      <c r="BT898" s="118">
        <f>INDEX('Gen. Plant Additions'!$F$7:$AE$91,MATCH($C898,'Gen. Plant Additions'!$D$7:$D$91,0),MATCH(Calculation!$G898,'Gen. Plant Additions'!$F$5:$AE$5,0))</f>
        <v>5884</v>
      </c>
      <c r="BU898" s="118"/>
      <c r="BV898" s="118"/>
      <c r="BW898" s="118">
        <f>INDEX('Dist Plant Depreciation'!$E$7:$AD$94,MATCH($C898,'Dist Plant Depreciation'!$D$7:$D$94,0),MATCH(Calculation!$G898,'Dist Plant Depreciation'!$E$5:$AD$5,0))</f>
        <v>761968</v>
      </c>
      <c r="BX898" s="118">
        <f>INDEX('Gen. Plant Depreciation'!$E$7:$AD$94,MATCH($C898,'Gen. Plant Depreciation'!$D$7:$D$94,0),MATCH(Calculation!$G898,'Gen. Plant Depreciation'!$E$5:$AD$5,0))</f>
        <v>45131</v>
      </c>
      <c r="BY898" s="118"/>
      <c r="BZ898" s="118"/>
      <c r="CA898" s="118"/>
      <c r="CB898" s="118"/>
      <c r="CC898" s="118"/>
      <c r="CD898" s="183"/>
      <c r="CE898" s="118">
        <f>INDEX('Gross Dx Plant'!$E$7:$AD$91,MATCH($C898,'Gross Dx Plant'!$D$7:$D$91,0),MATCH(Calculation!$G898,'Gross Dx Plant'!$E$5:$AD$5,0))</f>
        <v>2056024</v>
      </c>
      <c r="CF898" s="118">
        <f>INDEX('Gross Gen Plant'!$E$7:$AD$91,MATCH($C898,'Gross Gen Plant'!$D$7:$D$91,0),MATCH(Calculation!$G898,'Gross Gen Plant'!$E$5:$AD$5,0))</f>
        <v>71808</v>
      </c>
      <c r="CG898" s="118">
        <f t="shared" si="2598"/>
        <v>1320733</v>
      </c>
      <c r="CH898" s="118"/>
      <c r="CI898" s="121">
        <v>2020</v>
      </c>
      <c r="CJ898" s="118"/>
      <c r="CK898" s="118"/>
      <c r="CL898" s="118"/>
      <c r="CM898" s="183"/>
      <c r="CN898" s="118">
        <f t="shared" si="2601"/>
        <v>247573</v>
      </c>
      <c r="CO898" s="118">
        <f t="shared" si="2602"/>
        <v>304.48781243329728</v>
      </c>
      <c r="CP898" s="186">
        <v>0.84057971014492749</v>
      </c>
      <c r="CQ898" s="118">
        <f>CQ876*CP898+CO877*CP897+CO878*CP896+CO879*CP895+CO880*CP894+CO881*CP893+CO882*CP892+CO883*CP891+CO884*CP890+CO885*CP889+CO886*CP888+CO887*CP887+CO888*CP886+CO889*CP885+CO890*CP884+CO891*CP883+CO892*CP882+CO893*CP881+CO894*CP880+CO895*CP879+CO896*CP878+CO897*CP877+CO898</f>
        <v>4103.7260227137576</v>
      </c>
      <c r="CR898" s="119">
        <f t="shared" si="2603"/>
        <v>6.8015312367575825E-2</v>
      </c>
      <c r="CS898" s="119"/>
      <c r="CT898" s="177">
        <f t="shared" si="2604"/>
        <v>9.0383651938170401E-3</v>
      </c>
      <c r="CU898" s="177">
        <f t="shared" si="2612"/>
        <v>8.8602176036139194E-3</v>
      </c>
      <c r="CV898" s="119">
        <f>VLOOKUP($H898,RoR!$E:$F,2,FALSE)</f>
        <v>2.4766666666666666E-2</v>
      </c>
      <c r="CW898" s="177">
        <v>1.1618796630994188E-2</v>
      </c>
      <c r="CX898" s="177">
        <f t="shared" si="2610"/>
        <v>1.3147870035672478E-2</v>
      </c>
      <c r="CY898" s="177">
        <f t="shared" si="2613"/>
        <v>2.2041724004919706E-2</v>
      </c>
      <c r="CZ898" s="177">
        <f t="shared" si="2614"/>
        <v>4.5144642961987357E-2</v>
      </c>
      <c r="DA898" s="187">
        <f t="shared" si="2605"/>
        <v>0.90784375000000006</v>
      </c>
      <c r="DB898" s="188">
        <f t="shared" si="2606"/>
        <v>2.0706077233668081</v>
      </c>
      <c r="DC898" s="188">
        <f t="shared" si="2607"/>
        <v>-3.4421265141318998E-2</v>
      </c>
      <c r="DD898" s="188">
        <f t="shared" si="2608"/>
        <v>0.62416226176410472</v>
      </c>
      <c r="DE898" s="188">
        <f t="shared" si="2609"/>
        <v>-4.4485877841158712E-2</v>
      </c>
      <c r="DF898" s="189">
        <f>INDEX('State Tax Lookup'!$D$7:$Z$91,MATCH(Calculation!$C898,'State Tax Lookup'!$B$7:$B$91,0),MATCH($H898,'State Tax Lookup'!$D$6:$Z$6,0))</f>
        <v>0.24574999999999997</v>
      </c>
      <c r="DG898" s="189">
        <v>0.375</v>
      </c>
      <c r="DH898" s="190">
        <f t="shared" si="2611"/>
        <v>21.516882524095919</v>
      </c>
      <c r="DI898" s="190">
        <v>21.26868788750307</v>
      </c>
      <c r="DJ898" s="177"/>
      <c r="DK898" s="189">
        <f>VLOOKUP($H898,RoR!$E:$F,2,FALSE)</f>
        <v>2.4766666666666666E-2</v>
      </c>
      <c r="DL898" s="191">
        <f>HLOOKUP($H898,'GDP-PI'!$D$8:$CQ$11,3,FALSE)</f>
        <v>1.1618796630994188E-2</v>
      </c>
      <c r="DM898" s="189">
        <f>VLOOKUP(H898,'HW Dx Data'!$E:$F,2,FALSE)</f>
        <v>813.080162458833</v>
      </c>
      <c r="DN898" s="183">
        <f>VLOOKUP(H898,'ECI - Input Price'!$G$17:$H$37,2,FALSE)</f>
        <v>140.44999999999999</v>
      </c>
      <c r="DO898" s="177">
        <f t="shared" ref="DO898" si="2668">LN(DN898/DN897)</f>
        <v>2.5966118063564539E-2</v>
      </c>
      <c r="DP898" s="183">
        <f>HLOOKUP(H898,'GDP-PI'!$8:$9,2,FALSE)</f>
        <v>113.623</v>
      </c>
      <c r="DQ898" s="177">
        <f t="shared" ref="DQ898" si="2669">LN(DP898/DP897)</f>
        <v>1.1551816731392881E-2</v>
      </c>
    </row>
    <row r="899" spans="1:121" s="167" customFormat="1" ht="21" x14ac:dyDescent="0.35">
      <c r="A899" s="167" t="s">
        <v>90</v>
      </c>
      <c r="B899" s="167" t="s">
        <v>90</v>
      </c>
      <c r="C899" s="167">
        <v>4063341</v>
      </c>
      <c r="D899" s="167" t="s">
        <v>147</v>
      </c>
      <c r="G899" s="167" t="s">
        <v>462</v>
      </c>
      <c r="H899" s="169">
        <v>2021</v>
      </c>
      <c r="I899" s="170"/>
      <c r="J899" s="166">
        <f>IFERROR(INDEX('Labor Expenditures'!$E$7:$X$91,MATCH($C899,'Labor Expenditures'!$D$7:$D$91,0),MATCH($G899,'Labor Expenditures'!$E$5:$X$5,0)),"NA")</f>
        <v>45991.431038048526</v>
      </c>
      <c r="K899" s="166">
        <f t="shared" si="2617"/>
        <v>316.14663026670229</v>
      </c>
      <c r="L899" s="171">
        <f t="shared" si="2624"/>
        <v>4.5077809924679579E-2</v>
      </c>
      <c r="M899" s="172">
        <f t="shared" si="2628"/>
        <v>7.3093341411443796E-4</v>
      </c>
      <c r="N899" s="196"/>
      <c r="O899" s="172"/>
      <c r="P899" s="166">
        <f>IFERROR(INDEX('Non-Labor Expenditures'!$E$7:$AB$91,MATCH($C899,'Non-Labor Expenditures'!$D$7:$D$91,0),MATCH($G899,'Non-Labor Expenditures'!$E$5:$AB$5,0)),"NA")</f>
        <v>64831.294354839498</v>
      </c>
      <c r="Q899" s="166">
        <f t="shared" si="2618"/>
        <v>547.1457030537556</v>
      </c>
      <c r="R899" s="172">
        <f t="shared" si="2629"/>
        <v>1.1308942294542991E-2</v>
      </c>
      <c r="S899" s="172">
        <f t="shared" si="2634"/>
        <v>1.83373677984473E-4</v>
      </c>
      <c r="T899" s="172"/>
      <c r="U899" s="172"/>
      <c r="V899" s="166">
        <f t="shared" si="2599"/>
        <v>128321.95070242118</v>
      </c>
      <c r="W899" s="170"/>
      <c r="X899" s="174">
        <v>4451.5995654113831</v>
      </c>
      <c r="Y899" s="175"/>
      <c r="Z899" s="175">
        <f t="shared" si="2635"/>
        <v>0</v>
      </c>
      <c r="AA899" s="175"/>
      <c r="AB899" s="175"/>
      <c r="AC899" s="170">
        <f t="shared" si="2659"/>
        <v>239144.6760953092</v>
      </c>
      <c r="AD899" s="175">
        <f t="shared" si="2630"/>
        <v>0.24912947935197025</v>
      </c>
      <c r="AE899" s="118"/>
      <c r="AF899" s="119"/>
      <c r="AG899" s="121">
        <f t="shared" si="2631"/>
        <v>547.78835656469425</v>
      </c>
      <c r="AH899" s="119">
        <f>+AZ899/$BB$59</f>
        <v>1.1200791370302537E-2</v>
      </c>
      <c r="AI899" s="119"/>
      <c r="AJ899" s="176">
        <f t="shared" si="2636"/>
        <v>6.1356630969620367</v>
      </c>
      <c r="AK899" s="176">
        <f t="shared" si="2637"/>
        <v>0</v>
      </c>
      <c r="AL899" s="120">
        <f t="shared" si="2619"/>
        <v>0.19231634920327062</v>
      </c>
      <c r="AM899" s="120">
        <f t="shared" si="2620"/>
        <v>0.27109654044316461</v>
      </c>
      <c r="AN899" s="120">
        <f t="shared" si="2621"/>
        <v>0.53658711035356477</v>
      </c>
      <c r="AO899" s="120">
        <f t="shared" si="2625"/>
        <v>1.2864271674696573E-2</v>
      </c>
      <c r="AP899" s="173">
        <f t="shared" si="2641"/>
        <v>148.9761296767191</v>
      </c>
      <c r="AQ899" s="175">
        <f t="shared" si="2642"/>
        <v>1.2864271674696471E-2</v>
      </c>
      <c r="AR899" s="177">
        <f>+AC899/$AE$59</f>
        <v>1.6214927374150454E-2</v>
      </c>
      <c r="AS899" s="177">
        <f t="shared" si="2638"/>
        <v>2.0859323092654411E-4</v>
      </c>
      <c r="AT899" s="177"/>
      <c r="AU899" s="177"/>
      <c r="AV899" s="177"/>
      <c r="AW899" s="190"/>
      <c r="AX899" s="120"/>
      <c r="AY899" s="120"/>
      <c r="AZ899" s="118">
        <f>INDEX('Total Customers'!$E$7:$E$91,MATCH(Calculation!$C899,'Total Customers'!$D$7:$D$91,0))</f>
        <v>436564</v>
      </c>
      <c r="BA899" s="119">
        <f t="shared" si="2600"/>
        <v>4.7418340045394053E-2</v>
      </c>
      <c r="BB899" s="118"/>
      <c r="BC899" s="121"/>
      <c r="BD899" s="118"/>
      <c r="BE899" s="119"/>
      <c r="BF899" s="119"/>
      <c r="BG899" s="173"/>
      <c r="BH899" s="173"/>
      <c r="BI899" s="173"/>
      <c r="BJ899" s="173"/>
      <c r="BK899" s="173"/>
      <c r="BL899" s="173"/>
      <c r="BM899" s="173"/>
      <c r="BN899" s="173"/>
      <c r="BO899" s="173"/>
      <c r="BP899" s="173"/>
      <c r="BQ899" s="118"/>
      <c r="BR899" s="118"/>
      <c r="BS899" s="118">
        <f>INDEX('Dist. Plant Gas Additions'!$E$7:$AE$91,MATCH($C899,'Dist. Plant Gas Additions'!$D$7:$D$91,0),MATCH(Calculation!$G899,'Dist. Plant Gas Additions'!$E$5:$AE$5,0))</f>
        <v>287153</v>
      </c>
      <c r="BT899" s="118">
        <f>INDEX('Gen. Plant Additions'!$E$7:$AE$91,MATCH($C899,'Gen. Plant Additions'!$D$7:$D$91,0),MATCH(Calculation!$G899,'Gen. Plant Additions'!$E$5:$AE$5,0))</f>
        <v>3068</v>
      </c>
      <c r="BU899" s="118"/>
      <c r="BV899" s="118"/>
      <c r="BW899" s="118"/>
      <c r="BX899" s="118"/>
      <c r="BY899" s="183"/>
      <c r="BZ899" s="183"/>
      <c r="CA899" s="178"/>
      <c r="CB899" s="184"/>
      <c r="CC899" s="185"/>
      <c r="CD899" s="185"/>
      <c r="CE899" s="118"/>
      <c r="CF899" s="118"/>
      <c r="CG899" s="118"/>
      <c r="CH899" s="118"/>
      <c r="CI899" s="121">
        <v>2021</v>
      </c>
      <c r="CJ899" s="118"/>
      <c r="CK899" s="118"/>
      <c r="CL899" s="118"/>
      <c r="CM899" s="183"/>
      <c r="CN899" s="118">
        <f t="shared" si="2601"/>
        <v>290221</v>
      </c>
      <c r="CO899" s="118">
        <f t="shared" si="2602"/>
        <v>311.05466400185657</v>
      </c>
      <c r="CP899" s="186">
        <f>+(51-23)/(51-23*0.75)</f>
        <v>0.82962962962962961</v>
      </c>
      <c r="CQ899" s="118">
        <f>CQ876*CP899+CO877*CP898+CO878*CP897+CO879*CP896+CO880*CP895+CO881*CP894+CO882*CP893+CO883*CP892+CO884*CP891+CO885*CP890+CO886*CP889+CO887*CP888+CO888*CP887+CO889*CP886+CO890*CP885+CO881*CP884+CO892*CP883+CO893*CP882+CO894*CP881+CO895*CP880+CO896*CP879+CO897*CP878+CO899+CO898*CP877</f>
        <v>4451.5995654113831</v>
      </c>
      <c r="CR899" s="119"/>
      <c r="CS899" s="118"/>
      <c r="CT899" s="177">
        <f t="shared" si="2604"/>
        <v>-8.9720606326981079E-3</v>
      </c>
      <c r="CU899" s="177">
        <f t="shared" si="2612"/>
        <v>2.9780748244963274E-3</v>
      </c>
      <c r="CV899" s="119">
        <f>VLOOKUP($H899,RoR!$E:$F,2,FALSE)</f>
        <v>2.7033333333333336E-2</v>
      </c>
      <c r="CW899" s="177"/>
      <c r="CX899" s="177"/>
      <c r="CY899" s="177">
        <f t="shared" si="2613"/>
        <v>2.7923866784037299E-2</v>
      </c>
      <c r="CZ899" s="177">
        <f t="shared" si="2614"/>
        <v>7.433422950153494E-2</v>
      </c>
      <c r="DA899" s="187">
        <f t="shared" si="2605"/>
        <v>0.90784375000000006</v>
      </c>
      <c r="DB899" s="188">
        <f t="shared" si="2606"/>
        <v>1.8969932656739068</v>
      </c>
      <c r="DC899" s="188">
        <f t="shared" si="2607"/>
        <v>5.0215782983970621E-2</v>
      </c>
      <c r="DD899" s="188">
        <f t="shared" si="2608"/>
        <v>0.655952481704143</v>
      </c>
      <c r="DE899" s="188">
        <f t="shared" si="2609"/>
        <v>6.2485378865697057E-2</v>
      </c>
      <c r="DF899" s="189">
        <f>DF898</f>
        <v>0.24574999999999997</v>
      </c>
      <c r="DG899" s="189">
        <v>0.375</v>
      </c>
      <c r="DH899" s="190">
        <f t="shared" si="2611"/>
        <v>31.269619363517599</v>
      </c>
      <c r="DI899" s="190"/>
      <c r="DJ899" s="177">
        <f t="shared" ref="DJ899" si="2670">LN(DH899/DH898)</f>
        <v>0.37380913814084937</v>
      </c>
      <c r="DK899" s="189">
        <f>VLOOKUP($H899,RoR!$E:$F,2,FALSE)</f>
        <v>2.7033333333333336E-2</v>
      </c>
      <c r="DL899" s="191">
        <f>HLOOKUP($H899,'GDP-PI'!$D$8:$CR$11,3,FALSE)</f>
        <v>4.2834637353352578E-2</v>
      </c>
      <c r="DM899" s="189">
        <f>VLOOKUP(H899,'HW Dx Data'!$E:$F,2,FALSE)</f>
        <v>933.02249921662576</v>
      </c>
      <c r="DN899" s="183">
        <f>VLOOKUP(H899,'ECI - Input Price'!$G$17:$H$37,2,FALSE)</f>
        <v>145.47500000000002</v>
      </c>
      <c r="DO899" s="177">
        <f t="shared" ref="DO899" si="2671">LN(DN899/DN898)</f>
        <v>3.5152696992481205E-2</v>
      </c>
      <c r="DP899" s="183">
        <f>HLOOKUP(H899,'GDP-PI'!$8:$9,2,FALSE)</f>
        <v>118.49</v>
      </c>
      <c r="DQ899" s="177">
        <f t="shared" ref="DQ899" si="2672">LN(DP899/DP898)</f>
        <v>4.194261824609434E-2</v>
      </c>
    </row>
    <row r="900" spans="1:121" s="167" customFormat="1" ht="21" x14ac:dyDescent="0.35">
      <c r="A900" s="167" t="s">
        <v>94</v>
      </c>
      <c r="B900" s="167" t="s">
        <v>94</v>
      </c>
      <c r="C900" s="167">
        <v>4057139</v>
      </c>
      <c r="D900" s="168" t="s">
        <v>148</v>
      </c>
      <c r="E900" s="168"/>
      <c r="F900" s="198"/>
      <c r="G900" s="167" t="s">
        <v>4</v>
      </c>
      <c r="H900" s="169">
        <v>1998</v>
      </c>
      <c r="I900" s="170"/>
      <c r="J900" s="166"/>
      <c r="K900" s="166"/>
      <c r="L900" s="166"/>
      <c r="M900" s="166"/>
      <c r="N900" s="196"/>
      <c r="O900" s="166"/>
      <c r="P900" s="172"/>
      <c r="Q900" s="172"/>
      <c r="R900" s="172"/>
      <c r="S900" s="166"/>
      <c r="T900" s="172"/>
      <c r="U900" s="172"/>
      <c r="V900" s="166"/>
      <c r="W900" s="170"/>
      <c r="X900" s="174">
        <v>2363.3914663887476</v>
      </c>
      <c r="Y900" s="175"/>
      <c r="Z900" s="166"/>
      <c r="AA900" s="175"/>
      <c r="AB900" s="175"/>
      <c r="AC900" s="170">
        <f t="shared" si="2659"/>
        <v>0</v>
      </c>
      <c r="AD900" s="170"/>
      <c r="AE900" s="170"/>
      <c r="AF900" s="119"/>
      <c r="AG900" s="174">
        <f>+(AG922+AG921+AG920)/3</f>
        <v>286.20313637270829</v>
      </c>
      <c r="AH900" s="175"/>
      <c r="AI900" s="175"/>
      <c r="AJ900" s="174"/>
      <c r="AK900" s="174"/>
      <c r="AL900" s="120"/>
      <c r="AM900" s="120"/>
      <c r="AN900" s="120"/>
      <c r="AO900" s="120"/>
      <c r="AP900" s="120"/>
      <c r="AQ900" s="175">
        <f>AVERAGE(AQ909:AQ923)</f>
        <v>1.1633337184661195E-2</v>
      </c>
      <c r="AR900" s="120"/>
      <c r="AS900" s="120"/>
      <c r="AT900" s="120"/>
      <c r="AU900" s="120"/>
      <c r="AV900" s="120"/>
      <c r="AW900" s="120"/>
      <c r="AX900" s="120"/>
      <c r="AY900" s="120"/>
      <c r="AZ900" s="118">
        <f>IFERROR(INDEX('Total Customers'!$F$7:$AB$91,MATCH($C900,'Total Customers'!$D$7:$D$91,0),MATCH($G900,'Total Customers'!$F$5:$AB$5,0)),"NA")</f>
        <v>325844</v>
      </c>
      <c r="BA900" s="119"/>
      <c r="BB900" s="119"/>
      <c r="BC900" s="121"/>
      <c r="BD900" s="119"/>
      <c r="BE900" s="119"/>
      <c r="BF900" s="119"/>
      <c r="BG900" s="173"/>
      <c r="BH900" s="173"/>
      <c r="BI900" s="173"/>
      <c r="BJ900" s="173"/>
      <c r="BK900" s="173"/>
      <c r="BL900" s="173"/>
      <c r="BM900" s="173"/>
      <c r="BN900" s="173"/>
      <c r="BO900" s="173"/>
      <c r="BP900" s="173"/>
      <c r="BQ900" s="118">
        <f>INDEX('Gross Dx Plant'!$E$7:$AD$91,MATCH($C900,'Gross Dx Plant'!$D$7:$D$91,0),MATCH(Calculation!$G900,'Gross Dx Plant'!$E$5:$AD$5,0))</f>
        <v>542232</v>
      </c>
      <c r="BR900" s="118">
        <f>INDEX('Gross Gen Plant'!$E$7:$AD$91,MATCH($C900,'Gross Gen Plant'!$D$7:$D$91,0),MATCH(Calculation!$G900,'Gross Gen Plant'!$E$5:$AD$5,0))</f>
        <v>81543</v>
      </c>
      <c r="BS900" s="118">
        <f>INDEX('Dist. Plant Gas Additions'!$F$7:$AE$91,MATCH($C900,'Dist. Plant Gas Additions'!$D$7:$D$91,0),MATCH(Calculation!$G900,'Dist. Plant Gas Additions'!$F$5:$AE$5,0))</f>
        <v>40284</v>
      </c>
      <c r="BT900" s="118">
        <f>INDEX('Gen. Plant Additions'!$F$7:$AE$91,MATCH($C900,'Gen. Plant Additions'!$D$7:$D$91,0),MATCH(Calculation!$G900,'Gen. Plant Additions'!$F$5:$AE$5,0))</f>
        <v>9065</v>
      </c>
      <c r="BU900" s="118" t="e">
        <f>INDEX('Dist Plant Depreciation'!$E$7:$AA$94,MATCH($C900,'Dist Plant Depreciation'!$D$7:$D$94,0),MATCH(#REF!,'Dist Plant Depreciation'!$E$5:$AA$5,0))</f>
        <v>#REF!</v>
      </c>
      <c r="BV900" s="118" t="e">
        <f>INDEX('Gen. Plant Depreciation'!$E$7:$AA$94,MATCH($C900,'Gen. Plant Depreciation'!$D$7:$D$94,0),MATCH(#REF!,'Gen. Plant Depreciation'!$E$5:$AA$5,0))</f>
        <v>#REF!</v>
      </c>
      <c r="BW900" s="118">
        <f>INDEX('Dist Plant Depreciation'!$E$7:$AD$94,MATCH($C900,'Dist Plant Depreciation'!$D$7:$D$94,0),MATCH(Calculation!$G900,'Dist Plant Depreciation'!$E$5:$AD$5,0))</f>
        <v>147033</v>
      </c>
      <c r="BX900" s="118">
        <f>INDEX('Gen. Plant Depreciation'!$E$7:$AD$94,MATCH($C900,'Gen. Plant Depreciation'!$D$7:$D$94,0),MATCH(Calculation!$G900,'Gen. Plant Depreciation'!$E$5:$AD$5,0))</f>
        <v>0</v>
      </c>
      <c r="BY900" s="118"/>
      <c r="BZ900" s="118"/>
      <c r="CA900" s="118"/>
      <c r="CB900" s="118"/>
      <c r="CC900" s="118"/>
      <c r="CD900" s="183"/>
      <c r="CE900" s="118">
        <f>INDEX('Gross Dx Plant'!$E$7:$AD$91,MATCH($C900,'Gross Dx Plant'!$D$7:$D$91,0),MATCH(Calculation!$G900,'Gross Dx Plant'!$E$5:$AD$5,0))</f>
        <v>542232</v>
      </c>
      <c r="CF900" s="118">
        <f>INDEX('Gross Gen Plant'!$E$7:$AD$91,MATCH($C900,'Gross Gen Plant'!$D$7:$D$91,0),MATCH(Calculation!$G900,'Gross Gen Plant'!$E$5:$AD$5,0))</f>
        <v>81543</v>
      </c>
      <c r="CG900" s="118">
        <f t="shared" si="2598"/>
        <v>476742</v>
      </c>
      <c r="CH900" s="118"/>
      <c r="CI900" s="121">
        <v>1998</v>
      </c>
      <c r="CJ900" s="118">
        <f>BQ900+BR900</f>
        <v>623775</v>
      </c>
      <c r="CK900" s="118">
        <f>147033+0</f>
        <v>147033</v>
      </c>
      <c r="CL900" s="118">
        <f>+CJ900-CK900</f>
        <v>476742</v>
      </c>
      <c r="CM900" s="118">
        <f>CL900/$CD$36</f>
        <v>2363.3914663887476</v>
      </c>
      <c r="CN900" s="183"/>
      <c r="CO900" s="183"/>
      <c r="CP900" s="186">
        <v>1</v>
      </c>
      <c r="CQ900" s="118">
        <f>+CM900</f>
        <v>2363.3914663887476</v>
      </c>
      <c r="CR900" s="119"/>
      <c r="CS900" s="119"/>
      <c r="CT900" s="177"/>
      <c r="CU900" s="177"/>
      <c r="CV900" s="119" t="e">
        <f>VLOOKUP($H900,RoR!$E:$F,2,FALSE)</f>
        <v>#N/A</v>
      </c>
      <c r="CW900" s="177">
        <v>1.1028127770464469E-2</v>
      </c>
      <c r="CX900" s="177"/>
      <c r="CY900" s="177"/>
      <c r="CZ900" s="177"/>
      <c r="DA900" s="187"/>
      <c r="DB900" s="190" t="e">
        <f>2/(DK900*39)</f>
        <v>#N/A</v>
      </c>
      <c r="DC900" s="188" t="e">
        <f>+(DK900*40-(1+DK900))/(DK900*40)</f>
        <v>#N/A</v>
      </c>
      <c r="DD900" s="188" t="e">
        <f>+(1-(1/(1+DK900)^40))</f>
        <v>#N/A</v>
      </c>
      <c r="DE900" s="188" t="e">
        <f>+DD900*DC900*DB900</f>
        <v>#N/A</v>
      </c>
      <c r="DF900" s="189">
        <f>INDEX('State Tax Lookup'!$D$7:$Z$91,MATCH(Calculation!$C900,'State Tax Lookup'!$B$7:$B$91,0),MATCH($H900,'State Tax Lookup'!$D$6:$Z$6,0))</f>
        <v>0.35</v>
      </c>
      <c r="DG900" s="189">
        <v>0.375</v>
      </c>
      <c r="DH900" s="183"/>
      <c r="DI900" s="183"/>
      <c r="DJ900" s="177"/>
      <c r="DK900" s="189" t="e">
        <f>VLOOKUP($H900,RoR!$E:$F,2,FALSE)</f>
        <v>#N/A</v>
      </c>
      <c r="DL900" s="191">
        <f>HLOOKUP($H900,'GDP-PI'!$D$8:$CQ$11,3,FALSE)</f>
        <v>1.1028127770464469E-2</v>
      </c>
      <c r="DM900" s="189">
        <f>VLOOKUP(H900,'HW Dx Data'!$E:$F,2,FALSE)</f>
        <v>329.24564746449528</v>
      </c>
      <c r="DN900" s="183" t="e">
        <f>VLOOKUP(H900,'ECI - Input Price'!$G$17:$H$37,2,FALSE)</f>
        <v>#N/A</v>
      </c>
      <c r="DO900" s="177"/>
      <c r="DP900" s="183">
        <f>HLOOKUP(H900,'GDP-PI'!$8:$9,2,FALSE)</f>
        <v>75.266999999999996</v>
      </c>
    </row>
    <row r="901" spans="1:121" s="167" customFormat="1" ht="21" x14ac:dyDescent="0.35">
      <c r="A901" s="167" t="s">
        <v>94</v>
      </c>
      <c r="B901" s="167" t="s">
        <v>94</v>
      </c>
      <c r="C901" s="167">
        <v>4057139</v>
      </c>
      <c r="D901" s="168" t="s">
        <v>148</v>
      </c>
      <c r="E901" s="168"/>
      <c r="F901" s="198"/>
      <c r="G901" s="167" t="s">
        <v>5</v>
      </c>
      <c r="H901" s="169">
        <v>1999</v>
      </c>
      <c r="I901" s="170"/>
      <c r="J901" s="166"/>
      <c r="K901" s="170"/>
      <c r="L901" s="170"/>
      <c r="M901" s="166"/>
      <c r="N901" s="173"/>
      <c r="O901" s="170"/>
      <c r="P901" s="177"/>
      <c r="Q901" s="177"/>
      <c r="R901" s="177"/>
      <c r="S901" s="195"/>
      <c r="T901" s="177"/>
      <c r="U901" s="177"/>
      <c r="V901" s="166">
        <f t="shared" ref="V901:V923" si="2673">+CQ900*DH901</f>
        <v>0</v>
      </c>
      <c r="W901" s="170"/>
      <c r="X901" s="174">
        <v>2490.5671735508117</v>
      </c>
      <c r="Y901" s="175">
        <v>5.2412815599867255E-2</v>
      </c>
      <c r="Z901" s="175"/>
      <c r="AA901" s="175"/>
      <c r="AB901" s="175"/>
      <c r="AC901" s="170">
        <f t="shared" si="2659"/>
        <v>0</v>
      </c>
      <c r="AD901" s="175"/>
      <c r="AE901" s="170"/>
      <c r="AF901" s="119"/>
      <c r="AG901" s="174"/>
      <c r="AH901" s="175"/>
      <c r="AI901" s="175"/>
      <c r="AJ901" s="174"/>
      <c r="AK901" s="174"/>
      <c r="AL901" s="120"/>
      <c r="AM901" s="120"/>
      <c r="AN901" s="120"/>
      <c r="AO901" s="120"/>
      <c r="AP901" s="120"/>
      <c r="AQ901" s="175"/>
      <c r="AR901" s="120"/>
      <c r="AS901" s="120"/>
      <c r="AT901" s="120"/>
      <c r="AU901" s="120"/>
      <c r="AV901" s="120"/>
      <c r="AW901" s="120"/>
      <c r="AX901" s="120"/>
      <c r="AY901" s="120"/>
      <c r="AZ901" s="118">
        <f>IFERROR(INDEX('Total Customers'!$F$7:$AB$91,MATCH($C901,'Total Customers'!$D$7:$D$91,0),MATCH($G901,'Total Customers'!$F$5:$AB$5,0)),"NA")</f>
        <v>342398</v>
      </c>
      <c r="BA901" s="119">
        <f t="shared" ref="BA901:BA923" si="2674">LN(AZ901/AZ900)</f>
        <v>4.9555063900561094E-2</v>
      </c>
      <c r="BB901" s="119"/>
      <c r="BC901" s="121"/>
      <c r="BD901" s="119"/>
      <c r="BE901" s="119"/>
      <c r="BF901" s="119"/>
      <c r="BG901" s="173"/>
      <c r="BH901" s="173"/>
      <c r="BI901" s="173"/>
      <c r="BJ901" s="173"/>
      <c r="BK901" s="173"/>
      <c r="BL901" s="173"/>
      <c r="BM901" s="173"/>
      <c r="BN901" s="173"/>
      <c r="BO901" s="173"/>
      <c r="BP901" s="173"/>
      <c r="BQ901" s="118"/>
      <c r="BR901" s="118"/>
      <c r="BS901" s="118">
        <f>INDEX('Dist. Plant Gas Additions'!$F$7:$AE$91,MATCH($C901,'Dist. Plant Gas Additions'!$D$7:$D$91,0),MATCH(Calculation!$G901,'Dist. Plant Gas Additions'!$F$5:$AE$5,0))</f>
        <v>27352</v>
      </c>
      <c r="BT901" s="118">
        <f>INDEX('Gen. Plant Additions'!$F$7:$AE$91,MATCH($C901,'Gen. Plant Additions'!$D$7:$D$91,0),MATCH(Calculation!$G901,'Gen. Plant Additions'!$F$5:$AE$5,0))</f>
        <v>19236</v>
      </c>
      <c r="BU901" s="118"/>
      <c r="BV901" s="118"/>
      <c r="BW901" s="118">
        <f>INDEX('Dist Plant Depreciation'!$E$7:$AD$94,MATCH($C901,'Dist Plant Depreciation'!$D$7:$D$94,0),MATCH(Calculation!$G901,'Dist Plant Depreciation'!$E$5:$AD$5,0))</f>
        <v>161949</v>
      </c>
      <c r="BX901" s="118">
        <f>INDEX('Gen. Plant Depreciation'!$E$7:$AD$94,MATCH($C901,'Gen. Plant Depreciation'!$D$7:$D$94,0),MATCH(Calculation!$G901,'Gen. Plant Depreciation'!$E$5:$AD$5,0))</f>
        <v>37540</v>
      </c>
      <c r="BY901" s="118"/>
      <c r="BZ901" s="118"/>
      <c r="CA901" s="118"/>
      <c r="CB901" s="118"/>
      <c r="CC901" s="118"/>
      <c r="CD901" s="183"/>
      <c r="CE901" s="118">
        <f>INDEX('Gross Dx Plant'!$E$7:$AD$91,MATCH($C901,'Gross Dx Plant'!$D$7:$D$91,0),MATCH(Calculation!$G901,'Gross Dx Plant'!$E$5:$AD$5,0))</f>
        <v>564485</v>
      </c>
      <c r="CF901" s="118">
        <f>INDEX('Gross Gen Plant'!$E$7:$AD$91,MATCH($C901,'Gross Gen Plant'!$D$7:$D$91,0),MATCH(Calculation!$G901,'Gross Gen Plant'!$E$5:$AD$5,0))</f>
        <v>90219</v>
      </c>
      <c r="CG901" s="118">
        <f t="shared" si="2598"/>
        <v>455215</v>
      </c>
      <c r="CH901" s="118"/>
      <c r="CI901" s="121">
        <v>1999</v>
      </c>
      <c r="CJ901" s="118"/>
      <c r="CK901" s="118"/>
      <c r="CL901" s="118"/>
      <c r="CM901" s="183"/>
      <c r="CN901" s="118">
        <f t="shared" ref="CN901:CN923" si="2675">+BT901+BS901</f>
        <v>46588</v>
      </c>
      <c r="CO901" s="118">
        <f t="shared" ref="CO901:CO923" si="2676">+CN901/$DM901</f>
        <v>138.93387366151057</v>
      </c>
      <c r="CP901" s="186">
        <v>0.99502487562189057</v>
      </c>
      <c r="CQ901" s="118">
        <f>+CQ900*CP901+CO901</f>
        <v>2490.5671735508117</v>
      </c>
      <c r="CR901" s="119">
        <f t="shared" ref="CR901:CR922" si="2677">LN(CQ901/CQ900)</f>
        <v>5.2412815599867255E-2</v>
      </c>
      <c r="CS901" s="119"/>
      <c r="CT901" s="177">
        <f t="shared" ref="CT901:CT923" si="2678">+(CQ900-CQ901+CO901)/CQ900</f>
        <v>4.9751243781094396E-3</v>
      </c>
      <c r="CU901" s="177"/>
      <c r="CV901" s="119">
        <f>VLOOKUP($H901,RoR!$E:$F,2,FALSE)</f>
        <v>7.0416666666666669E-2</v>
      </c>
      <c r="CW901" s="177">
        <v>1.4335631817396832E-2</v>
      </c>
      <c r="CX901" s="177">
        <f>+CV901-CW901</f>
        <v>5.6081034849269837E-2</v>
      </c>
      <c r="CY901" s="177"/>
      <c r="CZ901" s="177"/>
      <c r="DA901" s="187">
        <f t="shared" ref="DA901:DA923" si="2679">1-DF901*DG901</f>
        <v>0.86875000000000002</v>
      </c>
      <c r="DB901" s="188">
        <f t="shared" ref="DB901:DB923" si="2680">2/(DK901*39)</f>
        <v>0.72826581702321336</v>
      </c>
      <c r="DC901" s="188">
        <f t="shared" ref="DC901:DC923" si="2681">+(DK901*40-(1+DK901))/(DK901*40)</f>
        <v>0.61997041420118348</v>
      </c>
      <c r="DD901" s="188">
        <f t="shared" ref="DD901:DD923" si="2682">+(1-(1/(1+DK901)^40))</f>
        <v>0.93425155319585029</v>
      </c>
      <c r="DE901" s="188">
        <f t="shared" ref="DE901:DE923" si="2683">+DD901*DC901*DB901</f>
        <v>0.42181762214141483</v>
      </c>
      <c r="DF901" s="189">
        <f>INDEX('State Tax Lookup'!$D$7:$Z$91,MATCH(Calculation!$C901,'State Tax Lookup'!$B$7:$B$91,0),MATCH($H901,'State Tax Lookup'!$D$6:$Z$6,0))</f>
        <v>0.35</v>
      </c>
      <c r="DG901" s="189">
        <v>0.375</v>
      </c>
      <c r="DH901" s="190"/>
      <c r="DI901" s="190"/>
      <c r="DJ901" s="177"/>
      <c r="DK901" s="189">
        <f>VLOOKUP($H901,RoR!$E:$F,2,FALSE)</f>
        <v>7.0416666666666669E-2</v>
      </c>
      <c r="DL901" s="191">
        <f>HLOOKUP($H901,'GDP-PI'!$D$8:$CQ$11,3,FALSE)</f>
        <v>1.4335631817396832E-2</v>
      </c>
      <c r="DM901" s="189">
        <f>VLOOKUP(H901,'HW Dx Data'!$E:$F,2,FALSE)</f>
        <v>335.32499146683239</v>
      </c>
      <c r="DN901" s="183" t="e">
        <f>VLOOKUP(H901,'ECI - Input Price'!$G$17:$H$37,2,FALSE)</f>
        <v>#N/A</v>
      </c>
      <c r="DO901" s="177"/>
      <c r="DP901" s="183">
        <f>HLOOKUP(H901,'GDP-PI'!$8:$9,2,FALSE)</f>
        <v>76.346000000000004</v>
      </c>
    </row>
    <row r="902" spans="1:121" s="167" customFormat="1" ht="21" x14ac:dyDescent="0.35">
      <c r="A902" s="167" t="s">
        <v>94</v>
      </c>
      <c r="B902" s="167" t="s">
        <v>94</v>
      </c>
      <c r="C902" s="167">
        <v>4057139</v>
      </c>
      <c r="D902" s="168" t="s">
        <v>148</v>
      </c>
      <c r="E902" s="168"/>
      <c r="F902" s="198"/>
      <c r="G902" s="167" t="s">
        <v>6</v>
      </c>
      <c r="H902" s="169">
        <v>2000</v>
      </c>
      <c r="I902" s="170"/>
      <c r="J902" s="166"/>
      <c r="K902" s="166"/>
      <c r="L902" s="166"/>
      <c r="M902" s="166"/>
      <c r="N902" s="196"/>
      <c r="O902" s="166"/>
      <c r="P902" s="166"/>
      <c r="Q902" s="166"/>
      <c r="R902" s="166"/>
      <c r="S902" s="166"/>
      <c r="T902" s="166"/>
      <c r="U902" s="166"/>
      <c r="V902" s="166">
        <f t="shared" si="2673"/>
        <v>0</v>
      </c>
      <c r="W902" s="170"/>
      <c r="X902" s="174">
        <v>2558.9426191486659</v>
      </c>
      <c r="Y902" s="175">
        <v>2.7083668691090371E-2</v>
      </c>
      <c r="Z902" s="175"/>
      <c r="AA902" s="175"/>
      <c r="AB902" s="175"/>
      <c r="AC902" s="170">
        <f t="shared" si="2659"/>
        <v>0</v>
      </c>
      <c r="AD902" s="175"/>
      <c r="AE902" s="170"/>
      <c r="AF902" s="170"/>
      <c r="AG902" s="174"/>
      <c r="AH902" s="175"/>
      <c r="AI902" s="175"/>
      <c r="AJ902" s="174"/>
      <c r="AK902" s="174"/>
      <c r="AL902" s="120"/>
      <c r="AM902" s="120"/>
      <c r="AN902" s="120"/>
      <c r="AO902" s="120"/>
      <c r="AP902" s="120"/>
      <c r="AQ902" s="175"/>
      <c r="AR902" s="120"/>
      <c r="AS902" s="120"/>
      <c r="AT902" s="120"/>
      <c r="AU902" s="120"/>
      <c r="AV902" s="120"/>
      <c r="AW902" s="120"/>
      <c r="AX902" s="120"/>
      <c r="AY902" s="120"/>
      <c r="AZ902" s="118">
        <f>IFERROR(INDEX('Total Customers'!$F$7:$AB$91,MATCH($C902,'Total Customers'!$D$7:$D$91,0),MATCH($G902,'Total Customers'!$F$5:$AB$5,0)),"NA")</f>
        <v>357736</v>
      </c>
      <c r="BA902" s="119">
        <f t="shared" si="2674"/>
        <v>4.3821481068697946E-2</v>
      </c>
      <c r="BB902" s="119"/>
      <c r="BC902" s="121"/>
      <c r="BD902" s="119"/>
      <c r="BE902" s="119"/>
      <c r="BF902" s="119"/>
      <c r="BG902" s="173"/>
      <c r="BH902" s="173"/>
      <c r="BI902" s="173"/>
      <c r="BJ902" s="173"/>
      <c r="BK902" s="173"/>
      <c r="BL902" s="173"/>
      <c r="BM902" s="173"/>
      <c r="BN902" s="173"/>
      <c r="BO902" s="173"/>
      <c r="BP902" s="173"/>
      <c r="BQ902" s="118"/>
      <c r="BR902" s="118"/>
      <c r="BS902" s="118">
        <f>INDEX('Dist. Plant Gas Additions'!$F$7:$AE$91,MATCH($C902,'Dist. Plant Gas Additions'!$D$7:$D$91,0),MATCH(Calculation!$G902,'Dist. Plant Gas Additions'!$F$5:$AE$5,0))</f>
        <v>21130</v>
      </c>
      <c r="BT902" s="118">
        <f>INDEX('Gen. Plant Additions'!$F$7:$AE$91,MATCH($C902,'Gen. Plant Additions'!$D$7:$D$91,0),MATCH(Calculation!$G902,'Gen. Plant Additions'!$F$5:$AE$5,0))</f>
        <v>7002</v>
      </c>
      <c r="BU902" s="118"/>
      <c r="BV902" s="118"/>
      <c r="BW902" s="118">
        <f>INDEX('Dist Plant Depreciation'!$E$7:$AD$94,MATCH($C902,'Dist Plant Depreciation'!$D$7:$D$94,0),MATCH(Calculation!$G902,'Dist Plant Depreciation'!$E$5:$AD$5,0))</f>
        <v>177315</v>
      </c>
      <c r="BX902" s="118">
        <f>INDEX('Gen. Plant Depreciation'!$E$7:$AD$94,MATCH($C902,'Gen. Plant Depreciation'!$D$7:$D$94,0),MATCH(Calculation!$G902,'Gen. Plant Depreciation'!$E$5:$AD$5,0))</f>
        <v>31121</v>
      </c>
      <c r="BY902" s="118"/>
      <c r="BZ902" s="118"/>
      <c r="CA902" s="118"/>
      <c r="CB902" s="118"/>
      <c r="CC902" s="118"/>
      <c r="CD902" s="183"/>
      <c r="CE902" s="118">
        <f>INDEX('Gross Dx Plant'!$E$7:$AD$91,MATCH($C902,'Gross Dx Plant'!$D$7:$D$91,0),MATCH(Calculation!$G902,'Gross Dx Plant'!$E$5:$AD$5,0))</f>
        <v>582470</v>
      </c>
      <c r="CF902" s="118">
        <f>INDEX('Gross Gen Plant'!$E$7:$AD$91,MATCH($C902,'Gross Gen Plant'!$D$7:$D$91,0),MATCH(Calculation!$G902,'Gross Gen Plant'!$E$5:$AD$5,0))</f>
        <v>80902</v>
      </c>
      <c r="CG902" s="118">
        <f t="shared" si="2598"/>
        <v>454936</v>
      </c>
      <c r="CH902" s="118"/>
      <c r="CI902" s="121">
        <v>2000</v>
      </c>
      <c r="CJ902" s="118"/>
      <c r="CK902" s="118"/>
      <c r="CL902" s="118"/>
      <c r="CM902" s="183"/>
      <c r="CN902" s="118">
        <f t="shared" si="2675"/>
        <v>28132</v>
      </c>
      <c r="CO902" s="118">
        <f t="shared" si="2676"/>
        <v>81.181133474839982</v>
      </c>
      <c r="CP902" s="186">
        <v>0.98989898989898994</v>
      </c>
      <c r="CQ902" s="118">
        <f>+CQ900*CP902+CO901*CP901+CO902</f>
        <v>2558.9426191486659</v>
      </c>
      <c r="CR902" s="119">
        <f t="shared" si="2677"/>
        <v>2.7083668691090371E-2</v>
      </c>
      <c r="CS902" s="119"/>
      <c r="CT902" s="177">
        <f t="shared" si="2678"/>
        <v>5.1416753633384904E-3</v>
      </c>
      <c r="CU902" s="177"/>
      <c r="CV902" s="119">
        <f>VLOOKUP($H902,RoR!$E:$F,2,FALSE)</f>
        <v>7.6225000000000001E-2</v>
      </c>
      <c r="CW902" s="177">
        <v>2.2568307442433211E-2</v>
      </c>
      <c r="CX902" s="177">
        <f t="shared" ref="CX902:CX922" si="2684">+CV902-CW902</f>
        <v>5.365669255756679E-2</v>
      </c>
      <c r="CY902" s="177"/>
      <c r="CZ902" s="177"/>
      <c r="DA902" s="187">
        <f t="shared" si="2679"/>
        <v>0.86875000000000002</v>
      </c>
      <c r="DB902" s="188">
        <f t="shared" si="2680"/>
        <v>0.67277207323124022</v>
      </c>
      <c r="DC902" s="188">
        <f t="shared" si="2681"/>
        <v>0.6470236142997704</v>
      </c>
      <c r="DD902" s="188">
        <f t="shared" si="2682"/>
        <v>0.94704866037543145</v>
      </c>
      <c r="DE902" s="188">
        <f t="shared" si="2683"/>
        <v>0.41224973107878493</v>
      </c>
      <c r="DF902" s="189">
        <f>INDEX('State Tax Lookup'!$D$7:$Z$91,MATCH(Calculation!$C902,'State Tax Lookup'!$B$7:$B$91,0),MATCH($H902,'State Tax Lookup'!$D$6:$Z$6,0))</f>
        <v>0.35</v>
      </c>
      <c r="DG902" s="189">
        <v>0.375</v>
      </c>
      <c r="DH902" s="190"/>
      <c r="DI902" s="190"/>
      <c r="DJ902" s="177"/>
      <c r="DK902" s="189">
        <f>VLOOKUP($H902,RoR!$E:$F,2,FALSE)</f>
        <v>7.6225000000000001E-2</v>
      </c>
      <c r="DL902" s="191">
        <f>HLOOKUP($H902,'GDP-PI'!$D$8:$CQ$11,3,FALSE)</f>
        <v>2.2568307442433211E-2</v>
      </c>
      <c r="DM902" s="189">
        <f>VLOOKUP(H902,'HW Dx Data'!$E:$F,2,FALSE)</f>
        <v>346.53371782150339</v>
      </c>
      <c r="DN902" s="183" t="e">
        <f>VLOOKUP(H902,'ECI - Input Price'!$G$17:$H$37,2,FALSE)</f>
        <v>#N/A</v>
      </c>
      <c r="DO902" s="177"/>
      <c r="DP902" s="183">
        <f>HLOOKUP(H902,'GDP-PI'!$8:$9,2,FALSE)</f>
        <v>78.069000000000003</v>
      </c>
    </row>
    <row r="903" spans="1:121" s="167" customFormat="1" ht="21" x14ac:dyDescent="0.35">
      <c r="A903" s="167" t="s">
        <v>94</v>
      </c>
      <c r="B903" s="167" t="s">
        <v>94</v>
      </c>
      <c r="C903" s="167">
        <v>4057139</v>
      </c>
      <c r="D903" s="168" t="s">
        <v>148</v>
      </c>
      <c r="E903" s="168"/>
      <c r="F903" s="198"/>
      <c r="G903" s="167" t="s">
        <v>7</v>
      </c>
      <c r="H903" s="169">
        <v>2001</v>
      </c>
      <c r="I903" s="170"/>
      <c r="J903" s="166"/>
      <c r="K903" s="166"/>
      <c r="L903" s="166"/>
      <c r="M903" s="166"/>
      <c r="N903" s="196"/>
      <c r="O903" s="166"/>
      <c r="P903" s="166"/>
      <c r="Q903" s="166"/>
      <c r="R903" s="166"/>
      <c r="S903" s="166"/>
      <c r="T903" s="166"/>
      <c r="U903" s="166"/>
      <c r="V903" s="166">
        <f t="shared" si="2673"/>
        <v>31118.466918879825</v>
      </c>
      <c r="W903" s="170"/>
      <c r="X903" s="174">
        <v>2757.6814279677369</v>
      </c>
      <c r="Y903" s="175">
        <v>7.4796130576280179E-2</v>
      </c>
      <c r="Z903" s="175"/>
      <c r="AA903" s="175"/>
      <c r="AB903" s="175"/>
      <c r="AC903" s="170">
        <f t="shared" si="2659"/>
        <v>31118.466918879825</v>
      </c>
      <c r="AD903" s="175"/>
      <c r="AE903" s="170"/>
      <c r="AF903" s="170"/>
      <c r="AG903" s="174"/>
      <c r="AH903" s="175"/>
      <c r="AI903" s="175"/>
      <c r="AJ903" s="174"/>
      <c r="AK903" s="174"/>
      <c r="AL903" s="120"/>
      <c r="AM903" s="120"/>
      <c r="AN903" s="120"/>
      <c r="AO903" s="120"/>
      <c r="AP903" s="120"/>
      <c r="AQ903" s="175"/>
      <c r="AR903" s="120"/>
      <c r="AS903" s="120"/>
      <c r="AT903" s="120"/>
      <c r="AU903" s="120"/>
      <c r="AV903" s="120"/>
      <c r="AW903" s="120"/>
      <c r="AX903" s="120"/>
      <c r="AY903" s="120"/>
      <c r="AZ903" s="118">
        <f>IFERROR(INDEX('Total Customers'!$F$7:$AB$91,MATCH($C903,'Total Customers'!$D$7:$D$91,0),MATCH($G903,'Total Customers'!$F$5:$AB$5,0)),"NA")</f>
        <v>365478</v>
      </c>
      <c r="BA903" s="119">
        <f t="shared" si="2674"/>
        <v>2.1410801662053055E-2</v>
      </c>
      <c r="BB903" s="119"/>
      <c r="BC903" s="121"/>
      <c r="BD903" s="119"/>
      <c r="BE903" s="119"/>
      <c r="BF903" s="119"/>
      <c r="BG903" s="173"/>
      <c r="BH903" s="173"/>
      <c r="BI903" s="173"/>
      <c r="BJ903" s="173"/>
      <c r="BK903" s="173"/>
      <c r="BL903" s="173"/>
      <c r="BM903" s="173"/>
      <c r="BN903" s="173"/>
      <c r="BO903" s="173"/>
      <c r="BP903" s="173"/>
      <c r="BQ903" s="118"/>
      <c r="BR903" s="118"/>
      <c r="BS903" s="118">
        <f>INDEX('Dist. Plant Gas Additions'!$F$7:$AE$91,MATCH($C903,'Dist. Plant Gas Additions'!$D$7:$D$91,0),MATCH(Calculation!$G903,'Dist. Plant Gas Additions'!$F$5:$AE$5,0))</f>
        <v>57307</v>
      </c>
      <c r="BT903" s="118">
        <f>INDEX('Gen. Plant Additions'!$F$7:$AE$91,MATCH($C903,'Gen. Plant Additions'!$D$7:$D$91,0),MATCH(Calculation!$G903,'Gen. Plant Additions'!$F$5:$AE$5,0))</f>
        <v>17602</v>
      </c>
      <c r="BU903" s="118"/>
      <c r="BV903" s="118"/>
      <c r="BW903" s="118">
        <f>INDEX('Dist Plant Depreciation'!$E$7:$AD$94,MATCH($C903,'Dist Plant Depreciation'!$D$7:$D$94,0),MATCH(Calculation!$G903,'Dist Plant Depreciation'!$E$5:$AD$5,0))</f>
        <v>194158</v>
      </c>
      <c r="BX903" s="118">
        <f>INDEX('Gen. Plant Depreciation'!$E$7:$AD$94,MATCH($C903,'Gen. Plant Depreciation'!$D$7:$D$94,0),MATCH(Calculation!$G903,'Gen. Plant Depreciation'!$E$5:$AD$5,0))</f>
        <v>44288</v>
      </c>
      <c r="BY903" s="118"/>
      <c r="BZ903" s="118"/>
      <c r="CA903" s="118"/>
      <c r="CB903" s="118"/>
      <c r="CC903" s="118"/>
      <c r="CD903" s="183"/>
      <c r="CE903" s="118">
        <f>INDEX('Gross Dx Plant'!$E$7:$AD$91,MATCH($C903,'Gross Dx Plant'!$D$7:$D$91,0),MATCH(Calculation!$G903,'Gross Dx Plant'!$E$5:$AD$5,0))</f>
        <v>634589</v>
      </c>
      <c r="CF903" s="118">
        <f>INDEX('Gross Gen Plant'!$E$7:$AD$91,MATCH($C903,'Gross Gen Plant'!$D$7:$D$91,0),MATCH(Calculation!$G903,'Gross Gen Plant'!$E$5:$AD$5,0))</f>
        <v>95915</v>
      </c>
      <c r="CG903" s="118">
        <f t="shared" si="2598"/>
        <v>492058</v>
      </c>
      <c r="CH903" s="118"/>
      <c r="CI903" s="121">
        <v>2001</v>
      </c>
      <c r="CJ903" s="118"/>
      <c r="CK903" s="118"/>
      <c r="CL903" s="118"/>
      <c r="CM903" s="183"/>
      <c r="CN903" s="118">
        <f t="shared" si="2675"/>
        <v>74909</v>
      </c>
      <c r="CO903" s="118">
        <f t="shared" si="2676"/>
        <v>211.93819561753875</v>
      </c>
      <c r="CP903" s="186">
        <v>0.98461538461538467</v>
      </c>
      <c r="CQ903" s="118">
        <f>+CQ900*CP903+CO901*CP902+CO902*CP900+CO903</f>
        <v>2757.6814279677369</v>
      </c>
      <c r="CR903" s="119">
        <f t="shared" si="2677"/>
        <v>7.4796130576280179E-2</v>
      </c>
      <c r="CS903" s="119"/>
      <c r="CT903" s="177">
        <f t="shared" si="2678"/>
        <v>5.1581409835829272E-3</v>
      </c>
      <c r="CU903" s="177">
        <f>+(CT903+CT902+CT901)/3</f>
        <v>5.09164690834362E-3</v>
      </c>
      <c r="CV903" s="119">
        <f>VLOOKUP($H903,RoR!$E:$F,2,FALSE)</f>
        <v>7.0824999999999999E-2</v>
      </c>
      <c r="CW903" s="177">
        <v>2.2454495382290052E-2</v>
      </c>
      <c r="CX903" s="177">
        <f t="shared" si="2684"/>
        <v>4.8370504617709947E-2</v>
      </c>
      <c r="CY903" s="177">
        <f>+$CX$35-CU903</f>
        <v>2.5810294700190004E-2</v>
      </c>
      <c r="CZ903" s="177">
        <f>+((DM901/DM900-1)+(DM902/DM901-1)+(DM903/DM902-1))/3</f>
        <v>2.3947275901631187E-2</v>
      </c>
      <c r="DA903" s="187">
        <f t="shared" si="2679"/>
        <v>0.86875000000000002</v>
      </c>
      <c r="DB903" s="188">
        <f t="shared" si="2680"/>
        <v>0.72406708481540816</v>
      </c>
      <c r="DC903" s="188">
        <f t="shared" si="2681"/>
        <v>0.62201729615248857</v>
      </c>
      <c r="DD903" s="188">
        <f t="shared" si="2682"/>
        <v>0.9352469954311422</v>
      </c>
      <c r="DE903" s="188">
        <f t="shared" si="2683"/>
        <v>0.42121864641655071</v>
      </c>
      <c r="DF903" s="189">
        <f>INDEX('State Tax Lookup'!$D$7:$Z$91,MATCH(Calculation!$C903,'State Tax Lookup'!$B$7:$B$91,0),MATCH($H903,'State Tax Lookup'!$D$6:$Z$6,0))</f>
        <v>0.35</v>
      </c>
      <c r="DG903" s="189">
        <v>0.375</v>
      </c>
      <c r="DH903" s="190">
        <f t="shared" ref="DH903:DH923" si="2685">+(DM903*CY903-CZ903)*DA903/(1-DF903)</f>
        <v>12.160673977610573</v>
      </c>
      <c r="DI903" s="190"/>
      <c r="DJ903" s="177"/>
      <c r="DK903" s="189">
        <f>VLOOKUP($H903,RoR!$E:$F,2,FALSE)</f>
        <v>7.0824999999999999E-2</v>
      </c>
      <c r="DL903" s="191">
        <f>HLOOKUP($H903,'GDP-PI'!$D$8:$CQ$11,3,FALSE)</f>
        <v>2.2454495382290052E-2</v>
      </c>
      <c r="DM903" s="189">
        <f>VLOOKUP(H903,'HW Dx Data'!$E:$F,2,FALSE)</f>
        <v>353.44738017483138</v>
      </c>
      <c r="DN903" s="183">
        <f>VLOOKUP(H903,'ECI - Input Price'!$G$17:$H$37,2,FALSE)</f>
        <v>86.2</v>
      </c>
      <c r="DO903" s="177"/>
      <c r="DP903" s="183">
        <f>HLOOKUP(H903,'GDP-PI'!$8:$9,2,FALSE)</f>
        <v>79.822000000000003</v>
      </c>
    </row>
    <row r="904" spans="1:121" s="167" customFormat="1" ht="21" x14ac:dyDescent="0.35">
      <c r="A904" s="167" t="s">
        <v>94</v>
      </c>
      <c r="B904" s="167" t="s">
        <v>94</v>
      </c>
      <c r="C904" s="167">
        <v>4057139</v>
      </c>
      <c r="D904" s="168" t="s">
        <v>148</v>
      </c>
      <c r="E904" s="168"/>
      <c r="F904" s="198"/>
      <c r="G904" s="167" t="s">
        <v>8</v>
      </c>
      <c r="H904" s="169">
        <v>2002</v>
      </c>
      <c r="I904" s="170"/>
      <c r="J904" s="166"/>
      <c r="K904" s="166"/>
      <c r="L904" s="166"/>
      <c r="M904" s="166"/>
      <c r="N904" s="196"/>
      <c r="O904" s="166"/>
      <c r="P904" s="166"/>
      <c r="Q904" s="166"/>
      <c r="R904" s="166"/>
      <c r="S904" s="166"/>
      <c r="T904" s="166"/>
      <c r="U904" s="166"/>
      <c r="V904" s="166">
        <f t="shared" si="2673"/>
        <v>33997.766599379291</v>
      </c>
      <c r="W904" s="170"/>
      <c r="X904" s="174">
        <v>2868.879386516172</v>
      </c>
      <c r="Y904" s="175">
        <v>3.953123151478638E-2</v>
      </c>
      <c r="Z904" s="175"/>
      <c r="AA904" s="175"/>
      <c r="AB904" s="175"/>
      <c r="AC904" s="170">
        <f t="shared" si="2659"/>
        <v>33997.766599379291</v>
      </c>
      <c r="AD904" s="175"/>
      <c r="AE904" s="170"/>
      <c r="AF904" s="170"/>
      <c r="AG904" s="174"/>
      <c r="AH904" s="175"/>
      <c r="AI904" s="175"/>
      <c r="AJ904" s="174"/>
      <c r="AK904" s="174"/>
      <c r="AL904" s="120"/>
      <c r="AM904" s="120"/>
      <c r="AN904" s="120"/>
      <c r="AO904" s="120"/>
      <c r="AP904" s="120"/>
      <c r="AQ904" s="175"/>
      <c r="AR904" s="120"/>
      <c r="AS904" s="120"/>
      <c r="AT904" s="120"/>
      <c r="AU904" s="120"/>
      <c r="AV904" s="120"/>
      <c r="AW904" s="120"/>
      <c r="AX904" s="120"/>
      <c r="AY904" s="120"/>
      <c r="AZ904" s="118">
        <f>IFERROR(INDEX('Total Customers'!$F$7:$AB$91,MATCH($C904,'Total Customers'!$D$7:$D$91,0),MATCH($G904,'Total Customers'!$F$5:$AB$5,0)),"NA")</f>
        <v>367177</v>
      </c>
      <c r="BA904" s="119">
        <f t="shared" si="2674"/>
        <v>4.6379347592483949E-3</v>
      </c>
      <c r="BB904" s="119"/>
      <c r="BC904" s="121"/>
      <c r="BD904" s="119"/>
      <c r="BE904" s="119"/>
      <c r="BF904" s="119"/>
      <c r="BG904" s="173"/>
      <c r="BH904" s="173"/>
      <c r="BI904" s="173"/>
      <c r="BJ904" s="173"/>
      <c r="BK904" s="173"/>
      <c r="BL904" s="173"/>
      <c r="BM904" s="173"/>
      <c r="BN904" s="173"/>
      <c r="BO904" s="173"/>
      <c r="BP904" s="173"/>
      <c r="BQ904" s="118"/>
      <c r="BR904" s="118"/>
      <c r="BS904" s="118">
        <f>INDEX('Dist. Plant Gas Additions'!$F$7:$AE$91,MATCH($C904,'Dist. Plant Gas Additions'!$D$7:$D$91,0),MATCH(Calculation!$G904,'Dist. Plant Gas Additions'!$F$5:$AE$5,0))</f>
        <v>37114</v>
      </c>
      <c r="BT904" s="118">
        <f>INDEX('Gen. Plant Additions'!$F$7:$AE$91,MATCH($C904,'Gen. Plant Additions'!$D$7:$D$91,0),MATCH(Calculation!$G904,'Gen. Plant Additions'!$F$5:$AE$5,0))</f>
        <v>8663</v>
      </c>
      <c r="BU904" s="118"/>
      <c r="BV904" s="118"/>
      <c r="BW904" s="118">
        <f>INDEX('Dist Plant Depreciation'!$E$7:$AD$94,MATCH($C904,'Dist Plant Depreciation'!$D$7:$D$94,0),MATCH(Calculation!$G904,'Dist Plant Depreciation'!$E$5:$AD$5,0))</f>
        <v>213211</v>
      </c>
      <c r="BX904" s="118">
        <f>INDEX('Gen. Plant Depreciation'!$E$7:$AD$94,MATCH($C904,'Gen. Plant Depreciation'!$D$7:$D$94,0),MATCH(Calculation!$G904,'Gen. Plant Depreciation'!$E$5:$AD$5,0))</f>
        <v>51880</v>
      </c>
      <c r="BY904" s="118"/>
      <c r="BZ904" s="118"/>
      <c r="CA904" s="118"/>
      <c r="CB904" s="118"/>
      <c r="CC904" s="118"/>
      <c r="CD904" s="183"/>
      <c r="CE904" s="118">
        <f>INDEX('Gross Dx Plant'!$E$7:$AD$91,MATCH($C904,'Gross Dx Plant'!$D$7:$D$91,0),MATCH(Calculation!$G904,'Gross Dx Plant'!$E$5:$AD$5,0))</f>
        <v>670672</v>
      </c>
      <c r="CF904" s="118">
        <f>INDEX('Gross Gen Plant'!$E$7:$AD$91,MATCH($C904,'Gross Gen Plant'!$D$7:$D$91,0),MATCH(Calculation!$G904,'Gross Gen Plant'!$E$5:$AD$5,0))</f>
        <v>99045</v>
      </c>
      <c r="CG904" s="118">
        <f t="shared" si="2598"/>
        <v>504626</v>
      </c>
      <c r="CH904" s="118"/>
      <c r="CI904" s="121">
        <v>2002</v>
      </c>
      <c r="CJ904" s="118"/>
      <c r="CK904" s="118"/>
      <c r="CL904" s="118"/>
      <c r="CM904" s="183"/>
      <c r="CN904" s="118">
        <f t="shared" si="2675"/>
        <v>45777</v>
      </c>
      <c r="CO904" s="118">
        <f t="shared" si="2676"/>
        <v>126.68391413305442</v>
      </c>
      <c r="CP904" s="186">
        <v>0.97916666666666663</v>
      </c>
      <c r="CQ904" s="118">
        <f>+CQ900*CP904+CO901*CP903+CO902*CP902+CO903*CP901+CO904</f>
        <v>2868.879386516172</v>
      </c>
      <c r="CR904" s="119">
        <f t="shared" si="2677"/>
        <v>3.953123151478638E-2</v>
      </c>
      <c r="CS904" s="119"/>
      <c r="CT904" s="177">
        <f t="shared" si="2678"/>
        <v>5.6155709022675908E-3</v>
      </c>
      <c r="CU904" s="177">
        <f t="shared" ref="CU904:CU923" si="2686">+(CT904+CT903+CT902)/3</f>
        <v>5.3051290830630031E-3</v>
      </c>
      <c r="CV904" s="119">
        <f>VLOOKUP($H904,RoR!$E:$F,2,FALSE)</f>
        <v>6.4916666666666664E-2</v>
      </c>
      <c r="CW904" s="177">
        <v>1.5246423291824351E-2</v>
      </c>
      <c r="CX904" s="177">
        <f t="shared" si="2684"/>
        <v>4.9670243374842313E-2</v>
      </c>
      <c r="CY904" s="177">
        <f t="shared" ref="CY904:CY923" si="2687">+$CX$35-CU904</f>
        <v>2.5596812525470622E-2</v>
      </c>
      <c r="CZ904" s="177">
        <f t="shared" ref="CZ904:CZ923" si="2688">+((DM902/DM901-1)+(DM903/DM902-1)+(DM904/DM903-1))/3</f>
        <v>2.5243621214759093E-2</v>
      </c>
      <c r="DA904" s="187">
        <f t="shared" si="2679"/>
        <v>0.86875000000000002</v>
      </c>
      <c r="DB904" s="188">
        <f t="shared" si="2680"/>
        <v>0.78996741384417901</v>
      </c>
      <c r="DC904" s="188">
        <f t="shared" si="2681"/>
        <v>0.58989088575096271</v>
      </c>
      <c r="DD904" s="188">
        <f t="shared" si="2682"/>
        <v>0.91920675783645744</v>
      </c>
      <c r="DE904" s="188">
        <f t="shared" si="2683"/>
        <v>0.42834536472275586</v>
      </c>
      <c r="DF904" s="189">
        <f>INDEX('State Tax Lookup'!$D$7:$Z$91,MATCH(Calculation!$C904,'State Tax Lookup'!$B$7:$B$91,0),MATCH($H904,'State Tax Lookup'!$D$6:$Z$6,0))</f>
        <v>0.35</v>
      </c>
      <c r="DG904" s="189">
        <v>0.375</v>
      </c>
      <c r="DH904" s="190">
        <f t="shared" si="2685"/>
        <v>12.328387990934042</v>
      </c>
      <c r="DI904" s="190"/>
      <c r="DJ904" s="177"/>
      <c r="DK904" s="189">
        <f>VLOOKUP($H904,RoR!$E:$F,2,FALSE)</f>
        <v>6.4916666666666664E-2</v>
      </c>
      <c r="DL904" s="191">
        <f>HLOOKUP($H904,'GDP-PI'!$D$8:$CQ$11,3,FALSE)</f>
        <v>1.5246423291824351E-2</v>
      </c>
      <c r="DM904" s="189">
        <f>VLOOKUP(H904,'HW Dx Data'!$E:$F,2,FALSE)</f>
        <v>361.34816573413599</v>
      </c>
      <c r="DN904" s="183">
        <f>VLOOKUP(H904,'ECI - Input Price'!$G$17:$H$37,2,FALSE)</f>
        <v>89.275000000000006</v>
      </c>
      <c r="DO904" s="177">
        <f>LN(DN904/DN903)</f>
        <v>3.5051315810864674E-2</v>
      </c>
      <c r="DP904" s="183">
        <f>HLOOKUP(H904,'GDP-PI'!$8:$9,2,FALSE)</f>
        <v>81.039000000000001</v>
      </c>
      <c r="DQ904" s="177">
        <f>LN(DP904/DP903)</f>
        <v>1.513136459537477E-2</v>
      </c>
    </row>
    <row r="905" spans="1:121" s="167" customFormat="1" ht="21" x14ac:dyDescent="0.35">
      <c r="A905" s="167" t="s">
        <v>94</v>
      </c>
      <c r="B905" s="167" t="s">
        <v>94</v>
      </c>
      <c r="C905" s="167">
        <v>4057139</v>
      </c>
      <c r="D905" s="168" t="s">
        <v>148</v>
      </c>
      <c r="E905" s="168"/>
      <c r="F905" s="198"/>
      <c r="G905" s="167" t="s">
        <v>9</v>
      </c>
      <c r="H905" s="169">
        <v>2003</v>
      </c>
      <c r="I905" s="170"/>
      <c r="J905" s="166"/>
      <c r="K905" s="166"/>
      <c r="L905" s="166"/>
      <c r="M905" s="172"/>
      <c r="N905" s="196"/>
      <c r="O905" s="172"/>
      <c r="P905" s="166"/>
      <c r="Q905" s="166"/>
      <c r="R905" s="166"/>
      <c r="S905" s="166"/>
      <c r="T905" s="166"/>
      <c r="U905" s="166"/>
      <c r="V905" s="166">
        <f t="shared" si="2673"/>
        <v>35920.82306260083</v>
      </c>
      <c r="W905" s="170"/>
      <c r="X905" s="174">
        <v>2975.401675187516</v>
      </c>
      <c r="Y905" s="175">
        <v>3.6457550890170463E-2</v>
      </c>
      <c r="Z905" s="175"/>
      <c r="AA905" s="175"/>
      <c r="AB905" s="175"/>
      <c r="AC905" s="170">
        <f t="shared" si="2659"/>
        <v>35920.82306260083</v>
      </c>
      <c r="AD905" s="175"/>
      <c r="AE905" s="170"/>
      <c r="AF905" s="170"/>
      <c r="AG905" s="174"/>
      <c r="AH905" s="175"/>
      <c r="AI905" s="175"/>
      <c r="AJ905" s="174"/>
      <c r="AK905" s="174"/>
      <c r="AL905" s="120"/>
      <c r="AM905" s="120"/>
      <c r="AN905" s="120"/>
      <c r="AO905" s="120"/>
      <c r="AP905" s="120"/>
      <c r="AQ905" s="175"/>
      <c r="AR905" s="120"/>
      <c r="AS905" s="120"/>
      <c r="AT905" s="120"/>
      <c r="AU905" s="120"/>
      <c r="AV905" s="120"/>
      <c r="AW905" s="120"/>
      <c r="AX905" s="120"/>
      <c r="AY905" s="120"/>
      <c r="AZ905" s="118">
        <f>IFERROR(INDEX('Total Customers'!$F$7:$AB$91,MATCH($C905,'Total Customers'!$D$7:$D$91,0),MATCH($G905,'Total Customers'!$F$5:$AB$5,0)),"NA")</f>
        <v>378511</v>
      </c>
      <c r="BA905" s="119">
        <f t="shared" si="2674"/>
        <v>3.0401113923363914E-2</v>
      </c>
      <c r="BB905" s="119"/>
      <c r="BC905" s="121"/>
      <c r="BD905" s="119"/>
      <c r="BE905" s="119"/>
      <c r="BF905" s="119"/>
      <c r="BG905" s="173"/>
      <c r="BH905" s="173"/>
      <c r="BI905" s="173"/>
      <c r="BJ905" s="173"/>
      <c r="BK905" s="173"/>
      <c r="BL905" s="173"/>
      <c r="BM905" s="173"/>
      <c r="BN905" s="173"/>
      <c r="BO905" s="173"/>
      <c r="BP905" s="173"/>
      <c r="BQ905" s="118"/>
      <c r="BR905" s="118"/>
      <c r="BS905" s="118">
        <f>INDEX('Dist. Plant Gas Additions'!$F$7:$AE$91,MATCH($C905,'Dist. Plant Gas Additions'!$D$7:$D$91,0),MATCH(Calculation!$G905,'Dist. Plant Gas Additions'!$F$5:$AE$5,0))</f>
        <v>38931</v>
      </c>
      <c r="BT905" s="118">
        <f>INDEX('Gen. Plant Additions'!$F$7:$AE$91,MATCH($C905,'Gen. Plant Additions'!$D$7:$D$91,0),MATCH(Calculation!$G905,'Gen. Plant Additions'!$F$5:$AE$5,0))</f>
        <v>6378</v>
      </c>
      <c r="BU905" s="118"/>
      <c r="BV905" s="118"/>
      <c r="BW905" s="118">
        <f>INDEX('Dist Plant Depreciation'!$E$7:$AD$94,MATCH($C905,'Dist Plant Depreciation'!$D$7:$D$94,0),MATCH(Calculation!$G905,'Dist Plant Depreciation'!$E$5:$AD$5,0))</f>
        <v>234508</v>
      </c>
      <c r="BX905" s="118">
        <f>INDEX('Gen. Plant Depreciation'!$E$7:$AD$94,MATCH($C905,'Gen. Plant Depreciation'!$D$7:$D$94,0),MATCH(Calculation!$G905,'Gen. Plant Depreciation'!$E$5:$AD$5,0))</f>
        <v>43843</v>
      </c>
      <c r="BY905" s="118"/>
      <c r="BZ905" s="118"/>
      <c r="CA905" s="118"/>
      <c r="CB905" s="118"/>
      <c r="CC905" s="118"/>
      <c r="CD905" s="183"/>
      <c r="CE905" s="118">
        <f>INDEX('Gross Dx Plant'!$E$7:$AD$91,MATCH($C905,'Gross Dx Plant'!$D$7:$D$91,0),MATCH(Calculation!$G905,'Gross Dx Plant'!$E$5:$AD$5,0))</f>
        <v>706523</v>
      </c>
      <c r="CF905" s="118">
        <f>INDEX('Gross Gen Plant'!$E$7:$AD$91,MATCH($C905,'Gross Gen Plant'!$D$7:$D$91,0),MATCH(Calculation!$G905,'Gross Gen Plant'!$E$5:$AD$5,0))</f>
        <v>86596</v>
      </c>
      <c r="CG905" s="118">
        <f t="shared" si="2598"/>
        <v>514768</v>
      </c>
      <c r="CH905" s="118"/>
      <c r="CI905" s="121">
        <v>2003</v>
      </c>
      <c r="CJ905" s="118"/>
      <c r="CK905" s="118"/>
      <c r="CL905" s="118"/>
      <c r="CM905" s="183"/>
      <c r="CN905" s="118">
        <f t="shared" si="2675"/>
        <v>45309</v>
      </c>
      <c r="CO905" s="118">
        <f t="shared" si="2676"/>
        <v>122.71112997924267</v>
      </c>
      <c r="CP905" s="186">
        <v>0.97354497354497349</v>
      </c>
      <c r="CQ905" s="118">
        <f>+CQ900*CP905+CO901*CP904+CO902*CP903+CO903*CP902+CO904*CP901+CO905</f>
        <v>2975.401675187516</v>
      </c>
      <c r="CR905" s="119">
        <f t="shared" si="2677"/>
        <v>3.6457550890170463E-2</v>
      </c>
      <c r="CS905" s="119"/>
      <c r="CT905" s="177">
        <f t="shared" si="2678"/>
        <v>5.642914576327842E-3</v>
      </c>
      <c r="CU905" s="177">
        <f t="shared" si="2686"/>
        <v>5.4722088207261209E-3</v>
      </c>
      <c r="CV905" s="119">
        <f>VLOOKUP($H905,RoR!$E:$F,2,FALSE)</f>
        <v>5.6666666666666671E-2</v>
      </c>
      <c r="CW905" s="177">
        <v>1.8855119140166909E-2</v>
      </c>
      <c r="CX905" s="177">
        <f t="shared" si="2684"/>
        <v>3.7811547526499761E-2</v>
      </c>
      <c r="CY905" s="177">
        <f t="shared" si="2687"/>
        <v>2.5429732787807503E-2</v>
      </c>
      <c r="CZ905" s="177">
        <f t="shared" si="2688"/>
        <v>2.1375012817671957E-2</v>
      </c>
      <c r="DA905" s="187">
        <f t="shared" si="2679"/>
        <v>0.86875000000000002</v>
      </c>
      <c r="DB905" s="188">
        <f t="shared" si="2680"/>
        <v>0.90497737556561086</v>
      </c>
      <c r="DC905" s="188">
        <f t="shared" si="2681"/>
        <v>0.5338235294117647</v>
      </c>
      <c r="DD905" s="188">
        <f t="shared" si="2682"/>
        <v>0.88972433127405692</v>
      </c>
      <c r="DE905" s="188">
        <f t="shared" si="2683"/>
        <v>0.42982423775949252</v>
      </c>
      <c r="DF905" s="189">
        <f>INDEX('State Tax Lookup'!$D$7:$Z$91,MATCH(Calculation!$C905,'State Tax Lookup'!$B$7:$B$91,0),MATCH($H905,'State Tax Lookup'!$D$6:$Z$6,0))</f>
        <v>0.35</v>
      </c>
      <c r="DG905" s="189">
        <v>0.375</v>
      </c>
      <c r="DH905" s="190">
        <f t="shared" si="2685"/>
        <v>12.520855087679839</v>
      </c>
      <c r="DI905" s="190"/>
      <c r="DJ905" s="177"/>
      <c r="DK905" s="189">
        <f>VLOOKUP($H905,RoR!$E:$F,2,FALSE)</f>
        <v>5.6666666666666671E-2</v>
      </c>
      <c r="DL905" s="191">
        <f>HLOOKUP($H905,'GDP-PI'!$D$8:$CQ$11,3,FALSE)</f>
        <v>1.8855119140166909E-2</v>
      </c>
      <c r="DM905" s="189">
        <f>VLOOKUP(H905,'HW Dx Data'!$E:$F,2,FALSE)</f>
        <v>369.23301095560191</v>
      </c>
      <c r="DN905" s="183">
        <f>VLOOKUP(H905,'ECI - Input Price'!$G$17:$H$37,2,FALSE)</f>
        <v>92.625</v>
      </c>
      <c r="DO905" s="177">
        <f t="shared" ref="DO905" si="2689">LN(DN905/DN904)</f>
        <v>3.6837590135738785E-2</v>
      </c>
      <c r="DP905" s="183">
        <f>HLOOKUP(H905,'GDP-PI'!$8:$9,2,FALSE)</f>
        <v>82.566999999999993</v>
      </c>
      <c r="DQ905" s="177">
        <f t="shared" ref="DQ905" si="2690">LN(DP905/DP904)</f>
        <v>1.8679564681853753E-2</v>
      </c>
    </row>
    <row r="906" spans="1:121" s="167" customFormat="1" ht="21" x14ac:dyDescent="0.35">
      <c r="A906" s="167" t="s">
        <v>94</v>
      </c>
      <c r="B906" s="167" t="s">
        <v>94</v>
      </c>
      <c r="C906" s="167">
        <v>4057139</v>
      </c>
      <c r="D906" s="168" t="s">
        <v>148</v>
      </c>
      <c r="E906" s="168"/>
      <c r="F906" s="198"/>
      <c r="G906" s="167" t="s">
        <v>10</v>
      </c>
      <c r="H906" s="169">
        <v>2004</v>
      </c>
      <c r="I906" s="170"/>
      <c r="J906" s="166">
        <f>IFERROR(INDEX('Labor Expenditures'!$F$7:$X$91,MATCH($C906,'Labor Expenditures'!$D$7:$D$91,0),MATCH($G906,'Labor Expenditures'!$F$5:$X$5,0)),"NA")</f>
        <v>26675.655261990243</v>
      </c>
      <c r="K906" s="166">
        <f t="shared" ref="K906:K923" si="2691">+J906/DN906</f>
        <v>277.36579424996353</v>
      </c>
      <c r="L906" s="172"/>
      <c r="M906" s="172"/>
      <c r="N906" s="196"/>
      <c r="O906" s="172"/>
      <c r="P906" s="166">
        <f>IFERROR(INDEX('Non-Labor Expenditures'!$F$7:$AB$91,MATCH($C906,'Non-Labor Expenditures'!$D$7:$D$91,0),MATCH($G906,'Non-Labor Expenditures'!$F$5:$AB$5,0)),"NA")</f>
        <v>38631.331144505391</v>
      </c>
      <c r="Q906" s="166">
        <f t="shared" ref="Q906:Q923" si="2692">+P906/DP906</f>
        <v>455.67636821469472</v>
      </c>
      <c r="R906" s="166"/>
      <c r="S906" s="166"/>
      <c r="T906" s="166"/>
      <c r="U906" s="166"/>
      <c r="V906" s="166">
        <f t="shared" si="2673"/>
        <v>41369.810423286071</v>
      </c>
      <c r="W906" s="170"/>
      <c r="X906" s="174">
        <v>3068.1377918375274</v>
      </c>
      <c r="Y906" s="175">
        <v>3.069174833679849E-2</v>
      </c>
      <c r="Z906" s="175"/>
      <c r="AA906" s="175"/>
      <c r="AB906" s="175"/>
      <c r="AC906" s="170">
        <f t="shared" si="2659"/>
        <v>106676.7968297817</v>
      </c>
      <c r="AD906" s="175"/>
      <c r="AE906" s="170"/>
      <c r="AF906" s="170"/>
      <c r="AG906" s="174"/>
      <c r="AH906" s="175"/>
      <c r="AI906" s="175"/>
      <c r="AJ906" s="174"/>
      <c r="AK906" s="174"/>
      <c r="AL906" s="120">
        <f t="shared" ref="AL906:AL923" si="2693">+J906/AC906</f>
        <v>0.2500605197637788</v>
      </c>
      <c r="AM906" s="120">
        <f t="shared" ref="AM906:AM923" si="2694">+P906/AC906</f>
        <v>0.36213433748059837</v>
      </c>
      <c r="AN906" s="120">
        <f t="shared" ref="AN906:AN923" si="2695">+V906/AC906</f>
        <v>0.38780514275562289</v>
      </c>
      <c r="AO906" s="120"/>
      <c r="AP906" s="120"/>
      <c r="AQ906" s="175"/>
      <c r="AR906" s="120"/>
      <c r="AS906" s="120"/>
      <c r="AT906" s="120"/>
      <c r="AU906" s="120"/>
      <c r="AV906" s="120"/>
      <c r="AW906" s="120"/>
      <c r="AX906" s="120"/>
      <c r="AY906" s="120"/>
      <c r="AZ906" s="118">
        <f>IFERROR(INDEX('Total Customers'!$F$7:$AB$91,MATCH($C906,'Total Customers'!$D$7:$D$91,0),MATCH($G906,'Total Customers'!$F$5:$AB$5,0)),"NA")</f>
        <v>390824</v>
      </c>
      <c r="BA906" s="119">
        <f t="shared" si="2674"/>
        <v>3.2012196227768394E-2</v>
      </c>
      <c r="BB906" s="119"/>
      <c r="BC906" s="121"/>
      <c r="BD906" s="119"/>
      <c r="BE906" s="119"/>
      <c r="BF906" s="119"/>
      <c r="BG906" s="173"/>
      <c r="BH906" s="173"/>
      <c r="BI906" s="173"/>
      <c r="BJ906" s="173"/>
      <c r="BK906" s="173"/>
      <c r="BL906" s="173"/>
      <c r="BM906" s="173"/>
      <c r="BN906" s="173"/>
      <c r="BO906" s="173"/>
      <c r="BP906" s="173"/>
      <c r="BQ906" s="118"/>
      <c r="BR906" s="118"/>
      <c r="BS906" s="118">
        <f>INDEX('Dist. Plant Gas Additions'!$F$7:$AE$91,MATCH($C906,'Dist. Plant Gas Additions'!$D$7:$D$91,0),MATCH(Calculation!$G906,'Dist. Plant Gas Additions'!$F$5:$AE$5,0))</f>
        <v>41557</v>
      </c>
      <c r="BT906" s="118">
        <f>INDEX('Gen. Plant Additions'!$F$7:$AE$91,MATCH($C906,'Gen. Plant Additions'!$D$7:$D$91,0),MATCH(Calculation!$G906,'Gen. Plant Additions'!$F$5:$AE$5,0))</f>
        <v>4103</v>
      </c>
      <c r="BU906" s="118"/>
      <c r="BV906" s="118"/>
      <c r="BW906" s="118">
        <f>INDEX('Dist Plant Depreciation'!$E$7:$AD$94,MATCH($C906,'Dist Plant Depreciation'!$D$7:$D$94,0),MATCH(Calculation!$G906,'Dist Plant Depreciation'!$E$5:$AD$5,0))</f>
        <v>253508</v>
      </c>
      <c r="BX906" s="118">
        <f>INDEX('Gen. Plant Depreciation'!$E$7:$AD$94,MATCH($C906,'Gen. Plant Depreciation'!$D$7:$D$94,0),MATCH(Calculation!$G906,'Gen. Plant Depreciation'!$E$5:$AD$5,0))</f>
        <v>33531</v>
      </c>
      <c r="BY906" s="118"/>
      <c r="BZ906" s="118"/>
      <c r="CA906" s="118"/>
      <c r="CB906" s="118"/>
      <c r="CC906" s="118"/>
      <c r="CD906" s="183"/>
      <c r="CE906" s="118">
        <f>INDEX('Gross Dx Plant'!$E$7:$AD$91,MATCH($C906,'Gross Dx Plant'!$D$7:$D$91,0),MATCH(Calculation!$G906,'Gross Dx Plant'!$E$5:$AD$5,0))</f>
        <v>743735</v>
      </c>
      <c r="CF906" s="118">
        <f>INDEX('Gross Gen Plant'!$E$7:$AD$91,MATCH($C906,'Gross Gen Plant'!$D$7:$D$91,0),MATCH(Calculation!$G906,'Gross Gen Plant'!$E$5:$AD$5,0))</f>
        <v>68249</v>
      </c>
      <c r="CG906" s="118">
        <f t="shared" si="2598"/>
        <v>524945</v>
      </c>
      <c r="CH906" s="118"/>
      <c r="CI906" s="121">
        <v>2004</v>
      </c>
      <c r="CJ906" s="118"/>
      <c r="CK906" s="118"/>
      <c r="CL906" s="118"/>
      <c r="CM906" s="183"/>
      <c r="CN906" s="118">
        <f t="shared" si="2675"/>
        <v>45660</v>
      </c>
      <c r="CO906" s="118">
        <f t="shared" si="2676"/>
        <v>110.05401215490832</v>
      </c>
      <c r="CP906" s="186">
        <v>0.967741935483871</v>
      </c>
      <c r="CQ906" s="118">
        <f>+CQ900*CP906+CO901*CP905+CO902*CP904+CO903*CP903+CO904*CP902+CO905*CP901+CO906</f>
        <v>3068.1377918375274</v>
      </c>
      <c r="CR906" s="119">
        <f t="shared" si="2677"/>
        <v>3.069174833679849E-2</v>
      </c>
      <c r="CS906" s="119"/>
      <c r="CT906" s="177">
        <f t="shared" si="2678"/>
        <v>5.820355500003393E-3</v>
      </c>
      <c r="CU906" s="177">
        <f t="shared" si="2686"/>
        <v>5.6929469928662753E-3</v>
      </c>
      <c r="CV906" s="119">
        <f>VLOOKUP($H906,RoR!$E:$F,2,FALSE)</f>
        <v>5.6283333333333331E-2</v>
      </c>
      <c r="CW906" s="177">
        <v>2.6778252812867276E-2</v>
      </c>
      <c r="CX906" s="177">
        <f t="shared" si="2684"/>
        <v>2.9505080520466055E-2</v>
      </c>
      <c r="CY906" s="177">
        <f t="shared" si="2687"/>
        <v>2.5208994615667349E-2</v>
      </c>
      <c r="CZ906" s="177">
        <f t="shared" si="2688"/>
        <v>5.5940039414565046E-2</v>
      </c>
      <c r="DA906" s="187">
        <f t="shared" si="2679"/>
        <v>0.86875000000000002</v>
      </c>
      <c r="DB906" s="188">
        <f t="shared" si="2680"/>
        <v>0.91114097628755619</v>
      </c>
      <c r="DC906" s="188">
        <f t="shared" si="2681"/>
        <v>0.53081877405981637</v>
      </c>
      <c r="DD906" s="188">
        <f t="shared" si="2682"/>
        <v>0.88811215519385678</v>
      </c>
      <c r="DE906" s="188">
        <f t="shared" si="2683"/>
        <v>0.42953609753547711</v>
      </c>
      <c r="DF906" s="189">
        <f>INDEX('State Tax Lookup'!$D$7:$Z$91,MATCH(Calculation!$C906,'State Tax Lookup'!$B$7:$B$91,0),MATCH($H906,'State Tax Lookup'!$D$6:$Z$6,0))</f>
        <v>0.35</v>
      </c>
      <c r="DG906" s="189">
        <v>0.375</v>
      </c>
      <c r="DH906" s="190">
        <f t="shared" si="2685"/>
        <v>13.903941363035919</v>
      </c>
      <c r="DI906" s="190"/>
      <c r="DJ906" s="177"/>
      <c r="DK906" s="189">
        <f>VLOOKUP($H906,RoR!$E:$F,2,FALSE)</f>
        <v>5.6283333333333331E-2</v>
      </c>
      <c r="DL906" s="191">
        <f>HLOOKUP($H906,'GDP-PI'!$D$8:$CQ$11,3,FALSE)</f>
        <v>2.6778252812867276E-2</v>
      </c>
      <c r="DM906" s="189">
        <f>VLOOKUP(H906,'HW Dx Data'!$E:$F,2,FALSE)</f>
        <v>414.88719135228365</v>
      </c>
      <c r="DN906" s="183">
        <f>VLOOKUP(H906,'ECI - Input Price'!$G$17:$H$37,2,FALSE)</f>
        <v>96.174999999999997</v>
      </c>
      <c r="DO906" s="177">
        <f t="shared" ref="DO906" si="2696">LN(DN906/DN905)</f>
        <v>3.7610365022107912E-2</v>
      </c>
      <c r="DP906" s="183">
        <f>HLOOKUP(H906,'GDP-PI'!$8:$9,2,FALSE)</f>
        <v>84.778000000000006</v>
      </c>
      <c r="DQ906" s="177">
        <f t="shared" ref="DQ906" si="2697">LN(DP906/DP905)</f>
        <v>2.6425990216022755E-2</v>
      </c>
    </row>
    <row r="907" spans="1:121" s="167" customFormat="1" ht="21" x14ac:dyDescent="0.35">
      <c r="A907" s="167" t="s">
        <v>94</v>
      </c>
      <c r="B907" s="167" t="s">
        <v>94</v>
      </c>
      <c r="C907" s="167">
        <v>4057139</v>
      </c>
      <c r="D907" s="168" t="s">
        <v>148</v>
      </c>
      <c r="E907" s="168"/>
      <c r="F907" s="198"/>
      <c r="G907" s="167" t="s">
        <v>11</v>
      </c>
      <c r="H907" s="169">
        <v>2005</v>
      </c>
      <c r="I907" s="170"/>
      <c r="J907" s="166">
        <f>IFERROR(INDEX('Labor Expenditures'!$F$7:$X$91,MATCH($C907,'Labor Expenditures'!$D$7:$D$91,0),MATCH($G907,'Labor Expenditures'!$F$5:$X$5,0)),"NA")</f>
        <v>27097.323287755265</v>
      </c>
      <c r="K907" s="166">
        <f t="shared" si="2691"/>
        <v>273.29625101114738</v>
      </c>
      <c r="L907" s="172">
        <f t="shared" ref="L907:L923" si="2698">LN(K907/K906)</f>
        <v>-1.4780816523873587E-2</v>
      </c>
      <c r="M907" s="172"/>
      <c r="N907" s="196"/>
      <c r="O907" s="172"/>
      <c r="P907" s="166">
        <f>IFERROR(INDEX('Non-Labor Expenditures'!$F$7:$AB$91,MATCH($C907,'Non-Labor Expenditures'!$D$7:$D$91,0),MATCH($G907,'Non-Labor Expenditures'!$F$5:$AB$5,0)),"NA")</f>
        <v>39241.9852025367</v>
      </c>
      <c r="Q907" s="166">
        <f t="shared" si="2692"/>
        <v>448.95700804897433</v>
      </c>
      <c r="R907" s="172">
        <f>LN(Q907/Q906)</f>
        <v>-1.4855706007160888E-2</v>
      </c>
      <c r="S907" s="172"/>
      <c r="T907" s="172"/>
      <c r="U907" s="172"/>
      <c r="V907" s="166">
        <f t="shared" si="2673"/>
        <v>47875.353735015553</v>
      </c>
      <c r="W907" s="170"/>
      <c r="X907" s="174">
        <v>3172.1489676857941</v>
      </c>
      <c r="Y907" s="175">
        <v>3.333847091062779E-2</v>
      </c>
      <c r="Z907" s="175"/>
      <c r="AA907" s="175"/>
      <c r="AB907" s="175"/>
      <c r="AC907" s="170">
        <f t="shared" si="2659"/>
        <v>114214.66222530752</v>
      </c>
      <c r="AD907" s="175">
        <f>LN(AC907/AC906)</f>
        <v>6.8276006849560769E-2</v>
      </c>
      <c r="AE907" s="170"/>
      <c r="AF907" s="170"/>
      <c r="AG907" s="121"/>
      <c r="AH907" s="119"/>
      <c r="AI907" s="119"/>
      <c r="AJ907" s="121"/>
      <c r="AK907" s="121"/>
      <c r="AL907" s="120">
        <f t="shared" si="2693"/>
        <v>0.23724907783119181</v>
      </c>
      <c r="AM907" s="120">
        <f t="shared" si="2694"/>
        <v>0.34358097671492754</v>
      </c>
      <c r="AN907" s="120">
        <f t="shared" si="2695"/>
        <v>0.41916994545388064</v>
      </c>
      <c r="AO907" s="120">
        <f t="shared" ref="AO907:AO923" si="2699">+(((AL907+AL906)/2)*L907+((AM906+AM907)/2)*R907+((AN906+AN907)/2)*Y907)</f>
        <v>4.6082912595299952E-3</v>
      </c>
      <c r="AP907" s="173">
        <v>100</v>
      </c>
      <c r="AQ907" s="175"/>
      <c r="AR907" s="120"/>
      <c r="AS907" s="120"/>
      <c r="AT907" s="120"/>
      <c r="AU907" s="120"/>
      <c r="AV907" s="120"/>
      <c r="AW907" s="120"/>
      <c r="AX907" s="120"/>
      <c r="AY907" s="120"/>
      <c r="AZ907" s="118">
        <f>IFERROR(INDEX('Total Customers'!$F$7:$AB$91,MATCH($C907,'Total Customers'!$D$7:$D$91,0),MATCH($G907,'Total Customers'!$F$5:$AB$5,0)),"NA")</f>
        <v>407973</v>
      </c>
      <c r="BA907" s="119">
        <f t="shared" si="2674"/>
        <v>4.2943664973650375E-2</v>
      </c>
      <c r="BB907" s="119"/>
      <c r="BC907" s="121"/>
      <c r="BD907" s="119"/>
      <c r="BE907" s="119"/>
      <c r="BF907" s="119"/>
      <c r="BG907" s="173"/>
      <c r="BH907" s="173"/>
      <c r="BI907" s="173"/>
      <c r="BJ907" s="173"/>
      <c r="BK907" s="173"/>
      <c r="BL907" s="173"/>
      <c r="BM907" s="173"/>
      <c r="BN907" s="173"/>
      <c r="BO907" s="173"/>
      <c r="BP907" s="173"/>
      <c r="BQ907" s="118"/>
      <c r="BR907" s="118"/>
      <c r="BS907" s="118">
        <f>INDEX('Dist. Plant Gas Additions'!$F$7:$AE$91,MATCH($C907,'Dist. Plant Gas Additions'!$D$7:$D$91,0),MATCH(Calculation!$G907,'Dist. Plant Gas Additions'!$F$5:$AE$5,0))</f>
        <v>51666</v>
      </c>
      <c r="BT907" s="118">
        <f>INDEX('Gen. Plant Additions'!$F$7:$AE$91,MATCH($C907,'Gen. Plant Additions'!$D$7:$D$91,0),MATCH(Calculation!$G907,'Gen. Plant Additions'!$F$5:$AE$5,0))</f>
        <v>5783</v>
      </c>
      <c r="BU907" s="118"/>
      <c r="BV907" s="118"/>
      <c r="BW907" s="118">
        <f>INDEX('Dist Plant Depreciation'!$E$7:$AD$94,MATCH($C907,'Dist Plant Depreciation'!$D$7:$D$94,0),MATCH(Calculation!$G907,'Dist Plant Depreciation'!$E$5:$AD$5,0))</f>
        <v>138825</v>
      </c>
      <c r="BX907" s="118">
        <f>INDEX('Gen. Plant Depreciation'!$E$7:$AD$94,MATCH($C907,'Gen. Plant Depreciation'!$D$7:$D$94,0),MATCH(Calculation!$G907,'Gen. Plant Depreciation'!$E$5:$AD$5,0))</f>
        <v>34896</v>
      </c>
      <c r="BY907" s="118"/>
      <c r="BZ907" s="118"/>
      <c r="CA907" s="118"/>
      <c r="CB907" s="118"/>
      <c r="CC907" s="118"/>
      <c r="CD907" s="183"/>
      <c r="CE907" s="118">
        <f>INDEX('Gross Dx Plant'!$E$7:$AD$91,MATCH($C907,'Gross Dx Plant'!$D$7:$D$91,0),MATCH(Calculation!$G907,'Gross Dx Plant'!$E$5:$AD$5,0))</f>
        <v>792180</v>
      </c>
      <c r="CF907" s="118">
        <f>INDEX('Gross Gen Plant'!$E$7:$AD$91,MATCH($C907,'Gross Gen Plant'!$D$7:$D$91,0),MATCH(Calculation!$G907,'Gross Gen Plant'!$E$5:$AD$5,0))</f>
        <v>67977</v>
      </c>
      <c r="CG907" s="118">
        <f t="shared" si="2598"/>
        <v>686436</v>
      </c>
      <c r="CH907" s="118"/>
      <c r="CI907" s="121">
        <v>2005</v>
      </c>
      <c r="CJ907" s="118"/>
      <c r="CK907" s="118"/>
      <c r="CL907" s="118"/>
      <c r="CM907" s="183"/>
      <c r="CN907" s="118">
        <f t="shared" si="2675"/>
        <v>57449</v>
      </c>
      <c r="CO907" s="118">
        <f t="shared" si="2676"/>
        <v>122.43898256789004</v>
      </c>
      <c r="CP907" s="186">
        <v>0.96174863387978138</v>
      </c>
      <c r="CQ907" s="118">
        <f>+CQ900*CP907+CO901*CP906+CO902*CP905+CO903*CP904+CO904*CP903+CO905*CP902+CO906*CP901+CO907</f>
        <v>3172.1489676857941</v>
      </c>
      <c r="CR907" s="119">
        <f t="shared" si="2677"/>
        <v>3.333847091062779E-2</v>
      </c>
      <c r="CS907" s="119"/>
      <c r="CT907" s="177">
        <f t="shared" si="2678"/>
        <v>6.00618615260653E-3</v>
      </c>
      <c r="CU907" s="177">
        <f t="shared" si="2686"/>
        <v>5.8231520763125889E-3</v>
      </c>
      <c r="CV907" s="119">
        <f>VLOOKUP($H907,RoR!$E:$F,2,FALSE)</f>
        <v>5.2350000000000001E-2</v>
      </c>
      <c r="CW907" s="177">
        <v>3.1010403642454332E-2</v>
      </c>
      <c r="CX907" s="177">
        <f t="shared" si="2684"/>
        <v>2.1339596357545669E-2</v>
      </c>
      <c r="CY907" s="177">
        <f t="shared" si="2687"/>
        <v>2.5078789532221035E-2</v>
      </c>
      <c r="CZ907" s="177">
        <f t="shared" si="2688"/>
        <v>9.2129610649277341E-2</v>
      </c>
      <c r="DA907" s="187">
        <f t="shared" si="2679"/>
        <v>0.86875000000000002</v>
      </c>
      <c r="DB907" s="188">
        <f t="shared" si="2680"/>
        <v>0.97959983346802826</v>
      </c>
      <c r="DC907" s="188">
        <f t="shared" si="2681"/>
        <v>0.49744508118433622</v>
      </c>
      <c r="DD907" s="188">
        <f t="shared" si="2682"/>
        <v>0.87010519444335932</v>
      </c>
      <c r="DE907" s="188">
        <f t="shared" si="2683"/>
        <v>0.42399975420741998</v>
      </c>
      <c r="DF907" s="189">
        <f>INDEX('State Tax Lookup'!$D$7:$Z$91,MATCH(Calculation!$C907,'State Tax Lookup'!$B$7:$B$91,0),MATCH($H907,'State Tax Lookup'!$D$6:$Z$6,0))</f>
        <v>0.35</v>
      </c>
      <c r="DG907" s="189">
        <v>0.375</v>
      </c>
      <c r="DH907" s="190">
        <f t="shared" si="2685"/>
        <v>15.60404290263075</v>
      </c>
      <c r="DI907" s="190"/>
      <c r="DJ907" s="177"/>
      <c r="DK907" s="189">
        <f>VLOOKUP($H907,RoR!$E:$F,2,FALSE)</f>
        <v>5.2350000000000001E-2</v>
      </c>
      <c r="DL907" s="191">
        <f>HLOOKUP($H907,'GDP-PI'!$D$8:$CQ$11,3,FALSE)</f>
        <v>3.1010403642454332E-2</v>
      </c>
      <c r="DM907" s="189">
        <f>VLOOKUP(H907,'HW Dx Data'!$E:$F,2,FALSE)</f>
        <v>469.20514034936258</v>
      </c>
      <c r="DN907" s="183">
        <f>VLOOKUP(H907,'ECI - Input Price'!$G$17:$H$37,2,FALSE)</f>
        <v>99.15</v>
      </c>
      <c r="DO907" s="177">
        <f t="shared" ref="DO907" si="2700">LN(DN907/DN906)</f>
        <v>3.046440632744625E-2</v>
      </c>
      <c r="DP907" s="183">
        <f>HLOOKUP(H907,'GDP-PI'!$8:$9,2,FALSE)</f>
        <v>87.406999999999996</v>
      </c>
      <c r="DQ907" s="177">
        <f t="shared" ref="DQ907" si="2701">LN(DP907/DP906)</f>
        <v>3.0539295810733648E-2</v>
      </c>
    </row>
    <row r="908" spans="1:121" s="167" customFormat="1" ht="21" x14ac:dyDescent="0.35">
      <c r="A908" s="167" t="s">
        <v>94</v>
      </c>
      <c r="B908" s="167" t="s">
        <v>94</v>
      </c>
      <c r="C908" s="167">
        <v>4057139</v>
      </c>
      <c r="D908" s="168" t="s">
        <v>148</v>
      </c>
      <c r="E908" s="168"/>
      <c r="F908" s="198"/>
      <c r="G908" s="167" t="s">
        <v>12</v>
      </c>
      <c r="H908" s="169">
        <v>2006</v>
      </c>
      <c r="I908" s="170"/>
      <c r="J908" s="166">
        <f>IFERROR(INDEX('Labor Expenditures'!$F$7:$X$91,MATCH($C908,'Labor Expenditures'!$D$7:$D$91,0),MATCH($G908,'Labor Expenditures'!$F$5:$X$5,0)),"NA")</f>
        <v>26900.303399489418</v>
      </c>
      <c r="K908" s="166">
        <f t="shared" si="2691"/>
        <v>263.59924938255187</v>
      </c>
      <c r="L908" s="172">
        <f t="shared" si="2698"/>
        <v>-3.6126420292297436E-2</v>
      </c>
      <c r="M908" s="172">
        <f t="shared" ref="M908:M923" si="2702">+L908*AR908</f>
        <v>-5.1860258742600081E-4</v>
      </c>
      <c r="N908" s="196"/>
      <c r="O908" s="172"/>
      <c r="P908" s="166">
        <f>IFERROR(INDEX('Non-Labor Expenditures'!$F$7:$AB$91,MATCH($C908,'Non-Labor Expenditures'!$D$7:$D$91,0),MATCH($G908,'Non-Labor Expenditures'!$F$5:$AB$5,0)),"NA")</f>
        <v>38956.66360608855</v>
      </c>
      <c r="Q908" s="166">
        <f t="shared" si="2692"/>
        <v>432.49620985066224</v>
      </c>
      <c r="R908" s="172">
        <f t="shared" ref="R908:R923" si="2703">LN(Q908/Q907)</f>
        <v>-3.7353569727703241E-2</v>
      </c>
      <c r="S908" s="172">
        <f>+R908*AR908</f>
        <v>-5.3621858334285881E-4</v>
      </c>
      <c r="T908" s="172"/>
      <c r="U908" s="172"/>
      <c r="V908" s="166">
        <f t="shared" si="2673"/>
        <v>48332.153470383877</v>
      </c>
      <c r="W908" s="170"/>
      <c r="X908" s="174">
        <v>3328.8303314811924</v>
      </c>
      <c r="Y908" s="175">
        <v>4.8211724480721863E-2</v>
      </c>
      <c r="Z908" s="175">
        <f>+Y908*AR908</f>
        <v>6.9208974644251393E-4</v>
      </c>
      <c r="AA908" s="175"/>
      <c r="AB908" s="175"/>
      <c r="AC908" s="170">
        <f t="shared" si="2659"/>
        <v>114189.12047596186</v>
      </c>
      <c r="AD908" s="175">
        <f t="shared" ref="AD908:AD923" si="2704">LN(AC908/AC907)</f>
        <v>-2.236543471396348E-4</v>
      </c>
      <c r="AE908" s="170"/>
      <c r="AF908" s="170"/>
      <c r="AG908" s="121">
        <f t="shared" ref="AG908:AG923" si="2705">+(AC908*1000)/AZ908</f>
        <v>267.15529817082222</v>
      </c>
      <c r="AH908" s="119">
        <f>+AZ908/$BB$44</f>
        <v>1.215853111576809E-2</v>
      </c>
      <c r="AI908" s="119"/>
      <c r="AJ908" s="176">
        <f>+AH908*AG908</f>
        <v>3.2482160055522438</v>
      </c>
      <c r="AK908" s="176">
        <f>+AI908*AG908</f>
        <v>0</v>
      </c>
      <c r="AL908" s="120">
        <f t="shared" si="2693"/>
        <v>0.23557676324472826</v>
      </c>
      <c r="AM908" s="120">
        <f t="shared" si="2694"/>
        <v>0.34115915284844833</v>
      </c>
      <c r="AN908" s="120">
        <f t="shared" si="2695"/>
        <v>0.42326408390682335</v>
      </c>
      <c r="AO908" s="120">
        <f t="shared" si="2699"/>
        <v>-1.0218979590236113E-3</v>
      </c>
      <c r="AP908" s="173">
        <f>+AP907*EXP(AO908)</f>
        <v>99.8978624000884</v>
      </c>
      <c r="AQ908" s="175">
        <f>LN(AP908/AP907)</f>
        <v>-1.0218979590236035E-3</v>
      </c>
      <c r="AR908" s="177">
        <f>+AC908/$AE$44</f>
        <v>1.4355216576400535E-2</v>
      </c>
      <c r="AS908" s="177">
        <f>+AR908*AQ908</f>
        <v>-1.4669566520765508E-5</v>
      </c>
      <c r="AT908" s="177"/>
      <c r="AU908" s="177"/>
      <c r="AV908" s="177"/>
      <c r="AW908" s="190"/>
      <c r="AX908" s="120"/>
      <c r="AY908" s="120"/>
      <c r="AZ908" s="118">
        <f>IFERROR(INDEX('Total Customers'!$F$7:$AB$91,MATCH($C908,'Total Customers'!$D$7:$D$91,0),MATCH($G908,'Total Customers'!$F$5:$AB$5,0)),"NA")</f>
        <v>427426</v>
      </c>
      <c r="BA908" s="119">
        <f t="shared" si="2674"/>
        <v>4.6580178234363043E-2</v>
      </c>
      <c r="BB908" s="119"/>
      <c r="BC908" s="121"/>
      <c r="BD908" s="119"/>
      <c r="BE908" s="119"/>
      <c r="BF908" s="119"/>
      <c r="BG908" s="173"/>
      <c r="BH908" s="173"/>
      <c r="BI908" s="173"/>
      <c r="BJ908" s="173"/>
      <c r="BK908" s="173"/>
      <c r="BL908" s="173"/>
      <c r="BM908" s="173"/>
      <c r="BN908" s="173"/>
      <c r="BO908" s="173"/>
      <c r="BP908" s="173"/>
      <c r="BQ908" s="118"/>
      <c r="BR908" s="118"/>
      <c r="BS908" s="118">
        <f>INDEX('Dist. Plant Gas Additions'!$F$7:$AE$91,MATCH($C908,'Dist. Plant Gas Additions'!$D$7:$D$91,0),MATCH(Calculation!$G908,'Dist. Plant Gas Additions'!$F$5:$AE$5,0))</f>
        <v>73730</v>
      </c>
      <c r="BT908" s="118">
        <f>INDEX('Gen. Plant Additions'!$F$7:$AE$91,MATCH($C908,'Gen. Plant Additions'!$D$7:$D$91,0),MATCH(Calculation!$G908,'Gen. Plant Additions'!$F$5:$AE$5,0))</f>
        <v>7571</v>
      </c>
      <c r="BU908" s="118"/>
      <c r="BV908" s="118"/>
      <c r="BW908" s="118">
        <f>INDEX('Dist Plant Depreciation'!$E$7:$AD$94,MATCH($C908,'Dist Plant Depreciation'!$D$7:$D$94,0),MATCH(Calculation!$G908,'Dist Plant Depreciation'!$E$5:$AD$5,0))</f>
        <v>152479</v>
      </c>
      <c r="BX908" s="118">
        <f>INDEX('Gen. Plant Depreciation'!$E$7:$AD$94,MATCH($C908,'Gen. Plant Depreciation'!$D$7:$D$94,0),MATCH(Calculation!$G908,'Gen. Plant Depreciation'!$E$5:$AD$5,0))</f>
        <v>38301</v>
      </c>
      <c r="BY908" s="118"/>
      <c r="BZ908" s="118"/>
      <c r="CA908" s="118"/>
      <c r="CB908" s="118"/>
      <c r="CC908" s="118"/>
      <c r="CD908" s="183"/>
      <c r="CE908" s="118">
        <f>INDEX('Gross Dx Plant'!$E$7:$AD$91,MATCH($C908,'Gross Dx Plant'!$D$7:$D$91,0),MATCH(Calculation!$G908,'Gross Dx Plant'!$E$5:$AD$5,0))</f>
        <v>862739</v>
      </c>
      <c r="CF908" s="118">
        <f>INDEX('Gross Gen Plant'!$E$7:$AD$91,MATCH($C908,'Gross Gen Plant'!$D$7:$D$91,0),MATCH(Calculation!$G908,'Gross Gen Plant'!$E$5:$AD$5,0))</f>
        <v>71102</v>
      </c>
      <c r="CG908" s="118">
        <f t="shared" si="2598"/>
        <v>743061</v>
      </c>
      <c r="CH908" s="119" t="e">
        <f>SUM(#REF!)/15</f>
        <v>#REF!</v>
      </c>
      <c r="CI908" s="121">
        <v>2006</v>
      </c>
      <c r="CJ908" s="118"/>
      <c r="CK908" s="118"/>
      <c r="CL908" s="118"/>
      <c r="CM908" s="183"/>
      <c r="CN908" s="118">
        <f t="shared" si="2675"/>
        <v>81301</v>
      </c>
      <c r="CO908" s="118">
        <f t="shared" si="2676"/>
        <v>176.32514911747751</v>
      </c>
      <c r="CP908" s="186">
        <v>0.9555555555555556</v>
      </c>
      <c r="CQ908" s="118">
        <f>+CQ900*CP908+CO901*CP907+CO902*CP906+CO903*CP905+CO904*CP904+CO905*CP903+CO906*CP902+CO907*CP901+CO908</f>
        <v>3328.8303314811924</v>
      </c>
      <c r="CR908" s="119">
        <f t="shared" si="2677"/>
        <v>4.8211724480721863E-2</v>
      </c>
      <c r="CS908" s="119"/>
      <c r="CT908" s="177">
        <f t="shared" si="2678"/>
        <v>6.1925797061195805E-3</v>
      </c>
      <c r="CU908" s="177">
        <f t="shared" si="2686"/>
        <v>6.0063737862431675E-3</v>
      </c>
      <c r="CV908" s="119">
        <f>VLOOKUP($H908,RoR!$E:$F,2,FALSE)</f>
        <v>5.5874999999999994E-2</v>
      </c>
      <c r="CW908" s="177">
        <v>3.0512430354548314E-2</v>
      </c>
      <c r="CX908" s="177">
        <f t="shared" si="2684"/>
        <v>2.536256964545168E-2</v>
      </c>
      <c r="CY908" s="177">
        <f t="shared" si="2687"/>
        <v>2.4895567822290458E-2</v>
      </c>
      <c r="CZ908" s="177">
        <f t="shared" si="2688"/>
        <v>7.9087823893859641E-2</v>
      </c>
      <c r="DA908" s="187">
        <f t="shared" si="2679"/>
        <v>0.86875000000000002</v>
      </c>
      <c r="DB908" s="188">
        <f t="shared" si="2680"/>
        <v>0.91779957551769631</v>
      </c>
      <c r="DC908" s="188">
        <f t="shared" si="2681"/>
        <v>0.52757270693512304</v>
      </c>
      <c r="DD908" s="188">
        <f t="shared" si="2682"/>
        <v>0.88636824549024895</v>
      </c>
      <c r="DE908" s="188">
        <f t="shared" si="2683"/>
        <v>0.42918482841932087</v>
      </c>
      <c r="DF908" s="189">
        <f>INDEX('State Tax Lookup'!$D$7:$Z$91,MATCH(Calculation!$C908,'State Tax Lookup'!$B$7:$B$91,0),MATCH($H908,'State Tax Lookup'!$D$6:$Z$6,0))</f>
        <v>0.35</v>
      </c>
      <c r="DG908" s="189">
        <v>0.375</v>
      </c>
      <c r="DH908" s="190">
        <f t="shared" si="2685"/>
        <v>15.236407231418283</v>
      </c>
      <c r="DI908" s="190">
        <v>14.7985391929899</v>
      </c>
      <c r="DJ908" s="177"/>
      <c r="DK908" s="189">
        <f>VLOOKUP($H908,RoR!$E:$F,2,FALSE)</f>
        <v>5.5874999999999994E-2</v>
      </c>
      <c r="DL908" s="191">
        <f>HLOOKUP($H908,'GDP-PI'!$D$8:$CQ$11,3,FALSE)</f>
        <v>3.0512430354548314E-2</v>
      </c>
      <c r="DM908" s="189">
        <f>VLOOKUP(H908,'HW Dx Data'!$E:$F,2,FALSE)</f>
        <v>461.08567272971823</v>
      </c>
      <c r="DN908" s="183">
        <f>VLOOKUP(H908,'ECI - Input Price'!$G$17:$H$37,2,FALSE)</f>
        <v>102.05</v>
      </c>
      <c r="DO908" s="177">
        <f t="shared" ref="DO908" si="2706">LN(DN908/DN907)</f>
        <v>2.8829034290048662E-2</v>
      </c>
      <c r="DP908" s="183">
        <f>HLOOKUP(H908,'GDP-PI'!$8:$9,2,FALSE)</f>
        <v>90.073999999999998</v>
      </c>
      <c r="DQ908" s="177">
        <f t="shared" ref="DQ908" si="2707">LN(DP908/DP907)</f>
        <v>3.005618372545445E-2</v>
      </c>
    </row>
    <row r="909" spans="1:121" s="167" customFormat="1" ht="21" x14ac:dyDescent="0.35">
      <c r="A909" s="167" t="s">
        <v>94</v>
      </c>
      <c r="B909" s="167" t="s">
        <v>94</v>
      </c>
      <c r="C909" s="167">
        <v>4057139</v>
      </c>
      <c r="D909" s="168" t="s">
        <v>148</v>
      </c>
      <c r="E909" s="168"/>
      <c r="F909" s="198"/>
      <c r="G909" s="167" t="s">
        <v>13</v>
      </c>
      <c r="H909" s="169">
        <v>2007</v>
      </c>
      <c r="I909" s="170"/>
      <c r="J909" s="166">
        <f>IFERROR(INDEX('Labor Expenditures'!$F$7:$X$91,MATCH($C909,'Labor Expenditures'!$D$7:$D$91,0),MATCH($G909,'Labor Expenditures'!$F$5:$X$5,0)),"NA")</f>
        <v>28293.976870594048</v>
      </c>
      <c r="K909" s="166">
        <f t="shared" si="2691"/>
        <v>268.89025298735135</v>
      </c>
      <c r="L909" s="172">
        <f t="shared" si="2698"/>
        <v>1.987335983320019E-2</v>
      </c>
      <c r="M909" s="172">
        <f t="shared" si="2702"/>
        <v>2.9269556034950718E-4</v>
      </c>
      <c r="N909" s="196"/>
      <c r="O909" s="172"/>
      <c r="P909" s="166">
        <f>IFERROR(INDEX('Non-Labor Expenditures'!$F$7:$AB$91,MATCH($C909,'Non-Labor Expenditures'!$D$7:$D$91,0),MATCH($G909,'Non-Labor Expenditures'!$F$5:$AB$5,0)),"NA")</f>
        <v>40974.963094546489</v>
      </c>
      <c r="Q909" s="166">
        <f t="shared" si="2692"/>
        <v>442.98215198757254</v>
      </c>
      <c r="R909" s="172">
        <f t="shared" si="2703"/>
        <v>2.3955917283942751E-2</v>
      </c>
      <c r="S909" s="172">
        <f t="shared" ref="S909:S923" si="2708">+R909*AR909</f>
        <v>3.5282361372012479E-4</v>
      </c>
      <c r="T909" s="172"/>
      <c r="U909" s="172"/>
      <c r="V909" s="166">
        <f t="shared" si="2673"/>
        <v>54475.418112153195</v>
      </c>
      <c r="W909" s="170"/>
      <c r="X909" s="174">
        <v>3471.8790945525247</v>
      </c>
      <c r="Y909" s="175">
        <v>4.2074982712687142E-2</v>
      </c>
      <c r="Z909" s="175">
        <f t="shared" ref="Z909:Z923" si="2709">+Y909*AR909</f>
        <v>6.1968186281276076E-4</v>
      </c>
      <c r="AA909" s="175"/>
      <c r="AB909" s="175"/>
      <c r="AC909" s="170">
        <f t="shared" si="2659"/>
        <v>123744.35807729373</v>
      </c>
      <c r="AD909" s="175">
        <f t="shared" si="2704"/>
        <v>8.0361783716993346E-2</v>
      </c>
      <c r="AE909" s="170"/>
      <c r="AF909" s="170"/>
      <c r="AG909" s="121">
        <f t="shared" si="2705"/>
        <v>278.47270297882324</v>
      </c>
      <c r="AH909" s="119">
        <f>+AZ909/$BB$45</f>
        <v>1.2545686618634732E-2</v>
      </c>
      <c r="AI909" s="119"/>
      <c r="AJ909" s="176">
        <f t="shared" ref="AJ909:AJ923" si="2710">+AH909*AG909</f>
        <v>3.493631263416467</v>
      </c>
      <c r="AK909" s="176">
        <f t="shared" ref="AK909:AK923" si="2711">+AI909*AG909</f>
        <v>0</v>
      </c>
      <c r="AL909" s="120">
        <f t="shared" si="2693"/>
        <v>0.22864862132074695</v>
      </c>
      <c r="AM909" s="120">
        <f t="shared" si="2694"/>
        <v>0.33112590934410546</v>
      </c>
      <c r="AN909" s="120">
        <f t="shared" si="2695"/>
        <v>0.44022546933514761</v>
      </c>
      <c r="AO909" s="120">
        <f t="shared" si="2699"/>
        <v>3.0831115738766214E-2</v>
      </c>
      <c r="AP909" s="173">
        <f>+AP908*EXP(AO909)</f>
        <v>103.02579603016301</v>
      </c>
      <c r="AQ909" s="175">
        <f>LN(AP909/AP908)</f>
        <v>3.083111573876627E-2</v>
      </c>
      <c r="AR909" s="177">
        <f>+AC909/$AE$45</f>
        <v>1.472803606466852E-2</v>
      </c>
      <c r="AS909" s="177">
        <f t="shared" ref="AS909:AS923" si="2712">+AR909*AQ909</f>
        <v>4.5408178451451884E-4</v>
      </c>
      <c r="AT909" s="177"/>
      <c r="AU909" s="177"/>
      <c r="AV909" s="177"/>
      <c r="AW909" s="190"/>
      <c r="AX909" s="120"/>
      <c r="AY909" s="120"/>
      <c r="AZ909" s="118">
        <f>IFERROR(INDEX('Total Customers'!$F$7:$AB$91,MATCH($C909,'Total Customers'!$D$7:$D$91,0),MATCH($G909,'Total Customers'!$F$5:$AB$5,0)),"NA")</f>
        <v>444368</v>
      </c>
      <c r="BA909" s="119">
        <f t="shared" si="2674"/>
        <v>3.8871873993934471E-2</v>
      </c>
      <c r="BB909" s="119"/>
      <c r="BC909" s="121"/>
      <c r="BD909" s="119"/>
      <c r="BE909" s="119"/>
      <c r="BF909" s="119"/>
      <c r="BG909" s="173"/>
      <c r="BH909" s="173"/>
      <c r="BI909" s="173"/>
      <c r="BJ909" s="173"/>
      <c r="BK909" s="173"/>
      <c r="BL909" s="173"/>
      <c r="BM909" s="173"/>
      <c r="BN909" s="173"/>
      <c r="BO909" s="173"/>
      <c r="BP909" s="173"/>
      <c r="BQ909" s="118"/>
      <c r="BR909" s="118"/>
      <c r="BS909" s="118">
        <f>INDEX('Dist. Plant Gas Additions'!$F$7:$AE$91,MATCH($C909,'Dist. Plant Gas Additions'!$D$7:$D$91,0),MATCH(Calculation!$G909,'Dist. Plant Gas Additions'!$F$5:$AE$5,0))</f>
        <v>74266</v>
      </c>
      <c r="BT909" s="118">
        <f>INDEX('Gen. Plant Additions'!$F$7:$AE$91,MATCH($C909,'Gen. Plant Additions'!$D$7:$D$91,0),MATCH(Calculation!$G909,'Gen. Plant Additions'!$F$5:$AE$5,0))</f>
        <v>7522</v>
      </c>
      <c r="BU909" s="118"/>
      <c r="BV909" s="118"/>
      <c r="BW909" s="118">
        <f>INDEX('Dist Plant Depreciation'!$E$7:$AD$94,MATCH($C909,'Dist Plant Depreciation'!$D$7:$D$94,0),MATCH(Calculation!$G909,'Dist Plant Depreciation'!$E$5:$AD$5,0))</f>
        <v>163342</v>
      </c>
      <c r="BX909" s="118">
        <f>INDEX('Gen. Plant Depreciation'!$E$7:$AD$94,MATCH($C909,'Gen. Plant Depreciation'!$D$7:$D$94,0),MATCH(Calculation!$G909,'Gen. Plant Depreciation'!$E$5:$AD$5,0))</f>
        <v>28555</v>
      </c>
      <c r="BY909" s="118"/>
      <c r="BZ909" s="118"/>
      <c r="CA909" s="118"/>
      <c r="CB909" s="118"/>
      <c r="CC909" s="118"/>
      <c r="CD909" s="183"/>
      <c r="CE909" s="118">
        <f>INDEX('Gross Dx Plant'!$E$7:$AD$91,MATCH($C909,'Gross Dx Plant'!$D$7:$D$91,0),MATCH(Calculation!$G909,'Gross Dx Plant'!$E$5:$AD$5,0))</f>
        <v>931158</v>
      </c>
      <c r="CF909" s="118">
        <f>INDEX('Gross Gen Plant'!$E$7:$AD$91,MATCH($C909,'Gross Gen Plant'!$D$7:$D$91,0),MATCH(Calculation!$G909,'Gross Gen Plant'!$E$5:$AD$5,0))</f>
        <v>61881</v>
      </c>
      <c r="CG909" s="118">
        <f t="shared" si="2598"/>
        <v>801142</v>
      </c>
      <c r="CH909" s="118"/>
      <c r="CI909" s="121">
        <v>2007</v>
      </c>
      <c r="CJ909" s="118"/>
      <c r="CK909" s="118"/>
      <c r="CL909" s="118"/>
      <c r="CM909" s="183"/>
      <c r="CN909" s="118">
        <f t="shared" si="2675"/>
        <v>81788</v>
      </c>
      <c r="CO909" s="118">
        <f t="shared" si="2676"/>
        <v>164.22557274691817</v>
      </c>
      <c r="CP909" s="186">
        <v>0.94915254237288138</v>
      </c>
      <c r="CQ909" s="118">
        <f>+CQ900*CP909+CO901*CP908+CO902*CP907+CO903*CP906+CO904*CP905+CO905*CP904+CO906*CP903+CO907*CP902+CO908*CP901+CO909</f>
        <v>3471.8790945525247</v>
      </c>
      <c r="CR909" s="119">
        <f t="shared" si="2677"/>
        <v>4.2074982712687142E-2</v>
      </c>
      <c r="CS909" s="119"/>
      <c r="CT909" s="177">
        <f t="shared" si="2678"/>
        <v>6.3616368414196132E-3</v>
      </c>
      <c r="CU909" s="177">
        <f t="shared" si="2686"/>
        <v>6.186800900048574E-3</v>
      </c>
      <c r="CV909" s="119">
        <f>VLOOKUP($H909,RoR!$E:$F,2,FALSE)</f>
        <v>5.5558333333333321E-2</v>
      </c>
      <c r="CW909" s="177">
        <v>2.691120634145272E-2</v>
      </c>
      <c r="CX909" s="177">
        <f t="shared" si="2684"/>
        <v>2.86471269918806E-2</v>
      </c>
      <c r="CY909" s="177">
        <f t="shared" si="2687"/>
        <v>2.4715140708485052E-2</v>
      </c>
      <c r="CZ909" s="177">
        <f t="shared" si="2688"/>
        <v>6.4575155250632399E-2</v>
      </c>
      <c r="DA909" s="187">
        <f t="shared" si="2679"/>
        <v>0.86875000000000002</v>
      </c>
      <c r="DB909" s="188">
        <f t="shared" si="2680"/>
        <v>0.92303077153834634</v>
      </c>
      <c r="DC909" s="188">
        <f t="shared" si="2681"/>
        <v>0.52502249887505614</v>
      </c>
      <c r="DD909" s="188">
        <f t="shared" si="2682"/>
        <v>0.88499666072084604</v>
      </c>
      <c r="DE909" s="188">
        <f t="shared" si="2683"/>
        <v>0.42887993290280618</v>
      </c>
      <c r="DF909" s="189">
        <f>INDEX('State Tax Lookup'!$D$7:$Z$91,MATCH(Calculation!$C909,'State Tax Lookup'!$B$7:$B$91,0),MATCH($H909,'State Tax Lookup'!$D$6:$Z$6,0))</f>
        <v>0.35</v>
      </c>
      <c r="DG909" s="189">
        <v>0.375</v>
      </c>
      <c r="DH909" s="190">
        <f t="shared" si="2685"/>
        <v>16.364732559954138</v>
      </c>
      <c r="DI909" s="190">
        <v>16.143938141308464</v>
      </c>
      <c r="DJ909" s="177"/>
      <c r="DK909" s="189">
        <f>VLOOKUP($H909,RoR!$E:$F,2,FALSE)</f>
        <v>5.5558333333333321E-2</v>
      </c>
      <c r="DL909" s="191">
        <f>HLOOKUP($H909,'GDP-PI'!$D$8:$CQ$11,3,FALSE)</f>
        <v>2.691120634145272E-2</v>
      </c>
      <c r="DM909" s="189">
        <f>VLOOKUP(H909,'HW Dx Data'!$E:$F,2,FALSE)</f>
        <v>498.0223154772637</v>
      </c>
      <c r="DN909" s="183">
        <f>VLOOKUP(H909,'ECI - Input Price'!$G$17:$H$37,2,FALSE)</f>
        <v>105.22500000000001</v>
      </c>
      <c r="DO909" s="177">
        <f t="shared" ref="DO909" si="2713">LN(DN909/DN908)</f>
        <v>3.0638025400780679E-2</v>
      </c>
      <c r="DP909" s="183">
        <f>HLOOKUP(H909,'GDP-PI'!$8:$9,2,FALSE)</f>
        <v>92.498000000000005</v>
      </c>
      <c r="DQ909" s="177">
        <f t="shared" ref="DQ909" si="2714">LN(DP909/DP908)</f>
        <v>2.6555467950038037E-2</v>
      </c>
    </row>
    <row r="910" spans="1:121" s="167" customFormat="1" ht="21" x14ac:dyDescent="0.35">
      <c r="A910" s="167" t="s">
        <v>94</v>
      </c>
      <c r="B910" s="167" t="s">
        <v>94</v>
      </c>
      <c r="C910" s="167">
        <v>4057139</v>
      </c>
      <c r="D910" s="168" t="s">
        <v>148</v>
      </c>
      <c r="E910" s="168"/>
      <c r="F910" s="198"/>
      <c r="G910" s="167" t="s">
        <v>14</v>
      </c>
      <c r="H910" s="169">
        <v>2008</v>
      </c>
      <c r="I910" s="170"/>
      <c r="J910" s="166">
        <f>IFERROR(INDEX('Labor Expenditures'!$F$7:$X$91,MATCH($C910,'Labor Expenditures'!$D$7:$D$91,0),MATCH($G910,'Labor Expenditures'!$F$5:$X$5,0)),"NA")</f>
        <v>29738.445051089788</v>
      </c>
      <c r="K910" s="166">
        <f t="shared" si="2691"/>
        <v>274.78350705557671</v>
      </c>
      <c r="L910" s="172">
        <f t="shared" si="2698"/>
        <v>2.1680225659135671E-2</v>
      </c>
      <c r="M910" s="172">
        <f t="shared" si="2702"/>
        <v>3.3157568308833532E-4</v>
      </c>
      <c r="N910" s="196"/>
      <c r="O910" s="172"/>
      <c r="P910" s="166">
        <f>IFERROR(INDEX('Non-Labor Expenditures'!$F$7:$AB$91,MATCH($C910,'Non-Labor Expenditures'!$D$7:$D$91,0),MATCH($G910,'Non-Labor Expenditures'!$F$5:$AB$5,0)),"NA")</f>
        <v>43066.822809345816</v>
      </c>
      <c r="Q910" s="166">
        <f t="shared" si="2692"/>
        <v>456.8745524202858</v>
      </c>
      <c r="R910" s="172">
        <f t="shared" si="2703"/>
        <v>3.0879370582513367E-2</v>
      </c>
      <c r="S910" s="172">
        <f t="shared" si="2708"/>
        <v>4.7226668925008365E-4</v>
      </c>
      <c r="T910" s="172"/>
      <c r="U910" s="172"/>
      <c r="V910" s="166">
        <f t="shared" si="2673"/>
        <v>64565.43661550089</v>
      </c>
      <c r="W910" s="170"/>
      <c r="X910" s="174">
        <v>3567.7415271689802</v>
      </c>
      <c r="Y910" s="175">
        <v>2.7236796962549773E-2</v>
      </c>
      <c r="Z910" s="175">
        <f t="shared" si="2709"/>
        <v>4.1655745193732363E-4</v>
      </c>
      <c r="AA910" s="175"/>
      <c r="AB910" s="175"/>
      <c r="AC910" s="170">
        <f t="shared" si="2659"/>
        <v>137370.70447593648</v>
      </c>
      <c r="AD910" s="175">
        <f t="shared" si="2704"/>
        <v>0.10446533451901541</v>
      </c>
      <c r="AE910" s="170"/>
      <c r="AF910" s="170"/>
      <c r="AG910" s="121">
        <f t="shared" si="2705"/>
        <v>299.66973557545253</v>
      </c>
      <c r="AH910" s="119">
        <f>+AZ910/$BB$46</f>
        <v>1.2873039369450692E-2</v>
      </c>
      <c r="AI910" s="119"/>
      <c r="AJ910" s="176">
        <f t="shared" si="2710"/>
        <v>3.8576603038956789</v>
      </c>
      <c r="AK910" s="176">
        <f t="shared" si="2711"/>
        <v>0</v>
      </c>
      <c r="AL910" s="120">
        <f t="shared" si="2693"/>
        <v>0.21648316622194461</v>
      </c>
      <c r="AM910" s="120">
        <f t="shared" si="2694"/>
        <v>0.31350805816745247</v>
      </c>
      <c r="AN910" s="120">
        <f t="shared" si="2695"/>
        <v>0.470008775610603</v>
      </c>
      <c r="AO910" s="120">
        <f t="shared" si="2699"/>
        <v>2.7174157046396238E-2</v>
      </c>
      <c r="AP910" s="173">
        <f t="shared" ref="AP910:AP923" si="2715">+AP909*EXP(AO910)</f>
        <v>105.86382102048968</v>
      </c>
      <c r="AQ910" s="175">
        <f t="shared" ref="AQ910:AQ923" si="2716">LN(AP910/AP909)</f>
        <v>2.7174157046396266E-2</v>
      </c>
      <c r="AR910" s="177">
        <f>+AC910/$AE$46</f>
        <v>1.529392213445966E-2</v>
      </c>
      <c r="AS910" s="177">
        <f t="shared" si="2712"/>
        <v>4.1559944193716281E-4</v>
      </c>
      <c r="AT910" s="177"/>
      <c r="AU910" s="177"/>
      <c r="AV910" s="177"/>
      <c r="AW910" s="190"/>
      <c r="AX910" s="120"/>
      <c r="AY910" s="120"/>
      <c r="AZ910" s="118">
        <f>IFERROR(INDEX('Total Customers'!$F$7:$AB$91,MATCH($C910,'Total Customers'!$D$7:$D$91,0),MATCH($G910,'Total Customers'!$F$5:$AB$5,0)),"NA")</f>
        <v>458407</v>
      </c>
      <c r="BA910" s="119">
        <f t="shared" si="2674"/>
        <v>3.1104387817933E-2</v>
      </c>
      <c r="BB910" s="119"/>
      <c r="BC910" s="121"/>
      <c r="BD910" s="119"/>
      <c r="BE910" s="119"/>
      <c r="BF910" s="119"/>
      <c r="BG910" s="173"/>
      <c r="BH910" s="173"/>
      <c r="BI910" s="173"/>
      <c r="BJ910" s="173"/>
      <c r="BK910" s="173"/>
      <c r="BL910" s="173"/>
      <c r="BM910" s="173"/>
      <c r="BN910" s="173"/>
      <c r="BO910" s="173"/>
      <c r="BP910" s="173"/>
      <c r="BQ910" s="118"/>
      <c r="BR910" s="118"/>
      <c r="BS910" s="118">
        <f>INDEX('Dist. Plant Gas Additions'!$F$7:$AE$91,MATCH($C910,'Dist. Plant Gas Additions'!$D$7:$D$91,0),MATCH(Calculation!$G910,'Dist. Plant Gas Additions'!$F$5:$AE$5,0))</f>
        <v>57881</v>
      </c>
      <c r="BT910" s="118">
        <f>INDEX('Gen. Plant Additions'!$F$7:$AE$91,MATCH($C910,'Gen. Plant Additions'!$D$7:$D$91,0),MATCH(Calculation!$G910,'Gen. Plant Additions'!$F$5:$AE$5,0))</f>
        <v>9691</v>
      </c>
      <c r="BU910" s="118"/>
      <c r="BV910" s="118"/>
      <c r="BW910" s="118">
        <f>INDEX('Dist Plant Depreciation'!$E$7:$AD$94,MATCH($C910,'Dist Plant Depreciation'!$D$7:$D$94,0),MATCH(Calculation!$G910,'Dist Plant Depreciation'!$E$5:$AD$5,0))</f>
        <v>183712</v>
      </c>
      <c r="BX910" s="118">
        <f>INDEX('Gen. Plant Depreciation'!$E$7:$AD$94,MATCH($C910,'Gen. Plant Depreciation'!$D$7:$D$94,0),MATCH(Calculation!$G910,'Gen. Plant Depreciation'!$E$5:$AD$5,0))</f>
        <v>28188</v>
      </c>
      <c r="BY910" s="118"/>
      <c r="BZ910" s="118"/>
      <c r="CA910" s="118"/>
      <c r="CB910" s="118"/>
      <c r="CC910" s="118"/>
      <c r="CD910" s="183"/>
      <c r="CE910" s="118">
        <f>INDEX('Gross Dx Plant'!$E$7:$AD$91,MATCH($C910,'Gross Dx Plant'!$D$7:$D$91,0),MATCH(Calculation!$G910,'Gross Dx Plant'!$E$5:$AD$5,0))</f>
        <v>1020965</v>
      </c>
      <c r="CF910" s="118">
        <f>INDEX('Gross Gen Plant'!$E$7:$AD$91,MATCH($C910,'Gross Gen Plant'!$D$7:$D$91,0),MATCH(Calculation!$G910,'Gross Gen Plant'!$E$5:$AD$5,0))</f>
        <v>67025</v>
      </c>
      <c r="CG910" s="118">
        <f t="shared" si="2598"/>
        <v>876090</v>
      </c>
      <c r="CH910" s="118"/>
      <c r="CI910" s="121">
        <v>2008</v>
      </c>
      <c r="CJ910" s="118"/>
      <c r="CK910" s="118"/>
      <c r="CL910" s="118"/>
      <c r="CM910" s="183"/>
      <c r="CN910" s="118">
        <f t="shared" si="2675"/>
        <v>67572</v>
      </c>
      <c r="CO910" s="118">
        <f t="shared" si="2676"/>
        <v>118.57208064513136</v>
      </c>
      <c r="CP910" s="186">
        <v>0.94252873563218387</v>
      </c>
      <c r="CQ910" s="118">
        <f>+CQ900*CP910+CO901*CP909+CO902*CP908+CO903*CP907+CO904*CP906+CO905*CP905+CO906*CP904+CO907*CP903+CO908*CP902+CO909*CP901+CO910</f>
        <v>3567.7415271689802</v>
      </c>
      <c r="CR910" s="119">
        <f t="shared" si="2677"/>
        <v>2.7236796962549773E-2</v>
      </c>
      <c r="CS910" s="119"/>
      <c r="CT910" s="177">
        <f t="shared" si="2678"/>
        <v>6.5410250213805048E-3</v>
      </c>
      <c r="CU910" s="177">
        <f t="shared" si="2686"/>
        <v>6.3650805229732328E-3</v>
      </c>
      <c r="CV910" s="119">
        <f>VLOOKUP($H910,RoR!$E:$F,2,FALSE)</f>
        <v>5.6316666666666668E-2</v>
      </c>
      <c r="CW910" s="177">
        <v>1.9092304698479889E-2</v>
      </c>
      <c r="CX910" s="177">
        <f t="shared" si="2684"/>
        <v>3.7224361968186778E-2</v>
      </c>
      <c r="CY910" s="177">
        <f t="shared" si="2687"/>
        <v>2.4536861085560392E-2</v>
      </c>
      <c r="CZ910" s="177">
        <f t="shared" si="2688"/>
        <v>6.9030581091053131E-2</v>
      </c>
      <c r="DA910" s="187">
        <f t="shared" si="2679"/>
        <v>0.86875000000000002</v>
      </c>
      <c r="DB910" s="188">
        <f t="shared" si="2680"/>
        <v>0.91060168006009956</v>
      </c>
      <c r="DC910" s="188">
        <f t="shared" si="2681"/>
        <v>0.53108168097070152</v>
      </c>
      <c r="DD910" s="188">
        <f t="shared" si="2682"/>
        <v>0.88825329850328805</v>
      </c>
      <c r="DE910" s="188">
        <f t="shared" si="2683"/>
        <v>0.4295627335323573</v>
      </c>
      <c r="DF910" s="189">
        <f>INDEX('State Tax Lookup'!$D$7:$Z$91,MATCH(Calculation!$C910,'State Tax Lookup'!$B$7:$B$91,0),MATCH($H910,'State Tax Lookup'!$D$6:$Z$6,0))</f>
        <v>0.35</v>
      </c>
      <c r="DG910" s="189">
        <v>0.375</v>
      </c>
      <c r="DH910" s="190">
        <f t="shared" si="2685"/>
        <v>18.596683483824613</v>
      </c>
      <c r="DI910" s="190">
        <v>18.357557232772759</v>
      </c>
      <c r="DJ910" s="177"/>
      <c r="DK910" s="189">
        <f>VLOOKUP($H910,RoR!$E:$F,2,FALSE)</f>
        <v>5.6316666666666668E-2</v>
      </c>
      <c r="DL910" s="191">
        <f>HLOOKUP($H910,'GDP-PI'!$D$8:$CQ$11,3,FALSE)</f>
        <v>1.9092304698479889E-2</v>
      </c>
      <c r="DM910" s="189">
        <f>VLOOKUP(H910,'HW Dx Data'!$E:$F,2,FALSE)</f>
        <v>569.88120333515076</v>
      </c>
      <c r="DN910" s="183">
        <f>VLOOKUP(H910,'ECI - Input Price'!$G$17:$H$37,2,FALSE)</f>
        <v>108.22499999999999</v>
      </c>
      <c r="DO910" s="177">
        <f t="shared" ref="DO910" si="2717">LN(DN910/DN909)</f>
        <v>2.8111478671409691E-2</v>
      </c>
      <c r="DP910" s="183">
        <f>HLOOKUP(H910,'GDP-PI'!$8:$9,2,FALSE)</f>
        <v>94.263999999999996</v>
      </c>
      <c r="DQ910" s="177">
        <f t="shared" ref="DQ910" si="2718">LN(DP910/DP909)</f>
        <v>1.8912333748032254E-2</v>
      </c>
    </row>
    <row r="911" spans="1:121" s="167" customFormat="1" ht="21" x14ac:dyDescent="0.35">
      <c r="A911" s="167" t="s">
        <v>94</v>
      </c>
      <c r="B911" s="167" t="s">
        <v>94</v>
      </c>
      <c r="C911" s="167">
        <v>4057139</v>
      </c>
      <c r="D911" s="168" t="s">
        <v>148</v>
      </c>
      <c r="E911" s="168"/>
      <c r="F911" s="198"/>
      <c r="G911" s="167" t="s">
        <v>15</v>
      </c>
      <c r="H911" s="169">
        <v>2009</v>
      </c>
      <c r="I911" s="170"/>
      <c r="J911" s="166">
        <f>IFERROR(INDEX('Labor Expenditures'!$F$7:$X$91,MATCH($C911,'Labor Expenditures'!$D$7:$D$91,0),MATCH($G911,'Labor Expenditures'!$F$5:$X$5,0)),"NA")</f>
        <v>27946.350497040828</v>
      </c>
      <c r="K911" s="166">
        <f t="shared" si="2691"/>
        <v>254.57846046040382</v>
      </c>
      <c r="L911" s="172">
        <f t="shared" si="2698"/>
        <v>-7.6374459500788833E-2</v>
      </c>
      <c r="M911" s="172">
        <f t="shared" si="2702"/>
        <v>-1.0767749571610153E-3</v>
      </c>
      <c r="N911" s="196"/>
      <c r="O911" s="172"/>
      <c r="P911" s="166">
        <f>IFERROR(INDEX('Non-Labor Expenditures'!$F$7:$AB$91,MATCH($C911,'Non-Labor Expenditures'!$D$7:$D$91,0),MATCH($G911,'Non-Labor Expenditures'!$F$5:$AB$5,0)),"NA")</f>
        <v>40471.53517799094</v>
      </c>
      <c r="Q911" s="166">
        <f t="shared" si="2692"/>
        <v>426.02064419615937</v>
      </c>
      <c r="R911" s="172">
        <f t="shared" si="2703"/>
        <v>-6.9921045199361501E-2</v>
      </c>
      <c r="S911" s="172">
        <f t="shared" si="2708"/>
        <v>-9.8579068109042761E-4</v>
      </c>
      <c r="T911" s="172"/>
      <c r="U911" s="172"/>
      <c r="V911" s="166">
        <f t="shared" si="2673"/>
        <v>63670.52875708889</v>
      </c>
      <c r="W911" s="170"/>
      <c r="X911" s="174">
        <v>3599.8211309823059</v>
      </c>
      <c r="Y911" s="175">
        <v>8.9513882326597728E-3</v>
      </c>
      <c r="Z911" s="175">
        <f t="shared" si="2709"/>
        <v>1.2620227683122644E-4</v>
      </c>
      <c r="AA911" s="175"/>
      <c r="AB911" s="175"/>
      <c r="AC911" s="170">
        <f t="shared" si="2659"/>
        <v>132088.41443212065</v>
      </c>
      <c r="AD911" s="175">
        <f t="shared" si="2704"/>
        <v>-3.9211638963714317E-2</v>
      </c>
      <c r="AE911" s="170"/>
      <c r="AF911" s="170"/>
      <c r="AG911" s="121">
        <f t="shared" si="2705"/>
        <v>283.57567353974844</v>
      </c>
      <c r="AH911" s="119">
        <f>+AZ911/$BB$47</f>
        <v>1.3061664682151915E-2</v>
      </c>
      <c r="AI911" s="119"/>
      <c r="AJ911" s="176">
        <f t="shared" si="2710"/>
        <v>3.7039703597915734</v>
      </c>
      <c r="AK911" s="176">
        <f t="shared" si="2711"/>
        <v>0</v>
      </c>
      <c r="AL911" s="120">
        <f t="shared" si="2693"/>
        <v>0.21157306352104233</v>
      </c>
      <c r="AM911" s="120">
        <f t="shared" si="2694"/>
        <v>0.30639731237586315</v>
      </c>
      <c r="AN911" s="120">
        <f t="shared" si="2695"/>
        <v>0.48202962410309458</v>
      </c>
      <c r="AO911" s="120">
        <f t="shared" si="2699"/>
        <v>-3.3757464643707394E-2</v>
      </c>
      <c r="AP911" s="173">
        <f t="shared" si="2715"/>
        <v>102.34977319912231</v>
      </c>
      <c r="AQ911" s="175">
        <f t="shared" si="2716"/>
        <v>-3.3757464643707387E-2</v>
      </c>
      <c r="AR911" s="177">
        <f>+AC911/$AE$47</f>
        <v>1.4098626218754372E-2</v>
      </c>
      <c r="AS911" s="177">
        <f t="shared" si="2712"/>
        <v>-4.7593387610444669E-4</v>
      </c>
      <c r="AT911" s="177"/>
      <c r="AU911" s="177"/>
      <c r="AV911" s="177"/>
      <c r="AW911" s="190"/>
      <c r="AX911" s="120"/>
      <c r="AY911" s="120"/>
      <c r="AZ911" s="118">
        <f>IFERROR(INDEX('Total Customers'!$F$7:$AB$91,MATCH($C911,'Total Customers'!$D$7:$D$91,0),MATCH($G911,'Total Customers'!$F$5:$AB$5,0)),"NA")</f>
        <v>465796</v>
      </c>
      <c r="BA911" s="119">
        <f t="shared" si="2674"/>
        <v>1.5990334246767449E-2</v>
      </c>
      <c r="BB911" s="119"/>
      <c r="BC911" s="121"/>
      <c r="BD911" s="119"/>
      <c r="BE911" s="119"/>
      <c r="BF911" s="119"/>
      <c r="BG911" s="173"/>
      <c r="BH911" s="173"/>
      <c r="BI911" s="173"/>
      <c r="BJ911" s="173"/>
      <c r="BK911" s="173"/>
      <c r="BL911" s="173"/>
      <c r="BM911" s="173"/>
      <c r="BN911" s="173"/>
      <c r="BO911" s="173"/>
      <c r="BP911" s="173"/>
      <c r="BQ911" s="118"/>
      <c r="BR911" s="118"/>
      <c r="BS911" s="118">
        <f>INDEX('Dist. Plant Gas Additions'!$F$7:$AE$91,MATCH($C911,'Dist. Plant Gas Additions'!$D$7:$D$91,0),MATCH(Calculation!$G911,'Dist. Plant Gas Additions'!$F$5:$AE$5,0))</f>
        <v>26503</v>
      </c>
      <c r="BT911" s="118">
        <f>INDEX('Gen. Plant Additions'!$F$7:$AE$91,MATCH($C911,'Gen. Plant Additions'!$D$7:$D$91,0),MATCH(Calculation!$G911,'Gen. Plant Additions'!$F$5:$AE$5,0))</f>
        <v>4436</v>
      </c>
      <c r="BU911" s="118"/>
      <c r="BV911" s="118"/>
      <c r="BW911" s="118">
        <f>INDEX('Dist Plant Depreciation'!$E$7:$AD$94,MATCH($C911,'Dist Plant Depreciation'!$D$7:$D$94,0),MATCH(Calculation!$G911,'Dist Plant Depreciation'!$E$5:$AD$5,0))</f>
        <v>199152</v>
      </c>
      <c r="BX911" s="118">
        <f>INDEX('Gen. Plant Depreciation'!$E$7:$AD$94,MATCH($C911,'Gen. Plant Depreciation'!$D$7:$D$94,0),MATCH(Calculation!$G911,'Gen. Plant Depreciation'!$E$5:$AD$5,0))</f>
        <v>30020</v>
      </c>
      <c r="BY911" s="118"/>
      <c r="BZ911" s="118"/>
      <c r="CA911" s="118"/>
      <c r="CB911" s="118"/>
      <c r="CC911" s="118"/>
      <c r="CD911" s="183"/>
      <c r="CE911" s="118">
        <f>INDEX('Gross Dx Plant'!$E$7:$AD$91,MATCH($C911,'Gross Dx Plant'!$D$7:$D$91,0),MATCH(Calculation!$G911,'Gross Dx Plant'!$E$5:$AD$5,0))</f>
        <v>1046466</v>
      </c>
      <c r="CF911" s="118">
        <f>INDEX('Gross Gen Plant'!$E$7:$AD$91,MATCH($C911,'Gross Gen Plant'!$D$7:$D$91,0),MATCH(Calculation!$G911,'Gross Gen Plant'!$E$5:$AD$5,0))</f>
        <v>69304</v>
      </c>
      <c r="CG911" s="118">
        <f t="shared" si="2598"/>
        <v>886598</v>
      </c>
      <c r="CH911" s="118"/>
      <c r="CI911" s="121">
        <v>2009</v>
      </c>
      <c r="CJ911" s="118"/>
      <c r="CK911" s="118"/>
      <c r="CL911" s="118"/>
      <c r="CM911" s="183"/>
      <c r="CN911" s="118">
        <f t="shared" si="2675"/>
        <v>30939</v>
      </c>
      <c r="CO911" s="118">
        <f t="shared" si="2676"/>
        <v>56.156685373353298</v>
      </c>
      <c r="CP911" s="186">
        <v>0.93567251461988299</v>
      </c>
      <c r="CQ911" s="118">
        <f>+CQ900*CP911+CO901*CP910+CO902*CP909+CO903*CP908+CO904*CP907+CO905*CP906+CO906*CP905+CO907*CP904+CO908*CP903+CO909*CP902+CO910*CP901+CO911</f>
        <v>3599.8211309823059</v>
      </c>
      <c r="CR911" s="119">
        <f t="shared" si="2677"/>
        <v>8.9513882326597728E-3</v>
      </c>
      <c r="CS911" s="119"/>
      <c r="CT911" s="177">
        <f t="shared" si="2678"/>
        <v>6.7485498533669842E-3</v>
      </c>
      <c r="CU911" s="177">
        <f t="shared" si="2686"/>
        <v>6.5504039053890335E-3</v>
      </c>
      <c r="CV911" s="119">
        <f>VLOOKUP($H911,RoR!$E:$F,2,FALSE)</f>
        <v>5.3133333333333324E-2</v>
      </c>
      <c r="CW911" s="177">
        <v>7.7972502758210105E-3</v>
      </c>
      <c r="CX911" s="177">
        <f t="shared" si="2684"/>
        <v>4.5336083057512314E-2</v>
      </c>
      <c r="CY911" s="177">
        <f t="shared" si="2687"/>
        <v>2.4351537703144591E-2</v>
      </c>
      <c r="CZ911" s="177">
        <f t="shared" si="2688"/>
        <v>6.3720160300892073E-2</v>
      </c>
      <c r="DA911" s="187">
        <f t="shared" si="2679"/>
        <v>0.86875000000000002</v>
      </c>
      <c r="DB911" s="188">
        <f t="shared" si="2680"/>
        <v>0.96515780330083989</v>
      </c>
      <c r="DC911" s="188">
        <f t="shared" si="2681"/>
        <v>0.50448557089084056</v>
      </c>
      <c r="DD911" s="188">
        <f t="shared" si="2682"/>
        <v>0.87391435735465484</v>
      </c>
      <c r="DE911" s="188">
        <f t="shared" si="2683"/>
        <v>0.42551605393279146</v>
      </c>
      <c r="DF911" s="189">
        <f>INDEX('State Tax Lookup'!$D$7:$Z$91,MATCH(Calculation!$C911,'State Tax Lookup'!$B$7:$B$91,0),MATCH($H911,'State Tax Lookup'!$D$6:$Z$6,0))</f>
        <v>0.35</v>
      </c>
      <c r="DG911" s="189">
        <v>0.375</v>
      </c>
      <c r="DH911" s="190">
        <f t="shared" si="2685"/>
        <v>17.846171947218316</v>
      </c>
      <c r="DI911" s="190">
        <v>17.5393735212994</v>
      </c>
      <c r="DJ911" s="177"/>
      <c r="DK911" s="189">
        <f>VLOOKUP($H911,RoR!$E:$F,2,FALSE)</f>
        <v>5.3133333333333324E-2</v>
      </c>
      <c r="DL911" s="191">
        <f>HLOOKUP($H911,'GDP-PI'!$D$8:$CQ$11,3,FALSE)</f>
        <v>7.7972502758210105E-3</v>
      </c>
      <c r="DM911" s="189">
        <f>VLOOKUP(H911,'HW Dx Data'!$E:$F,2,FALSE)</f>
        <v>550.94063679692806</v>
      </c>
      <c r="DN911" s="183">
        <f>VLOOKUP(H911,'ECI - Input Price'!$G$17:$H$37,2,FALSE)</f>
        <v>109.77499999999999</v>
      </c>
      <c r="DO911" s="177">
        <f t="shared" ref="DO911" si="2719">LN(DN911/DN910)</f>
        <v>1.4220423119736749E-2</v>
      </c>
      <c r="DP911" s="183">
        <f>HLOOKUP(H911,'GDP-PI'!$8:$9,2,FALSE)</f>
        <v>94.998999999999995</v>
      </c>
      <c r="DQ911" s="177">
        <f t="shared" ref="DQ911" si="2720">LN(DP911/DP910)</f>
        <v>7.7670088183096342E-3</v>
      </c>
    </row>
    <row r="912" spans="1:121" s="167" customFormat="1" ht="21" x14ac:dyDescent="0.35">
      <c r="A912" s="167" t="s">
        <v>94</v>
      </c>
      <c r="B912" s="167" t="s">
        <v>94</v>
      </c>
      <c r="C912" s="167">
        <v>4057139</v>
      </c>
      <c r="D912" s="168" t="s">
        <v>148</v>
      </c>
      <c r="E912" s="168"/>
      <c r="F912" s="198"/>
      <c r="G912" s="167" t="s">
        <v>16</v>
      </c>
      <c r="H912" s="169">
        <v>2010</v>
      </c>
      <c r="I912" s="170"/>
      <c r="J912" s="166">
        <f>IFERROR(INDEX('Labor Expenditures'!$F$7:$X$91,MATCH($C912,'Labor Expenditures'!$D$7:$D$91,0),MATCH($G912,'Labor Expenditures'!$F$5:$X$5,0)),"NA")</f>
        <v>28207.661375676704</v>
      </c>
      <c r="K912" s="166">
        <f t="shared" si="2691"/>
        <v>252.1355206764398</v>
      </c>
      <c r="L912" s="172">
        <f t="shared" si="2698"/>
        <v>-9.6423576320511153E-3</v>
      </c>
      <c r="M912" s="172">
        <f t="shared" si="2702"/>
        <v>-1.3395447473617524E-4</v>
      </c>
      <c r="N912" s="196"/>
      <c r="O912" s="172"/>
      <c r="P912" s="166">
        <f>IFERROR(INDEX('Non-Labor Expenditures'!$F$7:$AB$91,MATCH($C912,'Non-Labor Expenditures'!$D$7:$D$91,0),MATCH($G912,'Non-Labor Expenditures'!$F$5:$AB$5,0)),"NA")</f>
        <v>40849.962136395523</v>
      </c>
      <c r="Q912" s="166">
        <f t="shared" si="2692"/>
        <v>425.0378438688939</v>
      </c>
      <c r="R912" s="172">
        <f t="shared" si="2703"/>
        <v>-2.3095962919631521E-3</v>
      </c>
      <c r="S912" s="172">
        <f t="shared" si="2708"/>
        <v>-3.2085592543691084E-5</v>
      </c>
      <c r="T912" s="172"/>
      <c r="U912" s="172"/>
      <c r="V912" s="166">
        <f t="shared" si="2673"/>
        <v>65852.655301067047</v>
      </c>
      <c r="W912" s="170"/>
      <c r="X912" s="174">
        <v>3647.1096858030705</v>
      </c>
      <c r="Y912" s="175">
        <v>1.3050828609489225E-2</v>
      </c>
      <c r="Z912" s="175">
        <f t="shared" si="2709"/>
        <v>1.8130595835243854E-4</v>
      </c>
      <c r="AA912" s="175"/>
      <c r="AB912" s="175"/>
      <c r="AC912" s="170">
        <f t="shared" si="2659"/>
        <v>134910.27881313927</v>
      </c>
      <c r="AD912" s="175">
        <f t="shared" si="2704"/>
        <v>2.1138451438686819E-2</v>
      </c>
      <c r="AE912" s="170"/>
      <c r="AF912" s="170"/>
      <c r="AG912" s="121">
        <f t="shared" si="2705"/>
        <v>285.46096383478647</v>
      </c>
      <c r="AH912" s="119">
        <f>+AZ912/$BB$48</f>
        <v>1.3179642793842683E-2</v>
      </c>
      <c r="AI912" s="119"/>
      <c r="AJ912" s="176">
        <f t="shared" si="2710"/>
        <v>3.7622735349285303</v>
      </c>
      <c r="AK912" s="176">
        <f t="shared" si="2711"/>
        <v>0</v>
      </c>
      <c r="AL912" s="120">
        <f t="shared" si="2693"/>
        <v>0.2090845977328859</v>
      </c>
      <c r="AM912" s="120">
        <f t="shared" si="2694"/>
        <v>0.30279354913331508</v>
      </c>
      <c r="AN912" s="120">
        <f t="shared" si="2695"/>
        <v>0.48812185313379902</v>
      </c>
      <c r="AO912" s="120">
        <f t="shared" si="2699"/>
        <v>3.5990820446747309E-3</v>
      </c>
      <c r="AP912" s="173">
        <f t="shared" si="2715"/>
        <v>102.71880211444343</v>
      </c>
      <c r="AQ912" s="175">
        <f t="shared" si="2716"/>
        <v>3.599082044674704E-3</v>
      </c>
      <c r="AR912" s="177">
        <f>+AC912/$AE$48</f>
        <v>1.3892294794263977E-2</v>
      </c>
      <c r="AS912" s="177">
        <f t="shared" si="2712"/>
        <v>4.9999508753363338E-5</v>
      </c>
      <c r="AT912" s="177"/>
      <c r="AU912" s="177"/>
      <c r="AV912" s="177"/>
      <c r="AW912" s="190"/>
      <c r="AX912" s="120"/>
      <c r="AY912" s="120"/>
      <c r="AZ912" s="118">
        <f>IFERROR(INDEX('Total Customers'!$F$7:$AB$91,MATCH($C912,'Total Customers'!$D$7:$D$91,0),MATCH($G912,'Total Customers'!$F$5:$AB$5,0)),"NA")</f>
        <v>472605</v>
      </c>
      <c r="BA912" s="119">
        <f t="shared" si="2674"/>
        <v>1.4512174431506618E-2</v>
      </c>
      <c r="BB912" s="119"/>
      <c r="BC912" s="121"/>
      <c r="BD912" s="119"/>
      <c r="BE912" s="119"/>
      <c r="BF912" s="119"/>
      <c r="BG912" s="173"/>
      <c r="BH912" s="173"/>
      <c r="BI912" s="173"/>
      <c r="BJ912" s="173"/>
      <c r="BK912" s="173"/>
      <c r="BL912" s="173"/>
      <c r="BM912" s="173"/>
      <c r="BN912" s="173"/>
      <c r="BO912" s="173"/>
      <c r="BP912" s="173"/>
      <c r="BQ912" s="118"/>
      <c r="BR912" s="118"/>
      <c r="BS912" s="118">
        <f>INDEX('Dist. Plant Gas Additions'!$F$7:$AE$91,MATCH($C912,'Dist. Plant Gas Additions'!$D$7:$D$91,0),MATCH(Calculation!$G912,'Dist. Plant Gas Additions'!$F$5:$AE$5,0))</f>
        <v>34391</v>
      </c>
      <c r="BT912" s="118">
        <f>INDEX('Gen. Plant Additions'!$F$7:$AE$91,MATCH($C912,'Gen. Plant Additions'!$D$7:$D$91,0),MATCH(Calculation!$G912,'Gen. Plant Additions'!$F$5:$AE$5,0))</f>
        <v>6850</v>
      </c>
      <c r="BU912" s="118"/>
      <c r="BV912" s="118"/>
      <c r="BW912" s="118">
        <f>INDEX('Dist Plant Depreciation'!$E$7:$AD$94,MATCH($C912,'Dist Plant Depreciation'!$D$7:$D$94,0),MATCH(Calculation!$G912,'Dist Plant Depreciation'!$E$5:$AD$5,0))</f>
        <v>214896</v>
      </c>
      <c r="BX912" s="118">
        <f>INDEX('Gen. Plant Depreciation'!$E$7:$AD$94,MATCH($C912,'Gen. Plant Depreciation'!$D$7:$D$94,0),MATCH(Calculation!$G912,'Gen. Plant Depreciation'!$E$5:$AD$5,0))</f>
        <v>28237</v>
      </c>
      <c r="BY912" s="118"/>
      <c r="BZ912" s="118"/>
      <c r="CA912" s="118"/>
      <c r="CB912" s="118"/>
      <c r="CC912" s="118"/>
      <c r="CD912" s="183"/>
      <c r="CE912" s="118">
        <f>INDEX('Gross Dx Plant'!$E$7:$AD$91,MATCH($C912,'Gross Dx Plant'!$D$7:$D$91,0),MATCH(Calculation!$G912,'Gross Dx Plant'!$E$5:$AD$5,0))</f>
        <v>1077792</v>
      </c>
      <c r="CF912" s="118">
        <f>INDEX('Gross Gen Plant'!$E$7:$AD$91,MATCH($C912,'Gross Gen Plant'!$D$7:$D$91,0),MATCH(Calculation!$G912,'Gross Gen Plant'!$E$5:$AD$5,0))</f>
        <v>69754</v>
      </c>
      <c r="CG912" s="118">
        <f t="shared" si="2598"/>
        <v>904413</v>
      </c>
      <c r="CH912" s="118"/>
      <c r="CI912" s="121">
        <v>2010</v>
      </c>
      <c r="CJ912" s="118"/>
      <c r="CK912" s="118"/>
      <c r="CL912" s="118"/>
      <c r="CM912" s="183"/>
      <c r="CN912" s="118">
        <f t="shared" si="2675"/>
        <v>41241</v>
      </c>
      <c r="CO912" s="118">
        <f t="shared" si="2676"/>
        <v>72.48112629388612</v>
      </c>
      <c r="CP912" s="186">
        <v>0.9285714285714286</v>
      </c>
      <c r="CQ912" s="118">
        <f>+CQ900*CP912+CO901*CP911+CO902*CP910+CO903*CP909+CO904*CP908+CO905*CP907+CO906*CP906+CO907*CP905+CO908*CP904+CO909*CP903+CO910*CP902+CO911*CP901+CO912</f>
        <v>3647.1096858030705</v>
      </c>
      <c r="CR912" s="119">
        <f t="shared" si="2677"/>
        <v>1.3050828609489225E-2</v>
      </c>
      <c r="CS912" s="119"/>
      <c r="CT912" s="177">
        <f t="shared" si="2678"/>
        <v>6.9982842359300954E-3</v>
      </c>
      <c r="CU912" s="177">
        <f t="shared" si="2686"/>
        <v>6.7626197035591945E-3</v>
      </c>
      <c r="CV912" s="119">
        <f>VLOOKUP($H912,RoR!$E:$F,2,FALSE)</f>
        <v>4.9433333333333322E-2</v>
      </c>
      <c r="CW912" s="177">
        <v>1.1684333519300205E-2</v>
      </c>
      <c r="CX912" s="177">
        <f t="shared" si="2684"/>
        <v>3.7748999814033117E-2</v>
      </c>
      <c r="CY912" s="177">
        <f t="shared" si="2687"/>
        <v>2.4139321904974431E-2</v>
      </c>
      <c r="CZ912" s="177">
        <f t="shared" si="2688"/>
        <v>4.7937530248493419E-2</v>
      </c>
      <c r="DA912" s="187">
        <f t="shared" si="2679"/>
        <v>0.86875000000000002</v>
      </c>
      <c r="DB912" s="188">
        <f t="shared" si="2680"/>
        <v>1.037398205301105</v>
      </c>
      <c r="DC912" s="188">
        <f t="shared" si="2681"/>
        <v>0.46926837491571133</v>
      </c>
      <c r="DD912" s="188">
        <f t="shared" si="2682"/>
        <v>0.8548537519972772</v>
      </c>
      <c r="DE912" s="188">
        <f t="shared" si="2683"/>
        <v>0.41615833911547367</v>
      </c>
      <c r="DF912" s="189">
        <f>INDEX('State Tax Lookup'!$D$7:$Z$91,MATCH(Calculation!$C912,'State Tax Lookup'!$B$7:$B$91,0),MATCH($H912,'State Tax Lookup'!$D$6:$Z$6,0))</f>
        <v>0.35</v>
      </c>
      <c r="DG912" s="189">
        <v>0.375</v>
      </c>
      <c r="DH912" s="190">
        <f t="shared" si="2685"/>
        <v>18.293313168895537</v>
      </c>
      <c r="DI912" s="190">
        <v>17.978688945616362</v>
      </c>
      <c r="DJ912" s="177"/>
      <c r="DK912" s="189">
        <f>VLOOKUP($H912,RoR!$E:$F,2,FALSE)</f>
        <v>4.9433333333333322E-2</v>
      </c>
      <c r="DL912" s="191">
        <f>HLOOKUP($H912,'GDP-PI'!$D$8:$CQ$11,3,FALSE)</f>
        <v>1.1684333519300205E-2</v>
      </c>
      <c r="DM912" s="189">
        <f>VLOOKUP(H912,'HW Dx Data'!$E:$F,2,FALSE)</f>
        <v>568.98950262971744</v>
      </c>
      <c r="DN912" s="183">
        <f>VLOOKUP(H912,'ECI - Input Price'!$G$17:$H$37,2,FALSE)</f>
        <v>111.875</v>
      </c>
      <c r="DO912" s="177">
        <f t="shared" ref="DO912" si="2721">LN(DN912/DN911)</f>
        <v>1.8949360147238387E-2</v>
      </c>
      <c r="DP912" s="183">
        <f>HLOOKUP(H912,'GDP-PI'!$8:$9,2,FALSE)</f>
        <v>96.108999999999995</v>
      </c>
      <c r="DQ912" s="177">
        <f t="shared" ref="DQ912" si="2722">LN(DP912/DP911)</f>
        <v>1.1616598807150427E-2</v>
      </c>
    </row>
    <row r="913" spans="1:121" s="167" customFormat="1" ht="21" x14ac:dyDescent="0.35">
      <c r="A913" s="167" t="s">
        <v>94</v>
      </c>
      <c r="B913" s="167" t="s">
        <v>94</v>
      </c>
      <c r="C913" s="167">
        <v>4057139</v>
      </c>
      <c r="D913" s="168" t="s">
        <v>148</v>
      </c>
      <c r="E913" s="168"/>
      <c r="F913" s="198"/>
      <c r="G913" s="167" t="s">
        <v>17</v>
      </c>
      <c r="H913" s="169">
        <v>2011</v>
      </c>
      <c r="I913" s="170"/>
      <c r="J913" s="166">
        <f>IFERROR(INDEX('Labor Expenditures'!$F$7:$X$91,MATCH($C913,'Labor Expenditures'!$D$7:$D$91,0),MATCH($G913,'Labor Expenditures'!$F$5:$X$5,0)),"NA")</f>
        <v>27594.905154207478</v>
      </c>
      <c r="K913" s="166">
        <f t="shared" si="2691"/>
        <v>241.42524194407244</v>
      </c>
      <c r="L913" s="172">
        <f t="shared" si="2698"/>
        <v>-4.3406855418880494E-2</v>
      </c>
      <c r="M913" s="172">
        <f t="shared" si="2702"/>
        <v>-5.9030770446565463E-4</v>
      </c>
      <c r="N913" s="196"/>
      <c r="O913" s="172"/>
      <c r="P913" s="166">
        <f>IFERROR(INDEX('Non-Labor Expenditures'!$F$7:$AB$91,MATCH($C913,'Non-Labor Expenditures'!$D$7:$D$91,0),MATCH($G913,'Non-Labor Expenditures'!$F$5:$AB$5,0)),"NA")</f>
        <v>39962.576680632686</v>
      </c>
      <c r="Q913" s="166">
        <f t="shared" si="2692"/>
        <v>407.31589082510487</v>
      </c>
      <c r="R913" s="172">
        <f t="shared" si="2703"/>
        <v>-4.2589180425984134E-2</v>
      </c>
      <c r="S913" s="172">
        <f t="shared" si="2708"/>
        <v>-5.7918780546818726E-4</v>
      </c>
      <c r="T913" s="172"/>
      <c r="U913" s="172"/>
      <c r="V913" s="166">
        <f t="shared" si="2673"/>
        <v>71140.888965485166</v>
      </c>
      <c r="W913" s="170"/>
      <c r="X913" s="174">
        <v>3717.9172224071417</v>
      </c>
      <c r="Y913" s="175">
        <v>1.9228638041493131E-2</v>
      </c>
      <c r="Z913" s="175">
        <f t="shared" si="2709"/>
        <v>2.6149816826716169E-4</v>
      </c>
      <c r="AA913" s="175"/>
      <c r="AB913" s="175"/>
      <c r="AC913" s="170">
        <f t="shared" si="2659"/>
        <v>138698.37080032533</v>
      </c>
      <c r="AD913" s="175">
        <f t="shared" si="2704"/>
        <v>2.7691624930415191E-2</v>
      </c>
      <c r="AE913" s="170"/>
      <c r="AF913" s="170"/>
      <c r="AG913" s="121">
        <f t="shared" si="2705"/>
        <v>288.78648038711862</v>
      </c>
      <c r="AH913" s="119">
        <f>+AZ913/$BB$49</f>
        <v>1.3328565484929059E-2</v>
      </c>
      <c r="AI913" s="119"/>
      <c r="AJ913" s="176">
        <f t="shared" si="2710"/>
        <v>3.8491095150018917</v>
      </c>
      <c r="AK913" s="176">
        <f t="shared" si="2711"/>
        <v>0</v>
      </c>
      <c r="AL913" s="120">
        <f t="shared" si="2693"/>
        <v>0.19895623138886034</v>
      </c>
      <c r="AM913" s="120">
        <f t="shared" si="2694"/>
        <v>0.28812578294927566</v>
      </c>
      <c r="AN913" s="120">
        <f t="shared" si="2695"/>
        <v>0.51291798566186397</v>
      </c>
      <c r="AO913" s="120">
        <f t="shared" si="2699"/>
        <v>-1.181495330031941E-2</v>
      </c>
      <c r="AP913" s="173">
        <f t="shared" si="2715"/>
        <v>101.51232553126069</v>
      </c>
      <c r="AQ913" s="175">
        <f t="shared" si="2716"/>
        <v>-1.1814953300319392E-2</v>
      </c>
      <c r="AR913" s="177">
        <f>+AC913/$AE$49</f>
        <v>1.3599411861769904E-2</v>
      </c>
      <c r="AS913" s="177">
        <f t="shared" si="2712"/>
        <v>-1.6067641605862102E-4</v>
      </c>
      <c r="AT913" s="177"/>
      <c r="AU913" s="177"/>
      <c r="AV913" s="177"/>
      <c r="AW913" s="190"/>
      <c r="AX913" s="120"/>
      <c r="AY913" s="120"/>
      <c r="AZ913" s="118">
        <f>IFERROR(INDEX('Total Customers'!$F$7:$AB$91,MATCH($C913,'Total Customers'!$D$7:$D$91,0),MATCH($G913,'Total Customers'!$F$5:$AB$5,0)),"NA")</f>
        <v>480280</v>
      </c>
      <c r="BA913" s="119">
        <f t="shared" si="2674"/>
        <v>1.6109322694198191E-2</v>
      </c>
      <c r="BB913" s="119"/>
      <c r="BC913" s="121"/>
      <c r="BD913" s="119"/>
      <c r="BE913" s="119"/>
      <c r="BF913" s="119"/>
      <c r="BG913" s="173"/>
      <c r="BH913" s="173"/>
      <c r="BI913" s="173"/>
      <c r="BJ913" s="173"/>
      <c r="BK913" s="173"/>
      <c r="BL913" s="173"/>
      <c r="BM913" s="173"/>
      <c r="BN913" s="173"/>
      <c r="BO913" s="173"/>
      <c r="BP913" s="173"/>
      <c r="BQ913" s="118"/>
      <c r="BR913" s="118"/>
      <c r="BS913" s="118">
        <f>INDEX('Dist. Plant Gas Additions'!$F$7:$AE$91,MATCH($C913,'Dist. Plant Gas Additions'!$D$7:$D$91,0),MATCH(Calculation!$G913,'Dist. Plant Gas Additions'!$F$5:$AE$5,0))</f>
        <v>51184</v>
      </c>
      <c r="BT913" s="118">
        <f>INDEX('Gen. Plant Additions'!$F$7:$AE$91,MATCH($C913,'Gen. Plant Additions'!$D$7:$D$91,0),MATCH(Calculation!$G913,'Gen. Plant Additions'!$F$5:$AE$5,0))</f>
        <v>8295</v>
      </c>
      <c r="BU913" s="118"/>
      <c r="BV913" s="118"/>
      <c r="BW913" s="118">
        <f>INDEX('Dist Plant Depreciation'!$E$7:$AD$94,MATCH($C913,'Dist Plant Depreciation'!$D$7:$D$94,0),MATCH(Calculation!$G913,'Dist Plant Depreciation'!$E$5:$AD$5,0))</f>
        <v>228187</v>
      </c>
      <c r="BX913" s="118">
        <f>INDEX('Gen. Plant Depreciation'!$E$7:$AD$94,MATCH($C913,'Gen. Plant Depreciation'!$D$7:$D$94,0),MATCH(Calculation!$G913,'Gen. Plant Depreciation'!$E$5:$AD$5,0))</f>
        <v>25005</v>
      </c>
      <c r="BY913" s="118"/>
      <c r="BZ913" s="118"/>
      <c r="CA913" s="118"/>
      <c r="CB913" s="118"/>
      <c r="CC913" s="118"/>
      <c r="CD913" s="183"/>
      <c r="CE913" s="118">
        <f>INDEX('Gross Dx Plant'!$E$7:$AD$91,MATCH($C913,'Gross Dx Plant'!$D$7:$D$91,0),MATCH(Calculation!$G913,'Gross Dx Plant'!$E$5:$AD$5,0))</f>
        <v>1114563</v>
      </c>
      <c r="CF913" s="118">
        <f>INDEX('Gross Gen Plant'!$E$7:$AD$91,MATCH($C913,'Gross Gen Plant'!$D$7:$D$91,0),MATCH(Calculation!$G913,'Gross Gen Plant'!$E$5:$AD$5,0))</f>
        <v>70344</v>
      </c>
      <c r="CG913" s="118">
        <f t="shared" si="2598"/>
        <v>931715</v>
      </c>
      <c r="CH913" s="118"/>
      <c r="CI913" s="121">
        <v>2011</v>
      </c>
      <c r="CJ913" s="118"/>
      <c r="CK913" s="118"/>
      <c r="CL913" s="118"/>
      <c r="CM913" s="183"/>
      <c r="CN913" s="118">
        <f t="shared" si="2675"/>
        <v>59479</v>
      </c>
      <c r="CO913" s="118">
        <f t="shared" si="2676"/>
        <v>97.249707170215601</v>
      </c>
      <c r="CP913" s="186">
        <v>0.92121212121212126</v>
      </c>
      <c r="CQ913" s="118">
        <f>+CQ900*CP913+CO901*CP912+CO902*CP911+CO903*CP910+CO904*CP909+CO905*CP908+CO906*CP907+CO907*CP906+CO908*CP905+CO909*CP904+CO910*CP903+CO911*CP902+CO912*CP901+CO913</f>
        <v>3717.9172224071417</v>
      </c>
      <c r="CR913" s="119">
        <f t="shared" si="2677"/>
        <v>1.9228638041493131E-2</v>
      </c>
      <c r="CS913" s="119"/>
      <c r="CT913" s="177">
        <f t="shared" si="2678"/>
        <v>7.2501714629188696E-3</v>
      </c>
      <c r="CU913" s="177">
        <f t="shared" si="2686"/>
        <v>6.99900185073865E-3</v>
      </c>
      <c r="CV913" s="119">
        <f>VLOOKUP($H913,RoR!$E:$F,2,FALSE)</f>
        <v>4.6391666666666664E-2</v>
      </c>
      <c r="CW913" s="177">
        <v>2.0840920205183799E-2</v>
      </c>
      <c r="CX913" s="177">
        <f t="shared" si="2684"/>
        <v>2.5550746461482865E-2</v>
      </c>
      <c r="CY913" s="177">
        <f t="shared" si="2687"/>
        <v>2.3902939757794974E-2</v>
      </c>
      <c r="CZ913" s="177">
        <f t="shared" si="2688"/>
        <v>2.4810540821321614E-2</v>
      </c>
      <c r="DA913" s="187">
        <f t="shared" si="2679"/>
        <v>0.86875000000000002</v>
      </c>
      <c r="DB913" s="188">
        <f t="shared" si="2680"/>
        <v>1.1054151524782025</v>
      </c>
      <c r="DC913" s="188">
        <f t="shared" si="2681"/>
        <v>0.43611011316687626</v>
      </c>
      <c r="DD913" s="188">
        <f t="shared" si="2682"/>
        <v>0.83698442246886229</v>
      </c>
      <c r="DE913" s="188">
        <f t="shared" si="2683"/>
        <v>0.40349573304423936</v>
      </c>
      <c r="DF913" s="189">
        <f>INDEX('State Tax Lookup'!$D$7:$Z$91,MATCH(Calculation!$C913,'State Tax Lookup'!$B$7:$B$91,0),MATCH($H913,'State Tax Lookup'!$D$6:$Z$6,0))</f>
        <v>0.35</v>
      </c>
      <c r="DG913" s="189">
        <v>0.375</v>
      </c>
      <c r="DH913" s="190">
        <f t="shared" si="2685"/>
        <v>19.506100746684943</v>
      </c>
      <c r="DI913" s="190">
        <v>19.161882002946676</v>
      </c>
      <c r="DJ913" s="177"/>
      <c r="DK913" s="189">
        <f>VLOOKUP($H913,RoR!$E:$F,2,FALSE)</f>
        <v>4.6391666666666664E-2</v>
      </c>
      <c r="DL913" s="191">
        <f>HLOOKUP($H913,'GDP-PI'!$D$8:$CQ$11,3,FALSE)</f>
        <v>2.0840920205183799E-2</v>
      </c>
      <c r="DM913" s="189">
        <f>VLOOKUP(H913,'HW Dx Data'!$E:$F,2,FALSE)</f>
        <v>611.61109612283201</v>
      </c>
      <c r="DN913" s="183">
        <f>VLOOKUP(H913,'ECI - Input Price'!$G$17:$H$37,2,FALSE)</f>
        <v>114.3</v>
      </c>
      <c r="DO913" s="177">
        <f t="shared" ref="DO913" si="2723">LN(DN913/DN912)</f>
        <v>2.1444394205745516E-2</v>
      </c>
      <c r="DP913" s="183">
        <f>HLOOKUP(H913,'GDP-PI'!$8:$9,2,FALSE)</f>
        <v>98.111999999999995</v>
      </c>
      <c r="DQ913" s="177">
        <f t="shared" ref="DQ913" si="2724">LN(DP913/DP912)</f>
        <v>2.0626719212849295E-2</v>
      </c>
    </row>
    <row r="914" spans="1:121" s="167" customFormat="1" ht="21" x14ac:dyDescent="0.35">
      <c r="A914" s="167" t="s">
        <v>94</v>
      </c>
      <c r="B914" s="167" t="s">
        <v>94</v>
      </c>
      <c r="C914" s="167">
        <v>4057139</v>
      </c>
      <c r="D914" s="168" t="s">
        <v>148</v>
      </c>
      <c r="E914" s="168"/>
      <c r="F914" s="198"/>
      <c r="G914" s="167" t="s">
        <v>18</v>
      </c>
      <c r="H914" s="169">
        <v>2012</v>
      </c>
      <c r="I914" s="170"/>
      <c r="J914" s="166">
        <f>IFERROR(INDEX('Labor Expenditures'!$F$7:$X$91,MATCH($C914,'Labor Expenditures'!$D$7:$D$91,0),MATCH($G914,'Labor Expenditures'!$F$5:$X$5,0)),"NA")</f>
        <v>28991.516246552466</v>
      </c>
      <c r="K914" s="166">
        <f t="shared" si="2691"/>
        <v>248.85421670860487</v>
      </c>
      <c r="L914" s="172">
        <f t="shared" si="2698"/>
        <v>3.0307381938896052E-2</v>
      </c>
      <c r="M914" s="172">
        <f t="shared" si="2702"/>
        <v>4.2332745165328089E-4</v>
      </c>
      <c r="N914" s="196"/>
      <c r="O914" s="172"/>
      <c r="P914" s="166">
        <f>IFERROR(INDEX('Non-Labor Expenditures'!$F$7:$AB$91,MATCH($C914,'Non-Labor Expenditures'!$D$7:$D$91,0),MATCH($G914,'Non-Labor Expenditures'!$F$5:$AB$5,0)),"NA")</f>
        <v>41985.130393318628</v>
      </c>
      <c r="Q914" s="166">
        <f t="shared" si="2692"/>
        <v>419.85130393318627</v>
      </c>
      <c r="R914" s="172">
        <f t="shared" si="2703"/>
        <v>3.0311581405143825E-2</v>
      </c>
      <c r="S914" s="172">
        <f t="shared" si="2708"/>
        <v>4.2338610895824232E-4</v>
      </c>
      <c r="T914" s="172"/>
      <c r="U914" s="172"/>
      <c r="V914" s="166">
        <f t="shared" si="2673"/>
        <v>78289.226451631665</v>
      </c>
      <c r="W914" s="170"/>
      <c r="X914" s="174">
        <v>3772.0920281574822</v>
      </c>
      <c r="Y914" s="175">
        <v>1.4466137141946098E-2</v>
      </c>
      <c r="Z914" s="175">
        <f t="shared" si="2709"/>
        <v>2.0206011142478712E-4</v>
      </c>
      <c r="AA914" s="175"/>
      <c r="AB914" s="175"/>
      <c r="AC914" s="170">
        <f t="shared" si="2659"/>
        <v>149265.87309150276</v>
      </c>
      <c r="AD914" s="175">
        <f t="shared" si="2704"/>
        <v>7.3427517950284682E-2</v>
      </c>
      <c r="AE914" s="170"/>
      <c r="AF914" s="170"/>
      <c r="AG914" s="121">
        <f t="shared" si="2705"/>
        <v>305.35396445690162</v>
      </c>
      <c r="AH914" s="119">
        <f>+AZ914/$BB$50</f>
        <v>1.3500533833664174E-2</v>
      </c>
      <c r="AI914" s="119"/>
      <c r="AJ914" s="176">
        <f t="shared" si="2710"/>
        <v>4.122441528393888</v>
      </c>
      <c r="AK914" s="176">
        <f t="shared" si="2711"/>
        <v>0</v>
      </c>
      <c r="AL914" s="120">
        <f t="shared" si="2693"/>
        <v>0.19422735851201653</v>
      </c>
      <c r="AM914" s="120">
        <f t="shared" si="2694"/>
        <v>0.28127749179198491</v>
      </c>
      <c r="AN914" s="120">
        <f t="shared" si="2695"/>
        <v>0.52449514969599853</v>
      </c>
      <c r="AO914" s="120">
        <f t="shared" si="2699"/>
        <v>2.2091619817425235E-2</v>
      </c>
      <c r="AP914" s="173">
        <f t="shared" si="2715"/>
        <v>103.77985167697344</v>
      </c>
      <c r="AQ914" s="175">
        <f t="shared" si="2716"/>
        <v>2.2091619817425259E-2</v>
      </c>
      <c r="AR914" s="177">
        <f>+AC914/$AE$50</f>
        <v>1.3967800072826105E-2</v>
      </c>
      <c r="AS914" s="177">
        <f t="shared" si="2712"/>
        <v>3.0857132889467918E-4</v>
      </c>
      <c r="AT914" s="177"/>
      <c r="AU914" s="177"/>
      <c r="AV914" s="177"/>
      <c r="AW914" s="190"/>
      <c r="AX914" s="120"/>
      <c r="AY914" s="120"/>
      <c r="AZ914" s="118">
        <f>IFERROR(INDEX('Total Customers'!$F$7:$AB$91,MATCH($C914,'Total Customers'!$D$7:$D$91,0),MATCH($G914,'Total Customers'!$F$5:$AB$5,0)),"NA")</f>
        <v>488829</v>
      </c>
      <c r="BA914" s="119">
        <f t="shared" si="2674"/>
        <v>1.7643467903877986E-2</v>
      </c>
      <c r="BB914" s="119"/>
      <c r="BC914" s="121"/>
      <c r="BD914" s="119"/>
      <c r="BE914" s="119"/>
      <c r="BF914" s="119"/>
      <c r="BG914" s="173"/>
      <c r="BH914" s="173"/>
      <c r="BI914" s="173"/>
      <c r="BJ914" s="173"/>
      <c r="BK914" s="173"/>
      <c r="BL914" s="173"/>
      <c r="BM914" s="173"/>
      <c r="BN914" s="173"/>
      <c r="BO914" s="173"/>
      <c r="BP914" s="173"/>
      <c r="BQ914" s="118"/>
      <c r="BR914" s="118"/>
      <c r="BS914" s="118">
        <f>INDEX('Dist. Plant Gas Additions'!$F$7:$AE$91,MATCH($C914,'Dist. Plant Gas Additions'!$D$7:$D$91,0),MATCH(Calculation!$G914,'Dist. Plant Gas Additions'!$F$5:$AE$5,0))</f>
        <v>44813</v>
      </c>
      <c r="BT914" s="118">
        <f>INDEX('Gen. Plant Additions'!$F$7:$AE$91,MATCH($C914,'Gen. Plant Additions'!$D$7:$D$91,0),MATCH(Calculation!$G914,'Gen. Plant Additions'!$F$5:$AE$5,0))</f>
        <v>10071</v>
      </c>
      <c r="BU914" s="118"/>
      <c r="BV914" s="118"/>
      <c r="BW914" s="118">
        <f>INDEX('Dist Plant Depreciation'!$E$7:$AD$94,MATCH($C914,'Dist Plant Depreciation'!$D$7:$D$94,0),MATCH(Calculation!$G914,'Dist Plant Depreciation'!$E$5:$AD$5,0))</f>
        <v>244495</v>
      </c>
      <c r="BX914" s="118">
        <f>INDEX('Gen. Plant Depreciation'!$E$7:$AD$94,MATCH($C914,'Gen. Plant Depreciation'!$D$7:$D$94,0),MATCH(Calculation!$G914,'Gen. Plant Depreciation'!$E$5:$AD$5,0))</f>
        <v>21439</v>
      </c>
      <c r="BY914" s="118"/>
      <c r="BZ914" s="118"/>
      <c r="CA914" s="118"/>
      <c r="CB914" s="118"/>
      <c r="CC914" s="118"/>
      <c r="CD914" s="183"/>
      <c r="CE914" s="118">
        <f>INDEX('Gross Dx Plant'!$E$7:$AD$91,MATCH($C914,'Gross Dx Plant'!$D$7:$D$91,0),MATCH(Calculation!$G914,'Gross Dx Plant'!$E$5:$AD$5,0))</f>
        <v>1156607</v>
      </c>
      <c r="CF914" s="118">
        <f>INDEX('Gross Gen Plant'!$E$7:$AD$91,MATCH($C914,'Gross Gen Plant'!$D$7:$D$91,0),MATCH(Calculation!$G914,'Gross Gen Plant'!$E$5:$AD$5,0))</f>
        <v>72424</v>
      </c>
      <c r="CG914" s="118">
        <f t="shared" si="2598"/>
        <v>963097</v>
      </c>
      <c r="CH914" s="118"/>
      <c r="CI914" s="121">
        <v>2012</v>
      </c>
      <c r="CJ914" s="118"/>
      <c r="CK914" s="118"/>
      <c r="CL914" s="118"/>
      <c r="CM914" s="183"/>
      <c r="CN914" s="118">
        <f t="shared" si="2675"/>
        <v>54884</v>
      </c>
      <c r="CO914" s="118">
        <f t="shared" si="2676"/>
        <v>82.04875862557239</v>
      </c>
      <c r="CP914" s="186">
        <v>0.9135802469135802</v>
      </c>
      <c r="CQ914" s="118">
        <f>+CQ900*CP914+CO901*CP913+CO902*CP912+CO903*CP911+CO904*CP910+CO905*CP909+CO906*CP908+CO907*CP907+CO908*CP906+CO909*CP905+CO910*CP904+CO911*CP903+CO912*CP902+CO913*CP901+CO914</f>
        <v>3772.0920281574822</v>
      </c>
      <c r="CR914" s="119">
        <f t="shared" si="2677"/>
        <v>1.4466137141946098E-2</v>
      </c>
      <c r="CS914" s="119"/>
      <c r="CT914" s="177">
        <f t="shared" si="2678"/>
        <v>7.4971956630021652E-3</v>
      </c>
      <c r="CU914" s="177">
        <f t="shared" si="2686"/>
        <v>7.2485504539503767E-3</v>
      </c>
      <c r="CV914" s="119">
        <f>VLOOKUP($H914,RoR!$E:$F,2,FALSE)</f>
        <v>3.6733333333333333E-2</v>
      </c>
      <c r="CW914" s="177">
        <v>1.924331376386168E-2</v>
      </c>
      <c r="CX914" s="177">
        <f t="shared" si="2684"/>
        <v>1.7490019569471653E-2</v>
      </c>
      <c r="CY914" s="177">
        <f t="shared" si="2687"/>
        <v>2.3653391154583248E-2</v>
      </c>
      <c r="CZ914" s="177">
        <f t="shared" si="2688"/>
        <v>6.7122682943869583E-2</v>
      </c>
      <c r="DA914" s="187">
        <f t="shared" si="2679"/>
        <v>0.86875000000000002</v>
      </c>
      <c r="DB914" s="188">
        <f t="shared" si="2680"/>
        <v>1.3960631020522127</v>
      </c>
      <c r="DC914" s="188">
        <f t="shared" si="2681"/>
        <v>0.29441923774954631</v>
      </c>
      <c r="DD914" s="188">
        <f t="shared" si="2682"/>
        <v>0.76377954189366437</v>
      </c>
      <c r="DE914" s="188">
        <f t="shared" si="2683"/>
        <v>0.31393465103033691</v>
      </c>
      <c r="DF914" s="189">
        <f>INDEX('State Tax Lookup'!$D$7:$Z$91,MATCH(Calculation!$C914,'State Tax Lookup'!$B$7:$B$91,0),MATCH($H914,'State Tax Lookup'!$D$6:$Z$6,0))</f>
        <v>0.35</v>
      </c>
      <c r="DG914" s="189">
        <v>0.375</v>
      </c>
      <c r="DH914" s="190">
        <f t="shared" si="2685"/>
        <v>21.057280667734663</v>
      </c>
      <c r="DI914" s="190">
        <v>20.731721982930942</v>
      </c>
      <c r="DJ914" s="177"/>
      <c r="DK914" s="189">
        <f>VLOOKUP($H914,RoR!$E:$F,2,FALSE)</f>
        <v>3.6733333333333333E-2</v>
      </c>
      <c r="DL914" s="191">
        <f>HLOOKUP($H914,'GDP-PI'!$D$8:$CQ$11,3,FALSE)</f>
        <v>1.924331376386168E-2</v>
      </c>
      <c r="DM914" s="189">
        <f>VLOOKUP(H914,'HW Dx Data'!$E:$F,2,FALSE)</f>
        <v>668.91932211262167</v>
      </c>
      <c r="DN914" s="183">
        <f>VLOOKUP(H914,'ECI - Input Price'!$G$17:$H$37,2,FALSE)</f>
        <v>116.5</v>
      </c>
      <c r="DO914" s="177">
        <f t="shared" ref="DO914" si="2725">LN(DN914/DN913)</f>
        <v>1.9064702204990347E-2</v>
      </c>
      <c r="DP914" s="183">
        <f>HLOOKUP(H914,'GDP-PI'!$8:$9,2,FALSE)</f>
        <v>100</v>
      </c>
      <c r="DQ914" s="177">
        <f t="shared" ref="DQ914" si="2726">LN(DP914/DP913)</f>
        <v>1.9060502738742411E-2</v>
      </c>
    </row>
    <row r="915" spans="1:121" s="167" customFormat="1" ht="21" x14ac:dyDescent="0.35">
      <c r="A915" s="167" t="s">
        <v>94</v>
      </c>
      <c r="B915" s="167" t="s">
        <v>94</v>
      </c>
      <c r="C915" s="167">
        <v>4057139</v>
      </c>
      <c r="D915" s="168" t="s">
        <v>148</v>
      </c>
      <c r="E915" s="168"/>
      <c r="F915" s="198"/>
      <c r="G915" s="167" t="s">
        <v>19</v>
      </c>
      <c r="H915" s="169">
        <v>2013</v>
      </c>
      <c r="I915" s="170"/>
      <c r="J915" s="166">
        <f>IFERROR(INDEX('Labor Expenditures'!$F$7:$X$91,MATCH($C915,'Labor Expenditures'!$D$7:$D$91,0),MATCH($G915,'Labor Expenditures'!$F$5:$X$5,0)),"NA")</f>
        <v>29259.49249169325</v>
      </c>
      <c r="K915" s="166">
        <f t="shared" si="2691"/>
        <v>246.44760995319649</v>
      </c>
      <c r="L915" s="172">
        <f t="shared" si="2698"/>
        <v>-9.7178147344059648E-3</v>
      </c>
      <c r="M915" s="172">
        <f t="shared" si="2702"/>
        <v>-1.3114973224160942E-4</v>
      </c>
      <c r="N915" s="196"/>
      <c r="O915" s="172"/>
      <c r="P915" s="166">
        <f>IFERROR(INDEX('Non-Labor Expenditures'!$F$7:$AB$91,MATCH($C915,'Non-Labor Expenditures'!$D$7:$D$91,0),MATCH($G915,'Non-Labor Expenditures'!$F$5:$AB$5,0)),"NA")</f>
        <v>42373.210047341054</v>
      </c>
      <c r="Q915" s="166">
        <f t="shared" si="2692"/>
        <v>416.35021122833223</v>
      </c>
      <c r="R915" s="172">
        <f t="shared" si="2703"/>
        <v>-8.3738503214863796E-3</v>
      </c>
      <c r="S915" s="172">
        <f t="shared" si="2708"/>
        <v>-1.1301185065876713E-4</v>
      </c>
      <c r="T915" s="172"/>
      <c r="U915" s="172"/>
      <c r="V915" s="166">
        <f t="shared" si="2673"/>
        <v>77966.532934303337</v>
      </c>
      <c r="W915" s="170"/>
      <c r="X915" s="174">
        <v>3823.6502681605089</v>
      </c>
      <c r="Y915" s="175">
        <v>1.3575771753342928E-2</v>
      </c>
      <c r="Z915" s="175">
        <f t="shared" si="2709"/>
        <v>1.8321596769286077E-4</v>
      </c>
      <c r="AA915" s="175"/>
      <c r="AB915" s="175"/>
      <c r="AC915" s="170">
        <f t="shared" si="2659"/>
        <v>149599.23547333764</v>
      </c>
      <c r="AD915" s="175">
        <f t="shared" si="2704"/>
        <v>2.2308560653997024E-3</v>
      </c>
      <c r="AE915" s="170"/>
      <c r="AF915" s="170"/>
      <c r="AG915" s="121">
        <f t="shared" si="2705"/>
        <v>299.65514538824698</v>
      </c>
      <c r="AH915" s="119">
        <f>+AZ915/$BB$51</f>
        <v>1.3699859656786292E-2</v>
      </c>
      <c r="AI915" s="119"/>
      <c r="AJ915" s="176">
        <f t="shared" si="2710"/>
        <v>4.1052334372528758</v>
      </c>
      <c r="AK915" s="176">
        <f t="shared" si="2711"/>
        <v>0</v>
      </c>
      <c r="AL915" s="120">
        <f t="shared" si="2693"/>
        <v>0.19558584239495014</v>
      </c>
      <c r="AM915" s="120">
        <f t="shared" si="2694"/>
        <v>0.28324483018426272</v>
      </c>
      <c r="AN915" s="120">
        <f t="shared" si="2695"/>
        <v>0.52116932742078714</v>
      </c>
      <c r="AO915" s="120">
        <f t="shared" si="2699"/>
        <v>2.8401721885547241E-3</v>
      </c>
      <c r="AP915" s="173">
        <f t="shared" si="2715"/>
        <v>104.07502329613177</v>
      </c>
      <c r="AQ915" s="175">
        <f t="shared" si="2716"/>
        <v>2.840172188554669E-3</v>
      </c>
      <c r="AR915" s="177">
        <f>+AC915/$AE$51</f>
        <v>1.3495804954716129E-2</v>
      </c>
      <c r="AS915" s="177">
        <f t="shared" si="2712"/>
        <v>3.8330409894543052E-5</v>
      </c>
      <c r="AT915" s="177"/>
      <c r="AU915" s="177"/>
      <c r="AV915" s="177"/>
      <c r="AW915" s="190"/>
      <c r="AX915" s="120"/>
      <c r="AY915" s="120"/>
      <c r="AZ915" s="118">
        <f>IFERROR(INDEX('Total Customers'!$F$7:$AB$91,MATCH($C915,'Total Customers'!$D$7:$D$91,0),MATCH($G915,'Total Customers'!$F$5:$AB$5,0)),"NA")</f>
        <v>499238</v>
      </c>
      <c r="BA915" s="119">
        <f t="shared" si="2674"/>
        <v>2.1070200886577618E-2</v>
      </c>
      <c r="BB915" s="119"/>
      <c r="BC915" s="121"/>
      <c r="BD915" s="119"/>
      <c r="BE915" s="119"/>
      <c r="BF915" s="119"/>
      <c r="BG915" s="173"/>
      <c r="BH915" s="173"/>
      <c r="BI915" s="173"/>
      <c r="BJ915" s="173"/>
      <c r="BK915" s="173"/>
      <c r="BL915" s="173"/>
      <c r="BM915" s="173"/>
      <c r="BN915" s="173"/>
      <c r="BO915" s="173"/>
      <c r="BP915" s="173"/>
      <c r="BQ915" s="118"/>
      <c r="BR915" s="118"/>
      <c r="BS915" s="118">
        <f>INDEX('Dist. Plant Gas Additions'!$F$7:$AE$91,MATCH($C915,'Dist. Plant Gas Additions'!$D$7:$D$91,0),MATCH(Calculation!$G915,'Dist. Plant Gas Additions'!$F$5:$AE$5,0))</f>
        <v>45046</v>
      </c>
      <c r="BT915" s="118">
        <f>INDEX('Gen. Plant Additions'!$F$7:$AE$91,MATCH($C915,'Gen. Plant Additions'!$D$7:$D$91,0),MATCH(Calculation!$G915,'Gen. Plant Additions'!$F$5:$AE$5,0))</f>
        <v>8581</v>
      </c>
      <c r="BU915" s="118"/>
      <c r="BV915" s="118"/>
      <c r="BW915" s="118">
        <f>INDEX('Dist Plant Depreciation'!$E$7:$AD$94,MATCH($C915,'Dist Plant Depreciation'!$D$7:$D$94,0),MATCH(Calculation!$G915,'Dist Plant Depreciation'!$E$5:$AD$5,0))</f>
        <v>261740</v>
      </c>
      <c r="BX915" s="118">
        <f>INDEX('Gen. Plant Depreciation'!$E$7:$AD$94,MATCH($C915,'Gen. Plant Depreciation'!$D$7:$D$94,0),MATCH(Calculation!$G915,'Gen. Plant Depreciation'!$E$5:$AD$5,0))</f>
        <v>19384</v>
      </c>
      <c r="BY915" s="118"/>
      <c r="BZ915" s="118"/>
      <c r="CA915" s="118"/>
      <c r="CB915" s="118"/>
      <c r="CC915" s="118"/>
      <c r="CD915" s="183"/>
      <c r="CE915" s="118">
        <f>INDEX('Gross Dx Plant'!$E$7:$AD$91,MATCH($C915,'Gross Dx Plant'!$D$7:$D$91,0),MATCH(Calculation!$G915,'Gross Dx Plant'!$E$5:$AD$5,0))</f>
        <v>1197804</v>
      </c>
      <c r="CF915" s="118">
        <f>INDEX('Gross Gen Plant'!$E$7:$AD$91,MATCH($C915,'Gross Gen Plant'!$D$7:$D$91,0),MATCH(Calculation!$G915,'Gross Gen Plant'!$E$5:$AD$5,0))</f>
        <v>74563</v>
      </c>
      <c r="CG915" s="118">
        <f t="shared" si="2598"/>
        <v>991243</v>
      </c>
      <c r="CH915" s="118"/>
      <c r="CI915" s="121">
        <v>2013</v>
      </c>
      <c r="CJ915" s="118"/>
      <c r="CK915" s="118"/>
      <c r="CL915" s="118"/>
      <c r="CM915" s="183"/>
      <c r="CN915" s="118">
        <f t="shared" si="2675"/>
        <v>53627</v>
      </c>
      <c r="CO915" s="118">
        <f t="shared" si="2676"/>
        <v>80.855075649259078</v>
      </c>
      <c r="CP915" s="186">
        <v>0.90566037735849059</v>
      </c>
      <c r="CQ915" s="118">
        <f>+CQ900*CP915+CO901*CP914+CO902*CP913+CO903*CP912+CO904*CP911+CO905*CP910+CO906*CP909+CO907*CP908+CO908*CP907+CO909*CP906+CO910*CP905+CO911*CP904+CO912*CP903+CO913*CP902+CO914*CP901+CO915</f>
        <v>3823.6502681605089</v>
      </c>
      <c r="CR915" s="119">
        <f t="shared" si="2677"/>
        <v>1.3575771753342928E-2</v>
      </c>
      <c r="CS915" s="119"/>
      <c r="CT915" s="177">
        <f t="shared" si="2678"/>
        <v>7.7667340636285546E-3</v>
      </c>
      <c r="CU915" s="177">
        <f t="shared" si="2686"/>
        <v>7.5047003965165301E-3</v>
      </c>
      <c r="CV915" s="119">
        <f>VLOOKUP($H915,RoR!$E:$F,2,FALSE)</f>
        <v>4.2350000000000006E-2</v>
      </c>
      <c r="CW915" s="177">
        <v>1.7730000000000024E-2</v>
      </c>
      <c r="CX915" s="177">
        <f t="shared" si="2684"/>
        <v>2.4619999999999982E-2</v>
      </c>
      <c r="CY915" s="177">
        <f t="shared" si="2687"/>
        <v>2.3397241212017094E-2</v>
      </c>
      <c r="CZ915" s="177">
        <f t="shared" si="2688"/>
        <v>5.3376742735721204E-2</v>
      </c>
      <c r="DA915" s="187">
        <f t="shared" si="2679"/>
        <v>0.86875000000000002</v>
      </c>
      <c r="DB915" s="188">
        <f t="shared" si="2680"/>
        <v>1.2109103018193925</v>
      </c>
      <c r="DC915" s="188">
        <f t="shared" si="2681"/>
        <v>0.38468122786304604</v>
      </c>
      <c r="DD915" s="188">
        <f t="shared" si="2682"/>
        <v>0.80969194503422559</v>
      </c>
      <c r="DE915" s="188">
        <f t="shared" si="2683"/>
        <v>0.37716621754800816</v>
      </c>
      <c r="DF915" s="189">
        <f>INDEX('State Tax Lookup'!$D$7:$Z$91,MATCH(Calculation!$C915,'State Tax Lookup'!$B$7:$B$91,0),MATCH($H915,'State Tax Lookup'!$D$6:$Z$6,0))</f>
        <v>0.35</v>
      </c>
      <c r="DG915" s="189">
        <v>0.375</v>
      </c>
      <c r="DH915" s="190">
        <f t="shared" si="2685"/>
        <v>20.669308265097367</v>
      </c>
      <c r="DI915" s="190">
        <v>20.332824400588347</v>
      </c>
      <c r="DJ915" s="177"/>
      <c r="DK915" s="189">
        <f>VLOOKUP($H915,RoR!$E:$F,2,FALSE)</f>
        <v>4.2350000000000006E-2</v>
      </c>
      <c r="DL915" s="191">
        <f>HLOOKUP($H915,'GDP-PI'!$D$8:$CQ$11,3,FALSE)</f>
        <v>1.7730000000000024E-2</v>
      </c>
      <c r="DM915" s="189">
        <f>VLOOKUP(H915,'HW Dx Data'!$E:$F,2,FALSE)</f>
        <v>663.24840548821396</v>
      </c>
      <c r="DN915" s="183">
        <f>VLOOKUP(H915,'ECI - Input Price'!$G$17:$H$37,2,FALSE)</f>
        <v>118.72499999999999</v>
      </c>
      <c r="DO915" s="177">
        <f t="shared" ref="DO915" si="2727">LN(DN915/DN914)</f>
        <v>1.8918621429430321E-2</v>
      </c>
      <c r="DP915" s="183">
        <f>HLOOKUP(H915,'GDP-PI'!$8:$9,2,FALSE)</f>
        <v>101.773</v>
      </c>
      <c r="DQ915" s="177">
        <f t="shared" ref="DQ915" si="2728">LN(DP915/DP914)</f>
        <v>1.7574657016510519E-2</v>
      </c>
    </row>
    <row r="916" spans="1:121" s="167" customFormat="1" ht="21" x14ac:dyDescent="0.35">
      <c r="A916" s="167" t="s">
        <v>94</v>
      </c>
      <c r="B916" s="167" t="s">
        <v>94</v>
      </c>
      <c r="C916" s="167">
        <v>4057139</v>
      </c>
      <c r="D916" s="168" t="s">
        <v>148</v>
      </c>
      <c r="E916" s="168"/>
      <c r="F916" s="198"/>
      <c r="G916" s="167" t="s">
        <v>20</v>
      </c>
      <c r="H916" s="169">
        <v>2014</v>
      </c>
      <c r="I916" s="170"/>
      <c r="J916" s="166">
        <f>IFERROR(INDEX('Labor Expenditures'!$F$7:$X$91,MATCH($C916,'Labor Expenditures'!$D$7:$D$91,0),MATCH($G916,'Labor Expenditures'!$F$5:$X$5,0)),"NA")</f>
        <v>29456.292253012794</v>
      </c>
      <c r="K916" s="166">
        <f t="shared" si="2691"/>
        <v>243.03871495885144</v>
      </c>
      <c r="L916" s="172">
        <f t="shared" si="2698"/>
        <v>-1.392868373835196E-2</v>
      </c>
      <c r="M916" s="172">
        <f t="shared" si="2702"/>
        <v>-1.8705375461392813E-4</v>
      </c>
      <c r="N916" s="196"/>
      <c r="O916" s="172"/>
      <c r="P916" s="166">
        <f>IFERROR(INDEX('Non-Labor Expenditures'!$F$7:$AB$91,MATCH($C916,'Non-Labor Expenditures'!$D$7:$D$91,0),MATCH($G916,'Non-Labor Expenditures'!$F$5:$AB$5,0)),"NA")</f>
        <v>42658.212858856903</v>
      </c>
      <c r="Q916" s="166">
        <f t="shared" si="2692"/>
        <v>411.57209430911558</v>
      </c>
      <c r="R916" s="172">
        <f t="shared" si="2703"/>
        <v>-1.1542556436579426E-2</v>
      </c>
      <c r="S916" s="172">
        <f t="shared" si="2708"/>
        <v>-1.5500951560558634E-4</v>
      </c>
      <c r="T916" s="172"/>
      <c r="U916" s="172"/>
      <c r="V916" s="166">
        <f t="shared" si="2673"/>
        <v>80709.363100527</v>
      </c>
      <c r="W916" s="170"/>
      <c r="X916" s="174">
        <v>3939.6074782317564</v>
      </c>
      <c r="Y916" s="175">
        <v>2.9875559596980742E-2</v>
      </c>
      <c r="Z916" s="175">
        <f t="shared" si="2709"/>
        <v>4.0121060243619489E-4</v>
      </c>
      <c r="AA916" s="175"/>
      <c r="AB916" s="175"/>
      <c r="AC916" s="170">
        <f t="shared" si="2659"/>
        <v>152823.86821239669</v>
      </c>
      <c r="AD916" s="175">
        <f t="shared" si="2704"/>
        <v>2.1326115057134953E-2</v>
      </c>
      <c r="AE916" s="170"/>
      <c r="AF916" s="170"/>
      <c r="AG916" s="121">
        <f t="shared" si="2705"/>
        <v>298.91322154342009</v>
      </c>
      <c r="AH916" s="119">
        <f>+AZ916/$BB$52</f>
        <v>1.3954585463499413E-2</v>
      </c>
      <c r="AI916" s="119"/>
      <c r="AJ916" s="176">
        <f t="shared" si="2710"/>
        <v>4.1712100961975898</v>
      </c>
      <c r="AK916" s="176">
        <f t="shared" si="2711"/>
        <v>0</v>
      </c>
      <c r="AL916" s="120">
        <f t="shared" si="2693"/>
        <v>0.19274667365489034</v>
      </c>
      <c r="AM916" s="120">
        <f t="shared" si="2694"/>
        <v>0.27913318356508254</v>
      </c>
      <c r="AN916" s="120">
        <f t="shared" si="2695"/>
        <v>0.52812014278002717</v>
      </c>
      <c r="AO916" s="120">
        <f t="shared" si="2699"/>
        <v>9.7239346688494013E-3</v>
      </c>
      <c r="AP916" s="173">
        <f t="shared" si="2715"/>
        <v>105.09197841271781</v>
      </c>
      <c r="AQ916" s="175">
        <f t="shared" si="2716"/>
        <v>9.7239346688493926E-3</v>
      </c>
      <c r="AR916" s="177">
        <f>+AC916/$AE$52</f>
        <v>1.3429392046492133E-2</v>
      </c>
      <c r="AS916" s="177">
        <f t="shared" si="2712"/>
        <v>1.3058653090245514E-4</v>
      </c>
      <c r="AT916" s="177"/>
      <c r="AU916" s="177"/>
      <c r="AV916" s="177"/>
      <c r="AW916" s="190"/>
      <c r="AX916" s="120"/>
      <c r="AY916" s="120"/>
      <c r="AZ916" s="118">
        <f>IFERROR(INDEX('Total Customers'!$F$7:$AB$91,MATCH($C916,'Total Customers'!$D$7:$D$91,0),MATCH($G916,'Total Customers'!$F$5:$AB$5,0)),"NA")</f>
        <v>511265</v>
      </c>
      <c r="BA916" s="119">
        <f t="shared" si="2674"/>
        <v>2.3805110826934244E-2</v>
      </c>
      <c r="BB916" s="119"/>
      <c r="BC916" s="121"/>
      <c r="BD916" s="119"/>
      <c r="BE916" s="119"/>
      <c r="BF916" s="119"/>
      <c r="BG916" s="173"/>
      <c r="BH916" s="173"/>
      <c r="BI916" s="173"/>
      <c r="BJ916" s="173"/>
      <c r="BK916" s="173"/>
      <c r="BL916" s="173"/>
      <c r="BM916" s="173"/>
      <c r="BN916" s="173"/>
      <c r="BO916" s="173"/>
      <c r="BP916" s="173"/>
      <c r="BQ916" s="118"/>
      <c r="BR916" s="118"/>
      <c r="BS916" s="118">
        <f>INDEX('Dist. Plant Gas Additions'!$F$7:$AE$91,MATCH($C916,'Dist. Plant Gas Additions'!$D$7:$D$91,0),MATCH(Calculation!$G916,'Dist. Plant Gas Additions'!$F$5:$AE$5,0))</f>
        <v>93556</v>
      </c>
      <c r="BT916" s="118">
        <f>INDEX('Gen. Plant Additions'!$F$7:$AE$91,MATCH($C916,'Gen. Plant Additions'!$D$7:$D$91,0),MATCH(Calculation!$G916,'Gen. Plant Additions'!$F$5:$AE$5,0))</f>
        <v>6883</v>
      </c>
      <c r="BU916" s="118"/>
      <c r="BV916" s="118"/>
      <c r="BW916" s="118">
        <f>INDEX('Dist Plant Depreciation'!$E$7:$AD$94,MATCH($C916,'Dist Plant Depreciation'!$D$7:$D$94,0),MATCH(Calculation!$G916,'Dist Plant Depreciation'!$E$5:$AD$5,0))</f>
        <v>531482</v>
      </c>
      <c r="BX916" s="118">
        <f>INDEX('Gen. Plant Depreciation'!$E$7:$AD$94,MATCH($C916,'Gen. Plant Depreciation'!$D$7:$D$94,0),MATCH(Calculation!$G916,'Gen. Plant Depreciation'!$E$5:$AD$5,0))</f>
        <v>20688</v>
      </c>
      <c r="BY916" s="118"/>
      <c r="BZ916" s="118"/>
      <c r="CA916" s="118"/>
      <c r="CB916" s="118"/>
      <c r="CC916" s="118"/>
      <c r="CD916" s="183"/>
      <c r="CE916" s="118">
        <f>INDEX('Gross Dx Plant'!$E$7:$AD$91,MATCH($C916,'Gross Dx Plant'!$D$7:$D$91,0),MATCH(Calculation!$G916,'Gross Dx Plant'!$E$5:$AD$5,0))</f>
        <v>1287258</v>
      </c>
      <c r="CF916" s="118">
        <f>INDEX('Gross Gen Plant'!$E$7:$AD$91,MATCH($C916,'Gross Gen Plant'!$D$7:$D$91,0),MATCH(Calculation!$G916,'Gross Gen Plant'!$E$5:$AD$5,0))</f>
        <v>79390</v>
      </c>
      <c r="CG916" s="118">
        <f t="shared" si="2598"/>
        <v>814478</v>
      </c>
      <c r="CH916" s="118"/>
      <c r="CI916" s="121">
        <v>2014</v>
      </c>
      <c r="CJ916" s="118"/>
      <c r="CK916" s="118"/>
      <c r="CL916" s="118"/>
      <c r="CM916" s="183"/>
      <c r="CN916" s="118">
        <f t="shared" si="2675"/>
        <v>100439</v>
      </c>
      <c r="CO916" s="118">
        <f t="shared" si="2676"/>
        <v>146.73999704607294</v>
      </c>
      <c r="CP916" s="186">
        <v>0.89743589743589747</v>
      </c>
      <c r="CQ916" s="118">
        <f>+CQ900*CP916+CO901*CP915+CO902*CP914+CO903*CP913+CO904*CP912+CO905*CP911+CO906*CP910+CO907*CP909+CO908*CP908+CO909*CP907+CO910*CP906+CO911*CP905+CO912*CP904+CO913*CP903+CO914*CP902+CO915*CP901+CO916</f>
        <v>3939.6074782317564</v>
      </c>
      <c r="CR916" s="119">
        <f t="shared" si="2677"/>
        <v>2.9875559596980742E-2</v>
      </c>
      <c r="CS916" s="119"/>
      <c r="CT916" s="177">
        <f t="shared" si="2678"/>
        <v>8.0506282782066337E-3</v>
      </c>
      <c r="CU916" s="177">
        <f t="shared" si="2686"/>
        <v>7.771519334945784E-3</v>
      </c>
      <c r="CV916" s="119">
        <f>VLOOKUP($H916,RoR!$E:$F,2,FALSE)</f>
        <v>4.1625000000000002E-2</v>
      </c>
      <c r="CW916" s="177">
        <v>1.841352814597208E-2</v>
      </c>
      <c r="CX916" s="177">
        <f t="shared" si="2684"/>
        <v>2.3211471854027922E-2</v>
      </c>
      <c r="CY916" s="177">
        <f t="shared" si="2687"/>
        <v>2.3130422273587841E-2</v>
      </c>
      <c r="CZ916" s="177">
        <f t="shared" si="2688"/>
        <v>3.9072621432650924E-2</v>
      </c>
      <c r="DA916" s="187">
        <f t="shared" si="2679"/>
        <v>0.86875000000000002</v>
      </c>
      <c r="DB916" s="188">
        <f t="shared" si="2680"/>
        <v>1.2320012320012319</v>
      </c>
      <c r="DC916" s="188">
        <f t="shared" si="2681"/>
        <v>0.37439939939939942</v>
      </c>
      <c r="DD916" s="188">
        <f t="shared" si="2682"/>
        <v>0.80432100613819935</v>
      </c>
      <c r="DE916" s="188">
        <f t="shared" si="2683"/>
        <v>0.37100152660040037</v>
      </c>
      <c r="DF916" s="189">
        <f>INDEX('State Tax Lookup'!$D$7:$Z$91,MATCH(Calculation!$C916,'State Tax Lookup'!$B$7:$B$91,0),MATCH($H916,'State Tax Lookup'!$D$6:$Z$6,0))</f>
        <v>0.35</v>
      </c>
      <c r="DG916" s="189">
        <v>0.375</v>
      </c>
      <c r="DH916" s="190">
        <f t="shared" si="2685"/>
        <v>21.107935464860091</v>
      </c>
      <c r="DI916" s="190">
        <v>20.73471665800033</v>
      </c>
      <c r="DJ916" s="177"/>
      <c r="DK916" s="189">
        <f>VLOOKUP($H916,RoR!$E:$F,2,FALSE)</f>
        <v>4.1625000000000002E-2</v>
      </c>
      <c r="DL916" s="191">
        <f>HLOOKUP($H916,'GDP-PI'!$D$8:$CQ$11,3,FALSE)</f>
        <v>1.841352814597208E-2</v>
      </c>
      <c r="DM916" s="189">
        <f>VLOOKUP(H916,'HW Dx Data'!$E:$F,2,FALSE)</f>
        <v>684.46914285042885</v>
      </c>
      <c r="DN916" s="183">
        <f>VLOOKUP(H916,'ECI - Input Price'!$G$17:$H$37,2,FALSE)</f>
        <v>121.2</v>
      </c>
      <c r="DO916" s="177">
        <f t="shared" ref="DO916" si="2729">LN(DN916/DN915)</f>
        <v>2.0632179200028689E-2</v>
      </c>
      <c r="DP916" s="183">
        <f>HLOOKUP(H916,'GDP-PI'!$8:$9,2,FALSE)</f>
        <v>103.64700000000001</v>
      </c>
      <c r="DQ916" s="177">
        <f t="shared" ref="DQ916" si="2730">LN(DP916/DP915)</f>
        <v>1.8246051898256087E-2</v>
      </c>
    </row>
    <row r="917" spans="1:121" s="167" customFormat="1" ht="21" x14ac:dyDescent="0.35">
      <c r="A917" s="167" t="s">
        <v>94</v>
      </c>
      <c r="B917" s="167" t="s">
        <v>94</v>
      </c>
      <c r="C917" s="167">
        <v>4057139</v>
      </c>
      <c r="D917" s="168" t="s">
        <v>148</v>
      </c>
      <c r="E917" s="168"/>
      <c r="F917" s="198"/>
      <c r="G917" s="167" t="s">
        <v>21</v>
      </c>
      <c r="H917" s="169">
        <v>2015</v>
      </c>
      <c r="I917" s="170"/>
      <c r="J917" s="166">
        <f>IFERROR(INDEX('Labor Expenditures'!$F$7:$X$91,MATCH($C917,'Labor Expenditures'!$D$7:$D$91,0),MATCH($G917,'Labor Expenditures'!$F$5:$X$5,0)),"NA")</f>
        <v>30986.344948207829</v>
      </c>
      <c r="K917" s="166">
        <f t="shared" si="2691"/>
        <v>250.39470665218448</v>
      </c>
      <c r="L917" s="172">
        <f t="shared" si="2698"/>
        <v>2.9817747965892778E-2</v>
      </c>
      <c r="M917" s="172">
        <f t="shared" si="2702"/>
        <v>4.0773738512124271E-4</v>
      </c>
      <c r="N917" s="196"/>
      <c r="O917" s="172"/>
      <c r="P917" s="166">
        <f>IFERROR(INDEX('Non-Labor Expenditures'!$F$7:$AB$91,MATCH($C917,'Non-Labor Expenditures'!$D$7:$D$91,0),MATCH($G917,'Non-Labor Expenditures'!$F$5:$AB$5,0)),"NA")</f>
        <v>44874.014935923202</v>
      </c>
      <c r="Q917" s="166">
        <f t="shared" si="2692"/>
        <v>428.84598415431344</v>
      </c>
      <c r="R917" s="172">
        <f t="shared" si="2703"/>
        <v>4.1113639594035689E-2</v>
      </c>
      <c r="S917" s="172">
        <f t="shared" si="2708"/>
        <v>5.6220100592655148E-4</v>
      </c>
      <c r="T917" s="172"/>
      <c r="U917" s="172"/>
      <c r="V917" s="166">
        <f t="shared" si="2673"/>
        <v>81322.351284362885</v>
      </c>
      <c r="W917" s="170"/>
      <c r="X917" s="174">
        <v>4038.3864417781606</v>
      </c>
      <c r="Y917" s="175">
        <v>2.4764123061241938E-2</v>
      </c>
      <c r="Z917" s="175">
        <f t="shared" si="2709"/>
        <v>3.3863250817470409E-4</v>
      </c>
      <c r="AA917" s="175"/>
      <c r="AB917" s="175"/>
      <c r="AC917" s="170">
        <f t="shared" si="2659"/>
        <v>157182.7111684939</v>
      </c>
      <c r="AD917" s="175">
        <f t="shared" si="2704"/>
        <v>2.812282399058175E-2</v>
      </c>
      <c r="AE917" s="170"/>
      <c r="AF917" s="170"/>
      <c r="AG917" s="121">
        <f t="shared" si="2705"/>
        <v>299.48976567586743</v>
      </c>
      <c r="AH917" s="119">
        <f>+AZ917/$BB$53</f>
        <v>1.4208818995156082E-2</v>
      </c>
      <c r="AI917" s="119"/>
      <c r="AJ917" s="176">
        <f t="shared" si="2710"/>
        <v>4.2553958713901094</v>
      </c>
      <c r="AK917" s="176">
        <f t="shared" si="2711"/>
        <v>0</v>
      </c>
      <c r="AL917" s="120">
        <f t="shared" si="2693"/>
        <v>0.19713583458292461</v>
      </c>
      <c r="AM917" s="120">
        <f t="shared" si="2694"/>
        <v>0.28548950837105719</v>
      </c>
      <c r="AN917" s="120">
        <f t="shared" si="2695"/>
        <v>0.51737465704601837</v>
      </c>
      <c r="AO917" s="120">
        <f t="shared" si="2699"/>
        <v>3.0364937056301333E-2</v>
      </c>
      <c r="AP917" s="173">
        <f t="shared" si="2715"/>
        <v>108.3320327977811</v>
      </c>
      <c r="AQ917" s="175">
        <f t="shared" si="2716"/>
        <v>3.0364937056301257E-2</v>
      </c>
      <c r="AR917" s="177">
        <f>+AC917/$AE$53</f>
        <v>1.3674318583269124E-2</v>
      </c>
      <c r="AS917" s="177">
        <f t="shared" si="2712"/>
        <v>4.152198230687775E-4</v>
      </c>
      <c r="AT917" s="177"/>
      <c r="AU917" s="177"/>
      <c r="AV917" s="177"/>
      <c r="AW917" s="190"/>
      <c r="AX917" s="120"/>
      <c r="AY917" s="120"/>
      <c r="AZ917" s="118">
        <f>IFERROR(INDEX('Total Customers'!$F$7:$AB$91,MATCH($C917,'Total Customers'!$D$7:$D$91,0),MATCH($G917,'Total Customers'!$F$5:$AB$5,0)),"NA")</f>
        <v>524835</v>
      </c>
      <c r="BA917" s="119">
        <f t="shared" si="2674"/>
        <v>2.6195880699325332E-2</v>
      </c>
      <c r="BB917" s="119"/>
      <c r="BC917" s="121"/>
      <c r="BD917" s="119"/>
      <c r="BE917" s="119"/>
      <c r="BF917" s="119"/>
      <c r="BG917" s="173"/>
      <c r="BH917" s="173"/>
      <c r="BI917" s="173"/>
      <c r="BJ917" s="173"/>
      <c r="BK917" s="173"/>
      <c r="BL917" s="173"/>
      <c r="BM917" s="173"/>
      <c r="BN917" s="173"/>
      <c r="BO917" s="173"/>
      <c r="BP917" s="173"/>
      <c r="BQ917" s="118"/>
      <c r="BR917" s="118"/>
      <c r="BS917" s="118">
        <f>INDEX('Dist. Plant Gas Additions'!$F$7:$AE$91,MATCH($C917,'Dist. Plant Gas Additions'!$D$7:$D$91,0),MATCH(Calculation!$G917,'Dist. Plant Gas Additions'!$F$5:$AE$5,0))</f>
        <v>75856</v>
      </c>
      <c r="BT917" s="118">
        <f>INDEX('Gen. Plant Additions'!$F$7:$AE$91,MATCH($C917,'Gen. Plant Additions'!$D$7:$D$91,0),MATCH(Calculation!$G917,'Gen. Plant Additions'!$F$5:$AE$5,0))</f>
        <v>12953</v>
      </c>
      <c r="BU917" s="118"/>
      <c r="BV917" s="118"/>
      <c r="BW917" s="118">
        <f>INDEX('Dist Plant Depreciation'!$E$7:$AD$94,MATCH($C917,'Dist Plant Depreciation'!$D$7:$D$94,0),MATCH(Calculation!$G917,'Dist Plant Depreciation'!$E$5:$AD$5,0))</f>
        <v>565253</v>
      </c>
      <c r="BX917" s="118">
        <f>INDEX('Gen. Plant Depreciation'!$E$7:$AD$94,MATCH($C917,'Gen. Plant Depreciation'!$D$7:$D$94,0),MATCH(Calculation!$G917,'Gen. Plant Depreciation'!$E$5:$AD$5,0))</f>
        <v>17547</v>
      </c>
      <c r="BY917" s="118"/>
      <c r="BZ917" s="118"/>
      <c r="CA917" s="118"/>
      <c r="CB917" s="118"/>
      <c r="CC917" s="118"/>
      <c r="CD917" s="183"/>
      <c r="CE917" s="118">
        <f>INDEX('Gross Dx Plant'!$E$7:$AD$91,MATCH($C917,'Gross Dx Plant'!$D$7:$D$91,0),MATCH(Calculation!$G917,'Gross Dx Plant'!$E$5:$AD$5,0))</f>
        <v>1360142</v>
      </c>
      <c r="CF917" s="118">
        <f>INDEX('Gross Gen Plant'!$E$7:$AD$91,MATCH($C917,'Gross Gen Plant'!$D$7:$D$91,0),MATCH(Calculation!$G917,'Gross Gen Plant'!$E$5:$AD$5,0))</f>
        <v>84277</v>
      </c>
      <c r="CG917" s="118">
        <f t="shared" si="2598"/>
        <v>861619</v>
      </c>
      <c r="CH917" s="118"/>
      <c r="CI917" s="121">
        <v>2015</v>
      </c>
      <c r="CJ917" s="118"/>
      <c r="CK917" s="118"/>
      <c r="CL917" s="118"/>
      <c r="CM917" s="183"/>
      <c r="CN917" s="118">
        <f t="shared" si="2675"/>
        <v>88809</v>
      </c>
      <c r="CO917" s="118">
        <f t="shared" si="2676"/>
        <v>131.44919551884379</v>
      </c>
      <c r="CP917" s="186">
        <v>0.88888888888888884</v>
      </c>
      <c r="CQ917" s="118">
        <f>+CQ900*CP917+CO901*CP916+CO902*CP915+CO903*CP914+CO904*CP913+CO905*CP912+CO906*CP911+CO907*CP910+CO908*CP909+CO909*CP908+CO910*CP907+CO911*CP906+CO912*CP905+CO913*CP904+CO914*CP903+CO915*CP902+CO916*CP901+CO917</f>
        <v>4038.3864417781606</v>
      </c>
      <c r="CR917" s="119">
        <f t="shared" si="2677"/>
        <v>2.4764123061241938E-2</v>
      </c>
      <c r="CS917" s="119"/>
      <c r="CT917" s="177">
        <f t="shared" si="2678"/>
        <v>8.2927632138375534E-3</v>
      </c>
      <c r="CU917" s="177">
        <f t="shared" si="2686"/>
        <v>8.0367085185575806E-3</v>
      </c>
      <c r="CV917" s="119">
        <f>VLOOKUP($H917,RoR!$E:$F,2,FALSE)</f>
        <v>3.8866666666666674E-2</v>
      </c>
      <c r="CW917" s="177">
        <v>9.5709475431029478E-3</v>
      </c>
      <c r="CX917" s="177">
        <f t="shared" si="2684"/>
        <v>2.9295719123563727E-2</v>
      </c>
      <c r="CY917" s="177">
        <f t="shared" si="2687"/>
        <v>2.2865233089976046E-2</v>
      </c>
      <c r="CZ917" s="177">
        <f t="shared" si="2688"/>
        <v>3.5270373279175926E-3</v>
      </c>
      <c r="DA917" s="187">
        <f t="shared" si="2679"/>
        <v>0.86875000000000002</v>
      </c>
      <c r="DB917" s="188">
        <f t="shared" si="2680"/>
        <v>1.3194352816994324</v>
      </c>
      <c r="DC917" s="188">
        <f t="shared" si="2681"/>
        <v>0.33177530017152673</v>
      </c>
      <c r="DD917" s="188">
        <f t="shared" si="2682"/>
        <v>0.78242572977668579</v>
      </c>
      <c r="DE917" s="188">
        <f t="shared" si="2683"/>
        <v>0.34251158643433932</v>
      </c>
      <c r="DF917" s="189">
        <f>INDEX('State Tax Lookup'!$D$7:$Z$91,MATCH(Calculation!$C917,'State Tax Lookup'!$B$7:$B$91,0),MATCH($H917,'State Tax Lookup'!$D$6:$Z$6,0))</f>
        <v>0.35</v>
      </c>
      <c r="DG917" s="189">
        <v>0.375</v>
      </c>
      <c r="DH917" s="190">
        <f t="shared" si="2685"/>
        <v>20.642247161350046</v>
      </c>
      <c r="DI917" s="190">
        <v>20.26971160612575</v>
      </c>
      <c r="DJ917" s="177"/>
      <c r="DK917" s="189">
        <f>VLOOKUP($H917,RoR!$E:$F,2,FALSE)</f>
        <v>3.8866666666666674E-2</v>
      </c>
      <c r="DL917" s="191">
        <f>HLOOKUP($H917,'GDP-PI'!$D$8:$CQ$11,3,FALSE)</f>
        <v>9.5709475431029478E-3</v>
      </c>
      <c r="DM917" s="189">
        <f>VLOOKUP(H917,'HW Dx Data'!$E:$F,2,FALSE)</f>
        <v>675.61463308665782</v>
      </c>
      <c r="DN917" s="183">
        <f>VLOOKUP(H917,'ECI - Input Price'!$G$17:$H$37,2,FALSE)</f>
        <v>123.75</v>
      </c>
      <c r="DO917" s="177">
        <f t="shared" ref="DO917" si="2731">LN(DN917/DN916)</f>
        <v>2.0821327813585516E-2</v>
      </c>
      <c r="DP917" s="183">
        <f>HLOOKUP(H917,'GDP-PI'!$8:$9,2,FALSE)</f>
        <v>104.639</v>
      </c>
      <c r="DQ917" s="177">
        <f t="shared" ref="DQ917" si="2732">LN(DP917/DP916)</f>
        <v>9.5254361854427965E-3</v>
      </c>
    </row>
    <row r="918" spans="1:121" s="167" customFormat="1" ht="21" x14ac:dyDescent="0.35">
      <c r="A918" s="167" t="s">
        <v>94</v>
      </c>
      <c r="B918" s="167" t="s">
        <v>94</v>
      </c>
      <c r="C918" s="167">
        <v>4057139</v>
      </c>
      <c r="D918" s="168" t="s">
        <v>148</v>
      </c>
      <c r="E918" s="168"/>
      <c r="F918" s="198"/>
      <c r="G918" s="167" t="s">
        <v>22</v>
      </c>
      <c r="H918" s="169">
        <v>2016</v>
      </c>
      <c r="I918" s="170"/>
      <c r="J918" s="166">
        <f>IFERROR(INDEX('Labor Expenditures'!$F$7:$X$91,MATCH($C918,'Labor Expenditures'!$D$7:$D$91,0),MATCH($G918,'Labor Expenditures'!$F$5:$X$5,0)),"NA")</f>
        <v>32440.106448677569</v>
      </c>
      <c r="K918" s="166">
        <f t="shared" si="2691"/>
        <v>256.64641177751241</v>
      </c>
      <c r="L918" s="172">
        <f t="shared" si="2698"/>
        <v>2.466080847855992E-2</v>
      </c>
      <c r="M918" s="172">
        <f t="shared" si="2702"/>
        <v>3.3433674713956768E-4</v>
      </c>
      <c r="N918" s="196"/>
      <c r="O918" s="172"/>
      <c r="P918" s="166">
        <f>IFERROR(INDEX('Non-Labor Expenditures'!$F$7:$AB$91,MATCH($C918,'Non-Labor Expenditures'!$D$7:$D$91,0),MATCH($G918,'Non-Labor Expenditures'!$F$5:$AB$5,0)),"NA")</f>
        <v>46979.33311379762</v>
      </c>
      <c r="Q918" s="166">
        <f t="shared" si="2692"/>
        <v>444.30783379168514</v>
      </c>
      <c r="R918" s="172">
        <f t="shared" si="2703"/>
        <v>3.5419798375312249E-2</v>
      </c>
      <c r="S918" s="172">
        <f t="shared" si="2708"/>
        <v>4.8020080864083535E-4</v>
      </c>
      <c r="T918" s="172"/>
      <c r="U918" s="172"/>
      <c r="V918" s="166">
        <f t="shared" si="2673"/>
        <v>81885.105645657226</v>
      </c>
      <c r="W918" s="170"/>
      <c r="X918" s="174">
        <v>4164.2045433133326</v>
      </c>
      <c r="Y918" s="175">
        <v>3.0680054785529761E-2</v>
      </c>
      <c r="Z918" s="175">
        <f t="shared" si="2709"/>
        <v>4.1594215080075663E-4</v>
      </c>
      <c r="AA918" s="175"/>
      <c r="AB918" s="175"/>
      <c r="AC918" s="170">
        <f t="shared" si="2659"/>
        <v>161304.54520813242</v>
      </c>
      <c r="AD918" s="175">
        <f t="shared" si="2704"/>
        <v>2.588526923116562E-2</v>
      </c>
      <c r="AE918" s="170"/>
      <c r="AF918" s="170"/>
      <c r="AG918" s="121">
        <f t="shared" si="2705"/>
        <v>299.21247049813377</v>
      </c>
      <c r="AH918" s="119">
        <f>+AZ918/$BB$54</f>
        <v>1.4468829712762598E-2</v>
      </c>
      <c r="AI918" s="119"/>
      <c r="AJ918" s="176">
        <f t="shared" si="2710"/>
        <v>4.3292542835725003</v>
      </c>
      <c r="AK918" s="176">
        <f t="shared" si="2711"/>
        <v>0</v>
      </c>
      <c r="AL918" s="120">
        <f t="shared" si="2693"/>
        <v>0.20111092596194277</v>
      </c>
      <c r="AM918" s="120">
        <f t="shared" si="2694"/>
        <v>0.29124618313253259</v>
      </c>
      <c r="AN918" s="120">
        <f t="shared" si="2695"/>
        <v>0.50764289090552461</v>
      </c>
      <c r="AO918" s="120">
        <f t="shared" si="2699"/>
        <v>3.0848271762595018E-2</v>
      </c>
      <c r="AP918" s="173">
        <f t="shared" si="2715"/>
        <v>111.72596816713578</v>
      </c>
      <c r="AQ918" s="175">
        <f t="shared" si="2716"/>
        <v>3.0848271762594952E-2</v>
      </c>
      <c r="AR918" s="177">
        <f>+AC918/$AE$54</f>
        <v>1.3557412257195043E-2</v>
      </c>
      <c r="AS918" s="177">
        <f t="shared" si="2712"/>
        <v>4.1822273770748852E-4</v>
      </c>
      <c r="AT918" s="177"/>
      <c r="AU918" s="177"/>
      <c r="AV918" s="177"/>
      <c r="AW918" s="190"/>
      <c r="AX918" s="120"/>
      <c r="AY918" s="120"/>
      <c r="AZ918" s="118">
        <f>IFERROR(INDEX('Total Customers'!$F$7:$AB$91,MATCH($C918,'Total Customers'!$D$7:$D$91,0),MATCH($G918,'Total Customers'!$F$5:$AB$5,0)),"NA")</f>
        <v>539097</v>
      </c>
      <c r="BA918" s="119">
        <f t="shared" si="2674"/>
        <v>2.6811590132634143E-2</v>
      </c>
      <c r="BB918" s="119"/>
      <c r="BC918" s="121"/>
      <c r="BD918" s="119"/>
      <c r="BE918" s="119"/>
      <c r="BF918" s="119"/>
      <c r="BG918" s="173"/>
      <c r="BH918" s="173"/>
      <c r="BI918" s="173"/>
      <c r="BJ918" s="173"/>
      <c r="BK918" s="173"/>
      <c r="BL918" s="173"/>
      <c r="BM918" s="173"/>
      <c r="BN918" s="173"/>
      <c r="BO918" s="173"/>
      <c r="BP918" s="173"/>
      <c r="BQ918" s="118"/>
      <c r="BR918" s="118"/>
      <c r="BS918" s="118">
        <f>INDEX('Dist. Plant Gas Additions'!$F$7:$AE$91,MATCH($C918,'Dist. Plant Gas Additions'!$D$7:$D$91,0),MATCH(Calculation!$G918,'Dist. Plant Gas Additions'!$F$5:$AE$5,0))</f>
        <v>98653</v>
      </c>
      <c r="BT918" s="118">
        <f>INDEX('Gen. Plant Additions'!$F$7:$AE$91,MATCH($C918,'Gen. Plant Additions'!$D$7:$D$91,0),MATCH(Calculation!$G918,'Gen. Plant Additions'!$F$5:$AE$5,0))</f>
        <v>9041</v>
      </c>
      <c r="BU918" s="118"/>
      <c r="BV918" s="118"/>
      <c r="BW918" s="118">
        <f>INDEX('Dist Plant Depreciation'!$E$7:$AD$94,MATCH($C918,'Dist Plant Depreciation'!$D$7:$D$94,0),MATCH(Calculation!$G918,'Dist Plant Depreciation'!$E$5:$AD$5,0))</f>
        <v>594714</v>
      </c>
      <c r="BX918" s="118">
        <f>INDEX('Gen. Plant Depreciation'!$E$7:$AD$94,MATCH($C918,'Gen. Plant Depreciation'!$D$7:$D$94,0),MATCH(Calculation!$G918,'Gen. Plant Depreciation'!$E$5:$AD$5,0))</f>
        <v>16813</v>
      </c>
      <c r="BY918" s="118"/>
      <c r="BZ918" s="118"/>
      <c r="CA918" s="118"/>
      <c r="CB918" s="118"/>
      <c r="CC918" s="118"/>
      <c r="CD918" s="183"/>
      <c r="CE918" s="118">
        <f>INDEX('Gross Dx Plant'!$E$7:$AD$91,MATCH($C918,'Gross Dx Plant'!$D$7:$D$91,0),MATCH(Calculation!$G918,'Gross Dx Plant'!$E$5:$AD$5,0))</f>
        <v>1453906</v>
      </c>
      <c r="CF918" s="118">
        <f>INDEX('Gross Gen Plant'!$E$7:$AD$91,MATCH($C918,'Gross Gen Plant'!$D$7:$D$91,0),MATCH(Calculation!$G918,'Gross Gen Plant'!$E$5:$AD$5,0))</f>
        <v>87888</v>
      </c>
      <c r="CG918" s="118">
        <f t="shared" si="2598"/>
        <v>930267</v>
      </c>
      <c r="CH918" s="118"/>
      <c r="CI918" s="121">
        <v>2016</v>
      </c>
      <c r="CJ918" s="118"/>
      <c r="CK918" s="118"/>
      <c r="CL918" s="118"/>
      <c r="CM918" s="183"/>
      <c r="CN918" s="118">
        <f t="shared" si="2675"/>
        <v>107694</v>
      </c>
      <c r="CO918" s="118">
        <f t="shared" si="2676"/>
        <v>160.38867301709033</v>
      </c>
      <c r="CP918" s="186">
        <v>0.88</v>
      </c>
      <c r="CQ918" s="118">
        <f>+CQ900*CP918+CO901*CP917+CO902*CP916+CO903*CP915+CO904*CP914+CO905*CP913+CO906*CP912+CO907*CP911+CO908*CP910+CO909*CP909+CO910*CP908+CO911*CP907+CO912*CP906+CO913*CP905+CO914*CP904+CO915*CP903+CO916*CP902+CO917*CP901+CO918</f>
        <v>4164.2045433133326</v>
      </c>
      <c r="CR918" s="119">
        <f t="shared" si="2677"/>
        <v>3.0680054785529761E-2</v>
      </c>
      <c r="CS918" s="119"/>
      <c r="CT918" s="177">
        <f t="shared" si="2678"/>
        <v>8.5604911714928424E-3</v>
      </c>
      <c r="CU918" s="177">
        <f t="shared" si="2686"/>
        <v>8.3012942211790116E-3</v>
      </c>
      <c r="CV918" s="119">
        <f>VLOOKUP($H918,RoR!$E:$F,2,FALSE)</f>
        <v>3.6658333333333334E-2</v>
      </c>
      <c r="CW918" s="177">
        <v>1.0483662879041455E-2</v>
      </c>
      <c r="CX918" s="177">
        <f t="shared" si="2684"/>
        <v>2.6174670454291879E-2</v>
      </c>
      <c r="CY918" s="177">
        <f t="shared" si="2687"/>
        <v>2.2600647387354615E-2</v>
      </c>
      <c r="CZ918" s="177">
        <f t="shared" si="2688"/>
        <v>4.301363574220729E-3</v>
      </c>
      <c r="DA918" s="187">
        <f t="shared" si="2679"/>
        <v>0.86875000000000002</v>
      </c>
      <c r="DB918" s="188">
        <f t="shared" si="2680"/>
        <v>1.3989193348138562</v>
      </c>
      <c r="DC918" s="188">
        <f t="shared" si="2681"/>
        <v>0.29302682427824522</v>
      </c>
      <c r="DD918" s="188">
        <f t="shared" si="2682"/>
        <v>0.76309497491941802</v>
      </c>
      <c r="DE918" s="188">
        <f t="shared" si="2683"/>
        <v>0.31280857135128509</v>
      </c>
      <c r="DF918" s="189">
        <f>INDEX('State Tax Lookup'!$D$7:$Z$91,MATCH(Calculation!$C918,'State Tax Lookup'!$B$7:$B$91,0),MATCH($H918,'State Tax Lookup'!$D$6:$Z$6,0))</f>
        <v>0.35</v>
      </c>
      <c r="DG918" s="189">
        <v>0.375</v>
      </c>
      <c r="DH918" s="190">
        <f t="shared" si="2685"/>
        <v>20.276688926679839</v>
      </c>
      <c r="DI918" s="190">
        <v>19.881498542177106</v>
      </c>
      <c r="DJ918" s="177"/>
      <c r="DK918" s="189">
        <f>VLOOKUP($H918,RoR!$E:$F,2,FALSE)</f>
        <v>3.6658333333333334E-2</v>
      </c>
      <c r="DL918" s="191">
        <f>HLOOKUP($H918,'GDP-PI'!$D$8:$CQ$11,3,FALSE)</f>
        <v>1.0483662879041455E-2</v>
      </c>
      <c r="DM918" s="189">
        <f>VLOOKUP(H918,'HW Dx Data'!$E:$F,2,FALSE)</f>
        <v>671.45639385971219</v>
      </c>
      <c r="DN918" s="183">
        <f>VLOOKUP(H918,'ECI - Input Price'!$G$17:$H$37,2,FALSE)</f>
        <v>126.4</v>
      </c>
      <c r="DO918" s="177">
        <f t="shared" ref="DO918" si="2733">LN(DN918/DN917)</f>
        <v>2.11880802639575E-2</v>
      </c>
      <c r="DP918" s="183">
        <f>HLOOKUP(H918,'GDP-PI'!$8:$9,2,FALSE)</f>
        <v>105.736</v>
      </c>
      <c r="DQ918" s="177">
        <f t="shared" ref="DQ918" si="2734">LN(DP918/DP917)</f>
        <v>1.0429090367205095E-2</v>
      </c>
    </row>
    <row r="919" spans="1:121" s="167" customFormat="1" ht="21" x14ac:dyDescent="0.35">
      <c r="A919" s="167" t="s">
        <v>94</v>
      </c>
      <c r="B919" s="167" t="s">
        <v>94</v>
      </c>
      <c r="C919" s="167">
        <v>4057139</v>
      </c>
      <c r="D919" s="168" t="s">
        <v>148</v>
      </c>
      <c r="E919" s="168"/>
      <c r="F919" s="198"/>
      <c r="G919" s="167" t="s">
        <v>23</v>
      </c>
      <c r="H919" s="169">
        <v>2017</v>
      </c>
      <c r="I919" s="170"/>
      <c r="J919" s="166">
        <f>IFERROR(INDEX('Labor Expenditures'!$F$7:$X$91,MATCH($C919,'Labor Expenditures'!$D$7:$D$91,0),MATCH($G919,'Labor Expenditures'!$F$5:$X$5,0)),"NA")</f>
        <v>29703.456950388951</v>
      </c>
      <c r="K919" s="166">
        <f t="shared" si="2691"/>
        <v>229.37032394122741</v>
      </c>
      <c r="L919" s="172">
        <f t="shared" si="2698"/>
        <v>-0.11236147539936259</v>
      </c>
      <c r="M919" s="172">
        <f t="shared" si="2702"/>
        <v>-1.4384648623486499E-3</v>
      </c>
      <c r="N919" s="196"/>
      <c r="O919" s="172"/>
      <c r="P919" s="166">
        <f>IFERROR(INDEX('Non-Labor Expenditures'!$F$7:$AB$91,MATCH($C919,'Non-Labor Expenditures'!$D$7:$D$91,0),MATCH($G919,'Non-Labor Expenditures'!$F$5:$AB$5,0)),"NA")</f>
        <v>43016.153504655216</v>
      </c>
      <c r="Q919" s="166">
        <f t="shared" si="2692"/>
        <v>399.21813722986531</v>
      </c>
      <c r="R919" s="172">
        <f t="shared" si="2703"/>
        <v>-0.10700966420027229</v>
      </c>
      <c r="S919" s="172">
        <f t="shared" si="2708"/>
        <v>-1.3699503440722277E-3</v>
      </c>
      <c r="T919" s="172"/>
      <c r="U919" s="172"/>
      <c r="V919" s="166">
        <f t="shared" si="2673"/>
        <v>78951.837074202689</v>
      </c>
      <c r="W919" s="170"/>
      <c r="X919" s="174">
        <v>4246.8546275343861</v>
      </c>
      <c r="Y919" s="175">
        <v>1.9653349917845345E-2</v>
      </c>
      <c r="Z919" s="175">
        <f t="shared" si="2709"/>
        <v>2.5160450397951638E-4</v>
      </c>
      <c r="AA919" s="175"/>
      <c r="AB919" s="175"/>
      <c r="AC919" s="170">
        <f t="shared" si="2659"/>
        <v>151671.44752924686</v>
      </c>
      <c r="AD919" s="175">
        <f t="shared" si="2704"/>
        <v>-6.1577511376972975E-2</v>
      </c>
      <c r="AE919" s="170"/>
      <c r="AF919" s="170"/>
      <c r="AG919" s="121">
        <f t="shared" si="2705"/>
        <v>274.273720515896</v>
      </c>
      <c r="AH919" s="119">
        <f>+AZ919/$BB$55</f>
        <v>1.4730274703573496E-2</v>
      </c>
      <c r="AI919" s="119"/>
      <c r="AJ919" s="176">
        <f t="shared" si="2710"/>
        <v>4.0401272471702896</v>
      </c>
      <c r="AK919" s="176">
        <f t="shared" si="2711"/>
        <v>0</v>
      </c>
      <c r="AL919" s="120">
        <f t="shared" si="2693"/>
        <v>0.19584079557664419</v>
      </c>
      <c r="AM919" s="120">
        <f t="shared" si="2694"/>
        <v>0.28361405001004159</v>
      </c>
      <c r="AN919" s="120">
        <f t="shared" si="2695"/>
        <v>0.52054515441331417</v>
      </c>
      <c r="AO919" s="120">
        <f t="shared" si="2699"/>
        <v>-4.2955171084536552E-2</v>
      </c>
      <c r="AP919" s="173">
        <f t="shared" si="2715"/>
        <v>107.0283753320136</v>
      </c>
      <c r="AQ919" s="175">
        <f t="shared" si="2716"/>
        <v>-4.2955171084536552E-2</v>
      </c>
      <c r="AR919" s="177">
        <f>+AC919/$AE$55</f>
        <v>1.2802117961124692E-2</v>
      </c>
      <c r="AS919" s="177">
        <f t="shared" si="2712"/>
        <v>-5.499171672645294E-4</v>
      </c>
      <c r="AT919" s="177"/>
      <c r="AU919" s="177"/>
      <c r="AV919" s="177"/>
      <c r="AW919" s="190"/>
      <c r="AX919" s="120"/>
      <c r="AY919" s="120"/>
      <c r="AZ919" s="118">
        <f>IFERROR(INDEX('Total Customers'!$F$7:$AB$91,MATCH($C919,'Total Customers'!$D$7:$D$91,0),MATCH($G919,'Total Customers'!$F$5:$AB$5,0)),"NA")</f>
        <v>552993</v>
      </c>
      <c r="BA919" s="119">
        <f t="shared" si="2674"/>
        <v>2.5449825602504025E-2</v>
      </c>
      <c r="BB919" s="119"/>
      <c r="BC919" s="121"/>
      <c r="BD919" s="119"/>
      <c r="BE919" s="119"/>
      <c r="BF919" s="119"/>
      <c r="BG919" s="173"/>
      <c r="BH919" s="173"/>
      <c r="BI919" s="173"/>
      <c r="BJ919" s="173"/>
      <c r="BK919" s="173"/>
      <c r="BL919" s="173"/>
      <c r="BM919" s="173"/>
      <c r="BN919" s="173"/>
      <c r="BO919" s="173"/>
      <c r="BP919" s="173"/>
      <c r="BQ919" s="118"/>
      <c r="BR919" s="118"/>
      <c r="BS919" s="118">
        <f>INDEX('Dist. Plant Gas Additions'!$F$7:$AE$91,MATCH($C919,'Dist. Plant Gas Additions'!$D$7:$D$91,0),MATCH(Calculation!$G919,'Dist. Plant Gas Additions'!$F$5:$AE$5,0))</f>
        <v>70861</v>
      </c>
      <c r="BT919" s="118">
        <f>INDEX('Gen. Plant Additions'!$F$7:$AE$91,MATCH($C919,'Gen. Plant Additions'!$D$7:$D$91,0),MATCH(Calculation!$G919,'Gen. Plant Additions'!$F$5:$AE$5,0))</f>
        <v>14173</v>
      </c>
      <c r="BU919" s="118"/>
      <c r="BV919" s="118"/>
      <c r="BW919" s="118">
        <f>INDEX('Dist Plant Depreciation'!$E$7:$AD$94,MATCH($C919,'Dist Plant Depreciation'!$D$7:$D$94,0),MATCH(Calculation!$G919,'Dist Plant Depreciation'!$E$5:$AD$5,0))</f>
        <v>620171</v>
      </c>
      <c r="BX919" s="118">
        <f>INDEX('Gen. Plant Depreciation'!$E$7:$AD$94,MATCH($C919,'Gen. Plant Depreciation'!$D$7:$D$94,0),MATCH(Calculation!$G919,'Gen. Plant Depreciation'!$E$5:$AD$5,0))</f>
        <v>23274</v>
      </c>
      <c r="BY919" s="118"/>
      <c r="BZ919" s="118"/>
      <c r="CA919" s="118"/>
      <c r="CB919" s="118"/>
      <c r="CC919" s="118"/>
      <c r="CD919" s="183"/>
      <c r="CE919" s="118">
        <f>INDEX('Gross Dx Plant'!$E$7:$AD$91,MATCH($C919,'Gross Dx Plant'!$D$7:$D$91,0),MATCH(Calculation!$G919,'Gross Dx Plant'!$E$5:$AD$5,0))</f>
        <v>1518938</v>
      </c>
      <c r="CF919" s="118">
        <f>INDEX('Gross Gen Plant'!$E$7:$AD$91,MATCH($C919,'Gross Gen Plant'!$D$7:$D$91,0),MATCH(Calculation!$G919,'Gross Gen Plant'!$E$5:$AD$5,0))</f>
        <v>95344</v>
      </c>
      <c r="CG919" s="118">
        <f t="shared" si="2598"/>
        <v>970837</v>
      </c>
      <c r="CH919" s="118"/>
      <c r="CI919" s="121">
        <v>2017</v>
      </c>
      <c r="CJ919" s="118"/>
      <c r="CK919" s="118"/>
      <c r="CL919" s="118"/>
      <c r="CM919" s="183"/>
      <c r="CN919" s="118">
        <f t="shared" si="2675"/>
        <v>85034</v>
      </c>
      <c r="CO919" s="118">
        <f t="shared" si="2676"/>
        <v>119.35792856331152</v>
      </c>
      <c r="CP919" s="186">
        <v>0.87074829931972786</v>
      </c>
      <c r="CQ919" s="118">
        <f>+CQ900*CP919+CO901*CP918+CO902*CP917+CO903*CP916+CO904*CP915+CO905*CP914+CO906*CP913+CO907*CP912+CO908*CP911+CO909*CP910+CO910*CP909+CO911*CP908+CO912*CP907+CO913*CP906+CO914*CP905+CO915*CP904+CO916*CP903+CO917*CP902+CO918*CP901+CO919</f>
        <v>4246.8546275343861</v>
      </c>
      <c r="CR919" s="119">
        <f t="shared" si="2677"/>
        <v>1.9653349917845345E-2</v>
      </c>
      <c r="CS919" s="119"/>
      <c r="CT919" s="177">
        <f t="shared" si="2678"/>
        <v>8.8150915644145365E-3</v>
      </c>
      <c r="CU919" s="177">
        <f t="shared" si="2686"/>
        <v>8.5561153165816441E-3</v>
      </c>
      <c r="CV919" s="119">
        <f>VLOOKUP($H919,RoR!$E:$F,2,FALSE)</f>
        <v>3.7433333333333339E-2</v>
      </c>
      <c r="CW919" s="177">
        <v>1.9056896421275615E-2</v>
      </c>
      <c r="CX919" s="177">
        <f t="shared" si="2684"/>
        <v>1.8376436912057724E-2</v>
      </c>
      <c r="CY919" s="177">
        <f t="shared" si="2687"/>
        <v>2.2345826291951983E-2</v>
      </c>
      <c r="CZ919" s="177">
        <f t="shared" si="2688"/>
        <v>1.3976271617800498E-2</v>
      </c>
      <c r="DA919" s="187">
        <f t="shared" si="2679"/>
        <v>0.91187499999999999</v>
      </c>
      <c r="DB919" s="188">
        <f t="shared" si="2680"/>
        <v>1.3699568463593395</v>
      </c>
      <c r="DC919" s="188">
        <f t="shared" si="2681"/>
        <v>0.30714603739982199</v>
      </c>
      <c r="DD919" s="188">
        <f t="shared" si="2682"/>
        <v>0.77007188472689425</v>
      </c>
      <c r="DE919" s="188">
        <f t="shared" si="2683"/>
        <v>0.32402839633793828</v>
      </c>
      <c r="DF919" s="189">
        <f>INDEX('State Tax Lookup'!$D$7:$Z$91,MATCH(Calculation!$C919,'State Tax Lookup'!$B$7:$B$91,0),MATCH($H919,'State Tax Lookup'!$D$6:$Z$6,0))</f>
        <v>0.23499999999999999</v>
      </c>
      <c r="DG919" s="189">
        <v>0.375</v>
      </c>
      <c r="DH919" s="190">
        <f t="shared" si="2685"/>
        <v>18.959644333749054</v>
      </c>
      <c r="DI919" s="190">
        <v>18.621523785196555</v>
      </c>
      <c r="DJ919" s="177"/>
      <c r="DK919" s="189">
        <f>VLOOKUP($H919,RoR!$E:$F,2,FALSE)</f>
        <v>3.7433333333333339E-2</v>
      </c>
      <c r="DL919" s="191">
        <f>HLOOKUP($H919,'GDP-PI'!$D$8:$CQ$11,3,FALSE)</f>
        <v>1.9056896421275615E-2</v>
      </c>
      <c r="DM919" s="189">
        <f>VLOOKUP(H919,'HW Dx Data'!$E:$F,2,FALSE)</f>
        <v>712.42858370229726</v>
      </c>
      <c r="DN919" s="183">
        <f>VLOOKUP(H919,'ECI - Input Price'!$G$17:$H$37,2,FALSE)</f>
        <v>129.5</v>
      </c>
      <c r="DO919" s="177">
        <f t="shared" ref="DO919" si="2735">LN(DN919/DN918)</f>
        <v>2.4229399426835413E-2</v>
      </c>
      <c r="DP919" s="183">
        <f>HLOOKUP(H919,'GDP-PI'!$8:$9,2,FALSE)</f>
        <v>107.751</v>
      </c>
      <c r="DQ919" s="177">
        <f t="shared" ref="DQ919" si="2736">LN(DP919/DP918)</f>
        <v>1.8877588227745139E-2</v>
      </c>
    </row>
    <row r="920" spans="1:121" s="167" customFormat="1" ht="21" x14ac:dyDescent="0.35">
      <c r="A920" s="167" t="s">
        <v>94</v>
      </c>
      <c r="B920" s="167" t="s">
        <v>94</v>
      </c>
      <c r="C920" s="167">
        <v>4057139</v>
      </c>
      <c r="D920" s="168" t="s">
        <v>148</v>
      </c>
      <c r="E920" s="168"/>
      <c r="F920" s="198"/>
      <c r="G920" s="167" t="s">
        <v>24</v>
      </c>
      <c r="H920" s="169">
        <v>2018</v>
      </c>
      <c r="I920" s="170"/>
      <c r="J920" s="166">
        <f>IFERROR(INDEX('Labor Expenditures'!$F$7:$X$91,MATCH($C920,'Labor Expenditures'!$D$7:$D$91,0),MATCH($G920,'Labor Expenditures'!$F$5:$X$5,0)),"NA")</f>
        <v>30775.87661577035</v>
      </c>
      <c r="K920" s="166">
        <f t="shared" si="2691"/>
        <v>230.96342676000262</v>
      </c>
      <c r="L920" s="172">
        <f t="shared" si="2698"/>
        <v>6.9215397589364137E-3</v>
      </c>
      <c r="M920" s="172">
        <f t="shared" si="2702"/>
        <v>8.5706763744381617E-5</v>
      </c>
      <c r="N920" s="196"/>
      <c r="O920" s="172"/>
      <c r="P920" s="166">
        <f>IFERROR(INDEX('Non-Labor Expenditures'!$F$7:$AB$91,MATCH($C920,'Non-Labor Expenditures'!$D$7:$D$91,0),MATCH($G920,'Non-Labor Expenditures'!$F$5:$AB$5,0)),"NA")</f>
        <v>44569.217480491643</v>
      </c>
      <c r="Q920" s="166">
        <f t="shared" si="2692"/>
        <v>403.99210928456375</v>
      </c>
      <c r="R920" s="172">
        <f t="shared" si="2703"/>
        <v>1.1887368948789291E-2</v>
      </c>
      <c r="S920" s="172">
        <f t="shared" si="2708"/>
        <v>1.4719671597938466E-4</v>
      </c>
      <c r="T920" s="172"/>
      <c r="U920" s="172"/>
      <c r="V920" s="166">
        <f t="shared" si="2673"/>
        <v>84168.777211346765</v>
      </c>
      <c r="W920" s="170"/>
      <c r="X920" s="174">
        <v>4312.9104322106705</v>
      </c>
      <c r="Y920" s="175">
        <v>1.5434329218074487E-2</v>
      </c>
      <c r="Z920" s="175">
        <f t="shared" si="2709"/>
        <v>1.9111736028657678E-4</v>
      </c>
      <c r="AA920" s="175"/>
      <c r="AB920" s="175"/>
      <c r="AC920" s="170">
        <f t="shared" si="2659"/>
        <v>159513.87130760876</v>
      </c>
      <c r="AD920" s="175">
        <f t="shared" si="2704"/>
        <v>5.0414233932387226E-2</v>
      </c>
      <c r="AE920" s="170"/>
      <c r="AF920" s="170"/>
      <c r="AG920" s="121">
        <f t="shared" si="2705"/>
        <v>281.00496130151015</v>
      </c>
      <c r="AH920" s="119">
        <f>+AZ920/$BB$56</f>
        <v>1.4989488042394066E-2</v>
      </c>
      <c r="AI920" s="119"/>
      <c r="AJ920" s="176">
        <f t="shared" si="2710"/>
        <v>4.2121205072823935</v>
      </c>
      <c r="AK920" s="176">
        <f t="shared" si="2711"/>
        <v>0</v>
      </c>
      <c r="AL920" s="120">
        <f t="shared" si="2693"/>
        <v>0.1929354253864338</v>
      </c>
      <c r="AM920" s="120">
        <f t="shared" si="2694"/>
        <v>0.27940653132631799</v>
      </c>
      <c r="AN920" s="120">
        <f t="shared" si="2695"/>
        <v>0.52765804328724819</v>
      </c>
      <c r="AO920" s="120">
        <f t="shared" si="2699"/>
        <v>1.2781038343790515E-2</v>
      </c>
      <c r="AP920" s="173">
        <f t="shared" si="2715"/>
        <v>108.40508827041197</v>
      </c>
      <c r="AQ920" s="175">
        <f t="shared" si="2716"/>
        <v>1.278103834379052E-2</v>
      </c>
      <c r="AR920" s="177">
        <f>+AC920/$AE$56</f>
        <v>1.238261524593938E-2</v>
      </c>
      <c r="AS920" s="177">
        <f t="shared" si="2712"/>
        <v>1.582626802547563E-4</v>
      </c>
      <c r="AT920" s="177"/>
      <c r="AU920" s="177"/>
      <c r="AV920" s="177"/>
      <c r="AW920" s="190"/>
      <c r="AX920" s="120"/>
      <c r="AY920" s="120"/>
      <c r="AZ920" s="118">
        <f>IFERROR(INDEX('Total Customers'!$F$7:$AB$91,MATCH($C920,'Total Customers'!$D$7:$D$91,0),MATCH($G920,'Total Customers'!$F$5:$AB$5,0)),"NA")</f>
        <v>567655</v>
      </c>
      <c r="BA920" s="119">
        <f t="shared" si="2674"/>
        <v>2.6168496601896581E-2</v>
      </c>
      <c r="BB920" s="119"/>
      <c r="BC920" s="121"/>
      <c r="BD920" s="119"/>
      <c r="BE920" s="119"/>
      <c r="BF920" s="119"/>
      <c r="BG920" s="173"/>
      <c r="BH920" s="173"/>
      <c r="BI920" s="173"/>
      <c r="BJ920" s="173"/>
      <c r="BK920" s="173"/>
      <c r="BL920" s="173"/>
      <c r="BM920" s="173"/>
      <c r="BN920" s="173"/>
      <c r="BO920" s="173"/>
      <c r="BP920" s="173"/>
      <c r="BQ920" s="118"/>
      <c r="BR920" s="118"/>
      <c r="BS920" s="118">
        <f>INDEX('Dist. Plant Gas Additions'!$F$7:$AE$91,MATCH($C920,'Dist. Plant Gas Additions'!$D$7:$D$91,0),MATCH(Calculation!$G920,'Dist. Plant Gas Additions'!$F$5:$AE$5,0))</f>
        <v>72919</v>
      </c>
      <c r="BT920" s="118">
        <f>INDEX('Gen. Plant Additions'!$F$7:$AE$91,MATCH($C920,'Gen. Plant Additions'!$D$7:$D$91,0),MATCH(Calculation!$G920,'Gen. Plant Additions'!$F$5:$AE$5,0))</f>
        <v>6220</v>
      </c>
      <c r="BU920" s="118"/>
      <c r="BV920" s="118"/>
      <c r="BW920" s="118">
        <f>INDEX('Dist Plant Depreciation'!$E$7:$AD$94,MATCH($C920,'Dist Plant Depreciation'!$D$7:$D$94,0),MATCH(Calculation!$G920,'Dist Plant Depreciation'!$E$5:$AD$5,0))</f>
        <v>648858</v>
      </c>
      <c r="BX920" s="118">
        <f>INDEX('Gen. Plant Depreciation'!$E$7:$AD$94,MATCH($C920,'Gen. Plant Depreciation'!$D$7:$D$94,0),MATCH(Calculation!$G920,'Gen. Plant Depreciation'!$E$5:$AD$5,0))</f>
        <v>32522</v>
      </c>
      <c r="BY920" s="118"/>
      <c r="BZ920" s="118"/>
      <c r="CA920" s="118"/>
      <c r="CB920" s="118"/>
      <c r="CC920" s="118"/>
      <c r="CD920" s="183"/>
      <c r="CE920" s="118">
        <f>INDEX('Gross Dx Plant'!$E$7:$AD$91,MATCH($C920,'Gross Dx Plant'!$D$7:$D$91,0),MATCH(Calculation!$G920,'Gross Dx Plant'!$E$5:$AD$5,0))</f>
        <v>1587906</v>
      </c>
      <c r="CF920" s="118">
        <f>INDEX('Gross Gen Plant'!$E$7:$AD$91,MATCH($C920,'Gross Gen Plant'!$D$7:$D$91,0),MATCH(Calculation!$G920,'Gross Gen Plant'!$E$5:$AD$5,0))</f>
        <v>96425</v>
      </c>
      <c r="CG920" s="118">
        <f t="shared" si="2598"/>
        <v>1002951</v>
      </c>
      <c r="CH920" s="118"/>
      <c r="CI920" s="121">
        <v>2018</v>
      </c>
      <c r="CJ920" s="118"/>
      <c r="CK920" s="118"/>
      <c r="CL920" s="118"/>
      <c r="CM920" s="183"/>
      <c r="CN920" s="118">
        <f t="shared" si="2675"/>
        <v>79139</v>
      </c>
      <c r="CO920" s="118">
        <f t="shared" si="2676"/>
        <v>104.80089035133904</v>
      </c>
      <c r="CP920" s="186">
        <v>0.86111111111111116</v>
      </c>
      <c r="CQ920" s="118">
        <f>+CQ900*CP920++CO901*CP919+CO902*CP918+CO903*CP917+CO904*CP916+CO905*CP915+CO906*CP914+CO907*CP913+CO908*CP912+CO909*CP911+CO910*CP910+CO911*CP909+CO912*CP908+CO913*CP907+CO914*CP906+CO915*CP905+CO916*CP904+CO917*CP903+CO918*CP902+CO919*CP901+CO920</f>
        <v>4312.9104322106705</v>
      </c>
      <c r="CR920" s="119">
        <f t="shared" si="2677"/>
        <v>1.5434329218074487E-2</v>
      </c>
      <c r="CS920" s="119"/>
      <c r="CT920" s="177">
        <f t="shared" si="2678"/>
        <v>9.1232427462554812E-3</v>
      </c>
      <c r="CU920" s="177">
        <f t="shared" si="2686"/>
        <v>8.8329418273876206E-3</v>
      </c>
      <c r="CV920" s="119">
        <f>VLOOKUP($H920,RoR!$E:$F,2,FALSE)</f>
        <v>3.9299999999999995E-2</v>
      </c>
      <c r="CW920" s="177">
        <v>2.386056741932796E-2</v>
      </c>
      <c r="CX920" s="177">
        <f t="shared" si="2684"/>
        <v>1.5439432580672034E-2</v>
      </c>
      <c r="CY920" s="177">
        <f t="shared" si="2687"/>
        <v>2.2068999781146004E-2</v>
      </c>
      <c r="CZ920" s="177">
        <f t="shared" si="2688"/>
        <v>3.8270792163076606E-2</v>
      </c>
      <c r="DA920" s="187">
        <f t="shared" si="2679"/>
        <v>0.91187499999999999</v>
      </c>
      <c r="DB920" s="188">
        <f t="shared" si="2680"/>
        <v>1.3048868010700074</v>
      </c>
      <c r="DC920" s="188">
        <f t="shared" si="2681"/>
        <v>0.33886768447837151</v>
      </c>
      <c r="DD920" s="188">
        <f t="shared" si="2682"/>
        <v>0.78602506232557801</v>
      </c>
      <c r="DE920" s="188">
        <f t="shared" si="2683"/>
        <v>0.34756768162358759</v>
      </c>
      <c r="DF920" s="189">
        <f>INDEX('State Tax Lookup'!$D$7:$Z$91,MATCH(Calculation!$C920,'State Tax Lookup'!$B$7:$B$91,0),MATCH($H920,'State Tax Lookup'!$D$6:$Z$6,0))</f>
        <v>0.23499999999999999</v>
      </c>
      <c r="DG920" s="189">
        <v>0.375</v>
      </c>
      <c r="DH920" s="190">
        <f t="shared" si="2685"/>
        <v>19.819086027960648</v>
      </c>
      <c r="DI920" s="190">
        <v>19.449418196057469</v>
      </c>
      <c r="DJ920" s="177"/>
      <c r="DK920" s="189">
        <f>VLOOKUP($H920,RoR!$E:$F,2,FALSE)</f>
        <v>3.9299999999999995E-2</v>
      </c>
      <c r="DL920" s="191">
        <f>HLOOKUP($H920,'GDP-PI'!$D$8:$CQ$11,3,FALSE)</f>
        <v>2.386056741932796E-2</v>
      </c>
      <c r="DM920" s="189">
        <f>VLOOKUP(H920,'HW Dx Data'!$E:$F,2,FALSE)</f>
        <v>755.13671434174842</v>
      </c>
      <c r="DN920" s="183">
        <f>VLOOKUP(H920,'ECI - Input Price'!$G$17:$H$37,2,FALSE)</f>
        <v>133.25</v>
      </c>
      <c r="DO920" s="177">
        <f t="shared" ref="DO920" si="2737">LN(DN920/DN919)</f>
        <v>2.8546181906361531E-2</v>
      </c>
      <c r="DP920" s="183">
        <f>HLOOKUP(H920,'GDP-PI'!$8:$9,2,FALSE)</f>
        <v>110.322</v>
      </c>
      <c r="DQ920" s="177">
        <f t="shared" ref="DQ920" si="2738">LN(DP920/DP919)</f>
        <v>2.3580352716508712E-2</v>
      </c>
    </row>
    <row r="921" spans="1:121" s="167" customFormat="1" ht="21" x14ac:dyDescent="0.35">
      <c r="A921" s="167" t="s">
        <v>94</v>
      </c>
      <c r="B921" s="167" t="s">
        <v>94</v>
      </c>
      <c r="C921" s="167">
        <v>4057139</v>
      </c>
      <c r="D921" s="168" t="s">
        <v>148</v>
      </c>
      <c r="E921" s="168"/>
      <c r="F921" s="198"/>
      <c r="G921" s="167" t="s">
        <v>25</v>
      </c>
      <c r="H921" s="169">
        <v>2019</v>
      </c>
      <c r="I921" s="170"/>
      <c r="J921" s="166">
        <f>IFERROR(INDEX('Labor Expenditures'!$F$7:$X$91,MATCH($C921,'Labor Expenditures'!$D$7:$D$91,0),MATCH($G921,'Labor Expenditures'!$F$5:$X$5,0)),"NA")</f>
        <v>31776.752368060166</v>
      </c>
      <c r="K921" s="166">
        <f t="shared" si="2691"/>
        <v>232.20133261278895</v>
      </c>
      <c r="L921" s="172">
        <f t="shared" si="2698"/>
        <v>5.3454360478075872E-3</v>
      </c>
      <c r="M921" s="172">
        <f t="shared" si="2702"/>
        <v>6.6031899666977979E-5</v>
      </c>
      <c r="N921" s="196"/>
      <c r="O921" s="172"/>
      <c r="P921" s="166">
        <f>IFERROR(INDEX('Non-Labor Expenditures'!$F$7:$AB$91,MATCH($C921,'Non-Labor Expenditures'!$D$7:$D$91,0),MATCH($G921,'Non-Labor Expenditures'!$F$5:$AB$5,0)),"NA")</f>
        <v>46018.672507611722</v>
      </c>
      <c r="Q921" s="166">
        <f t="shared" si="2692"/>
        <v>409.71769892280599</v>
      </c>
      <c r="R921" s="172">
        <f t="shared" si="2703"/>
        <v>1.4073037037140069E-2</v>
      </c>
      <c r="S921" s="172">
        <f t="shared" si="2708"/>
        <v>1.7384351086329708E-4</v>
      </c>
      <c r="T921" s="172"/>
      <c r="U921" s="172"/>
      <c r="V921" s="166">
        <f t="shared" si="2673"/>
        <v>86316.433617471106</v>
      </c>
      <c r="W921" s="170"/>
      <c r="X921" s="174">
        <v>4459.0421603036857</v>
      </c>
      <c r="Y921" s="175">
        <v>3.3321030188130228E-2</v>
      </c>
      <c r="Z921" s="175">
        <f t="shared" si="2709"/>
        <v>4.1161299143881538E-4</v>
      </c>
      <c r="AA921" s="175"/>
      <c r="AB921" s="175"/>
      <c r="AC921" s="170">
        <f t="shared" si="2659"/>
        <v>164111.85849314299</v>
      </c>
      <c r="AD921" s="175">
        <f t="shared" si="2704"/>
        <v>2.841737341758015E-2</v>
      </c>
      <c r="AE921" s="170"/>
      <c r="AF921" s="170"/>
      <c r="AG921" s="121">
        <f t="shared" si="2705"/>
        <v>281.81837593184468</v>
      </c>
      <c r="AH921" s="119">
        <f>+AZ921/$BB$57</f>
        <v>1.5251244886805473E-2</v>
      </c>
      <c r="AI921" s="119"/>
      <c r="AJ921" s="176">
        <f t="shared" si="2710"/>
        <v>4.2980810649383692</v>
      </c>
      <c r="AK921" s="176">
        <f t="shared" si="2711"/>
        <v>0</v>
      </c>
      <c r="AL921" s="120">
        <f t="shared" si="2693"/>
        <v>0.19362861806472004</v>
      </c>
      <c r="AM921" s="120">
        <f t="shared" si="2694"/>
        <v>0.2804104037950097</v>
      </c>
      <c r="AN921" s="120">
        <f t="shared" si="2695"/>
        <v>0.52596097814027021</v>
      </c>
      <c r="AO921" s="120">
        <f t="shared" si="2699"/>
        <v>2.2526174527202653E-2</v>
      </c>
      <c r="AP921" s="173">
        <f t="shared" si="2715"/>
        <v>110.87475181383226</v>
      </c>
      <c r="AQ921" s="175">
        <f t="shared" si="2716"/>
        <v>2.2526174527202601E-2</v>
      </c>
      <c r="AR921" s="177">
        <f>+AC921/$AE$57</f>
        <v>1.2352949146975717E-2</v>
      </c>
      <c r="AS921" s="177">
        <f t="shared" si="2712"/>
        <v>2.7826468841043349E-4</v>
      </c>
      <c r="AT921" s="177"/>
      <c r="AU921" s="177"/>
      <c r="AV921" s="177"/>
      <c r="AW921" s="190"/>
      <c r="AX921" s="120"/>
      <c r="AY921" s="120"/>
      <c r="AZ921" s="118">
        <f>IFERROR(INDEX('Total Customers'!$F$7:$AB$91,MATCH($C921,'Total Customers'!$D$7:$D$91,0),MATCH($G921,'Total Customers'!$F$5:$AB$5,0)),"NA")</f>
        <v>582332</v>
      </c>
      <c r="BA921" s="119">
        <f t="shared" si="2674"/>
        <v>2.5526892007676574E-2</v>
      </c>
      <c r="BB921" s="119"/>
      <c r="BC921" s="121"/>
      <c r="BD921" s="119"/>
      <c r="BE921" s="119"/>
      <c r="BF921" s="119"/>
      <c r="BG921" s="173"/>
      <c r="BH921" s="173"/>
      <c r="BI921" s="173"/>
      <c r="BJ921" s="173"/>
      <c r="BK921" s="173"/>
      <c r="BL921" s="173"/>
      <c r="BM921" s="173"/>
      <c r="BN921" s="173"/>
      <c r="BO921" s="173"/>
      <c r="BP921" s="173"/>
      <c r="BQ921" s="118"/>
      <c r="BR921" s="118"/>
      <c r="BS921" s="118">
        <f>INDEX('Dist. Plant Gas Additions'!$F$7:$AE$91,MATCH($C921,'Dist. Plant Gas Additions'!$D$7:$D$91,0),MATCH(Calculation!$G921,'Dist. Plant Gas Additions'!$F$5:$AE$5,0))</f>
        <v>142060</v>
      </c>
      <c r="BT921" s="118">
        <f>INDEX('Gen. Plant Additions'!$F$7:$AE$91,MATCH($C921,'Gen. Plant Additions'!$D$7:$D$91,0),MATCH(Calculation!$G921,'Gen. Plant Additions'!$F$5:$AE$5,0))</f>
        <v>2551</v>
      </c>
      <c r="BU921" s="118"/>
      <c r="BV921" s="118"/>
      <c r="BW921" s="118">
        <f>INDEX('Dist Plant Depreciation'!$E$7:$AD$94,MATCH($C921,'Dist Plant Depreciation'!$D$7:$D$94,0),MATCH(Calculation!$G921,'Dist Plant Depreciation'!$E$5:$AD$5,0))</f>
        <v>679096</v>
      </c>
      <c r="BX921" s="118">
        <f>INDEX('Gen. Plant Depreciation'!$E$7:$AD$94,MATCH($C921,'Gen. Plant Depreciation'!$D$7:$D$94,0),MATCH(Calculation!$G921,'Gen. Plant Depreciation'!$E$5:$AD$5,0))</f>
        <v>35874</v>
      </c>
      <c r="BY921" s="118"/>
      <c r="BZ921" s="118"/>
      <c r="CA921" s="118"/>
      <c r="CB921" s="118"/>
      <c r="CC921" s="118"/>
      <c r="CD921" s="183"/>
      <c r="CE921" s="118">
        <f>INDEX('Gross Dx Plant'!$E$7:$AD$91,MATCH($C921,'Gross Dx Plant'!$D$7:$D$91,0),MATCH(Calculation!$G921,'Gross Dx Plant'!$E$5:$AD$5,0))</f>
        <v>1777809</v>
      </c>
      <c r="CF921" s="118">
        <f>INDEX('Gross Gen Plant'!$E$7:$AD$91,MATCH($C921,'Gross Gen Plant'!$D$7:$D$91,0),MATCH(Calculation!$G921,'Gross Gen Plant'!$E$5:$AD$5,0))</f>
        <v>83033</v>
      </c>
      <c r="CG921" s="118">
        <f t="shared" si="2598"/>
        <v>1145872</v>
      </c>
      <c r="CH921" s="118"/>
      <c r="CI921" s="121">
        <v>2019</v>
      </c>
      <c r="CJ921" s="118"/>
      <c r="CK921" s="118"/>
      <c r="CL921" s="118"/>
      <c r="CM921" s="183"/>
      <c r="CN921" s="118">
        <f t="shared" si="2675"/>
        <v>144611</v>
      </c>
      <c r="CO921" s="118">
        <f t="shared" si="2676"/>
        <v>186.94719245063021</v>
      </c>
      <c r="CP921" s="186">
        <v>0.85106382978723405</v>
      </c>
      <c r="CQ921" s="118">
        <f>CQ900*CP921+CO901*CP920+CO902*CP919+CO903*CP918+CO904*CP917+CO905*CP916+CO906*CP915+CO907*CP914+CO908*CP913+CO909*CP912+CO910*CP911+CO911*CP910+CO912*CP909+CO913*CP908+CO914*CP907+CO915*CP906+CO916*CP905+CO917*CP904+CO918*CP903+CO919*CP902+CO920*CP901+CO921</f>
        <v>4459.0421603036857</v>
      </c>
      <c r="CR921" s="119">
        <f t="shared" si="2677"/>
        <v>3.3321030188130228E-2</v>
      </c>
      <c r="CS921" s="119"/>
      <c r="CT921" s="177">
        <f t="shared" si="2678"/>
        <v>9.4635548312776308E-3</v>
      </c>
      <c r="CU921" s="177">
        <f t="shared" si="2686"/>
        <v>9.133963047315884E-3</v>
      </c>
      <c r="CV921" s="119">
        <f>VLOOKUP($H921,RoR!$E:$F,2,FALSE)</f>
        <v>3.3875000000000009E-2</v>
      </c>
      <c r="CW921" s="177">
        <v>1.8092492884465461E-2</v>
      </c>
      <c r="CX921" s="177">
        <f t="shared" si="2684"/>
        <v>1.5782507115534548E-2</v>
      </c>
      <c r="CY921" s="177">
        <f t="shared" si="2687"/>
        <v>2.1767978561217739E-2</v>
      </c>
      <c r="CZ921" s="177">
        <f t="shared" si="2688"/>
        <v>4.8445665544254078E-2</v>
      </c>
      <c r="DA921" s="187">
        <f t="shared" si="2679"/>
        <v>0.91187499999999999</v>
      </c>
      <c r="DB921" s="188">
        <f t="shared" si="2680"/>
        <v>1.513861292459078</v>
      </c>
      <c r="DC921" s="188">
        <f t="shared" si="2681"/>
        <v>0.23699261992619944</v>
      </c>
      <c r="DD921" s="188">
        <f t="shared" si="2682"/>
        <v>0.73619765810468829</v>
      </c>
      <c r="DE921" s="188">
        <f t="shared" si="2683"/>
        <v>0.26412854465362851</v>
      </c>
      <c r="DF921" s="189">
        <f>INDEX('State Tax Lookup'!$D$7:$Z$91,MATCH(Calculation!$C921,'State Tax Lookup'!$B$7:$B$91,0),MATCH($H921,'State Tax Lookup'!$D$6:$Z$6,0))</f>
        <v>0.23499999999999999</v>
      </c>
      <c r="DG921" s="189">
        <v>0.375</v>
      </c>
      <c r="DH921" s="190">
        <f t="shared" si="2685"/>
        <v>20.01350015822792</v>
      </c>
      <c r="DI921" s="190">
        <v>19.610156442506007</v>
      </c>
      <c r="DJ921" s="177"/>
      <c r="DK921" s="189">
        <f>VLOOKUP($H921,RoR!$E:$F,2,FALSE)</f>
        <v>3.3875000000000009E-2</v>
      </c>
      <c r="DL921" s="191">
        <f>HLOOKUP($H921,'GDP-PI'!$D$8:$CQ$11,3,FALSE)</f>
        <v>1.8092492884465461E-2</v>
      </c>
      <c r="DM921" s="189">
        <f>VLOOKUP(H921,'HW Dx Data'!$E:$F,2,FALSE)</f>
        <v>773.53929793938721</v>
      </c>
      <c r="DN921" s="183">
        <f>VLOOKUP(H921,'ECI - Input Price'!$G$17:$H$37,2,FALSE)</f>
        <v>136.85</v>
      </c>
      <c r="DO921" s="177">
        <f t="shared" ref="DO921" si="2739">LN(DN921/DN920)</f>
        <v>2.6658372440734168E-2</v>
      </c>
      <c r="DP921" s="183">
        <f>HLOOKUP(H921,'GDP-PI'!$8:$9,2,FALSE)</f>
        <v>112.318</v>
      </c>
      <c r="DQ921" s="177">
        <f t="shared" ref="DQ921" si="2740">LN(DP921/DP920)</f>
        <v>1.7930771451401852E-2</v>
      </c>
    </row>
    <row r="922" spans="1:121" s="167" customFormat="1" ht="21" x14ac:dyDescent="0.35">
      <c r="A922" s="167" t="s">
        <v>94</v>
      </c>
      <c r="B922" s="167" t="s">
        <v>94</v>
      </c>
      <c r="C922" s="167">
        <v>4057139</v>
      </c>
      <c r="D922" s="167" t="s">
        <v>148</v>
      </c>
      <c r="G922" s="168" t="s">
        <v>26</v>
      </c>
      <c r="H922" s="169">
        <v>2020</v>
      </c>
      <c r="I922" s="170"/>
      <c r="J922" s="166">
        <f>IFERROR(INDEX('Labor Expenditures'!$F$7:$X$91,MATCH($C922,'Labor Expenditures'!$D$7:$D$91,0),MATCH($G922,'Labor Expenditures'!$F$5:$X$5,0)),"NA")</f>
        <v>32569.617479102817</v>
      </c>
      <c r="K922" s="166">
        <f t="shared" si="2691"/>
        <v>231.89474887221658</v>
      </c>
      <c r="L922" s="172">
        <f t="shared" si="2698"/>
        <v>-1.3212082471752435E-3</v>
      </c>
      <c r="M922" s="172">
        <f t="shared" si="2702"/>
        <v>-1.6615165987100793E-5</v>
      </c>
      <c r="N922" s="196"/>
      <c r="O922" s="172"/>
      <c r="P922" s="166">
        <f>IFERROR(INDEX('Non-Labor Expenditures'!$F$7:$AB$91,MATCH($C922,'Non-Labor Expenditures'!$D$7:$D$91,0),MATCH($G922,'Non-Labor Expenditures'!$F$5:$AB$5,0)),"NA")</f>
        <v>47166.889275177207</v>
      </c>
      <c r="Q922" s="166">
        <f t="shared" si="2692"/>
        <v>415.11744343290712</v>
      </c>
      <c r="R922" s="172">
        <f t="shared" si="2703"/>
        <v>1.3093093084996295E-2</v>
      </c>
      <c r="S922" s="172">
        <f t="shared" si="2708"/>
        <v>1.6465528076810455E-4</v>
      </c>
      <c r="T922" s="172"/>
      <c r="U922" s="172"/>
      <c r="V922" s="166">
        <f t="shared" si="2673"/>
        <v>92509.18805852189</v>
      </c>
      <c r="W922" s="170"/>
      <c r="X922" s="174">
        <v>4722.8161939096799</v>
      </c>
      <c r="Y922" s="175">
        <v>5.7471292220418309E-2</v>
      </c>
      <c r="Z922" s="175">
        <f t="shared" si="2709"/>
        <v>7.2274379287065441E-4</v>
      </c>
      <c r="AA922" s="175"/>
      <c r="AB922" s="175"/>
      <c r="AC922" s="170">
        <f t="shared" si="2659"/>
        <v>172245.6948128019</v>
      </c>
      <c r="AD922" s="175">
        <f t="shared" si="2704"/>
        <v>4.8373656444676144E-2</v>
      </c>
      <c r="AE922" s="170"/>
      <c r="AF922" s="170"/>
      <c r="AG922" s="121">
        <f t="shared" si="2705"/>
        <v>295.78607188477002</v>
      </c>
      <c r="AH922" s="119">
        <f>+AZ922/$BB$58</f>
        <v>1.5144019171904066E-2</v>
      </c>
      <c r="AI922" s="119"/>
      <c r="AJ922" s="176">
        <f t="shared" si="2710"/>
        <v>4.4793899434051516</v>
      </c>
      <c r="AK922" s="176">
        <f t="shared" si="2711"/>
        <v>0</v>
      </c>
      <c r="AL922" s="120">
        <f t="shared" si="2693"/>
        <v>0.18908813665560556</v>
      </c>
      <c r="AM922" s="120">
        <f t="shared" si="2694"/>
        <v>0.27383493866966363</v>
      </c>
      <c r="AN922" s="120">
        <f t="shared" si="2695"/>
        <v>0.53707692467473089</v>
      </c>
      <c r="AO922" s="120">
        <f t="shared" si="2699"/>
        <v>3.3922649641104266E-2</v>
      </c>
      <c r="AP922" s="173">
        <f t="shared" si="2715"/>
        <v>114.70043903812655</v>
      </c>
      <c r="AQ922" s="175">
        <f t="shared" si="2716"/>
        <v>3.3922649641104273E-2</v>
      </c>
      <c r="AR922" s="177">
        <f>+AC922/$AE$58</f>
        <v>1.2575735901304116E-2</v>
      </c>
      <c r="AS922" s="177">
        <f t="shared" si="2712"/>
        <v>4.2660228295899618E-4</v>
      </c>
      <c r="AT922" s="177"/>
      <c r="AU922" s="177"/>
      <c r="AV922" s="177"/>
      <c r="AW922" s="190"/>
      <c r="AX922" s="120"/>
      <c r="AY922" s="120"/>
      <c r="AZ922" s="118">
        <v>582332</v>
      </c>
      <c r="BA922" s="119">
        <f t="shared" si="2674"/>
        <v>0</v>
      </c>
      <c r="BB922" s="119"/>
      <c r="BC922" s="121"/>
      <c r="BD922" s="119"/>
      <c r="BE922" s="119"/>
      <c r="BF922" s="119"/>
      <c r="BG922" s="173"/>
      <c r="BH922" s="173"/>
      <c r="BI922" s="173"/>
      <c r="BJ922" s="173"/>
      <c r="BK922" s="173"/>
      <c r="BL922" s="173"/>
      <c r="BM922" s="173"/>
      <c r="BN922" s="173"/>
      <c r="BO922" s="173"/>
      <c r="BP922" s="173"/>
      <c r="BQ922" s="118"/>
      <c r="BR922" s="118"/>
      <c r="BS922" s="118">
        <f>INDEX('Dist. Plant Gas Additions'!$F$7:$AE$91,MATCH($C922,'Dist. Plant Gas Additions'!$D$7:$D$91,0),MATCH(Calculation!$G922,'Dist. Plant Gas Additions'!$F$5:$AE$5,0))</f>
        <v>115197</v>
      </c>
      <c r="BT922" s="118">
        <f>INDEX('Gen. Plant Additions'!$F$7:$AE$91,MATCH($C922,'Gen. Plant Additions'!$D$7:$D$91,0),MATCH(Calculation!$G922,'Gen. Plant Additions'!$F$5:$AE$5,0))</f>
        <v>134565</v>
      </c>
      <c r="BU922" s="118"/>
      <c r="BV922" s="118"/>
      <c r="BW922" s="118">
        <f>INDEX('Dist Plant Depreciation'!$E$7:$AD$94,MATCH($C922,'Dist Plant Depreciation'!$D$7:$D$94,0),MATCH(Calculation!$G922,'Dist Plant Depreciation'!$E$5:$AD$5,0))</f>
        <v>717734</v>
      </c>
      <c r="BX922" s="118">
        <f>INDEX('Gen. Plant Depreciation'!$E$7:$AD$94,MATCH($C922,'Gen. Plant Depreciation'!$D$7:$D$94,0),MATCH(Calculation!$G922,'Gen. Plant Depreciation'!$E$5:$AD$5,0))</f>
        <v>42983</v>
      </c>
      <c r="BY922" s="118"/>
      <c r="BZ922" s="118"/>
      <c r="CA922" s="118"/>
      <c r="CB922" s="118"/>
      <c r="CC922" s="118"/>
      <c r="CD922" s="183"/>
      <c r="CE922" s="118">
        <f>INDEX('Gross Dx Plant'!$E$7:$AD$91,MATCH($C922,'Gross Dx Plant'!$D$7:$D$91,0),MATCH(Calculation!$G922,'Gross Dx Plant'!$E$5:$AD$5,0))</f>
        <v>1889107</v>
      </c>
      <c r="CF922" s="118">
        <f>INDEX('Gross Gen Plant'!$E$7:$AD$91,MATCH($C922,'Gross Gen Plant'!$D$7:$D$91,0),MATCH(Calculation!$G922,'Gross Gen Plant'!$E$5:$AD$5,0))</f>
        <v>86608</v>
      </c>
      <c r="CG922" s="118">
        <f t="shared" si="2598"/>
        <v>1214998</v>
      </c>
      <c r="CH922" s="118"/>
      <c r="CI922" s="121">
        <v>2020</v>
      </c>
      <c r="CJ922" s="118"/>
      <c r="CK922" s="118"/>
      <c r="CL922" s="118"/>
      <c r="CM922" s="183"/>
      <c r="CN922" s="118">
        <f t="shared" si="2675"/>
        <v>249762</v>
      </c>
      <c r="CO922" s="118">
        <f t="shared" si="2676"/>
        <v>307.18004390206198</v>
      </c>
      <c r="CP922" s="186">
        <v>0.84057971014492749</v>
      </c>
      <c r="CQ922" s="118">
        <f>CQ900*CP922+CO901*CP921+CO902*CP920+CO903*CP919+CO904*CP918+CO905*CP917+CO906*CP916+CO907*CP915+CO908*CP914+CO909*CP913+CO910*CP912+CO911*CP911+CO912*CP910+CO913*CP909+CO914*CP908+CO915*CP907+CO916*CP906+CO917*CP905+CO918*CP904+CO919*CP903+CO920*CP902+CO921*CP901+CO922</f>
        <v>4722.8161939096799</v>
      </c>
      <c r="CR922" s="119">
        <f t="shared" si="2677"/>
        <v>5.7471292220418309E-2</v>
      </c>
      <c r="CS922" s="119"/>
      <c r="CT922" s="177">
        <f t="shared" si="2678"/>
        <v>9.7343798815106072E-3</v>
      </c>
      <c r="CU922" s="177">
        <f t="shared" si="2686"/>
        <v>9.440392486347907E-3</v>
      </c>
      <c r="CV922" s="119">
        <f>VLOOKUP($H922,RoR!$E:$F,2,FALSE)</f>
        <v>2.4766666666666666E-2</v>
      </c>
      <c r="CW922" s="177">
        <v>1.1618796630994188E-2</v>
      </c>
      <c r="CX922" s="177">
        <f t="shared" si="2684"/>
        <v>1.3147870035672478E-2</v>
      </c>
      <c r="CY922" s="177">
        <f t="shared" si="2687"/>
        <v>2.1461549122185716E-2</v>
      </c>
      <c r="CZ922" s="177">
        <f t="shared" si="2688"/>
        <v>4.5144642961987357E-2</v>
      </c>
      <c r="DA922" s="187">
        <f t="shared" si="2679"/>
        <v>0.91187499999999999</v>
      </c>
      <c r="DB922" s="188">
        <f t="shared" si="2680"/>
        <v>2.0706077233668081</v>
      </c>
      <c r="DC922" s="188">
        <f t="shared" si="2681"/>
        <v>-3.4421265141318998E-2</v>
      </c>
      <c r="DD922" s="188">
        <f t="shared" si="2682"/>
        <v>0.62416226176410472</v>
      </c>
      <c r="DE922" s="188">
        <f t="shared" si="2683"/>
        <v>-4.4485877841158712E-2</v>
      </c>
      <c r="DF922" s="189">
        <f>INDEX('State Tax Lookup'!$D$7:$Z$91,MATCH(Calculation!$C922,'State Tax Lookup'!$B$7:$B$91,0),MATCH($H922,'State Tax Lookup'!$D$6:$Z$6,0))</f>
        <v>0.23499999999999999</v>
      </c>
      <c r="DG922" s="189">
        <v>0.375</v>
      </c>
      <c r="DH922" s="190">
        <f t="shared" si="2685"/>
        <v>20.746425966114099</v>
      </c>
      <c r="DI922" s="190">
        <v>20.395054461486485</v>
      </c>
      <c r="DJ922" s="177"/>
      <c r="DK922" s="189">
        <f>VLOOKUP($H922,RoR!$E:$F,2,FALSE)</f>
        <v>2.4766666666666666E-2</v>
      </c>
      <c r="DL922" s="191">
        <f>HLOOKUP($H922,'GDP-PI'!$D$8:$CQ$11,3,FALSE)</f>
        <v>1.1618796630994188E-2</v>
      </c>
      <c r="DM922" s="189">
        <f>VLOOKUP(H922,'HW Dx Data'!$E:$F,2,FALSE)</f>
        <v>813.080162458833</v>
      </c>
      <c r="DN922" s="183">
        <f>VLOOKUP(H922,'ECI - Input Price'!$G$17:$H$37,2,FALSE)</f>
        <v>140.44999999999999</v>
      </c>
      <c r="DO922" s="177">
        <f t="shared" ref="DO922" si="2741">LN(DN922/DN921)</f>
        <v>2.5966118063564539E-2</v>
      </c>
      <c r="DP922" s="183">
        <f>HLOOKUP(H922,'GDP-PI'!$8:$9,2,FALSE)</f>
        <v>113.623</v>
      </c>
      <c r="DQ922" s="177">
        <f t="shared" ref="DQ922" si="2742">LN(DP922/DP921)</f>
        <v>1.1551816731392881E-2</v>
      </c>
    </row>
    <row r="923" spans="1:121" s="167" customFormat="1" ht="21" x14ac:dyDescent="0.35">
      <c r="A923" s="167" t="s">
        <v>94</v>
      </c>
      <c r="B923" s="167" t="s">
        <v>94</v>
      </c>
      <c r="C923" s="167">
        <v>4057139</v>
      </c>
      <c r="D923" s="167" t="s">
        <v>148</v>
      </c>
      <c r="G923" s="168" t="s">
        <v>462</v>
      </c>
      <c r="H923" s="169">
        <v>2021</v>
      </c>
      <c r="I923" s="170"/>
      <c r="J923" s="166">
        <f>IFERROR(INDEX('Labor Expenditures'!$E$7:$X$91,MATCH($C923,'Labor Expenditures'!$D$7:$D$91,0),MATCH($G923,'Labor Expenditures'!$E$5:$X$5,0)),"NA")</f>
        <v>37372.865186583505</v>
      </c>
      <c r="K923" s="166">
        <f t="shared" si="2691"/>
        <v>256.90232126883313</v>
      </c>
      <c r="L923" s="171">
        <f t="shared" si="2698"/>
        <v>0.10241233969198449</v>
      </c>
      <c r="M923" s="172">
        <f t="shared" si="2702"/>
        <v>1.4987920769729832E-3</v>
      </c>
      <c r="N923" s="196"/>
      <c r="O923" s="172"/>
      <c r="P923" s="166">
        <f>IFERROR(INDEX('Non-Labor Expenditures'!$E$7:$AB$91,MATCH($C923,'Non-Labor Expenditures'!$D$7:$D$91,0),MATCH($G923,'Non-Labor Expenditures'!$E$5:$AB$5,0)),"NA")</f>
        <v>52682.231648557477</v>
      </c>
      <c r="Q923" s="166">
        <f t="shared" si="2692"/>
        <v>444.61331461353262</v>
      </c>
      <c r="R923" s="172">
        <f t="shared" si="2703"/>
        <v>6.8643472061847885E-2</v>
      </c>
      <c r="S923" s="172">
        <f t="shared" si="2708"/>
        <v>1.0045888256399853E-3</v>
      </c>
      <c r="T923" s="172"/>
      <c r="U923" s="172"/>
      <c r="V923" s="166">
        <f t="shared" si="2673"/>
        <v>125786.3331804996</v>
      </c>
      <c r="W923" s="170"/>
      <c r="X923" s="174">
        <v>4867.2081532128914</v>
      </c>
      <c r="Y923" s="175"/>
      <c r="Z923" s="175">
        <f t="shared" si="2709"/>
        <v>0</v>
      </c>
      <c r="AA923" s="175"/>
      <c r="AB923" s="175"/>
      <c r="AC923" s="170">
        <f t="shared" si="2659"/>
        <v>215841.43001564057</v>
      </c>
      <c r="AD923" s="175">
        <f t="shared" si="2704"/>
        <v>0.225622102036416</v>
      </c>
      <c r="AE923" s="118"/>
      <c r="AF923" s="119"/>
      <c r="AG923" s="121">
        <f t="shared" si="2705"/>
        <v>386.49882804039117</v>
      </c>
      <c r="AH923" s="119">
        <f>+AZ923/$BB$59</f>
        <v>1.4328060818389887E-2</v>
      </c>
      <c r="AI923" s="119"/>
      <c r="AJ923" s="176">
        <f t="shared" si="2710"/>
        <v>5.5377787143991393</v>
      </c>
      <c r="AK923" s="176">
        <f t="shared" si="2711"/>
        <v>0</v>
      </c>
      <c r="AL923" s="120">
        <f t="shared" si="2693"/>
        <v>0.17314963667482813</v>
      </c>
      <c r="AM923" s="120">
        <f t="shared" si="2694"/>
        <v>0.24407840350548063</v>
      </c>
      <c r="AN923" s="120">
        <f t="shared" si="2695"/>
        <v>0.58277195981969132</v>
      </c>
      <c r="AO923" s="120">
        <f t="shared" si="2699"/>
        <v>3.6324493962821121E-2</v>
      </c>
      <c r="AP923" s="173">
        <f t="shared" si="2715"/>
        <v>118.94347090069563</v>
      </c>
      <c r="AQ923" s="175">
        <f t="shared" si="2716"/>
        <v>3.6324493962821093E-2</v>
      </c>
      <c r="AR923" s="177">
        <f>+AC923/$AE$59</f>
        <v>1.4634877803600158E-2</v>
      </c>
      <c r="AS923" s="177">
        <f t="shared" si="2712"/>
        <v>5.3160453042349839E-4</v>
      </c>
      <c r="AT923" s="177"/>
      <c r="AU923" s="177"/>
      <c r="AV923" s="177"/>
      <c r="AW923" s="190"/>
      <c r="AX923" s="120"/>
      <c r="AY923" s="120"/>
      <c r="AZ923" s="118">
        <f>INDEX('Total Customers'!$E$7:$E$91,MATCH(Calculation!$C923,'Total Customers'!$D$7:$D$91,0))</f>
        <v>558453</v>
      </c>
      <c r="BA923" s="119">
        <f t="shared" si="2674"/>
        <v>-4.1870270839718997E-2</v>
      </c>
      <c r="BB923" s="118"/>
      <c r="BC923" s="121"/>
      <c r="BD923" s="118"/>
      <c r="BE923" s="119"/>
      <c r="BF923" s="119"/>
      <c r="BG923" s="173"/>
      <c r="BH923" s="173"/>
      <c r="BI923" s="173"/>
      <c r="BJ923" s="173"/>
      <c r="BK923" s="173"/>
      <c r="BL923" s="173"/>
      <c r="BM923" s="173"/>
      <c r="BN923" s="173"/>
      <c r="BO923" s="173"/>
      <c r="BP923" s="173"/>
      <c r="BQ923" s="118"/>
      <c r="BR923" s="118"/>
      <c r="BS923" s="118">
        <f>INDEX('Dist. Plant Gas Additions'!$E$7:$AE$91,MATCH($C923,'Dist. Plant Gas Additions'!$D$7:$D$91,0),MATCH(Calculation!$G923,'Dist. Plant Gas Additions'!$E$5:$AE$5,0))</f>
        <v>135423.149</v>
      </c>
      <c r="BT923" s="118">
        <f>INDEX('Gen. Plant Additions'!$E$7:$AE$91,MATCH($C923,'Gen. Plant Additions'!$D$7:$D$91,0),MATCH(Calculation!$G923,'Gen. Plant Additions'!$E$5:$AE$5,0))</f>
        <v>5578.5789999999997</v>
      </c>
      <c r="BU923" s="118"/>
      <c r="BV923" s="118"/>
      <c r="BW923" s="118"/>
      <c r="BX923" s="118"/>
      <c r="BY923" s="183"/>
      <c r="BZ923" s="183"/>
      <c r="CA923" s="178"/>
      <c r="CB923" s="184"/>
      <c r="CC923" s="185"/>
      <c r="CD923" s="185"/>
      <c r="CE923" s="118"/>
      <c r="CF923" s="118"/>
      <c r="CG923" s="118"/>
      <c r="CH923" s="118"/>
      <c r="CI923" s="121">
        <v>2021</v>
      </c>
      <c r="CJ923" s="118"/>
      <c r="CK923" s="118"/>
      <c r="CL923" s="118"/>
      <c r="CM923" s="183"/>
      <c r="CN923" s="118">
        <f t="shared" si="2675"/>
        <v>141001.728</v>
      </c>
      <c r="CO923" s="118">
        <f t="shared" si="2676"/>
        <v>151.12360968613976</v>
      </c>
      <c r="CP923" s="186">
        <f>+(51-23)/(51-23*0.75)</f>
        <v>0.82962962962962961</v>
      </c>
      <c r="CQ923" s="118">
        <f>CQ900*CP923+CO901*CP922+CO902*CP921+CO903*CP920+CO904*CP919+CO905*CP918+CO906*CP917+CO907*CP916+CO908*CP915+CO909*CP914+CO910*CP913+CO911*CP912+CO912*CP911+CO913*CP910+CO914*CP909+CO905*CP908+CO916*CP907+CO917*CP906+CO918*CP905+CO919*CP904+CO920*CP903+CO921*CP902+CO923+CO922*CP901</f>
        <v>4867.2081532128914</v>
      </c>
      <c r="CR923" s="119"/>
      <c r="CS923" s="118"/>
      <c r="CT923" s="177">
        <f t="shared" si="2678"/>
        <v>1.4253466801458622E-3</v>
      </c>
      <c r="CU923" s="177">
        <f t="shared" si="2686"/>
        <v>6.8744271309780338E-3</v>
      </c>
      <c r="CV923" s="119">
        <f>VLOOKUP($H923,RoR!$E:$F,2,FALSE)</f>
        <v>2.7033333333333336E-2</v>
      </c>
      <c r="CW923" s="177"/>
      <c r="CX923" s="177"/>
      <c r="CY923" s="177">
        <f t="shared" si="2687"/>
        <v>2.4027514477555592E-2</v>
      </c>
      <c r="CZ923" s="177">
        <f t="shared" si="2688"/>
        <v>7.433422950153494E-2</v>
      </c>
      <c r="DA923" s="187">
        <f t="shared" si="2679"/>
        <v>0.91187499999999999</v>
      </c>
      <c r="DB923" s="188">
        <f t="shared" si="2680"/>
        <v>1.8969932656739068</v>
      </c>
      <c r="DC923" s="188">
        <f t="shared" si="2681"/>
        <v>5.0215782983970621E-2</v>
      </c>
      <c r="DD923" s="188">
        <f t="shared" si="2682"/>
        <v>0.655952481704143</v>
      </c>
      <c r="DE923" s="188">
        <f t="shared" si="2683"/>
        <v>6.2485378865697057E-2</v>
      </c>
      <c r="DF923" s="189">
        <f>DF922</f>
        <v>0.23499999999999999</v>
      </c>
      <c r="DG923" s="189">
        <v>0.375</v>
      </c>
      <c r="DH923" s="190">
        <f t="shared" si="2685"/>
        <v>26.633755796532522</v>
      </c>
      <c r="DI923" s="190"/>
      <c r="DJ923" s="177">
        <f t="shared" ref="DJ923" si="2743">LN(DH923/DH922)</f>
        <v>0.24980543693169593</v>
      </c>
      <c r="DK923" s="189">
        <f>VLOOKUP($H923,RoR!$E:$F,2,FALSE)</f>
        <v>2.7033333333333336E-2</v>
      </c>
      <c r="DL923" s="191">
        <f>HLOOKUP($H923,'GDP-PI'!$D$8:$CR$11,3,FALSE)</f>
        <v>4.2834637353352578E-2</v>
      </c>
      <c r="DM923" s="189">
        <f>VLOOKUP(H923,'HW Dx Data'!$E:$F,2,FALSE)</f>
        <v>933.02249921662576</v>
      </c>
      <c r="DN923" s="183">
        <f>VLOOKUP(H923,'ECI - Input Price'!$G$17:$H$37,2,FALSE)</f>
        <v>145.47500000000002</v>
      </c>
      <c r="DO923" s="177">
        <f t="shared" ref="DO923" si="2744">LN(DN923/DN922)</f>
        <v>3.5152696992481205E-2</v>
      </c>
      <c r="DP923" s="183">
        <f>HLOOKUP(H923,'GDP-PI'!$8:$9,2,FALSE)</f>
        <v>118.49</v>
      </c>
      <c r="DQ923" s="177">
        <f t="shared" ref="DQ923" si="2745">LN(DP923/DP922)</f>
        <v>4.194261824609434E-2</v>
      </c>
    </row>
    <row r="924" spans="1:121" s="167" customFormat="1" ht="21" x14ac:dyDescent="0.35">
      <c r="A924" s="167" t="s">
        <v>95</v>
      </c>
      <c r="B924" s="167" t="s">
        <v>95</v>
      </c>
      <c r="C924" s="167">
        <v>4057095</v>
      </c>
      <c r="D924" s="168" t="s">
        <v>145</v>
      </c>
      <c r="E924" s="168" t="s">
        <v>126</v>
      </c>
      <c r="F924" s="198"/>
      <c r="G924" s="167" t="s">
        <v>4</v>
      </c>
      <c r="H924" s="169">
        <v>1998</v>
      </c>
      <c r="I924" s="170"/>
      <c r="J924" s="166"/>
      <c r="K924" s="166"/>
      <c r="L924" s="166"/>
      <c r="M924" s="166"/>
      <c r="N924" s="196"/>
      <c r="O924" s="166"/>
      <c r="P924" s="172"/>
      <c r="Q924" s="172"/>
      <c r="R924" s="172"/>
      <c r="S924" s="166"/>
      <c r="T924" s="172"/>
      <c r="U924" s="172"/>
      <c r="V924" s="166"/>
      <c r="W924" s="170"/>
      <c r="X924" s="174">
        <v>7739.7002993579317</v>
      </c>
      <c r="Y924" s="175"/>
      <c r="Z924" s="166"/>
      <c r="AA924" s="175"/>
      <c r="AB924" s="175"/>
      <c r="AC924" s="170">
        <f t="shared" si="2659"/>
        <v>0</v>
      </c>
      <c r="AD924" s="170"/>
      <c r="AE924" s="170"/>
      <c r="AF924" s="119"/>
      <c r="AG924" s="174"/>
      <c r="AH924" s="175"/>
      <c r="AI924" s="175"/>
      <c r="AJ924" s="174"/>
      <c r="AK924" s="174"/>
      <c r="AL924" s="120"/>
      <c r="AM924" s="120"/>
      <c r="AN924" s="120"/>
      <c r="AO924" s="120"/>
      <c r="AP924" s="120"/>
      <c r="AQ924" s="175">
        <f>AVERAGE(AQ933:AQ947)</f>
        <v>-5.9518628330734638E-4</v>
      </c>
      <c r="AR924" s="120"/>
      <c r="AS924" s="120"/>
      <c r="AT924" s="120"/>
      <c r="AU924" s="120"/>
      <c r="AV924" s="120"/>
      <c r="AW924" s="120"/>
      <c r="AX924" s="120"/>
      <c r="AY924" s="120"/>
      <c r="AZ924" s="118">
        <f>IFERROR(INDEX('Total Customers'!$F$7:$AB$91,MATCH($C924,'Total Customers'!$D$7:$D$91,0),MATCH($G924,'Total Customers'!$F$5:$AB$5,0)),"NA")</f>
        <v>1593570</v>
      </c>
      <c r="BA924" s="119"/>
      <c r="BB924" s="119"/>
      <c r="BC924" s="121"/>
      <c r="BD924" s="119"/>
      <c r="BE924" s="119"/>
      <c r="BF924" s="119"/>
      <c r="BG924" s="173"/>
      <c r="BH924" s="173"/>
      <c r="BI924" s="173"/>
      <c r="BJ924" s="173"/>
      <c r="BK924" s="173"/>
      <c r="BL924" s="173"/>
      <c r="BM924" s="173"/>
      <c r="BN924" s="173"/>
      <c r="BO924" s="173"/>
      <c r="BP924" s="173"/>
      <c r="BQ924" s="118">
        <f>INDEX('Gross Dx Plant'!$E$7:$AD$91,MATCH($C924,'Gross Dx Plant'!$D$7:$D$91,0),MATCH(Calculation!$G924,'Gross Dx Plant'!$E$5:$AD$5,0))</f>
        <v>2607571</v>
      </c>
      <c r="BR924" s="118">
        <f>INDEX('Gross Gen Plant'!$E$7:$AD$91,MATCH($C924,'Gross Gen Plant'!$D$7:$D$91,0),MATCH(Calculation!$G924,'Gross Gen Plant'!$E$5:$AD$5,0))</f>
        <v>52355</v>
      </c>
      <c r="BS924" s="118">
        <f>INDEX('Dist. Plant Gas Additions'!$F$7:$AE$91,MATCH($C924,'Dist. Plant Gas Additions'!$D$7:$D$91,0),MATCH(Calculation!$G924,'Dist. Plant Gas Additions'!$F$5:$AE$5,0))</f>
        <v>140541</v>
      </c>
      <c r="BT924" s="118">
        <f>INDEX('Gen. Plant Additions'!$F$7:$AE$91,MATCH($C924,'Gen. Plant Additions'!$D$7:$D$91,0),MATCH(Calculation!$G924,'Gen. Plant Additions'!$F$5:$AE$5,0))</f>
        <v>1113</v>
      </c>
      <c r="BU924" s="118" t="e">
        <f>INDEX('Dist Plant Depreciation'!$E$7:$AA$94,MATCH($C924,'Dist Plant Depreciation'!$D$7:$D$94,0),MATCH(#REF!,'Dist Plant Depreciation'!$E$5:$AA$5,0))</f>
        <v>#REF!</v>
      </c>
      <c r="BV924" s="118" t="e">
        <f>INDEX('Gen. Plant Depreciation'!$E$7:$AA$94,MATCH($C924,'Gen. Plant Depreciation'!$D$7:$D$94,0),MATCH(#REF!,'Gen. Plant Depreciation'!$E$5:$AA$5,0))</f>
        <v>#REF!</v>
      </c>
      <c r="BW924" s="118">
        <f>INDEX('Dist Plant Depreciation'!$E$7:$AD$94,MATCH($C924,'Dist Plant Depreciation'!$D$7:$D$94,0),MATCH(Calculation!$G924,'Dist Plant Depreciation'!$E$5:$AD$5,0))</f>
        <v>1068486.1034284404</v>
      </c>
      <c r="BX924" s="118">
        <f>INDEX('Gen. Plant Depreciation'!$E$7:$AD$94,MATCH($C924,'Gen. Plant Depreciation'!$D$7:$D$94,0),MATCH(Calculation!$G924,'Gen. Plant Depreciation'!$E$5:$AD$5,0))</f>
        <v>30191.851569170041</v>
      </c>
      <c r="BY924" s="118"/>
      <c r="BZ924" s="118"/>
      <c r="CA924" s="118"/>
      <c r="CB924" s="118"/>
      <c r="CC924" s="118"/>
      <c r="CD924" s="183"/>
      <c r="CE924" s="118">
        <f>INDEX('Gross Dx Plant'!$E$7:$AD$91,MATCH($C924,'Gross Dx Plant'!$D$7:$D$91,0),MATCH(Calculation!$G924,'Gross Dx Plant'!$E$5:$AD$5,0))</f>
        <v>2607571</v>
      </c>
      <c r="CF924" s="118">
        <f>INDEX('Gross Gen Plant'!$E$7:$AD$91,MATCH($C924,'Gross Gen Plant'!$D$7:$D$91,0),MATCH(Calculation!$G924,'Gross Gen Plant'!$E$5:$AD$5,0))</f>
        <v>52355</v>
      </c>
      <c r="CG924" s="118">
        <f t="shared" si="2598"/>
        <v>1561248.0450023895</v>
      </c>
      <c r="CH924" s="118"/>
      <c r="CI924" s="121">
        <v>1998</v>
      </c>
      <c r="CJ924" s="118">
        <f>BQ924+BR924</f>
        <v>2659926</v>
      </c>
      <c r="CK924" s="118">
        <f>1068486+30192</f>
        <v>1098678</v>
      </c>
      <c r="CL924" s="118">
        <f>+CJ924-CK924</f>
        <v>1561248</v>
      </c>
      <c r="CM924" s="118">
        <f>CL924/$CD$36</f>
        <v>7739.7002993579317</v>
      </c>
      <c r="CN924" s="183"/>
      <c r="CO924" s="183"/>
      <c r="CP924" s="186">
        <v>1</v>
      </c>
      <c r="CQ924" s="118">
        <f>+CM924</f>
        <v>7739.7002993579317</v>
      </c>
      <c r="CR924" s="119"/>
      <c r="CS924" s="119"/>
      <c r="CT924" s="177"/>
      <c r="CU924" s="177"/>
      <c r="CV924" s="119" t="e">
        <f>VLOOKUP($H924,RoR!$E:$F,2,FALSE)</f>
        <v>#N/A</v>
      </c>
      <c r="CW924" s="177">
        <v>1.1028127770464469E-2</v>
      </c>
      <c r="CX924" s="177"/>
      <c r="CY924" s="177"/>
      <c r="CZ924" s="177"/>
      <c r="DA924" s="187"/>
      <c r="DB924" s="190" t="e">
        <f>2/(DK924*39)</f>
        <v>#N/A</v>
      </c>
      <c r="DC924" s="188" t="e">
        <f>+(DK924*40-(1+DK924))/(DK924*40)</f>
        <v>#N/A</v>
      </c>
      <c r="DD924" s="188" t="e">
        <f>+(1-(1/(1+DK924)^40))</f>
        <v>#N/A</v>
      </c>
      <c r="DE924" s="188" t="e">
        <f>+DD924*DC924*DB924</f>
        <v>#N/A</v>
      </c>
      <c r="DF924" s="189">
        <f>INDEX('State Tax Lookup'!$D$7:$Z$91,MATCH(Calculation!$C924,'State Tax Lookup'!$B$7:$B$91,0),MATCH($H924,'State Tax Lookup'!$D$6:$Z$6,0))</f>
        <v>0.40849999999999997</v>
      </c>
      <c r="DG924" s="189">
        <v>0.375</v>
      </c>
      <c r="DH924" s="183"/>
      <c r="DI924" s="183"/>
      <c r="DJ924" s="177"/>
      <c r="DK924" s="189" t="e">
        <f>VLOOKUP($H924,RoR!$E:$F,2,FALSE)</f>
        <v>#N/A</v>
      </c>
      <c r="DL924" s="191">
        <f>HLOOKUP($H924,'GDP-PI'!$D$8:$CQ$11,3,FALSE)</f>
        <v>1.1028127770464469E-2</v>
      </c>
      <c r="DM924" s="189">
        <f>VLOOKUP(H924,'HW Dx Data'!$E:$F,2,FALSE)</f>
        <v>329.24564746449528</v>
      </c>
      <c r="DN924" s="183" t="e">
        <f>VLOOKUP(H924,'ECI - Input Price'!$G$17:$H$37,2,FALSE)</f>
        <v>#N/A</v>
      </c>
      <c r="DO924" s="177"/>
      <c r="DP924" s="183">
        <f>HLOOKUP(H924,'GDP-PI'!$8:$9,2,FALSE)</f>
        <v>75.266999999999996</v>
      </c>
    </row>
    <row r="925" spans="1:121" s="167" customFormat="1" ht="21" x14ac:dyDescent="0.35">
      <c r="A925" s="167" t="s">
        <v>95</v>
      </c>
      <c r="B925" s="167" t="s">
        <v>95</v>
      </c>
      <c r="C925" s="167">
        <v>4057095</v>
      </c>
      <c r="D925" s="168" t="s">
        <v>145</v>
      </c>
      <c r="E925" s="168" t="s">
        <v>126</v>
      </c>
      <c r="F925" s="198"/>
      <c r="G925" s="167" t="s">
        <v>5</v>
      </c>
      <c r="H925" s="169">
        <v>1999</v>
      </c>
      <c r="I925" s="170"/>
      <c r="J925" s="166"/>
      <c r="K925" s="170"/>
      <c r="L925" s="170"/>
      <c r="M925" s="166"/>
      <c r="N925" s="173"/>
      <c r="O925" s="170"/>
      <c r="P925" s="177"/>
      <c r="Q925" s="177"/>
      <c r="R925" s="177"/>
      <c r="S925" s="195"/>
      <c r="T925" s="177"/>
      <c r="U925" s="177"/>
      <c r="V925" s="166">
        <f t="shared" ref="V925:V947" si="2746">+CQ924*DH925</f>
        <v>0</v>
      </c>
      <c r="W925" s="170"/>
      <c r="X925" s="174">
        <v>8120.4950168357536</v>
      </c>
      <c r="Y925" s="175">
        <v>4.8028149141169624E-2</v>
      </c>
      <c r="Z925" s="175"/>
      <c r="AA925" s="175"/>
      <c r="AB925" s="175"/>
      <c r="AC925" s="170">
        <f t="shared" si="2659"/>
        <v>0</v>
      </c>
      <c r="AD925" s="175"/>
      <c r="AE925" s="170"/>
      <c r="AF925" s="119"/>
      <c r="AG925" s="174"/>
      <c r="AH925" s="175"/>
      <c r="AI925" s="175"/>
      <c r="AJ925" s="174"/>
      <c r="AK925" s="174"/>
      <c r="AL925" s="120"/>
      <c r="AM925" s="120"/>
      <c r="AN925" s="120"/>
      <c r="AO925" s="120"/>
      <c r="AP925" s="120"/>
      <c r="AQ925" s="175"/>
      <c r="AR925" s="120"/>
      <c r="AS925" s="120"/>
      <c r="AT925" s="120"/>
      <c r="AU925" s="120"/>
      <c r="AV925" s="120"/>
      <c r="AW925" s="120"/>
      <c r="AX925" s="120"/>
      <c r="AY925" s="120"/>
      <c r="AZ925" s="118">
        <f>IFERROR(INDEX('Total Customers'!$F$7:$AB$91,MATCH($C925,'Total Customers'!$D$7:$D$91,0),MATCH($G925,'Total Customers'!$F$5:$AB$5,0)),"NA")</f>
        <v>1569893</v>
      </c>
      <c r="BA925" s="119">
        <f t="shared" ref="BA925:BA947" si="2747">LN(AZ925/AZ924)</f>
        <v>-1.4969318198331137E-2</v>
      </c>
      <c r="BB925" s="119"/>
      <c r="BC925" s="121"/>
      <c r="BD925" s="119"/>
      <c r="BE925" s="119"/>
      <c r="BF925" s="119"/>
      <c r="BG925" s="173"/>
      <c r="BH925" s="173"/>
      <c r="BI925" s="173"/>
      <c r="BJ925" s="173"/>
      <c r="BK925" s="173"/>
      <c r="BL925" s="173"/>
      <c r="BM925" s="173"/>
      <c r="BN925" s="173"/>
      <c r="BO925" s="173"/>
      <c r="BP925" s="173"/>
      <c r="BQ925" s="118"/>
      <c r="BR925" s="118"/>
      <c r="BS925" s="118">
        <f>INDEX('Dist. Plant Gas Additions'!$F$7:$AE$91,MATCH($C925,'Dist. Plant Gas Additions'!$D$7:$D$91,0),MATCH(Calculation!$G925,'Dist. Plant Gas Additions'!$F$5:$AE$5,0))</f>
        <v>127298</v>
      </c>
      <c r="BT925" s="118">
        <f>INDEX('Gen. Plant Additions'!$F$7:$AE$91,MATCH($C925,'Gen. Plant Additions'!$D$7:$D$91,0),MATCH(Calculation!$G925,'Gen. Plant Additions'!$F$5:$AE$5,0))</f>
        <v>13304</v>
      </c>
      <c r="BU925" s="118"/>
      <c r="BV925" s="118"/>
      <c r="BW925" s="118">
        <f>INDEX('Dist Plant Depreciation'!$E$7:$AD$94,MATCH($C925,'Dist Plant Depreciation'!$D$7:$D$94,0),MATCH(Calculation!$G925,'Dist Plant Depreciation'!$E$5:$AD$5,0))</f>
        <v>1128002</v>
      </c>
      <c r="BX925" s="118">
        <f>INDEX('Gen. Plant Depreciation'!$E$7:$AD$94,MATCH($C925,'Gen. Plant Depreciation'!$D$7:$D$94,0),MATCH(Calculation!$G925,'Gen. Plant Depreciation'!$E$5:$AD$5,0))</f>
        <v>31961</v>
      </c>
      <c r="BY925" s="118"/>
      <c r="BZ925" s="118"/>
      <c r="CA925" s="118"/>
      <c r="CB925" s="118"/>
      <c r="CC925" s="118"/>
      <c r="CD925" s="183"/>
      <c r="CE925" s="118">
        <f>INDEX('Gross Dx Plant'!$E$7:$AD$91,MATCH($C925,'Gross Dx Plant'!$D$7:$D$91,0),MATCH(Calculation!$G925,'Gross Dx Plant'!$E$5:$AD$5,0))</f>
        <v>2731577</v>
      </c>
      <c r="CF925" s="118">
        <f>INDEX('Gross Gen Plant'!$E$7:$AD$91,MATCH($C925,'Gross Gen Plant'!$D$7:$D$91,0),MATCH(Calculation!$G925,'Gross Gen Plant'!$E$5:$AD$5,0))</f>
        <v>105904</v>
      </c>
      <c r="CG925" s="118">
        <f t="shared" si="2598"/>
        <v>1677518</v>
      </c>
      <c r="CH925" s="118"/>
      <c r="CI925" s="121">
        <v>1999</v>
      </c>
      <c r="CJ925" s="118"/>
      <c r="CK925" s="118"/>
      <c r="CL925" s="118"/>
      <c r="CM925" s="183"/>
      <c r="CN925" s="118">
        <f t="shared" ref="CN925:CN945" si="2748">+BT925+BS925</f>
        <v>140602</v>
      </c>
      <c r="CO925" s="118">
        <f t="shared" ref="CO925:CO947" si="2749">+CN925/$DM925</f>
        <v>419.3006891164186</v>
      </c>
      <c r="CP925" s="186">
        <v>0.99502487562189057</v>
      </c>
      <c r="CQ925" s="118">
        <f>+CQ924*CP925+CO925</f>
        <v>8120.4950168357536</v>
      </c>
      <c r="CR925" s="119">
        <f t="shared" ref="CR925:CR946" si="2750">LN(CQ925/CQ924)</f>
        <v>4.8028149141169624E-2</v>
      </c>
      <c r="CS925" s="119"/>
      <c r="CT925" s="177">
        <f t="shared" ref="CT925:CT947" si="2751">+(CQ924-CQ925+CO925)/CQ924</f>
        <v>4.9751243781094544E-3</v>
      </c>
      <c r="CU925" s="177"/>
      <c r="CV925" s="119">
        <f>VLOOKUP($H925,RoR!$E:$F,2,FALSE)</f>
        <v>7.0416666666666669E-2</v>
      </c>
      <c r="CW925" s="177">
        <v>1.4335631817396832E-2</v>
      </c>
      <c r="CX925" s="177">
        <f>+CV925-CW925</f>
        <v>5.6081034849269837E-2</v>
      </c>
      <c r="CY925" s="177"/>
      <c r="CZ925" s="177"/>
      <c r="DA925" s="187">
        <f t="shared" ref="DA925:DA947" si="2752">1-DF925*DG925</f>
        <v>0.84681249999999997</v>
      </c>
      <c r="DB925" s="188">
        <f t="shared" ref="DB925:DB947" si="2753">2/(DK925*39)</f>
        <v>0.72826581702321336</v>
      </c>
      <c r="DC925" s="188">
        <f t="shared" ref="DC925:DC947" si="2754">+(DK925*40-(1+DK925))/(DK925*40)</f>
        <v>0.61997041420118348</v>
      </c>
      <c r="DD925" s="188">
        <f t="shared" ref="DD925:DD947" si="2755">+(1-(1/(1+DK925)^40))</f>
        <v>0.93425155319585029</v>
      </c>
      <c r="DE925" s="188">
        <f t="shared" ref="DE925:DE947" si="2756">+DD925*DC925*DB925</f>
        <v>0.42181762214141483</v>
      </c>
      <c r="DF925" s="189">
        <f>INDEX('State Tax Lookup'!$D$7:$Z$91,MATCH(Calculation!$C925,'State Tax Lookup'!$B$7:$B$91,0),MATCH($H925,'State Tax Lookup'!$D$6:$Z$6,0))</f>
        <v>0.40849999999999997</v>
      </c>
      <c r="DG925" s="189">
        <v>0.375</v>
      </c>
      <c r="DH925" s="190"/>
      <c r="DI925" s="190"/>
      <c r="DJ925" s="177"/>
      <c r="DK925" s="189">
        <f>VLOOKUP($H925,RoR!$E:$F,2,FALSE)</f>
        <v>7.0416666666666669E-2</v>
      </c>
      <c r="DL925" s="191">
        <f>HLOOKUP($H925,'GDP-PI'!$D$8:$CQ$11,3,FALSE)</f>
        <v>1.4335631817396832E-2</v>
      </c>
      <c r="DM925" s="189">
        <f>VLOOKUP(H925,'HW Dx Data'!$E:$F,2,FALSE)</f>
        <v>335.32499146683239</v>
      </c>
      <c r="DN925" s="183" t="e">
        <f>VLOOKUP(H925,'ECI - Input Price'!$G$17:$H$37,2,FALSE)</f>
        <v>#N/A</v>
      </c>
      <c r="DO925" s="177"/>
      <c r="DP925" s="183">
        <f>HLOOKUP(H925,'GDP-PI'!$8:$9,2,FALSE)</f>
        <v>76.346000000000004</v>
      </c>
    </row>
    <row r="926" spans="1:121" s="167" customFormat="1" ht="21" x14ac:dyDescent="0.35">
      <c r="A926" s="167" t="s">
        <v>95</v>
      </c>
      <c r="B926" s="167" t="s">
        <v>95</v>
      </c>
      <c r="C926" s="167">
        <v>4057095</v>
      </c>
      <c r="D926" s="168" t="s">
        <v>145</v>
      </c>
      <c r="E926" s="168" t="s">
        <v>126</v>
      </c>
      <c r="F926" s="198"/>
      <c r="G926" s="167" t="s">
        <v>6</v>
      </c>
      <c r="H926" s="169">
        <v>2000</v>
      </c>
      <c r="I926" s="170"/>
      <c r="J926" s="166"/>
      <c r="K926" s="166"/>
      <c r="L926" s="166"/>
      <c r="M926" s="166"/>
      <c r="N926" s="196"/>
      <c r="O926" s="166"/>
      <c r="P926" s="166"/>
      <c r="Q926" s="166"/>
      <c r="R926" s="166"/>
      <c r="S926" s="166"/>
      <c r="T926" s="166"/>
      <c r="U926" s="166"/>
      <c r="V926" s="166">
        <f t="shared" si="2746"/>
        <v>0</v>
      </c>
      <c r="W926" s="170"/>
      <c r="X926" s="174">
        <v>8506.3193361094363</v>
      </c>
      <c r="Y926" s="175">
        <v>4.6418223600297001E-2</v>
      </c>
      <c r="Z926" s="175"/>
      <c r="AA926" s="175"/>
      <c r="AB926" s="175"/>
      <c r="AC926" s="170">
        <f t="shared" si="2659"/>
        <v>0</v>
      </c>
      <c r="AD926" s="175"/>
      <c r="AE926" s="170"/>
      <c r="AF926" s="170"/>
      <c r="AG926" s="174"/>
      <c r="AH926" s="175"/>
      <c r="AI926" s="175"/>
      <c r="AJ926" s="174"/>
      <c r="AK926" s="174"/>
      <c r="AL926" s="120"/>
      <c r="AM926" s="120"/>
      <c r="AN926" s="120"/>
      <c r="AO926" s="120"/>
      <c r="AP926" s="120"/>
      <c r="AQ926" s="175"/>
      <c r="AR926" s="120"/>
      <c r="AS926" s="120"/>
      <c r="AT926" s="120"/>
      <c r="AU926" s="120"/>
      <c r="AV926" s="120"/>
      <c r="AW926" s="120"/>
      <c r="AX926" s="120"/>
      <c r="AY926" s="120"/>
      <c r="AZ926" s="118">
        <f>IFERROR(INDEX('Total Customers'!$F$7:$AB$91,MATCH($C926,'Total Customers'!$D$7:$D$91,0),MATCH($G926,'Total Customers'!$F$5:$AB$5,0)),"NA")</f>
        <v>1621128</v>
      </c>
      <c r="BA926" s="119">
        <f t="shared" si="2747"/>
        <v>3.2114739067329742E-2</v>
      </c>
      <c r="BB926" s="119"/>
      <c r="BC926" s="121"/>
      <c r="BD926" s="119"/>
      <c r="BE926" s="119"/>
      <c r="BF926" s="119"/>
      <c r="BG926" s="173"/>
      <c r="BH926" s="173"/>
      <c r="BI926" s="173"/>
      <c r="BJ926" s="173"/>
      <c r="BK926" s="173"/>
      <c r="BL926" s="173"/>
      <c r="BM926" s="173"/>
      <c r="BN926" s="173"/>
      <c r="BO926" s="173"/>
      <c r="BP926" s="173"/>
      <c r="BQ926" s="118"/>
      <c r="BR926" s="118"/>
      <c r="BS926" s="118">
        <f>INDEX('Dist. Plant Gas Additions'!$F$7:$AE$91,MATCH($C926,'Dist. Plant Gas Additions'!$D$7:$D$91,0),MATCH(Calculation!$G926,'Dist. Plant Gas Additions'!$F$5:$AE$5,0))</f>
        <v>135607</v>
      </c>
      <c r="BT926" s="118">
        <f>INDEX('Gen. Plant Additions'!$F$7:$AE$91,MATCH($C926,'Gen. Plant Additions'!$D$7:$D$91,0),MATCH(Calculation!$G926,'Gen. Plant Additions'!$F$5:$AE$5,0))</f>
        <v>12565</v>
      </c>
      <c r="BU926" s="118"/>
      <c r="BV926" s="118"/>
      <c r="BW926" s="118">
        <f>INDEX('Dist Plant Depreciation'!$E$7:$AD$94,MATCH($C926,'Dist Plant Depreciation'!$D$7:$D$94,0),MATCH(Calculation!$G926,'Dist Plant Depreciation'!$E$5:$AD$5,0))</f>
        <v>1190833</v>
      </c>
      <c r="BX926" s="118">
        <f>INDEX('Gen. Plant Depreciation'!$E$7:$AD$94,MATCH($C926,'Gen. Plant Depreciation'!$D$7:$D$94,0),MATCH(Calculation!$G926,'Gen. Plant Depreciation'!$E$5:$AD$5,0))</f>
        <v>38646</v>
      </c>
      <c r="BY926" s="118"/>
      <c r="BZ926" s="118"/>
      <c r="CA926" s="118"/>
      <c r="CB926" s="118"/>
      <c r="CC926" s="118"/>
      <c r="CD926" s="183"/>
      <c r="CE926" s="118">
        <f>INDEX('Gross Dx Plant'!$E$7:$AD$91,MATCH($C926,'Gross Dx Plant'!$D$7:$D$91,0),MATCH(Calculation!$G926,'Gross Dx Plant'!$E$5:$AD$5,0))</f>
        <v>2860145</v>
      </c>
      <c r="CF926" s="118">
        <f>INDEX('Gross Gen Plant'!$E$7:$AD$91,MATCH($C926,'Gross Gen Plant'!$D$7:$D$91,0),MATCH(Calculation!$G926,'Gross Gen Plant'!$E$5:$AD$5,0))</f>
        <v>117871</v>
      </c>
      <c r="CG926" s="118">
        <f t="shared" si="2598"/>
        <v>1748537</v>
      </c>
      <c r="CH926" s="118"/>
      <c r="CI926" s="121">
        <v>2000</v>
      </c>
      <c r="CJ926" s="118"/>
      <c r="CK926" s="118"/>
      <c r="CL926" s="118"/>
      <c r="CM926" s="183"/>
      <c r="CN926" s="118">
        <f t="shared" si="2748"/>
        <v>148172</v>
      </c>
      <c r="CO926" s="118">
        <f t="shared" si="2749"/>
        <v>427.58321161787251</v>
      </c>
      <c r="CP926" s="186">
        <v>0.98989898989898994</v>
      </c>
      <c r="CQ926" s="118">
        <f>+CQ924*CP926+CO925*CP925+CO926</f>
        <v>8506.3193361094363</v>
      </c>
      <c r="CR926" s="119">
        <f t="shared" si="2750"/>
        <v>4.6418223600297001E-2</v>
      </c>
      <c r="CS926" s="119"/>
      <c r="CT926" s="177">
        <f t="shared" si="2751"/>
        <v>5.1424072371959468E-3</v>
      </c>
      <c r="CU926" s="177"/>
      <c r="CV926" s="119">
        <f>VLOOKUP($H926,RoR!$E:$F,2,FALSE)</f>
        <v>7.6225000000000001E-2</v>
      </c>
      <c r="CW926" s="177">
        <v>2.2568307442433211E-2</v>
      </c>
      <c r="CX926" s="177">
        <f t="shared" ref="CX926:CX946" si="2757">+CV926-CW926</f>
        <v>5.365669255756679E-2</v>
      </c>
      <c r="CY926" s="177"/>
      <c r="CZ926" s="177"/>
      <c r="DA926" s="187">
        <f t="shared" si="2752"/>
        <v>0.84681249999999997</v>
      </c>
      <c r="DB926" s="188">
        <f t="shared" si="2753"/>
        <v>0.67277207323124022</v>
      </c>
      <c r="DC926" s="188">
        <f t="shared" si="2754"/>
        <v>0.6470236142997704</v>
      </c>
      <c r="DD926" s="188">
        <f t="shared" si="2755"/>
        <v>0.94704866037543145</v>
      </c>
      <c r="DE926" s="188">
        <f t="shared" si="2756"/>
        <v>0.41224973107878493</v>
      </c>
      <c r="DF926" s="189">
        <f>INDEX('State Tax Lookup'!$D$7:$Z$91,MATCH(Calculation!$C926,'State Tax Lookup'!$B$7:$B$91,0),MATCH($H926,'State Tax Lookup'!$D$6:$Z$6,0))</f>
        <v>0.40849999999999997</v>
      </c>
      <c r="DG926" s="189">
        <v>0.375</v>
      </c>
      <c r="DH926" s="190"/>
      <c r="DI926" s="190"/>
      <c r="DJ926" s="177"/>
      <c r="DK926" s="189">
        <f>VLOOKUP($H926,RoR!$E:$F,2,FALSE)</f>
        <v>7.6225000000000001E-2</v>
      </c>
      <c r="DL926" s="191">
        <f>HLOOKUP($H926,'GDP-PI'!$D$8:$CQ$11,3,FALSE)</f>
        <v>2.2568307442433211E-2</v>
      </c>
      <c r="DM926" s="189">
        <f>VLOOKUP(H926,'HW Dx Data'!$E:$F,2,FALSE)</f>
        <v>346.53371782150339</v>
      </c>
      <c r="DN926" s="183" t="e">
        <f>VLOOKUP(H926,'ECI - Input Price'!$G$17:$H$37,2,FALSE)</f>
        <v>#N/A</v>
      </c>
      <c r="DO926" s="177"/>
      <c r="DP926" s="183">
        <f>HLOOKUP(H926,'GDP-PI'!$8:$9,2,FALSE)</f>
        <v>78.069000000000003</v>
      </c>
    </row>
    <row r="927" spans="1:121" s="167" customFormat="1" ht="21" x14ac:dyDescent="0.35">
      <c r="A927" s="167" t="s">
        <v>95</v>
      </c>
      <c r="B927" s="167" t="s">
        <v>95</v>
      </c>
      <c r="C927" s="167">
        <v>4057095</v>
      </c>
      <c r="D927" s="168" t="s">
        <v>145</v>
      </c>
      <c r="E927" s="168" t="s">
        <v>126</v>
      </c>
      <c r="F927" s="198"/>
      <c r="G927" s="167" t="s">
        <v>7</v>
      </c>
      <c r="H927" s="169">
        <v>2001</v>
      </c>
      <c r="I927" s="170"/>
      <c r="J927" s="166"/>
      <c r="K927" s="166"/>
      <c r="L927" s="166"/>
      <c r="M927" s="166"/>
      <c r="N927" s="196"/>
      <c r="O927" s="166"/>
      <c r="P927" s="166"/>
      <c r="Q927" s="166"/>
      <c r="R927" s="166"/>
      <c r="S927" s="166"/>
      <c r="T927" s="166"/>
      <c r="U927" s="166"/>
      <c r="V927" s="166">
        <f t="shared" si="2746"/>
        <v>110942.32659763969</v>
      </c>
      <c r="W927" s="170"/>
      <c r="X927" s="174">
        <v>8885.7439393530549</v>
      </c>
      <c r="Y927" s="175">
        <v>4.3638849330242577E-2</v>
      </c>
      <c r="Z927" s="175"/>
      <c r="AA927" s="175"/>
      <c r="AB927" s="175"/>
      <c r="AC927" s="170">
        <f t="shared" si="2659"/>
        <v>110942.32659763969</v>
      </c>
      <c r="AD927" s="175"/>
      <c r="AE927" s="170"/>
      <c r="AF927" s="170"/>
      <c r="AG927" s="174"/>
      <c r="AH927" s="175"/>
      <c r="AI927" s="175"/>
      <c r="AJ927" s="174"/>
      <c r="AK927" s="174"/>
      <c r="AL927" s="120"/>
      <c r="AM927" s="120"/>
      <c r="AN927" s="120"/>
      <c r="AO927" s="120"/>
      <c r="AP927" s="120"/>
      <c r="AQ927" s="175"/>
      <c r="AR927" s="120"/>
      <c r="AS927" s="120"/>
      <c r="AT927" s="120"/>
      <c r="AU927" s="120"/>
      <c r="AV927" s="120"/>
      <c r="AW927" s="120"/>
      <c r="AX927" s="120"/>
      <c r="AY927" s="120"/>
      <c r="AZ927" s="118">
        <f>IFERROR(INDEX('Total Customers'!$F$7:$AB$91,MATCH($C927,'Total Customers'!$D$7:$D$91,0),MATCH($G927,'Total Customers'!$F$5:$AB$5,0)),"NA")</f>
        <v>1679196</v>
      </c>
      <c r="BA927" s="119">
        <f t="shared" si="2747"/>
        <v>3.5192904195948782E-2</v>
      </c>
      <c r="BB927" s="119"/>
      <c r="BC927" s="121"/>
      <c r="BD927" s="119"/>
      <c r="BE927" s="119"/>
      <c r="BF927" s="119"/>
      <c r="BG927" s="173"/>
      <c r="BH927" s="173"/>
      <c r="BI927" s="173"/>
      <c r="BJ927" s="173"/>
      <c r="BK927" s="173"/>
      <c r="BL927" s="173"/>
      <c r="BM927" s="173"/>
      <c r="BN927" s="173"/>
      <c r="BO927" s="173"/>
      <c r="BP927" s="173"/>
      <c r="BQ927" s="118"/>
      <c r="BR927" s="118"/>
      <c r="BS927" s="118">
        <f>INDEX('Dist. Plant Gas Additions'!$F$7:$AE$91,MATCH($C927,'Dist. Plant Gas Additions'!$D$7:$D$91,0),MATCH(Calculation!$G927,'Dist. Plant Gas Additions'!$F$5:$AE$5,0))</f>
        <v>135898</v>
      </c>
      <c r="BT927" s="118">
        <f>INDEX('Gen. Plant Additions'!$F$7:$AE$91,MATCH($C927,'Gen. Plant Additions'!$D$7:$D$91,0),MATCH(Calculation!$G927,'Gen. Plant Additions'!$F$5:$AE$5,0))</f>
        <v>13422</v>
      </c>
      <c r="BU927" s="118"/>
      <c r="BV927" s="118"/>
      <c r="BW927" s="118">
        <f>INDEX('Dist Plant Depreciation'!$E$7:$AD$94,MATCH($C927,'Dist Plant Depreciation'!$D$7:$D$94,0),MATCH(Calculation!$G927,'Dist Plant Depreciation'!$E$5:$AD$5,0))</f>
        <v>1240309</v>
      </c>
      <c r="BX927" s="118">
        <f>INDEX('Gen. Plant Depreciation'!$E$7:$AD$94,MATCH($C927,'Gen. Plant Depreciation'!$D$7:$D$94,0),MATCH(Calculation!$G927,'Gen. Plant Depreciation'!$E$5:$AD$5,0))</f>
        <v>40967</v>
      </c>
      <c r="BY927" s="118"/>
      <c r="BZ927" s="118"/>
      <c r="CA927" s="118"/>
      <c r="CB927" s="118"/>
      <c r="CC927" s="118"/>
      <c r="CD927" s="183"/>
      <c r="CE927" s="118">
        <f>INDEX('Gross Dx Plant'!$E$7:$AD$91,MATCH($C927,'Gross Dx Plant'!$D$7:$D$91,0),MATCH(Calculation!$G927,'Gross Dx Plant'!$E$5:$AD$5,0))</f>
        <v>2992210</v>
      </c>
      <c r="CF927" s="118">
        <f>INDEX('Gross Gen Plant'!$E$7:$AD$91,MATCH($C927,'Gross Gen Plant'!$D$7:$D$91,0),MATCH(Calculation!$G927,'Gross Gen Plant'!$E$5:$AD$5,0))</f>
        <v>128928</v>
      </c>
      <c r="CG927" s="118">
        <f t="shared" si="2598"/>
        <v>1839862</v>
      </c>
      <c r="CH927" s="118"/>
      <c r="CI927" s="121">
        <v>2001</v>
      </c>
      <c r="CJ927" s="118"/>
      <c r="CK927" s="118"/>
      <c r="CL927" s="118"/>
      <c r="CM927" s="183"/>
      <c r="CN927" s="118">
        <f t="shared" si="2748"/>
        <v>149320</v>
      </c>
      <c r="CO927" s="118">
        <f t="shared" si="2749"/>
        <v>422.46741205477161</v>
      </c>
      <c r="CP927" s="186">
        <v>0.98461538461538467</v>
      </c>
      <c r="CQ927" s="118">
        <f>+CQ924*CP927+CO925*CP926+CO926*CP924+CO927</f>
        <v>8885.7439393530549</v>
      </c>
      <c r="CR927" s="119">
        <f t="shared" si="2750"/>
        <v>4.3638849330242577E-2</v>
      </c>
      <c r="CS927" s="119"/>
      <c r="CT927" s="177">
        <f t="shared" si="2751"/>
        <v>5.0600979237207548E-3</v>
      </c>
      <c r="CU927" s="177">
        <f>+(CT927+CT926+CT925)/3</f>
        <v>5.0592098463420514E-3</v>
      </c>
      <c r="CV927" s="119">
        <f>VLOOKUP($H927,RoR!$E:$F,2,FALSE)</f>
        <v>7.0824999999999999E-2</v>
      </c>
      <c r="CW927" s="177">
        <v>2.2454495382290052E-2</v>
      </c>
      <c r="CX927" s="177">
        <f t="shared" si="2757"/>
        <v>4.8370504617709947E-2</v>
      </c>
      <c r="CY927" s="177">
        <f>+$CX$35-CU927</f>
        <v>2.5842731762191574E-2</v>
      </c>
      <c r="CZ927" s="177">
        <f>+((DM925/DM924-1)+(DM926/DM925-1)+(DM927/DM926-1))/3</f>
        <v>2.3947275901631187E-2</v>
      </c>
      <c r="DA927" s="187">
        <f t="shared" si="2752"/>
        <v>0.84681249999999997</v>
      </c>
      <c r="DB927" s="188">
        <f t="shared" si="2753"/>
        <v>0.72406708481540816</v>
      </c>
      <c r="DC927" s="188">
        <f t="shared" si="2754"/>
        <v>0.62201729615248857</v>
      </c>
      <c r="DD927" s="188">
        <f t="shared" si="2755"/>
        <v>0.9352469954311422</v>
      </c>
      <c r="DE927" s="188">
        <f t="shared" si="2756"/>
        <v>0.42121864641655071</v>
      </c>
      <c r="DF927" s="189">
        <f>INDEX('State Tax Lookup'!$D$7:$Z$91,MATCH(Calculation!$C927,'State Tax Lookup'!$B$7:$B$91,0),MATCH($H927,'State Tax Lookup'!$D$6:$Z$6,0))</f>
        <v>0.40849999999999997</v>
      </c>
      <c r="DG927" s="189">
        <v>0.375</v>
      </c>
      <c r="DH927" s="190">
        <f t="shared" ref="DH927:DH947" si="2758">+(DM927*CY927-CZ927)*DA927/(1-DF927)</f>
        <v>13.042342076988348</v>
      </c>
      <c r="DI927" s="190"/>
      <c r="DJ927" s="177"/>
      <c r="DK927" s="189">
        <f>VLOOKUP($H927,RoR!$E:$F,2,FALSE)</f>
        <v>7.0824999999999999E-2</v>
      </c>
      <c r="DL927" s="191">
        <f>HLOOKUP($H927,'GDP-PI'!$D$8:$CQ$11,3,FALSE)</f>
        <v>2.2454495382290052E-2</v>
      </c>
      <c r="DM927" s="189">
        <f>VLOOKUP(H927,'HW Dx Data'!$E:$F,2,FALSE)</f>
        <v>353.44738017483138</v>
      </c>
      <c r="DN927" s="183">
        <f>VLOOKUP(H927,'ECI - Input Price'!$G$17:$H$37,2,FALSE)</f>
        <v>86.2</v>
      </c>
      <c r="DO927" s="177"/>
      <c r="DP927" s="183">
        <f>HLOOKUP(H927,'GDP-PI'!$8:$9,2,FALSE)</f>
        <v>79.822000000000003</v>
      </c>
    </row>
    <row r="928" spans="1:121" s="167" customFormat="1" ht="21" x14ac:dyDescent="0.35">
      <c r="A928" s="167" t="s">
        <v>95</v>
      </c>
      <c r="B928" s="167" t="s">
        <v>95</v>
      </c>
      <c r="C928" s="167">
        <v>4057095</v>
      </c>
      <c r="D928" s="168" t="s">
        <v>145</v>
      </c>
      <c r="E928" s="168" t="s">
        <v>126</v>
      </c>
      <c r="F928" s="198"/>
      <c r="G928" s="167" t="s">
        <v>8</v>
      </c>
      <c r="H928" s="169">
        <v>2002</v>
      </c>
      <c r="I928" s="170"/>
      <c r="J928" s="166"/>
      <c r="K928" s="166"/>
      <c r="L928" s="166"/>
      <c r="M928" s="166"/>
      <c r="N928" s="196"/>
      <c r="O928" s="166"/>
      <c r="P928" s="166"/>
      <c r="Q928" s="166"/>
      <c r="R928" s="166"/>
      <c r="S928" s="166"/>
      <c r="T928" s="166"/>
      <c r="U928" s="166"/>
      <c r="V928" s="166">
        <f t="shared" si="2746"/>
        <v>117333.69092506809</v>
      </c>
      <c r="W928" s="170"/>
      <c r="X928" s="174">
        <v>9276.3775146530061</v>
      </c>
      <c r="Y928" s="175">
        <v>4.3022928655203796E-2</v>
      </c>
      <c r="Z928" s="175"/>
      <c r="AA928" s="175"/>
      <c r="AB928" s="175"/>
      <c r="AC928" s="170">
        <f t="shared" si="2659"/>
        <v>117333.69092506809</v>
      </c>
      <c r="AD928" s="175"/>
      <c r="AE928" s="170"/>
      <c r="AF928" s="170"/>
      <c r="AG928" s="174"/>
      <c r="AH928" s="175"/>
      <c r="AI928" s="175"/>
      <c r="AJ928" s="174"/>
      <c r="AK928" s="174"/>
      <c r="AL928" s="120"/>
      <c r="AM928" s="120"/>
      <c r="AN928" s="120"/>
      <c r="AO928" s="120"/>
      <c r="AP928" s="120"/>
      <c r="AQ928" s="175"/>
      <c r="AR928" s="120"/>
      <c r="AS928" s="120"/>
      <c r="AT928" s="120"/>
      <c r="AU928" s="120"/>
      <c r="AV928" s="120"/>
      <c r="AW928" s="120"/>
      <c r="AX928" s="120"/>
      <c r="AY928" s="120"/>
      <c r="AZ928" s="118">
        <f>IFERROR(INDEX('Total Customers'!$F$7:$AB$91,MATCH($C928,'Total Customers'!$D$7:$D$91,0),MATCH($G928,'Total Customers'!$F$5:$AB$5,0)),"NA")</f>
        <v>1665668</v>
      </c>
      <c r="BA928" s="119">
        <f t="shared" si="2747"/>
        <v>-8.0888632608150136E-3</v>
      </c>
      <c r="BB928" s="119"/>
      <c r="BC928" s="121"/>
      <c r="BD928" s="119"/>
      <c r="BE928" s="119"/>
      <c r="BF928" s="119"/>
      <c r="BG928" s="173"/>
      <c r="BH928" s="173"/>
      <c r="BI928" s="173"/>
      <c r="BJ928" s="173"/>
      <c r="BK928" s="173"/>
      <c r="BL928" s="173"/>
      <c r="BM928" s="173"/>
      <c r="BN928" s="173"/>
      <c r="BO928" s="173"/>
      <c r="BP928" s="173"/>
      <c r="BQ928" s="118"/>
      <c r="BR928" s="118"/>
      <c r="BS928" s="118">
        <f>INDEX('Dist. Plant Gas Additions'!$F$7:$AE$91,MATCH($C928,'Dist. Plant Gas Additions'!$D$7:$D$91,0),MATCH(Calculation!$G928,'Dist. Plant Gas Additions'!$F$5:$AE$5,0))</f>
        <v>150814</v>
      </c>
      <c r="BT928" s="118">
        <f>INDEX('Gen. Plant Additions'!$F$7:$AE$91,MATCH($C928,'Gen. Plant Additions'!$D$7:$D$91,0),MATCH(Calculation!$G928,'Gen. Plant Additions'!$F$5:$AE$5,0))</f>
        <v>8700</v>
      </c>
      <c r="BU928" s="118"/>
      <c r="BV928" s="118"/>
      <c r="BW928" s="118">
        <f>INDEX('Dist Plant Depreciation'!$E$7:$AD$94,MATCH($C928,'Dist Plant Depreciation'!$D$7:$D$94,0),MATCH(Calculation!$G928,'Dist Plant Depreciation'!$E$5:$AD$5,0))</f>
        <v>1330164</v>
      </c>
      <c r="BX928" s="118">
        <f>INDEX('Gen. Plant Depreciation'!$E$7:$AD$94,MATCH($C928,'Gen. Plant Depreciation'!$D$7:$D$94,0),MATCH(Calculation!$G928,'Gen. Plant Depreciation'!$E$5:$AD$5,0))</f>
        <v>55396</v>
      </c>
      <c r="BY928" s="118"/>
      <c r="BZ928" s="118"/>
      <c r="CA928" s="118"/>
      <c r="CB928" s="118"/>
      <c r="CC928" s="118"/>
      <c r="CD928" s="183"/>
      <c r="CE928" s="118">
        <f>INDEX('Gross Dx Plant'!$E$7:$AD$91,MATCH($C928,'Gross Dx Plant'!$D$7:$D$91,0),MATCH(Calculation!$G928,'Gross Dx Plant'!$E$5:$AD$5,0))</f>
        <v>3139678</v>
      </c>
      <c r="CF928" s="118">
        <f>INDEX('Gross Gen Plant'!$E$7:$AD$91,MATCH($C928,'Gross Gen Plant'!$D$7:$D$91,0),MATCH(Calculation!$G928,'Gross Gen Plant'!$E$5:$AD$5,0))</f>
        <v>131392</v>
      </c>
      <c r="CG928" s="118">
        <f t="shared" si="2598"/>
        <v>1885510</v>
      </c>
      <c r="CH928" s="118"/>
      <c r="CI928" s="121">
        <v>2002</v>
      </c>
      <c r="CJ928" s="118"/>
      <c r="CK928" s="118"/>
      <c r="CL928" s="118"/>
      <c r="CM928" s="183"/>
      <c r="CN928" s="118">
        <f t="shared" si="2748"/>
        <v>159514</v>
      </c>
      <c r="CO928" s="118">
        <f t="shared" si="2749"/>
        <v>441.44128883544232</v>
      </c>
      <c r="CP928" s="186">
        <v>0.97916666666666663</v>
      </c>
      <c r="CQ928" s="118">
        <f>+CQ924*CP928+CO925*CP927+CO926*CP926+CO927*CP925+CO928</f>
        <v>9276.3775146530061</v>
      </c>
      <c r="CR928" s="119">
        <f t="shared" si="2750"/>
        <v>4.3022928655203796E-2</v>
      </c>
      <c r="CS928" s="119"/>
      <c r="CT928" s="177">
        <f t="shared" si="2751"/>
        <v>5.7178908015202484E-3</v>
      </c>
      <c r="CU928" s="177">
        <f t="shared" ref="CU928:CU947" si="2759">+(CT928+CT927+CT926)/3</f>
        <v>5.3067986541456497E-3</v>
      </c>
      <c r="CV928" s="119">
        <f>VLOOKUP($H928,RoR!$E:$F,2,FALSE)</f>
        <v>6.4916666666666664E-2</v>
      </c>
      <c r="CW928" s="177">
        <v>1.5246423291824351E-2</v>
      </c>
      <c r="CX928" s="177">
        <f t="shared" si="2757"/>
        <v>4.9670243374842313E-2</v>
      </c>
      <c r="CY928" s="177">
        <f t="shared" ref="CY928:CY947" si="2760">+$CX$35-CU928</f>
        <v>2.5595142954387976E-2</v>
      </c>
      <c r="CZ928" s="177">
        <f t="shared" ref="CZ928:CZ947" si="2761">+((DM926/DM925-1)+(DM927/DM926-1)+(DM928/DM927-1))/3</f>
        <v>2.5243621214759093E-2</v>
      </c>
      <c r="DA928" s="187">
        <f t="shared" si="2752"/>
        <v>0.84681249999999997</v>
      </c>
      <c r="DB928" s="188">
        <f t="shared" si="2753"/>
        <v>0.78996741384417901</v>
      </c>
      <c r="DC928" s="188">
        <f t="shared" si="2754"/>
        <v>0.58989088575096271</v>
      </c>
      <c r="DD928" s="188">
        <f t="shared" si="2755"/>
        <v>0.91920675783645744</v>
      </c>
      <c r="DE928" s="188">
        <f t="shared" si="2756"/>
        <v>0.42834536472275586</v>
      </c>
      <c r="DF928" s="189">
        <f>INDEX('State Tax Lookup'!$D$7:$Z$91,MATCH(Calculation!$C928,'State Tax Lookup'!$B$7:$B$91,0),MATCH($H928,'State Tax Lookup'!$D$6:$Z$6,0))</f>
        <v>0.40849999999999997</v>
      </c>
      <c r="DG928" s="189">
        <v>0.375</v>
      </c>
      <c r="DH928" s="190">
        <f t="shared" si="2758"/>
        <v>13.204712146320391</v>
      </c>
      <c r="DI928" s="190"/>
      <c r="DJ928" s="177"/>
      <c r="DK928" s="189">
        <f>VLOOKUP($H928,RoR!$E:$F,2,FALSE)</f>
        <v>6.4916666666666664E-2</v>
      </c>
      <c r="DL928" s="191">
        <f>HLOOKUP($H928,'GDP-PI'!$D$8:$CQ$11,3,FALSE)</f>
        <v>1.5246423291824351E-2</v>
      </c>
      <c r="DM928" s="189">
        <f>VLOOKUP(H928,'HW Dx Data'!$E:$F,2,FALSE)</f>
        <v>361.34816573413599</v>
      </c>
      <c r="DN928" s="183">
        <f>VLOOKUP(H928,'ECI - Input Price'!$G$17:$H$37,2,FALSE)</f>
        <v>89.275000000000006</v>
      </c>
      <c r="DO928" s="177">
        <f>LN(DN928/DN927)</f>
        <v>3.5051315810864674E-2</v>
      </c>
      <c r="DP928" s="183">
        <f>HLOOKUP(H928,'GDP-PI'!$8:$9,2,FALSE)</f>
        <v>81.039000000000001</v>
      </c>
      <c r="DQ928" s="177">
        <f>LN(DP928/DP927)</f>
        <v>1.513136459537477E-2</v>
      </c>
    </row>
    <row r="929" spans="1:121" s="167" customFormat="1" ht="21" x14ac:dyDescent="0.35">
      <c r="A929" s="167" t="s">
        <v>95</v>
      </c>
      <c r="B929" s="167" t="s">
        <v>95</v>
      </c>
      <c r="C929" s="167">
        <v>4057095</v>
      </c>
      <c r="D929" s="168" t="s">
        <v>145</v>
      </c>
      <c r="E929" s="168" t="s">
        <v>126</v>
      </c>
      <c r="F929" s="198"/>
      <c r="G929" s="167" t="s">
        <v>9</v>
      </c>
      <c r="H929" s="169">
        <v>2003</v>
      </c>
      <c r="I929" s="170"/>
      <c r="J929" s="166"/>
      <c r="K929" s="166"/>
      <c r="L929" s="166"/>
      <c r="M929" s="172"/>
      <c r="N929" s="196"/>
      <c r="O929" s="172"/>
      <c r="P929" s="166"/>
      <c r="Q929" s="166"/>
      <c r="R929" s="166"/>
      <c r="S929" s="166"/>
      <c r="T929" s="166"/>
      <c r="U929" s="166"/>
      <c r="V929" s="166">
        <f t="shared" si="2746"/>
        <v>124393.0154855258</v>
      </c>
      <c r="W929" s="170"/>
      <c r="X929" s="174">
        <v>9671.3187932265409</v>
      </c>
      <c r="Y929" s="175">
        <v>4.1693563458598884E-2</v>
      </c>
      <c r="Z929" s="175"/>
      <c r="AA929" s="175"/>
      <c r="AB929" s="175"/>
      <c r="AC929" s="170">
        <f t="shared" si="2659"/>
        <v>124393.0154855258</v>
      </c>
      <c r="AD929" s="175"/>
      <c r="AE929" s="170"/>
      <c r="AF929" s="170"/>
      <c r="AG929" s="174"/>
      <c r="AH929" s="175"/>
      <c r="AI929" s="175"/>
      <c r="AJ929" s="174"/>
      <c r="AK929" s="174"/>
      <c r="AL929" s="120"/>
      <c r="AM929" s="120"/>
      <c r="AN929" s="120"/>
      <c r="AO929" s="120"/>
      <c r="AP929" s="120"/>
      <c r="AQ929" s="175"/>
      <c r="AR929" s="120"/>
      <c r="AS929" s="120"/>
      <c r="AT929" s="120"/>
      <c r="AU929" s="120"/>
      <c r="AV929" s="120"/>
      <c r="AW929" s="120"/>
      <c r="AX929" s="120"/>
      <c r="AY929" s="120"/>
      <c r="AZ929" s="118">
        <f>IFERROR(INDEX('Total Customers'!$F$7:$AB$91,MATCH($C929,'Total Customers'!$D$7:$D$91,0),MATCH($G929,'Total Customers'!$F$5:$AB$5,0)),"NA")</f>
        <v>1673702</v>
      </c>
      <c r="BA929" s="119">
        <f t="shared" si="2747"/>
        <v>4.8116953200956405E-3</v>
      </c>
      <c r="BB929" s="119"/>
      <c r="BC929" s="121"/>
      <c r="BD929" s="119"/>
      <c r="BE929" s="119"/>
      <c r="BF929" s="119"/>
      <c r="BG929" s="173"/>
      <c r="BH929" s="173"/>
      <c r="BI929" s="173"/>
      <c r="BJ929" s="173"/>
      <c r="BK929" s="173"/>
      <c r="BL929" s="173"/>
      <c r="BM929" s="173"/>
      <c r="BN929" s="173"/>
      <c r="BO929" s="173"/>
      <c r="BP929" s="173"/>
      <c r="BQ929" s="118"/>
      <c r="BR929" s="118"/>
      <c r="BS929" s="118">
        <f>INDEX('Dist. Plant Gas Additions'!$F$7:$AE$91,MATCH($C929,'Dist. Plant Gas Additions'!$D$7:$D$91,0),MATCH(Calculation!$G929,'Dist. Plant Gas Additions'!$F$5:$AE$5,0))</f>
        <v>153387</v>
      </c>
      <c r="BT929" s="118">
        <f>INDEX('Gen. Plant Additions'!$F$7:$AE$91,MATCH($C929,'Gen. Plant Additions'!$D$7:$D$91,0),MATCH(Calculation!$G929,'Gen. Plant Additions'!$F$5:$AE$5,0))</f>
        <v>11792</v>
      </c>
      <c r="BU929" s="118"/>
      <c r="BV929" s="118"/>
      <c r="BW929" s="118">
        <f>INDEX('Dist Plant Depreciation'!$E$7:$AD$94,MATCH($C929,'Dist Plant Depreciation'!$D$7:$D$94,0),MATCH(Calculation!$G929,'Dist Plant Depreciation'!$E$5:$AD$5,0))</f>
        <v>1402820</v>
      </c>
      <c r="BX929" s="118">
        <f>INDEX('Gen. Plant Depreciation'!$E$7:$AD$94,MATCH($C929,'Gen. Plant Depreciation'!$D$7:$D$94,0),MATCH(Calculation!$G929,'Gen. Plant Depreciation'!$E$5:$AD$5,0))</f>
        <v>68552</v>
      </c>
      <c r="BY929" s="118"/>
      <c r="BZ929" s="118"/>
      <c r="CA929" s="118"/>
      <c r="CB929" s="118"/>
      <c r="CC929" s="118"/>
      <c r="CD929" s="183"/>
      <c r="CE929" s="118">
        <f>INDEX('Gross Dx Plant'!$E$7:$AD$91,MATCH($C929,'Gross Dx Plant'!$D$7:$D$91,0),MATCH(Calculation!$G929,'Gross Dx Plant'!$E$5:$AD$5,0))</f>
        <v>3290070</v>
      </c>
      <c r="CF929" s="118">
        <f>INDEX('Gross Gen Plant'!$E$7:$AD$91,MATCH($C929,'Gross Gen Plant'!$D$7:$D$91,0),MATCH(Calculation!$G929,'Gross Gen Plant'!$E$5:$AD$5,0))</f>
        <v>140252</v>
      </c>
      <c r="CG929" s="118">
        <f t="shared" si="2598"/>
        <v>1958950</v>
      </c>
      <c r="CH929" s="118"/>
      <c r="CI929" s="121">
        <v>2003</v>
      </c>
      <c r="CJ929" s="118"/>
      <c r="CK929" s="118"/>
      <c r="CL929" s="118"/>
      <c r="CM929" s="183"/>
      <c r="CN929" s="118">
        <f t="shared" si="2748"/>
        <v>165179</v>
      </c>
      <c r="CO929" s="118">
        <f t="shared" si="2749"/>
        <v>447.35707561061434</v>
      </c>
      <c r="CP929" s="186">
        <v>0.97354497354497349</v>
      </c>
      <c r="CQ929" s="118">
        <f>+CQ924*CP929+CO925*CP928+CO926*CP927+CO927*CP926+CO928*CP925+CO929</f>
        <v>9671.3187932265409</v>
      </c>
      <c r="CR929" s="119">
        <f t="shared" si="2750"/>
        <v>4.1693563458598884E-2</v>
      </c>
      <c r="CS929" s="119"/>
      <c r="CT929" s="177">
        <f t="shared" si="2751"/>
        <v>5.6504596707371221E-3</v>
      </c>
      <c r="CU929" s="177">
        <f t="shared" si="2759"/>
        <v>5.4761494653260421E-3</v>
      </c>
      <c r="CV929" s="119">
        <f>VLOOKUP($H929,RoR!$E:$F,2,FALSE)</f>
        <v>5.6666666666666671E-2</v>
      </c>
      <c r="CW929" s="177">
        <v>1.8855119140166909E-2</v>
      </c>
      <c r="CX929" s="177">
        <f t="shared" si="2757"/>
        <v>3.7811547526499761E-2</v>
      </c>
      <c r="CY929" s="177">
        <f t="shared" si="2760"/>
        <v>2.5425792143207584E-2</v>
      </c>
      <c r="CZ929" s="177">
        <f t="shared" si="2761"/>
        <v>2.1375012817671957E-2</v>
      </c>
      <c r="DA929" s="187">
        <f t="shared" si="2752"/>
        <v>0.84681249999999997</v>
      </c>
      <c r="DB929" s="188">
        <f t="shared" si="2753"/>
        <v>0.90497737556561086</v>
      </c>
      <c r="DC929" s="188">
        <f t="shared" si="2754"/>
        <v>0.5338235294117647</v>
      </c>
      <c r="DD929" s="188">
        <f t="shared" si="2755"/>
        <v>0.88972433127405692</v>
      </c>
      <c r="DE929" s="188">
        <f t="shared" si="2756"/>
        <v>0.42982423775949252</v>
      </c>
      <c r="DF929" s="189">
        <f>INDEX('State Tax Lookup'!$D$7:$Z$91,MATCH(Calculation!$C929,'State Tax Lookup'!$B$7:$B$91,0),MATCH($H929,'State Tax Lookup'!$D$6:$Z$6,0))</f>
        <v>0.40849999999999997</v>
      </c>
      <c r="DG929" s="189">
        <v>0.375</v>
      </c>
      <c r="DH929" s="190">
        <f t="shared" si="2758"/>
        <v>13.409654284663819</v>
      </c>
      <c r="DI929" s="190"/>
      <c r="DJ929" s="177"/>
      <c r="DK929" s="189">
        <f>VLOOKUP($H929,RoR!$E:$F,2,FALSE)</f>
        <v>5.6666666666666671E-2</v>
      </c>
      <c r="DL929" s="191">
        <f>HLOOKUP($H929,'GDP-PI'!$D$8:$CQ$11,3,FALSE)</f>
        <v>1.8855119140166909E-2</v>
      </c>
      <c r="DM929" s="189">
        <f>VLOOKUP(H929,'HW Dx Data'!$E:$F,2,FALSE)</f>
        <v>369.23301095560191</v>
      </c>
      <c r="DN929" s="183">
        <f>VLOOKUP(H929,'ECI - Input Price'!$G$17:$H$37,2,FALSE)</f>
        <v>92.625</v>
      </c>
      <c r="DO929" s="177">
        <f t="shared" ref="DO929" si="2762">LN(DN929/DN928)</f>
        <v>3.6837590135738785E-2</v>
      </c>
      <c r="DP929" s="183">
        <f>HLOOKUP(H929,'GDP-PI'!$8:$9,2,FALSE)</f>
        <v>82.566999999999993</v>
      </c>
      <c r="DQ929" s="177">
        <f t="shared" ref="DQ929" si="2763">LN(DP929/DP928)</f>
        <v>1.8679564681853753E-2</v>
      </c>
    </row>
    <row r="930" spans="1:121" s="167" customFormat="1" ht="21" x14ac:dyDescent="0.35">
      <c r="A930" s="167" t="s">
        <v>95</v>
      </c>
      <c r="B930" s="167" t="s">
        <v>95</v>
      </c>
      <c r="C930" s="167">
        <v>4057095</v>
      </c>
      <c r="D930" s="168" t="s">
        <v>145</v>
      </c>
      <c r="E930" s="168" t="s">
        <v>126</v>
      </c>
      <c r="F930" s="198"/>
      <c r="G930" s="167" t="s">
        <v>10</v>
      </c>
      <c r="H930" s="169">
        <v>2004</v>
      </c>
      <c r="I930" s="170"/>
      <c r="J930" s="166">
        <f>IFERROR(INDEX('Labor Expenditures'!$F$7:$X$91,MATCH($C930,'Labor Expenditures'!$D$7:$D$91,0),MATCH($G930,'Labor Expenditures'!$F$5:$X$5,0)),"NA")</f>
        <v>115582.20476454418</v>
      </c>
      <c r="K930" s="166">
        <f t="shared" ref="K930:K947" si="2764">+J930/DN930</f>
        <v>1201.7905356334202</v>
      </c>
      <c r="L930" s="172"/>
      <c r="M930" s="172"/>
      <c r="N930" s="196"/>
      <c r="O930" s="172"/>
      <c r="P930" s="166">
        <f>IFERROR(INDEX('Non-Labor Expenditures'!$F$7:$AB$91,MATCH($C930,'Non-Labor Expenditures'!$D$7:$D$91,0),MATCH($G930,'Non-Labor Expenditures'!$F$5:$AB$5,0)),"NA")</f>
        <v>167384.62027710277</v>
      </c>
      <c r="Q930" s="166">
        <f t="shared" ref="Q930:Q947" si="2765">+P930/DP930</f>
        <v>1974.3874622791616</v>
      </c>
      <c r="R930" s="166"/>
      <c r="S930" s="166"/>
      <c r="T930" s="166"/>
      <c r="U930" s="166"/>
      <c r="V930" s="166">
        <f t="shared" si="2746"/>
        <v>143820.73133352172</v>
      </c>
      <c r="W930" s="170"/>
      <c r="X930" s="174">
        <v>10021.705616995447</v>
      </c>
      <c r="Y930" s="175">
        <v>3.5588622403472547E-2</v>
      </c>
      <c r="Z930" s="175"/>
      <c r="AA930" s="175"/>
      <c r="AB930" s="175"/>
      <c r="AC930" s="170">
        <f t="shared" si="2659"/>
        <v>426787.55637516867</v>
      </c>
      <c r="AD930" s="175"/>
      <c r="AE930" s="170"/>
      <c r="AF930" s="170"/>
      <c r="AG930" s="174"/>
      <c r="AH930" s="175"/>
      <c r="AI930" s="175"/>
      <c r="AJ930" s="174"/>
      <c r="AK930" s="174"/>
      <c r="AL930" s="120">
        <f t="shared" ref="AL930:AL947" si="2766">+J930/AC930</f>
        <v>0.27081905982971383</v>
      </c>
      <c r="AM930" s="120">
        <f t="shared" ref="AM930:AM947" si="2767">+P930/AC930</f>
        <v>0.39219658065654311</v>
      </c>
      <c r="AN930" s="120">
        <f t="shared" ref="AN930:AN947" si="2768">+V930/AC930</f>
        <v>0.33698435951374306</v>
      </c>
      <c r="AO930" s="120"/>
      <c r="AP930" s="120"/>
      <c r="AQ930" s="175"/>
      <c r="AR930" s="120"/>
      <c r="AS930" s="120"/>
      <c r="AT930" s="120"/>
      <c r="AU930" s="120"/>
      <c r="AV930" s="120"/>
      <c r="AW930" s="120"/>
      <c r="AX930" s="120"/>
      <c r="AY930" s="120"/>
      <c r="AZ930" s="118">
        <f>IFERROR(INDEX('Total Customers'!$F$7:$AB$91,MATCH($C930,'Total Customers'!$D$7:$D$91,0),MATCH($G930,'Total Customers'!$F$5:$AB$5,0)),"NA")</f>
        <v>1693048</v>
      </c>
      <c r="BA930" s="119">
        <f t="shared" si="2747"/>
        <v>1.1492515292867893E-2</v>
      </c>
      <c r="BB930" s="119"/>
      <c r="BC930" s="121"/>
      <c r="BD930" s="119"/>
      <c r="BE930" s="119"/>
      <c r="BF930" s="119"/>
      <c r="BG930" s="173"/>
      <c r="BH930" s="173"/>
      <c r="BI930" s="173"/>
      <c r="BJ930" s="173"/>
      <c r="BK930" s="173"/>
      <c r="BL930" s="173"/>
      <c r="BM930" s="173"/>
      <c r="BN930" s="173"/>
      <c r="BO930" s="173"/>
      <c r="BP930" s="173"/>
      <c r="BQ930" s="118"/>
      <c r="BR930" s="118"/>
      <c r="BS930" s="118">
        <f>INDEX('Dist. Plant Gas Additions'!$F$7:$AE$91,MATCH($C930,'Dist. Plant Gas Additions'!$D$7:$D$91,0),MATCH(Calculation!$G930,'Dist. Plant Gas Additions'!$F$5:$AE$5,0))</f>
        <v>155225</v>
      </c>
      <c r="BT930" s="118">
        <f>INDEX('Gen. Plant Additions'!$F$7:$AE$91,MATCH($C930,'Gen. Plant Additions'!$D$7:$D$91,0),MATCH(Calculation!$G930,'Gen. Plant Additions'!$F$5:$AE$5,0))</f>
        <v>13513</v>
      </c>
      <c r="BU930" s="118"/>
      <c r="BV930" s="118"/>
      <c r="BW930" s="118">
        <f>INDEX('Dist Plant Depreciation'!$E$7:$AD$94,MATCH($C930,'Dist Plant Depreciation'!$D$7:$D$94,0),MATCH(Calculation!$G930,'Dist Plant Depreciation'!$E$5:$AD$5,0))</f>
        <v>1480514</v>
      </c>
      <c r="BX930" s="118">
        <f>INDEX('Gen. Plant Depreciation'!$E$7:$AD$94,MATCH($C930,'Gen. Plant Depreciation'!$D$7:$D$94,0),MATCH(Calculation!$G930,'Gen. Plant Depreciation'!$E$5:$AD$5,0))</f>
        <v>78156</v>
      </c>
      <c r="BY930" s="118"/>
      <c r="BZ930" s="118"/>
      <c r="CA930" s="118"/>
      <c r="CB930" s="118"/>
      <c r="CC930" s="118"/>
      <c r="CD930" s="183"/>
      <c r="CE930" s="118">
        <f>INDEX('Gross Dx Plant'!$E$7:$AD$91,MATCH($C930,'Gross Dx Plant'!$D$7:$D$91,0),MATCH(Calculation!$G930,'Gross Dx Plant'!$E$5:$AD$5,0))</f>
        <v>3444129</v>
      </c>
      <c r="CF930" s="118">
        <f>INDEX('Gross Gen Plant'!$E$7:$AD$91,MATCH($C930,'Gross Gen Plant'!$D$7:$D$91,0),MATCH(Calculation!$G930,'Gross Gen Plant'!$E$5:$AD$5,0))</f>
        <v>145124</v>
      </c>
      <c r="CG930" s="118">
        <f t="shared" si="2598"/>
        <v>2030583</v>
      </c>
      <c r="CH930" s="118"/>
      <c r="CI930" s="121">
        <v>2004</v>
      </c>
      <c r="CJ930" s="118"/>
      <c r="CK930" s="118"/>
      <c r="CL930" s="118"/>
      <c r="CM930" s="183"/>
      <c r="CN930" s="118">
        <f t="shared" si="2748"/>
        <v>168738</v>
      </c>
      <c r="CO930" s="118">
        <f t="shared" si="2749"/>
        <v>406.70814505026107</v>
      </c>
      <c r="CP930" s="186">
        <v>0.967741935483871</v>
      </c>
      <c r="CQ930" s="118">
        <f>+CQ924*CP930+CO925*CP929+CO926*CP928+CO927*CP927+CO928*CP926+CO929*CP925+CO930</f>
        <v>10021.705616995447</v>
      </c>
      <c r="CR930" s="119">
        <f t="shared" si="2750"/>
        <v>3.5588622403472547E-2</v>
      </c>
      <c r="CS930" s="119"/>
      <c r="CT930" s="177">
        <f t="shared" si="2751"/>
        <v>5.8235409756941152E-3</v>
      </c>
      <c r="CU930" s="177">
        <f t="shared" si="2759"/>
        <v>5.7306304826504955E-3</v>
      </c>
      <c r="CV930" s="119">
        <f>VLOOKUP($H930,RoR!$E:$F,2,FALSE)</f>
        <v>5.6283333333333331E-2</v>
      </c>
      <c r="CW930" s="177">
        <v>2.6778252812867276E-2</v>
      </c>
      <c r="CX930" s="177">
        <f t="shared" si="2757"/>
        <v>2.9505080520466055E-2</v>
      </c>
      <c r="CY930" s="177">
        <f t="shared" si="2760"/>
        <v>2.5171311125883129E-2</v>
      </c>
      <c r="CZ930" s="177">
        <f t="shared" si="2761"/>
        <v>5.5940039414565046E-2</v>
      </c>
      <c r="DA930" s="187">
        <f t="shared" si="2752"/>
        <v>0.84681249999999997</v>
      </c>
      <c r="DB930" s="188">
        <f t="shared" si="2753"/>
        <v>0.91114097628755619</v>
      </c>
      <c r="DC930" s="188">
        <f t="shared" si="2754"/>
        <v>0.53081877405981637</v>
      </c>
      <c r="DD930" s="188">
        <f t="shared" si="2755"/>
        <v>0.88811215519385678</v>
      </c>
      <c r="DE930" s="188">
        <f t="shared" si="2756"/>
        <v>0.42953609753547711</v>
      </c>
      <c r="DF930" s="189">
        <f>INDEX('State Tax Lookup'!$D$7:$Z$91,MATCH(Calculation!$C930,'State Tax Lookup'!$B$7:$B$91,0),MATCH($H930,'State Tax Lookup'!$D$6:$Z$6,0))</f>
        <v>0.40849999999999997</v>
      </c>
      <c r="DG930" s="189">
        <v>0.375</v>
      </c>
      <c r="DH930" s="190">
        <f t="shared" si="2758"/>
        <v>14.870850026601214</v>
      </c>
      <c r="DI930" s="190"/>
      <c r="DJ930" s="177"/>
      <c r="DK930" s="189">
        <f>VLOOKUP($H930,RoR!$E:$F,2,FALSE)</f>
        <v>5.6283333333333331E-2</v>
      </c>
      <c r="DL930" s="191">
        <f>HLOOKUP($H930,'GDP-PI'!$D$8:$CQ$11,3,FALSE)</f>
        <v>2.6778252812867276E-2</v>
      </c>
      <c r="DM930" s="189">
        <f>VLOOKUP(H930,'HW Dx Data'!$E:$F,2,FALSE)</f>
        <v>414.88719135228365</v>
      </c>
      <c r="DN930" s="183">
        <f>VLOOKUP(H930,'ECI - Input Price'!$G$17:$H$37,2,FALSE)</f>
        <v>96.174999999999997</v>
      </c>
      <c r="DO930" s="177">
        <f t="shared" ref="DO930" si="2769">LN(DN930/DN929)</f>
        <v>3.7610365022107912E-2</v>
      </c>
      <c r="DP930" s="183">
        <f>HLOOKUP(H930,'GDP-PI'!$8:$9,2,FALSE)</f>
        <v>84.778000000000006</v>
      </c>
      <c r="DQ930" s="177">
        <f t="shared" ref="DQ930" si="2770">LN(DP930/DP929)</f>
        <v>2.6425990216022755E-2</v>
      </c>
    </row>
    <row r="931" spans="1:121" s="167" customFormat="1" ht="21" x14ac:dyDescent="0.35">
      <c r="A931" s="167" t="s">
        <v>95</v>
      </c>
      <c r="B931" s="167" t="s">
        <v>95</v>
      </c>
      <c r="C931" s="167">
        <v>4057095</v>
      </c>
      <c r="D931" s="168" t="s">
        <v>145</v>
      </c>
      <c r="E931" s="168" t="s">
        <v>126</v>
      </c>
      <c r="F931" s="198"/>
      <c r="G931" s="167" t="s">
        <v>11</v>
      </c>
      <c r="H931" s="169">
        <v>2005</v>
      </c>
      <c r="I931" s="170"/>
      <c r="J931" s="166">
        <f>IFERROR(INDEX('Labor Expenditures'!$F$7:$X$91,MATCH($C931,'Labor Expenditures'!$D$7:$D$91,0),MATCH($G931,'Labor Expenditures'!$F$5:$X$5,0)),"NA")</f>
        <v>118419.82794573229</v>
      </c>
      <c r="K931" s="166">
        <f t="shared" si="2764"/>
        <v>1194.3502566387522</v>
      </c>
      <c r="L931" s="172">
        <f t="shared" ref="L931:L947" si="2771">LN(K931/K930)</f>
        <v>-6.2102385061209523E-3</v>
      </c>
      <c r="M931" s="172"/>
      <c r="N931" s="196"/>
      <c r="O931" s="172"/>
      <c r="P931" s="166">
        <f>IFERROR(INDEX('Non-Labor Expenditures'!$F$7:$AB$91,MATCH($C931,'Non-Labor Expenditures'!$D$7:$D$91,0),MATCH($G931,'Non-Labor Expenditures'!$F$5:$AB$5,0)),"NA")</f>
        <v>171494.0286383662</v>
      </c>
      <c r="Q931" s="166">
        <f t="shared" si="2765"/>
        <v>1962.0170997559258</v>
      </c>
      <c r="R931" s="172">
        <f>LN(Q931/Q930)</f>
        <v>-6.2851279894080925E-3</v>
      </c>
      <c r="S931" s="172"/>
      <c r="T931" s="172"/>
      <c r="U931" s="172"/>
      <c r="V931" s="166">
        <f t="shared" si="2746"/>
        <v>167485.76071495554</v>
      </c>
      <c r="W931" s="170"/>
      <c r="X931" s="174">
        <v>10404.955850466116</v>
      </c>
      <c r="Y931" s="175">
        <v>3.7528914301307517E-2</v>
      </c>
      <c r="Z931" s="175"/>
      <c r="AA931" s="175"/>
      <c r="AB931" s="175"/>
      <c r="AC931" s="170">
        <f t="shared" si="2659"/>
        <v>457399.61729905405</v>
      </c>
      <c r="AD931" s="175">
        <f>LN(AC931/AC930)</f>
        <v>6.92710815326463E-2</v>
      </c>
      <c r="AE931" s="170"/>
      <c r="AF931" s="170"/>
      <c r="AG931" s="121"/>
      <c r="AH931" s="119"/>
      <c r="AI931" s="119"/>
      <c r="AJ931" s="121"/>
      <c r="AK931" s="121"/>
      <c r="AL931" s="120">
        <f t="shared" si="2766"/>
        <v>0.25889796026722034</v>
      </c>
      <c r="AM931" s="120">
        <f t="shared" si="2767"/>
        <v>0.37493260193578404</v>
      </c>
      <c r="AN931" s="120">
        <f t="shared" si="2768"/>
        <v>0.36616943779699557</v>
      </c>
      <c r="AO931" s="120">
        <f t="shared" ref="AO931:AO947" si="2772">+(((AL931+AL930)/2)*L931+((AM930+AM931)/2)*R931+((AN930+AN931)/2)*Y931)</f>
        <v>9.1387122336786253E-3</v>
      </c>
      <c r="AP931" s="173">
        <v>100</v>
      </c>
      <c r="AQ931" s="175"/>
      <c r="AR931" s="120"/>
      <c r="AS931" s="120"/>
      <c r="AT931" s="120"/>
      <c r="AU931" s="120"/>
      <c r="AV931" s="120"/>
      <c r="AW931" s="120"/>
      <c r="AX931" s="120"/>
      <c r="AY931" s="120"/>
      <c r="AZ931" s="118">
        <f>IFERROR(INDEX('Total Customers'!$F$7:$AB$91,MATCH($C931,'Total Customers'!$D$7:$D$91,0),MATCH($G931,'Total Customers'!$F$5:$AB$5,0)),"NA")</f>
        <v>1709399</v>
      </c>
      <c r="BA931" s="119">
        <f t="shared" si="2747"/>
        <v>9.6113919621347993E-3</v>
      </c>
      <c r="BB931" s="119"/>
      <c r="BC931" s="121"/>
      <c r="BD931" s="119"/>
      <c r="BE931" s="119"/>
      <c r="BF931" s="119"/>
      <c r="BG931" s="173"/>
      <c r="BH931" s="173"/>
      <c r="BI931" s="173"/>
      <c r="BJ931" s="173"/>
      <c r="BK931" s="173"/>
      <c r="BL931" s="173"/>
      <c r="BM931" s="173"/>
      <c r="BN931" s="173"/>
      <c r="BO931" s="173"/>
      <c r="BP931" s="173"/>
      <c r="BQ931" s="118"/>
      <c r="BR931" s="118"/>
      <c r="BS931" s="118">
        <f>INDEX('Dist. Plant Gas Additions'!$F$7:$AE$91,MATCH($C931,'Dist. Plant Gas Additions'!$D$7:$D$91,0),MATCH(Calculation!$G931,'Dist. Plant Gas Additions'!$F$5:$AE$5,0))</f>
        <v>187512</v>
      </c>
      <c r="BT931" s="118">
        <f>INDEX('Gen. Plant Additions'!$F$7:$AE$91,MATCH($C931,'Gen. Plant Additions'!$D$7:$D$91,0),MATCH(Calculation!$G931,'Gen. Plant Additions'!$F$5:$AE$5,0))</f>
        <v>20545</v>
      </c>
      <c r="BU931" s="118"/>
      <c r="BV931" s="118"/>
      <c r="BW931" s="118">
        <f>INDEX('Dist Plant Depreciation'!$E$7:$AD$94,MATCH($C931,'Dist Plant Depreciation'!$D$7:$D$94,0),MATCH(Calculation!$G931,'Dist Plant Depreciation'!$E$5:$AD$5,0))</f>
        <v>1561891</v>
      </c>
      <c r="BX931" s="118">
        <f>INDEX('Gen. Plant Depreciation'!$E$7:$AD$94,MATCH($C931,'Gen. Plant Depreciation'!$D$7:$D$94,0),MATCH(Calculation!$G931,'Gen. Plant Depreciation'!$E$5:$AD$5,0))</f>
        <v>83431</v>
      </c>
      <c r="BY931" s="118"/>
      <c r="BZ931" s="118"/>
      <c r="CA931" s="118"/>
      <c r="CB931" s="118"/>
      <c r="CC931" s="118"/>
      <c r="CD931" s="183"/>
      <c r="CE931" s="118">
        <f>INDEX('Gross Dx Plant'!$E$7:$AD$91,MATCH($C931,'Gross Dx Plant'!$D$7:$D$91,0),MATCH(Calculation!$G931,'Gross Dx Plant'!$E$5:$AD$5,0))</f>
        <v>3687486</v>
      </c>
      <c r="CF931" s="118">
        <f>INDEX('Gross Gen Plant'!$E$7:$AD$91,MATCH($C931,'Gross Gen Plant'!$D$7:$D$91,0),MATCH(Calculation!$G931,'Gross Gen Plant'!$E$5:$AD$5,0))</f>
        <v>152764</v>
      </c>
      <c r="CG931" s="118">
        <f t="shared" si="2598"/>
        <v>2194928</v>
      </c>
      <c r="CH931" s="118"/>
      <c r="CI931" s="121">
        <v>2005</v>
      </c>
      <c r="CJ931" s="118"/>
      <c r="CK931" s="118"/>
      <c r="CL931" s="118"/>
      <c r="CM931" s="183"/>
      <c r="CN931" s="118">
        <f t="shared" si="2748"/>
        <v>208057</v>
      </c>
      <c r="CO931" s="118">
        <f t="shared" si="2749"/>
        <v>443.42438329870834</v>
      </c>
      <c r="CP931" s="186">
        <v>0.96174863387978138</v>
      </c>
      <c r="CQ931" s="118">
        <f>+CQ924*CP931+CO925*CP930+CO926*CP929+CO927*CP928+CO928*CP927+CO929*CP926+CO930*CP925+CO931</f>
        <v>10404.955850466116</v>
      </c>
      <c r="CR931" s="119">
        <f t="shared" si="2750"/>
        <v>3.7528914301307517E-2</v>
      </c>
      <c r="CS931" s="119"/>
      <c r="CT931" s="177">
        <f t="shared" si="2751"/>
        <v>6.0043821009860389E-3</v>
      </c>
      <c r="CU931" s="177">
        <f t="shared" si="2759"/>
        <v>5.8261275824724248E-3</v>
      </c>
      <c r="CV931" s="119">
        <f>VLOOKUP($H931,RoR!$E:$F,2,FALSE)</f>
        <v>5.2350000000000001E-2</v>
      </c>
      <c r="CW931" s="177">
        <v>3.1010403642454332E-2</v>
      </c>
      <c r="CX931" s="177">
        <f t="shared" si="2757"/>
        <v>2.1339596357545669E-2</v>
      </c>
      <c r="CY931" s="177">
        <f t="shared" si="2760"/>
        <v>2.50758140260612E-2</v>
      </c>
      <c r="CZ931" s="177">
        <f t="shared" si="2761"/>
        <v>9.2129610649277341E-2</v>
      </c>
      <c r="DA931" s="187">
        <f t="shared" si="2752"/>
        <v>0.84681249999999997</v>
      </c>
      <c r="DB931" s="188">
        <f t="shared" si="2753"/>
        <v>0.97959983346802826</v>
      </c>
      <c r="DC931" s="188">
        <f t="shared" si="2754"/>
        <v>0.49744508118433622</v>
      </c>
      <c r="DD931" s="188">
        <f t="shared" si="2755"/>
        <v>0.87010519444335932</v>
      </c>
      <c r="DE931" s="188">
        <f t="shared" si="2756"/>
        <v>0.42399975420741998</v>
      </c>
      <c r="DF931" s="189">
        <f>INDEX('State Tax Lookup'!$D$7:$Z$91,MATCH(Calculation!$C931,'State Tax Lookup'!$B$7:$B$91,0),MATCH($H931,'State Tax Lookup'!$D$6:$Z$6,0))</f>
        <v>0.40849999999999997</v>
      </c>
      <c r="DG931" s="189">
        <v>0.375</v>
      </c>
      <c r="DH931" s="190">
        <f t="shared" si="2758"/>
        <v>16.712300991053112</v>
      </c>
      <c r="DI931" s="190"/>
      <c r="DJ931" s="177"/>
      <c r="DK931" s="189">
        <f>VLOOKUP($H931,RoR!$E:$F,2,FALSE)</f>
        <v>5.2350000000000001E-2</v>
      </c>
      <c r="DL931" s="191">
        <f>HLOOKUP($H931,'GDP-PI'!$D$8:$CQ$11,3,FALSE)</f>
        <v>3.1010403642454332E-2</v>
      </c>
      <c r="DM931" s="189">
        <f>VLOOKUP(H931,'HW Dx Data'!$E:$F,2,FALSE)</f>
        <v>469.20514034936258</v>
      </c>
      <c r="DN931" s="183">
        <f>VLOOKUP(H931,'ECI - Input Price'!$G$17:$H$37,2,FALSE)</f>
        <v>99.15</v>
      </c>
      <c r="DO931" s="177">
        <f t="shared" ref="DO931" si="2773">LN(DN931/DN930)</f>
        <v>3.046440632744625E-2</v>
      </c>
      <c r="DP931" s="183">
        <f>HLOOKUP(H931,'GDP-PI'!$8:$9,2,FALSE)</f>
        <v>87.406999999999996</v>
      </c>
      <c r="DQ931" s="177">
        <f t="shared" ref="DQ931" si="2774">LN(DP931/DP930)</f>
        <v>3.0539295810733648E-2</v>
      </c>
    </row>
    <row r="932" spans="1:121" s="167" customFormat="1" ht="21" x14ac:dyDescent="0.35">
      <c r="A932" s="167" t="s">
        <v>95</v>
      </c>
      <c r="B932" s="167" t="s">
        <v>95</v>
      </c>
      <c r="C932" s="167">
        <v>4057095</v>
      </c>
      <c r="D932" s="168" t="s">
        <v>145</v>
      </c>
      <c r="E932" s="168" t="s">
        <v>126</v>
      </c>
      <c r="F932" s="198"/>
      <c r="G932" s="167" t="s">
        <v>12</v>
      </c>
      <c r="H932" s="169">
        <v>2006</v>
      </c>
      <c r="I932" s="170"/>
      <c r="J932" s="166">
        <f>IFERROR(INDEX('Labor Expenditures'!$F$7:$X$91,MATCH($C932,'Labor Expenditures'!$D$7:$D$91,0),MATCH($G932,'Labor Expenditures'!$F$5:$X$5,0)),"NA")</f>
        <v>106786.7688979649</v>
      </c>
      <c r="K932" s="166">
        <f t="shared" si="2764"/>
        <v>1046.416157745859</v>
      </c>
      <c r="L932" s="172">
        <f t="shared" si="2771"/>
        <v>-0.13223117634867787</v>
      </c>
      <c r="M932" s="172">
        <f t="shared" ref="M932:M947" si="2775">+L932*AR932</f>
        <v>-7.1690040783317505E-3</v>
      </c>
      <c r="N932" s="196"/>
      <c r="O932" s="172"/>
      <c r="P932" s="166">
        <f>IFERROR(INDEX('Non-Labor Expenditures'!$F$7:$AB$91,MATCH($C932,'Non-Labor Expenditures'!$D$7:$D$91,0),MATCH($G932,'Non-Labor Expenditures'!$F$5:$AB$5,0)),"NA")</f>
        <v>154647.18638147769</v>
      </c>
      <c r="Q932" s="166">
        <f t="shared" si="2765"/>
        <v>1716.8904054608176</v>
      </c>
      <c r="R932" s="172">
        <f t="shared" ref="R932:R947" si="2776">LN(Q932/Q931)</f>
        <v>-0.13345832578408384</v>
      </c>
      <c r="S932" s="172">
        <f>+R932*AR932</f>
        <v>-7.235534828114616E-3</v>
      </c>
      <c r="T932" s="172"/>
      <c r="U932" s="172"/>
      <c r="V932" s="166">
        <f t="shared" si="2746"/>
        <v>169826.80557487538</v>
      </c>
      <c r="W932" s="170"/>
      <c r="X932" s="174">
        <v>10792.247834134017</v>
      </c>
      <c r="Y932" s="175">
        <v>3.6545866528537724E-2</v>
      </c>
      <c r="Z932" s="175">
        <f>+Y932*AR932</f>
        <v>1.9813592635552044E-3</v>
      </c>
      <c r="AA932" s="175"/>
      <c r="AB932" s="175"/>
      <c r="AC932" s="170">
        <f t="shared" si="2659"/>
        <v>431260.76085431798</v>
      </c>
      <c r="AD932" s="175">
        <f t="shared" ref="AD932:AD947" si="2777">LN(AC932/AC931)</f>
        <v>-5.8844524160727454E-2</v>
      </c>
      <c r="AE932" s="170"/>
      <c r="AF932" s="170"/>
      <c r="AG932" s="121">
        <f t="shared" ref="AG932:AG947" si="2778">+(AC932*1000)/AZ932</f>
        <v>250.73504136331223</v>
      </c>
      <c r="AH932" s="119">
        <f>+AZ932/$BB$44</f>
        <v>4.8926605540340298E-2</v>
      </c>
      <c r="AI932" s="119">
        <f>+AZ932/$BC$44</f>
        <v>0.20854945760330831</v>
      </c>
      <c r="AJ932" s="176">
        <f>+AH932*AG932</f>
        <v>12.267614463923687</v>
      </c>
      <c r="AK932" s="176">
        <f>+AI932*AG932</f>
        <v>52.290656878461839</v>
      </c>
      <c r="AL932" s="120">
        <f t="shared" si="2766"/>
        <v>0.24761531442467125</v>
      </c>
      <c r="AM932" s="120">
        <f t="shared" si="2767"/>
        <v>0.35859322344821043</v>
      </c>
      <c r="AN932" s="120">
        <f t="shared" si="2768"/>
        <v>0.3937914621271183</v>
      </c>
      <c r="AO932" s="120">
        <f t="shared" si="2772"/>
        <v>-6.854927255416593E-2</v>
      </c>
      <c r="AP932" s="173">
        <f>+AP931*EXP(AO932)</f>
        <v>93.374745084818613</v>
      </c>
      <c r="AQ932" s="175">
        <f>LN(AP932/AP931)</f>
        <v>-6.8549272554165958E-2</v>
      </c>
      <c r="AR932" s="177">
        <f>+AC932/$AE$44</f>
        <v>5.4215687073885965E-2</v>
      </c>
      <c r="AS932" s="177">
        <f>+AR932*AQ932</f>
        <v>-3.7164459099391814E-3</v>
      </c>
      <c r="AT932" s="177"/>
      <c r="AU932" s="177"/>
      <c r="AV932" s="177"/>
      <c r="AW932" s="190"/>
      <c r="AX932" s="120"/>
      <c r="AY932" s="120"/>
      <c r="AZ932" s="118">
        <f>IFERROR(INDEX('Total Customers'!$F$7:$AB$91,MATCH($C932,'Total Customers'!$D$7:$D$91,0),MATCH($G932,'Total Customers'!$F$5:$AB$5,0)),"NA")</f>
        <v>1719986</v>
      </c>
      <c r="BA932" s="119">
        <f t="shared" si="2747"/>
        <v>6.1743045083273024E-3</v>
      </c>
      <c r="BB932" s="119"/>
      <c r="BC932" s="121">
        <v>8247377</v>
      </c>
      <c r="BD932" s="119"/>
      <c r="BE932" s="119"/>
      <c r="BF932" s="119"/>
      <c r="BG932" s="173"/>
      <c r="BH932" s="173"/>
      <c r="BI932" s="173"/>
      <c r="BJ932" s="173"/>
      <c r="BK932" s="173"/>
      <c r="BL932" s="173"/>
      <c r="BM932" s="173"/>
      <c r="BN932" s="173"/>
      <c r="BO932" s="173"/>
      <c r="BP932" s="173"/>
      <c r="BQ932" s="118"/>
      <c r="BR932" s="118"/>
      <c r="BS932" s="118">
        <f>INDEX('Dist. Plant Gas Additions'!$F$7:$AE$91,MATCH($C932,'Dist. Plant Gas Additions'!$D$7:$D$91,0),MATCH(Calculation!$G932,'Dist. Plant Gas Additions'!$F$5:$AE$5,0))</f>
        <v>187959</v>
      </c>
      <c r="BT932" s="118">
        <f>INDEX('Gen. Plant Additions'!$F$7:$AE$91,MATCH($C932,'Gen. Plant Additions'!$D$7:$D$91,0),MATCH(Calculation!$G932,'Gen. Plant Additions'!$F$5:$AE$5,0))</f>
        <v>20292</v>
      </c>
      <c r="BU932" s="118"/>
      <c r="BV932" s="118"/>
      <c r="BW932" s="118">
        <f>INDEX('Dist Plant Depreciation'!$E$7:$AD$94,MATCH($C932,'Dist Plant Depreciation'!$D$7:$D$94,0),MATCH(Calculation!$G932,'Dist Plant Depreciation'!$E$5:$AD$5,0))</f>
        <v>1580252</v>
      </c>
      <c r="BX932" s="118">
        <f>INDEX('Gen. Plant Depreciation'!$E$7:$AD$94,MATCH($C932,'Gen. Plant Depreciation'!$D$7:$D$94,0),MATCH(Calculation!$G932,'Gen. Plant Depreciation'!$E$5:$AD$5,0))</f>
        <v>76654</v>
      </c>
      <c r="BY932" s="118"/>
      <c r="BZ932" s="118"/>
      <c r="CA932" s="118"/>
      <c r="CB932" s="118"/>
      <c r="CC932" s="118"/>
      <c r="CD932" s="183"/>
      <c r="CE932" s="118">
        <f>INDEX('Gross Dx Plant'!$E$7:$AD$91,MATCH($C932,'Gross Dx Plant'!$D$7:$D$91,0),MATCH(Calculation!$G932,'Gross Dx Plant'!$E$5:$AD$5,0))</f>
        <v>3871857</v>
      </c>
      <c r="CF932" s="118">
        <f>INDEX('Gross Gen Plant'!$E$7:$AD$91,MATCH($C932,'Gross Gen Plant'!$D$7:$D$91,0),MATCH(Calculation!$G932,'Gross Gen Plant'!$E$5:$AD$5,0))</f>
        <v>147608</v>
      </c>
      <c r="CG932" s="118">
        <f t="shared" si="2598"/>
        <v>2362559</v>
      </c>
      <c r="CH932" s="119" t="e">
        <f>SUM(#REF!)/15</f>
        <v>#REF!</v>
      </c>
      <c r="CI932" s="121">
        <v>2006</v>
      </c>
      <c r="CJ932" s="118"/>
      <c r="CK932" s="118"/>
      <c r="CL932" s="118"/>
      <c r="CM932" s="183"/>
      <c r="CN932" s="118">
        <f t="shared" si="2748"/>
        <v>208251</v>
      </c>
      <c r="CO932" s="118">
        <f t="shared" si="2749"/>
        <v>451.6535913317648</v>
      </c>
      <c r="CP932" s="186">
        <v>0.9555555555555556</v>
      </c>
      <c r="CQ932" s="118">
        <f>+CQ924*CP932+CO925*CP931+CO926*CP930+CO927*CP929+CO928*CP928+CO929*CP927+CO930*CP926+CO931*CP925+CO932</f>
        <v>10792.247834134017</v>
      </c>
      <c r="CR932" s="119">
        <f t="shared" si="2750"/>
        <v>3.6545866528537724E-2</v>
      </c>
      <c r="CS932" s="119"/>
      <c r="CT932" s="177">
        <f t="shared" si="2751"/>
        <v>6.1856685015131913E-3</v>
      </c>
      <c r="CU932" s="177">
        <f t="shared" si="2759"/>
        <v>6.0045305260644491E-3</v>
      </c>
      <c r="CV932" s="119">
        <f>VLOOKUP($H932,RoR!$E:$F,2,FALSE)</f>
        <v>5.5874999999999994E-2</v>
      </c>
      <c r="CW932" s="177">
        <v>3.0512430354548314E-2</v>
      </c>
      <c r="CX932" s="177">
        <f t="shared" si="2757"/>
        <v>2.536256964545168E-2</v>
      </c>
      <c r="CY932" s="177">
        <f t="shared" si="2760"/>
        <v>2.4897411082469175E-2</v>
      </c>
      <c r="CZ932" s="177">
        <f t="shared" si="2761"/>
        <v>7.9087823893859641E-2</v>
      </c>
      <c r="DA932" s="187">
        <f t="shared" si="2752"/>
        <v>0.84681249999999997</v>
      </c>
      <c r="DB932" s="188">
        <f t="shared" si="2753"/>
        <v>0.91779957551769631</v>
      </c>
      <c r="DC932" s="188">
        <f t="shared" si="2754"/>
        <v>0.52757270693512304</v>
      </c>
      <c r="DD932" s="188">
        <f t="shared" si="2755"/>
        <v>0.88636824549024895</v>
      </c>
      <c r="DE932" s="188">
        <f t="shared" si="2756"/>
        <v>0.42918482841932087</v>
      </c>
      <c r="DF932" s="189">
        <f>INDEX('State Tax Lookup'!$D$7:$Z$91,MATCH(Calculation!$C932,'State Tax Lookup'!$B$7:$B$91,0),MATCH($H932,'State Tax Lookup'!$D$6:$Z$6,0))</f>
        <v>0.40849999999999997</v>
      </c>
      <c r="DG932" s="189">
        <v>0.375</v>
      </c>
      <c r="DH932" s="190">
        <f t="shared" si="2758"/>
        <v>16.321722842030855</v>
      </c>
      <c r="DI932" s="190">
        <v>15.855949898456368</v>
      </c>
      <c r="DJ932" s="177"/>
      <c r="DK932" s="189">
        <f>VLOOKUP($H932,RoR!$E:$F,2,FALSE)</f>
        <v>5.5874999999999994E-2</v>
      </c>
      <c r="DL932" s="191">
        <f>HLOOKUP($H932,'GDP-PI'!$D$8:$CQ$11,3,FALSE)</f>
        <v>3.0512430354548314E-2</v>
      </c>
      <c r="DM932" s="189">
        <f>VLOOKUP(H932,'HW Dx Data'!$E:$F,2,FALSE)</f>
        <v>461.08567272971823</v>
      </c>
      <c r="DN932" s="183">
        <f>VLOOKUP(H932,'ECI - Input Price'!$G$17:$H$37,2,FALSE)</f>
        <v>102.05</v>
      </c>
      <c r="DO932" s="177">
        <f t="shared" ref="DO932" si="2779">LN(DN932/DN931)</f>
        <v>2.8829034290048662E-2</v>
      </c>
      <c r="DP932" s="183">
        <f>HLOOKUP(H932,'GDP-PI'!$8:$9,2,FALSE)</f>
        <v>90.073999999999998</v>
      </c>
      <c r="DQ932" s="177">
        <f t="shared" ref="DQ932" si="2780">LN(DP932/DP931)</f>
        <v>3.005618372545445E-2</v>
      </c>
    </row>
    <row r="933" spans="1:121" s="167" customFormat="1" ht="21" x14ac:dyDescent="0.35">
      <c r="A933" s="167" t="s">
        <v>95</v>
      </c>
      <c r="B933" s="167" t="s">
        <v>95</v>
      </c>
      <c r="C933" s="167">
        <v>4057095</v>
      </c>
      <c r="D933" s="168" t="s">
        <v>145</v>
      </c>
      <c r="E933" s="168" t="s">
        <v>126</v>
      </c>
      <c r="F933" s="198"/>
      <c r="G933" s="167" t="s">
        <v>13</v>
      </c>
      <c r="H933" s="169">
        <v>2007</v>
      </c>
      <c r="I933" s="170"/>
      <c r="J933" s="166">
        <f>IFERROR(INDEX('Labor Expenditures'!$F$7:$X$91,MATCH($C933,'Labor Expenditures'!$D$7:$D$91,0),MATCH($G933,'Labor Expenditures'!$F$5:$X$5,0)),"NA")</f>
        <v>107569.43884202618</v>
      </c>
      <c r="K933" s="166">
        <f t="shared" si="2764"/>
        <v>1022.2802455882744</v>
      </c>
      <c r="L933" s="172">
        <f t="shared" si="2771"/>
        <v>-2.3335475776067927E-2</v>
      </c>
      <c r="M933" s="172">
        <f t="shared" si="2775"/>
        <v>-1.2568422506392723E-3</v>
      </c>
      <c r="N933" s="196"/>
      <c r="O933" s="172"/>
      <c r="P933" s="166">
        <f>IFERROR(INDEX('Non-Labor Expenditures'!$F$7:$AB$91,MATCH($C933,'Non-Labor Expenditures'!$D$7:$D$91,0),MATCH($G933,'Non-Labor Expenditures'!$F$5:$AB$5,0)),"NA")</f>
        <v>155780.63864305965</v>
      </c>
      <c r="Q933" s="166">
        <f t="shared" si="2765"/>
        <v>1684.1514264422976</v>
      </c>
      <c r="R933" s="172">
        <f t="shared" si="2776"/>
        <v>-1.925291832532498E-2</v>
      </c>
      <c r="S933" s="172">
        <f t="shared" ref="S933:S947" si="2781">+R933*AR933</f>
        <v>-1.0369568390884091E-3</v>
      </c>
      <c r="T933" s="172"/>
      <c r="U933" s="172"/>
      <c r="V933" s="166">
        <f t="shared" si="2746"/>
        <v>189177.1136948115</v>
      </c>
      <c r="W933" s="170"/>
      <c r="X933" s="174">
        <v>11094.970746535691</v>
      </c>
      <c r="Y933" s="175">
        <v>2.7663836488572766E-2</v>
      </c>
      <c r="Z933" s="175">
        <f t="shared" ref="Z933:Z947" si="2782">+Y933*AR933</f>
        <v>1.4899665576680724E-3</v>
      </c>
      <c r="AA933" s="175"/>
      <c r="AB933" s="175"/>
      <c r="AC933" s="170">
        <f t="shared" si="2659"/>
        <v>452527.19117989729</v>
      </c>
      <c r="AD933" s="175">
        <f t="shared" si="2777"/>
        <v>4.8134931599965784E-2</v>
      </c>
      <c r="AE933" s="170"/>
      <c r="AF933" s="170"/>
      <c r="AG933" s="121">
        <f t="shared" si="2778"/>
        <v>261.24147837044603</v>
      </c>
      <c r="AH933" s="119">
        <f>+AZ933/$BB$45</f>
        <v>4.8905106090353534E-2</v>
      </c>
      <c r="AI933" s="119">
        <f>+AZ933/$BC$45</f>
        <v>0.2115619699021356</v>
      </c>
      <c r="AJ933" s="176">
        <f t="shared" ref="AJ933:AJ947" si="2783">+AH933*AG933</f>
        <v>12.776042214907461</v>
      </c>
      <c r="AK933" s="176">
        <f t="shared" ref="AK933:AK947" si="2784">+AI933*AG933</f>
        <v>55.268761784197714</v>
      </c>
      <c r="AL933" s="120">
        <f t="shared" si="2766"/>
        <v>0.23770823265129082</v>
      </c>
      <c r="AM933" s="120">
        <f t="shared" si="2767"/>
        <v>0.34424591865272186</v>
      </c>
      <c r="AN933" s="120">
        <f t="shared" si="2768"/>
        <v>0.41804584869598738</v>
      </c>
      <c r="AO933" s="120">
        <f t="shared" si="2772"/>
        <v>-1.1992129265620891E-3</v>
      </c>
      <c r="AP933" s="173">
        <f>+AP932*EXP(AO933)</f>
        <v>93.262835998321492</v>
      </c>
      <c r="AQ933" s="175">
        <f>LN(AP933/AP932)</f>
        <v>-1.1992129265622391E-3</v>
      </c>
      <c r="AR933" s="177">
        <f>+AC933/$AE$45</f>
        <v>5.3859722540058393E-2</v>
      </c>
      <c r="AS933" s="177">
        <f t="shared" ref="AS933:AS947" si="2785">+AR933*AQ933</f>
        <v>-6.4589275491093616E-5</v>
      </c>
      <c r="AT933" s="177"/>
      <c r="AU933" s="177"/>
      <c r="AV933" s="177"/>
      <c r="AW933" s="190"/>
      <c r="AX933" s="120"/>
      <c r="AY933" s="120"/>
      <c r="AZ933" s="118">
        <f>IFERROR(INDEX('Total Customers'!$F$7:$AB$91,MATCH($C933,'Total Customers'!$D$7:$D$91,0),MATCH($G933,'Total Customers'!$F$5:$AB$5,0)),"NA")</f>
        <v>1732218</v>
      </c>
      <c r="BA933" s="119">
        <f t="shared" si="2747"/>
        <v>7.0865170132331746E-3</v>
      </c>
      <c r="BB933" s="119"/>
      <c r="BC933" s="121">
        <v>8187757</v>
      </c>
      <c r="BD933" s="119"/>
      <c r="BE933" s="119"/>
      <c r="BF933" s="119"/>
      <c r="BG933" s="173"/>
      <c r="BH933" s="173"/>
      <c r="BI933" s="173"/>
      <c r="BJ933" s="173"/>
      <c r="BK933" s="173"/>
      <c r="BL933" s="173"/>
      <c r="BM933" s="173"/>
      <c r="BN933" s="173"/>
      <c r="BO933" s="173"/>
      <c r="BP933" s="173"/>
      <c r="BQ933" s="118"/>
      <c r="BR933" s="118"/>
      <c r="BS933" s="118">
        <f>INDEX('Dist. Plant Gas Additions'!$F$7:$AE$91,MATCH($C933,'Dist. Plant Gas Additions'!$D$7:$D$91,0),MATCH(Calculation!$G933,'Dist. Plant Gas Additions'!$F$5:$AE$5,0))</f>
        <v>166946</v>
      </c>
      <c r="BT933" s="118">
        <f>INDEX('Gen. Plant Additions'!$F$7:$AE$91,MATCH($C933,'Gen. Plant Additions'!$D$7:$D$91,0),MATCH(Calculation!$G933,'Gen. Plant Additions'!$F$5:$AE$5,0))</f>
        <v>18059</v>
      </c>
      <c r="BU933" s="118"/>
      <c r="BV933" s="118"/>
      <c r="BW933" s="118">
        <f>INDEX('Dist Plant Depreciation'!$E$7:$AD$94,MATCH($C933,'Dist Plant Depreciation'!$D$7:$D$94,0),MATCH(Calculation!$G933,'Dist Plant Depreciation'!$E$5:$AD$5,0))</f>
        <v>1632574</v>
      </c>
      <c r="BX933" s="118">
        <f>INDEX('Gen. Plant Depreciation'!$E$7:$AD$94,MATCH($C933,'Gen. Plant Depreciation'!$D$7:$D$94,0),MATCH(Calculation!$G933,'Gen. Plant Depreciation'!$E$5:$AD$5,0))</f>
        <v>71340</v>
      </c>
      <c r="BY933" s="118"/>
      <c r="BZ933" s="118"/>
      <c r="CA933" s="118"/>
      <c r="CB933" s="118"/>
      <c r="CC933" s="118"/>
      <c r="CD933" s="183"/>
      <c r="CE933" s="118">
        <f>INDEX('Gross Dx Plant'!$E$7:$AD$91,MATCH($C933,'Gross Dx Plant'!$D$7:$D$91,0),MATCH(Calculation!$G933,'Gross Dx Plant'!$E$5:$AD$5,0))</f>
        <v>4033186</v>
      </c>
      <c r="CF933" s="118">
        <f>INDEX('Gross Gen Plant'!$E$7:$AD$91,MATCH($C933,'Gross Gen Plant'!$D$7:$D$91,0),MATCH(Calculation!$G933,'Gross Gen Plant'!$E$5:$AD$5,0))</f>
        <v>142874</v>
      </c>
      <c r="CG933" s="118">
        <f t="shared" si="2598"/>
        <v>2472146</v>
      </c>
      <c r="CH933" s="118"/>
      <c r="CI933" s="121">
        <v>2007</v>
      </c>
      <c r="CJ933" s="118"/>
      <c r="CK933" s="118"/>
      <c r="CL933" s="118"/>
      <c r="CM933" s="183"/>
      <c r="CN933" s="118">
        <f t="shared" si="2748"/>
        <v>185005</v>
      </c>
      <c r="CO933" s="118">
        <f t="shared" si="2749"/>
        <v>371.47933787405969</v>
      </c>
      <c r="CP933" s="186">
        <v>0.94915254237288138</v>
      </c>
      <c r="CQ933" s="118">
        <f>+CQ924*CP933+CO925*CP932+CO926*CP931+CO927*CP930+CO928*CP929+CO929*CP928+CO930*CP927+CO931*CP926+CO932*CP925+CO933</f>
        <v>11094.970746535691</v>
      </c>
      <c r="CR933" s="119">
        <f t="shared" si="2750"/>
        <v>2.7663836488572766E-2</v>
      </c>
      <c r="CS933" s="119"/>
      <c r="CT933" s="177">
        <f t="shared" si="2751"/>
        <v>6.3709086864110944E-3</v>
      </c>
      <c r="CU933" s="177">
        <f t="shared" si="2759"/>
        <v>6.1869864296367752E-3</v>
      </c>
      <c r="CV933" s="119">
        <f>VLOOKUP($H933,RoR!$E:$F,2,FALSE)</f>
        <v>5.5558333333333321E-2</v>
      </c>
      <c r="CW933" s="177">
        <v>2.691120634145272E-2</v>
      </c>
      <c r="CX933" s="177">
        <f t="shared" si="2757"/>
        <v>2.86471269918806E-2</v>
      </c>
      <c r="CY933" s="177">
        <f t="shared" si="2760"/>
        <v>2.4714955178896849E-2</v>
      </c>
      <c r="CZ933" s="177">
        <f t="shared" si="2761"/>
        <v>6.4575155250632399E-2</v>
      </c>
      <c r="DA933" s="187">
        <f t="shared" si="2752"/>
        <v>0.84681249999999997</v>
      </c>
      <c r="DB933" s="188">
        <f t="shared" si="2753"/>
        <v>0.92303077153834634</v>
      </c>
      <c r="DC933" s="188">
        <f t="shared" si="2754"/>
        <v>0.52502249887505614</v>
      </c>
      <c r="DD933" s="188">
        <f t="shared" si="2755"/>
        <v>0.88499666072084604</v>
      </c>
      <c r="DE933" s="188">
        <f t="shared" si="2756"/>
        <v>0.42887993290280618</v>
      </c>
      <c r="DF933" s="189">
        <f>INDEX('State Tax Lookup'!$D$7:$Z$91,MATCH(Calculation!$C933,'State Tax Lookup'!$B$7:$B$91,0),MATCH($H933,'State Tax Lookup'!$D$6:$Z$6,0))</f>
        <v>0.40849999999999997</v>
      </c>
      <c r="DG933" s="189">
        <v>0.375</v>
      </c>
      <c r="DH933" s="190">
        <f t="shared" si="2758"/>
        <v>17.528981598854404</v>
      </c>
      <c r="DI933" s="190">
        <v>17.285869567947877</v>
      </c>
      <c r="DJ933" s="177"/>
      <c r="DK933" s="189">
        <f>VLOOKUP($H933,RoR!$E:$F,2,FALSE)</f>
        <v>5.5558333333333321E-2</v>
      </c>
      <c r="DL933" s="191">
        <f>HLOOKUP($H933,'GDP-PI'!$D$8:$CQ$11,3,FALSE)</f>
        <v>2.691120634145272E-2</v>
      </c>
      <c r="DM933" s="189">
        <f>VLOOKUP(H933,'HW Dx Data'!$E:$F,2,FALSE)</f>
        <v>498.0223154772637</v>
      </c>
      <c r="DN933" s="183">
        <f>VLOOKUP(H933,'ECI - Input Price'!$G$17:$H$37,2,FALSE)</f>
        <v>105.22500000000001</v>
      </c>
      <c r="DO933" s="177">
        <f t="shared" ref="DO933" si="2786">LN(DN933/DN932)</f>
        <v>3.0638025400780679E-2</v>
      </c>
      <c r="DP933" s="183">
        <f>HLOOKUP(H933,'GDP-PI'!$8:$9,2,FALSE)</f>
        <v>92.498000000000005</v>
      </c>
      <c r="DQ933" s="177">
        <f t="shared" ref="DQ933" si="2787">LN(DP933/DP932)</f>
        <v>2.6555467950038037E-2</v>
      </c>
    </row>
    <row r="934" spans="1:121" s="167" customFormat="1" ht="21" x14ac:dyDescent="0.35">
      <c r="A934" s="167" t="s">
        <v>95</v>
      </c>
      <c r="B934" s="167" t="s">
        <v>95</v>
      </c>
      <c r="C934" s="167">
        <v>4057095</v>
      </c>
      <c r="D934" s="168" t="s">
        <v>145</v>
      </c>
      <c r="E934" s="168" t="s">
        <v>126</v>
      </c>
      <c r="F934" s="198"/>
      <c r="G934" s="167" t="s">
        <v>14</v>
      </c>
      <c r="H934" s="169">
        <v>2008</v>
      </c>
      <c r="I934" s="170"/>
      <c r="J934" s="166">
        <f>IFERROR(INDEX('Labor Expenditures'!$F$7:$X$91,MATCH($C934,'Labor Expenditures'!$D$7:$D$91,0),MATCH($G934,'Labor Expenditures'!$F$5:$X$5,0)),"NA")</f>
        <v>102521.00475926603</v>
      </c>
      <c r="K934" s="166">
        <f t="shared" si="2764"/>
        <v>947.29503127064936</v>
      </c>
      <c r="L934" s="172">
        <f t="shared" si="2771"/>
        <v>-7.6180358359494341E-2</v>
      </c>
      <c r="M934" s="172">
        <f t="shared" si="2775"/>
        <v>-4.0023461728728935E-3</v>
      </c>
      <c r="N934" s="196"/>
      <c r="O934" s="172"/>
      <c r="P934" s="166">
        <f>IFERROR(INDEX('Non-Labor Expenditures'!$F$7:$AB$91,MATCH($C934,'Non-Labor Expenditures'!$D$7:$D$91,0),MATCH($G934,'Non-Labor Expenditures'!$F$5:$AB$5,0)),"NA")</f>
        <v>148469.56317380181</v>
      </c>
      <c r="Q934" s="166">
        <f t="shared" si="2765"/>
        <v>1575.0399216434887</v>
      </c>
      <c r="R934" s="172">
        <f t="shared" si="2776"/>
        <v>-6.6981213436116904E-2</v>
      </c>
      <c r="S934" s="172">
        <f t="shared" si="2781"/>
        <v>-3.5190436094478402E-3</v>
      </c>
      <c r="T934" s="172"/>
      <c r="U934" s="172"/>
      <c r="V934" s="166">
        <f t="shared" si="2746"/>
        <v>220906.07581115904</v>
      </c>
      <c r="W934" s="170"/>
      <c r="X934" s="174">
        <v>11404.131005671925</v>
      </c>
      <c r="Y934" s="175">
        <v>2.748373893310679E-2</v>
      </c>
      <c r="Z934" s="175">
        <f t="shared" si="2782"/>
        <v>1.4439343644994614E-3</v>
      </c>
      <c r="AA934" s="175"/>
      <c r="AB934" s="175"/>
      <c r="AC934" s="170">
        <f t="shared" si="2659"/>
        <v>471896.64374422689</v>
      </c>
      <c r="AD934" s="175">
        <f t="shared" si="2777"/>
        <v>4.1912134148953784E-2</v>
      </c>
      <c r="AE934" s="170"/>
      <c r="AF934" s="170"/>
      <c r="AG934" s="121">
        <f t="shared" si="2778"/>
        <v>270.89110762715546</v>
      </c>
      <c r="AH934" s="119">
        <f>+AZ934/$BB$46</f>
        <v>4.891949850288721E-2</v>
      </c>
      <c r="AI934" s="119">
        <f>+AZ934/$BC$46</f>
        <v>0.21130438991148465</v>
      </c>
      <c r="AJ934" s="176">
        <f t="shared" si="2783"/>
        <v>13.25185713401209</v>
      </c>
      <c r="AK934" s="176">
        <f t="shared" si="2784"/>
        <v>57.240480229602412</v>
      </c>
      <c r="AL934" s="120">
        <f t="shared" si="2766"/>
        <v>0.21725309157916692</v>
      </c>
      <c r="AM934" s="120">
        <f t="shared" si="2767"/>
        <v>0.31462305388693107</v>
      </c>
      <c r="AN934" s="120">
        <f t="shared" si="2768"/>
        <v>0.46812385453390198</v>
      </c>
      <c r="AO934" s="120">
        <f t="shared" si="2772"/>
        <v>-2.7217851610850451E-2</v>
      </c>
      <c r="AP934" s="173">
        <f t="shared" ref="AP934:AP947" si="2788">+AP933*EXP(AO934)</f>
        <v>90.75865576222175</v>
      </c>
      <c r="AQ934" s="175">
        <f t="shared" ref="AQ934:AQ947" si="2789">LN(AP934/AP933)</f>
        <v>-2.7217851610850472E-2</v>
      </c>
      <c r="AR934" s="177">
        <f>+AC934/$AE$46</f>
        <v>5.2537770352639485E-2</v>
      </c>
      <c r="AS934" s="177">
        <f t="shared" si="2785"/>
        <v>-1.4299652374230808E-3</v>
      </c>
      <c r="AT934" s="177"/>
      <c r="AU934" s="177"/>
      <c r="AV934" s="177"/>
      <c r="AW934" s="190"/>
      <c r="AX934" s="120"/>
      <c r="AY934" s="120"/>
      <c r="AZ934" s="118">
        <f>IFERROR(INDEX('Total Customers'!$F$7:$AB$91,MATCH($C934,'Total Customers'!$D$7:$D$91,0),MATCH($G934,'Total Customers'!$F$5:$AB$5,0)),"NA")</f>
        <v>1742016</v>
      </c>
      <c r="BA934" s="119">
        <f t="shared" si="2747"/>
        <v>5.6403949625513407E-3</v>
      </c>
      <c r="BB934" s="119"/>
      <c r="BC934" s="121">
        <v>8244107</v>
      </c>
      <c r="BD934" s="119"/>
      <c r="BE934" s="119"/>
      <c r="BF934" s="119"/>
      <c r="BG934" s="173"/>
      <c r="BH934" s="173"/>
      <c r="BI934" s="173"/>
      <c r="BJ934" s="173"/>
      <c r="BK934" s="173"/>
      <c r="BL934" s="173"/>
      <c r="BM934" s="173"/>
      <c r="BN934" s="173"/>
      <c r="BO934" s="173"/>
      <c r="BP934" s="173"/>
      <c r="BQ934" s="118"/>
      <c r="BR934" s="118"/>
      <c r="BS934" s="118">
        <f>INDEX('Dist. Plant Gas Additions'!$F$7:$AE$91,MATCH($C934,'Dist. Plant Gas Additions'!$D$7:$D$91,0),MATCH(Calculation!$G934,'Dist. Plant Gas Additions'!$F$5:$AE$5,0))</f>
        <v>200011</v>
      </c>
      <c r="BT934" s="118">
        <f>INDEX('Gen. Plant Additions'!$F$7:$AE$91,MATCH($C934,'Gen. Plant Additions'!$D$7:$D$91,0),MATCH(Calculation!$G934,'Gen. Plant Additions'!$F$5:$AE$5,0))</f>
        <v>17735</v>
      </c>
      <c r="BU934" s="118"/>
      <c r="BV934" s="118"/>
      <c r="BW934" s="118">
        <f>INDEX('Dist Plant Depreciation'!$E$7:$AD$94,MATCH($C934,'Dist Plant Depreciation'!$D$7:$D$94,0),MATCH(Calculation!$G934,'Dist Plant Depreciation'!$E$5:$AD$5,0))</f>
        <v>1686050</v>
      </c>
      <c r="BX934" s="118">
        <f>INDEX('Gen. Plant Depreciation'!$E$7:$AD$94,MATCH($C934,'Gen. Plant Depreciation'!$D$7:$D$94,0),MATCH(Calculation!$G934,'Gen. Plant Depreciation'!$E$5:$AD$5,0))</f>
        <v>79196</v>
      </c>
      <c r="BY934" s="118"/>
      <c r="BZ934" s="118"/>
      <c r="CA934" s="118"/>
      <c r="CB934" s="118"/>
      <c r="CC934" s="118"/>
      <c r="CD934" s="183"/>
      <c r="CE934" s="118">
        <f>INDEX('Gross Dx Plant'!$E$7:$AD$91,MATCH($C934,'Gross Dx Plant'!$D$7:$D$91,0),MATCH(Calculation!$G934,'Gross Dx Plant'!$E$5:$AD$5,0))</f>
        <v>4227913</v>
      </c>
      <c r="CF934" s="118">
        <f>INDEX('Gross Gen Plant'!$E$7:$AD$91,MATCH($C934,'Gross Gen Plant'!$D$7:$D$91,0),MATCH(Calculation!$G934,'Gross Gen Plant'!$E$5:$AD$5,0))</f>
        <v>150659</v>
      </c>
      <c r="CG934" s="118">
        <f t="shared" si="2598"/>
        <v>2613326</v>
      </c>
      <c r="CH934" s="118"/>
      <c r="CI934" s="121">
        <v>2008</v>
      </c>
      <c r="CJ934" s="118"/>
      <c r="CK934" s="118"/>
      <c r="CL934" s="118"/>
      <c r="CM934" s="183"/>
      <c r="CN934" s="118">
        <f t="shared" si="2748"/>
        <v>217746</v>
      </c>
      <c r="CO934" s="118">
        <f t="shared" si="2749"/>
        <v>382.09015971341347</v>
      </c>
      <c r="CP934" s="186">
        <v>0.94252873563218387</v>
      </c>
      <c r="CQ934" s="118">
        <f>+CQ924*CP934+CO925*CP933+CO926*CP932+CO927*CP931+CO928*CP930+CO929*CP929+CO930*CP928+CO931*CP927+CO932*CP926+CO933*CP925+CO934</f>
        <v>11404.131005671925</v>
      </c>
      <c r="CR934" s="119">
        <f t="shared" si="2750"/>
        <v>2.748373893310679E-2</v>
      </c>
      <c r="CS934" s="119"/>
      <c r="CT934" s="177">
        <f t="shared" si="2751"/>
        <v>6.5732395554041244E-3</v>
      </c>
      <c r="CU934" s="177">
        <f t="shared" si="2759"/>
        <v>6.37660558110947E-3</v>
      </c>
      <c r="CV934" s="119">
        <f>VLOOKUP($H934,RoR!$E:$F,2,FALSE)</f>
        <v>5.6316666666666668E-2</v>
      </c>
      <c r="CW934" s="177">
        <v>1.9092304698479889E-2</v>
      </c>
      <c r="CX934" s="177">
        <f t="shared" si="2757"/>
        <v>3.7224361968186778E-2</v>
      </c>
      <c r="CY934" s="177">
        <f t="shared" si="2760"/>
        <v>2.4525336027424155E-2</v>
      </c>
      <c r="CZ934" s="177">
        <f t="shared" si="2761"/>
        <v>6.9030581091053131E-2</v>
      </c>
      <c r="DA934" s="187">
        <f t="shared" si="2752"/>
        <v>0.84681249999999997</v>
      </c>
      <c r="DB934" s="188">
        <f t="shared" si="2753"/>
        <v>0.91060168006009956</v>
      </c>
      <c r="DC934" s="188">
        <f t="shared" si="2754"/>
        <v>0.53108168097070152</v>
      </c>
      <c r="DD934" s="188">
        <f t="shared" si="2755"/>
        <v>0.88825329850328805</v>
      </c>
      <c r="DE934" s="188">
        <f t="shared" si="2756"/>
        <v>0.4295627335323573</v>
      </c>
      <c r="DF934" s="189">
        <f>INDEX('State Tax Lookup'!$D$7:$Z$91,MATCH(Calculation!$C934,'State Tax Lookup'!$B$7:$B$91,0),MATCH($H934,'State Tax Lookup'!$D$6:$Z$6,0))</f>
        <v>0.40849999999999997</v>
      </c>
      <c r="DG934" s="189">
        <v>0.375</v>
      </c>
      <c r="DH934" s="190">
        <f t="shared" si="2758"/>
        <v>19.910469424187987</v>
      </c>
      <c r="DI934" s="190">
        <v>19.637433458626166</v>
      </c>
      <c r="DJ934" s="177"/>
      <c r="DK934" s="189">
        <f>VLOOKUP($H934,RoR!$E:$F,2,FALSE)</f>
        <v>5.6316666666666668E-2</v>
      </c>
      <c r="DL934" s="191">
        <f>HLOOKUP($H934,'GDP-PI'!$D$8:$CQ$11,3,FALSE)</f>
        <v>1.9092304698479889E-2</v>
      </c>
      <c r="DM934" s="189">
        <f>VLOOKUP(H934,'HW Dx Data'!$E:$F,2,FALSE)</f>
        <v>569.88120333515076</v>
      </c>
      <c r="DN934" s="183">
        <f>VLOOKUP(H934,'ECI - Input Price'!$G$17:$H$37,2,FALSE)</f>
        <v>108.22499999999999</v>
      </c>
      <c r="DO934" s="177">
        <f t="shared" ref="DO934" si="2790">LN(DN934/DN933)</f>
        <v>2.8111478671409691E-2</v>
      </c>
      <c r="DP934" s="183">
        <f>HLOOKUP(H934,'GDP-PI'!$8:$9,2,FALSE)</f>
        <v>94.263999999999996</v>
      </c>
      <c r="DQ934" s="177">
        <f t="shared" ref="DQ934" si="2791">LN(DP934/DP933)</f>
        <v>1.8912333748032254E-2</v>
      </c>
    </row>
    <row r="935" spans="1:121" s="167" customFormat="1" ht="21" x14ac:dyDescent="0.35">
      <c r="A935" s="167" t="s">
        <v>95</v>
      </c>
      <c r="B935" s="167" t="s">
        <v>95</v>
      </c>
      <c r="C935" s="167">
        <v>4057095</v>
      </c>
      <c r="D935" s="168" t="s">
        <v>145</v>
      </c>
      <c r="E935" s="168" t="s">
        <v>126</v>
      </c>
      <c r="F935" s="198"/>
      <c r="G935" s="167" t="s">
        <v>15</v>
      </c>
      <c r="H935" s="169">
        <v>2009</v>
      </c>
      <c r="I935" s="170"/>
      <c r="J935" s="166">
        <f>IFERROR(INDEX('Labor Expenditures'!$F$7:$X$91,MATCH($C935,'Labor Expenditures'!$D$7:$D$91,0),MATCH($G935,'Labor Expenditures'!$F$5:$X$5,0)),"NA")</f>
        <v>115867.49645117712</v>
      </c>
      <c r="K935" s="166">
        <f t="shared" si="2764"/>
        <v>1055.4998538025702</v>
      </c>
      <c r="L935" s="172">
        <f t="shared" si="2771"/>
        <v>0.10815914105920087</v>
      </c>
      <c r="M935" s="172">
        <f t="shared" si="2775"/>
        <v>5.7889255853268758E-3</v>
      </c>
      <c r="N935" s="196"/>
      <c r="O935" s="172"/>
      <c r="P935" s="166">
        <f>IFERROR(INDEX('Non-Labor Expenditures'!$F$7:$AB$91,MATCH($C935,'Non-Labor Expenditures'!$D$7:$D$91,0),MATCH($G935,'Non-Labor Expenditures'!$F$5:$AB$5,0)),"NA")</f>
        <v>167797.77592448425</v>
      </c>
      <c r="Q935" s="166">
        <f t="shared" si="2765"/>
        <v>1766.310970899528</v>
      </c>
      <c r="R935" s="172">
        <f t="shared" si="2776"/>
        <v>0.11461255536062832</v>
      </c>
      <c r="S935" s="172">
        <f t="shared" si="2781"/>
        <v>6.1343271371180437E-3</v>
      </c>
      <c r="T935" s="172"/>
      <c r="U935" s="172"/>
      <c r="V935" s="166">
        <f t="shared" si="2746"/>
        <v>217778.99128032028</v>
      </c>
      <c r="W935" s="170"/>
      <c r="X935" s="174">
        <v>11744.97803345128</v>
      </c>
      <c r="Y935" s="175">
        <v>2.9450089140471324E-2</v>
      </c>
      <c r="Z935" s="175">
        <f t="shared" si="2782"/>
        <v>1.5762363943156415E-3</v>
      </c>
      <c r="AA935" s="175"/>
      <c r="AB935" s="175"/>
      <c r="AC935" s="170">
        <f t="shared" si="2659"/>
        <v>501444.26365598163</v>
      </c>
      <c r="AD935" s="175">
        <f t="shared" si="2777"/>
        <v>6.0732475466497439E-2</v>
      </c>
      <c r="AE935" s="170"/>
      <c r="AF935" s="170"/>
      <c r="AG935" s="121">
        <f t="shared" si="2778"/>
        <v>282.65636532617697</v>
      </c>
      <c r="AH935" s="119">
        <f>+AZ935/$BB$47</f>
        <v>4.9746974503976304E-2</v>
      </c>
      <c r="AI935" s="119">
        <f>+AZ935/$BC$47</f>
        <v>0.21279621034995153</v>
      </c>
      <c r="AJ935" s="176">
        <f t="shared" si="2783"/>
        <v>14.061298999267937</v>
      </c>
      <c r="AK935" s="176">
        <f t="shared" si="2784"/>
        <v>60.1482033727019</v>
      </c>
      <c r="AL935" s="120">
        <f t="shared" si="2766"/>
        <v>0.23106754797910822</v>
      </c>
      <c r="AM935" s="120">
        <f t="shared" si="2767"/>
        <v>0.33462896693859234</v>
      </c>
      <c r="AN935" s="120">
        <f t="shared" si="2768"/>
        <v>0.43430348508229949</v>
      </c>
      <c r="AO935" s="120">
        <f t="shared" si="2772"/>
        <v>7.4739487034047647E-2</v>
      </c>
      <c r="AP935" s="173">
        <f t="shared" si="2788"/>
        <v>97.801834636629152</v>
      </c>
      <c r="AQ935" s="175">
        <f t="shared" si="2789"/>
        <v>7.4739487034047578E-2</v>
      </c>
      <c r="AR935" s="177">
        <f>+AC935/$AE$47</f>
        <v>5.3522296207569819E-2</v>
      </c>
      <c r="AS935" s="177">
        <f t="shared" si="2785"/>
        <v>4.0002289634381181E-3</v>
      </c>
      <c r="AT935" s="177"/>
      <c r="AU935" s="177"/>
      <c r="AV935" s="177"/>
      <c r="AW935" s="190"/>
      <c r="AX935" s="120"/>
      <c r="AY935" s="120"/>
      <c r="AZ935" s="118">
        <f>IFERROR(INDEX('Total Customers'!$F$7:$AB$91,MATCH($C935,'Total Customers'!$D$7:$D$91,0),MATCH($G935,'Total Customers'!$F$5:$AB$5,0)),"NA")</f>
        <v>1774042</v>
      </c>
      <c r="BA935" s="119">
        <f t="shared" si="2747"/>
        <v>1.8217495684029382E-2</v>
      </c>
      <c r="BB935" s="119"/>
      <c r="BC935" s="121">
        <v>8336812</v>
      </c>
      <c r="BD935" s="119"/>
      <c r="BE935" s="119"/>
      <c r="BF935" s="119"/>
      <c r="BG935" s="173"/>
      <c r="BH935" s="173"/>
      <c r="BI935" s="173"/>
      <c r="BJ935" s="173"/>
      <c r="BK935" s="173"/>
      <c r="BL935" s="173"/>
      <c r="BM935" s="173"/>
      <c r="BN935" s="173"/>
      <c r="BO935" s="173"/>
      <c r="BP935" s="173"/>
      <c r="BQ935" s="118"/>
      <c r="BR935" s="118"/>
      <c r="BS935" s="118">
        <f>INDEX('Dist. Plant Gas Additions'!$F$7:$AE$91,MATCH($C935,'Dist. Plant Gas Additions'!$D$7:$D$91,0),MATCH(Calculation!$G935,'Dist. Plant Gas Additions'!$F$5:$AE$5,0))</f>
        <v>223510</v>
      </c>
      <c r="BT935" s="118">
        <f>INDEX('Gen. Plant Additions'!$F$7:$AE$91,MATCH($C935,'Gen. Plant Additions'!$D$7:$D$91,0),MATCH(Calculation!$G935,'Gen. Plant Additions'!$F$5:$AE$5,0))</f>
        <v>6882</v>
      </c>
      <c r="BU935" s="118"/>
      <c r="BV935" s="118"/>
      <c r="BW935" s="118">
        <f>INDEX('Dist Plant Depreciation'!$E$7:$AD$94,MATCH($C935,'Dist Plant Depreciation'!$D$7:$D$94,0),MATCH(Calculation!$G935,'Dist Plant Depreciation'!$E$5:$AD$5,0))</f>
        <v>1714882</v>
      </c>
      <c r="BX935" s="118">
        <f>INDEX('Gen. Plant Depreciation'!$E$7:$AD$94,MATCH($C935,'Gen. Plant Depreciation'!$D$7:$D$94,0),MATCH(Calculation!$G935,'Gen. Plant Depreciation'!$E$5:$AD$5,0))</f>
        <v>65252</v>
      </c>
      <c r="BY935" s="118"/>
      <c r="BZ935" s="118"/>
      <c r="CA935" s="118"/>
      <c r="CB935" s="118"/>
      <c r="CC935" s="118"/>
      <c r="CD935" s="183"/>
      <c r="CE935" s="118">
        <f>INDEX('Gross Dx Plant'!$E$7:$AD$91,MATCH($C935,'Gross Dx Plant'!$D$7:$D$91,0),MATCH(Calculation!$G935,'Gross Dx Plant'!$E$5:$AD$5,0))</f>
        <v>4425778</v>
      </c>
      <c r="CF935" s="118">
        <f>INDEX('Gross Gen Plant'!$E$7:$AD$91,MATCH($C935,'Gross Gen Plant'!$D$7:$D$91,0),MATCH(Calculation!$G935,'Gross Gen Plant'!$E$5:$AD$5,0))</f>
        <v>126294</v>
      </c>
      <c r="CG935" s="118">
        <f t="shared" si="2598"/>
        <v>2771938</v>
      </c>
      <c r="CH935" s="118"/>
      <c r="CI935" s="121">
        <v>2009</v>
      </c>
      <c r="CJ935" s="118"/>
      <c r="CK935" s="118"/>
      <c r="CL935" s="118"/>
      <c r="CM935" s="183"/>
      <c r="CN935" s="118">
        <f t="shared" si="2748"/>
        <v>230392</v>
      </c>
      <c r="CO935" s="118">
        <f t="shared" si="2749"/>
        <v>418.17935474765221</v>
      </c>
      <c r="CP935" s="186">
        <v>0.93567251461988299</v>
      </c>
      <c r="CQ935" s="118">
        <f>+CQ924*CP935+CO925*CP934+CO926*CP933+CO927*CP932+CO928*CP931+CO929*CP930+CO930*CP929+CO931*CP928+CO932*CP927+CO933*CP926+CO934*CP925+CO935</f>
        <v>11744.97803345128</v>
      </c>
      <c r="CR935" s="119">
        <f t="shared" si="2750"/>
        <v>2.9450089140471324E-2</v>
      </c>
      <c r="CS935" s="119"/>
      <c r="CT935" s="177">
        <f t="shared" si="2751"/>
        <v>6.7810802006602281E-3</v>
      </c>
      <c r="CU935" s="177">
        <f t="shared" si="2759"/>
        <v>6.5750761474918165E-3</v>
      </c>
      <c r="CV935" s="119">
        <f>VLOOKUP($H935,RoR!$E:$F,2,FALSE)</f>
        <v>5.3133333333333324E-2</v>
      </c>
      <c r="CW935" s="177">
        <v>7.7972502758210105E-3</v>
      </c>
      <c r="CX935" s="177">
        <f t="shared" si="2757"/>
        <v>4.5336083057512314E-2</v>
      </c>
      <c r="CY935" s="177">
        <f t="shared" si="2760"/>
        <v>2.4326865461041808E-2</v>
      </c>
      <c r="CZ935" s="177">
        <f t="shared" si="2761"/>
        <v>6.3720160300892073E-2</v>
      </c>
      <c r="DA935" s="187">
        <f t="shared" si="2752"/>
        <v>0.84681249999999997</v>
      </c>
      <c r="DB935" s="188">
        <f t="shared" si="2753"/>
        <v>0.96515780330083989</v>
      </c>
      <c r="DC935" s="188">
        <f t="shared" si="2754"/>
        <v>0.50448557089084056</v>
      </c>
      <c r="DD935" s="188">
        <f t="shared" si="2755"/>
        <v>0.87391435735465484</v>
      </c>
      <c r="DE935" s="188">
        <f t="shared" si="2756"/>
        <v>0.42551605393279146</v>
      </c>
      <c r="DF935" s="189">
        <f>INDEX('State Tax Lookup'!$D$7:$Z$91,MATCH(Calculation!$C935,'State Tax Lookup'!$B$7:$B$91,0),MATCH($H935,'State Tax Lookup'!$D$6:$Z$6,0))</f>
        <v>0.40849999999999997</v>
      </c>
      <c r="DG935" s="189">
        <v>0.375</v>
      </c>
      <c r="DH935" s="190">
        <f t="shared" si="2758"/>
        <v>19.096500309581359</v>
      </c>
      <c r="DI935" s="190">
        <v>18.761756412005692</v>
      </c>
      <c r="DJ935" s="177"/>
      <c r="DK935" s="189">
        <f>VLOOKUP($H935,RoR!$E:$F,2,FALSE)</f>
        <v>5.3133333333333324E-2</v>
      </c>
      <c r="DL935" s="191">
        <f>HLOOKUP($H935,'GDP-PI'!$D$8:$CQ$11,3,FALSE)</f>
        <v>7.7972502758210105E-3</v>
      </c>
      <c r="DM935" s="189">
        <f>VLOOKUP(H935,'HW Dx Data'!$E:$F,2,FALSE)</f>
        <v>550.94063679692806</v>
      </c>
      <c r="DN935" s="183">
        <f>VLOOKUP(H935,'ECI - Input Price'!$G$17:$H$37,2,FALSE)</f>
        <v>109.77499999999999</v>
      </c>
      <c r="DO935" s="177">
        <f t="shared" ref="DO935" si="2792">LN(DN935/DN934)</f>
        <v>1.4220423119736749E-2</v>
      </c>
      <c r="DP935" s="183">
        <f>HLOOKUP(H935,'GDP-PI'!$8:$9,2,FALSE)</f>
        <v>94.998999999999995</v>
      </c>
      <c r="DQ935" s="177">
        <f t="shared" ref="DQ935" si="2793">LN(DP935/DP934)</f>
        <v>7.7670088183096342E-3</v>
      </c>
    </row>
    <row r="936" spans="1:121" s="167" customFormat="1" ht="21" x14ac:dyDescent="0.35">
      <c r="A936" s="167" t="s">
        <v>95</v>
      </c>
      <c r="B936" s="167" t="s">
        <v>95</v>
      </c>
      <c r="C936" s="167">
        <v>4057095</v>
      </c>
      <c r="D936" s="168" t="s">
        <v>145</v>
      </c>
      <c r="E936" s="168" t="s">
        <v>126</v>
      </c>
      <c r="F936" s="198"/>
      <c r="G936" s="167" t="s">
        <v>16</v>
      </c>
      <c r="H936" s="169">
        <v>2010</v>
      </c>
      <c r="I936" s="170"/>
      <c r="J936" s="166">
        <f>IFERROR(INDEX('Labor Expenditures'!$F$7:$X$91,MATCH($C936,'Labor Expenditures'!$D$7:$D$91,0),MATCH($G936,'Labor Expenditures'!$F$5:$X$5,0)),"NA")</f>
        <v>114778.31352530076</v>
      </c>
      <c r="K936" s="166">
        <f t="shared" si="2764"/>
        <v>1025.9514058127443</v>
      </c>
      <c r="L936" s="172">
        <f t="shared" si="2771"/>
        <v>-2.8394066924793276E-2</v>
      </c>
      <c r="M936" s="172">
        <f t="shared" si="2775"/>
        <v>-1.4939725421733044E-3</v>
      </c>
      <c r="N936" s="196"/>
      <c r="O936" s="172"/>
      <c r="P936" s="166">
        <f>IFERROR(INDEX('Non-Labor Expenditures'!$F$7:$AB$91,MATCH($C936,'Non-Labor Expenditures'!$D$7:$D$91,0),MATCH($G936,'Non-Labor Expenditures'!$F$5:$AB$5,0)),"NA")</f>
        <v>166220.43561650591</v>
      </c>
      <c r="Q936" s="166">
        <f t="shared" si="2765"/>
        <v>1729.4991688240011</v>
      </c>
      <c r="R936" s="172">
        <f t="shared" si="2776"/>
        <v>-2.1061305584705394E-2</v>
      </c>
      <c r="S936" s="172">
        <f t="shared" si="2781"/>
        <v>-1.1081544721723662E-3</v>
      </c>
      <c r="T936" s="172"/>
      <c r="U936" s="172"/>
      <c r="V936" s="166">
        <f t="shared" si="2746"/>
        <v>229960.26282244496</v>
      </c>
      <c r="W936" s="170"/>
      <c r="X936" s="174">
        <v>12200.250418985357</v>
      </c>
      <c r="Y936" s="175">
        <v>3.8030729855142061E-2</v>
      </c>
      <c r="Z936" s="175">
        <f t="shared" si="2782"/>
        <v>2.0010119125549123E-3</v>
      </c>
      <c r="AA936" s="175"/>
      <c r="AB936" s="175"/>
      <c r="AC936" s="170">
        <f t="shared" si="2659"/>
        <v>510959.01196425164</v>
      </c>
      <c r="AD936" s="175">
        <f t="shared" si="2777"/>
        <v>1.8796913611007299E-2</v>
      </c>
      <c r="AE936" s="170"/>
      <c r="AF936" s="170"/>
      <c r="AG936" s="121">
        <f t="shared" si="2778"/>
        <v>287.32422442342261</v>
      </c>
      <c r="AH936" s="119">
        <f>+AZ936/$BB$48</f>
        <v>4.9592859253353265E-2</v>
      </c>
      <c r="AI936" s="119">
        <f>+AZ936/$BC$48</f>
        <v>0.21161997805422803</v>
      </c>
      <c r="AJ936" s="176">
        <f t="shared" si="2783"/>
        <v>14.249229821909683</v>
      </c>
      <c r="AK936" s="176">
        <f t="shared" si="2784"/>
        <v>60.803546066932782</v>
      </c>
      <c r="AL936" s="120">
        <f t="shared" si="2766"/>
        <v>0.22463311310248704</v>
      </c>
      <c r="AM936" s="120">
        <f t="shared" si="2767"/>
        <v>0.32531070345058372</v>
      </c>
      <c r="AN936" s="120">
        <f t="shared" si="2768"/>
        <v>0.45005618344692927</v>
      </c>
      <c r="AO936" s="120">
        <f t="shared" si="2772"/>
        <v>3.3972287573292674E-3</v>
      </c>
      <c r="AP936" s="173">
        <f t="shared" si="2788"/>
        <v>98.134654854890201</v>
      </c>
      <c r="AQ936" s="175">
        <f t="shared" si="2789"/>
        <v>3.3972287573291919E-3</v>
      </c>
      <c r="AR936" s="177">
        <f>+AC936/$AE$48</f>
        <v>5.2615658973064895E-2</v>
      </c>
      <c r="AS936" s="177">
        <f t="shared" si="2785"/>
        <v>1.787474297491218E-4</v>
      </c>
      <c r="AT936" s="177"/>
      <c r="AU936" s="177"/>
      <c r="AV936" s="177"/>
      <c r="AW936" s="190"/>
      <c r="AX936" s="120"/>
      <c r="AY936" s="120"/>
      <c r="AZ936" s="118">
        <f>IFERROR(INDEX('Total Customers'!$F$7:$AB$91,MATCH($C936,'Total Customers'!$D$7:$D$91,0),MATCH($G936,'Total Customers'!$F$5:$AB$5,0)),"NA")</f>
        <v>1778336</v>
      </c>
      <c r="BA936" s="119">
        <f t="shared" si="2747"/>
        <v>2.4175366987133052E-3</v>
      </c>
      <c r="BB936" s="119"/>
      <c r="BC936" s="121">
        <v>8403441</v>
      </c>
      <c r="BD936" s="119"/>
      <c r="BE936" s="119"/>
      <c r="BF936" s="119"/>
      <c r="BG936" s="173"/>
      <c r="BH936" s="173"/>
      <c r="BI936" s="173"/>
      <c r="BJ936" s="173"/>
      <c r="BK936" s="173"/>
      <c r="BL936" s="173"/>
      <c r="BM936" s="173"/>
      <c r="BN936" s="173"/>
      <c r="BO936" s="173"/>
      <c r="BP936" s="173"/>
      <c r="BQ936" s="118"/>
      <c r="BR936" s="118"/>
      <c r="BS936" s="118">
        <f>INDEX('Dist. Plant Gas Additions'!$F$7:$AE$91,MATCH($C936,'Dist. Plant Gas Additions'!$D$7:$D$91,0),MATCH(Calculation!$G936,'Dist. Plant Gas Additions'!$F$5:$AE$5,0))</f>
        <v>291120</v>
      </c>
      <c r="BT936" s="118">
        <f>INDEX('Gen. Plant Additions'!$F$7:$AE$91,MATCH($C936,'Gen. Plant Additions'!$D$7:$D$91,0),MATCH(Calculation!$G936,'Gen. Plant Additions'!$F$5:$AE$5,0))</f>
        <v>14641</v>
      </c>
      <c r="BU936" s="118"/>
      <c r="BV936" s="118"/>
      <c r="BW936" s="118">
        <f>INDEX('Dist Plant Depreciation'!$E$7:$AD$94,MATCH($C936,'Dist Plant Depreciation'!$D$7:$D$94,0),MATCH(Calculation!$G936,'Dist Plant Depreciation'!$E$5:$AD$5,0))</f>
        <v>1755201</v>
      </c>
      <c r="BX936" s="118">
        <f>INDEX('Gen. Plant Depreciation'!$E$7:$AD$94,MATCH($C936,'Gen. Plant Depreciation'!$D$7:$D$94,0),MATCH(Calculation!$G936,'Gen. Plant Depreciation'!$E$5:$AD$5,0))</f>
        <v>51989</v>
      </c>
      <c r="BY936" s="118"/>
      <c r="BZ936" s="118"/>
      <c r="CA936" s="118"/>
      <c r="CB936" s="118"/>
      <c r="CC936" s="118"/>
      <c r="CD936" s="183"/>
      <c r="CE936" s="118">
        <f>INDEX('Gross Dx Plant'!$E$7:$AD$91,MATCH($C936,'Gross Dx Plant'!$D$7:$D$91,0),MATCH(Calculation!$G936,'Gross Dx Plant'!$E$5:$AD$5,0))</f>
        <v>4684259</v>
      </c>
      <c r="CF936" s="118">
        <f>INDEX('Gross Gen Plant'!$E$7:$AD$91,MATCH($C936,'Gross Gen Plant'!$D$7:$D$91,0),MATCH(Calculation!$G936,'Gross Gen Plant'!$E$5:$AD$5,0))</f>
        <v>112851</v>
      </c>
      <c r="CG936" s="118">
        <f t="shared" si="2598"/>
        <v>2989920</v>
      </c>
      <c r="CH936" s="118"/>
      <c r="CI936" s="121">
        <v>2010</v>
      </c>
      <c r="CJ936" s="118"/>
      <c r="CK936" s="118"/>
      <c r="CL936" s="118"/>
      <c r="CM936" s="183"/>
      <c r="CN936" s="118">
        <f t="shared" si="2748"/>
        <v>305761</v>
      </c>
      <c r="CO936" s="118">
        <f t="shared" si="2749"/>
        <v>537.3754675382487</v>
      </c>
      <c r="CP936" s="186">
        <v>0.9285714285714286</v>
      </c>
      <c r="CQ936" s="118">
        <f>+CQ924*CP936+CO925*CP935+CO926*CP934+CO927*CP933+CO928*CP932+CO929*CP931+CO930*CP930+CO931*CP929+CO932*CP928+CO933*CP927+CO934*CP926+CO935*CP925+CO936</f>
        <v>12200.250418985357</v>
      </c>
      <c r="CR936" s="119">
        <f t="shared" si="2750"/>
        <v>3.8030729855142061E-2</v>
      </c>
      <c r="CS936" s="119"/>
      <c r="CT936" s="177">
        <f t="shared" si="2751"/>
        <v>6.9904840835232499E-3</v>
      </c>
      <c r="CU936" s="177">
        <f t="shared" si="2759"/>
        <v>6.7816012798625341E-3</v>
      </c>
      <c r="CV936" s="119">
        <f>VLOOKUP($H936,RoR!$E:$F,2,FALSE)</f>
        <v>4.9433333333333322E-2</v>
      </c>
      <c r="CW936" s="177">
        <v>1.1684333519300205E-2</v>
      </c>
      <c r="CX936" s="177">
        <f t="shared" si="2757"/>
        <v>3.7748999814033117E-2</v>
      </c>
      <c r="CY936" s="177">
        <f t="shared" si="2760"/>
        <v>2.4120340328671091E-2</v>
      </c>
      <c r="CZ936" s="177">
        <f t="shared" si="2761"/>
        <v>4.7937530248493419E-2</v>
      </c>
      <c r="DA936" s="187">
        <f t="shared" si="2752"/>
        <v>0.84681249999999997</v>
      </c>
      <c r="DB936" s="188">
        <f t="shared" si="2753"/>
        <v>1.037398205301105</v>
      </c>
      <c r="DC936" s="188">
        <f t="shared" si="2754"/>
        <v>0.46926837491571133</v>
      </c>
      <c r="DD936" s="188">
        <f t="shared" si="2755"/>
        <v>0.8548537519972772</v>
      </c>
      <c r="DE936" s="188">
        <f t="shared" si="2756"/>
        <v>0.41615833911547367</v>
      </c>
      <c r="DF936" s="189">
        <f>INDEX('State Tax Lookup'!$D$7:$Z$91,MATCH(Calculation!$C936,'State Tax Lookup'!$B$7:$B$91,0),MATCH($H936,'State Tax Lookup'!$D$6:$Z$6,0))</f>
        <v>0.40849999999999997</v>
      </c>
      <c r="DG936" s="189">
        <v>0.375</v>
      </c>
      <c r="DH936" s="190">
        <f t="shared" si="2758"/>
        <v>19.579454484077122</v>
      </c>
      <c r="DI936" s="190">
        <v>19.264119138950615</v>
      </c>
      <c r="DJ936" s="177"/>
      <c r="DK936" s="189">
        <f>VLOOKUP($H936,RoR!$E:$F,2,FALSE)</f>
        <v>4.9433333333333322E-2</v>
      </c>
      <c r="DL936" s="191">
        <f>HLOOKUP($H936,'GDP-PI'!$D$8:$CQ$11,3,FALSE)</f>
        <v>1.1684333519300205E-2</v>
      </c>
      <c r="DM936" s="189">
        <f>VLOOKUP(H936,'HW Dx Data'!$E:$F,2,FALSE)</f>
        <v>568.98950262971744</v>
      </c>
      <c r="DN936" s="183">
        <f>VLOOKUP(H936,'ECI - Input Price'!$G$17:$H$37,2,FALSE)</f>
        <v>111.875</v>
      </c>
      <c r="DO936" s="177">
        <f t="shared" ref="DO936" si="2794">LN(DN936/DN935)</f>
        <v>1.8949360147238387E-2</v>
      </c>
      <c r="DP936" s="183">
        <f>HLOOKUP(H936,'GDP-PI'!$8:$9,2,FALSE)</f>
        <v>96.108999999999995</v>
      </c>
      <c r="DQ936" s="177">
        <f t="shared" ref="DQ936" si="2795">LN(DP936/DP935)</f>
        <v>1.1616598807150427E-2</v>
      </c>
    </row>
    <row r="937" spans="1:121" s="167" customFormat="1" ht="21" x14ac:dyDescent="0.35">
      <c r="A937" s="167" t="s">
        <v>95</v>
      </c>
      <c r="B937" s="167" t="s">
        <v>95</v>
      </c>
      <c r="C937" s="167">
        <v>4057095</v>
      </c>
      <c r="D937" s="168" t="s">
        <v>145</v>
      </c>
      <c r="E937" s="168" t="s">
        <v>126</v>
      </c>
      <c r="F937" s="198"/>
      <c r="G937" s="167" t="s">
        <v>17</v>
      </c>
      <c r="H937" s="169">
        <v>2011</v>
      </c>
      <c r="I937" s="170"/>
      <c r="J937" s="166">
        <f>IFERROR(INDEX('Labor Expenditures'!$F$7:$X$91,MATCH($C937,'Labor Expenditures'!$D$7:$D$91,0),MATCH($G937,'Labor Expenditures'!$F$5:$X$5,0)),"NA")</f>
        <v>112022.20995702814</v>
      </c>
      <c r="K937" s="166">
        <f t="shared" si="2764"/>
        <v>980.07182814547809</v>
      </c>
      <c r="L937" s="172">
        <f t="shared" si="2771"/>
        <v>-4.574979884871444E-2</v>
      </c>
      <c r="M937" s="172">
        <f t="shared" si="2775"/>
        <v>-2.374337255791341E-3</v>
      </c>
      <c r="N937" s="196"/>
      <c r="O937" s="172"/>
      <c r="P937" s="166">
        <f>IFERROR(INDEX('Non-Labor Expenditures'!$F$7:$AB$91,MATCH($C937,'Non-Labor Expenditures'!$D$7:$D$91,0),MATCH($G937,'Non-Labor Expenditures'!$F$5:$AB$5,0)),"NA")</f>
        <v>162229.08288050757</v>
      </c>
      <c r="Q937" s="166">
        <f t="shared" si="2765"/>
        <v>1653.5090802400071</v>
      </c>
      <c r="R937" s="172">
        <f t="shared" si="2776"/>
        <v>-4.4932123855818379E-2</v>
      </c>
      <c r="S937" s="172">
        <f t="shared" si="2781"/>
        <v>-2.3319013053037336E-3</v>
      </c>
      <c r="T937" s="172"/>
      <c r="U937" s="172"/>
      <c r="V937" s="166">
        <f t="shared" si="2746"/>
        <v>255051.82379482526</v>
      </c>
      <c r="W937" s="170"/>
      <c r="X937" s="174">
        <v>12436.428556494004</v>
      </c>
      <c r="Y937" s="175">
        <v>1.9173474887482524E-2</v>
      </c>
      <c r="Z937" s="175">
        <f t="shared" si="2782"/>
        <v>9.9507094881158531E-4</v>
      </c>
      <c r="AA937" s="175"/>
      <c r="AB937" s="175"/>
      <c r="AC937" s="170">
        <f t="shared" si="2659"/>
        <v>529303.11663236097</v>
      </c>
      <c r="AD937" s="175">
        <f t="shared" si="2777"/>
        <v>3.527189149556622E-2</v>
      </c>
      <c r="AE937" s="170"/>
      <c r="AF937" s="170"/>
      <c r="AG937" s="121">
        <f t="shared" si="2778"/>
        <v>297.55354112621126</v>
      </c>
      <c r="AH937" s="119">
        <f>+AZ937/$BB$49</f>
        <v>4.9366033798755017E-2</v>
      </c>
      <c r="AI937" s="119">
        <f>+AZ937/$BC$49</f>
        <v>0.21081814649031666</v>
      </c>
      <c r="AJ937" s="176">
        <f t="shared" si="2783"/>
        <v>14.689038168175786</v>
      </c>
      <c r="AK937" s="176">
        <f t="shared" si="2784"/>
        <v>62.729686021858065</v>
      </c>
      <c r="AL937" s="120">
        <f t="shared" si="2766"/>
        <v>0.21164094152658394</v>
      </c>
      <c r="AM937" s="120">
        <f t="shared" si="2767"/>
        <v>0.30649561240574996</v>
      </c>
      <c r="AN937" s="120">
        <f t="shared" si="2768"/>
        <v>0.48186344606766612</v>
      </c>
      <c r="AO937" s="120">
        <f t="shared" si="2772"/>
        <v>-1.5239856132744015E-2</v>
      </c>
      <c r="AP937" s="173">
        <f t="shared" si="2788"/>
        <v>96.650435206342706</v>
      </c>
      <c r="AQ937" s="175">
        <f t="shared" si="2789"/>
        <v>-1.5239856132744048E-2</v>
      </c>
      <c r="AR937" s="177">
        <f>+AC937/$AE$49</f>
        <v>5.1898310277664957E-2</v>
      </c>
      <c r="AS937" s="177">
        <f t="shared" si="2785"/>
        <v>-7.9092278216412579E-4</v>
      </c>
      <c r="AT937" s="177"/>
      <c r="AU937" s="177"/>
      <c r="AV937" s="177"/>
      <c r="AW937" s="190"/>
      <c r="AX937" s="120"/>
      <c r="AY937" s="120"/>
      <c r="AZ937" s="118">
        <f>IFERROR(INDEX('Total Customers'!$F$7:$AB$91,MATCH($C937,'Total Customers'!$D$7:$D$91,0),MATCH($G937,'Total Customers'!$F$5:$AB$5,0)),"NA")</f>
        <v>1778850</v>
      </c>
      <c r="BA937" s="119">
        <f t="shared" si="2747"/>
        <v>2.8899248089764203E-4</v>
      </c>
      <c r="BB937" s="119"/>
      <c r="BC937" s="121">
        <v>8437841</v>
      </c>
      <c r="BD937" s="119"/>
      <c r="BE937" s="119"/>
      <c r="BF937" s="119"/>
      <c r="BG937" s="173"/>
      <c r="BH937" s="173"/>
      <c r="BI937" s="173"/>
      <c r="BJ937" s="173"/>
      <c r="BK937" s="173"/>
      <c r="BL937" s="173"/>
      <c r="BM937" s="173"/>
      <c r="BN937" s="173"/>
      <c r="BO937" s="173"/>
      <c r="BP937" s="173"/>
      <c r="BQ937" s="118"/>
      <c r="BR937" s="118"/>
      <c r="BS937" s="118">
        <f>INDEX('Dist. Plant Gas Additions'!$F$7:$AE$91,MATCH($C937,'Dist. Plant Gas Additions'!$D$7:$D$91,0),MATCH(Calculation!$G937,'Dist. Plant Gas Additions'!$F$5:$AE$5,0))</f>
        <v>189163</v>
      </c>
      <c r="BT937" s="118">
        <f>INDEX('Gen. Plant Additions'!$F$7:$AE$91,MATCH($C937,'Gen. Plant Additions'!$D$7:$D$91,0),MATCH(Calculation!$G937,'Gen. Plant Additions'!$F$5:$AE$5,0))</f>
        <v>8908</v>
      </c>
      <c r="BU937" s="118"/>
      <c r="BV937" s="118"/>
      <c r="BW937" s="118">
        <f>INDEX('Dist Plant Depreciation'!$E$7:$AD$94,MATCH($C937,'Dist Plant Depreciation'!$D$7:$D$94,0),MATCH(Calculation!$G937,'Dist Plant Depreciation'!$E$5:$AD$5,0))</f>
        <v>1815936</v>
      </c>
      <c r="BX937" s="118">
        <f>INDEX('Gen. Plant Depreciation'!$E$7:$AD$94,MATCH($C937,'Gen. Plant Depreciation'!$D$7:$D$94,0),MATCH(Calculation!$G937,'Gen. Plant Depreciation'!$E$5:$AD$5,0))</f>
        <v>51112</v>
      </c>
      <c r="BY937" s="118"/>
      <c r="BZ937" s="118"/>
      <c r="CA937" s="118"/>
      <c r="CB937" s="118"/>
      <c r="CC937" s="118"/>
      <c r="CD937" s="183"/>
      <c r="CE937" s="118">
        <f>INDEX('Gross Dx Plant'!$E$7:$AD$91,MATCH($C937,'Gross Dx Plant'!$D$7:$D$91,0),MATCH(Calculation!$G937,'Gross Dx Plant'!$E$5:$AD$5,0))</f>
        <v>4857813</v>
      </c>
      <c r="CF937" s="118">
        <f>INDEX('Gross Gen Plant'!$E$7:$AD$91,MATCH($C937,'Gross Gen Plant'!$D$7:$D$91,0),MATCH(Calculation!$G937,'Gross Gen Plant'!$E$5:$AD$5,0))</f>
        <v>108070</v>
      </c>
      <c r="CG937" s="118">
        <f t="shared" si="2598"/>
        <v>3098835</v>
      </c>
      <c r="CH937" s="118"/>
      <c r="CI937" s="121">
        <v>2011</v>
      </c>
      <c r="CJ937" s="118"/>
      <c r="CK937" s="118"/>
      <c r="CL937" s="118"/>
      <c r="CM937" s="183"/>
      <c r="CN937" s="118">
        <f t="shared" si="2748"/>
        <v>198071</v>
      </c>
      <c r="CO937" s="118">
        <f t="shared" si="2749"/>
        <v>323.85122058057084</v>
      </c>
      <c r="CP937" s="186">
        <v>0.92121212121212126</v>
      </c>
      <c r="CQ937" s="118">
        <f>+CQ924*CP937+CO925*CP936+CO926*CP935+CO927*CP934+CO928*CP933+CO929*CP932+CO930*CP931+CO931*CP930+CO932*CP929+CO933*CP928+CO934*CP927+CO935*CP926+CO936*CP925+CO937</f>
        <v>12436.428556494004</v>
      </c>
      <c r="CR937" s="119">
        <f t="shared" si="2750"/>
        <v>1.9173474887482524E-2</v>
      </c>
      <c r="CS937" s="119"/>
      <c r="CT937" s="177">
        <f t="shared" si="2751"/>
        <v>7.1861707801908889E-3</v>
      </c>
      <c r="CU937" s="177">
        <f t="shared" si="2759"/>
        <v>6.9859116881247881E-3</v>
      </c>
      <c r="CV937" s="119">
        <f>VLOOKUP($H937,RoR!$E:$F,2,FALSE)</f>
        <v>4.6391666666666664E-2</v>
      </c>
      <c r="CW937" s="177">
        <v>2.0840920205183799E-2</v>
      </c>
      <c r="CX937" s="177">
        <f t="shared" si="2757"/>
        <v>2.5550746461482865E-2</v>
      </c>
      <c r="CY937" s="177">
        <f t="shared" si="2760"/>
        <v>2.3916029920408838E-2</v>
      </c>
      <c r="CZ937" s="177">
        <f t="shared" si="2761"/>
        <v>2.4810540821321614E-2</v>
      </c>
      <c r="DA937" s="187">
        <f t="shared" si="2752"/>
        <v>0.84681249999999997</v>
      </c>
      <c r="DB937" s="188">
        <f t="shared" si="2753"/>
        <v>1.1054151524782025</v>
      </c>
      <c r="DC937" s="188">
        <f t="shared" si="2754"/>
        <v>0.43611011316687626</v>
      </c>
      <c r="DD937" s="188">
        <f t="shared" si="2755"/>
        <v>0.83698442246886229</v>
      </c>
      <c r="DE937" s="188">
        <f t="shared" si="2756"/>
        <v>0.40349573304423936</v>
      </c>
      <c r="DF937" s="189">
        <f>INDEX('State Tax Lookup'!$D$7:$Z$91,MATCH(Calculation!$C937,'State Tax Lookup'!$B$7:$B$91,0),MATCH($H937,'State Tax Lookup'!$D$6:$Z$6,0))</f>
        <v>0.40849999999999997</v>
      </c>
      <c r="DG937" s="189">
        <v>0.375</v>
      </c>
      <c r="DH937" s="190">
        <f t="shared" si="2758"/>
        <v>20.905458087805123</v>
      </c>
      <c r="DI937" s="190">
        <v>20.580805471776138</v>
      </c>
      <c r="DJ937" s="177"/>
      <c r="DK937" s="189">
        <f>VLOOKUP($H937,RoR!$E:$F,2,FALSE)</f>
        <v>4.6391666666666664E-2</v>
      </c>
      <c r="DL937" s="191">
        <f>HLOOKUP($H937,'GDP-PI'!$D$8:$CQ$11,3,FALSE)</f>
        <v>2.0840920205183799E-2</v>
      </c>
      <c r="DM937" s="189">
        <f>VLOOKUP(H937,'HW Dx Data'!$E:$F,2,FALSE)</f>
        <v>611.61109612283201</v>
      </c>
      <c r="DN937" s="183">
        <f>VLOOKUP(H937,'ECI - Input Price'!$G$17:$H$37,2,FALSE)</f>
        <v>114.3</v>
      </c>
      <c r="DO937" s="177">
        <f t="shared" ref="DO937" si="2796">LN(DN937/DN936)</f>
        <v>2.1444394205745516E-2</v>
      </c>
      <c r="DP937" s="183">
        <f>HLOOKUP(H937,'GDP-PI'!$8:$9,2,FALSE)</f>
        <v>98.111999999999995</v>
      </c>
      <c r="DQ937" s="177">
        <f t="shared" ref="DQ937" si="2797">LN(DP937/DP936)</f>
        <v>2.0626719212849295E-2</v>
      </c>
    </row>
    <row r="938" spans="1:121" s="167" customFormat="1" ht="21" x14ac:dyDescent="0.35">
      <c r="A938" s="167" t="s">
        <v>95</v>
      </c>
      <c r="B938" s="167" t="s">
        <v>95</v>
      </c>
      <c r="C938" s="167">
        <v>4057095</v>
      </c>
      <c r="D938" s="168" t="s">
        <v>145</v>
      </c>
      <c r="E938" s="168" t="s">
        <v>126</v>
      </c>
      <c r="F938" s="198"/>
      <c r="G938" s="167" t="s">
        <v>18</v>
      </c>
      <c r="H938" s="169">
        <v>2012</v>
      </c>
      <c r="I938" s="170"/>
      <c r="J938" s="166">
        <f>IFERROR(INDEX('Labor Expenditures'!$F$7:$X$91,MATCH($C938,'Labor Expenditures'!$D$7:$D$91,0),MATCH($G938,'Labor Expenditures'!$F$5:$X$5,0)),"NA")</f>
        <v>120409.38801234731</v>
      </c>
      <c r="K938" s="166">
        <f t="shared" si="2764"/>
        <v>1033.5569786467579</v>
      </c>
      <c r="L938" s="172">
        <f t="shared" si="2771"/>
        <v>5.313564633106458E-2</v>
      </c>
      <c r="M938" s="172">
        <f t="shared" si="2775"/>
        <v>2.8632333049981246E-3</v>
      </c>
      <c r="N938" s="196"/>
      <c r="O938" s="172"/>
      <c r="P938" s="166">
        <f>IFERROR(INDEX('Non-Labor Expenditures'!$F$7:$AB$91,MATCH($C938,'Non-Labor Expenditures'!$D$7:$D$91,0),MATCH($G938,'Non-Labor Expenditures'!$F$5:$AB$5,0)),"NA")</f>
        <v>174375.28321338704</v>
      </c>
      <c r="Q938" s="166">
        <f t="shared" si="2765"/>
        <v>1743.7528321338705</v>
      </c>
      <c r="R938" s="172">
        <f t="shared" si="2776"/>
        <v>5.3139845797312818E-2</v>
      </c>
      <c r="S938" s="172">
        <f t="shared" si="2781"/>
        <v>2.8634595947387301E-3</v>
      </c>
      <c r="T938" s="172"/>
      <c r="U938" s="172"/>
      <c r="V938" s="166">
        <f t="shared" si="2746"/>
        <v>281057.25880493538</v>
      </c>
      <c r="W938" s="170"/>
      <c r="X938" s="174">
        <v>12670.756734421959</v>
      </c>
      <c r="Y938" s="175">
        <v>1.8666766460831204E-2</v>
      </c>
      <c r="Z938" s="175">
        <f t="shared" si="2782"/>
        <v>1.005865386378618E-3</v>
      </c>
      <c r="AA938" s="175"/>
      <c r="AB938" s="175"/>
      <c r="AC938" s="170">
        <f t="shared" si="2659"/>
        <v>575841.93003066978</v>
      </c>
      <c r="AD938" s="175">
        <f t="shared" si="2777"/>
        <v>8.4271928941904661E-2</v>
      </c>
      <c r="AE938" s="170"/>
      <c r="AF938" s="170"/>
      <c r="AG938" s="121">
        <f t="shared" si="2778"/>
        <v>322.55624859930697</v>
      </c>
      <c r="AH938" s="119">
        <f>+AZ938/$BB$50</f>
        <v>4.930509549122454E-2</v>
      </c>
      <c r="AI938" s="119">
        <f>+AZ938/$BC$50</f>
        <v>0.21039833250678369</v>
      </c>
      <c r="AJ938" s="176">
        <f t="shared" si="2783"/>
        <v>15.903666638479992</v>
      </c>
      <c r="AK938" s="176">
        <f t="shared" si="2784"/>
        <v>67.865296844937774</v>
      </c>
      <c r="AL938" s="120">
        <f t="shared" si="2766"/>
        <v>0.20910145950284345</v>
      </c>
      <c r="AM938" s="120">
        <f t="shared" si="2767"/>
        <v>0.30281796812555778</v>
      </c>
      <c r="AN938" s="120">
        <f t="shared" si="2768"/>
        <v>0.48808057237159869</v>
      </c>
      <c r="AO938" s="120">
        <f t="shared" si="2772"/>
        <v>3.6420483800755368E-2</v>
      </c>
      <c r="AP938" s="173">
        <f t="shared" si="2788"/>
        <v>100.23537721503129</v>
      </c>
      <c r="AQ938" s="175">
        <f t="shared" si="2789"/>
        <v>3.6420483800755382E-2</v>
      </c>
      <c r="AR938" s="177">
        <f>+AC938/$AE$50</f>
        <v>5.3885357621484289E-2</v>
      </c>
      <c r="AS938" s="177">
        <f t="shared" si="2785"/>
        <v>1.9625307943511791E-3</v>
      </c>
      <c r="AT938" s="177"/>
      <c r="AU938" s="177"/>
      <c r="AV938" s="177"/>
      <c r="AW938" s="190"/>
      <c r="AX938" s="120"/>
      <c r="AY938" s="120"/>
      <c r="AZ938" s="118">
        <f>IFERROR(INDEX('Total Customers'!$F$7:$AB$91,MATCH($C938,'Total Customers'!$D$7:$D$91,0),MATCH($G938,'Total Customers'!$F$5:$AB$5,0)),"NA")</f>
        <v>1785245</v>
      </c>
      <c r="BA938" s="119">
        <f t="shared" si="2747"/>
        <v>3.5885726181940775E-3</v>
      </c>
      <c r="BB938" s="119"/>
      <c r="BC938" s="121">
        <v>8485072</v>
      </c>
      <c r="BD938" s="119"/>
      <c r="BE938" s="119"/>
      <c r="BF938" s="119"/>
      <c r="BG938" s="173"/>
      <c r="BH938" s="173"/>
      <c r="BI938" s="173"/>
      <c r="BJ938" s="173"/>
      <c r="BK938" s="173"/>
      <c r="BL938" s="173"/>
      <c r="BM938" s="173"/>
      <c r="BN938" s="173"/>
      <c r="BO938" s="173"/>
      <c r="BP938" s="173"/>
      <c r="BQ938" s="118"/>
      <c r="BR938" s="118"/>
      <c r="BS938" s="118">
        <f>INDEX('Dist. Plant Gas Additions'!$F$7:$AE$91,MATCH($C938,'Dist. Plant Gas Additions'!$D$7:$D$91,0),MATCH(Calculation!$G938,'Dist. Plant Gas Additions'!$F$5:$AE$5,0))</f>
        <v>213179</v>
      </c>
      <c r="BT938" s="118">
        <f>INDEX('Gen. Plant Additions'!$F$7:$AE$91,MATCH($C938,'Gen. Plant Additions'!$D$7:$D$91,0),MATCH(Calculation!$G938,'Gen. Plant Additions'!$F$5:$AE$5,0))</f>
        <v>5388</v>
      </c>
      <c r="BU938" s="118"/>
      <c r="BV938" s="118"/>
      <c r="BW938" s="118">
        <f>INDEX('Dist Plant Depreciation'!$E$7:$AD$94,MATCH($C938,'Dist Plant Depreciation'!$D$7:$D$94,0),MATCH(Calculation!$G938,'Dist Plant Depreciation'!$E$5:$AD$5,0))</f>
        <v>1853589</v>
      </c>
      <c r="BX938" s="118">
        <f>INDEX('Gen. Plant Depreciation'!$E$7:$AD$94,MATCH($C938,'Gen. Plant Depreciation'!$D$7:$D$94,0),MATCH(Calculation!$G938,'Gen. Plant Depreciation'!$E$5:$AD$5,0))</f>
        <v>52913</v>
      </c>
      <c r="BY938" s="118"/>
      <c r="BZ938" s="118"/>
      <c r="CA938" s="118"/>
      <c r="CB938" s="118"/>
      <c r="CC938" s="118"/>
      <c r="CD938" s="183"/>
      <c r="CE938" s="118">
        <f>INDEX('Gross Dx Plant'!$E$7:$AD$91,MATCH($C938,'Gross Dx Plant'!$D$7:$D$91,0),MATCH(Calculation!$G938,'Gross Dx Plant'!$E$5:$AD$5,0))</f>
        <v>5069193</v>
      </c>
      <c r="CF938" s="118">
        <f>INDEX('Gross Gen Plant'!$E$7:$AD$91,MATCH($C938,'Gross Gen Plant'!$D$7:$D$91,0),MATCH(Calculation!$G938,'Gross Gen Plant'!$E$5:$AD$5,0))</f>
        <v>104061</v>
      </c>
      <c r="CG938" s="118">
        <f t="shared" si="2598"/>
        <v>3266752</v>
      </c>
      <c r="CH938" s="118"/>
      <c r="CI938" s="121">
        <v>2012</v>
      </c>
      <c r="CJ938" s="118"/>
      <c r="CK938" s="118"/>
      <c r="CL938" s="118"/>
      <c r="CM938" s="183"/>
      <c r="CN938" s="118">
        <f t="shared" si="2748"/>
        <v>218567</v>
      </c>
      <c r="CO938" s="118">
        <f t="shared" si="2749"/>
        <v>326.74642931483635</v>
      </c>
      <c r="CP938" s="186">
        <v>0.9135802469135802</v>
      </c>
      <c r="CQ938" s="118">
        <f>+CQ924*CP938+CO925*CP937+CO926*CP936+CO927*CP935+CO928*CP934+CO929*CP933+CO930*CP932+CO931*CP931+CO932*CP930+CO933*CP929+CO934*CP928+CO935*CP927+CO936*CP926+CO937*CP925+CO938</f>
        <v>12670.756734421959</v>
      </c>
      <c r="CR938" s="119">
        <f t="shared" si="2750"/>
        <v>1.8666766460831204E-2</v>
      </c>
      <c r="CS938" s="119"/>
      <c r="CT938" s="177">
        <f t="shared" si="2751"/>
        <v>7.431253351157855E-3</v>
      </c>
      <c r="CU938" s="177">
        <f t="shared" si="2759"/>
        <v>7.2026360716239976E-3</v>
      </c>
      <c r="CV938" s="119">
        <f>VLOOKUP($H938,RoR!$E:$F,2,FALSE)</f>
        <v>3.6733333333333333E-2</v>
      </c>
      <c r="CW938" s="177">
        <v>1.924331376386168E-2</v>
      </c>
      <c r="CX938" s="177">
        <f t="shared" si="2757"/>
        <v>1.7490019569471653E-2</v>
      </c>
      <c r="CY938" s="177">
        <f t="shared" si="2760"/>
        <v>2.3699305536909628E-2</v>
      </c>
      <c r="CZ938" s="177">
        <f t="shared" si="2761"/>
        <v>6.7122682943869583E-2</v>
      </c>
      <c r="DA938" s="187">
        <f t="shared" si="2752"/>
        <v>0.84681249999999997</v>
      </c>
      <c r="DB938" s="188">
        <f t="shared" si="2753"/>
        <v>1.3960631020522127</v>
      </c>
      <c r="DC938" s="188">
        <f t="shared" si="2754"/>
        <v>0.29441923774954631</v>
      </c>
      <c r="DD938" s="188">
        <f t="shared" si="2755"/>
        <v>0.76377954189366437</v>
      </c>
      <c r="DE938" s="188">
        <f t="shared" si="2756"/>
        <v>0.31393465103033691</v>
      </c>
      <c r="DF938" s="189">
        <f>INDEX('State Tax Lookup'!$D$7:$Z$91,MATCH(Calculation!$C938,'State Tax Lookup'!$B$7:$B$91,0),MATCH($H938,'State Tax Lookup'!$D$6:$Z$6,0))</f>
        <v>0.40849999999999997</v>
      </c>
      <c r="DG938" s="189">
        <v>0.375</v>
      </c>
      <c r="DH938" s="190">
        <f t="shared" si="2758"/>
        <v>22.599515409765615</v>
      </c>
      <c r="DI938" s="190">
        <v>22.269519714503151</v>
      </c>
      <c r="DJ938" s="177"/>
      <c r="DK938" s="189">
        <f>VLOOKUP($H938,RoR!$E:$F,2,FALSE)</f>
        <v>3.6733333333333333E-2</v>
      </c>
      <c r="DL938" s="191">
        <f>HLOOKUP($H938,'GDP-PI'!$D$8:$CQ$11,3,FALSE)</f>
        <v>1.924331376386168E-2</v>
      </c>
      <c r="DM938" s="189">
        <f>VLOOKUP(H938,'HW Dx Data'!$E:$F,2,FALSE)</f>
        <v>668.91932211262167</v>
      </c>
      <c r="DN938" s="183">
        <f>VLOOKUP(H938,'ECI - Input Price'!$G$17:$H$37,2,FALSE)</f>
        <v>116.5</v>
      </c>
      <c r="DO938" s="177">
        <f t="shared" ref="DO938" si="2798">LN(DN938/DN937)</f>
        <v>1.9064702204990347E-2</v>
      </c>
      <c r="DP938" s="183">
        <f>HLOOKUP(H938,'GDP-PI'!$8:$9,2,FALSE)</f>
        <v>100</v>
      </c>
      <c r="DQ938" s="177">
        <f t="shared" ref="DQ938" si="2799">LN(DP938/DP937)</f>
        <v>1.9060502738742411E-2</v>
      </c>
    </row>
    <row r="939" spans="1:121" s="167" customFormat="1" ht="21" x14ac:dyDescent="0.35">
      <c r="A939" s="167" t="s">
        <v>95</v>
      </c>
      <c r="B939" s="167" t="s">
        <v>95</v>
      </c>
      <c r="C939" s="167">
        <v>4057095</v>
      </c>
      <c r="D939" s="168" t="s">
        <v>145</v>
      </c>
      <c r="E939" s="168" t="s">
        <v>126</v>
      </c>
      <c r="F939" s="198"/>
      <c r="G939" s="167" t="s">
        <v>19</v>
      </c>
      <c r="H939" s="169">
        <v>2013</v>
      </c>
      <c r="I939" s="170"/>
      <c r="J939" s="166">
        <f>IFERROR(INDEX('Labor Expenditures'!$F$7:$X$91,MATCH($C939,'Labor Expenditures'!$D$7:$D$91,0),MATCH($G939,'Labor Expenditures'!$F$5:$X$5,0)),"NA")</f>
        <v>123190.98794614014</v>
      </c>
      <c r="K939" s="166">
        <f t="shared" si="2764"/>
        <v>1037.6162387546021</v>
      </c>
      <c r="L939" s="172">
        <f t="shared" si="2771"/>
        <v>3.9197738471668389E-3</v>
      </c>
      <c r="M939" s="172">
        <f t="shared" si="2775"/>
        <v>2.0614545569604671E-4</v>
      </c>
      <c r="N939" s="196"/>
      <c r="O939" s="172"/>
      <c r="P939" s="166">
        <f>IFERROR(INDEX('Non-Labor Expenditures'!$F$7:$AB$91,MATCH($C939,'Non-Labor Expenditures'!$D$7:$D$91,0),MATCH($G939,'Non-Labor Expenditures'!$F$5:$AB$5,0)),"NA")</f>
        <v>178403.55944872284</v>
      </c>
      <c r="Q939" s="166">
        <f t="shared" si="2765"/>
        <v>1752.9556901017249</v>
      </c>
      <c r="R939" s="172">
        <f t="shared" si="2776"/>
        <v>5.2637382600866861E-3</v>
      </c>
      <c r="S939" s="172">
        <f t="shared" si="2781"/>
        <v>2.7682610390254497E-4</v>
      </c>
      <c r="T939" s="172"/>
      <c r="U939" s="172"/>
      <c r="V939" s="166">
        <f t="shared" si="2746"/>
        <v>281371.59923895233</v>
      </c>
      <c r="W939" s="170"/>
      <c r="X939" s="174">
        <v>12791.637080546625</v>
      </c>
      <c r="Y939" s="175">
        <v>9.4948852919332621E-3</v>
      </c>
      <c r="Z939" s="175">
        <f t="shared" si="2782"/>
        <v>4.9934703674346019E-4</v>
      </c>
      <c r="AA939" s="175"/>
      <c r="AB939" s="175"/>
      <c r="AC939" s="170">
        <f t="shared" si="2659"/>
        <v>582966.14663381525</v>
      </c>
      <c r="AD939" s="175">
        <f t="shared" si="2777"/>
        <v>1.2295921137219256E-2</v>
      </c>
      <c r="AE939" s="170"/>
      <c r="AF939" s="170"/>
      <c r="AG939" s="121">
        <f t="shared" si="2778"/>
        <v>325.64084400831592</v>
      </c>
      <c r="AH939" s="119">
        <f>+AZ939/$BB$51</f>
        <v>4.912617460188267E-2</v>
      </c>
      <c r="AI939" s="119">
        <f>+AZ939/$BC$51</f>
        <v>0.20975144351072494</v>
      </c>
      <c r="AJ939" s="176">
        <f t="shared" si="2783"/>
        <v>15.997488960256966</v>
      </c>
      <c r="AK939" s="176">
        <f t="shared" si="2784"/>
        <v>68.303637096795072</v>
      </c>
      <c r="AL939" s="120">
        <f t="shared" si="2766"/>
        <v>0.21131756733641244</v>
      </c>
      <c r="AM939" s="120">
        <f t="shared" si="2767"/>
        <v>0.30602730618041424</v>
      </c>
      <c r="AN939" s="120">
        <f t="shared" si="2768"/>
        <v>0.48265512648317344</v>
      </c>
      <c r="AO939" s="120">
        <f t="shared" si="2772"/>
        <v>7.03488689025195E-3</v>
      </c>
      <c r="AP939" s="173">
        <f t="shared" si="2788"/>
        <v>100.94300788865246</v>
      </c>
      <c r="AQ939" s="175">
        <f t="shared" si="2789"/>
        <v>7.0348868902520194E-3</v>
      </c>
      <c r="AR939" s="177">
        <f>+AC939/$AE$51</f>
        <v>5.2591160544898763E-2</v>
      </c>
      <c r="AS939" s="177">
        <f t="shared" si="2785"/>
        <v>3.6997286586044756E-4</v>
      </c>
      <c r="AT939" s="177"/>
      <c r="AU939" s="177"/>
      <c r="AV939" s="177"/>
      <c r="AW939" s="190"/>
      <c r="AX939" s="120"/>
      <c r="AY939" s="120"/>
      <c r="AZ939" s="118">
        <f>IFERROR(INDEX('Total Customers'!$F$7:$AB$91,MATCH($C939,'Total Customers'!$D$7:$D$91,0),MATCH($G939,'Total Customers'!$F$5:$AB$5,0)),"NA")</f>
        <v>1790212</v>
      </c>
      <c r="BA939" s="119">
        <f t="shared" si="2747"/>
        <v>2.7783878789224958E-3</v>
      </c>
      <c r="BB939" s="119"/>
      <c r="BC939" s="121">
        <v>8534921</v>
      </c>
      <c r="BD939" s="119"/>
      <c r="BE939" s="119"/>
      <c r="BF939" s="119"/>
      <c r="BG939" s="173"/>
      <c r="BH939" s="173"/>
      <c r="BI939" s="173"/>
      <c r="BJ939" s="173"/>
      <c r="BK939" s="173"/>
      <c r="BL939" s="173"/>
      <c r="BM939" s="173"/>
      <c r="BN939" s="173"/>
      <c r="BO939" s="173"/>
      <c r="BP939" s="173"/>
      <c r="BQ939" s="118"/>
      <c r="BR939" s="118"/>
      <c r="BS939" s="118">
        <f>INDEX('Dist. Plant Gas Additions'!$F$7:$AE$91,MATCH($C939,'Dist. Plant Gas Additions'!$D$7:$D$91,0),MATCH(Calculation!$G939,'Dist. Plant Gas Additions'!$F$5:$AE$5,0))</f>
        <v>143751</v>
      </c>
      <c r="BT939" s="118">
        <f>INDEX('Gen. Plant Additions'!$F$7:$AE$91,MATCH($C939,'Gen. Plant Additions'!$D$7:$D$91,0),MATCH(Calculation!$G939,'Gen. Plant Additions'!$F$5:$AE$5,0))</f>
        <v>1022</v>
      </c>
      <c r="BU939" s="118"/>
      <c r="BV939" s="118"/>
      <c r="BW939" s="118">
        <f>INDEX('Dist Plant Depreciation'!$E$7:$AD$94,MATCH($C939,'Dist Plant Depreciation'!$D$7:$D$94,0),MATCH(Calculation!$G939,'Dist Plant Depreciation'!$E$5:$AD$5,0))</f>
        <v>1931747</v>
      </c>
      <c r="BX939" s="118">
        <f>INDEX('Gen. Plant Depreciation'!$E$7:$AD$94,MATCH($C939,'Gen. Plant Depreciation'!$D$7:$D$94,0),MATCH(Calculation!$G939,'Gen. Plant Depreciation'!$E$5:$AD$5,0))</f>
        <v>53154</v>
      </c>
      <c r="BY939" s="118"/>
      <c r="BZ939" s="118"/>
      <c r="CA939" s="118"/>
      <c r="CB939" s="118"/>
      <c r="CC939" s="118"/>
      <c r="CD939" s="183"/>
      <c r="CE939" s="118">
        <f>INDEX('Gross Dx Plant'!$E$7:$AD$91,MATCH($C939,'Gross Dx Plant'!$D$7:$D$91,0),MATCH(Calculation!$G939,'Gross Dx Plant'!$E$5:$AD$5,0))</f>
        <v>5237998</v>
      </c>
      <c r="CF939" s="118">
        <f>INDEX('Gross Gen Plant'!$E$7:$AD$91,MATCH($C939,'Gross Gen Plant'!$D$7:$D$91,0),MATCH(Calculation!$G939,'Gross Gen Plant'!$E$5:$AD$5,0))</f>
        <v>95892</v>
      </c>
      <c r="CG939" s="118">
        <f t="shared" si="2598"/>
        <v>3348989</v>
      </c>
      <c r="CH939" s="118"/>
      <c r="CI939" s="121">
        <v>2013</v>
      </c>
      <c r="CJ939" s="118"/>
      <c r="CK939" s="118"/>
      <c r="CL939" s="118"/>
      <c r="CM939" s="183"/>
      <c r="CN939" s="118">
        <f t="shared" si="2748"/>
        <v>144773</v>
      </c>
      <c r="CO939" s="118">
        <f t="shared" si="2749"/>
        <v>218.27870041154986</v>
      </c>
      <c r="CP939" s="186">
        <v>0.90566037735849059</v>
      </c>
      <c r="CQ939" s="118">
        <f>+CQ924*CP939+CO925*CP938+CO926*CP937+CO927*CP936+CO928*CP935+CO929*CP934+CO930*CP933+CO931*CP932+CO932*CP931+CO933*CP930+CO934*CP929+CO935*CP928+CO936*CP927+CO937*CP926+CO938*CP925+CO939</f>
        <v>12791.637080546625</v>
      </c>
      <c r="CR939" s="119">
        <f t="shared" si="2750"/>
        <v>9.4948852919332621E-3</v>
      </c>
      <c r="CS939" s="119"/>
      <c r="CT939" s="177">
        <f t="shared" si="2751"/>
        <v>7.6868616711965477E-3</v>
      </c>
      <c r="CU939" s="177">
        <f t="shared" si="2759"/>
        <v>7.4347619341817639E-3</v>
      </c>
      <c r="CV939" s="119">
        <f>VLOOKUP($H939,RoR!$E:$F,2,FALSE)</f>
        <v>4.2350000000000006E-2</v>
      </c>
      <c r="CW939" s="177">
        <v>1.7730000000000024E-2</v>
      </c>
      <c r="CX939" s="177">
        <f t="shared" si="2757"/>
        <v>2.4619999999999982E-2</v>
      </c>
      <c r="CY939" s="177">
        <f t="shared" si="2760"/>
        <v>2.346717967435186E-2</v>
      </c>
      <c r="CZ939" s="177">
        <f t="shared" si="2761"/>
        <v>5.3376742735721204E-2</v>
      </c>
      <c r="DA939" s="187">
        <f t="shared" si="2752"/>
        <v>0.84681249999999997</v>
      </c>
      <c r="DB939" s="188">
        <f t="shared" si="2753"/>
        <v>1.2109103018193925</v>
      </c>
      <c r="DC939" s="188">
        <f t="shared" si="2754"/>
        <v>0.38468122786304604</v>
      </c>
      <c r="DD939" s="188">
        <f t="shared" si="2755"/>
        <v>0.80969194503422559</v>
      </c>
      <c r="DE939" s="188">
        <f t="shared" si="2756"/>
        <v>0.37716621754800816</v>
      </c>
      <c r="DF939" s="189">
        <f>INDEX('State Tax Lookup'!$D$7:$Z$91,MATCH(Calculation!$C939,'State Tax Lookup'!$B$7:$B$91,0),MATCH($H939,'State Tax Lookup'!$D$6:$Z$6,0))</f>
        <v>0.40849999999999997</v>
      </c>
      <c r="DG939" s="189">
        <v>0.375</v>
      </c>
      <c r="DH939" s="190">
        <f t="shared" si="2758"/>
        <v>22.206376867339372</v>
      </c>
      <c r="DI939" s="190">
        <v>21.854805580840615</v>
      </c>
      <c r="DJ939" s="177"/>
      <c r="DK939" s="189">
        <f>VLOOKUP($H939,RoR!$E:$F,2,FALSE)</f>
        <v>4.2350000000000006E-2</v>
      </c>
      <c r="DL939" s="191">
        <f>HLOOKUP($H939,'GDP-PI'!$D$8:$CQ$11,3,FALSE)</f>
        <v>1.7730000000000024E-2</v>
      </c>
      <c r="DM939" s="189">
        <f>VLOOKUP(H939,'HW Dx Data'!$E:$F,2,FALSE)</f>
        <v>663.24840548821396</v>
      </c>
      <c r="DN939" s="183">
        <f>VLOOKUP(H939,'ECI - Input Price'!$G$17:$H$37,2,FALSE)</f>
        <v>118.72499999999999</v>
      </c>
      <c r="DO939" s="177">
        <f t="shared" ref="DO939" si="2800">LN(DN939/DN938)</f>
        <v>1.8918621429430321E-2</v>
      </c>
      <c r="DP939" s="183">
        <f>HLOOKUP(H939,'GDP-PI'!$8:$9,2,FALSE)</f>
        <v>101.773</v>
      </c>
      <c r="DQ939" s="177">
        <f t="shared" ref="DQ939" si="2801">LN(DP939/DP938)</f>
        <v>1.7574657016510519E-2</v>
      </c>
    </row>
    <row r="940" spans="1:121" s="167" customFormat="1" ht="21" x14ac:dyDescent="0.35">
      <c r="A940" s="167" t="s">
        <v>95</v>
      </c>
      <c r="B940" s="167" t="s">
        <v>95</v>
      </c>
      <c r="C940" s="167">
        <v>4057095</v>
      </c>
      <c r="D940" s="168" t="s">
        <v>145</v>
      </c>
      <c r="E940" s="168" t="s">
        <v>126</v>
      </c>
      <c r="F940" s="198"/>
      <c r="G940" s="167" t="s">
        <v>20</v>
      </c>
      <c r="H940" s="169">
        <v>2014</v>
      </c>
      <c r="I940" s="170"/>
      <c r="J940" s="166">
        <f>IFERROR(INDEX('Labor Expenditures'!$F$7:$X$91,MATCH($C940,'Labor Expenditures'!$D$7:$D$91,0),MATCH($G940,'Labor Expenditures'!$F$5:$X$5,0)),"NA")</f>
        <v>105362.98046965661</v>
      </c>
      <c r="K940" s="166">
        <f t="shared" si="2764"/>
        <v>869.33152202686972</v>
      </c>
      <c r="L940" s="172">
        <f t="shared" si="2771"/>
        <v>-0.17695673236475645</v>
      </c>
      <c r="M940" s="172">
        <f t="shared" si="2775"/>
        <v>-8.5225219420835188E-3</v>
      </c>
      <c r="N940" s="196"/>
      <c r="O940" s="172"/>
      <c r="P940" s="166">
        <f>IFERROR(INDEX('Non-Labor Expenditures'!$F$7:$AB$91,MATCH($C940,'Non-Labor Expenditures'!$D$7:$D$91,0),MATCH($G940,'Non-Labor Expenditures'!$F$5:$AB$5,0)),"NA")</f>
        <v>152585.27481029072</v>
      </c>
      <c r="Q940" s="166">
        <f t="shared" si="2765"/>
        <v>1472.1629647774728</v>
      </c>
      <c r="R940" s="172">
        <f t="shared" si="2776"/>
        <v>-0.17457060506298408</v>
      </c>
      <c r="S940" s="172">
        <f t="shared" si="2781"/>
        <v>-8.4076021986287074E-3</v>
      </c>
      <c r="T940" s="172"/>
      <c r="U940" s="172"/>
      <c r="V940" s="166">
        <f t="shared" si="2746"/>
        <v>290121.54672626901</v>
      </c>
      <c r="W940" s="170"/>
      <c r="X940" s="174">
        <v>13106.329002901763</v>
      </c>
      <c r="Y940" s="175">
        <v>2.4303639214747937E-2</v>
      </c>
      <c r="Z940" s="175">
        <f t="shared" si="2782"/>
        <v>1.170502504833907E-3</v>
      </c>
      <c r="AA940" s="175"/>
      <c r="AB940" s="175"/>
      <c r="AC940" s="170">
        <f t="shared" si="2659"/>
        <v>548069.80200621637</v>
      </c>
      <c r="AD940" s="175">
        <f t="shared" si="2777"/>
        <v>-6.1726462380891654E-2</v>
      </c>
      <c r="AE940" s="170"/>
      <c r="AF940" s="170"/>
      <c r="AG940" s="121">
        <f t="shared" si="2778"/>
        <v>304.83920778943877</v>
      </c>
      <c r="AH940" s="119">
        <f>+AZ940/$BB$52</f>
        <v>4.9072244913410203E-2</v>
      </c>
      <c r="AI940" s="119">
        <f>+AZ940/$BC$52</f>
        <v>0.20906388717630761</v>
      </c>
      <c r="AJ940" s="176">
        <f t="shared" si="2783"/>
        <v>14.959144263853283</v>
      </c>
      <c r="AK940" s="176">
        <f t="shared" si="2784"/>
        <v>63.730869744206217</v>
      </c>
      <c r="AL940" s="120">
        <f t="shared" si="2766"/>
        <v>0.19224372531377226</v>
      </c>
      <c r="AM940" s="120">
        <f t="shared" si="2767"/>
        <v>0.27840482042935116</v>
      </c>
      <c r="AN940" s="120">
        <f t="shared" si="2768"/>
        <v>0.52935145425687646</v>
      </c>
      <c r="AO940" s="120">
        <f t="shared" si="2772"/>
        <v>-7.4421057397765139E-2</v>
      </c>
      <c r="AP940" s="173">
        <f t="shared" si="2788"/>
        <v>93.703451278555249</v>
      </c>
      <c r="AQ940" s="175">
        <f t="shared" si="2789"/>
        <v>-7.4421057397765153E-2</v>
      </c>
      <c r="AR940" s="177">
        <f>+AC940/$AE$52</f>
        <v>4.8161614583367526E-2</v>
      </c>
      <c r="AS940" s="177">
        <f t="shared" si="2785"/>
        <v>-3.5842382832778378E-3</v>
      </c>
      <c r="AT940" s="177"/>
      <c r="AU940" s="177"/>
      <c r="AV940" s="177"/>
      <c r="AW940" s="190"/>
      <c r="AX940" s="120"/>
      <c r="AY940" s="120"/>
      <c r="AZ940" s="118">
        <f>IFERROR(INDEX('Total Customers'!$F$7:$AB$91,MATCH($C940,'Total Customers'!$D$7:$D$91,0),MATCH($G940,'Total Customers'!$F$5:$AB$5,0)),"NA")</f>
        <v>1797898</v>
      </c>
      <c r="BA940" s="119">
        <f t="shared" si="2747"/>
        <v>4.284156146678578E-3</v>
      </c>
      <c r="BB940" s="119"/>
      <c r="BC940" s="121">
        <v>8599754</v>
      </c>
      <c r="BD940" s="119"/>
      <c r="BE940" s="119"/>
      <c r="BF940" s="119"/>
      <c r="BG940" s="173"/>
      <c r="BH940" s="173"/>
      <c r="BI940" s="173"/>
      <c r="BJ940" s="173"/>
      <c r="BK940" s="173"/>
      <c r="BL940" s="173"/>
      <c r="BM940" s="173"/>
      <c r="BN940" s="173"/>
      <c r="BO940" s="173"/>
      <c r="BP940" s="173"/>
      <c r="BQ940" s="118"/>
      <c r="BR940" s="118"/>
      <c r="BS940" s="118">
        <f>INDEX('Dist. Plant Gas Additions'!$F$7:$AE$91,MATCH($C940,'Dist. Plant Gas Additions'!$D$7:$D$91,0),MATCH(Calculation!$G940,'Dist. Plant Gas Additions'!$F$5:$AE$5,0))</f>
        <v>277317</v>
      </c>
      <c r="BT940" s="118">
        <f>INDEX('Gen. Plant Additions'!$F$7:$AE$91,MATCH($C940,'Gen. Plant Additions'!$D$7:$D$91,0),MATCH(Calculation!$G940,'Gen. Plant Additions'!$F$5:$AE$5,0))</f>
        <v>7947</v>
      </c>
      <c r="BU940" s="118"/>
      <c r="BV940" s="118"/>
      <c r="BW940" s="118">
        <f>INDEX('Dist Plant Depreciation'!$E$7:$AD$94,MATCH($C940,'Dist Plant Depreciation'!$D$7:$D$94,0),MATCH(Calculation!$G940,'Dist Plant Depreciation'!$E$5:$AD$5,0))</f>
        <v>1984623</v>
      </c>
      <c r="BX940" s="118">
        <f>INDEX('Gen. Plant Depreciation'!$E$7:$AD$94,MATCH($C940,'Gen. Plant Depreciation'!$D$7:$D$94,0),MATCH(Calculation!$G940,'Gen. Plant Depreciation'!$E$5:$AD$5,0))</f>
        <v>46682</v>
      </c>
      <c r="BY940" s="118"/>
      <c r="BZ940" s="118"/>
      <c r="CA940" s="118"/>
      <c r="CB940" s="118"/>
      <c r="CC940" s="118"/>
      <c r="CD940" s="183"/>
      <c r="CE940" s="118">
        <f>INDEX('Gross Dx Plant'!$E$7:$AD$91,MATCH($C940,'Gross Dx Plant'!$D$7:$D$91,0),MATCH(Calculation!$G940,'Gross Dx Plant'!$E$5:$AD$5,0))</f>
        <v>5488872</v>
      </c>
      <c r="CF940" s="118">
        <f>INDEX('Gross Gen Plant'!$E$7:$AD$91,MATCH($C940,'Gross Gen Plant'!$D$7:$D$91,0),MATCH(Calculation!$G940,'Gross Gen Plant'!$E$5:$AD$5,0))</f>
        <v>92993</v>
      </c>
      <c r="CG940" s="118">
        <f t="shared" si="2598"/>
        <v>3550560</v>
      </c>
      <c r="CH940" s="118"/>
      <c r="CI940" s="121">
        <v>2014</v>
      </c>
      <c r="CJ940" s="118"/>
      <c r="CK940" s="118"/>
      <c r="CL940" s="118"/>
      <c r="CM940" s="183"/>
      <c r="CN940" s="118">
        <f t="shared" si="2748"/>
        <v>285264</v>
      </c>
      <c r="CO940" s="118">
        <f t="shared" si="2749"/>
        <v>416.76677901363962</v>
      </c>
      <c r="CP940" s="186">
        <v>0.89743589743589747</v>
      </c>
      <c r="CQ940" s="118">
        <f>+CQ924*CP940+CO925*CP939+CO926*CP938+CO927*CP937+CO928*CP936+CO929*CP935+CO930*CP934+CO931*CP933+CO932*CP932+CO933*CP931+CO934*CP930+CO935*CP929+CO936*CP928+CO937*CP927+CO938*CP926+CO939*CP925+CO940</f>
        <v>13106.329002901763</v>
      </c>
      <c r="CR940" s="119">
        <f t="shared" si="2750"/>
        <v>2.4303639214747937E-2</v>
      </c>
      <c r="CS940" s="119"/>
      <c r="CT940" s="177">
        <f t="shared" si="2751"/>
        <v>7.9798118110883751E-3</v>
      </c>
      <c r="CU940" s="177">
        <f t="shared" si="2759"/>
        <v>7.699308944480926E-3</v>
      </c>
      <c r="CV940" s="119">
        <f>VLOOKUP($H940,RoR!$E:$F,2,FALSE)</f>
        <v>4.1625000000000002E-2</v>
      </c>
      <c r="CW940" s="177">
        <v>1.841352814597208E-2</v>
      </c>
      <c r="CX940" s="177">
        <f t="shared" si="2757"/>
        <v>2.3211471854027922E-2</v>
      </c>
      <c r="CY940" s="177">
        <f t="shared" si="2760"/>
        <v>2.3202632664052699E-2</v>
      </c>
      <c r="CZ940" s="177">
        <f t="shared" si="2761"/>
        <v>3.9072621432650924E-2</v>
      </c>
      <c r="DA940" s="187">
        <f t="shared" si="2752"/>
        <v>0.84681249999999997</v>
      </c>
      <c r="DB940" s="188">
        <f t="shared" si="2753"/>
        <v>1.2320012320012319</v>
      </c>
      <c r="DC940" s="188">
        <f t="shared" si="2754"/>
        <v>0.37439939939939942</v>
      </c>
      <c r="DD940" s="188">
        <f t="shared" si="2755"/>
        <v>0.80432100613819935</v>
      </c>
      <c r="DE940" s="188">
        <f t="shared" si="2756"/>
        <v>0.37100152660040037</v>
      </c>
      <c r="DF940" s="189">
        <f>INDEX('State Tax Lookup'!$D$7:$Z$91,MATCH(Calculation!$C940,'State Tax Lookup'!$B$7:$B$91,0),MATCH($H940,'State Tax Lookup'!$D$6:$Z$6,0))</f>
        <v>0.40849999999999997</v>
      </c>
      <c r="DG940" s="189">
        <v>0.375</v>
      </c>
      <c r="DH940" s="190">
        <f t="shared" si="2758"/>
        <v>22.680564254553666</v>
      </c>
      <c r="DI940" s="190">
        <v>22.278845591042689</v>
      </c>
      <c r="DJ940" s="177"/>
      <c r="DK940" s="189">
        <f>VLOOKUP($H940,RoR!$E:$F,2,FALSE)</f>
        <v>4.1625000000000002E-2</v>
      </c>
      <c r="DL940" s="191">
        <f>HLOOKUP($H940,'GDP-PI'!$D$8:$CQ$11,3,FALSE)</f>
        <v>1.841352814597208E-2</v>
      </c>
      <c r="DM940" s="189">
        <f>VLOOKUP(H940,'HW Dx Data'!$E:$F,2,FALSE)</f>
        <v>684.46914285042885</v>
      </c>
      <c r="DN940" s="183">
        <f>VLOOKUP(H940,'ECI - Input Price'!$G$17:$H$37,2,FALSE)</f>
        <v>121.2</v>
      </c>
      <c r="DO940" s="177">
        <f t="shared" ref="DO940" si="2802">LN(DN940/DN939)</f>
        <v>2.0632179200028689E-2</v>
      </c>
      <c r="DP940" s="183">
        <f>HLOOKUP(H940,'GDP-PI'!$8:$9,2,FALSE)</f>
        <v>103.64700000000001</v>
      </c>
      <c r="DQ940" s="177">
        <f t="shared" ref="DQ940" si="2803">LN(DP940/DP939)</f>
        <v>1.8246051898256087E-2</v>
      </c>
    </row>
    <row r="941" spans="1:121" s="167" customFormat="1" ht="21" x14ac:dyDescent="0.35">
      <c r="A941" s="167" t="s">
        <v>95</v>
      </c>
      <c r="B941" s="167" t="s">
        <v>95</v>
      </c>
      <c r="C941" s="167">
        <v>4057095</v>
      </c>
      <c r="D941" s="168" t="s">
        <v>145</v>
      </c>
      <c r="E941" s="168" t="s">
        <v>126</v>
      </c>
      <c r="F941" s="198"/>
      <c r="G941" s="167" t="s">
        <v>21</v>
      </c>
      <c r="H941" s="169">
        <v>2015</v>
      </c>
      <c r="I941" s="170"/>
      <c r="J941" s="166">
        <f>IFERROR(INDEX('Labor Expenditures'!$F$7:$X$91,MATCH($C941,'Labor Expenditures'!$D$7:$D$91,0),MATCH($G941,'Labor Expenditures'!$F$5:$X$5,0)),"NA")</f>
        <v>107183.36932932511</v>
      </c>
      <c r="K941" s="166">
        <f t="shared" si="2764"/>
        <v>866.12823700464742</v>
      </c>
      <c r="L941" s="172">
        <f t="shared" si="2771"/>
        <v>-3.6915735364524867E-3</v>
      </c>
      <c r="M941" s="172">
        <f t="shared" si="2775"/>
        <v>-1.7761874804580406E-4</v>
      </c>
      <c r="N941" s="196"/>
      <c r="O941" s="172"/>
      <c r="P941" s="166">
        <f>IFERROR(INDEX('Non-Labor Expenditures'!$F$7:$AB$91,MATCH($C941,'Non-Labor Expenditures'!$D$7:$D$91,0),MATCH($G941,'Non-Labor Expenditures'!$F$5:$AB$5,0)),"NA")</f>
        <v>155221.53788083006</v>
      </c>
      <c r="Q941" s="166">
        <f t="shared" si="2765"/>
        <v>1483.4004327337805</v>
      </c>
      <c r="R941" s="172">
        <f t="shared" si="2776"/>
        <v>7.6043180916904474E-3</v>
      </c>
      <c r="S941" s="172">
        <f t="shared" si="2781"/>
        <v>3.6587906101582791E-4</v>
      </c>
      <c r="T941" s="172"/>
      <c r="U941" s="172"/>
      <c r="V941" s="166">
        <f t="shared" si="2746"/>
        <v>290660.33039760852</v>
      </c>
      <c r="W941" s="170"/>
      <c r="X941" s="174">
        <v>13639.377709073071</v>
      </c>
      <c r="Y941" s="175">
        <v>3.9865785342715551E-2</v>
      </c>
      <c r="Z941" s="175">
        <f t="shared" si="2782"/>
        <v>1.9181280861712122E-3</v>
      </c>
      <c r="AA941" s="175"/>
      <c r="AB941" s="175"/>
      <c r="AC941" s="170">
        <f t="shared" si="2659"/>
        <v>553065.23760776361</v>
      </c>
      <c r="AD941" s="175">
        <f t="shared" si="2777"/>
        <v>9.0733101618550131E-3</v>
      </c>
      <c r="AE941" s="170"/>
      <c r="AF941" s="170"/>
      <c r="AG941" s="121">
        <f t="shared" si="2778"/>
        <v>306.0732815751029</v>
      </c>
      <c r="AH941" s="119">
        <f>+AZ941/$BB$53</f>
        <v>4.8919964673996938E-2</v>
      </c>
      <c r="AI941" s="119">
        <f>+AZ941/$BC$53</f>
        <v>0.20867851415197569</v>
      </c>
      <c r="AJ941" s="176">
        <f t="shared" si="2783"/>
        <v>14.973094122308352</v>
      </c>
      <c r="AK941" s="176">
        <f t="shared" si="2784"/>
        <v>63.870917620711751</v>
      </c>
      <c r="AL941" s="120">
        <f t="shared" si="2766"/>
        <v>0.19379878184522609</v>
      </c>
      <c r="AM941" s="120">
        <f t="shared" si="2767"/>
        <v>0.28065683273139269</v>
      </c>
      <c r="AN941" s="120">
        <f t="shared" si="2768"/>
        <v>0.52554438542338133</v>
      </c>
      <c r="AO941" s="120">
        <f t="shared" si="2772"/>
        <v>2.2440214721871764E-2</v>
      </c>
      <c r="AP941" s="173">
        <f t="shared" si="2788"/>
        <v>95.829947122418631</v>
      </c>
      <c r="AQ941" s="175">
        <f t="shared" si="2789"/>
        <v>2.2440214721871816E-2</v>
      </c>
      <c r="AR941" s="177">
        <f>+AC941/$AE$53</f>
        <v>4.811464441705024E-2</v>
      </c>
      <c r="AS941" s="177">
        <f t="shared" si="2785"/>
        <v>1.0797029519851184E-3</v>
      </c>
      <c r="AT941" s="177"/>
      <c r="AU941" s="177"/>
      <c r="AV941" s="177"/>
      <c r="AW941" s="190"/>
      <c r="AX941" s="120"/>
      <c r="AY941" s="120"/>
      <c r="AZ941" s="118">
        <f>IFERROR(INDEX('Total Customers'!$F$7:$AB$91,MATCH($C941,'Total Customers'!$D$7:$D$91,0),MATCH($G941,'Total Customers'!$F$5:$AB$5,0)),"NA")</f>
        <v>1806970</v>
      </c>
      <c r="BA941" s="119">
        <f t="shared" si="2747"/>
        <v>5.0332046287700476E-3</v>
      </c>
      <c r="BB941" s="119"/>
      <c r="BC941" s="121">
        <v>8659109</v>
      </c>
      <c r="BD941" s="119"/>
      <c r="BE941" s="119"/>
      <c r="BF941" s="119"/>
      <c r="BG941" s="173"/>
      <c r="BH941" s="173"/>
      <c r="BI941" s="173"/>
      <c r="BJ941" s="173"/>
      <c r="BK941" s="173"/>
      <c r="BL941" s="173"/>
      <c r="BM941" s="173"/>
      <c r="BN941" s="173"/>
      <c r="BO941" s="173"/>
      <c r="BP941" s="173"/>
      <c r="BQ941" s="118"/>
      <c r="BR941" s="118"/>
      <c r="BS941" s="118">
        <f>INDEX('Dist. Plant Gas Additions'!$F$7:$AE$91,MATCH($C941,'Dist. Plant Gas Additions'!$D$7:$D$91,0),MATCH(Calculation!$G941,'Dist. Plant Gas Additions'!$F$5:$AE$5,0))</f>
        <v>437196</v>
      </c>
      <c r="BT941" s="118">
        <f>INDEX('Gen. Plant Additions'!$F$7:$AE$91,MATCH($C941,'Gen. Plant Additions'!$D$7:$D$91,0),MATCH(Calculation!$G941,'Gen. Plant Additions'!$F$5:$AE$5,0))</f>
        <v>-4111</v>
      </c>
      <c r="BU941" s="118"/>
      <c r="BV941" s="118"/>
      <c r="BW941" s="118">
        <f>INDEX('Dist Plant Depreciation'!$E$7:$AD$94,MATCH($C941,'Dist Plant Depreciation'!$D$7:$D$94,0),MATCH(Calculation!$G941,'Dist Plant Depreciation'!$E$5:$AD$5,0))</f>
        <v>2043957</v>
      </c>
      <c r="BX941" s="118">
        <f>INDEX('Gen. Plant Depreciation'!$E$7:$AD$94,MATCH($C941,'Gen. Plant Depreciation'!$D$7:$D$94,0),MATCH(Calculation!$G941,'Gen. Plant Depreciation'!$E$5:$AD$5,0))</f>
        <v>46882</v>
      </c>
      <c r="BY941" s="118"/>
      <c r="BZ941" s="118"/>
      <c r="CA941" s="118"/>
      <c r="CB941" s="118"/>
      <c r="CC941" s="118"/>
      <c r="CD941" s="183"/>
      <c r="CE941" s="118">
        <f>INDEX('Gross Dx Plant'!$E$7:$AD$91,MATCH($C941,'Gross Dx Plant'!$D$7:$D$91,0),MATCH(Calculation!$G941,'Gross Dx Plant'!$E$5:$AD$5,0))</f>
        <v>5878921</v>
      </c>
      <c r="CF941" s="118">
        <f>INDEX('Gross Gen Plant'!$E$7:$AD$91,MATCH($C941,'Gross Gen Plant'!$D$7:$D$91,0),MATCH(Calculation!$G941,'Gross Gen Plant'!$E$5:$AD$5,0))</f>
        <v>82569</v>
      </c>
      <c r="CG941" s="118">
        <f t="shared" si="2598"/>
        <v>3870651</v>
      </c>
      <c r="CH941" s="118"/>
      <c r="CI941" s="121">
        <v>2015</v>
      </c>
      <c r="CJ941" s="118"/>
      <c r="CK941" s="118"/>
      <c r="CL941" s="118"/>
      <c r="CM941" s="183"/>
      <c r="CN941" s="118">
        <f t="shared" si="2748"/>
        <v>433085</v>
      </c>
      <c r="CO941" s="118">
        <f t="shared" si="2749"/>
        <v>641.02371202556571</v>
      </c>
      <c r="CP941" s="186">
        <v>0.88888888888888884</v>
      </c>
      <c r="CQ941" s="118">
        <f>+CQ924*CP941+CO925*CP940+CO926*CP939+CO927*CP938+CO928*CP937+CO929*CP936+CO930*CP935+CO931*CP934+CO932*CP933+CO933*CP932+CO934*CP931+CO935*CP930+CO936*CP929+CO937*CP928+CO938*CP927+CO939*CP926+CO940*CP925+CO941</f>
        <v>13639.377709073071</v>
      </c>
      <c r="CR941" s="119">
        <f t="shared" si="2750"/>
        <v>3.9865785342715551E-2</v>
      </c>
      <c r="CS941" s="119"/>
      <c r="CT941" s="177">
        <f t="shared" si="2751"/>
        <v>8.2383866474244234E-3</v>
      </c>
      <c r="CU941" s="177">
        <f t="shared" si="2759"/>
        <v>7.9683533765697815E-3</v>
      </c>
      <c r="CV941" s="119">
        <f>VLOOKUP($H941,RoR!$E:$F,2,FALSE)</f>
        <v>3.8866666666666674E-2</v>
      </c>
      <c r="CW941" s="177">
        <v>9.5709475431029478E-3</v>
      </c>
      <c r="CX941" s="177">
        <f t="shared" si="2757"/>
        <v>2.9295719123563727E-2</v>
      </c>
      <c r="CY941" s="177">
        <f t="shared" si="2760"/>
        <v>2.2933588231963842E-2</v>
      </c>
      <c r="CZ941" s="177">
        <f t="shared" si="2761"/>
        <v>3.5270373279175926E-3</v>
      </c>
      <c r="DA941" s="187">
        <f t="shared" si="2752"/>
        <v>0.84681249999999997</v>
      </c>
      <c r="DB941" s="188">
        <f t="shared" si="2753"/>
        <v>1.3194352816994324</v>
      </c>
      <c r="DC941" s="188">
        <f t="shared" si="2754"/>
        <v>0.33177530017152673</v>
      </c>
      <c r="DD941" s="188">
        <f t="shared" si="2755"/>
        <v>0.78242572977668579</v>
      </c>
      <c r="DE941" s="188">
        <f t="shared" si="2756"/>
        <v>0.34251158643433932</v>
      </c>
      <c r="DF941" s="189">
        <f>INDEX('State Tax Lookup'!$D$7:$Z$91,MATCH(Calculation!$C941,'State Tax Lookup'!$B$7:$B$91,0),MATCH($H941,'State Tax Lookup'!$D$6:$Z$6,0))</f>
        <v>0.40849999999999997</v>
      </c>
      <c r="DG941" s="189">
        <v>0.375</v>
      </c>
      <c r="DH941" s="190">
        <f t="shared" si="2758"/>
        <v>22.177097059997184</v>
      </c>
      <c r="DI941" s="190">
        <v>21.764004887744807</v>
      </c>
      <c r="DJ941" s="177"/>
      <c r="DK941" s="189">
        <f>VLOOKUP($H941,RoR!$E:$F,2,FALSE)</f>
        <v>3.8866666666666674E-2</v>
      </c>
      <c r="DL941" s="191">
        <f>HLOOKUP($H941,'GDP-PI'!$D$8:$CQ$11,3,FALSE)</f>
        <v>9.5709475431029478E-3</v>
      </c>
      <c r="DM941" s="189">
        <f>VLOOKUP(H941,'HW Dx Data'!$E:$F,2,FALSE)</f>
        <v>675.61463308665782</v>
      </c>
      <c r="DN941" s="183">
        <f>VLOOKUP(H941,'ECI - Input Price'!$G$17:$H$37,2,FALSE)</f>
        <v>123.75</v>
      </c>
      <c r="DO941" s="177">
        <f t="shared" ref="DO941" si="2804">LN(DN941/DN940)</f>
        <v>2.0821327813585516E-2</v>
      </c>
      <c r="DP941" s="183">
        <f>HLOOKUP(H941,'GDP-PI'!$8:$9,2,FALSE)</f>
        <v>104.639</v>
      </c>
      <c r="DQ941" s="177">
        <f t="shared" ref="DQ941" si="2805">LN(DP941/DP940)</f>
        <v>9.5254361854427965E-3</v>
      </c>
    </row>
    <row r="942" spans="1:121" s="167" customFormat="1" ht="21" x14ac:dyDescent="0.35">
      <c r="A942" s="167" t="s">
        <v>95</v>
      </c>
      <c r="B942" s="167" t="s">
        <v>95</v>
      </c>
      <c r="C942" s="167">
        <v>4057095</v>
      </c>
      <c r="D942" s="168" t="s">
        <v>145</v>
      </c>
      <c r="E942" s="168" t="s">
        <v>126</v>
      </c>
      <c r="F942" s="198"/>
      <c r="G942" s="167" t="s">
        <v>22</v>
      </c>
      <c r="H942" s="169">
        <v>2016</v>
      </c>
      <c r="I942" s="170"/>
      <c r="J942" s="166">
        <f>IFERROR(INDEX('Labor Expenditures'!$F$7:$X$91,MATCH($C942,'Labor Expenditures'!$D$7:$D$91,0),MATCH($G942,'Labor Expenditures'!$F$5:$X$5,0)),"NA")</f>
        <v>110569.86613627597</v>
      </c>
      <c r="K942" s="166">
        <f t="shared" si="2764"/>
        <v>874.76159917939844</v>
      </c>
      <c r="L942" s="172">
        <f t="shared" si="2771"/>
        <v>9.9184138717187675E-3</v>
      </c>
      <c r="M942" s="172">
        <f t="shared" si="2775"/>
        <v>4.7346595458378567E-4</v>
      </c>
      <c r="N942" s="196"/>
      <c r="O942" s="172"/>
      <c r="P942" s="166">
        <f>IFERROR(INDEX('Non-Labor Expenditures'!$F$7:$AB$91,MATCH($C942,'Non-Labor Expenditures'!$D$7:$D$91,0),MATCH($G942,'Non-Labor Expenditures'!$F$5:$AB$5,0)),"NA")</f>
        <v>160125.81776765024</v>
      </c>
      <c r="Q942" s="166">
        <f t="shared" si="2765"/>
        <v>1514.3926171564106</v>
      </c>
      <c r="R942" s="172">
        <f t="shared" si="2776"/>
        <v>2.0677403768470978E-2</v>
      </c>
      <c r="S942" s="172">
        <f t="shared" si="2781"/>
        <v>9.8705769291082784E-4</v>
      </c>
      <c r="T942" s="172"/>
      <c r="U942" s="172"/>
      <c r="V942" s="166">
        <f t="shared" si="2746"/>
        <v>297262.46096631396</v>
      </c>
      <c r="W942" s="170"/>
      <c r="X942" s="174">
        <v>14377.974346057445</v>
      </c>
      <c r="Y942" s="175">
        <v>5.2736447437758613E-2</v>
      </c>
      <c r="Z942" s="175">
        <f t="shared" si="2782"/>
        <v>2.5174299792703795E-3</v>
      </c>
      <c r="AA942" s="175"/>
      <c r="AB942" s="175"/>
      <c r="AC942" s="170">
        <f t="shared" si="2659"/>
        <v>567958.14487024024</v>
      </c>
      <c r="AD942" s="175">
        <f t="shared" si="2777"/>
        <v>2.6571762475281487E-2</v>
      </c>
      <c r="AE942" s="170"/>
      <c r="AF942" s="170"/>
      <c r="AG942" s="121">
        <f t="shared" si="2778"/>
        <v>312.70906106603121</v>
      </c>
      <c r="AH942" s="119">
        <f>+AZ942/$BB$54</f>
        <v>4.8746378545298494E-2</v>
      </c>
      <c r="AI942" s="119">
        <f>+AZ942/$BC$54</f>
        <v>0.20735638986701685</v>
      </c>
      <c r="AJ942" s="176">
        <f t="shared" si="2783"/>
        <v>15.24343426526962</v>
      </c>
      <c r="AK942" s="176">
        <f t="shared" si="2784"/>
        <v>64.842221981356744</v>
      </c>
      <c r="AL942" s="120">
        <f t="shared" si="2766"/>
        <v>0.19467960295126599</v>
      </c>
      <c r="AM942" s="120">
        <f t="shared" si="2767"/>
        <v>0.28193242620762787</v>
      </c>
      <c r="AN942" s="120">
        <f t="shared" si="2768"/>
        <v>0.523387970841106</v>
      </c>
      <c r="AO942" s="120">
        <f t="shared" si="2772"/>
        <v>3.5401470367710929E-2</v>
      </c>
      <c r="AP942" s="173">
        <f t="shared" si="2788"/>
        <v>99.283233209258029</v>
      </c>
      <c r="AQ942" s="175">
        <f t="shared" si="2789"/>
        <v>3.5401470367710901E-2</v>
      </c>
      <c r="AR942" s="177">
        <f>+AC942/$AE$54</f>
        <v>4.7736055452759454E-2</v>
      </c>
      <c r="AS942" s="177">
        <f t="shared" si="2785"/>
        <v>1.6899265525822682E-3</v>
      </c>
      <c r="AT942" s="177"/>
      <c r="AU942" s="177"/>
      <c r="AV942" s="177"/>
      <c r="AW942" s="190"/>
      <c r="AX942" s="120"/>
      <c r="AY942" s="120"/>
      <c r="AZ942" s="118">
        <f>IFERROR(INDEX('Total Customers'!$F$7:$AB$91,MATCH($C942,'Total Customers'!$D$7:$D$91,0),MATCH($G942,'Total Customers'!$F$5:$AB$5,0)),"NA")</f>
        <v>1816251</v>
      </c>
      <c r="BA942" s="119">
        <f t="shared" si="2747"/>
        <v>5.1230771178585755E-3</v>
      </c>
      <c r="BB942" s="119"/>
      <c r="BC942" s="121">
        <v>8759079</v>
      </c>
      <c r="BD942" s="119"/>
      <c r="BE942" s="119"/>
      <c r="BF942" s="119"/>
      <c r="BG942" s="173"/>
      <c r="BH942" s="173"/>
      <c r="BI942" s="173"/>
      <c r="BJ942" s="173"/>
      <c r="BK942" s="173"/>
      <c r="BL942" s="173"/>
      <c r="BM942" s="173"/>
      <c r="BN942" s="173"/>
      <c r="BO942" s="173"/>
      <c r="BP942" s="173"/>
      <c r="BQ942" s="118"/>
      <c r="BR942" s="118"/>
      <c r="BS942" s="118">
        <f>INDEX('Dist. Plant Gas Additions'!$F$7:$AE$91,MATCH($C942,'Dist. Plant Gas Additions'!$D$7:$D$91,0),MATCH(Calculation!$G942,'Dist. Plant Gas Additions'!$F$5:$AE$5,0))</f>
        <v>566819</v>
      </c>
      <c r="BT942" s="118">
        <f>INDEX('Gen. Plant Additions'!$F$7:$AE$91,MATCH($C942,'Gen. Plant Additions'!$D$7:$D$91,0),MATCH(Calculation!$G942,'Gen. Plant Additions'!$F$5:$AE$5,0))</f>
        <v>6518</v>
      </c>
      <c r="BU942" s="118"/>
      <c r="BV942" s="118"/>
      <c r="BW942" s="118">
        <f>INDEX('Dist Plant Depreciation'!$E$7:$AD$94,MATCH($C942,'Dist Plant Depreciation'!$D$7:$D$94,0),MATCH(Calculation!$G942,'Dist Plant Depreciation'!$E$5:$AD$5,0))</f>
        <v>2065479</v>
      </c>
      <c r="BX942" s="118">
        <f>INDEX('Gen. Plant Depreciation'!$E$7:$AD$94,MATCH($C942,'Gen. Plant Depreciation'!$D$7:$D$94,0),MATCH(Calculation!$G942,'Gen. Plant Depreciation'!$E$5:$AD$5,0))</f>
        <v>48515</v>
      </c>
      <c r="BY942" s="118"/>
      <c r="BZ942" s="118"/>
      <c r="CA942" s="118"/>
      <c r="CB942" s="118"/>
      <c r="CC942" s="118"/>
      <c r="CD942" s="183"/>
      <c r="CE942" s="118">
        <f>INDEX('Gross Dx Plant'!$E$7:$AD$91,MATCH($C942,'Gross Dx Plant'!$D$7:$D$91,0),MATCH(Calculation!$G942,'Gross Dx Plant'!$E$5:$AD$5,0))</f>
        <v>6380422</v>
      </c>
      <c r="CF942" s="118">
        <f>INDEX('Gross Gen Plant'!$E$7:$AD$91,MATCH($C942,'Gross Gen Plant'!$D$7:$D$91,0),MATCH(Calculation!$G942,'Gross Gen Plant'!$E$5:$AD$5,0))</f>
        <v>94431</v>
      </c>
      <c r="CG942" s="118">
        <f t="shared" ref="CG942:CG1008" si="2806">IF(OR(BW942="NA",BX942="NA"),"NA",(SUM(CE942:CF942)-SUM(BW942:BX942)))</f>
        <v>4360859</v>
      </c>
      <c r="CH942" s="118"/>
      <c r="CI942" s="121">
        <v>2016</v>
      </c>
      <c r="CJ942" s="118"/>
      <c r="CK942" s="118"/>
      <c r="CL942" s="118"/>
      <c r="CM942" s="183"/>
      <c r="CN942" s="118">
        <f t="shared" si="2748"/>
        <v>573337</v>
      </c>
      <c r="CO942" s="118">
        <f t="shared" si="2749"/>
        <v>853.87078780247293</v>
      </c>
      <c r="CP942" s="186">
        <v>0.88</v>
      </c>
      <c r="CQ942" s="118">
        <f>+CQ924*CP942+CO925*CP941+CO926*CP940+CO927*CP939+CO928*CP938+CO929*CP937+CO930*CP936+CO931*CP935+CO932*CP934+CO933*CP933+CO934*CP932+CO935*CP931+CO936*CP930+CO937*CP929+CO938*CP928+CO939*CP927+CO940*CP926+CO941*CP925+CO942</f>
        <v>14377.974346057445</v>
      </c>
      <c r="CR942" s="119">
        <f t="shared" si="2750"/>
        <v>5.2736447437758613E-2</v>
      </c>
      <c r="CS942" s="119"/>
      <c r="CT942" s="177">
        <f t="shared" si="2751"/>
        <v>8.4515696593267312E-3</v>
      </c>
      <c r="CU942" s="177">
        <f t="shared" si="2759"/>
        <v>8.2232560392798432E-3</v>
      </c>
      <c r="CV942" s="119">
        <f>VLOOKUP($H942,RoR!$E:$F,2,FALSE)</f>
        <v>3.6658333333333334E-2</v>
      </c>
      <c r="CW942" s="177">
        <v>1.0483662879041455E-2</v>
      </c>
      <c r="CX942" s="177">
        <f t="shared" si="2757"/>
        <v>2.6174670454291879E-2</v>
      </c>
      <c r="CY942" s="177">
        <f t="shared" si="2760"/>
        <v>2.267868556925378E-2</v>
      </c>
      <c r="CZ942" s="177">
        <f t="shared" si="2761"/>
        <v>4.301363574220729E-3</v>
      </c>
      <c r="DA942" s="187">
        <f t="shared" si="2752"/>
        <v>0.84681249999999997</v>
      </c>
      <c r="DB942" s="188">
        <f t="shared" si="2753"/>
        <v>1.3989193348138562</v>
      </c>
      <c r="DC942" s="188">
        <f t="shared" si="2754"/>
        <v>0.29302682427824522</v>
      </c>
      <c r="DD942" s="188">
        <f t="shared" si="2755"/>
        <v>0.76309497491941802</v>
      </c>
      <c r="DE942" s="188">
        <f t="shared" si="2756"/>
        <v>0.31280857135128509</v>
      </c>
      <c r="DF942" s="189">
        <f>INDEX('State Tax Lookup'!$D$7:$Z$91,MATCH(Calculation!$C942,'State Tax Lookup'!$B$7:$B$91,0),MATCH($H942,'State Tax Lookup'!$D$6:$Z$6,0))</f>
        <v>0.40849999999999997</v>
      </c>
      <c r="DG942" s="189">
        <v>0.375</v>
      </c>
      <c r="DH942" s="190">
        <f t="shared" si="2758"/>
        <v>21.794429871134923</v>
      </c>
      <c r="DI942" s="190">
        <v>21.399683290714059</v>
      </c>
      <c r="DJ942" s="177"/>
      <c r="DK942" s="189">
        <f>VLOOKUP($H942,RoR!$E:$F,2,FALSE)</f>
        <v>3.6658333333333334E-2</v>
      </c>
      <c r="DL942" s="191">
        <f>HLOOKUP($H942,'GDP-PI'!$D$8:$CQ$11,3,FALSE)</f>
        <v>1.0483662879041455E-2</v>
      </c>
      <c r="DM942" s="189">
        <f>VLOOKUP(H942,'HW Dx Data'!$E:$F,2,FALSE)</f>
        <v>671.45639385971219</v>
      </c>
      <c r="DN942" s="183">
        <f>VLOOKUP(H942,'ECI - Input Price'!$G$17:$H$37,2,FALSE)</f>
        <v>126.4</v>
      </c>
      <c r="DO942" s="177">
        <f t="shared" ref="DO942" si="2807">LN(DN942/DN941)</f>
        <v>2.11880802639575E-2</v>
      </c>
      <c r="DP942" s="183">
        <f>HLOOKUP(H942,'GDP-PI'!$8:$9,2,FALSE)</f>
        <v>105.736</v>
      </c>
      <c r="DQ942" s="177">
        <f t="shared" ref="DQ942" si="2808">LN(DP942/DP941)</f>
        <v>1.0429090367205095E-2</v>
      </c>
    </row>
    <row r="943" spans="1:121" s="167" customFormat="1" ht="21" x14ac:dyDescent="0.35">
      <c r="A943" s="167" t="s">
        <v>95</v>
      </c>
      <c r="B943" s="167" t="s">
        <v>95</v>
      </c>
      <c r="C943" s="167">
        <v>4057095</v>
      </c>
      <c r="D943" s="168" t="s">
        <v>145</v>
      </c>
      <c r="E943" s="168" t="s">
        <v>126</v>
      </c>
      <c r="F943" s="198"/>
      <c r="G943" s="167" t="s">
        <v>23</v>
      </c>
      <c r="H943" s="169">
        <v>2017</v>
      </c>
      <c r="I943" s="170"/>
      <c r="J943" s="166">
        <f>IFERROR(INDEX('Labor Expenditures'!$F$7:$X$91,MATCH($C943,'Labor Expenditures'!$D$7:$D$91,0),MATCH($G943,'Labor Expenditures'!$F$5:$X$5,0)),"NA")</f>
        <v>110377.920821899</v>
      </c>
      <c r="K943" s="166">
        <f t="shared" si="2764"/>
        <v>852.33915692586095</v>
      </c>
      <c r="L943" s="172">
        <f t="shared" si="2771"/>
        <v>-2.5966872024381898E-2</v>
      </c>
      <c r="M943" s="172">
        <f t="shared" si="2775"/>
        <v>-1.2117908367483528E-3</v>
      </c>
      <c r="N943" s="196"/>
      <c r="O943" s="172"/>
      <c r="P943" s="166">
        <f>IFERROR(INDEX('Non-Labor Expenditures'!$F$7:$AB$91,MATCH($C943,'Non-Labor Expenditures'!$D$7:$D$91,0),MATCH($G943,'Non-Labor Expenditures'!$F$5:$AB$5,0)),"NA")</f>
        <v>159847.84510199286</v>
      </c>
      <c r="Q943" s="166">
        <f t="shared" si="2765"/>
        <v>1483.4929151654542</v>
      </c>
      <c r="R943" s="172">
        <f t="shared" si="2776"/>
        <v>-2.0615060825291614E-2</v>
      </c>
      <c r="S943" s="172">
        <f t="shared" si="2781"/>
        <v>-9.6203893112893916E-4</v>
      </c>
      <c r="T943" s="172"/>
      <c r="U943" s="172"/>
      <c r="V943" s="166">
        <f t="shared" si="2746"/>
        <v>282653.15669593029</v>
      </c>
      <c r="W943" s="170"/>
      <c r="X943" s="174">
        <v>15302.234740509655</v>
      </c>
      <c r="Y943" s="175">
        <v>6.230140289330869E-2</v>
      </c>
      <c r="Z943" s="175">
        <f t="shared" si="2782"/>
        <v>2.9074071405978618E-3</v>
      </c>
      <c r="AA943" s="175"/>
      <c r="AB943" s="175"/>
      <c r="AC943" s="170">
        <f t="shared" si="2659"/>
        <v>552878.9226198222</v>
      </c>
      <c r="AD943" s="175">
        <f t="shared" si="2777"/>
        <v>-2.6908696285150739E-2</v>
      </c>
      <c r="AE943" s="170"/>
      <c r="AF943" s="170"/>
      <c r="AG943" s="121">
        <f t="shared" si="2778"/>
        <v>301.83923274543986</v>
      </c>
      <c r="AH943" s="119">
        <f>+AZ943/$BB$55</f>
        <v>4.8791655906196954E-2</v>
      </c>
      <c r="AI943" s="119">
        <f>+AZ943/$BC$56</f>
        <v>0.20554672038688612</v>
      </c>
      <c r="AJ943" s="176">
        <f t="shared" si="2783"/>
        <v>14.727235983105997</v>
      </c>
      <c r="AK943" s="176">
        <f t="shared" si="2784"/>
        <v>62.042064374919171</v>
      </c>
      <c r="AL943" s="120">
        <f t="shared" si="2766"/>
        <v>0.1996421210974586</v>
      </c>
      <c r="AM943" s="120">
        <f t="shared" si="2767"/>
        <v>0.2891190793538525</v>
      </c>
      <c r="AN943" s="120">
        <f t="shared" si="2768"/>
        <v>0.51123879954868878</v>
      </c>
      <c r="AO943" s="120">
        <f t="shared" si="2772"/>
        <v>2.1223567999963132E-2</v>
      </c>
      <c r="AP943" s="173">
        <f t="shared" si="2788"/>
        <v>101.41289725552174</v>
      </c>
      <c r="AQ943" s="175">
        <f t="shared" si="2789"/>
        <v>2.1223567999963139E-2</v>
      </c>
      <c r="AR943" s="177">
        <f>+AC943/$AE$55</f>
        <v>4.6666800514537435E-2</v>
      </c>
      <c r="AS943" s="177">
        <f t="shared" si="2785"/>
        <v>9.9043601406100011E-4</v>
      </c>
      <c r="AT943" s="177"/>
      <c r="AU943" s="177"/>
      <c r="AV943" s="177"/>
      <c r="AW943" s="190"/>
      <c r="AX943" s="120"/>
      <c r="AY943" s="120"/>
      <c r="AZ943" s="118">
        <f>IFERROR(INDEX('Total Customers'!$F$7:$AB$91,MATCH($C943,'Total Customers'!$D$7:$D$91,0),MATCH($G943,'Total Customers'!$F$5:$AB$5,0)),"NA")</f>
        <v>1831700</v>
      </c>
      <c r="BA943" s="119">
        <f t="shared" si="2747"/>
        <v>8.4700108968335918E-3</v>
      </c>
      <c r="BB943" s="119"/>
      <c r="BC943" s="121">
        <v>8824403</v>
      </c>
      <c r="BD943" s="119"/>
      <c r="BE943" s="119"/>
      <c r="BF943" s="119"/>
      <c r="BG943" s="173"/>
      <c r="BH943" s="173"/>
      <c r="BI943" s="173"/>
      <c r="BJ943" s="173"/>
      <c r="BK943" s="173"/>
      <c r="BL943" s="173"/>
      <c r="BM943" s="173"/>
      <c r="BN943" s="173"/>
      <c r="BO943" s="173"/>
      <c r="BP943" s="173"/>
      <c r="BQ943" s="118"/>
      <c r="BR943" s="118"/>
      <c r="BS943" s="118">
        <f>INDEX('Dist. Plant Gas Additions'!$F$7:$AE$91,MATCH($C943,'Dist. Plant Gas Additions'!$D$7:$D$91,0),MATCH(Calculation!$G943,'Dist. Plant Gas Additions'!$F$5:$AE$5,0))</f>
        <v>733366</v>
      </c>
      <c r="BT943" s="118">
        <f>INDEX('Gen. Plant Additions'!$F$7:$AE$91,MATCH($C943,'Gen. Plant Additions'!$D$7:$D$91,0),MATCH(Calculation!$G943,'Gen. Plant Additions'!$F$5:$AE$5,0))</f>
        <v>13423</v>
      </c>
      <c r="BU943" s="118"/>
      <c r="BV943" s="118"/>
      <c r="BW943" s="118">
        <f>INDEX('Dist Plant Depreciation'!$E$7:$AD$94,MATCH($C943,'Dist Plant Depreciation'!$D$7:$D$94,0),MATCH(Calculation!$G943,'Dist Plant Depreciation'!$E$5:$AD$5,0))</f>
        <v>2086009</v>
      </c>
      <c r="BX943" s="118">
        <f>INDEX('Gen. Plant Depreciation'!$E$7:$AD$94,MATCH($C943,'Gen. Plant Depreciation'!$D$7:$D$94,0),MATCH(Calculation!$G943,'Gen. Plant Depreciation'!$E$5:$AD$5,0))</f>
        <v>55843</v>
      </c>
      <c r="BY943" s="118"/>
      <c r="BZ943" s="118"/>
      <c r="CA943" s="118"/>
      <c r="CB943" s="118"/>
      <c r="CC943" s="118"/>
      <c r="CD943" s="183"/>
      <c r="CE943" s="118">
        <f>INDEX('Gross Dx Plant'!$E$7:$AD$91,MATCH($C943,'Gross Dx Plant'!$D$7:$D$91,0),MATCH(Calculation!$G943,'Gross Dx Plant'!$E$5:$AD$5,0))</f>
        <v>7043908</v>
      </c>
      <c r="CF943" s="118">
        <f>INDEX('Gross Gen Plant'!$E$7:$AD$91,MATCH($C943,'Gross Gen Plant'!$D$7:$D$91,0),MATCH(Calculation!$G943,'Gross Gen Plant'!$E$5:$AD$5,0))</f>
        <v>141813</v>
      </c>
      <c r="CG943" s="118">
        <f t="shared" si="2806"/>
        <v>5043869</v>
      </c>
      <c r="CH943" s="118"/>
      <c r="CI943" s="121">
        <v>2017</v>
      </c>
      <c r="CJ943" s="118"/>
      <c r="CK943" s="118"/>
      <c r="CL943" s="118"/>
      <c r="CM943" s="183"/>
      <c r="CN943" s="118">
        <f t="shared" si="2748"/>
        <v>746789</v>
      </c>
      <c r="CO943" s="118">
        <f t="shared" si="2749"/>
        <v>1048.2299799358709</v>
      </c>
      <c r="CP943" s="186">
        <v>0.87074829931972786</v>
      </c>
      <c r="CQ943" s="118">
        <f>+CQ924*CP943+CO925*CP942+CO926*CP941+CO927*CP940+CO928*CP939+CO929*CP938+CO930*CP937+CO931*CP936+CO932*CP935+CO933*CP934+CO934*CP933+CO935*CP932+CO936*CP931+CO937*CP930+CO938*CP929+CO939*CP928+CO940*CP927+CO941*CP926+CO942*CP925+CO943</f>
        <v>15302.234740509655</v>
      </c>
      <c r="CR943" s="119">
        <f t="shared" si="2750"/>
        <v>6.230140289330869E-2</v>
      </c>
      <c r="CS943" s="119"/>
      <c r="CT943" s="177">
        <f t="shared" si="2751"/>
        <v>8.6221871384583246E-3</v>
      </c>
      <c r="CU943" s="177">
        <f t="shared" si="2759"/>
        <v>8.4373811484031603E-3</v>
      </c>
      <c r="CV943" s="119">
        <f>VLOOKUP($H943,RoR!$E:$F,2,FALSE)</f>
        <v>3.7433333333333339E-2</v>
      </c>
      <c r="CW943" s="177">
        <v>1.9056896421275615E-2</v>
      </c>
      <c r="CX943" s="177">
        <f t="shared" si="2757"/>
        <v>1.8376436912057724E-2</v>
      </c>
      <c r="CY943" s="177">
        <f t="shared" si="2760"/>
        <v>2.2464560460130463E-2</v>
      </c>
      <c r="CZ943" s="177">
        <f t="shared" si="2761"/>
        <v>1.3976271617800498E-2</v>
      </c>
      <c r="DA943" s="187">
        <f t="shared" si="2752"/>
        <v>0.89931249999999996</v>
      </c>
      <c r="DB943" s="188">
        <f t="shared" si="2753"/>
        <v>1.3699568463593395</v>
      </c>
      <c r="DC943" s="188">
        <f t="shared" si="2754"/>
        <v>0.30714603739982199</v>
      </c>
      <c r="DD943" s="188">
        <f t="shared" si="2755"/>
        <v>0.77007188472689425</v>
      </c>
      <c r="DE943" s="188">
        <f t="shared" si="2756"/>
        <v>0.32402839633793828</v>
      </c>
      <c r="DF943" s="189">
        <f>INDEX('State Tax Lookup'!$D$7:$Z$91,MATCH(Calculation!$C943,'State Tax Lookup'!$B$7:$B$91,0),MATCH($H943,'State Tax Lookup'!$D$6:$Z$6,0))</f>
        <v>0.26849999999999996</v>
      </c>
      <c r="DG943" s="189">
        <v>0.375</v>
      </c>
      <c r="DH943" s="190">
        <f t="shared" si="2758"/>
        <v>19.658760677468869</v>
      </c>
      <c r="DI943" s="190">
        <v>19.373540788332207</v>
      </c>
      <c r="DJ943" s="177"/>
      <c r="DK943" s="189">
        <f>VLOOKUP($H943,RoR!$E:$F,2,FALSE)</f>
        <v>3.7433333333333339E-2</v>
      </c>
      <c r="DL943" s="191">
        <f>HLOOKUP($H943,'GDP-PI'!$D$8:$CQ$11,3,FALSE)</f>
        <v>1.9056896421275615E-2</v>
      </c>
      <c r="DM943" s="189">
        <f>VLOOKUP(H943,'HW Dx Data'!$E:$F,2,FALSE)</f>
        <v>712.42858370229726</v>
      </c>
      <c r="DN943" s="183">
        <f>VLOOKUP(H943,'ECI - Input Price'!$G$17:$H$37,2,FALSE)</f>
        <v>129.5</v>
      </c>
      <c r="DO943" s="177">
        <f t="shared" ref="DO943" si="2809">LN(DN943/DN942)</f>
        <v>2.4229399426835413E-2</v>
      </c>
      <c r="DP943" s="183">
        <f>HLOOKUP(H943,'GDP-PI'!$8:$9,2,FALSE)</f>
        <v>107.751</v>
      </c>
      <c r="DQ943" s="177">
        <f t="shared" ref="DQ943" si="2810">LN(DP943/DP942)</f>
        <v>1.8877588227745139E-2</v>
      </c>
    </row>
    <row r="944" spans="1:121" s="167" customFormat="1" ht="21" x14ac:dyDescent="0.35">
      <c r="A944" s="167" t="s">
        <v>95</v>
      </c>
      <c r="B944" s="167" t="s">
        <v>95</v>
      </c>
      <c r="C944" s="167">
        <v>4057095</v>
      </c>
      <c r="D944" s="168" t="s">
        <v>145</v>
      </c>
      <c r="E944" s="168" t="s">
        <v>126</v>
      </c>
      <c r="F944" s="198"/>
      <c r="G944" s="167" t="s">
        <v>24</v>
      </c>
      <c r="H944" s="169">
        <v>2018</v>
      </c>
      <c r="I944" s="170"/>
      <c r="J944" s="166">
        <f>IFERROR(INDEX('Labor Expenditures'!$F$7:$X$91,MATCH($C944,'Labor Expenditures'!$D$7:$D$91,0),MATCH($G944,'Labor Expenditures'!$F$5:$X$5,0)),"NA")</f>
        <v>112702.82116461902</v>
      </c>
      <c r="K944" s="166">
        <f t="shared" si="2764"/>
        <v>845.7997835993923</v>
      </c>
      <c r="L944" s="172">
        <f t="shared" si="2771"/>
        <v>-7.7018499439093476E-3</v>
      </c>
      <c r="M944" s="172">
        <f t="shared" si="2775"/>
        <v>-3.5386291034116804E-4</v>
      </c>
      <c r="N944" s="196"/>
      <c r="O944" s="172"/>
      <c r="P944" s="166">
        <f>IFERROR(INDEX('Non-Labor Expenditures'!$F$7:$AB$91,MATCH($C944,'Non-Labor Expenditures'!$D$7:$D$91,0),MATCH($G944,'Non-Labor Expenditures'!$F$5:$AB$5,0)),"NA")</f>
        <v>163214.73502973781</v>
      </c>
      <c r="Q944" s="166">
        <f t="shared" si="2765"/>
        <v>1479.4395952732712</v>
      </c>
      <c r="R944" s="172">
        <f t="shared" si="2776"/>
        <v>-2.7360207540563881E-3</v>
      </c>
      <c r="S944" s="172">
        <f t="shared" si="2781"/>
        <v>-1.2570697609473269E-4</v>
      </c>
      <c r="T944" s="172"/>
      <c r="U944" s="172"/>
      <c r="V944" s="166">
        <f t="shared" si="2746"/>
        <v>315952.09096948174</v>
      </c>
      <c r="W944" s="170"/>
      <c r="X944" s="174">
        <v>16216.965368507073</v>
      </c>
      <c r="Y944" s="175">
        <v>5.8059060025771846E-2</v>
      </c>
      <c r="Z944" s="175">
        <f t="shared" si="2782"/>
        <v>2.6675341771153593E-3</v>
      </c>
      <c r="AA944" s="175"/>
      <c r="AB944" s="175"/>
      <c r="AC944" s="170">
        <f t="shared" si="2659"/>
        <v>591869.64716383861</v>
      </c>
      <c r="AD944" s="175">
        <f t="shared" si="2777"/>
        <v>6.8147388924742383E-2</v>
      </c>
      <c r="AE944" s="170"/>
      <c r="AF944" s="170"/>
      <c r="AG944" s="121">
        <f t="shared" si="2778"/>
        <v>320.59446926616914</v>
      </c>
      <c r="AH944" s="119">
        <f>+AZ944/$BB$56</f>
        <v>4.8749748020911213E-2</v>
      </c>
      <c r="AI944" s="119">
        <f>+AZ944/$BC$57</f>
        <v>0.20596130589805034</v>
      </c>
      <c r="AJ944" s="176">
        <f t="shared" si="2783"/>
        <v>15.62889959362351</v>
      </c>
      <c r="AK944" s="176">
        <f t="shared" si="2784"/>
        <v>66.030055553752561</v>
      </c>
      <c r="AL944" s="120">
        <f t="shared" si="2766"/>
        <v>0.19041831542583082</v>
      </c>
      <c r="AM944" s="120">
        <f t="shared" si="2767"/>
        <v>0.27576128597207394</v>
      </c>
      <c r="AN944" s="120">
        <f t="shared" si="2768"/>
        <v>0.53382039860209518</v>
      </c>
      <c r="AO944" s="120">
        <f t="shared" si="2772"/>
        <v>2.8062721680836258E-2</v>
      </c>
      <c r="AP944" s="173">
        <f t="shared" si="2788"/>
        <v>104.29912749368552</v>
      </c>
      <c r="AQ944" s="175">
        <f t="shared" si="2789"/>
        <v>2.8062721680836272E-2</v>
      </c>
      <c r="AR944" s="177">
        <f>+AC944/$AE$56</f>
        <v>4.5945183679020417E-2</v>
      </c>
      <c r="AS944" s="177">
        <f t="shared" si="2785"/>
        <v>1.289346902159251E-3</v>
      </c>
      <c r="AT944" s="177"/>
      <c r="AU944" s="177"/>
      <c r="AV944" s="177"/>
      <c r="AW944" s="190"/>
      <c r="AX944" s="120"/>
      <c r="AY944" s="120"/>
      <c r="AZ944" s="118">
        <f>IFERROR(INDEX('Total Customers'!$F$7:$AB$91,MATCH($C944,'Total Customers'!$D$7:$D$91,0),MATCH($G944,'Total Customers'!$F$5:$AB$5,0)),"NA")</f>
        <v>1846163</v>
      </c>
      <c r="BA944" s="119">
        <f t="shared" si="2747"/>
        <v>7.8649338234155191E-3</v>
      </c>
      <c r="BB944" s="119"/>
      <c r="BC944" s="121">
        <v>8911356</v>
      </c>
      <c r="BD944" s="119"/>
      <c r="BE944" s="119"/>
      <c r="BF944" s="119"/>
      <c r="BG944" s="173"/>
      <c r="BH944" s="173"/>
      <c r="BI944" s="173"/>
      <c r="BJ944" s="173"/>
      <c r="BK944" s="173"/>
      <c r="BL944" s="173"/>
      <c r="BM944" s="173"/>
      <c r="BN944" s="173"/>
      <c r="BO944" s="173"/>
      <c r="BP944" s="173"/>
      <c r="BQ944" s="118"/>
      <c r="BR944" s="118"/>
      <c r="BS944" s="118">
        <f>INDEX('Dist. Plant Gas Additions'!$F$7:$AE$91,MATCH($C944,'Dist. Plant Gas Additions'!$D$7:$D$91,0),MATCH(Calculation!$G944,'Dist. Plant Gas Additions'!$F$5:$AE$5,0))</f>
        <v>764322</v>
      </c>
      <c r="BT944" s="118">
        <f>INDEX('Gen. Plant Additions'!$F$7:$AE$91,MATCH($C944,'Gen. Plant Additions'!$D$7:$D$91,0),MATCH(Calculation!$G944,'Gen. Plant Additions'!$F$5:$AE$5,0))</f>
        <v>27632</v>
      </c>
      <c r="BU944" s="118"/>
      <c r="BV944" s="118"/>
      <c r="BW944" s="118">
        <f>INDEX('Dist Plant Depreciation'!$E$7:$AD$94,MATCH($C944,'Dist Plant Depreciation'!$D$7:$D$94,0),MATCH(Calculation!$G944,'Dist Plant Depreciation'!$E$5:$AD$5,0))</f>
        <v>2103981</v>
      </c>
      <c r="BX944" s="118">
        <f>INDEX('Gen. Plant Depreciation'!$E$7:$AD$94,MATCH($C944,'Gen. Plant Depreciation'!$D$7:$D$94,0),MATCH(Calculation!$G944,'Gen. Plant Depreciation'!$E$5:$AD$5,0))</f>
        <v>69907</v>
      </c>
      <c r="BY944" s="118"/>
      <c r="BZ944" s="118"/>
      <c r="CA944" s="118"/>
      <c r="CB944" s="118"/>
      <c r="CC944" s="118"/>
      <c r="CD944" s="183"/>
      <c r="CE944" s="118">
        <f>INDEX('Gross Dx Plant'!$E$7:$AD$91,MATCH($C944,'Gross Dx Plant'!$D$7:$D$91,0),MATCH(Calculation!$G944,'Gross Dx Plant'!$E$5:$AD$5,0))</f>
        <v>7774068</v>
      </c>
      <c r="CF944" s="118">
        <f>INDEX('Gross Gen Plant'!$E$7:$AD$91,MATCH($C944,'Gross Gen Plant'!$D$7:$D$91,0),MATCH(Calculation!$G944,'Gross Gen Plant'!$E$5:$AD$5,0))</f>
        <v>183488</v>
      </c>
      <c r="CG944" s="118">
        <f t="shared" si="2806"/>
        <v>5783668</v>
      </c>
      <c r="CH944" s="118"/>
      <c r="CI944" s="121">
        <v>2018</v>
      </c>
      <c r="CJ944" s="118"/>
      <c r="CK944" s="118"/>
      <c r="CL944" s="118"/>
      <c r="CM944" s="183"/>
      <c r="CN944" s="118">
        <f t="shared" si="2748"/>
        <v>791954</v>
      </c>
      <c r="CO944" s="118">
        <f t="shared" si="2749"/>
        <v>1048.7557881361195</v>
      </c>
      <c r="CP944" s="186">
        <v>0.86111111111111116</v>
      </c>
      <c r="CQ944" s="118">
        <f>+CQ924*CP944++CO925*CP943+CO926*CP942+CO927*CP941+CO928*CP940+CO929*CP939+CO930*CP938+CO931*CP937+CO932*CP936+CO933*CP935+CO934*CP934+CO935*CP933+CO936*CP932+CO937*CP931+CO938*CP930+CO939*CP929+CO940*CP928+CO941*CP927+CO942*CP926+CO943*CP925+CO944</f>
        <v>16216.965368507073</v>
      </c>
      <c r="CR944" s="119">
        <f t="shared" si="2750"/>
        <v>5.8059060025771846E-2</v>
      </c>
      <c r="CS944" s="119"/>
      <c r="CT944" s="177">
        <f t="shared" si="2751"/>
        <v>8.7585351036274482E-3</v>
      </c>
      <c r="CU944" s="177">
        <f t="shared" si="2759"/>
        <v>8.6107639671375007E-3</v>
      </c>
      <c r="CV944" s="119">
        <f>VLOOKUP($H944,RoR!$E:$F,2,FALSE)</f>
        <v>3.9299999999999995E-2</v>
      </c>
      <c r="CW944" s="177">
        <v>2.386056741932796E-2</v>
      </c>
      <c r="CX944" s="177">
        <f t="shared" si="2757"/>
        <v>1.5439432580672034E-2</v>
      </c>
      <c r="CY944" s="177">
        <f t="shared" si="2760"/>
        <v>2.2291177641396126E-2</v>
      </c>
      <c r="CZ944" s="177">
        <f t="shared" si="2761"/>
        <v>3.8270792163076606E-2</v>
      </c>
      <c r="DA944" s="187">
        <f t="shared" si="2752"/>
        <v>0.89931249999999996</v>
      </c>
      <c r="DB944" s="188">
        <f t="shared" si="2753"/>
        <v>1.3048868010700074</v>
      </c>
      <c r="DC944" s="188">
        <f t="shared" si="2754"/>
        <v>0.33886768447837151</v>
      </c>
      <c r="DD944" s="188">
        <f t="shared" si="2755"/>
        <v>0.78602506232557801</v>
      </c>
      <c r="DE944" s="188">
        <f t="shared" si="2756"/>
        <v>0.34756768162358759</v>
      </c>
      <c r="DF944" s="189">
        <f>INDEX('State Tax Lookup'!$D$7:$Z$91,MATCH(Calculation!$C944,'State Tax Lookup'!$B$7:$B$91,0),MATCH($H944,'State Tax Lookup'!$D$6:$Z$6,0))</f>
        <v>0.26849999999999996</v>
      </c>
      <c r="DG944" s="189">
        <v>0.375</v>
      </c>
      <c r="DH944" s="190">
        <f t="shared" si="2758"/>
        <v>20.647447665474687</v>
      </c>
      <c r="DI944" s="190">
        <v>20.39560615301351</v>
      </c>
      <c r="DJ944" s="177"/>
      <c r="DK944" s="189">
        <f>VLOOKUP($H944,RoR!$E:$F,2,FALSE)</f>
        <v>3.9299999999999995E-2</v>
      </c>
      <c r="DL944" s="191">
        <f>HLOOKUP($H944,'GDP-PI'!$D$8:$CQ$11,3,FALSE)</f>
        <v>2.386056741932796E-2</v>
      </c>
      <c r="DM944" s="189">
        <f>VLOOKUP(H944,'HW Dx Data'!$E:$F,2,FALSE)</f>
        <v>755.13671434174842</v>
      </c>
      <c r="DN944" s="183">
        <f>VLOOKUP(H944,'ECI - Input Price'!$G$17:$H$37,2,FALSE)</f>
        <v>133.25</v>
      </c>
      <c r="DO944" s="177">
        <f t="shared" ref="DO944" si="2811">LN(DN944/DN943)</f>
        <v>2.8546181906361531E-2</v>
      </c>
      <c r="DP944" s="183">
        <f>HLOOKUP(H944,'GDP-PI'!$8:$9,2,FALSE)</f>
        <v>110.322</v>
      </c>
      <c r="DQ944" s="177">
        <f t="shared" ref="DQ944" si="2812">LN(DP944/DP943)</f>
        <v>2.3580352716508712E-2</v>
      </c>
    </row>
    <row r="945" spans="1:121" s="167" customFormat="1" ht="21" x14ac:dyDescent="0.35">
      <c r="A945" s="167" t="s">
        <v>95</v>
      </c>
      <c r="B945" s="167" t="s">
        <v>95</v>
      </c>
      <c r="C945" s="167">
        <v>4057095</v>
      </c>
      <c r="D945" s="168" t="s">
        <v>145</v>
      </c>
      <c r="E945" s="168" t="s">
        <v>126</v>
      </c>
      <c r="F945" s="198"/>
      <c r="G945" s="167" t="s">
        <v>25</v>
      </c>
      <c r="H945" s="169">
        <v>2019</v>
      </c>
      <c r="I945" s="170"/>
      <c r="J945" s="166">
        <f>IFERROR(INDEX('Labor Expenditures'!$F$7:$X$91,MATCH($C945,'Labor Expenditures'!$D$7:$D$91,0),MATCH($G945,'Labor Expenditures'!$F$5:$X$5,0)),"NA")</f>
        <v>100280.91321692055</v>
      </c>
      <c r="K945" s="166">
        <f t="shared" si="2764"/>
        <v>732.77978236697527</v>
      </c>
      <c r="L945" s="172">
        <f t="shared" si="2771"/>
        <v>-0.14343744577058526</v>
      </c>
      <c r="M945" s="172">
        <f t="shared" si="2775"/>
        <v>-6.3263763137731402E-3</v>
      </c>
      <c r="N945" s="196"/>
      <c r="O945" s="172"/>
      <c r="P945" s="166">
        <f>IFERROR(INDEX('Non-Labor Expenditures'!$F$7:$AB$91,MATCH($C945,'Non-Labor Expenditures'!$D$7:$D$91,0),MATCH($G945,'Non-Labor Expenditures'!$F$5:$AB$5,0)),"NA")</f>
        <v>145225.49222909816</v>
      </c>
      <c r="Q945" s="166">
        <f t="shared" si="2765"/>
        <v>1292.985026701848</v>
      </c>
      <c r="R945" s="172">
        <f t="shared" si="2776"/>
        <v>-0.13470984478125311</v>
      </c>
      <c r="S945" s="172">
        <f t="shared" si="2781"/>
        <v>-5.9414413487202649E-3</v>
      </c>
      <c r="T945" s="172"/>
      <c r="U945" s="172"/>
      <c r="V945" s="166">
        <f t="shared" si="2746"/>
        <v>340445.25423921988</v>
      </c>
      <c r="W945" s="170"/>
      <c r="X945" s="174">
        <v>16942.725268208163</v>
      </c>
      <c r="Y945" s="175">
        <v>4.3780614753275077E-2</v>
      </c>
      <c r="Z945" s="175">
        <f t="shared" si="2782"/>
        <v>1.9309646981621391E-3</v>
      </c>
      <c r="AA945" s="175"/>
      <c r="AB945" s="175"/>
      <c r="AC945" s="170">
        <f t="shared" si="2659"/>
        <v>585951.65968523861</v>
      </c>
      <c r="AD945" s="175">
        <f t="shared" si="2777"/>
        <v>-1.0049125867224243E-2</v>
      </c>
      <c r="AE945" s="170"/>
      <c r="AF945" s="170"/>
      <c r="AG945" s="121">
        <f t="shared" si="2778"/>
        <v>315.5348351114983</v>
      </c>
      <c r="AH945" s="119">
        <f>+AZ945/$BB$57</f>
        <v>4.8635021806274631E-2</v>
      </c>
      <c r="AI945" s="119">
        <f>+AZ945/$BC$58</f>
        <v>0.2049624006043099</v>
      </c>
      <c r="AJ945" s="176">
        <f t="shared" si="2783"/>
        <v>15.34604358628699</v>
      </c>
      <c r="AK945" s="176">
        <f t="shared" si="2784"/>
        <v>64.672777278737783</v>
      </c>
      <c r="AL945" s="120">
        <f t="shared" si="2766"/>
        <v>0.17114195609717947</v>
      </c>
      <c r="AM945" s="120">
        <f t="shared" si="2767"/>
        <v>0.2478455173368915</v>
      </c>
      <c r="AN945" s="120">
        <f t="shared" si="2768"/>
        <v>0.58101252656592894</v>
      </c>
      <c r="AO945" s="120">
        <f t="shared" si="2772"/>
        <v>-3.6794101114245359E-2</v>
      </c>
      <c r="AP945" s="173">
        <f t="shared" si="2788"/>
        <v>100.53127725052956</v>
      </c>
      <c r="AQ945" s="175">
        <f t="shared" si="2789"/>
        <v>-3.679410111424538E-2</v>
      </c>
      <c r="AR945" s="177">
        <f>+AC945/$AE$57</f>
        <v>4.4105472457252104E-2</v>
      </c>
      <c r="AS945" s="177">
        <f t="shared" si="2785"/>
        <v>-1.6228212132836986E-3</v>
      </c>
      <c r="AT945" s="177"/>
      <c r="AU945" s="177"/>
      <c r="AV945" s="177"/>
      <c r="AW945" s="190"/>
      <c r="AX945" s="120"/>
      <c r="AY945" s="120"/>
      <c r="AZ945" s="118">
        <f>IFERROR(INDEX('Total Customers'!$F$7:$AB$91,MATCH($C945,'Total Customers'!$D$7:$D$91,0),MATCH($G945,'Total Customers'!$F$5:$AB$5,0)),"NA")</f>
        <v>1857011</v>
      </c>
      <c r="BA945" s="119">
        <f t="shared" si="2747"/>
        <v>5.858774678154423E-3</v>
      </c>
      <c r="BB945" s="119"/>
      <c r="BC945" s="121">
        <v>8963640</v>
      </c>
      <c r="BD945" s="119"/>
      <c r="BE945" s="119"/>
      <c r="BF945" s="119"/>
      <c r="BG945" s="173"/>
      <c r="BH945" s="173"/>
      <c r="BI945" s="173"/>
      <c r="BJ945" s="173"/>
      <c r="BK945" s="173"/>
      <c r="BL945" s="173"/>
      <c r="BM945" s="173"/>
      <c r="BN945" s="173"/>
      <c r="BO945" s="173"/>
      <c r="BP945" s="173"/>
      <c r="BQ945" s="118"/>
      <c r="BR945" s="118"/>
      <c r="BS945" s="118">
        <f>INDEX('Dist. Plant Gas Additions'!$F$7:$AE$91,MATCH($C945,'Dist. Plant Gas Additions'!$D$7:$D$91,0),MATCH(Calculation!$G945,'Dist. Plant Gas Additions'!$F$5:$AE$5,0))</f>
        <v>663349</v>
      </c>
      <c r="BT945" s="118">
        <f>INDEX('Gen. Plant Additions'!$F$7:$AE$91,MATCH($C945,'Gen. Plant Additions'!$D$7:$D$91,0),MATCH(Calculation!$G945,'Gen. Plant Additions'!$F$5:$AE$5,0))</f>
        <v>9857</v>
      </c>
      <c r="BU945" s="118"/>
      <c r="BV945" s="118"/>
      <c r="BW945" s="118">
        <f>INDEX('Dist Plant Depreciation'!$E$7:$AD$94,MATCH($C945,'Dist Plant Depreciation'!$D$7:$D$94,0),MATCH(Calculation!$G945,'Dist Plant Depreciation'!$E$5:$AD$5,0))</f>
        <v>2127524</v>
      </c>
      <c r="BX945" s="118">
        <f>INDEX('Gen. Plant Depreciation'!$E$7:$AD$94,MATCH($C945,'Gen. Plant Depreciation'!$D$7:$D$94,0),MATCH(Calculation!$G945,'Gen. Plant Depreciation'!$E$5:$AD$5,0))</f>
        <v>82631</v>
      </c>
      <c r="BY945" s="118"/>
      <c r="BZ945" s="118"/>
      <c r="CA945" s="118"/>
      <c r="CB945" s="118"/>
      <c r="CC945" s="118"/>
      <c r="CD945" s="183"/>
      <c r="CE945" s="118">
        <f>INDEX('Gross Dx Plant'!$E$7:$AD$91,MATCH($C945,'Gross Dx Plant'!$D$7:$D$91,0),MATCH(Calculation!$G945,'Gross Dx Plant'!$E$5:$AD$5,0))</f>
        <v>8347906</v>
      </c>
      <c r="CF945" s="118">
        <f>INDEX('Gross Gen Plant'!$E$7:$AD$91,MATCH($C945,'Gross Gen Plant'!$D$7:$D$91,0),MATCH(Calculation!$G945,'Gross Gen Plant'!$E$5:$AD$5,0))</f>
        <v>190497</v>
      </c>
      <c r="CG945" s="118">
        <f t="shared" si="2806"/>
        <v>6328248</v>
      </c>
      <c r="CH945" s="118"/>
      <c r="CI945" s="121">
        <v>2019</v>
      </c>
      <c r="CJ945" s="118"/>
      <c r="CK945" s="118"/>
      <c r="CL945" s="118"/>
      <c r="CM945" s="183"/>
      <c r="CN945" s="118">
        <f t="shared" si="2748"/>
        <v>673206</v>
      </c>
      <c r="CO945" s="118">
        <f t="shared" si="2749"/>
        <v>870.29321172607172</v>
      </c>
      <c r="CP945" s="186">
        <v>0.85106382978723405</v>
      </c>
      <c r="CQ945" s="118">
        <f>CQ924*CP945+CO925*CP944+CO926*CP943+CO927*CP942+CO928*CP941+CO929*CP940+CO930*CP939+CO931*CP938+CO932*CP937+CO933*CP936+CO934*CP935+CO935*CP934+CO936*CP933+CO937*CP932+CO938*CP931+CO939*CP930+CO940*CP929+CO941*CP928+CO942*CP927+CO943*CP926+CO944*CP925+CO945</f>
        <v>16942.725268208163</v>
      </c>
      <c r="CR945" s="119">
        <f t="shared" si="2750"/>
        <v>4.3780614753275077E-2</v>
      </c>
      <c r="CS945" s="119"/>
      <c r="CT945" s="177">
        <f t="shared" si="2751"/>
        <v>8.9124758387695412E-3</v>
      </c>
      <c r="CU945" s="177">
        <f t="shared" si="2759"/>
        <v>8.7643993602851047E-3</v>
      </c>
      <c r="CV945" s="119">
        <f>VLOOKUP($H945,RoR!$E:$F,2,FALSE)</f>
        <v>3.3875000000000009E-2</v>
      </c>
      <c r="CW945" s="177">
        <v>1.8092492884465461E-2</v>
      </c>
      <c r="CX945" s="177">
        <f t="shared" si="2757"/>
        <v>1.5782507115534548E-2</v>
      </c>
      <c r="CY945" s="177">
        <f t="shared" si="2760"/>
        <v>2.2137542248248522E-2</v>
      </c>
      <c r="CZ945" s="177">
        <f t="shared" si="2761"/>
        <v>4.8445665544254078E-2</v>
      </c>
      <c r="DA945" s="187">
        <f t="shared" si="2752"/>
        <v>0.89931249999999996</v>
      </c>
      <c r="DB945" s="188">
        <f t="shared" si="2753"/>
        <v>1.513861292459078</v>
      </c>
      <c r="DC945" s="188">
        <f t="shared" si="2754"/>
        <v>0.23699261992619944</v>
      </c>
      <c r="DD945" s="188">
        <f t="shared" si="2755"/>
        <v>0.73619765810468829</v>
      </c>
      <c r="DE945" s="188">
        <f t="shared" si="2756"/>
        <v>0.26412854465362851</v>
      </c>
      <c r="DF945" s="189">
        <f>INDEX('State Tax Lookup'!$D$7:$Z$91,MATCH(Calculation!$C945,'State Tax Lookup'!$B$7:$B$91,0),MATCH($H945,'State Tax Lookup'!$D$6:$Z$6,0))</f>
        <v>0.26849999999999996</v>
      </c>
      <c r="DG945" s="189">
        <v>0.375</v>
      </c>
      <c r="DH945" s="190">
        <f t="shared" si="2758"/>
        <v>20.993154175463417</v>
      </c>
      <c r="DI945" s="190">
        <v>20.745173199652793</v>
      </c>
      <c r="DJ945" s="177"/>
      <c r="DK945" s="189">
        <f>VLOOKUP($H945,RoR!$E:$F,2,FALSE)</f>
        <v>3.3875000000000009E-2</v>
      </c>
      <c r="DL945" s="191">
        <f>HLOOKUP($H945,'GDP-PI'!$D$8:$CQ$11,3,FALSE)</f>
        <v>1.8092492884465461E-2</v>
      </c>
      <c r="DM945" s="189">
        <f>VLOOKUP(H945,'HW Dx Data'!$E:$F,2,FALSE)</f>
        <v>773.53929793938721</v>
      </c>
      <c r="DN945" s="183">
        <f>VLOOKUP(H945,'ECI - Input Price'!$G$17:$H$37,2,FALSE)</f>
        <v>136.85</v>
      </c>
      <c r="DO945" s="177">
        <f t="shared" ref="DO945" si="2813">LN(DN945/DN944)</f>
        <v>2.6658372440734168E-2</v>
      </c>
      <c r="DP945" s="183">
        <f>HLOOKUP(H945,'GDP-PI'!$8:$9,2,FALSE)</f>
        <v>112.318</v>
      </c>
      <c r="DQ945" s="177">
        <f t="shared" ref="DQ945" si="2814">LN(DP945/DP944)</f>
        <v>1.7930771451401852E-2</v>
      </c>
    </row>
    <row r="946" spans="1:121" s="167" customFormat="1" ht="21" x14ac:dyDescent="0.35">
      <c r="A946" s="167" t="s">
        <v>95</v>
      </c>
      <c r="B946" s="167" t="s">
        <v>95</v>
      </c>
      <c r="C946" s="167">
        <v>4057095</v>
      </c>
      <c r="D946" s="167" t="s">
        <v>145</v>
      </c>
      <c r="E946" s="167" t="s">
        <v>126</v>
      </c>
      <c r="G946" s="168" t="s">
        <v>26</v>
      </c>
      <c r="H946" s="169">
        <v>2020</v>
      </c>
      <c r="I946" s="170"/>
      <c r="J946" s="166">
        <v>100281</v>
      </c>
      <c r="K946" s="166">
        <f t="shared" si="2764"/>
        <v>713.99786400854407</v>
      </c>
      <c r="L946" s="172">
        <f t="shared" si="2771"/>
        <v>-2.5965252664166914E-2</v>
      </c>
      <c r="M946" s="172">
        <f t="shared" si="2775"/>
        <v>-1.1689848051306519E-3</v>
      </c>
      <c r="N946" s="196"/>
      <c r="O946" s="172"/>
      <c r="P946" s="166">
        <v>145225</v>
      </c>
      <c r="Q946" s="166">
        <f t="shared" si="2765"/>
        <v>1278.1303081242354</v>
      </c>
      <c r="R946" s="172">
        <f t="shared" si="2776"/>
        <v>-1.1555206149633353E-2</v>
      </c>
      <c r="S946" s="172">
        <f t="shared" si="2781"/>
        <v>-5.2022834454120467E-4</v>
      </c>
      <c r="T946" s="172"/>
      <c r="U946" s="172"/>
      <c r="V946" s="166">
        <f t="shared" si="2746"/>
        <v>371133.41436672723</v>
      </c>
      <c r="W946" s="170"/>
      <c r="X946" s="174">
        <v>17616.060202449549</v>
      </c>
      <c r="Y946" s="175">
        <v>3.8972443478684789E-2</v>
      </c>
      <c r="Z946" s="175">
        <f t="shared" si="2782"/>
        <v>1.7545831282538536E-3</v>
      </c>
      <c r="AA946" s="175"/>
      <c r="AB946" s="175"/>
      <c r="AC946" s="170">
        <f t="shared" si="2659"/>
        <v>616639.41436672723</v>
      </c>
      <c r="AD946" s="175">
        <f t="shared" si="2777"/>
        <v>5.1047141339256592E-2</v>
      </c>
      <c r="AE946" s="170"/>
      <c r="AF946" s="170"/>
      <c r="AG946" s="121">
        <f t="shared" si="2778"/>
        <v>332.06018400899467</v>
      </c>
      <c r="AH946" s="119">
        <f>+AZ946/$BB$58</f>
        <v>4.8293087425105852E-2</v>
      </c>
      <c r="AI946" s="119">
        <f>+AZ946/$BC$59</f>
        <v>0.20375186483420543</v>
      </c>
      <c r="AJ946" s="176">
        <f t="shared" si="2783"/>
        <v>16.036211496743114</v>
      </c>
      <c r="AK946" s="176">
        <f t="shared" si="2784"/>
        <v>67.657881729022066</v>
      </c>
      <c r="AL946" s="120">
        <f t="shared" si="2766"/>
        <v>0.16262502471235316</v>
      </c>
      <c r="AM946" s="120">
        <f t="shared" si="2767"/>
        <v>0.23551040789233743</v>
      </c>
      <c r="AN946" s="120">
        <f t="shared" si="2768"/>
        <v>0.60186456739530947</v>
      </c>
      <c r="AO946" s="120">
        <f t="shared" si="2772"/>
        <v>1.5923994669644552E-2</v>
      </c>
      <c r="AP946" s="173">
        <f t="shared" si="2788"/>
        <v>102.14495073900771</v>
      </c>
      <c r="AQ946" s="175">
        <f t="shared" si="2789"/>
        <v>1.59239946696445E-2</v>
      </c>
      <c r="AR946" s="177">
        <f>+AC946/$AE$58</f>
        <v>4.502112189125345E-2</v>
      </c>
      <c r="AS946" s="177">
        <f t="shared" si="2785"/>
        <v>7.1691610501773524E-4</v>
      </c>
      <c r="AT946" s="177"/>
      <c r="AU946" s="177"/>
      <c r="AV946" s="177"/>
      <c r="AW946" s="190"/>
      <c r="AX946" s="120"/>
      <c r="AY946" s="120"/>
      <c r="AZ946" s="118">
        <v>1857011</v>
      </c>
      <c r="BA946" s="119">
        <f t="shared" si="2747"/>
        <v>0</v>
      </c>
      <c r="BB946" s="119"/>
      <c r="BC946" s="121">
        <v>9060252</v>
      </c>
      <c r="BD946" s="119"/>
      <c r="BE946" s="119"/>
      <c r="BF946" s="119"/>
      <c r="BG946" s="173"/>
      <c r="BH946" s="173"/>
      <c r="BI946" s="173"/>
      <c r="BJ946" s="173"/>
      <c r="BK946" s="173"/>
      <c r="BL946" s="173"/>
      <c r="BM946" s="173"/>
      <c r="BN946" s="173"/>
      <c r="BO946" s="173"/>
      <c r="BP946" s="173"/>
      <c r="BQ946" s="118"/>
      <c r="BR946" s="118"/>
      <c r="BS946" s="118" t="str">
        <f>INDEX('Dist. Plant Gas Additions'!$F$7:$AE$91,MATCH($C946,'Dist. Plant Gas Additions'!$D$7:$D$91,0),MATCH(Calculation!$G946,'Dist. Plant Gas Additions'!$F$5:$AE$5,0))</f>
        <v>NA</v>
      </c>
      <c r="BT946" s="118" t="str">
        <f>INDEX('Gen. Plant Additions'!$F$7:$AE$91,MATCH($C946,'Gen. Plant Additions'!$D$7:$D$91,0),MATCH(Calculation!$G946,'Gen. Plant Additions'!$F$5:$AE$5,0))</f>
        <v>NA</v>
      </c>
      <c r="BU946" s="118"/>
      <c r="BV946" s="118"/>
      <c r="BW946" s="118" t="str">
        <f>INDEX('Dist Plant Depreciation'!$E$7:$AD$94,MATCH($C946,'Dist Plant Depreciation'!$D$7:$D$94,0),MATCH(Calculation!$G946,'Dist Plant Depreciation'!$E$5:$AD$5,0))</f>
        <v>NA</v>
      </c>
      <c r="BX946" s="118" t="str">
        <f>INDEX('Gen. Plant Depreciation'!$E$7:$AD$94,MATCH($C946,'Gen. Plant Depreciation'!$D$7:$D$94,0),MATCH(Calculation!$G946,'Gen. Plant Depreciation'!$E$5:$AD$5,0))</f>
        <v>NA</v>
      </c>
      <c r="BY946" s="118"/>
      <c r="BZ946" s="118"/>
      <c r="CA946" s="118"/>
      <c r="CB946" s="118"/>
      <c r="CC946" s="118"/>
      <c r="CD946" s="183"/>
      <c r="CE946" s="118" t="str">
        <f>INDEX('Gross Dx Plant'!$E$7:$AD$91,MATCH($C946,'Gross Dx Plant'!$D$7:$D$91,0),MATCH(Calculation!$G946,'Gross Dx Plant'!$E$5:$AD$5,0))</f>
        <v>NA</v>
      </c>
      <c r="CF946" s="118" t="str">
        <f>INDEX('Gross Gen Plant'!$E$7:$AD$91,MATCH($C946,'Gross Gen Plant'!$D$7:$D$91,0),MATCH(Calculation!$G946,'Gross Gen Plant'!$E$5:$AD$5,0))</f>
        <v>NA</v>
      </c>
      <c r="CG946" s="118" t="str">
        <f t="shared" si="2806"/>
        <v>NA</v>
      </c>
      <c r="CH946" s="118"/>
      <c r="CI946" s="121">
        <v>2020</v>
      </c>
      <c r="CJ946" s="118"/>
      <c r="CK946" s="118"/>
      <c r="CL946" s="118"/>
      <c r="CM946" s="183"/>
      <c r="CN946" s="118">
        <v>673206</v>
      </c>
      <c r="CO946" s="118">
        <f t="shared" si="2749"/>
        <v>827.97002200147153</v>
      </c>
      <c r="CP946" s="186">
        <v>0.84057971014492749</v>
      </c>
      <c r="CQ946" s="118">
        <f>CQ924*CP946+CO925*CP945+CO926*CP944+CO927*CP943+CO928*CP942+CO929*CP941+CO930*CP940+CO931*CP939+CO932*CP938+CO933*CP937+CO934*CP936+CO935*CP935+CO936*CP934+CO937*CP933+CO938*CP932+CO939*CP931+CO940*CP930+CO941*CP929+CO942*CP928+CO943*CP927+CO944*CP926+CO945*CP925+CO946</f>
        <v>17616.060202449549</v>
      </c>
      <c r="CR946" s="119">
        <f t="shared" si="2750"/>
        <v>3.8972443478684789E-2</v>
      </c>
      <c r="CS946" s="119"/>
      <c r="CT946" s="177">
        <f t="shared" si="2751"/>
        <v>9.1269311938999356E-3</v>
      </c>
      <c r="CU946" s="177">
        <f t="shared" si="2759"/>
        <v>8.9326473787656423E-3</v>
      </c>
      <c r="CV946" s="119">
        <f>VLOOKUP($H946,RoR!$E:$F,2,FALSE)</f>
        <v>2.4766666666666666E-2</v>
      </c>
      <c r="CW946" s="177">
        <v>1.1618796630994188E-2</v>
      </c>
      <c r="CX946" s="177">
        <f t="shared" si="2757"/>
        <v>1.3147870035672478E-2</v>
      </c>
      <c r="CY946" s="177">
        <f t="shared" si="2760"/>
        <v>2.1969294229767983E-2</v>
      </c>
      <c r="CZ946" s="177">
        <f t="shared" si="2761"/>
        <v>4.5144642961987357E-2</v>
      </c>
      <c r="DA946" s="187">
        <f t="shared" si="2752"/>
        <v>0.89931249999999996</v>
      </c>
      <c r="DB946" s="188">
        <f t="shared" si="2753"/>
        <v>2.0706077233668081</v>
      </c>
      <c r="DC946" s="188">
        <f t="shared" si="2754"/>
        <v>-3.4421265141318998E-2</v>
      </c>
      <c r="DD946" s="188">
        <f t="shared" si="2755"/>
        <v>0.62416226176410472</v>
      </c>
      <c r="DE946" s="188">
        <f t="shared" si="2756"/>
        <v>-4.4485877841158712E-2</v>
      </c>
      <c r="DF946" s="189">
        <f>INDEX('State Tax Lookup'!$D$7:$Z$91,MATCH(Calculation!$C946,'State Tax Lookup'!$B$7:$B$91,0),MATCH($H946,'State Tax Lookup'!$D$6:$Z$6,0))</f>
        <v>0.26849999999999996</v>
      </c>
      <c r="DG946" s="189">
        <v>0.375</v>
      </c>
      <c r="DH946" s="190">
        <f t="shared" si="2758"/>
        <v>21.905178092165201</v>
      </c>
      <c r="DI946" s="190">
        <v>21.637871235496323</v>
      </c>
      <c r="DJ946" s="177"/>
      <c r="DK946" s="189">
        <f>VLOOKUP($H946,RoR!$E:$F,2,FALSE)</f>
        <v>2.4766666666666666E-2</v>
      </c>
      <c r="DL946" s="191">
        <f>HLOOKUP($H946,'GDP-PI'!$D$8:$CQ$11,3,FALSE)</f>
        <v>1.1618796630994188E-2</v>
      </c>
      <c r="DM946" s="189">
        <f>VLOOKUP(H946,'HW Dx Data'!$E:$F,2,FALSE)</f>
        <v>813.080162458833</v>
      </c>
      <c r="DN946" s="183">
        <f>VLOOKUP(H946,'ECI - Input Price'!$G$17:$H$37,2,FALSE)</f>
        <v>140.44999999999999</v>
      </c>
      <c r="DO946" s="177">
        <f t="shared" ref="DO946" si="2815">LN(DN946/DN945)</f>
        <v>2.5966118063564539E-2</v>
      </c>
      <c r="DP946" s="183">
        <f>HLOOKUP(H946,'GDP-PI'!$8:$9,2,FALSE)</f>
        <v>113.623</v>
      </c>
      <c r="DQ946" s="177">
        <f t="shared" ref="DQ946" si="2816">LN(DP946/DP945)</f>
        <v>1.1551816731392881E-2</v>
      </c>
    </row>
    <row r="947" spans="1:121" s="167" customFormat="1" ht="21" x14ac:dyDescent="0.35">
      <c r="A947" s="167" t="s">
        <v>95</v>
      </c>
      <c r="B947" s="167" t="s">
        <v>95</v>
      </c>
      <c r="C947" s="167">
        <v>4057095</v>
      </c>
      <c r="D947" s="167" t="s">
        <v>145</v>
      </c>
      <c r="E947" s="167" t="s">
        <v>126</v>
      </c>
      <c r="G947" s="168" t="s">
        <v>462</v>
      </c>
      <c r="H947" s="169">
        <v>2021</v>
      </c>
      <c r="I947" s="170"/>
      <c r="J947" s="166">
        <f>IFERROR(INDEX('Labor Expenditures'!$E$7:$X$91,MATCH($C947,'Labor Expenditures'!$D$7:$D$91,0),MATCH($G947,'Labor Expenditures'!$E$5:$X$5,0)),"NA")</f>
        <v>78732.083915932992</v>
      </c>
      <c r="K947" s="166">
        <f t="shared" si="2764"/>
        <v>541.20696969192636</v>
      </c>
      <c r="L947" s="171">
        <f t="shared" si="2771"/>
        <v>-0.27707819631809094</v>
      </c>
      <c r="M947" s="172">
        <f t="shared" si="2775"/>
        <v>-1.3369381192420225E-2</v>
      </c>
      <c r="N947" s="196"/>
      <c r="O947" s="172"/>
      <c r="P947" s="166">
        <f>IFERROR(INDEX('Non-Labor Expenditures'!$E$7:$AB$91,MATCH($C947,'Non-Labor Expenditures'!$D$7:$D$91,0),MATCH($G947,'Non-Labor Expenditures'!$E$5:$AB$5,0)),"NA")</f>
        <v>110983.78094173687</v>
      </c>
      <c r="Q947" s="166">
        <f t="shared" si="2765"/>
        <v>936.65103335080494</v>
      </c>
      <c r="R947" s="172">
        <f t="shared" si="2776"/>
        <v>-0.31084280913058931</v>
      </c>
      <c r="S947" s="172">
        <f t="shared" si="2781"/>
        <v>-1.4998567413145213E-2</v>
      </c>
      <c r="T947" s="172"/>
      <c r="U947" s="172"/>
      <c r="V947" s="166">
        <f t="shared" si="2746"/>
        <v>521914.81551032106</v>
      </c>
      <c r="W947" s="170"/>
      <c r="X947" s="174">
        <v>18388.167219981122</v>
      </c>
      <c r="Y947" s="175"/>
      <c r="Z947" s="175">
        <f t="shared" si="2782"/>
        <v>0</v>
      </c>
      <c r="AA947" s="175"/>
      <c r="AB947" s="175"/>
      <c r="AC947" s="170">
        <f t="shared" si="2659"/>
        <v>711630.68036799086</v>
      </c>
      <c r="AD947" s="175">
        <f t="shared" si="2777"/>
        <v>0.14327463397954859</v>
      </c>
      <c r="AE947" s="118"/>
      <c r="AF947" s="119"/>
      <c r="AG947" s="121">
        <f t="shared" si="2778"/>
        <v>383.21295908747493</v>
      </c>
      <c r="AH947" s="119">
        <f>+AZ947/$BB$59</f>
        <v>4.7644773236814958E-2</v>
      </c>
      <c r="AI947" s="119">
        <f>+AZ947/$BC$44</f>
        <v>0.22516383087616826</v>
      </c>
      <c r="AJ947" s="176">
        <f t="shared" si="2783"/>
        <v>18.258094537131591</v>
      </c>
      <c r="AK947" s="176">
        <f t="shared" si="2784"/>
        <v>86.285697909528196</v>
      </c>
      <c r="AL947" s="120">
        <f t="shared" si="2766"/>
        <v>0.11063615733264887</v>
      </c>
      <c r="AM947" s="120">
        <f t="shared" si="2767"/>
        <v>0.15595699286650502</v>
      </c>
      <c r="AN947" s="120">
        <f t="shared" si="2768"/>
        <v>0.73340684980084614</v>
      </c>
      <c r="AO947" s="120">
        <f t="shared" si="2772"/>
        <v>-9.8699770989853719E-2</v>
      </c>
      <c r="AP947" s="173">
        <f t="shared" si="2788"/>
        <v>92.544824763953571</v>
      </c>
      <c r="AQ947" s="175">
        <f t="shared" si="2789"/>
        <v>-9.8699770989853705E-2</v>
      </c>
      <c r="AR947" s="177">
        <f>+AC947/$AE$59</f>
        <v>4.8251292848290113E-2</v>
      </c>
      <c r="AS947" s="177">
        <f t="shared" si="2785"/>
        <v>-4.7623915540906002E-3</v>
      </c>
      <c r="AT947" s="177"/>
      <c r="AU947" s="177"/>
      <c r="AV947" s="177"/>
      <c r="AW947" s="190"/>
      <c r="AX947" s="120"/>
      <c r="AY947" s="120"/>
      <c r="AZ947" s="118">
        <v>1857011</v>
      </c>
      <c r="BA947" s="119">
        <f t="shared" si="2747"/>
        <v>0</v>
      </c>
      <c r="BB947" s="118"/>
      <c r="BC947" s="121"/>
      <c r="BD947" s="118"/>
      <c r="BE947" s="119"/>
      <c r="BF947" s="119"/>
      <c r="BG947" s="173"/>
      <c r="BH947" s="173"/>
      <c r="BI947" s="173"/>
      <c r="BJ947" s="173"/>
      <c r="BK947" s="173"/>
      <c r="BL947" s="173"/>
      <c r="BM947" s="173"/>
      <c r="BN947" s="173"/>
      <c r="BO947" s="173"/>
      <c r="BP947" s="173"/>
      <c r="BQ947" s="118"/>
      <c r="BR947" s="118"/>
      <c r="BS947" s="118">
        <f>INDEX('Dist. Plant Gas Additions'!$E$7:$AE$91,MATCH($C947,'Dist. Plant Gas Additions'!$D$7:$D$91,0),MATCH(Calculation!$G947,'Dist. Plant Gas Additions'!$E$5:$AE$5,0))</f>
        <v>646217.01100000006</v>
      </c>
      <c r="BT947" s="118">
        <f>INDEX('Gen. Plant Additions'!$E$7:$AE$91,MATCH($C947,'Gen. Plant Additions'!$D$7:$D$91,0),MATCH(Calculation!$G947,'Gen. Plant Additions'!$E$5:$AE$5,0))</f>
        <v>23903.339</v>
      </c>
      <c r="BU947" s="118"/>
      <c r="BV947" s="118"/>
      <c r="BW947" s="118"/>
      <c r="BX947" s="118"/>
      <c r="BY947" s="183"/>
      <c r="BZ947" s="183"/>
      <c r="CA947" s="178"/>
      <c r="CB947" s="184"/>
      <c r="CC947" s="185"/>
      <c r="CD947" s="185"/>
      <c r="CE947" s="118"/>
      <c r="CF947" s="118"/>
      <c r="CG947" s="118"/>
      <c r="CH947" s="118"/>
      <c r="CI947" s="121">
        <v>2021</v>
      </c>
      <c r="CJ947" s="118"/>
      <c r="CK947" s="118"/>
      <c r="CL947" s="118"/>
      <c r="CM947" s="183"/>
      <c r="CN947" s="118">
        <f t="shared" ref="CN947" si="2817">+BT947+BS947</f>
        <v>670120.35000000009</v>
      </c>
      <c r="CO947" s="118">
        <f t="shared" si="2749"/>
        <v>718.22528455920337</v>
      </c>
      <c r="CP947" s="186">
        <f>+(51-23)/(51-23*0.75)</f>
        <v>0.82962962962962961</v>
      </c>
      <c r="CQ947" s="118">
        <f>CQ924*CP947+CO925*CP946+CO926*CP945+CO927*CP944+CO928*CP943+CO929*CP942+CO930*CP941+CO931*CP940+CO932*CP939+CO933*CP938+CO934*CP937+CO935*CP936+CO936*CP935+CO937*CP934+CO938*CP933+CO929*CP932+CO940*CP931+CO941*CP930+CO942*CP929+CO943*CP928+CO944*CP927+CO945*CP926+CO947+CO946*CP925</f>
        <v>18388.167219981122</v>
      </c>
      <c r="CR947" s="119"/>
      <c r="CS947" s="118"/>
      <c r="CT947" s="177">
        <f t="shared" si="2751"/>
        <v>-3.0586710282062331E-3</v>
      </c>
      <c r="CU947" s="177">
        <f t="shared" si="2759"/>
        <v>4.9935786681544149E-3</v>
      </c>
      <c r="CV947" s="119">
        <f>VLOOKUP($H947,RoR!$E:$F,2,FALSE)</f>
        <v>2.7033333333333336E-2</v>
      </c>
      <c r="CW947" s="177"/>
      <c r="CX947" s="177"/>
      <c r="CY947" s="177">
        <f t="shared" si="2760"/>
        <v>2.5908362940379209E-2</v>
      </c>
      <c r="CZ947" s="177">
        <f t="shared" si="2761"/>
        <v>7.433422950153494E-2</v>
      </c>
      <c r="DA947" s="187">
        <f t="shared" si="2752"/>
        <v>0.89931249999999996</v>
      </c>
      <c r="DB947" s="188">
        <f t="shared" si="2753"/>
        <v>1.8969932656739068</v>
      </c>
      <c r="DC947" s="188">
        <f t="shared" si="2754"/>
        <v>5.0215782983970621E-2</v>
      </c>
      <c r="DD947" s="188">
        <f t="shared" si="2755"/>
        <v>0.655952481704143</v>
      </c>
      <c r="DE947" s="188">
        <f t="shared" si="2756"/>
        <v>6.2485378865697057E-2</v>
      </c>
      <c r="DF947" s="189">
        <f>DF946</f>
        <v>0.26849999999999996</v>
      </c>
      <c r="DG947" s="189">
        <v>0.375</v>
      </c>
      <c r="DH947" s="190">
        <f t="shared" si="2758"/>
        <v>29.627215706139999</v>
      </c>
      <c r="DI947" s="190"/>
      <c r="DJ947" s="177">
        <f t="shared" ref="DJ947" si="2818">LN(DH947/DH946)</f>
        <v>0.30197033698803083</v>
      </c>
      <c r="DK947" s="189">
        <f>VLOOKUP($H947,RoR!$E:$F,2,FALSE)</f>
        <v>2.7033333333333336E-2</v>
      </c>
      <c r="DL947" s="191">
        <f>HLOOKUP($H947,'GDP-PI'!$D$8:$CR$11,3,FALSE)</f>
        <v>4.2834637353352578E-2</v>
      </c>
      <c r="DM947" s="189">
        <f>VLOOKUP(H947,'HW Dx Data'!$E:$F,2,FALSE)</f>
        <v>933.02249921662576</v>
      </c>
      <c r="DN947" s="183">
        <f>VLOOKUP(H947,'ECI - Input Price'!$G$17:$H$37,2,FALSE)</f>
        <v>145.47500000000002</v>
      </c>
      <c r="DO947" s="177">
        <f t="shared" ref="DO947" si="2819">LN(DN947/DN946)</f>
        <v>3.5152696992481205E-2</v>
      </c>
      <c r="DP947" s="183">
        <f>HLOOKUP(H947,'GDP-PI'!$8:$9,2,FALSE)</f>
        <v>118.49</v>
      </c>
      <c r="DQ947" s="177">
        <f t="shared" ref="DQ947" si="2820">LN(DP947/DP946)</f>
        <v>4.194261824609434E-2</v>
      </c>
    </row>
    <row r="948" spans="1:121" s="167" customFormat="1" ht="21" x14ac:dyDescent="0.35">
      <c r="A948" s="167" t="s">
        <v>96</v>
      </c>
      <c r="B948" s="167" t="s">
        <v>96</v>
      </c>
      <c r="C948" s="167">
        <v>4062485</v>
      </c>
      <c r="D948" s="168" t="s">
        <v>133</v>
      </c>
      <c r="E948" s="168"/>
      <c r="F948" s="198"/>
      <c r="G948" s="167" t="s">
        <v>4</v>
      </c>
      <c r="H948" s="169">
        <v>1998</v>
      </c>
      <c r="I948" s="170"/>
      <c r="J948" s="166"/>
      <c r="K948" s="166"/>
      <c r="L948" s="166"/>
      <c r="M948" s="166"/>
      <c r="N948" s="196"/>
      <c r="O948" s="166"/>
      <c r="P948" s="172"/>
      <c r="Q948" s="172"/>
      <c r="R948" s="172"/>
      <c r="S948" s="166"/>
      <c r="T948" s="172"/>
      <c r="U948" s="172"/>
      <c r="V948" s="166"/>
      <c r="W948" s="170"/>
      <c r="X948" s="174">
        <v>3855.379556170551</v>
      </c>
      <c r="Y948" s="175"/>
      <c r="Z948" s="166"/>
      <c r="AA948" s="175"/>
      <c r="AB948" s="175"/>
      <c r="AC948" s="170">
        <f t="shared" si="2659"/>
        <v>0</v>
      </c>
      <c r="AD948" s="170"/>
      <c r="AE948" s="170"/>
      <c r="AF948" s="119"/>
      <c r="AG948" s="174"/>
      <c r="AH948" s="175"/>
      <c r="AI948" s="175"/>
      <c r="AJ948" s="174"/>
      <c r="AK948" s="174"/>
      <c r="AL948" s="120"/>
      <c r="AM948" s="120"/>
      <c r="AN948" s="120"/>
      <c r="AO948" s="120"/>
      <c r="AP948" s="120"/>
      <c r="AQ948" s="175">
        <f>AVERAGE(AQ957:AQ971)</f>
        <v>1.7468142021566931E-2</v>
      </c>
      <c r="AR948" s="120"/>
      <c r="AS948" s="120"/>
      <c r="AT948" s="120"/>
      <c r="AU948" s="120"/>
      <c r="AV948" s="120"/>
      <c r="AW948" s="120"/>
      <c r="AX948" s="120"/>
      <c r="AY948" s="120"/>
      <c r="AZ948" s="118">
        <f>IFERROR(INDEX('Total Customers'!$F$7:$AB$91,MATCH($C948,'Total Customers'!$D$7:$D$91,0),MATCH($G948,'Total Customers'!$F$5:$AB$5,0)),"NA")</f>
        <v>532616</v>
      </c>
      <c r="BA948" s="119"/>
      <c r="BB948" s="119"/>
      <c r="BC948" s="121"/>
      <c r="BD948" s="119"/>
      <c r="BE948" s="119"/>
      <c r="BF948" s="119"/>
      <c r="BG948" s="173"/>
      <c r="BH948" s="173"/>
      <c r="BI948" s="173"/>
      <c r="BJ948" s="173"/>
      <c r="BK948" s="173"/>
      <c r="BL948" s="173"/>
      <c r="BM948" s="173"/>
      <c r="BN948" s="173"/>
      <c r="BO948" s="173"/>
      <c r="BP948" s="173"/>
      <c r="BQ948" s="118">
        <f>INDEX('Gross Dx Plant'!$E$7:$AD$91,MATCH($C948,'Gross Dx Plant'!$D$7:$D$91,0),MATCH(Calculation!$G948,'Gross Dx Plant'!$E$5:$AD$5,0))</f>
        <v>1041832</v>
      </c>
      <c r="BR948" s="118">
        <f>INDEX('Gross Gen Plant'!$E$7:$AD$91,MATCH($C948,'Gross Gen Plant'!$D$7:$D$91,0),MATCH(Calculation!$G948,'Gross Gen Plant'!$E$5:$AD$5,0))</f>
        <v>59948</v>
      </c>
      <c r="BS948" s="118">
        <f>INDEX('Dist. Plant Gas Additions'!$F$7:$AE$91,MATCH($C948,'Dist. Plant Gas Additions'!$D$7:$D$91,0),MATCH(Calculation!$G948,'Dist. Plant Gas Additions'!$F$5:$AE$5,0))</f>
        <v>84052</v>
      </c>
      <c r="BT948" s="118">
        <f>INDEX('Gen. Plant Additions'!$F$7:$AE$91,MATCH($C948,'Gen. Plant Additions'!$D$7:$D$91,0),MATCH(Calculation!$G948,'Gen. Plant Additions'!$F$5:$AE$5,0))</f>
        <v>9052</v>
      </c>
      <c r="BU948" s="118" t="e">
        <f>INDEX('Dist Plant Depreciation'!$E$7:$AA$94,MATCH($C948,'Dist Plant Depreciation'!$D$7:$D$94,0),MATCH(#REF!,'Dist Plant Depreciation'!$E$5:$AA$5,0))</f>
        <v>#REF!</v>
      </c>
      <c r="BV948" s="118" t="e">
        <f>INDEX('Gen. Plant Depreciation'!$E$7:$AA$94,MATCH($C948,'Gen. Plant Depreciation'!$D$7:$D$94,0),MATCH(#REF!,'Gen. Plant Depreciation'!$E$5:$AA$5,0))</f>
        <v>#REF!</v>
      </c>
      <c r="BW948" s="118">
        <f>INDEX('Dist Plant Depreciation'!$E$7:$AD$94,MATCH($C948,'Dist Plant Depreciation'!$D$7:$D$94,0),MATCH(Calculation!$G948,'Dist Plant Depreciation'!$E$5:$AD$5,0))</f>
        <v>301426</v>
      </c>
      <c r="BX948" s="118">
        <f>INDEX('Gen. Plant Depreciation'!$E$7:$AD$94,MATCH($C948,'Gen. Plant Depreciation'!$D$7:$D$94,0),MATCH(Calculation!$G948,'Gen. Plant Depreciation'!$E$5:$AD$5,0))</f>
        <v>22649</v>
      </c>
      <c r="BY948" s="118"/>
      <c r="BZ948" s="118"/>
      <c r="CA948" s="118"/>
      <c r="CB948" s="118"/>
      <c r="CC948" s="118"/>
      <c r="CD948" s="183"/>
      <c r="CE948" s="118">
        <f>INDEX('Gross Dx Plant'!$E$7:$AD$91,MATCH($C948,'Gross Dx Plant'!$D$7:$D$91,0),MATCH(Calculation!$G948,'Gross Dx Plant'!$E$5:$AD$5,0))</f>
        <v>1041832</v>
      </c>
      <c r="CF948" s="118">
        <f>INDEX('Gross Gen Plant'!$E$7:$AD$91,MATCH($C948,'Gross Gen Plant'!$D$7:$D$91,0),MATCH(Calculation!$G948,'Gross Gen Plant'!$E$5:$AD$5,0))</f>
        <v>59948</v>
      </c>
      <c r="CG948" s="118">
        <f t="shared" si="2806"/>
        <v>777705</v>
      </c>
      <c r="CH948" s="118"/>
      <c r="CI948" s="121">
        <v>1998</v>
      </c>
      <c r="CJ948" s="118">
        <f>BQ948+BR948</f>
        <v>1101780</v>
      </c>
      <c r="CK948" s="118">
        <f>301426+22649</f>
        <v>324075</v>
      </c>
      <c r="CL948" s="118">
        <f>+CJ948-CK948</f>
        <v>777705</v>
      </c>
      <c r="CM948" s="118">
        <f>CL948/$CD$36</f>
        <v>3855.379556170551</v>
      </c>
      <c r="CN948" s="183"/>
      <c r="CO948" s="183"/>
      <c r="CP948" s="186">
        <v>1</v>
      </c>
      <c r="CQ948" s="118">
        <f>+CM948</f>
        <v>3855.379556170551</v>
      </c>
      <c r="CR948" s="119"/>
      <c r="CS948" s="119"/>
      <c r="CT948" s="177"/>
      <c r="CU948" s="177"/>
      <c r="CV948" s="119" t="e">
        <f>VLOOKUP($H948,RoR!$E:$F,2,FALSE)</f>
        <v>#N/A</v>
      </c>
      <c r="CW948" s="177">
        <v>1.1028127770464469E-2</v>
      </c>
      <c r="CX948" s="177"/>
      <c r="CY948" s="177"/>
      <c r="CZ948" s="177"/>
      <c r="DA948" s="187"/>
      <c r="DB948" s="190" t="e">
        <f>2/(DK948*39)</f>
        <v>#N/A</v>
      </c>
      <c r="DC948" s="188" t="e">
        <f>+(DK948*40-(1+DK948))/(DK948*40)</f>
        <v>#N/A</v>
      </c>
      <c r="DD948" s="188" t="e">
        <f>+(1-(1/(1+DK948)^40))</f>
        <v>#N/A</v>
      </c>
      <c r="DE948" s="188" t="e">
        <f>+DD948*DC948*DB948</f>
        <v>#N/A</v>
      </c>
      <c r="DF948" s="189">
        <f>INDEX('State Tax Lookup'!$D$7:$Z$91,MATCH(Calculation!$C948,'State Tax Lookup'!$B$7:$B$91,0),MATCH($H948,'State Tax Lookup'!$D$6:$Z$6,0))</f>
        <v>0.35</v>
      </c>
      <c r="DG948" s="189">
        <v>0.375</v>
      </c>
      <c r="DH948" s="183"/>
      <c r="DI948" s="183"/>
      <c r="DJ948" s="177"/>
      <c r="DK948" s="189" t="e">
        <f>VLOOKUP($H948,RoR!$E:$F,2,FALSE)</f>
        <v>#N/A</v>
      </c>
      <c r="DL948" s="191">
        <f>HLOOKUP($H948,'GDP-PI'!$D$8:$CQ$11,3,FALSE)</f>
        <v>1.1028127770464469E-2</v>
      </c>
      <c r="DM948" s="189">
        <f>VLOOKUP(H948,'HW Dx Data'!$E:$F,2,FALSE)</f>
        <v>329.24564746449528</v>
      </c>
      <c r="DN948" s="183" t="e">
        <f>VLOOKUP(H948,'ECI - Input Price'!$G$17:$H$37,2,FALSE)</f>
        <v>#N/A</v>
      </c>
      <c r="DO948" s="177"/>
      <c r="DP948" s="183">
        <f>HLOOKUP(H948,'GDP-PI'!$8:$9,2,FALSE)</f>
        <v>75.266999999999996</v>
      </c>
    </row>
    <row r="949" spans="1:121" s="167" customFormat="1" ht="21" x14ac:dyDescent="0.35">
      <c r="A949" s="167" t="s">
        <v>96</v>
      </c>
      <c r="B949" s="167" t="s">
        <v>96</v>
      </c>
      <c r="C949" s="167">
        <v>4062485</v>
      </c>
      <c r="D949" s="168" t="s">
        <v>133</v>
      </c>
      <c r="E949" s="168"/>
      <c r="F949" s="198"/>
      <c r="G949" s="167" t="s">
        <v>5</v>
      </c>
      <c r="H949" s="169">
        <v>1999</v>
      </c>
      <c r="I949" s="170"/>
      <c r="J949" s="166"/>
      <c r="K949" s="170"/>
      <c r="L949" s="170"/>
      <c r="M949" s="166"/>
      <c r="N949" s="173"/>
      <c r="O949" s="170"/>
      <c r="P949" s="177"/>
      <c r="Q949" s="177"/>
      <c r="R949" s="177"/>
      <c r="S949" s="195"/>
      <c r="T949" s="177"/>
      <c r="U949" s="177"/>
      <c r="V949" s="166">
        <f t="shared" ref="V949:V971" si="2821">+CQ948*DH949</f>
        <v>0</v>
      </c>
      <c r="W949" s="170"/>
      <c r="X949" s="174">
        <v>4154.1289375070755</v>
      </c>
      <c r="Y949" s="175">
        <v>7.4633304014362009E-2</v>
      </c>
      <c r="Z949" s="175"/>
      <c r="AA949" s="175"/>
      <c r="AB949" s="175"/>
      <c r="AC949" s="170">
        <f t="shared" si="2659"/>
        <v>0</v>
      </c>
      <c r="AD949" s="175"/>
      <c r="AE949" s="170"/>
      <c r="AF949" s="119"/>
      <c r="AG949" s="174"/>
      <c r="AH949" s="175"/>
      <c r="AI949" s="175"/>
      <c r="AJ949" s="174"/>
      <c r="AK949" s="174"/>
      <c r="AL949" s="120"/>
      <c r="AM949" s="120"/>
      <c r="AN949" s="120"/>
      <c r="AO949" s="120"/>
      <c r="AP949" s="120"/>
      <c r="AQ949" s="175"/>
      <c r="AR949" s="120"/>
      <c r="AS949" s="120"/>
      <c r="AT949" s="120"/>
      <c r="AU949" s="120"/>
      <c r="AV949" s="120"/>
      <c r="AW949" s="120"/>
      <c r="AX949" s="120"/>
      <c r="AY949" s="120"/>
      <c r="AZ949" s="118">
        <f>IFERROR(INDEX('Total Customers'!$F$7:$AB$91,MATCH($C949,'Total Customers'!$D$7:$D$91,0),MATCH($G949,'Total Customers'!$F$5:$AB$5,0)),"NA")</f>
        <v>556703</v>
      </c>
      <c r="BA949" s="119">
        <f t="shared" ref="BA949:BA971" si="2822">LN(AZ949/AZ948)</f>
        <v>4.4231169838412597E-2</v>
      </c>
      <c r="BB949" s="119"/>
      <c r="BC949" s="121"/>
      <c r="BD949" s="119"/>
      <c r="BE949" s="119"/>
      <c r="BF949" s="119"/>
      <c r="BG949" s="173"/>
      <c r="BH949" s="173"/>
      <c r="BI949" s="173"/>
      <c r="BJ949" s="173"/>
      <c r="BK949" s="173"/>
      <c r="BL949" s="173"/>
      <c r="BM949" s="173"/>
      <c r="BN949" s="173"/>
      <c r="BO949" s="173"/>
      <c r="BP949" s="173"/>
      <c r="BQ949" s="118"/>
      <c r="BR949" s="118"/>
      <c r="BS949" s="118">
        <f>INDEX('Dist. Plant Gas Additions'!$F$7:$AE$91,MATCH($C949,'Dist. Plant Gas Additions'!$D$7:$D$91,0),MATCH(Calculation!$G949,'Dist. Plant Gas Additions'!$F$5:$AE$5,0))</f>
        <v>105976</v>
      </c>
      <c r="BT949" s="118">
        <f>INDEX('Gen. Plant Additions'!$F$7:$AE$91,MATCH($C949,'Gen. Plant Additions'!$D$7:$D$91,0),MATCH(Calculation!$G949,'Gen. Plant Additions'!$F$5:$AE$5,0))</f>
        <v>634</v>
      </c>
      <c r="BU949" s="118"/>
      <c r="BV949" s="118"/>
      <c r="BW949" s="118">
        <f>INDEX('Dist Plant Depreciation'!$E$7:$AD$94,MATCH($C949,'Dist Plant Depreciation'!$D$7:$D$94,0),MATCH(Calculation!$G949,'Dist Plant Depreciation'!$E$5:$AD$5,0))</f>
        <v>331377</v>
      </c>
      <c r="BX949" s="118">
        <f>INDEX('Gen. Plant Depreciation'!$E$7:$AD$94,MATCH($C949,'Gen. Plant Depreciation'!$D$7:$D$94,0),MATCH(Calculation!$G949,'Gen. Plant Depreciation'!$E$5:$AD$5,0))</f>
        <v>17355</v>
      </c>
      <c r="BY949" s="118"/>
      <c r="BZ949" s="118"/>
      <c r="CA949" s="118"/>
      <c r="CB949" s="118"/>
      <c r="CC949" s="118"/>
      <c r="CD949" s="183"/>
      <c r="CE949" s="118">
        <f>INDEX('Gross Dx Plant'!$E$7:$AD$91,MATCH($C949,'Gross Dx Plant'!$D$7:$D$91,0),MATCH(Calculation!$G949,'Gross Dx Plant'!$E$5:$AD$5,0))</f>
        <v>1132712</v>
      </c>
      <c r="CF949" s="118">
        <f>INDEX('Gross Gen Plant'!$E$7:$AD$91,MATCH($C949,'Gross Gen Plant'!$D$7:$D$91,0),MATCH(Calculation!$G949,'Gross Gen Plant'!$E$5:$AD$5,0))</f>
        <v>59228</v>
      </c>
      <c r="CG949" s="118">
        <f t="shared" si="2806"/>
        <v>843208</v>
      </c>
      <c r="CH949" s="118"/>
      <c r="CI949" s="121">
        <v>1999</v>
      </c>
      <c r="CJ949" s="118"/>
      <c r="CK949" s="118"/>
      <c r="CL949" s="118"/>
      <c r="CM949" s="183"/>
      <c r="CN949" s="118">
        <f t="shared" ref="CN949:CN971" si="2823">+BT949+BS949</f>
        <v>106610</v>
      </c>
      <c r="CO949" s="118">
        <f t="shared" ref="CO949:CO971" si="2824">+CN949/$DM949</f>
        <v>317.9303741532936</v>
      </c>
      <c r="CP949" s="186">
        <v>0.99502487562189057</v>
      </c>
      <c r="CQ949" s="118">
        <f>+CQ948*CP949+CO949</f>
        <v>4154.1289375070755</v>
      </c>
      <c r="CR949" s="119">
        <f t="shared" ref="CR949:CR970" si="2825">LN(CQ949/CQ948)</f>
        <v>7.4633304014362009E-2</v>
      </c>
      <c r="CS949" s="119"/>
      <c r="CT949" s="177">
        <f t="shared" ref="CT949:CT971" si="2826">+(CQ948-CQ949+CO949)/CQ948</f>
        <v>4.9751243781095029E-3</v>
      </c>
      <c r="CU949" s="177"/>
      <c r="CV949" s="119">
        <f>VLOOKUP($H949,RoR!$E:$F,2,FALSE)</f>
        <v>7.0416666666666669E-2</v>
      </c>
      <c r="CW949" s="177">
        <v>1.4335631817396832E-2</v>
      </c>
      <c r="CX949" s="177">
        <f>+CV949-CW949</f>
        <v>5.6081034849269837E-2</v>
      </c>
      <c r="CY949" s="177"/>
      <c r="CZ949" s="177"/>
      <c r="DA949" s="187">
        <f t="shared" ref="DA949:DA971" si="2827">1-DF949*DG949</f>
        <v>0.86875000000000002</v>
      </c>
      <c r="DB949" s="188">
        <f t="shared" ref="DB949:DB971" si="2828">2/(DK949*39)</f>
        <v>0.72826581702321336</v>
      </c>
      <c r="DC949" s="188">
        <f t="shared" ref="DC949:DC971" si="2829">+(DK949*40-(1+DK949))/(DK949*40)</f>
        <v>0.61997041420118348</v>
      </c>
      <c r="DD949" s="188">
        <f t="shared" ref="DD949:DD971" si="2830">+(1-(1/(1+DK949)^40))</f>
        <v>0.93425155319585029</v>
      </c>
      <c r="DE949" s="188">
        <f t="shared" ref="DE949:DE971" si="2831">+DD949*DC949*DB949</f>
        <v>0.42181762214141483</v>
      </c>
      <c r="DF949" s="189">
        <f>INDEX('State Tax Lookup'!$D$7:$Z$91,MATCH(Calculation!$C949,'State Tax Lookup'!$B$7:$B$91,0),MATCH($H949,'State Tax Lookup'!$D$6:$Z$6,0))</f>
        <v>0.35</v>
      </c>
      <c r="DG949" s="189">
        <v>0.375</v>
      </c>
      <c r="DH949" s="190"/>
      <c r="DI949" s="190"/>
      <c r="DJ949" s="177"/>
      <c r="DK949" s="189">
        <f>VLOOKUP($H949,RoR!$E:$F,2,FALSE)</f>
        <v>7.0416666666666669E-2</v>
      </c>
      <c r="DL949" s="191">
        <f>HLOOKUP($H949,'GDP-PI'!$D$8:$CQ$11,3,FALSE)</f>
        <v>1.4335631817396832E-2</v>
      </c>
      <c r="DM949" s="189">
        <f>VLOOKUP(H949,'HW Dx Data'!$E:$F,2,FALSE)</f>
        <v>335.32499146683239</v>
      </c>
      <c r="DN949" s="183" t="e">
        <f>VLOOKUP(H949,'ECI - Input Price'!$G$17:$H$37,2,FALSE)</f>
        <v>#N/A</v>
      </c>
      <c r="DO949" s="177"/>
      <c r="DP949" s="183">
        <f>HLOOKUP(H949,'GDP-PI'!$8:$9,2,FALSE)</f>
        <v>76.346000000000004</v>
      </c>
    </row>
    <row r="950" spans="1:121" s="167" customFormat="1" ht="21" x14ac:dyDescent="0.35">
      <c r="A950" s="167" t="s">
        <v>96</v>
      </c>
      <c r="B950" s="167" t="s">
        <v>96</v>
      </c>
      <c r="C950" s="167">
        <v>4062485</v>
      </c>
      <c r="D950" s="168" t="s">
        <v>133</v>
      </c>
      <c r="E950" s="168"/>
      <c r="F950" s="198"/>
      <c r="G950" s="167" t="s">
        <v>6</v>
      </c>
      <c r="H950" s="169">
        <v>2000</v>
      </c>
      <c r="I950" s="170"/>
      <c r="J950" s="166"/>
      <c r="K950" s="166"/>
      <c r="L950" s="166"/>
      <c r="M950" s="166"/>
      <c r="N950" s="196"/>
      <c r="O950" s="166"/>
      <c r="P950" s="166"/>
      <c r="Q950" s="166"/>
      <c r="R950" s="166"/>
      <c r="S950" s="166"/>
      <c r="T950" s="166"/>
      <c r="U950" s="166"/>
      <c r="V950" s="166">
        <f t="shared" si="2821"/>
        <v>0</v>
      </c>
      <c r="W950" s="170"/>
      <c r="X950" s="174">
        <v>4387.6201902412176</v>
      </c>
      <c r="Y950" s="175">
        <v>5.4684217870387242E-2</v>
      </c>
      <c r="Z950" s="175"/>
      <c r="AA950" s="175"/>
      <c r="AB950" s="175"/>
      <c r="AC950" s="170">
        <f t="shared" si="2659"/>
        <v>0</v>
      </c>
      <c r="AD950" s="175"/>
      <c r="AE950" s="170"/>
      <c r="AF950" s="170"/>
      <c r="AG950" s="174"/>
      <c r="AH950" s="175"/>
      <c r="AI950" s="175"/>
      <c r="AJ950" s="174"/>
      <c r="AK950" s="174"/>
      <c r="AL950" s="120"/>
      <c r="AM950" s="120"/>
      <c r="AN950" s="120"/>
      <c r="AO950" s="120"/>
      <c r="AP950" s="120"/>
      <c r="AQ950" s="175"/>
      <c r="AR950" s="120"/>
      <c r="AS950" s="120"/>
      <c r="AT950" s="120"/>
      <c r="AU950" s="120"/>
      <c r="AV950" s="120"/>
      <c r="AW950" s="120"/>
      <c r="AX950" s="120"/>
      <c r="AY950" s="120"/>
      <c r="AZ950" s="118">
        <f>IFERROR(INDEX('Total Customers'!$F$7:$AB$91,MATCH($C950,'Total Customers'!$D$7:$D$91,0),MATCH($G950,'Total Customers'!$F$5:$AB$5,0)),"NA")</f>
        <v>580292</v>
      </c>
      <c r="BA950" s="119">
        <f t="shared" si="2822"/>
        <v>4.1499541054952127E-2</v>
      </c>
      <c r="BB950" s="119"/>
      <c r="BC950" s="121"/>
      <c r="BD950" s="119"/>
      <c r="BE950" s="119"/>
      <c r="BF950" s="119"/>
      <c r="BG950" s="173"/>
      <c r="BH950" s="173"/>
      <c r="BI950" s="173"/>
      <c r="BJ950" s="173"/>
      <c r="BK950" s="173"/>
      <c r="BL950" s="173"/>
      <c r="BM950" s="173"/>
      <c r="BN950" s="173"/>
      <c r="BO950" s="173"/>
      <c r="BP950" s="173"/>
      <c r="BQ950" s="118"/>
      <c r="BR950" s="118"/>
      <c r="BS950" s="118">
        <f>INDEX('Dist. Plant Gas Additions'!$F$7:$AE$91,MATCH($C950,'Dist. Plant Gas Additions'!$D$7:$D$91,0),MATCH(Calculation!$G950,'Dist. Plant Gas Additions'!$F$5:$AE$5,0))</f>
        <v>87479</v>
      </c>
      <c r="BT950" s="118">
        <f>INDEX('Gen. Plant Additions'!$F$7:$AE$91,MATCH($C950,'Gen. Plant Additions'!$D$7:$D$91,0),MATCH(Calculation!$G950,'Gen. Plant Additions'!$F$5:$AE$5,0))</f>
        <v>830</v>
      </c>
      <c r="BU950" s="118"/>
      <c r="BV950" s="118"/>
      <c r="BW950" s="118">
        <f>INDEX('Dist Plant Depreciation'!$E$7:$AD$94,MATCH($C950,'Dist Plant Depreciation'!$D$7:$D$94,0),MATCH(Calculation!$G950,'Dist Plant Depreciation'!$E$5:$AD$5,0))</f>
        <v>364000</v>
      </c>
      <c r="BX950" s="118">
        <f>INDEX('Gen. Plant Depreciation'!$E$7:$AD$94,MATCH($C950,'Gen. Plant Depreciation'!$D$7:$D$94,0),MATCH(Calculation!$G950,'Gen. Plant Depreciation'!$E$5:$AD$5,0))</f>
        <v>18084</v>
      </c>
      <c r="BY950" s="118"/>
      <c r="BZ950" s="118"/>
      <c r="CA950" s="118"/>
      <c r="CB950" s="118"/>
      <c r="CC950" s="118"/>
      <c r="CD950" s="183"/>
      <c r="CE950" s="118">
        <f>INDEX('Gross Dx Plant'!$E$7:$AD$91,MATCH($C950,'Gross Dx Plant'!$D$7:$D$91,0),MATCH(Calculation!$G950,'Gross Dx Plant'!$E$5:$AD$5,0))</f>
        <v>1213627</v>
      </c>
      <c r="CF950" s="118">
        <f>INDEX('Gross Gen Plant'!$E$7:$AD$91,MATCH($C950,'Gross Gen Plant'!$D$7:$D$91,0),MATCH(Calculation!$G950,'Gross Gen Plant'!$E$5:$AD$5,0))</f>
        <v>58554</v>
      </c>
      <c r="CG950" s="118">
        <f t="shared" si="2806"/>
        <v>890097</v>
      </c>
      <c r="CH950" s="118"/>
      <c r="CI950" s="121">
        <v>2000</v>
      </c>
      <c r="CJ950" s="118"/>
      <c r="CK950" s="118"/>
      <c r="CL950" s="118"/>
      <c r="CM950" s="183"/>
      <c r="CN950" s="118">
        <f t="shared" si="2823"/>
        <v>88309</v>
      </c>
      <c r="CO950" s="118">
        <f t="shared" si="2824"/>
        <v>254.83523091247133</v>
      </c>
      <c r="CP950" s="186">
        <v>0.98989898989898994</v>
      </c>
      <c r="CQ950" s="118">
        <f>+CQ948*CP950+CO949*CP949+CO950</f>
        <v>4387.6201902412176</v>
      </c>
      <c r="CR950" s="119">
        <f t="shared" si="2825"/>
        <v>5.4684217870387242E-2</v>
      </c>
      <c r="CS950" s="119"/>
      <c r="CT950" s="177">
        <f t="shared" si="2826"/>
        <v>5.1380153335196929E-3</v>
      </c>
      <c r="CU950" s="177"/>
      <c r="CV950" s="119">
        <f>VLOOKUP($H950,RoR!$E:$F,2,FALSE)</f>
        <v>7.6225000000000001E-2</v>
      </c>
      <c r="CW950" s="177">
        <v>2.2568307442433211E-2</v>
      </c>
      <c r="CX950" s="177">
        <f t="shared" ref="CX950:CX970" si="2832">+CV950-CW950</f>
        <v>5.365669255756679E-2</v>
      </c>
      <c r="CY950" s="177"/>
      <c r="CZ950" s="177"/>
      <c r="DA950" s="187">
        <f t="shared" si="2827"/>
        <v>0.86875000000000002</v>
      </c>
      <c r="DB950" s="188">
        <f t="shared" si="2828"/>
        <v>0.67277207323124022</v>
      </c>
      <c r="DC950" s="188">
        <f t="shared" si="2829"/>
        <v>0.6470236142997704</v>
      </c>
      <c r="DD950" s="188">
        <f t="shared" si="2830"/>
        <v>0.94704866037543145</v>
      </c>
      <c r="DE950" s="188">
        <f t="shared" si="2831"/>
        <v>0.41224973107878493</v>
      </c>
      <c r="DF950" s="189">
        <f>INDEX('State Tax Lookup'!$D$7:$Z$91,MATCH(Calculation!$C950,'State Tax Lookup'!$B$7:$B$91,0),MATCH($H950,'State Tax Lookup'!$D$6:$Z$6,0))</f>
        <v>0.35</v>
      </c>
      <c r="DG950" s="189">
        <v>0.375</v>
      </c>
      <c r="DH950" s="190"/>
      <c r="DI950" s="190"/>
      <c r="DJ950" s="177"/>
      <c r="DK950" s="189">
        <f>VLOOKUP($H950,RoR!$E:$F,2,FALSE)</f>
        <v>7.6225000000000001E-2</v>
      </c>
      <c r="DL950" s="191">
        <f>HLOOKUP($H950,'GDP-PI'!$D$8:$CQ$11,3,FALSE)</f>
        <v>2.2568307442433211E-2</v>
      </c>
      <c r="DM950" s="189">
        <f>VLOOKUP(H950,'HW Dx Data'!$E:$F,2,FALSE)</f>
        <v>346.53371782150339</v>
      </c>
      <c r="DN950" s="183" t="e">
        <f>VLOOKUP(H950,'ECI - Input Price'!$G$17:$H$37,2,FALSE)</f>
        <v>#N/A</v>
      </c>
      <c r="DO950" s="177"/>
      <c r="DP950" s="183">
        <f>HLOOKUP(H950,'GDP-PI'!$8:$9,2,FALSE)</f>
        <v>78.069000000000003</v>
      </c>
    </row>
    <row r="951" spans="1:121" s="167" customFormat="1" ht="21" x14ac:dyDescent="0.35">
      <c r="A951" s="167" t="s">
        <v>96</v>
      </c>
      <c r="B951" s="167" t="s">
        <v>96</v>
      </c>
      <c r="C951" s="167">
        <v>4062485</v>
      </c>
      <c r="D951" s="168" t="s">
        <v>133</v>
      </c>
      <c r="E951" s="168"/>
      <c r="F951" s="198"/>
      <c r="G951" s="167" t="s">
        <v>7</v>
      </c>
      <c r="H951" s="169">
        <v>2001</v>
      </c>
      <c r="I951" s="170"/>
      <c r="J951" s="166"/>
      <c r="K951" s="166"/>
      <c r="L951" s="166"/>
      <c r="M951" s="166"/>
      <c r="N951" s="196"/>
      <c r="O951" s="166"/>
      <c r="P951" s="166"/>
      <c r="Q951" s="166"/>
      <c r="R951" s="166"/>
      <c r="S951" s="166"/>
      <c r="T951" s="166"/>
      <c r="U951" s="166"/>
      <c r="V951" s="166">
        <f t="shared" si="2821"/>
        <v>53458.463105614268</v>
      </c>
      <c r="W951" s="170"/>
      <c r="X951" s="174">
        <v>4706.7176614365571</v>
      </c>
      <c r="Y951" s="175">
        <v>7.0203795717177109E-2</v>
      </c>
      <c r="Z951" s="175"/>
      <c r="AA951" s="175"/>
      <c r="AB951" s="175"/>
      <c r="AC951" s="170">
        <f t="shared" si="2659"/>
        <v>53458.463105614268</v>
      </c>
      <c r="AD951" s="175"/>
      <c r="AE951" s="170"/>
      <c r="AF951" s="170"/>
      <c r="AG951" s="174"/>
      <c r="AH951" s="175"/>
      <c r="AI951" s="175"/>
      <c r="AJ951" s="174"/>
      <c r="AK951" s="174"/>
      <c r="AL951" s="120"/>
      <c r="AM951" s="120"/>
      <c r="AN951" s="120"/>
      <c r="AO951" s="120"/>
      <c r="AP951" s="120"/>
      <c r="AQ951" s="175"/>
      <c r="AR951" s="120"/>
      <c r="AS951" s="120"/>
      <c r="AT951" s="120"/>
      <c r="AU951" s="120"/>
      <c r="AV951" s="120"/>
      <c r="AW951" s="120"/>
      <c r="AX951" s="120"/>
      <c r="AY951" s="120"/>
      <c r="AZ951" s="118">
        <f>IFERROR(INDEX('Total Customers'!$F$7:$AB$91,MATCH($C951,'Total Customers'!$D$7:$D$91,0),MATCH($G951,'Total Customers'!$F$5:$AB$5,0)),"NA")</f>
        <v>597845</v>
      </c>
      <c r="BA951" s="119">
        <f t="shared" si="2822"/>
        <v>2.9800097900022329E-2</v>
      </c>
      <c r="BB951" s="119"/>
      <c r="BC951" s="121"/>
      <c r="BD951" s="119"/>
      <c r="BE951" s="119"/>
      <c r="BF951" s="119"/>
      <c r="BG951" s="173"/>
      <c r="BH951" s="173"/>
      <c r="BI951" s="173"/>
      <c r="BJ951" s="173"/>
      <c r="BK951" s="173"/>
      <c r="BL951" s="173"/>
      <c r="BM951" s="173"/>
      <c r="BN951" s="173"/>
      <c r="BO951" s="173"/>
      <c r="BP951" s="173"/>
      <c r="BQ951" s="118"/>
      <c r="BR951" s="118"/>
      <c r="BS951" s="118">
        <f>INDEX('Dist. Plant Gas Additions'!$F$7:$AE$91,MATCH($C951,'Dist. Plant Gas Additions'!$D$7:$D$91,0),MATCH(Calculation!$G951,'Dist. Plant Gas Additions'!$F$5:$AE$5,0))</f>
        <v>120053</v>
      </c>
      <c r="BT951" s="118">
        <f>INDEX('Gen. Plant Additions'!$F$7:$AE$91,MATCH($C951,'Gen. Plant Additions'!$D$7:$D$91,0),MATCH(Calculation!$G951,'Gen. Plant Additions'!$F$5:$AE$5,0))</f>
        <v>507</v>
      </c>
      <c r="BU951" s="118"/>
      <c r="BV951" s="118"/>
      <c r="BW951" s="118">
        <f>INDEX('Dist Plant Depreciation'!$E$7:$AD$94,MATCH($C951,'Dist Plant Depreciation'!$D$7:$D$94,0),MATCH(Calculation!$G951,'Dist Plant Depreciation'!$E$5:$AD$5,0))</f>
        <v>397916</v>
      </c>
      <c r="BX951" s="118">
        <f>INDEX('Gen. Plant Depreciation'!$E$7:$AD$94,MATCH($C951,'Gen. Plant Depreciation'!$D$7:$D$94,0),MATCH(Calculation!$G951,'Gen. Plant Depreciation'!$E$5:$AD$5,0))</f>
        <v>19466</v>
      </c>
      <c r="BY951" s="118"/>
      <c r="BZ951" s="118"/>
      <c r="CA951" s="118"/>
      <c r="CB951" s="118"/>
      <c r="CC951" s="118"/>
      <c r="CD951" s="183"/>
      <c r="CE951" s="118">
        <f>INDEX('Gross Dx Plant'!$E$7:$AD$91,MATCH($C951,'Gross Dx Plant'!$D$7:$D$91,0),MATCH(Calculation!$G951,'Gross Dx Plant'!$E$5:$AD$5,0))</f>
        <v>1322933</v>
      </c>
      <c r="CF951" s="118">
        <f>INDEX('Gross Gen Plant'!$E$7:$AD$91,MATCH($C951,'Gross Gen Plant'!$D$7:$D$91,0),MATCH(Calculation!$G951,'Gross Gen Plant'!$E$5:$AD$5,0))</f>
        <v>57022</v>
      </c>
      <c r="CG951" s="118">
        <f t="shared" si="2806"/>
        <v>962573</v>
      </c>
      <c r="CH951" s="118"/>
      <c r="CI951" s="121">
        <v>2001</v>
      </c>
      <c r="CJ951" s="118"/>
      <c r="CK951" s="118"/>
      <c r="CL951" s="118"/>
      <c r="CM951" s="183"/>
      <c r="CN951" s="118">
        <f t="shared" si="2823"/>
        <v>120560</v>
      </c>
      <c r="CO951" s="118">
        <f t="shared" si="2824"/>
        <v>341.09744975437491</v>
      </c>
      <c r="CP951" s="186">
        <v>0.98461538461538467</v>
      </c>
      <c r="CQ951" s="118">
        <f>+CQ948*CP951+CO949*CP950+CO950*CP948+CO951</f>
        <v>4706.7176614365571</v>
      </c>
      <c r="CR951" s="119">
        <f t="shared" si="2825"/>
        <v>7.0203795717177109E-2</v>
      </c>
      <c r="CS951" s="119"/>
      <c r="CT951" s="177">
        <f t="shared" si="2826"/>
        <v>5.014102772151279E-3</v>
      </c>
      <c r="CU951" s="177">
        <f>+(CT951+CT950+CT949)/3</f>
        <v>5.0424141612601583E-3</v>
      </c>
      <c r="CV951" s="119">
        <f>VLOOKUP($H951,RoR!$E:$F,2,FALSE)</f>
        <v>7.0824999999999999E-2</v>
      </c>
      <c r="CW951" s="177">
        <v>2.2454495382290052E-2</v>
      </c>
      <c r="CX951" s="177">
        <f t="shared" si="2832"/>
        <v>4.8370504617709947E-2</v>
      </c>
      <c r="CY951" s="177">
        <f>+$CX$35-CU951</f>
        <v>2.5859527447273468E-2</v>
      </c>
      <c r="CZ951" s="177">
        <f>+((DM949/DM948-1)+(DM950/DM949-1)+(DM951/DM950-1))/3</f>
        <v>2.3947275901631187E-2</v>
      </c>
      <c r="DA951" s="187">
        <f t="shared" si="2827"/>
        <v>0.86875000000000002</v>
      </c>
      <c r="DB951" s="188">
        <f t="shared" si="2828"/>
        <v>0.72406708481540816</v>
      </c>
      <c r="DC951" s="188">
        <f t="shared" si="2829"/>
        <v>0.62201729615248857</v>
      </c>
      <c r="DD951" s="188">
        <f t="shared" si="2830"/>
        <v>0.9352469954311422</v>
      </c>
      <c r="DE951" s="188">
        <f t="shared" si="2831"/>
        <v>0.42121864641655071</v>
      </c>
      <c r="DF951" s="189">
        <f>INDEX('State Tax Lookup'!$D$7:$Z$91,MATCH(Calculation!$C951,'State Tax Lookup'!$B$7:$B$91,0),MATCH($H951,'State Tax Lookup'!$D$6:$Z$6,0))</f>
        <v>0.35</v>
      </c>
      <c r="DG951" s="189">
        <v>0.375</v>
      </c>
      <c r="DH951" s="190">
        <f t="shared" ref="DH951:DH971" si="2833">+(DM951*CY951-CZ951)*DA951/(1-DF951)</f>
        <v>12.183931331274891</v>
      </c>
      <c r="DI951" s="190"/>
      <c r="DJ951" s="177"/>
      <c r="DK951" s="189">
        <f>VLOOKUP($H951,RoR!$E:$F,2,FALSE)</f>
        <v>7.0824999999999999E-2</v>
      </c>
      <c r="DL951" s="191">
        <f>HLOOKUP($H951,'GDP-PI'!$D$8:$CQ$11,3,FALSE)</f>
        <v>2.2454495382290052E-2</v>
      </c>
      <c r="DM951" s="189">
        <f>VLOOKUP(H951,'HW Dx Data'!$E:$F,2,FALSE)</f>
        <v>353.44738017483138</v>
      </c>
      <c r="DN951" s="183">
        <f>VLOOKUP(H951,'ECI - Input Price'!$G$17:$H$37,2,FALSE)</f>
        <v>86.2</v>
      </c>
      <c r="DO951" s="177"/>
      <c r="DP951" s="183">
        <f>HLOOKUP(H951,'GDP-PI'!$8:$9,2,FALSE)</f>
        <v>79.822000000000003</v>
      </c>
    </row>
    <row r="952" spans="1:121" s="167" customFormat="1" ht="21" x14ac:dyDescent="0.35">
      <c r="A952" s="167" t="s">
        <v>96</v>
      </c>
      <c r="B952" s="167" t="s">
        <v>96</v>
      </c>
      <c r="C952" s="167">
        <v>4062485</v>
      </c>
      <c r="D952" s="168" t="s">
        <v>133</v>
      </c>
      <c r="E952" s="168"/>
      <c r="F952" s="198"/>
      <c r="G952" s="167" t="s">
        <v>8</v>
      </c>
      <c r="H952" s="169">
        <v>2002</v>
      </c>
      <c r="I952" s="170"/>
      <c r="J952" s="166"/>
      <c r="K952" s="166"/>
      <c r="L952" s="166"/>
      <c r="M952" s="166"/>
      <c r="N952" s="196"/>
      <c r="O952" s="166"/>
      <c r="P952" s="166"/>
      <c r="Q952" s="166"/>
      <c r="R952" s="166"/>
      <c r="S952" s="166"/>
      <c r="T952" s="166"/>
      <c r="U952" s="166"/>
      <c r="V952" s="166">
        <f t="shared" si="2821"/>
        <v>58053.333828041199</v>
      </c>
      <c r="W952" s="170"/>
      <c r="X952" s="174">
        <v>4980.5860838123554</v>
      </c>
      <c r="Y952" s="175">
        <v>5.6556793703320112E-2</v>
      </c>
      <c r="Z952" s="175"/>
      <c r="AA952" s="175"/>
      <c r="AB952" s="175"/>
      <c r="AC952" s="170">
        <f t="shared" si="2659"/>
        <v>58053.333828041199</v>
      </c>
      <c r="AD952" s="175"/>
      <c r="AE952" s="170"/>
      <c r="AF952" s="170"/>
      <c r="AG952" s="174"/>
      <c r="AH952" s="175"/>
      <c r="AI952" s="175"/>
      <c r="AJ952" s="174"/>
      <c r="AK952" s="174"/>
      <c r="AL952" s="120"/>
      <c r="AM952" s="120"/>
      <c r="AN952" s="120"/>
      <c r="AO952" s="120"/>
      <c r="AP952" s="120"/>
      <c r="AQ952" s="175"/>
      <c r="AR952" s="120"/>
      <c r="AS952" s="120"/>
      <c r="AT952" s="120"/>
      <c r="AU952" s="120"/>
      <c r="AV952" s="120"/>
      <c r="AW952" s="120"/>
      <c r="AX952" s="120"/>
      <c r="AY952" s="120"/>
      <c r="AZ952" s="118">
        <f>IFERROR(INDEX('Total Customers'!$F$7:$AB$91,MATCH($C952,'Total Customers'!$D$7:$D$91,0),MATCH($G952,'Total Customers'!$F$5:$AB$5,0)),"NA")</f>
        <v>613540</v>
      </c>
      <c r="BA952" s="119">
        <f t="shared" si="2822"/>
        <v>2.5913938670776619E-2</v>
      </c>
      <c r="BB952" s="119"/>
      <c r="BC952" s="121"/>
      <c r="BD952" s="119"/>
      <c r="BE952" s="119"/>
      <c r="BF952" s="119"/>
      <c r="BG952" s="173"/>
      <c r="BH952" s="173"/>
      <c r="BI952" s="173"/>
      <c r="BJ952" s="173"/>
      <c r="BK952" s="173"/>
      <c r="BL952" s="173"/>
      <c r="BM952" s="173"/>
      <c r="BN952" s="173"/>
      <c r="BO952" s="173"/>
      <c r="BP952" s="173"/>
      <c r="BQ952" s="118"/>
      <c r="BR952" s="118"/>
      <c r="BS952" s="118">
        <f>INDEX('Dist. Plant Gas Additions'!$F$7:$AE$91,MATCH($C952,'Dist. Plant Gas Additions'!$D$7:$D$91,0),MATCH(Calculation!$G952,'Dist. Plant Gas Additions'!$F$5:$AE$5,0))</f>
        <v>108344</v>
      </c>
      <c r="BT952" s="118">
        <f>INDEX('Gen. Plant Additions'!$F$7:$AE$91,MATCH($C952,'Gen. Plant Additions'!$D$7:$D$91,0),MATCH(Calculation!$G952,'Gen. Plant Additions'!$F$5:$AE$5,0))</f>
        <v>359</v>
      </c>
      <c r="BU952" s="118"/>
      <c r="BV952" s="118"/>
      <c r="BW952" s="118">
        <f>INDEX('Dist Plant Depreciation'!$E$7:$AD$94,MATCH($C952,'Dist Plant Depreciation'!$D$7:$D$94,0),MATCH(Calculation!$G952,'Dist Plant Depreciation'!$E$5:$AD$5,0))</f>
        <v>430524</v>
      </c>
      <c r="BX952" s="118">
        <f>INDEX('Gen. Plant Depreciation'!$E$7:$AD$94,MATCH($C952,'Gen. Plant Depreciation'!$D$7:$D$94,0),MATCH(Calculation!$G952,'Gen. Plant Depreciation'!$E$5:$AD$5,0))</f>
        <v>20762</v>
      </c>
      <c r="BY952" s="118"/>
      <c r="BZ952" s="118"/>
      <c r="CA952" s="118"/>
      <c r="CB952" s="118"/>
      <c r="CC952" s="118"/>
      <c r="CD952" s="183"/>
      <c r="CE952" s="118">
        <f>INDEX('Gross Dx Plant'!$E$7:$AD$91,MATCH($C952,'Gross Dx Plant'!$D$7:$D$91,0),MATCH(Calculation!$G952,'Gross Dx Plant'!$E$5:$AD$5,0))</f>
        <v>1417297</v>
      </c>
      <c r="CF952" s="118">
        <f>INDEX('Gross Gen Plant'!$E$7:$AD$91,MATCH($C952,'Gross Gen Plant'!$D$7:$D$91,0),MATCH(Calculation!$G952,'Gross Gen Plant'!$E$5:$AD$5,0))</f>
        <v>56500</v>
      </c>
      <c r="CG952" s="118">
        <f t="shared" si="2806"/>
        <v>1022511</v>
      </c>
      <c r="CH952" s="118"/>
      <c r="CI952" s="121">
        <v>2002</v>
      </c>
      <c r="CJ952" s="118"/>
      <c r="CK952" s="118"/>
      <c r="CL952" s="118"/>
      <c r="CM952" s="183"/>
      <c r="CN952" s="118">
        <f t="shared" si="2823"/>
        <v>108703</v>
      </c>
      <c r="CO952" s="118">
        <f t="shared" si="2824"/>
        <v>300.82621224644282</v>
      </c>
      <c r="CP952" s="186">
        <v>0.97916666666666663</v>
      </c>
      <c r="CQ952" s="118">
        <f>+CQ948*CP952+CO949*CP951+CO950*CP950+CO951*CP949+CO952</f>
        <v>4980.5860838123554</v>
      </c>
      <c r="CR952" s="119">
        <f t="shared" si="2825"/>
        <v>5.6556793703320112E-2</v>
      </c>
      <c r="CS952" s="119"/>
      <c r="CT952" s="177">
        <f t="shared" si="2826"/>
        <v>5.7275136963317874E-3</v>
      </c>
      <c r="CU952" s="177">
        <f t="shared" ref="CU952:CU971" si="2834">+(CT952+CT951+CT950)/3</f>
        <v>5.2932106006675873E-3</v>
      </c>
      <c r="CV952" s="119">
        <f>VLOOKUP($H952,RoR!$E:$F,2,FALSE)</f>
        <v>6.4916666666666664E-2</v>
      </c>
      <c r="CW952" s="177">
        <v>1.5246423291824351E-2</v>
      </c>
      <c r="CX952" s="177">
        <f t="shared" si="2832"/>
        <v>4.9670243374842313E-2</v>
      </c>
      <c r="CY952" s="177">
        <f t="shared" ref="CY952:CY971" si="2835">+$CX$35-CU952</f>
        <v>2.5608731007866037E-2</v>
      </c>
      <c r="CZ952" s="177">
        <f t="shared" ref="CZ952:CZ971" si="2836">+((DM950/DM949-1)+(DM951/DM950-1)+(DM952/DM951-1))/3</f>
        <v>2.5243621214759093E-2</v>
      </c>
      <c r="DA952" s="187">
        <f t="shared" si="2827"/>
        <v>0.86875000000000002</v>
      </c>
      <c r="DB952" s="188">
        <f t="shared" si="2828"/>
        <v>0.78996741384417901</v>
      </c>
      <c r="DC952" s="188">
        <f t="shared" si="2829"/>
        <v>0.58989088575096271</v>
      </c>
      <c r="DD952" s="188">
        <f t="shared" si="2830"/>
        <v>0.91920675783645744</v>
      </c>
      <c r="DE952" s="188">
        <f t="shared" si="2831"/>
        <v>0.42834536472275586</v>
      </c>
      <c r="DF952" s="189">
        <f>INDEX('State Tax Lookup'!$D$7:$Z$91,MATCH(Calculation!$C952,'State Tax Lookup'!$B$7:$B$91,0),MATCH($H952,'State Tax Lookup'!$D$6:$Z$6,0))</f>
        <v>0.35</v>
      </c>
      <c r="DG952" s="189">
        <v>0.375</v>
      </c>
      <c r="DH952" s="190">
        <f t="shared" si="2833"/>
        <v>12.334144090198624</v>
      </c>
      <c r="DI952" s="190"/>
      <c r="DJ952" s="177"/>
      <c r="DK952" s="189">
        <f>VLOOKUP($H952,RoR!$E:$F,2,FALSE)</f>
        <v>6.4916666666666664E-2</v>
      </c>
      <c r="DL952" s="191">
        <f>HLOOKUP($H952,'GDP-PI'!$D$8:$CQ$11,3,FALSE)</f>
        <v>1.5246423291824351E-2</v>
      </c>
      <c r="DM952" s="189">
        <f>VLOOKUP(H952,'HW Dx Data'!$E:$F,2,FALSE)</f>
        <v>361.34816573413599</v>
      </c>
      <c r="DN952" s="183">
        <f>VLOOKUP(H952,'ECI - Input Price'!$G$17:$H$37,2,FALSE)</f>
        <v>89.275000000000006</v>
      </c>
      <c r="DO952" s="177">
        <f>LN(DN952/DN951)</f>
        <v>3.5051315810864674E-2</v>
      </c>
      <c r="DP952" s="183">
        <f>HLOOKUP(H952,'GDP-PI'!$8:$9,2,FALSE)</f>
        <v>81.039000000000001</v>
      </c>
      <c r="DQ952" s="177">
        <f>LN(DP952/DP951)</f>
        <v>1.513136459537477E-2</v>
      </c>
    </row>
    <row r="953" spans="1:121" s="167" customFormat="1" ht="21" x14ac:dyDescent="0.35">
      <c r="A953" s="167" t="s">
        <v>96</v>
      </c>
      <c r="B953" s="167" t="s">
        <v>96</v>
      </c>
      <c r="C953" s="167">
        <v>4062485</v>
      </c>
      <c r="D953" s="168" t="s">
        <v>133</v>
      </c>
      <c r="E953" s="168"/>
      <c r="F953" s="198"/>
      <c r="G953" s="167" t="s">
        <v>9</v>
      </c>
      <c r="H953" s="169">
        <v>2003</v>
      </c>
      <c r="I953" s="170"/>
      <c r="J953" s="166"/>
      <c r="K953" s="166"/>
      <c r="L953" s="166"/>
      <c r="M953" s="172"/>
      <c r="N953" s="196"/>
      <c r="O953" s="172"/>
      <c r="P953" s="166"/>
      <c r="Q953" s="166"/>
      <c r="R953" s="166"/>
      <c r="S953" s="166"/>
      <c r="T953" s="166"/>
      <c r="U953" s="166"/>
      <c r="V953" s="166">
        <f t="shared" si="2821"/>
        <v>62405.163477010887</v>
      </c>
      <c r="W953" s="170"/>
      <c r="X953" s="174">
        <v>5211.7419135933196</v>
      </c>
      <c r="Y953" s="175">
        <v>4.536656868250364E-2</v>
      </c>
      <c r="Z953" s="175"/>
      <c r="AA953" s="175"/>
      <c r="AB953" s="175"/>
      <c r="AC953" s="170">
        <f t="shared" si="2659"/>
        <v>62405.163477010887</v>
      </c>
      <c r="AD953" s="175"/>
      <c r="AE953" s="170"/>
      <c r="AF953" s="170"/>
      <c r="AG953" s="174"/>
      <c r="AH953" s="175"/>
      <c r="AI953" s="175"/>
      <c r="AJ953" s="174"/>
      <c r="AK953" s="174"/>
      <c r="AL953" s="120"/>
      <c r="AM953" s="120"/>
      <c r="AN953" s="120"/>
      <c r="AO953" s="120"/>
      <c r="AP953" s="120"/>
      <c r="AQ953" s="175"/>
      <c r="AR953" s="120"/>
      <c r="AS953" s="120"/>
      <c r="AT953" s="120"/>
      <c r="AU953" s="120"/>
      <c r="AV953" s="120"/>
      <c r="AW953" s="120"/>
      <c r="AX953" s="120"/>
      <c r="AY953" s="120"/>
      <c r="AZ953" s="118">
        <f>IFERROR(INDEX('Total Customers'!$F$7:$AB$91,MATCH($C953,'Total Customers'!$D$7:$D$91,0),MATCH($G953,'Total Customers'!$F$5:$AB$5,0)),"NA")</f>
        <v>633678</v>
      </c>
      <c r="BA953" s="119">
        <f t="shared" si="2822"/>
        <v>3.2295477284331603E-2</v>
      </c>
      <c r="BB953" s="119"/>
      <c r="BC953" s="121"/>
      <c r="BD953" s="119"/>
      <c r="BE953" s="119"/>
      <c r="BF953" s="119"/>
      <c r="BG953" s="173"/>
      <c r="BH953" s="173"/>
      <c r="BI953" s="173"/>
      <c r="BJ953" s="173"/>
      <c r="BK953" s="173"/>
      <c r="BL953" s="173"/>
      <c r="BM953" s="173"/>
      <c r="BN953" s="173"/>
      <c r="BO953" s="173"/>
      <c r="BP953" s="173"/>
      <c r="BQ953" s="118"/>
      <c r="BR953" s="118"/>
      <c r="BS953" s="118">
        <f>INDEX('Dist. Plant Gas Additions'!$F$7:$AE$91,MATCH($C953,'Dist. Plant Gas Additions'!$D$7:$D$91,0),MATCH(Calculation!$G953,'Dist. Plant Gas Additions'!$F$5:$AE$5,0))</f>
        <v>94930</v>
      </c>
      <c r="BT953" s="118">
        <f>INDEX('Gen. Plant Additions'!$F$7:$AE$91,MATCH($C953,'Gen. Plant Additions'!$D$7:$D$91,0),MATCH(Calculation!$G953,'Gen. Plant Additions'!$F$5:$AE$5,0))</f>
        <v>758</v>
      </c>
      <c r="BU953" s="118"/>
      <c r="BV953" s="118"/>
      <c r="BW953" s="118">
        <f>INDEX('Dist Plant Depreciation'!$E$7:$AD$94,MATCH($C953,'Dist Plant Depreciation'!$D$7:$D$94,0),MATCH(Calculation!$G953,'Dist Plant Depreciation'!$E$5:$AD$5,0))</f>
        <v>466465</v>
      </c>
      <c r="BX953" s="118">
        <f>INDEX('Gen. Plant Depreciation'!$E$7:$AD$94,MATCH($C953,'Gen. Plant Depreciation'!$D$7:$D$94,0),MATCH(Calculation!$G953,'Gen. Plant Depreciation'!$E$5:$AD$5,0))</f>
        <v>17541</v>
      </c>
      <c r="BY953" s="118"/>
      <c r="BZ953" s="118"/>
      <c r="CA953" s="118"/>
      <c r="CB953" s="118"/>
      <c r="CC953" s="118"/>
      <c r="CD953" s="183"/>
      <c r="CE953" s="118">
        <f>INDEX('Gross Dx Plant'!$E$7:$AD$91,MATCH($C953,'Gross Dx Plant'!$D$7:$D$91,0),MATCH(Calculation!$G953,'Gross Dx Plant'!$E$5:$AD$5,0))</f>
        <v>1499359</v>
      </c>
      <c r="CF953" s="118">
        <f>INDEX('Gross Gen Plant'!$E$7:$AD$91,MATCH($C953,'Gross Gen Plant'!$D$7:$D$91,0),MATCH(Calculation!$G953,'Gross Gen Plant'!$E$5:$AD$5,0))</f>
        <v>51143</v>
      </c>
      <c r="CG953" s="118">
        <f t="shared" si="2806"/>
        <v>1066496</v>
      </c>
      <c r="CH953" s="118"/>
      <c r="CI953" s="121">
        <v>2003</v>
      </c>
      <c r="CJ953" s="118"/>
      <c r="CK953" s="118"/>
      <c r="CL953" s="118"/>
      <c r="CM953" s="183"/>
      <c r="CN953" s="118">
        <f t="shared" si="2823"/>
        <v>95688</v>
      </c>
      <c r="CO953" s="118">
        <f t="shared" si="2824"/>
        <v>259.15342659193038</v>
      </c>
      <c r="CP953" s="186">
        <v>0.97354497354497349</v>
      </c>
      <c r="CQ953" s="118">
        <f>+CQ948*CP953+CO949*CP952+CO950*CP951+CO951*CP950+CO952*CP949+CO953</f>
        <v>5211.7419135933196</v>
      </c>
      <c r="CR953" s="119">
        <f t="shared" si="2825"/>
        <v>4.536656868250364E-2</v>
      </c>
      <c r="CS953" s="119"/>
      <c r="CT953" s="177">
        <f t="shared" si="2826"/>
        <v>5.6213458295525627E-3</v>
      </c>
      <c r="CU953" s="177">
        <f t="shared" si="2834"/>
        <v>5.4543207660118767E-3</v>
      </c>
      <c r="CV953" s="119">
        <f>VLOOKUP($H953,RoR!$E:$F,2,FALSE)</f>
        <v>5.6666666666666671E-2</v>
      </c>
      <c r="CW953" s="177">
        <v>1.8855119140166909E-2</v>
      </c>
      <c r="CX953" s="177">
        <f t="shared" si="2832"/>
        <v>3.7811547526499761E-2</v>
      </c>
      <c r="CY953" s="177">
        <f t="shared" si="2835"/>
        <v>2.5447620842521747E-2</v>
      </c>
      <c r="CZ953" s="177">
        <f t="shared" si="2836"/>
        <v>2.1375012817671957E-2</v>
      </c>
      <c r="DA953" s="187">
        <f t="shared" si="2827"/>
        <v>0.86875000000000002</v>
      </c>
      <c r="DB953" s="188">
        <f t="shared" si="2828"/>
        <v>0.90497737556561086</v>
      </c>
      <c r="DC953" s="188">
        <f t="shared" si="2829"/>
        <v>0.5338235294117647</v>
      </c>
      <c r="DD953" s="188">
        <f t="shared" si="2830"/>
        <v>0.88972433127405692</v>
      </c>
      <c r="DE953" s="188">
        <f t="shared" si="2831"/>
        <v>0.42982423775949252</v>
      </c>
      <c r="DF953" s="189">
        <f>INDEX('State Tax Lookup'!$D$7:$Z$91,MATCH(Calculation!$C953,'State Tax Lookup'!$B$7:$B$91,0),MATCH($H953,'State Tax Lookup'!$D$6:$Z$6,0))</f>
        <v>0.35</v>
      </c>
      <c r="DG953" s="189">
        <v>0.375</v>
      </c>
      <c r="DH953" s="190">
        <f t="shared" si="2833"/>
        <v>12.529682737506924</v>
      </c>
      <c r="DI953" s="190"/>
      <c r="DJ953" s="177"/>
      <c r="DK953" s="189">
        <f>VLOOKUP($H953,RoR!$E:$F,2,FALSE)</f>
        <v>5.6666666666666671E-2</v>
      </c>
      <c r="DL953" s="191">
        <f>HLOOKUP($H953,'GDP-PI'!$D$8:$CQ$11,3,FALSE)</f>
        <v>1.8855119140166909E-2</v>
      </c>
      <c r="DM953" s="189">
        <f>VLOOKUP(H953,'HW Dx Data'!$E:$F,2,FALSE)</f>
        <v>369.23301095560191</v>
      </c>
      <c r="DN953" s="183">
        <f>VLOOKUP(H953,'ECI - Input Price'!$G$17:$H$37,2,FALSE)</f>
        <v>92.625</v>
      </c>
      <c r="DO953" s="177">
        <f t="shared" ref="DO953" si="2837">LN(DN953/DN952)</f>
        <v>3.6837590135738785E-2</v>
      </c>
      <c r="DP953" s="183">
        <f>HLOOKUP(H953,'GDP-PI'!$8:$9,2,FALSE)</f>
        <v>82.566999999999993</v>
      </c>
      <c r="DQ953" s="177">
        <f t="shared" ref="DQ953" si="2838">LN(DP953/DP952)</f>
        <v>1.8679564681853753E-2</v>
      </c>
    </row>
    <row r="954" spans="1:121" s="167" customFormat="1" ht="21" x14ac:dyDescent="0.35">
      <c r="A954" s="167" t="s">
        <v>96</v>
      </c>
      <c r="B954" s="167" t="s">
        <v>96</v>
      </c>
      <c r="C954" s="167">
        <v>4062485</v>
      </c>
      <c r="D954" s="168" t="s">
        <v>133</v>
      </c>
      <c r="E954" s="168"/>
      <c r="F954" s="198"/>
      <c r="G954" s="167" t="s">
        <v>10</v>
      </c>
      <c r="H954" s="169">
        <v>2004</v>
      </c>
      <c r="I954" s="170"/>
      <c r="J954" s="166">
        <f>IFERROR(INDEX('Labor Expenditures'!$F$7:$X$91,MATCH($C954,'Labor Expenditures'!$D$7:$D$91,0),MATCH($G954,'Labor Expenditures'!$F$5:$X$5,0)),"NA")</f>
        <v>29285.790448583073</v>
      </c>
      <c r="K954" s="166">
        <f t="shared" ref="K954:K971" si="2839">+J954/DN954</f>
        <v>304.50522951477075</v>
      </c>
      <c r="L954" s="172"/>
      <c r="M954" s="172"/>
      <c r="N954" s="196"/>
      <c r="O954" s="172"/>
      <c r="P954" s="166">
        <f>IFERROR(INDEX('Non-Labor Expenditures'!$F$7:$AB$91,MATCH($C954,'Non-Labor Expenditures'!$D$7:$D$91,0),MATCH($G954,'Non-Labor Expenditures'!$F$5:$AB$5,0)),"NA")</f>
        <v>42411.294400698338</v>
      </c>
      <c r="Q954" s="166">
        <f t="shared" ref="Q954:Q971" si="2840">+P954/DP954</f>
        <v>500.26297389297144</v>
      </c>
      <c r="R954" s="166"/>
      <c r="S954" s="166"/>
      <c r="T954" s="166"/>
      <c r="U954" s="166"/>
      <c r="V954" s="166">
        <f t="shared" si="2821"/>
        <v>72404.770875982562</v>
      </c>
      <c r="W954" s="170"/>
      <c r="X954" s="174">
        <v>5452.69356416955</v>
      </c>
      <c r="Y954" s="175">
        <v>4.5195578233526108E-2</v>
      </c>
      <c r="Z954" s="175"/>
      <c r="AA954" s="175"/>
      <c r="AB954" s="175"/>
      <c r="AC954" s="170">
        <f t="shared" si="2659"/>
        <v>144101.85572526397</v>
      </c>
      <c r="AD954" s="175"/>
      <c r="AE954" s="170"/>
      <c r="AF954" s="170"/>
      <c r="AG954" s="174"/>
      <c r="AH954" s="175"/>
      <c r="AI954" s="175"/>
      <c r="AJ954" s="174"/>
      <c r="AK954" s="174"/>
      <c r="AL954" s="120">
        <f t="shared" ref="AL954:AL971" si="2841">+J954/AC954</f>
        <v>0.20322979396197102</v>
      </c>
      <c r="AM954" s="120">
        <f t="shared" ref="AM954:AM971" si="2842">+P954/AC954</f>
        <v>0.29431469974652646</v>
      </c>
      <c r="AN954" s="120">
        <f t="shared" ref="AN954:AN971" si="2843">+V954/AC954</f>
        <v>0.50245550629150249</v>
      </c>
      <c r="AO954" s="120"/>
      <c r="AP954" s="120"/>
      <c r="AQ954" s="175"/>
      <c r="AR954" s="120"/>
      <c r="AS954" s="120"/>
      <c r="AT954" s="120"/>
      <c r="AU954" s="120"/>
      <c r="AV954" s="120"/>
      <c r="AW954" s="120"/>
      <c r="AX954" s="120"/>
      <c r="AY954" s="120"/>
      <c r="AZ954" s="118">
        <f>IFERROR(INDEX('Total Customers'!$F$7:$AB$91,MATCH($C954,'Total Customers'!$D$7:$D$91,0),MATCH($G954,'Total Customers'!$F$5:$AB$5,0)),"NA")</f>
        <v>661739</v>
      </c>
      <c r="BA954" s="119">
        <f t="shared" si="2822"/>
        <v>4.3330279393547715E-2</v>
      </c>
      <c r="BB954" s="119"/>
      <c r="BC954" s="121"/>
      <c r="BD954" s="119"/>
      <c r="BE954" s="119"/>
      <c r="BF954" s="119"/>
      <c r="BG954" s="173"/>
      <c r="BH954" s="173"/>
      <c r="BI954" s="173"/>
      <c r="BJ954" s="173"/>
      <c r="BK954" s="173"/>
      <c r="BL954" s="173"/>
      <c r="BM954" s="173"/>
      <c r="BN954" s="173"/>
      <c r="BO954" s="173"/>
      <c r="BP954" s="173"/>
      <c r="BQ954" s="118"/>
      <c r="BR954" s="118"/>
      <c r="BS954" s="118">
        <f>INDEX('Dist. Plant Gas Additions'!$F$7:$AE$91,MATCH($C954,'Dist. Plant Gas Additions'!$D$7:$D$91,0),MATCH(Calculation!$G954,'Dist. Plant Gas Additions'!$F$5:$AE$5,0))</f>
        <v>112319</v>
      </c>
      <c r="BT954" s="118">
        <f>INDEX('Gen. Plant Additions'!$F$7:$AE$91,MATCH($C954,'Gen. Plant Additions'!$D$7:$D$91,0),MATCH(Calculation!$G954,'Gen. Plant Additions'!$F$5:$AE$5,0))</f>
        <v>171</v>
      </c>
      <c r="BU954" s="118"/>
      <c r="BV954" s="118"/>
      <c r="BW954" s="118">
        <f>INDEX('Dist Plant Depreciation'!$E$7:$AD$94,MATCH($C954,'Dist Plant Depreciation'!$D$7:$D$94,0),MATCH(Calculation!$G954,'Dist Plant Depreciation'!$E$5:$AD$5,0))</f>
        <v>503283</v>
      </c>
      <c r="BX954" s="118">
        <f>INDEX('Gen. Plant Depreciation'!$E$7:$AD$94,MATCH($C954,'Gen. Plant Depreciation'!$D$7:$D$94,0),MATCH(Calculation!$G954,'Gen. Plant Depreciation'!$E$5:$AD$5,0))</f>
        <v>19677</v>
      </c>
      <c r="BY954" s="118"/>
      <c r="BZ954" s="118"/>
      <c r="CA954" s="118"/>
      <c r="CB954" s="118"/>
      <c r="CC954" s="118"/>
      <c r="CD954" s="183"/>
      <c r="CE954" s="118">
        <f>INDEX('Gross Dx Plant'!$E$7:$AD$91,MATCH($C954,'Gross Dx Plant'!$D$7:$D$91,0),MATCH(Calculation!$G954,'Gross Dx Plant'!$E$5:$AD$5,0))</f>
        <v>1597767</v>
      </c>
      <c r="CF954" s="118">
        <f>INDEX('Gross Gen Plant'!$E$7:$AD$91,MATCH($C954,'Gross Gen Plant'!$D$7:$D$91,0),MATCH(Calculation!$G954,'Gross Gen Plant'!$E$5:$AD$5,0))</f>
        <v>50553</v>
      </c>
      <c r="CG954" s="118">
        <f t="shared" si="2806"/>
        <v>1125360</v>
      </c>
      <c r="CH954" s="118"/>
      <c r="CI954" s="121">
        <v>2004</v>
      </c>
      <c r="CJ954" s="118"/>
      <c r="CK954" s="118"/>
      <c r="CL954" s="118"/>
      <c r="CM954" s="183"/>
      <c r="CN954" s="118">
        <f t="shared" si="2823"/>
        <v>112490</v>
      </c>
      <c r="CO954" s="118">
        <f t="shared" si="2824"/>
        <v>271.13394277936129</v>
      </c>
      <c r="CP954" s="186">
        <v>0.967741935483871</v>
      </c>
      <c r="CQ954" s="118">
        <f>+CQ948*CP954+CO949*CP953+CO950*CP952+CO951*CP951+CO952*CP950+CO953*CP949+CO954</f>
        <v>5452.69356416955</v>
      </c>
      <c r="CR954" s="119">
        <f t="shared" si="2825"/>
        <v>4.5195578233526108E-2</v>
      </c>
      <c r="CS954" s="119"/>
      <c r="CT954" s="177">
        <f t="shared" si="2826"/>
        <v>5.7912100605767092E-3</v>
      </c>
      <c r="CU954" s="177">
        <f t="shared" si="2834"/>
        <v>5.713356528820354E-3</v>
      </c>
      <c r="CV954" s="119">
        <f>VLOOKUP($H954,RoR!$E:$F,2,FALSE)</f>
        <v>5.6283333333333331E-2</v>
      </c>
      <c r="CW954" s="177">
        <v>2.6778252812867276E-2</v>
      </c>
      <c r="CX954" s="177">
        <f t="shared" si="2832"/>
        <v>2.9505080520466055E-2</v>
      </c>
      <c r="CY954" s="177">
        <f t="shared" si="2835"/>
        <v>2.518858507971327E-2</v>
      </c>
      <c r="CZ954" s="177">
        <f t="shared" si="2836"/>
        <v>5.5940039414565046E-2</v>
      </c>
      <c r="DA954" s="187">
        <f t="shared" si="2827"/>
        <v>0.86875000000000002</v>
      </c>
      <c r="DB954" s="188">
        <f t="shared" si="2828"/>
        <v>0.91114097628755619</v>
      </c>
      <c r="DC954" s="188">
        <f t="shared" si="2829"/>
        <v>0.53081877405981637</v>
      </c>
      <c r="DD954" s="188">
        <f t="shared" si="2830"/>
        <v>0.88811215519385678</v>
      </c>
      <c r="DE954" s="188">
        <f t="shared" si="2831"/>
        <v>0.42953609753547711</v>
      </c>
      <c r="DF954" s="189">
        <f>INDEX('State Tax Lookup'!$D$7:$Z$91,MATCH(Calculation!$C954,'State Tax Lookup'!$B$7:$B$91,0),MATCH($H954,'State Tax Lookup'!$D$6:$Z$6,0))</f>
        <v>0.35</v>
      </c>
      <c r="DG954" s="189">
        <v>0.375</v>
      </c>
      <c r="DH954" s="190">
        <f t="shared" si="2833"/>
        <v>13.892624016384174</v>
      </c>
      <c r="DI954" s="190"/>
      <c r="DJ954" s="177"/>
      <c r="DK954" s="189">
        <f>VLOOKUP($H954,RoR!$E:$F,2,FALSE)</f>
        <v>5.6283333333333331E-2</v>
      </c>
      <c r="DL954" s="191">
        <f>HLOOKUP($H954,'GDP-PI'!$D$8:$CQ$11,3,FALSE)</f>
        <v>2.6778252812867276E-2</v>
      </c>
      <c r="DM954" s="189">
        <f>VLOOKUP(H954,'HW Dx Data'!$E:$F,2,FALSE)</f>
        <v>414.88719135228365</v>
      </c>
      <c r="DN954" s="183">
        <f>VLOOKUP(H954,'ECI - Input Price'!$G$17:$H$37,2,FALSE)</f>
        <v>96.174999999999997</v>
      </c>
      <c r="DO954" s="177">
        <f t="shared" ref="DO954" si="2844">LN(DN954/DN953)</f>
        <v>3.7610365022107912E-2</v>
      </c>
      <c r="DP954" s="183">
        <f>HLOOKUP(H954,'GDP-PI'!$8:$9,2,FALSE)</f>
        <v>84.778000000000006</v>
      </c>
      <c r="DQ954" s="177">
        <f t="shared" ref="DQ954" si="2845">LN(DP954/DP953)</f>
        <v>2.6425990216022755E-2</v>
      </c>
    </row>
    <row r="955" spans="1:121" s="167" customFormat="1" ht="21" x14ac:dyDescent="0.35">
      <c r="A955" s="167" t="s">
        <v>96</v>
      </c>
      <c r="B955" s="167" t="s">
        <v>96</v>
      </c>
      <c r="C955" s="167">
        <v>4062485</v>
      </c>
      <c r="D955" s="168" t="s">
        <v>133</v>
      </c>
      <c r="E955" s="168"/>
      <c r="F955" s="198"/>
      <c r="G955" s="167" t="s">
        <v>11</v>
      </c>
      <c r="H955" s="169">
        <v>2005</v>
      </c>
      <c r="I955" s="170"/>
      <c r="J955" s="166">
        <f>IFERROR(INDEX('Labor Expenditures'!$F$7:$X$91,MATCH($C955,'Labor Expenditures'!$D$7:$D$91,0),MATCH($G955,'Labor Expenditures'!$F$5:$X$5,0)),"NA")</f>
        <v>36812.328311604149</v>
      </c>
      <c r="K955" s="166">
        <f t="shared" si="2839"/>
        <v>371.27915594154462</v>
      </c>
      <c r="L955" s="172">
        <f t="shared" ref="L955:L971" si="2846">LN(K955/K954)</f>
        <v>0.19826596044909842</v>
      </c>
      <c r="M955" s="172"/>
      <c r="N955" s="196"/>
      <c r="O955" s="172"/>
      <c r="P955" s="166">
        <f>IFERROR(INDEX('Non-Labor Expenditures'!$F$7:$AB$91,MATCH($C955,'Non-Labor Expenditures'!$D$7:$D$91,0),MATCH($G955,'Non-Labor Expenditures'!$F$5:$AB$5,0)),"NA")</f>
        <v>53311.126989715376</v>
      </c>
      <c r="Q955" s="166">
        <f t="shared" si="2840"/>
        <v>609.91827873872091</v>
      </c>
      <c r="R955" s="172">
        <f>LN(Q955/Q954)</f>
        <v>0.19819107096581112</v>
      </c>
      <c r="S955" s="172"/>
      <c r="T955" s="172"/>
      <c r="U955" s="172"/>
      <c r="V955" s="166">
        <f t="shared" si="2821"/>
        <v>85192.156205361258</v>
      </c>
      <c r="W955" s="170"/>
      <c r="X955" s="174">
        <v>5681.0317633659824</v>
      </c>
      <c r="Y955" s="175">
        <v>4.1023146176418397E-2</v>
      </c>
      <c r="Z955" s="175"/>
      <c r="AA955" s="175"/>
      <c r="AB955" s="175"/>
      <c r="AC955" s="170">
        <f t="shared" si="2659"/>
        <v>175315.61150668078</v>
      </c>
      <c r="AD955" s="175">
        <f>LN(AC955/AC954)</f>
        <v>0.19606746294374552</v>
      </c>
      <c r="AE955" s="170"/>
      <c r="AF955" s="170"/>
      <c r="AG955" s="121"/>
      <c r="AH955" s="119"/>
      <c r="AI955" s="119"/>
      <c r="AJ955" s="121"/>
      <c r="AK955" s="121"/>
      <c r="AL955" s="120">
        <f t="shared" si="2841"/>
        <v>0.2099774686078161</v>
      </c>
      <c r="AM955" s="120">
        <f t="shared" si="2842"/>
        <v>0.3040865929254899</v>
      </c>
      <c r="AN955" s="120">
        <f t="shared" si="2843"/>
        <v>0.48593593846669397</v>
      </c>
      <c r="AO955" s="120">
        <f t="shared" ref="AO955:AO971" si="2847">+(((AL955+AL954)/2)*L955+((AM954+AM955)/2)*R955+((AN954+AN955)/2)*Y955)</f>
        <v>0.12053482727888561</v>
      </c>
      <c r="AP955" s="173">
        <v>100</v>
      </c>
      <c r="AQ955" s="175"/>
      <c r="AR955" s="120"/>
      <c r="AS955" s="120"/>
      <c r="AT955" s="120"/>
      <c r="AU955" s="120"/>
      <c r="AV955" s="120"/>
      <c r="AW955" s="120"/>
      <c r="AX955" s="120"/>
      <c r="AY955" s="120"/>
      <c r="AZ955" s="118">
        <f>IFERROR(INDEX('Total Customers'!$F$7:$AB$91,MATCH($C955,'Total Customers'!$D$7:$D$91,0),MATCH($G955,'Total Customers'!$F$5:$AB$5,0)),"NA")</f>
        <v>682783</v>
      </c>
      <c r="BA955" s="119">
        <f t="shared" si="2822"/>
        <v>3.1305874751936788E-2</v>
      </c>
      <c r="BB955" s="119"/>
      <c r="BC955" s="121"/>
      <c r="BD955" s="119"/>
      <c r="BE955" s="119"/>
      <c r="BF955" s="119"/>
      <c r="BG955" s="173"/>
      <c r="BH955" s="173"/>
      <c r="BI955" s="173"/>
      <c r="BJ955" s="173"/>
      <c r="BK955" s="173"/>
      <c r="BL955" s="173"/>
      <c r="BM955" s="173"/>
      <c r="BN955" s="173"/>
      <c r="BO955" s="173"/>
      <c r="BP955" s="173"/>
      <c r="BQ955" s="118"/>
      <c r="BR955" s="118"/>
      <c r="BS955" s="118">
        <f>INDEX('Dist. Plant Gas Additions'!$F$7:$AE$91,MATCH($C955,'Dist. Plant Gas Additions'!$D$7:$D$91,0),MATCH(Calculation!$G955,'Dist. Plant Gas Additions'!$F$5:$AE$5,0))</f>
        <v>121279</v>
      </c>
      <c r="BT955" s="118">
        <f>INDEX('Gen. Plant Additions'!$F$7:$AE$91,MATCH($C955,'Gen. Plant Additions'!$D$7:$D$91,0),MATCH(Calculation!$G955,'Gen. Plant Additions'!$F$5:$AE$5,0))</f>
        <v>1112</v>
      </c>
      <c r="BU955" s="118"/>
      <c r="BV955" s="118"/>
      <c r="BW955" s="118">
        <f>INDEX('Dist Plant Depreciation'!$E$7:$AD$94,MATCH($C955,'Dist Plant Depreciation'!$D$7:$D$94,0),MATCH(Calculation!$G955,'Dist Plant Depreciation'!$E$5:$AD$5,0))</f>
        <v>542830</v>
      </c>
      <c r="BX955" s="118">
        <f>INDEX('Gen. Plant Depreciation'!$E$7:$AD$94,MATCH($C955,'Gen. Plant Depreciation'!$D$7:$D$94,0),MATCH(Calculation!$G955,'Gen. Plant Depreciation'!$E$5:$AD$5,0))</f>
        <v>19972</v>
      </c>
      <c r="BY955" s="118"/>
      <c r="BZ955" s="118"/>
      <c r="CA955" s="118"/>
      <c r="CB955" s="118"/>
      <c r="CC955" s="118"/>
      <c r="CD955" s="183"/>
      <c r="CE955" s="118">
        <f>INDEX('Gross Dx Plant'!$E$7:$AD$91,MATCH($C955,'Gross Dx Plant'!$D$7:$D$91,0),MATCH(Calculation!$G955,'Gross Dx Plant'!$E$5:$AD$5,0))</f>
        <v>1708693</v>
      </c>
      <c r="CF955" s="118">
        <f>INDEX('Gross Gen Plant'!$E$7:$AD$91,MATCH($C955,'Gross Gen Plant'!$D$7:$D$91,0),MATCH(Calculation!$G955,'Gross Gen Plant'!$E$5:$AD$5,0))</f>
        <v>42359</v>
      </c>
      <c r="CG955" s="118">
        <f t="shared" si="2806"/>
        <v>1188250</v>
      </c>
      <c r="CH955" s="118"/>
      <c r="CI955" s="121">
        <v>2005</v>
      </c>
      <c r="CJ955" s="118"/>
      <c r="CK955" s="118"/>
      <c r="CL955" s="118"/>
      <c r="CM955" s="183"/>
      <c r="CN955" s="118">
        <f t="shared" si="2823"/>
        <v>122391</v>
      </c>
      <c r="CO955" s="118">
        <f t="shared" si="2824"/>
        <v>260.84752590065324</v>
      </c>
      <c r="CP955" s="186">
        <v>0.96174863387978138</v>
      </c>
      <c r="CQ955" s="118">
        <f>+CQ948*CP955+CO949*CP954+CO950*CP953+CO951*CP952+CO952*CP951+CO953*CP950+CO954*CP949+CO955</f>
        <v>5681.0317633659824</v>
      </c>
      <c r="CR955" s="119">
        <f t="shared" si="2825"/>
        <v>4.1023146176418397E-2</v>
      </c>
      <c r="CS955" s="119"/>
      <c r="CT955" s="177">
        <f t="shared" si="2826"/>
        <v>5.962067429911031E-3</v>
      </c>
      <c r="CU955" s="177">
        <f t="shared" si="2834"/>
        <v>5.7915411066801004E-3</v>
      </c>
      <c r="CV955" s="119">
        <f>VLOOKUP($H955,RoR!$E:$F,2,FALSE)</f>
        <v>5.2350000000000001E-2</v>
      </c>
      <c r="CW955" s="177">
        <v>3.1010403642454332E-2</v>
      </c>
      <c r="CX955" s="177">
        <f t="shared" si="2832"/>
        <v>2.1339596357545669E-2</v>
      </c>
      <c r="CY955" s="177">
        <f t="shared" si="2835"/>
        <v>2.5110400501853525E-2</v>
      </c>
      <c r="CZ955" s="177">
        <f t="shared" si="2836"/>
        <v>9.2129610649277341E-2</v>
      </c>
      <c r="DA955" s="187">
        <f t="shared" si="2827"/>
        <v>0.86875000000000002</v>
      </c>
      <c r="DB955" s="188">
        <f t="shared" si="2828"/>
        <v>0.97959983346802826</v>
      </c>
      <c r="DC955" s="188">
        <f t="shared" si="2829"/>
        <v>0.49744508118433622</v>
      </c>
      <c r="DD955" s="188">
        <f t="shared" si="2830"/>
        <v>0.87010519444335932</v>
      </c>
      <c r="DE955" s="188">
        <f t="shared" si="2831"/>
        <v>0.42399975420741998</v>
      </c>
      <c r="DF955" s="189">
        <f>INDEX('State Tax Lookup'!$D$7:$Z$91,MATCH(Calculation!$C955,'State Tax Lookup'!$B$7:$B$91,0),MATCH($H955,'State Tax Lookup'!$D$6:$Z$6,0))</f>
        <v>0.35</v>
      </c>
      <c r="DG955" s="189">
        <v>0.375</v>
      </c>
      <c r="DH955" s="190">
        <f t="shared" si="2833"/>
        <v>15.623866480443981</v>
      </c>
      <c r="DI955" s="190"/>
      <c r="DJ955" s="177"/>
      <c r="DK955" s="189">
        <f>VLOOKUP($H955,RoR!$E:$F,2,FALSE)</f>
        <v>5.2350000000000001E-2</v>
      </c>
      <c r="DL955" s="191">
        <f>HLOOKUP($H955,'GDP-PI'!$D$8:$CQ$11,3,FALSE)</f>
        <v>3.1010403642454332E-2</v>
      </c>
      <c r="DM955" s="189">
        <f>VLOOKUP(H955,'HW Dx Data'!$E:$F,2,FALSE)</f>
        <v>469.20514034936258</v>
      </c>
      <c r="DN955" s="183">
        <f>VLOOKUP(H955,'ECI - Input Price'!$G$17:$H$37,2,FALSE)</f>
        <v>99.15</v>
      </c>
      <c r="DO955" s="177">
        <f t="shared" ref="DO955" si="2848">LN(DN955/DN954)</f>
        <v>3.046440632744625E-2</v>
      </c>
      <c r="DP955" s="183">
        <f>HLOOKUP(H955,'GDP-PI'!$8:$9,2,FALSE)</f>
        <v>87.406999999999996</v>
      </c>
      <c r="DQ955" s="177">
        <f t="shared" ref="DQ955" si="2849">LN(DP955/DP954)</f>
        <v>3.0539295810733648E-2</v>
      </c>
    </row>
    <row r="956" spans="1:121" s="167" customFormat="1" ht="21" x14ac:dyDescent="0.35">
      <c r="A956" s="167" t="s">
        <v>96</v>
      </c>
      <c r="B956" s="167" t="s">
        <v>96</v>
      </c>
      <c r="C956" s="167">
        <v>4062485</v>
      </c>
      <c r="D956" s="168" t="s">
        <v>133</v>
      </c>
      <c r="E956" s="168"/>
      <c r="F956" s="198"/>
      <c r="G956" s="167" t="s">
        <v>12</v>
      </c>
      <c r="H956" s="169">
        <v>2006</v>
      </c>
      <c r="I956" s="170"/>
      <c r="J956" s="166">
        <f>IFERROR(INDEX('Labor Expenditures'!$F$7:$X$91,MATCH($C956,'Labor Expenditures'!$D$7:$D$91,0),MATCH($G956,'Labor Expenditures'!$F$5:$X$5,0)),"NA")</f>
        <v>38645.970497647279</v>
      </c>
      <c r="K956" s="166">
        <f t="shared" si="2839"/>
        <v>378.6964281984055</v>
      </c>
      <c r="L956" s="172">
        <f t="shared" si="2846"/>
        <v>1.978068156298151E-2</v>
      </c>
      <c r="M956" s="172">
        <f t="shared" ref="M956:M971" si="2850">+L956*AR956</f>
        <v>4.5088991265172909E-4</v>
      </c>
      <c r="N956" s="196"/>
      <c r="O956" s="172"/>
      <c r="P956" s="166">
        <f>IFERROR(INDEX('Non-Labor Expenditures'!$F$7:$AB$91,MATCH($C956,'Non-Labor Expenditures'!$D$7:$D$91,0),MATCH($G956,'Non-Labor Expenditures'!$F$5:$AB$5,0)),"NA")</f>
        <v>55966.583352225054</v>
      </c>
      <c r="Q956" s="166">
        <f t="shared" si="2840"/>
        <v>621.34004654201055</v>
      </c>
      <c r="R956" s="172">
        <f t="shared" ref="R956:R971" si="2851">LN(Q956/Q955)</f>
        <v>1.8553532127575774E-2</v>
      </c>
      <c r="S956" s="172">
        <f>+R956*AR956</f>
        <v>4.2291770653845744E-4</v>
      </c>
      <c r="T956" s="172"/>
      <c r="U956" s="172"/>
      <c r="V956" s="166">
        <f t="shared" si="2821"/>
        <v>86706.835012514639</v>
      </c>
      <c r="W956" s="170"/>
      <c r="X956" s="174">
        <v>5976.3215858211861</v>
      </c>
      <c r="Y956" s="175">
        <v>5.0672394554173592E-2</v>
      </c>
      <c r="Z956" s="175">
        <f>+Y956*AR956</f>
        <v>1.1550497631559614E-3</v>
      </c>
      <c r="AA956" s="175"/>
      <c r="AB956" s="175"/>
      <c r="AC956" s="170">
        <f t="shared" si="2659"/>
        <v>181319.38886238699</v>
      </c>
      <c r="AD956" s="175">
        <f t="shared" ref="AD956:AD971" si="2852">LN(AC956/AC955)</f>
        <v>3.3672211670730111E-2</v>
      </c>
      <c r="AE956" s="170"/>
      <c r="AF956" s="170"/>
      <c r="AG956" s="121">
        <f t="shared" ref="AG956:AG971" si="2853">+(AC956*1000)/AZ956</f>
        <v>257.83099423161207</v>
      </c>
      <c r="AH956" s="119">
        <f>+AZ956/$BB$44</f>
        <v>2.000457353701645E-2</v>
      </c>
      <c r="AI956" s="119"/>
      <c r="AJ956" s="176">
        <f>+AH956*AG956</f>
        <v>5.1577990842283477</v>
      </c>
      <c r="AK956" s="176">
        <f>+AI956*AG956</f>
        <v>0</v>
      </c>
      <c r="AL956" s="120">
        <f t="shared" si="2841"/>
        <v>0.21313755103695931</v>
      </c>
      <c r="AM956" s="120">
        <f t="shared" si="2842"/>
        <v>0.30866298250487212</v>
      </c>
      <c r="AN956" s="120">
        <f t="shared" si="2843"/>
        <v>0.47819946645816852</v>
      </c>
      <c r="AO956" s="120">
        <f t="shared" si="2847"/>
        <v>3.4296611022007081E-2</v>
      </c>
      <c r="AP956" s="173">
        <f>+AP955*EXP(AO956)</f>
        <v>103.48915214405653</v>
      </c>
      <c r="AQ956" s="175">
        <f>LN(AP956/AP955)</f>
        <v>3.4296611022007047E-2</v>
      </c>
      <c r="AR956" s="177">
        <f>+AC956/$AE$44</f>
        <v>2.2794457876292064E-2</v>
      </c>
      <c r="AS956" s="177">
        <f>+AR956*AQ956</f>
        <v>7.8177265524071371E-4</v>
      </c>
      <c r="AT956" s="177"/>
      <c r="AU956" s="177"/>
      <c r="AV956" s="177"/>
      <c r="AW956" s="190"/>
      <c r="AX956" s="120"/>
      <c r="AY956" s="120"/>
      <c r="AZ956" s="118">
        <f>IFERROR(INDEX('Total Customers'!$F$7:$AB$91,MATCH($C956,'Total Customers'!$D$7:$D$91,0),MATCH($G956,'Total Customers'!$F$5:$AB$5,0)),"NA")</f>
        <v>703249</v>
      </c>
      <c r="BA956" s="119">
        <f t="shared" si="2822"/>
        <v>2.9533932270150103E-2</v>
      </c>
      <c r="BB956" s="119"/>
      <c r="BC956" s="121"/>
      <c r="BD956" s="119"/>
      <c r="BE956" s="119"/>
      <c r="BF956" s="119"/>
      <c r="BG956" s="173"/>
      <c r="BH956" s="173"/>
      <c r="BI956" s="173"/>
      <c r="BJ956" s="173"/>
      <c r="BK956" s="173"/>
      <c r="BL956" s="173"/>
      <c r="BM956" s="173"/>
      <c r="BN956" s="173"/>
      <c r="BO956" s="173"/>
      <c r="BP956" s="173"/>
      <c r="BQ956" s="118"/>
      <c r="BR956" s="118"/>
      <c r="BS956" s="118">
        <f>INDEX('Dist. Plant Gas Additions'!$F$7:$AE$91,MATCH($C956,'Dist. Plant Gas Additions'!$D$7:$D$91,0),MATCH(Calculation!$G956,'Dist. Plant Gas Additions'!$F$5:$AE$5,0))</f>
        <v>151290</v>
      </c>
      <c r="BT956" s="118">
        <f>INDEX('Gen. Plant Additions'!$F$7:$AE$91,MATCH($C956,'Gen. Plant Additions'!$D$7:$D$91,0),MATCH(Calculation!$G956,'Gen. Plant Additions'!$F$5:$AE$5,0))</f>
        <v>944</v>
      </c>
      <c r="BU956" s="118"/>
      <c r="BV956" s="118"/>
      <c r="BW956" s="118">
        <f>INDEX('Dist Plant Depreciation'!$E$7:$AD$94,MATCH($C956,'Dist Plant Depreciation'!$D$7:$D$94,0),MATCH(Calculation!$G956,'Dist Plant Depreciation'!$E$5:$AD$5,0))</f>
        <v>619110</v>
      </c>
      <c r="BX956" s="118">
        <f>INDEX('Gen. Plant Depreciation'!$E$7:$AD$94,MATCH($C956,'Gen. Plant Depreciation'!$D$7:$D$94,0),MATCH(Calculation!$G956,'Gen. Plant Depreciation'!$E$5:$AD$5,0))</f>
        <v>18332</v>
      </c>
      <c r="BY956" s="118"/>
      <c r="BZ956" s="118"/>
      <c r="CA956" s="118"/>
      <c r="CB956" s="118"/>
      <c r="CC956" s="118"/>
      <c r="CD956" s="183"/>
      <c r="CE956" s="118">
        <f>INDEX('Gross Dx Plant'!$E$7:$AD$91,MATCH($C956,'Gross Dx Plant'!$D$7:$D$91,0),MATCH(Calculation!$G956,'Gross Dx Plant'!$E$5:$AD$5,0))</f>
        <v>1994973</v>
      </c>
      <c r="CF956" s="118">
        <f>INDEX('Gross Gen Plant'!$E$7:$AD$91,MATCH($C956,'Gross Gen Plant'!$D$7:$D$91,0),MATCH(Calculation!$G956,'Gross Gen Plant'!$E$5:$AD$5,0))</f>
        <v>42998</v>
      </c>
      <c r="CG956" s="118">
        <f t="shared" si="2806"/>
        <v>1400529</v>
      </c>
      <c r="CH956" s="119" t="e">
        <f>SUM(#REF!)/15</f>
        <v>#REF!</v>
      </c>
      <c r="CI956" s="121">
        <v>2006</v>
      </c>
      <c r="CJ956" s="118"/>
      <c r="CK956" s="118"/>
      <c r="CL956" s="118"/>
      <c r="CM956" s="183"/>
      <c r="CN956" s="118">
        <f t="shared" si="2823"/>
        <v>152234</v>
      </c>
      <c r="CO956" s="118">
        <f t="shared" si="2824"/>
        <v>330.16423845647745</v>
      </c>
      <c r="CP956" s="186">
        <v>0.9555555555555556</v>
      </c>
      <c r="CQ956" s="118">
        <f>+CQ948*CP956+CO949*CP955+CO950*CP954+CO951*CP953+CO952*CP952+CO953*CP951+CO954*CP950+CO955*CP949+CO956</f>
        <v>5976.3215858211861</v>
      </c>
      <c r="CR956" s="119">
        <f t="shared" si="2825"/>
        <v>5.0672394554173592E-2</v>
      </c>
      <c r="CS956" s="119"/>
      <c r="CT956" s="177">
        <f t="shared" si="2826"/>
        <v>6.1387468780162019E-3</v>
      </c>
      <c r="CU956" s="177">
        <f t="shared" si="2834"/>
        <v>5.9640081228346476E-3</v>
      </c>
      <c r="CV956" s="119">
        <f>VLOOKUP($H956,RoR!$E:$F,2,FALSE)</f>
        <v>5.5874999999999994E-2</v>
      </c>
      <c r="CW956" s="177">
        <v>3.0512430354548314E-2</v>
      </c>
      <c r="CX956" s="177">
        <f t="shared" si="2832"/>
        <v>2.536256964545168E-2</v>
      </c>
      <c r="CY956" s="177">
        <f t="shared" si="2835"/>
        <v>2.4937933485698976E-2</v>
      </c>
      <c r="CZ956" s="177">
        <f t="shared" si="2836"/>
        <v>7.9087823893859641E-2</v>
      </c>
      <c r="DA956" s="187">
        <f t="shared" si="2827"/>
        <v>0.86875000000000002</v>
      </c>
      <c r="DB956" s="188">
        <f t="shared" si="2828"/>
        <v>0.91779957551769631</v>
      </c>
      <c r="DC956" s="188">
        <f t="shared" si="2829"/>
        <v>0.52757270693512304</v>
      </c>
      <c r="DD956" s="188">
        <f t="shared" si="2830"/>
        <v>0.88636824549024895</v>
      </c>
      <c r="DE956" s="188">
        <f t="shared" si="2831"/>
        <v>0.42918482841932087</v>
      </c>
      <c r="DF956" s="189">
        <f>INDEX('State Tax Lookup'!$D$7:$Z$91,MATCH(Calculation!$C956,'State Tax Lookup'!$B$7:$B$91,0),MATCH($H956,'State Tax Lookup'!$D$6:$Z$6,0))</f>
        <v>0.35</v>
      </c>
      <c r="DG956" s="189">
        <v>0.375</v>
      </c>
      <c r="DH956" s="190">
        <f t="shared" si="2833"/>
        <v>15.262515441586139</v>
      </c>
      <c r="DI956" s="190">
        <v>14.831000491688735</v>
      </c>
      <c r="DJ956" s="177"/>
      <c r="DK956" s="189">
        <f>VLOOKUP($H956,RoR!$E:$F,2,FALSE)</f>
        <v>5.5874999999999994E-2</v>
      </c>
      <c r="DL956" s="191">
        <f>HLOOKUP($H956,'GDP-PI'!$D$8:$CQ$11,3,FALSE)</f>
        <v>3.0512430354548314E-2</v>
      </c>
      <c r="DM956" s="189">
        <f>VLOOKUP(H956,'HW Dx Data'!$E:$F,2,FALSE)</f>
        <v>461.08567272971823</v>
      </c>
      <c r="DN956" s="183">
        <f>VLOOKUP(H956,'ECI - Input Price'!$G$17:$H$37,2,FALSE)</f>
        <v>102.05</v>
      </c>
      <c r="DO956" s="177">
        <f t="shared" ref="DO956" si="2854">LN(DN956/DN955)</f>
        <v>2.8829034290048662E-2</v>
      </c>
      <c r="DP956" s="183">
        <f>HLOOKUP(H956,'GDP-PI'!$8:$9,2,FALSE)</f>
        <v>90.073999999999998</v>
      </c>
      <c r="DQ956" s="177">
        <f t="shared" ref="DQ956" si="2855">LN(DP956/DP955)</f>
        <v>3.005618372545445E-2</v>
      </c>
    </row>
    <row r="957" spans="1:121" s="167" customFormat="1" ht="21" x14ac:dyDescent="0.35">
      <c r="A957" s="167" t="s">
        <v>96</v>
      </c>
      <c r="B957" s="167" t="s">
        <v>96</v>
      </c>
      <c r="C957" s="167">
        <v>4062485</v>
      </c>
      <c r="D957" s="168" t="s">
        <v>133</v>
      </c>
      <c r="E957" s="168"/>
      <c r="F957" s="198"/>
      <c r="G957" s="167" t="s">
        <v>13</v>
      </c>
      <c r="H957" s="169">
        <v>2007</v>
      </c>
      <c r="I957" s="170"/>
      <c r="J957" s="166">
        <f>IFERROR(INDEX('Labor Expenditures'!$F$7:$X$91,MATCH($C957,'Labor Expenditures'!$D$7:$D$91,0),MATCH($G957,'Labor Expenditures'!$F$5:$X$5,0)),"NA")</f>
        <v>41983.390814877821</v>
      </c>
      <c r="K957" s="166">
        <f t="shared" si="2839"/>
        <v>398.98684547282318</v>
      </c>
      <c r="L957" s="172">
        <f t="shared" si="2846"/>
        <v>5.2193544487695198E-2</v>
      </c>
      <c r="M957" s="172">
        <f t="shared" si="2850"/>
        <v>1.2473202929840388E-3</v>
      </c>
      <c r="N957" s="196"/>
      <c r="O957" s="172"/>
      <c r="P957" s="166">
        <f>IFERROR(INDEX('Non-Labor Expenditures'!$F$7:$AB$91,MATCH($C957,'Non-Labor Expenditures'!$D$7:$D$91,0),MATCH($G957,'Non-Labor Expenditures'!$F$5:$AB$5,0)),"NA")</f>
        <v>60799.791315706367</v>
      </c>
      <c r="Q957" s="166">
        <f t="shared" si="2840"/>
        <v>657.30925334284382</v>
      </c>
      <c r="R957" s="172">
        <f t="shared" si="2851"/>
        <v>5.6276101938438128E-2</v>
      </c>
      <c r="S957" s="172">
        <f t="shared" ref="S957:S971" si="2856">+R957*AR957</f>
        <v>1.3448851701267544E-3</v>
      </c>
      <c r="T957" s="172"/>
      <c r="U957" s="172"/>
      <c r="V957" s="166">
        <f t="shared" si="2821"/>
        <v>98006.672456891276</v>
      </c>
      <c r="W957" s="170"/>
      <c r="X957" s="174">
        <v>6337.7128750859301</v>
      </c>
      <c r="Y957" s="175">
        <v>5.8712698839254347E-2</v>
      </c>
      <c r="Z957" s="175">
        <f t="shared" ref="Z957:Z971" si="2857">+Y957*AR957</f>
        <v>1.4031149146294792E-3</v>
      </c>
      <c r="AA957" s="175"/>
      <c r="AB957" s="175"/>
      <c r="AC957" s="170">
        <f t="shared" si="2659"/>
        <v>200789.85458747548</v>
      </c>
      <c r="AD957" s="175">
        <f t="shared" si="2852"/>
        <v>0.10199880600342499</v>
      </c>
      <c r="AE957" s="170"/>
      <c r="AF957" s="170"/>
      <c r="AG957" s="121">
        <f t="shared" si="2853"/>
        <v>278.10113612751678</v>
      </c>
      <c r="AH957" s="119">
        <f>+AZ957/$BB$45</f>
        <v>2.038405865344519E-2</v>
      </c>
      <c r="AI957" s="119"/>
      <c r="AJ957" s="176">
        <f t="shared" ref="AJ957:AJ971" si="2858">+AH957*AG957</f>
        <v>5.6688298704130471</v>
      </c>
      <c r="AK957" s="176">
        <f t="shared" ref="AK957:AK971" si="2859">+AI957*AG957</f>
        <v>0</v>
      </c>
      <c r="AL957" s="120">
        <f t="shared" si="2841"/>
        <v>0.20909119587308367</v>
      </c>
      <c r="AM957" s="120">
        <f t="shared" si="2842"/>
        <v>0.30280310447268399</v>
      </c>
      <c r="AN957" s="120">
        <f t="shared" si="2843"/>
        <v>0.48810569965423228</v>
      </c>
      <c r="AO957" s="120">
        <f t="shared" si="2847"/>
        <v>5.6591463466626489E-2</v>
      </c>
      <c r="AP957" s="173">
        <f>+AP956*EXP(AO957)</f>
        <v>109.51464235751047</v>
      </c>
      <c r="AQ957" s="175">
        <f>LN(AP957/AP956)</f>
        <v>5.659146346662642E-2</v>
      </c>
      <c r="AR957" s="177">
        <f>+AC957/$AE$45</f>
        <v>2.3897980204776067E-2</v>
      </c>
      <c r="AS957" s="177">
        <f t="shared" ref="AS957:AS971" si="2860">+AR957*AQ957</f>
        <v>1.3524216736847461E-3</v>
      </c>
      <c r="AT957" s="177"/>
      <c r="AU957" s="177"/>
      <c r="AV957" s="177"/>
      <c r="AW957" s="190"/>
      <c r="AX957" s="120"/>
      <c r="AY957" s="120"/>
      <c r="AZ957" s="118">
        <f>IFERROR(INDEX('Total Customers'!$F$7:$AB$91,MATCH($C957,'Total Customers'!$D$7:$D$91,0),MATCH($G957,'Total Customers'!$F$5:$AB$5,0)),"NA")</f>
        <v>722003</v>
      </c>
      <c r="BA957" s="119">
        <f t="shared" si="2822"/>
        <v>2.6318268609319993E-2</v>
      </c>
      <c r="BB957" s="119"/>
      <c r="BC957" s="121"/>
      <c r="BD957" s="119"/>
      <c r="BE957" s="119"/>
      <c r="BF957" s="119"/>
      <c r="BG957" s="173"/>
      <c r="BH957" s="173"/>
      <c r="BI957" s="173"/>
      <c r="BJ957" s="173"/>
      <c r="BK957" s="173"/>
      <c r="BL957" s="173"/>
      <c r="BM957" s="173"/>
      <c r="BN957" s="173"/>
      <c r="BO957" s="173"/>
      <c r="BP957" s="173"/>
      <c r="BQ957" s="118"/>
      <c r="BR957" s="118"/>
      <c r="BS957" s="118">
        <f>INDEX('Dist. Plant Gas Additions'!$F$7:$AE$91,MATCH($C957,'Dist. Plant Gas Additions'!$D$7:$D$91,0),MATCH(Calculation!$G957,'Dist. Plant Gas Additions'!$F$5:$AE$5,0))</f>
        <v>197844</v>
      </c>
      <c r="BT957" s="118">
        <f>INDEX('Gen. Plant Additions'!$F$7:$AE$91,MATCH($C957,'Gen. Plant Additions'!$D$7:$D$91,0),MATCH(Calculation!$G957,'Gen. Plant Additions'!$F$5:$AE$5,0))</f>
        <v>901</v>
      </c>
      <c r="BU957" s="118"/>
      <c r="BV957" s="118"/>
      <c r="BW957" s="118">
        <f>INDEX('Dist Plant Depreciation'!$E$7:$AD$94,MATCH($C957,'Dist Plant Depreciation'!$D$7:$D$94,0),MATCH(Calculation!$G957,'Dist Plant Depreciation'!$E$5:$AD$5,0))</f>
        <v>656461</v>
      </c>
      <c r="BX957" s="118">
        <f>INDEX('Gen. Plant Depreciation'!$E$7:$AD$94,MATCH($C957,'Gen. Plant Depreciation'!$D$7:$D$94,0),MATCH(Calculation!$G957,'Gen. Plant Depreciation'!$E$5:$AD$5,0))</f>
        <v>23204</v>
      </c>
      <c r="BY957" s="118"/>
      <c r="BZ957" s="118"/>
      <c r="CA957" s="118"/>
      <c r="CB957" s="118"/>
      <c r="CC957" s="118"/>
      <c r="CD957" s="183"/>
      <c r="CE957" s="118">
        <f>INDEX('Gross Dx Plant'!$E$7:$AD$91,MATCH($C957,'Gross Dx Plant'!$D$7:$D$91,0),MATCH(Calculation!$G957,'Gross Dx Plant'!$E$5:$AD$5,0))</f>
        <v>2165598</v>
      </c>
      <c r="CF957" s="118">
        <f>INDEX('Gross Gen Plant'!$E$7:$AD$91,MATCH($C957,'Gross Gen Plant'!$D$7:$D$91,0),MATCH(Calculation!$G957,'Gross Gen Plant'!$E$5:$AD$5,0))</f>
        <v>47919</v>
      </c>
      <c r="CG957" s="118">
        <f t="shared" si="2806"/>
        <v>1533852</v>
      </c>
      <c r="CH957" s="118"/>
      <c r="CI957" s="121">
        <v>2007</v>
      </c>
      <c r="CJ957" s="118"/>
      <c r="CK957" s="118"/>
      <c r="CL957" s="118"/>
      <c r="CM957" s="183"/>
      <c r="CN957" s="118">
        <f t="shared" si="2823"/>
        <v>198745</v>
      </c>
      <c r="CO957" s="118">
        <f t="shared" si="2824"/>
        <v>399.06846304575549</v>
      </c>
      <c r="CP957" s="186">
        <v>0.94915254237288138</v>
      </c>
      <c r="CQ957" s="118">
        <f>+CQ948*CP957+CO949*CP956+CO950*CP955+CO951*CP954+CO952*CP953+CO953*CP952+CO954*CP951+CO955*CP950+CO956*CP949+CO957</f>
        <v>6337.7128750859301</v>
      </c>
      <c r="CR957" s="119">
        <f t="shared" si="2825"/>
        <v>5.8712698839254347E-2</v>
      </c>
      <c r="CS957" s="119"/>
      <c r="CT957" s="177">
        <f t="shared" si="2826"/>
        <v>6.3044086968814536E-3</v>
      </c>
      <c r="CU957" s="177">
        <f t="shared" si="2834"/>
        <v>6.1350743349362288E-3</v>
      </c>
      <c r="CV957" s="119">
        <f>VLOOKUP($H957,RoR!$E:$F,2,FALSE)</f>
        <v>5.5558333333333321E-2</v>
      </c>
      <c r="CW957" s="177">
        <v>2.691120634145272E-2</v>
      </c>
      <c r="CX957" s="177">
        <f t="shared" si="2832"/>
        <v>2.86471269918806E-2</v>
      </c>
      <c r="CY957" s="177">
        <f t="shared" si="2835"/>
        <v>2.4766867273597396E-2</v>
      </c>
      <c r="CZ957" s="177">
        <f t="shared" si="2836"/>
        <v>6.4575155250632399E-2</v>
      </c>
      <c r="DA957" s="187">
        <f t="shared" si="2827"/>
        <v>0.86875000000000002</v>
      </c>
      <c r="DB957" s="188">
        <f t="shared" si="2828"/>
        <v>0.92303077153834634</v>
      </c>
      <c r="DC957" s="188">
        <f t="shared" si="2829"/>
        <v>0.52502249887505614</v>
      </c>
      <c r="DD957" s="188">
        <f t="shared" si="2830"/>
        <v>0.88499666072084604</v>
      </c>
      <c r="DE957" s="188">
        <f t="shared" si="2831"/>
        <v>0.42887993290280618</v>
      </c>
      <c r="DF957" s="189">
        <f>INDEX('State Tax Lookup'!$D$7:$Z$91,MATCH(Calculation!$C957,'State Tax Lookup'!$B$7:$B$91,0),MATCH($H957,'State Tax Lookup'!$D$6:$Z$6,0))</f>
        <v>0.35</v>
      </c>
      <c r="DG957" s="189">
        <v>0.375</v>
      </c>
      <c r="DH957" s="190">
        <f t="shared" si="2833"/>
        <v>16.39916310551493</v>
      </c>
      <c r="DI957" s="190">
        <v>16.181739993095743</v>
      </c>
      <c r="DJ957" s="177"/>
      <c r="DK957" s="189">
        <f>VLOOKUP($H957,RoR!$E:$F,2,FALSE)</f>
        <v>5.5558333333333321E-2</v>
      </c>
      <c r="DL957" s="191">
        <f>HLOOKUP($H957,'GDP-PI'!$D$8:$CQ$11,3,FALSE)</f>
        <v>2.691120634145272E-2</v>
      </c>
      <c r="DM957" s="189">
        <f>VLOOKUP(H957,'HW Dx Data'!$E:$F,2,FALSE)</f>
        <v>498.0223154772637</v>
      </c>
      <c r="DN957" s="183">
        <f>VLOOKUP(H957,'ECI - Input Price'!$G$17:$H$37,2,FALSE)</f>
        <v>105.22500000000001</v>
      </c>
      <c r="DO957" s="177">
        <f t="shared" ref="DO957" si="2861">LN(DN957/DN956)</f>
        <v>3.0638025400780679E-2</v>
      </c>
      <c r="DP957" s="183">
        <f>HLOOKUP(H957,'GDP-PI'!$8:$9,2,FALSE)</f>
        <v>92.498000000000005</v>
      </c>
      <c r="DQ957" s="177">
        <f t="shared" ref="DQ957" si="2862">LN(DP957/DP956)</f>
        <v>2.6555467950038037E-2</v>
      </c>
    </row>
    <row r="958" spans="1:121" s="167" customFormat="1" ht="21" x14ac:dyDescent="0.35">
      <c r="A958" s="167" t="s">
        <v>96</v>
      </c>
      <c r="B958" s="167" t="s">
        <v>96</v>
      </c>
      <c r="C958" s="167">
        <v>4062485</v>
      </c>
      <c r="D958" s="168" t="s">
        <v>133</v>
      </c>
      <c r="E958" s="168"/>
      <c r="F958" s="198"/>
      <c r="G958" s="167" t="s">
        <v>14</v>
      </c>
      <c r="H958" s="169">
        <v>2008</v>
      </c>
      <c r="I958" s="170"/>
      <c r="J958" s="166">
        <f>IFERROR(INDEX('Labor Expenditures'!$F$7:$X$91,MATCH($C958,'Labor Expenditures'!$D$7:$D$91,0),MATCH($G958,'Labor Expenditures'!$F$5:$X$5,0)),"NA")</f>
        <v>47580.387288703183</v>
      </c>
      <c r="K958" s="166">
        <f t="shared" si="2839"/>
        <v>439.64321819083563</v>
      </c>
      <c r="L958" s="172">
        <f t="shared" si="2846"/>
        <v>9.7035082626537428E-2</v>
      </c>
      <c r="M958" s="172">
        <f t="shared" si="2850"/>
        <v>2.5350614251327163E-3</v>
      </c>
      <c r="N958" s="196"/>
      <c r="O958" s="172"/>
      <c r="P958" s="166">
        <f>IFERROR(INDEX('Non-Labor Expenditures'!$F$7:$AB$91,MATCH($C958,'Non-Labor Expenditures'!$D$7:$D$91,0),MATCH($G958,'Non-Labor Expenditures'!$F$5:$AB$5,0)),"NA")</f>
        <v>68905.28758454835</v>
      </c>
      <c r="Q958" s="166">
        <f t="shared" si="2840"/>
        <v>730.98200357027451</v>
      </c>
      <c r="R958" s="172">
        <f t="shared" si="2851"/>
        <v>0.10623422754991509</v>
      </c>
      <c r="S958" s="172">
        <f t="shared" si="2856"/>
        <v>2.7753909720164374E-3</v>
      </c>
      <c r="T958" s="172"/>
      <c r="U958" s="172"/>
      <c r="V958" s="166">
        <f t="shared" si="2821"/>
        <v>118172.10505508285</v>
      </c>
      <c r="W958" s="170"/>
      <c r="X958" s="174">
        <v>6592.9220926277712</v>
      </c>
      <c r="Y958" s="175">
        <v>3.9478705270868095E-2</v>
      </c>
      <c r="Z958" s="175">
        <f t="shared" si="2857"/>
        <v>1.0313892680603638E-3</v>
      </c>
      <c r="AA958" s="175"/>
      <c r="AB958" s="175"/>
      <c r="AC958" s="170">
        <f t="shared" ref="AC958:AC1021" si="2863">+J958+P958+V958</f>
        <v>234657.77992833438</v>
      </c>
      <c r="AD958" s="175">
        <f t="shared" si="2852"/>
        <v>0.15586933557091173</v>
      </c>
      <c r="AE958" s="170"/>
      <c r="AF958" s="170"/>
      <c r="AG958" s="121">
        <f t="shared" si="2853"/>
        <v>318.02868049014558</v>
      </c>
      <c r="AH958" s="119">
        <f>+AZ958/$BB$46</f>
        <v>2.0720418692970578E-2</v>
      </c>
      <c r="AI958" s="119"/>
      <c r="AJ958" s="176">
        <f t="shared" si="2858"/>
        <v>6.58968741612878</v>
      </c>
      <c r="AK958" s="176">
        <f t="shared" si="2859"/>
        <v>0</v>
      </c>
      <c r="AL958" s="120">
        <f t="shared" si="2841"/>
        <v>0.20276501083081269</v>
      </c>
      <c r="AM958" s="120">
        <f t="shared" si="2842"/>
        <v>0.29364160696309477</v>
      </c>
      <c r="AN958" s="120">
        <f t="shared" si="2843"/>
        <v>0.50359338220609262</v>
      </c>
      <c r="AO958" s="120">
        <f t="shared" si="2847"/>
        <v>7.1239170006765537E-2</v>
      </c>
      <c r="AP958" s="173">
        <f t="shared" ref="AP958:AP971" si="2864">+AP957*EXP(AO958)</f>
        <v>117.60098725837418</v>
      </c>
      <c r="AQ958" s="175">
        <f t="shared" ref="AQ958:AQ971" si="2865">LN(AP958/AP957)</f>
        <v>7.1239170006765593E-2</v>
      </c>
      <c r="AR958" s="177">
        <f>+AC958/$AE$46</f>
        <v>2.6125204993017861E-2</v>
      </c>
      <c r="AS958" s="177">
        <f t="shared" si="2860"/>
        <v>1.8611379199592007E-3</v>
      </c>
      <c r="AT958" s="177"/>
      <c r="AU958" s="177"/>
      <c r="AV958" s="177"/>
      <c r="AW958" s="190"/>
      <c r="AX958" s="120"/>
      <c r="AY958" s="120"/>
      <c r="AZ958" s="118">
        <f>IFERROR(INDEX('Total Customers'!$F$7:$AB$91,MATCH($C958,'Total Customers'!$D$7:$D$91,0),MATCH($G958,'Total Customers'!$F$5:$AB$5,0)),"NA")</f>
        <v>737851</v>
      </c>
      <c r="BA958" s="119">
        <f t="shared" si="2822"/>
        <v>2.1712613188708013E-2</v>
      </c>
      <c r="BB958" s="119"/>
      <c r="BC958" s="121"/>
      <c r="BD958" s="119"/>
      <c r="BE958" s="119"/>
      <c r="BF958" s="119"/>
      <c r="BG958" s="173"/>
      <c r="BH958" s="173"/>
      <c r="BI958" s="173"/>
      <c r="BJ958" s="173"/>
      <c r="BK958" s="173"/>
      <c r="BL958" s="173"/>
      <c r="BM958" s="173"/>
      <c r="BN958" s="173"/>
      <c r="BO958" s="173"/>
      <c r="BP958" s="173"/>
      <c r="BQ958" s="118"/>
      <c r="BR958" s="118"/>
      <c r="BS958" s="118">
        <f>INDEX('Dist. Plant Gas Additions'!$F$7:$AE$91,MATCH($C958,'Dist. Plant Gas Additions'!$D$7:$D$91,0),MATCH(Calculation!$G958,'Dist. Plant Gas Additions'!$F$5:$AE$5,0))</f>
        <v>166450</v>
      </c>
      <c r="BT958" s="118">
        <f>INDEX('Gen. Plant Additions'!$F$7:$AE$91,MATCH($C958,'Gen. Plant Additions'!$D$7:$D$91,0),MATCH(Calculation!$G958,'Gen. Plant Additions'!$F$5:$AE$5,0))</f>
        <v>2315</v>
      </c>
      <c r="BU958" s="118"/>
      <c r="BV958" s="118"/>
      <c r="BW958" s="118">
        <f>INDEX('Dist Plant Depreciation'!$E$7:$AD$94,MATCH($C958,'Dist Plant Depreciation'!$D$7:$D$94,0),MATCH(Calculation!$G958,'Dist Plant Depreciation'!$E$5:$AD$5,0))</f>
        <v>716169</v>
      </c>
      <c r="BX958" s="118">
        <f>INDEX('Gen. Plant Depreciation'!$E$7:$AD$94,MATCH($C958,'Gen. Plant Depreciation'!$D$7:$D$94,0),MATCH(Calculation!$G958,'Gen. Plant Depreciation'!$E$5:$AD$5,0))</f>
        <v>25129</v>
      </c>
      <c r="BY958" s="118"/>
      <c r="BZ958" s="118"/>
      <c r="CA958" s="118"/>
      <c r="CB958" s="118"/>
      <c r="CC958" s="118"/>
      <c r="CD958" s="183"/>
      <c r="CE958" s="118">
        <f>INDEX('Gross Dx Plant'!$E$7:$AD$91,MATCH($C958,'Gross Dx Plant'!$D$7:$D$91,0),MATCH(Calculation!$G958,'Gross Dx Plant'!$E$5:$AD$5,0))</f>
        <v>2321448</v>
      </c>
      <c r="CF958" s="118">
        <f>INDEX('Gross Gen Plant'!$E$7:$AD$91,MATCH($C958,'Gross Gen Plant'!$D$7:$D$91,0),MATCH(Calculation!$G958,'Gross Gen Plant'!$E$5:$AD$5,0))</f>
        <v>49741</v>
      </c>
      <c r="CG958" s="118">
        <f t="shared" si="2806"/>
        <v>1629891</v>
      </c>
      <c r="CH958" s="118"/>
      <c r="CI958" s="121">
        <v>2008</v>
      </c>
      <c r="CJ958" s="118"/>
      <c r="CK958" s="118"/>
      <c r="CL958" s="118"/>
      <c r="CM958" s="183"/>
      <c r="CN958" s="118">
        <f t="shared" si="2823"/>
        <v>168765</v>
      </c>
      <c r="CO958" s="118">
        <f t="shared" si="2824"/>
        <v>296.14066758532522</v>
      </c>
      <c r="CP958" s="186">
        <v>0.94252873563218387</v>
      </c>
      <c r="CQ958" s="118">
        <f>+CQ948*CP958+CO949*CP957+CO950*CP956+CO951*CP955+CO952*CP954+CO953*CP953+CO954*CP952+CO955*CP951+CO956*CP950+CO957*CP949+CO958</f>
        <v>6592.9220926277712</v>
      </c>
      <c r="CR958" s="119">
        <f t="shared" si="2825"/>
        <v>3.9478705270868095E-2</v>
      </c>
      <c r="CS958" s="119"/>
      <c r="CT958" s="177">
        <f t="shared" si="2826"/>
        <v>6.4583945108004203E-3</v>
      </c>
      <c r="CU958" s="177">
        <f t="shared" si="2834"/>
        <v>6.3005166952326925E-3</v>
      </c>
      <c r="CV958" s="119">
        <f>VLOOKUP($H958,RoR!$E:$F,2,FALSE)</f>
        <v>5.6316666666666668E-2</v>
      </c>
      <c r="CW958" s="177">
        <v>1.9092304698479889E-2</v>
      </c>
      <c r="CX958" s="177">
        <f t="shared" si="2832"/>
        <v>3.7224361968186778E-2</v>
      </c>
      <c r="CY958" s="177">
        <f t="shared" si="2835"/>
        <v>2.4601424913300932E-2</v>
      </c>
      <c r="CZ958" s="177">
        <f t="shared" si="2836"/>
        <v>6.9030581091053131E-2</v>
      </c>
      <c r="DA958" s="187">
        <f t="shared" si="2827"/>
        <v>0.86875000000000002</v>
      </c>
      <c r="DB958" s="188">
        <f t="shared" si="2828"/>
        <v>0.91060168006009956</v>
      </c>
      <c r="DC958" s="188">
        <f t="shared" si="2829"/>
        <v>0.53108168097070152</v>
      </c>
      <c r="DD958" s="188">
        <f t="shared" si="2830"/>
        <v>0.88825329850328805</v>
      </c>
      <c r="DE958" s="188">
        <f t="shared" si="2831"/>
        <v>0.4295627335323573</v>
      </c>
      <c r="DF958" s="189">
        <f>INDEX('State Tax Lookup'!$D$7:$Z$91,MATCH(Calculation!$C958,'State Tax Lookup'!$B$7:$B$91,0),MATCH($H958,'State Tax Lookup'!$D$6:$Z$6,0))</f>
        <v>0.35</v>
      </c>
      <c r="DG958" s="189">
        <v>0.375</v>
      </c>
      <c r="DH958" s="190">
        <f t="shared" si="2833"/>
        <v>18.645859694847822</v>
      </c>
      <c r="DI958" s="190">
        <v>18.419982113841456</v>
      </c>
      <c r="DJ958" s="177"/>
      <c r="DK958" s="189">
        <f>VLOOKUP($H958,RoR!$E:$F,2,FALSE)</f>
        <v>5.6316666666666668E-2</v>
      </c>
      <c r="DL958" s="191">
        <f>HLOOKUP($H958,'GDP-PI'!$D$8:$CQ$11,3,FALSE)</f>
        <v>1.9092304698479889E-2</v>
      </c>
      <c r="DM958" s="189">
        <f>VLOOKUP(H958,'HW Dx Data'!$E:$F,2,FALSE)</f>
        <v>569.88120333515076</v>
      </c>
      <c r="DN958" s="183">
        <f>VLOOKUP(H958,'ECI - Input Price'!$G$17:$H$37,2,FALSE)</f>
        <v>108.22499999999999</v>
      </c>
      <c r="DO958" s="177">
        <f t="shared" ref="DO958" si="2866">LN(DN958/DN957)</f>
        <v>2.8111478671409691E-2</v>
      </c>
      <c r="DP958" s="183">
        <f>HLOOKUP(H958,'GDP-PI'!$8:$9,2,FALSE)</f>
        <v>94.263999999999996</v>
      </c>
      <c r="DQ958" s="177">
        <f t="shared" ref="DQ958" si="2867">LN(DP958/DP957)</f>
        <v>1.8912333748032254E-2</v>
      </c>
    </row>
    <row r="959" spans="1:121" s="167" customFormat="1" ht="21" x14ac:dyDescent="0.35">
      <c r="A959" s="167" t="s">
        <v>96</v>
      </c>
      <c r="B959" s="167" t="s">
        <v>96</v>
      </c>
      <c r="C959" s="167">
        <v>4062485</v>
      </c>
      <c r="D959" s="168" t="s">
        <v>133</v>
      </c>
      <c r="E959" s="168"/>
      <c r="F959" s="198"/>
      <c r="G959" s="167" t="s">
        <v>15</v>
      </c>
      <c r="H959" s="169">
        <v>2009</v>
      </c>
      <c r="I959" s="170"/>
      <c r="J959" s="166">
        <f>IFERROR(INDEX('Labor Expenditures'!$F$7:$X$91,MATCH($C959,'Labor Expenditures'!$D$7:$D$91,0),MATCH($G959,'Labor Expenditures'!$F$5:$X$5,0)),"NA")</f>
        <v>50419.576170937267</v>
      </c>
      <c r="K959" s="166">
        <f t="shared" si="2839"/>
        <v>459.29925912946726</v>
      </c>
      <c r="L959" s="172">
        <f t="shared" si="2846"/>
        <v>4.3738448054573394E-2</v>
      </c>
      <c r="M959" s="172">
        <f t="shared" si="2850"/>
        <v>1.1273981625224451E-3</v>
      </c>
      <c r="N959" s="196"/>
      <c r="O959" s="172"/>
      <c r="P959" s="166">
        <f>IFERROR(INDEX('Non-Labor Expenditures'!$F$7:$AB$91,MATCH($C959,'Non-Labor Expenditures'!$D$7:$D$91,0),MATCH($G959,'Non-Labor Expenditures'!$F$5:$AB$5,0)),"NA")</f>
        <v>73016.963373358914</v>
      </c>
      <c r="Q959" s="166">
        <f t="shared" si="2840"/>
        <v>768.60770506383142</v>
      </c>
      <c r="R959" s="172">
        <f t="shared" si="2851"/>
        <v>5.0191862356000261E-2</v>
      </c>
      <c r="S959" s="172">
        <f t="shared" si="2856"/>
        <v>1.2937407683768375E-3</v>
      </c>
      <c r="T959" s="172"/>
      <c r="U959" s="172"/>
      <c r="V959" s="166">
        <f t="shared" si="2821"/>
        <v>118054.97974601622</v>
      </c>
      <c r="W959" s="170"/>
      <c r="X959" s="174">
        <v>6865.864911925536</v>
      </c>
      <c r="Y959" s="175">
        <v>4.0565356530010796E-2</v>
      </c>
      <c r="Z959" s="175">
        <f t="shared" si="2857"/>
        <v>1.0456088509802548E-3</v>
      </c>
      <c r="AA959" s="175"/>
      <c r="AB959" s="175"/>
      <c r="AC959" s="170">
        <f t="shared" si="2863"/>
        <v>241491.51929031243</v>
      </c>
      <c r="AD959" s="175">
        <f t="shared" si="2852"/>
        <v>2.8706158516431844E-2</v>
      </c>
      <c r="AE959" s="170"/>
      <c r="AF959" s="170"/>
      <c r="AG959" s="121">
        <f t="shared" si="2853"/>
        <v>323.48448464407744</v>
      </c>
      <c r="AH959" s="119">
        <f>+AZ959/$BB$47</f>
        <v>2.0933951039717458E-2</v>
      </c>
      <c r="AI959" s="119"/>
      <c r="AJ959" s="176">
        <f t="shared" si="2858"/>
        <v>6.7718083636473505</v>
      </c>
      <c r="AK959" s="176">
        <f t="shared" si="2859"/>
        <v>0</v>
      </c>
      <c r="AL959" s="120">
        <f t="shared" si="2841"/>
        <v>0.20878404475282905</v>
      </c>
      <c r="AM959" s="120">
        <f t="shared" si="2842"/>
        <v>0.30235829228263933</v>
      </c>
      <c r="AN959" s="120">
        <f t="shared" si="2843"/>
        <v>0.48885766296453154</v>
      </c>
      <c r="AO959" s="120">
        <f t="shared" si="2847"/>
        <v>4.4086996191306987E-2</v>
      </c>
      <c r="AP959" s="173">
        <f t="shared" si="2864"/>
        <v>122.90164811268578</v>
      </c>
      <c r="AQ959" s="175">
        <f t="shared" si="2865"/>
        <v>4.4086996191306883E-2</v>
      </c>
      <c r="AR959" s="177">
        <f>+AC959/$AE$47</f>
        <v>2.5775906843237016E-2</v>
      </c>
      <c r="AS959" s="177">
        <f t="shared" si="2860"/>
        <v>1.1363823068252714E-3</v>
      </c>
      <c r="AT959" s="177"/>
      <c r="AU959" s="177"/>
      <c r="AV959" s="177"/>
      <c r="AW959" s="190"/>
      <c r="AX959" s="120"/>
      <c r="AY959" s="120"/>
      <c r="AZ959" s="118">
        <f>IFERROR(INDEX('Total Customers'!$F$7:$AB$91,MATCH($C959,'Total Customers'!$D$7:$D$91,0),MATCH($G959,'Total Customers'!$F$5:$AB$5,0)),"NA")</f>
        <v>746532</v>
      </c>
      <c r="BA959" s="119">
        <f t="shared" si="2822"/>
        <v>1.1696575574257833E-2</v>
      </c>
      <c r="BB959" s="119"/>
      <c r="BC959" s="121"/>
      <c r="BD959" s="119"/>
      <c r="BE959" s="119"/>
      <c r="BF959" s="119"/>
      <c r="BG959" s="173"/>
      <c r="BH959" s="173"/>
      <c r="BI959" s="173"/>
      <c r="BJ959" s="173"/>
      <c r="BK959" s="173"/>
      <c r="BL959" s="173"/>
      <c r="BM959" s="173"/>
      <c r="BN959" s="173"/>
      <c r="BO959" s="173"/>
      <c r="BP959" s="173"/>
      <c r="BQ959" s="118"/>
      <c r="BR959" s="118"/>
      <c r="BS959" s="118">
        <f>INDEX('Dist. Plant Gas Additions'!$F$7:$AE$91,MATCH($C959,'Dist. Plant Gas Additions'!$D$7:$D$91,0),MATCH(Calculation!$G959,'Dist. Plant Gas Additions'!$F$5:$AE$5,0))</f>
        <v>172488</v>
      </c>
      <c r="BT959" s="118">
        <f>INDEX('Gen. Plant Additions'!$F$7:$AE$91,MATCH($C959,'Gen. Plant Additions'!$D$7:$D$91,0),MATCH(Calculation!$G959,'Gen. Plant Additions'!$F$5:$AE$5,0))</f>
        <v>2018</v>
      </c>
      <c r="BU959" s="118"/>
      <c r="BV959" s="118"/>
      <c r="BW959" s="118">
        <f>INDEX('Dist Plant Depreciation'!$E$7:$AD$94,MATCH($C959,'Dist Plant Depreciation'!$D$7:$D$94,0),MATCH(Calculation!$G959,'Dist Plant Depreciation'!$E$5:$AD$5,0))</f>
        <v>786975</v>
      </c>
      <c r="BX959" s="118">
        <f>INDEX('Gen. Plant Depreciation'!$E$7:$AD$94,MATCH($C959,'Gen. Plant Depreciation'!$D$7:$D$94,0),MATCH(Calculation!$G959,'Gen. Plant Depreciation'!$E$5:$AD$5,0))</f>
        <v>-2004</v>
      </c>
      <c r="BY959" s="118"/>
      <c r="BZ959" s="118"/>
      <c r="CA959" s="118"/>
      <c r="CB959" s="118"/>
      <c r="CC959" s="118"/>
      <c r="CD959" s="183"/>
      <c r="CE959" s="118">
        <f>INDEX('Gross Dx Plant'!$E$7:$AD$91,MATCH($C959,'Gross Dx Plant'!$D$7:$D$91,0),MATCH(Calculation!$G959,'Gross Dx Plant'!$E$5:$AD$5,0))</f>
        <v>2483982</v>
      </c>
      <c r="CF959" s="118">
        <f>INDEX('Gross Gen Plant'!$E$7:$AD$91,MATCH($C959,'Gross Gen Plant'!$D$7:$D$91,0),MATCH(Calculation!$G959,'Gross Gen Plant'!$E$5:$AD$5,0))</f>
        <v>22344</v>
      </c>
      <c r="CG959" s="118">
        <f t="shared" si="2806"/>
        <v>1721355</v>
      </c>
      <c r="CH959" s="118"/>
      <c r="CI959" s="121">
        <v>2009</v>
      </c>
      <c r="CJ959" s="118"/>
      <c r="CK959" s="118"/>
      <c r="CL959" s="118"/>
      <c r="CM959" s="183"/>
      <c r="CN959" s="118">
        <f t="shared" si="2823"/>
        <v>174506</v>
      </c>
      <c r="CO959" s="118">
        <f t="shared" si="2824"/>
        <v>316.7419288846566</v>
      </c>
      <c r="CP959" s="186">
        <v>0.93567251461988299</v>
      </c>
      <c r="CQ959" s="118">
        <f>+CQ948*CP959+CO949*CP958+CO950*CP957+CO951*CP956+CO952*CP955+CO953*CP954+CO954*CP953+CO955*CP952+CO956*CP951+CO957*CP950+CO958*CP949+CO959</f>
        <v>6865.864911925536</v>
      </c>
      <c r="CR959" s="119">
        <f t="shared" si="2825"/>
        <v>4.0565356530010796E-2</v>
      </c>
      <c r="CS959" s="119"/>
      <c r="CT959" s="177">
        <f t="shared" si="2826"/>
        <v>6.6433531249926528E-3</v>
      </c>
      <c r="CU959" s="177">
        <f t="shared" si="2834"/>
        <v>6.4687187775581759E-3</v>
      </c>
      <c r="CV959" s="119">
        <f>VLOOKUP($H959,RoR!$E:$F,2,FALSE)</f>
        <v>5.3133333333333324E-2</v>
      </c>
      <c r="CW959" s="177">
        <v>7.7972502758210105E-3</v>
      </c>
      <c r="CX959" s="177">
        <f t="shared" si="2832"/>
        <v>4.5336083057512314E-2</v>
      </c>
      <c r="CY959" s="177">
        <f t="shared" si="2835"/>
        <v>2.4433222830975449E-2</v>
      </c>
      <c r="CZ959" s="177">
        <f t="shared" si="2836"/>
        <v>6.3720160300892073E-2</v>
      </c>
      <c r="DA959" s="187">
        <f t="shared" si="2827"/>
        <v>0.86875000000000002</v>
      </c>
      <c r="DB959" s="188">
        <f t="shared" si="2828"/>
        <v>0.96515780330083989</v>
      </c>
      <c r="DC959" s="188">
        <f t="shared" si="2829"/>
        <v>0.50448557089084056</v>
      </c>
      <c r="DD959" s="188">
        <f t="shared" si="2830"/>
        <v>0.87391435735465484</v>
      </c>
      <c r="DE959" s="188">
        <f t="shared" si="2831"/>
        <v>0.42551605393279146</v>
      </c>
      <c r="DF959" s="189">
        <f>INDEX('State Tax Lookup'!$D$7:$Z$91,MATCH(Calculation!$C959,'State Tax Lookup'!$B$7:$B$91,0),MATCH($H959,'State Tax Lookup'!$D$6:$Z$6,0))</f>
        <v>0.35</v>
      </c>
      <c r="DG959" s="189">
        <v>0.375</v>
      </c>
      <c r="DH959" s="190">
        <f t="shared" si="2833"/>
        <v>17.906321064831893</v>
      </c>
      <c r="DI959" s="190">
        <v>17.615915719788457</v>
      </c>
      <c r="DJ959" s="177"/>
      <c r="DK959" s="189">
        <f>VLOOKUP($H959,RoR!$E:$F,2,FALSE)</f>
        <v>5.3133333333333324E-2</v>
      </c>
      <c r="DL959" s="191">
        <f>HLOOKUP($H959,'GDP-PI'!$D$8:$CQ$11,3,FALSE)</f>
        <v>7.7972502758210105E-3</v>
      </c>
      <c r="DM959" s="189">
        <f>VLOOKUP(H959,'HW Dx Data'!$E:$F,2,FALSE)</f>
        <v>550.94063679692806</v>
      </c>
      <c r="DN959" s="183">
        <f>VLOOKUP(H959,'ECI - Input Price'!$G$17:$H$37,2,FALSE)</f>
        <v>109.77499999999999</v>
      </c>
      <c r="DO959" s="177">
        <f t="shared" ref="DO959" si="2868">LN(DN959/DN958)</f>
        <v>1.4220423119736749E-2</v>
      </c>
      <c r="DP959" s="183">
        <f>HLOOKUP(H959,'GDP-PI'!$8:$9,2,FALSE)</f>
        <v>94.998999999999995</v>
      </c>
      <c r="DQ959" s="177">
        <f t="shared" ref="DQ959" si="2869">LN(DP959/DP958)</f>
        <v>7.7670088183096342E-3</v>
      </c>
    </row>
    <row r="960" spans="1:121" s="167" customFormat="1" ht="21" x14ac:dyDescent="0.35">
      <c r="A960" s="167" t="s">
        <v>96</v>
      </c>
      <c r="B960" s="167" t="s">
        <v>96</v>
      </c>
      <c r="C960" s="167">
        <v>4062485</v>
      </c>
      <c r="D960" s="168" t="s">
        <v>133</v>
      </c>
      <c r="E960" s="168"/>
      <c r="F960" s="198"/>
      <c r="G960" s="167" t="s">
        <v>16</v>
      </c>
      <c r="H960" s="169">
        <v>2010</v>
      </c>
      <c r="I960" s="170"/>
      <c r="J960" s="166">
        <f>IFERROR(INDEX('Labor Expenditures'!$F$7:$X$91,MATCH($C960,'Labor Expenditures'!$D$7:$D$91,0),MATCH($G960,'Labor Expenditures'!$F$5:$X$5,0)),"NA")</f>
        <v>48293.572472294953</v>
      </c>
      <c r="K960" s="166">
        <f t="shared" si="2839"/>
        <v>431.67439081380962</v>
      </c>
      <c r="L960" s="172">
        <f t="shared" si="2846"/>
        <v>-6.2030399205099992E-2</v>
      </c>
      <c r="M960" s="172">
        <f t="shared" si="2850"/>
        <v>-1.561451314813862E-3</v>
      </c>
      <c r="N960" s="196"/>
      <c r="O960" s="172"/>
      <c r="P960" s="166">
        <f>IFERROR(INDEX('Non-Labor Expenditures'!$F$7:$AB$91,MATCH($C960,'Non-Labor Expenditures'!$D$7:$D$91,0),MATCH($G960,'Non-Labor Expenditures'!$F$5:$AB$5,0)),"NA")</f>
        <v>69938.112935007332</v>
      </c>
      <c r="Q960" s="166">
        <f t="shared" si="2840"/>
        <v>727.69577183205877</v>
      </c>
      <c r="R960" s="172">
        <f t="shared" si="2851"/>
        <v>-5.4697637865012062E-2</v>
      </c>
      <c r="S960" s="172">
        <f t="shared" si="2856"/>
        <v>-1.3768684331554898E-3</v>
      </c>
      <c r="T960" s="172"/>
      <c r="U960" s="172"/>
      <c r="V960" s="166">
        <f t="shared" si="2821"/>
        <v>126221.06103209138</v>
      </c>
      <c r="W960" s="170"/>
      <c r="X960" s="174">
        <v>7047.1337137596802</v>
      </c>
      <c r="Y960" s="175">
        <v>2.6058948818682471E-2</v>
      </c>
      <c r="Z960" s="175">
        <f t="shared" si="2857"/>
        <v>6.559651463963731E-4</v>
      </c>
      <c r="AA960" s="175"/>
      <c r="AB960" s="175"/>
      <c r="AC960" s="170">
        <f t="shared" si="2863"/>
        <v>244452.74643939367</v>
      </c>
      <c r="AD960" s="175">
        <f t="shared" si="2852"/>
        <v>1.2187668474361408E-2</v>
      </c>
      <c r="AE960" s="170"/>
      <c r="AF960" s="170"/>
      <c r="AG960" s="121">
        <f t="shared" si="2853"/>
        <v>325.58492941551691</v>
      </c>
      <c r="AH960" s="119">
        <f>+AZ960/$BB$48</f>
        <v>2.0938036596497747E-2</v>
      </c>
      <c r="AI960" s="119"/>
      <c r="AJ960" s="176">
        <f t="shared" si="2858"/>
        <v>6.8171091673702291</v>
      </c>
      <c r="AK960" s="176">
        <f t="shared" si="2859"/>
        <v>0</v>
      </c>
      <c r="AL960" s="120">
        <f t="shared" si="2841"/>
        <v>0.19755790505822038</v>
      </c>
      <c r="AM960" s="120">
        <f t="shared" si="2842"/>
        <v>0.28610074525117618</v>
      </c>
      <c r="AN960" s="120">
        <f t="shared" si="2843"/>
        <v>0.51634134969060341</v>
      </c>
      <c r="AO960" s="120">
        <f t="shared" si="2847"/>
        <v>-1.5599221535302986E-2</v>
      </c>
      <c r="AP960" s="173">
        <f t="shared" si="2864"/>
        <v>120.99935380639863</v>
      </c>
      <c r="AQ960" s="175">
        <f t="shared" si="2865"/>
        <v>-1.559922153530288E-2</v>
      </c>
      <c r="AR960" s="177">
        <f>+AC960/$AE$48</f>
        <v>2.5172356374025772E-2</v>
      </c>
      <c r="AS960" s="177">
        <f t="shared" si="2860"/>
        <v>-3.9266916364402157E-4</v>
      </c>
      <c r="AT960" s="177"/>
      <c r="AU960" s="177"/>
      <c r="AV960" s="177"/>
      <c r="AW960" s="190"/>
      <c r="AX960" s="120"/>
      <c r="AY960" s="120"/>
      <c r="AZ960" s="118">
        <f>IFERROR(INDEX('Total Customers'!$F$7:$AB$91,MATCH($C960,'Total Customers'!$D$7:$D$91,0),MATCH($G960,'Total Customers'!$F$5:$AB$5,0)),"NA")</f>
        <v>750811</v>
      </c>
      <c r="BA960" s="119">
        <f t="shared" si="2822"/>
        <v>5.7154728721067281E-3</v>
      </c>
      <c r="BB960" s="119"/>
      <c r="BC960" s="121"/>
      <c r="BD960" s="119"/>
      <c r="BE960" s="119"/>
      <c r="BF960" s="119"/>
      <c r="BG960" s="173"/>
      <c r="BH960" s="173"/>
      <c r="BI960" s="173"/>
      <c r="BJ960" s="173"/>
      <c r="BK960" s="173"/>
      <c r="BL960" s="173"/>
      <c r="BM960" s="173"/>
      <c r="BN960" s="173"/>
      <c r="BO960" s="173"/>
      <c r="BP960" s="173"/>
      <c r="BQ960" s="118"/>
      <c r="BR960" s="118"/>
      <c r="BS960" s="118">
        <f>INDEX('Dist. Plant Gas Additions'!$F$7:$AE$91,MATCH($C960,'Dist. Plant Gas Additions'!$D$7:$D$91,0),MATCH(Calculation!$G960,'Dist. Plant Gas Additions'!$F$5:$AE$5,0))</f>
        <v>124742</v>
      </c>
      <c r="BT960" s="118">
        <f>INDEX('Gen. Plant Additions'!$F$7:$AE$91,MATCH($C960,'Gen. Plant Additions'!$D$7:$D$91,0),MATCH(Calculation!$G960,'Gen. Plant Additions'!$F$5:$AE$5,0))</f>
        <v>5076</v>
      </c>
      <c r="BU960" s="118"/>
      <c r="BV960" s="118"/>
      <c r="BW960" s="118">
        <f>INDEX('Dist Plant Depreciation'!$E$7:$AD$94,MATCH($C960,'Dist Plant Depreciation'!$D$7:$D$94,0),MATCH(Calculation!$G960,'Dist Plant Depreciation'!$E$5:$AD$5,0))</f>
        <v>851599</v>
      </c>
      <c r="BX960" s="118">
        <f>INDEX('Gen. Plant Depreciation'!$E$7:$AD$94,MATCH($C960,'Gen. Plant Depreciation'!$D$7:$D$94,0),MATCH(Calculation!$G960,'Gen. Plant Depreciation'!$E$5:$AD$5,0))</f>
        <v>5752</v>
      </c>
      <c r="BY960" s="118"/>
      <c r="BZ960" s="118"/>
      <c r="CA960" s="118"/>
      <c r="CB960" s="118"/>
      <c r="CC960" s="118"/>
      <c r="CD960" s="183"/>
      <c r="CE960" s="118">
        <f>INDEX('Gross Dx Plant'!$E$7:$AD$91,MATCH($C960,'Gross Dx Plant'!$D$7:$D$91,0),MATCH(Calculation!$G960,'Gross Dx Plant'!$E$5:$AD$5,0))</f>
        <v>2585583</v>
      </c>
      <c r="CF960" s="118">
        <f>INDEX('Gross Gen Plant'!$E$7:$AD$91,MATCH($C960,'Gross Gen Plant'!$D$7:$D$91,0),MATCH(Calculation!$G960,'Gross Gen Plant'!$E$5:$AD$5,0))</f>
        <v>32031</v>
      </c>
      <c r="CG960" s="118">
        <f t="shared" si="2806"/>
        <v>1760263</v>
      </c>
      <c r="CH960" s="118"/>
      <c r="CI960" s="121">
        <v>2010</v>
      </c>
      <c r="CJ960" s="118"/>
      <c r="CK960" s="118"/>
      <c r="CL960" s="118"/>
      <c r="CM960" s="183"/>
      <c r="CN960" s="118">
        <f t="shared" si="2823"/>
        <v>129818</v>
      </c>
      <c r="CO960" s="118">
        <f t="shared" si="2824"/>
        <v>228.15535154869448</v>
      </c>
      <c r="CP960" s="186">
        <v>0.9285714285714286</v>
      </c>
      <c r="CQ960" s="118">
        <f>+CQ948*CP960+CO949*CP959+CO950*CP958+CO951*CP957+CO952*CP956+CO953*CP955+CO954*CP954+CO955*CP953+CO956*CP952+CO957*CP951+CO958*CP950+CO959*CP949+CO960</f>
        <v>7047.1337137596802</v>
      </c>
      <c r="CR960" s="119">
        <f t="shared" si="2825"/>
        <v>2.6058948818682471E-2</v>
      </c>
      <c r="CS960" s="119"/>
      <c r="CT960" s="177">
        <f t="shared" si="2826"/>
        <v>6.8289356571976274E-3</v>
      </c>
      <c r="CU960" s="177">
        <f t="shared" si="2834"/>
        <v>6.6435610976635666E-3</v>
      </c>
      <c r="CV960" s="119">
        <f>VLOOKUP($H960,RoR!$E:$F,2,FALSE)</f>
        <v>4.9433333333333322E-2</v>
      </c>
      <c r="CW960" s="177">
        <v>1.1684333519300205E-2</v>
      </c>
      <c r="CX960" s="177">
        <f t="shared" si="2832"/>
        <v>3.7748999814033117E-2</v>
      </c>
      <c r="CY960" s="177">
        <f t="shared" si="2835"/>
        <v>2.4258380510870058E-2</v>
      </c>
      <c r="CZ960" s="177">
        <f t="shared" si="2836"/>
        <v>4.7937530248493419E-2</v>
      </c>
      <c r="DA960" s="187">
        <f t="shared" si="2827"/>
        <v>0.86875000000000002</v>
      </c>
      <c r="DB960" s="188">
        <f t="shared" si="2828"/>
        <v>1.037398205301105</v>
      </c>
      <c r="DC960" s="188">
        <f t="shared" si="2829"/>
        <v>0.46926837491571133</v>
      </c>
      <c r="DD960" s="188">
        <f t="shared" si="2830"/>
        <v>0.8548537519972772</v>
      </c>
      <c r="DE960" s="188">
        <f t="shared" si="2831"/>
        <v>0.41615833911547367</v>
      </c>
      <c r="DF960" s="189">
        <f>INDEX('State Tax Lookup'!$D$7:$Z$91,MATCH(Calculation!$C960,'State Tax Lookup'!$B$7:$B$91,0),MATCH($H960,'State Tax Lookup'!$D$6:$Z$6,0))</f>
        <v>0.35</v>
      </c>
      <c r="DG960" s="189">
        <v>0.375</v>
      </c>
      <c r="DH960" s="190">
        <f t="shared" si="2833"/>
        <v>18.383854423476066</v>
      </c>
      <c r="DI960" s="190">
        <v>18.106200283332626</v>
      </c>
      <c r="DJ960" s="177"/>
      <c r="DK960" s="189">
        <f>VLOOKUP($H960,RoR!$E:$F,2,FALSE)</f>
        <v>4.9433333333333322E-2</v>
      </c>
      <c r="DL960" s="191">
        <f>HLOOKUP($H960,'GDP-PI'!$D$8:$CQ$11,3,FALSE)</f>
        <v>1.1684333519300205E-2</v>
      </c>
      <c r="DM960" s="189">
        <f>VLOOKUP(H960,'HW Dx Data'!$E:$F,2,FALSE)</f>
        <v>568.98950262971744</v>
      </c>
      <c r="DN960" s="183">
        <f>VLOOKUP(H960,'ECI - Input Price'!$G$17:$H$37,2,FALSE)</f>
        <v>111.875</v>
      </c>
      <c r="DO960" s="177">
        <f t="shared" ref="DO960" si="2870">LN(DN960/DN959)</f>
        <v>1.8949360147238387E-2</v>
      </c>
      <c r="DP960" s="183">
        <f>HLOOKUP(H960,'GDP-PI'!$8:$9,2,FALSE)</f>
        <v>96.108999999999995</v>
      </c>
      <c r="DQ960" s="177">
        <f t="shared" ref="DQ960" si="2871">LN(DP960/DP959)</f>
        <v>1.1616598807150427E-2</v>
      </c>
    </row>
    <row r="961" spans="1:121" s="167" customFormat="1" ht="21" x14ac:dyDescent="0.35">
      <c r="A961" s="167" t="s">
        <v>96</v>
      </c>
      <c r="B961" s="167" t="s">
        <v>96</v>
      </c>
      <c r="C961" s="167">
        <v>4062485</v>
      </c>
      <c r="D961" s="168" t="s">
        <v>133</v>
      </c>
      <c r="E961" s="168"/>
      <c r="F961" s="198"/>
      <c r="G961" s="167" t="s">
        <v>17</v>
      </c>
      <c r="H961" s="169">
        <v>2011</v>
      </c>
      <c r="I961" s="170"/>
      <c r="J961" s="166">
        <f>IFERROR(INDEX('Labor Expenditures'!$F$7:$X$91,MATCH($C961,'Labor Expenditures'!$D$7:$D$91,0),MATCH($G961,'Labor Expenditures'!$F$5:$X$5,0)),"NA")</f>
        <v>49530.455168260625</v>
      </c>
      <c r="K961" s="166">
        <f t="shared" si="2839"/>
        <v>433.33731555783578</v>
      </c>
      <c r="L961" s="172">
        <f t="shared" si="2846"/>
        <v>3.8448654055428387E-3</v>
      </c>
      <c r="M961" s="172">
        <f t="shared" si="2850"/>
        <v>9.7881437310564937E-5</v>
      </c>
      <c r="N961" s="196"/>
      <c r="O961" s="172"/>
      <c r="P961" s="166">
        <f>IFERROR(INDEX('Non-Labor Expenditures'!$F$7:$AB$91,MATCH($C961,'Non-Labor Expenditures'!$D$7:$D$91,0),MATCH($G961,'Non-Labor Expenditures'!$F$5:$AB$5,0)),"NA")</f>
        <v>71729.350096586757</v>
      </c>
      <c r="Q961" s="166">
        <f t="shared" si="2840"/>
        <v>731.09660486573262</v>
      </c>
      <c r="R961" s="172">
        <f t="shared" si="2851"/>
        <v>4.6625403984390384E-3</v>
      </c>
      <c r="S961" s="172">
        <f t="shared" si="2856"/>
        <v>1.1869756352455557E-4</v>
      </c>
      <c r="T961" s="172"/>
      <c r="U961" s="172"/>
      <c r="V961" s="166">
        <f t="shared" si="2821"/>
        <v>138379.49477848737</v>
      </c>
      <c r="W961" s="170"/>
      <c r="X961" s="174">
        <v>7174.8927875287663</v>
      </c>
      <c r="Y961" s="175">
        <v>1.7966850299454426E-2</v>
      </c>
      <c r="Z961" s="175">
        <f t="shared" si="2857"/>
        <v>4.5739471886820489E-4</v>
      </c>
      <c r="AA961" s="175"/>
      <c r="AB961" s="175"/>
      <c r="AC961" s="170">
        <f t="shared" si="2863"/>
        <v>259639.30004333475</v>
      </c>
      <c r="AD961" s="175">
        <f t="shared" si="2852"/>
        <v>6.0271336147786819E-2</v>
      </c>
      <c r="AE961" s="170"/>
      <c r="AF961" s="170"/>
      <c r="AG961" s="121">
        <f t="shared" si="2853"/>
        <v>343.1155355787543</v>
      </c>
      <c r="AH961" s="119">
        <f>+AZ961/$BB$49</f>
        <v>2.0999983585962674E-2</v>
      </c>
      <c r="AI961" s="119"/>
      <c r="AJ961" s="176">
        <f t="shared" si="2858"/>
        <v>7.2054206152426321</v>
      </c>
      <c r="AK961" s="176">
        <f t="shared" si="2859"/>
        <v>0</v>
      </c>
      <c r="AL961" s="120">
        <f t="shared" si="2841"/>
        <v>0.19076640231272313</v>
      </c>
      <c r="AM961" s="120">
        <f t="shared" si="2842"/>
        <v>0.27626538079795648</v>
      </c>
      <c r="AN961" s="120">
        <f t="shared" si="2843"/>
        <v>0.53296821688932039</v>
      </c>
      <c r="AO961" s="120">
        <f t="shared" si="2847"/>
        <v>1.1483948688743282E-2</v>
      </c>
      <c r="AP961" s="173">
        <f t="shared" si="2864"/>
        <v>122.39691356991571</v>
      </c>
      <c r="AQ961" s="175">
        <f t="shared" si="2865"/>
        <v>1.1483948688743173E-2</v>
      </c>
      <c r="AR961" s="177">
        <f>+AC961/$AE$49</f>
        <v>2.5457701892361954E-2</v>
      </c>
      <c r="AS961" s="177">
        <f t="shared" si="2860"/>
        <v>2.9235494226520465E-4</v>
      </c>
      <c r="AT961" s="177"/>
      <c r="AU961" s="177"/>
      <c r="AV961" s="177"/>
      <c r="AW961" s="190"/>
      <c r="AX961" s="120"/>
      <c r="AY961" s="120"/>
      <c r="AZ961" s="118">
        <f>IFERROR(INDEX('Total Customers'!$F$7:$AB$91,MATCH($C961,'Total Customers'!$D$7:$D$91,0),MATCH($G961,'Total Customers'!$F$5:$AB$5,0)),"NA")</f>
        <v>756711</v>
      </c>
      <c r="BA961" s="119">
        <f t="shared" si="2822"/>
        <v>7.8274547554435317E-3</v>
      </c>
      <c r="BB961" s="119"/>
      <c r="BC961" s="121"/>
      <c r="BD961" s="119"/>
      <c r="BE961" s="119"/>
      <c r="BF961" s="119"/>
      <c r="BG961" s="173"/>
      <c r="BH961" s="173"/>
      <c r="BI961" s="173"/>
      <c r="BJ961" s="173"/>
      <c r="BK961" s="173"/>
      <c r="BL961" s="173"/>
      <c r="BM961" s="173"/>
      <c r="BN961" s="173"/>
      <c r="BO961" s="173"/>
      <c r="BP961" s="173"/>
      <c r="BQ961" s="118"/>
      <c r="BR961" s="118"/>
      <c r="BS961" s="118">
        <f>INDEX('Dist. Plant Gas Additions'!$F$7:$AE$91,MATCH($C961,'Dist. Plant Gas Additions'!$D$7:$D$91,0),MATCH(Calculation!$G961,'Dist. Plant Gas Additions'!$F$5:$AE$5,0))</f>
        <v>107466</v>
      </c>
      <c r="BT961" s="118">
        <f>INDEX('Gen. Plant Additions'!$F$7:$AE$91,MATCH($C961,'Gen. Plant Additions'!$D$7:$D$91,0),MATCH(Calculation!$G961,'Gen. Plant Additions'!$F$5:$AE$5,0))</f>
        <v>1046</v>
      </c>
      <c r="BU961" s="118"/>
      <c r="BV961" s="118"/>
      <c r="BW961" s="118">
        <f>INDEX('Dist Plant Depreciation'!$E$7:$AD$94,MATCH($C961,'Dist Plant Depreciation'!$D$7:$D$94,0),MATCH(Calculation!$G961,'Dist Plant Depreciation'!$E$5:$AD$5,0))</f>
        <v>922399</v>
      </c>
      <c r="BX961" s="118">
        <f>INDEX('Gen. Plant Depreciation'!$E$7:$AD$94,MATCH($C961,'Gen. Plant Depreciation'!$D$7:$D$94,0),MATCH(Calculation!$G961,'Gen. Plant Depreciation'!$E$5:$AD$5,0))</f>
        <v>8239</v>
      </c>
      <c r="BY961" s="118"/>
      <c r="BZ961" s="118"/>
      <c r="CA961" s="118"/>
      <c r="CB961" s="118"/>
      <c r="CC961" s="118"/>
      <c r="CD961" s="183"/>
      <c r="CE961" s="118">
        <f>INDEX('Gross Dx Plant'!$E$7:$AD$91,MATCH($C961,'Gross Dx Plant'!$D$7:$D$91,0),MATCH(Calculation!$G961,'Gross Dx Plant'!$E$5:$AD$5,0))</f>
        <v>2691047</v>
      </c>
      <c r="CF961" s="118">
        <f>INDEX('Gross Gen Plant'!$E$7:$AD$91,MATCH($C961,'Gross Gen Plant'!$D$7:$D$91,0),MATCH(Calculation!$G961,'Gross Gen Plant'!$E$5:$AD$5,0))</f>
        <v>32711</v>
      </c>
      <c r="CG961" s="118">
        <f t="shared" si="2806"/>
        <v>1793120</v>
      </c>
      <c r="CH961" s="118"/>
      <c r="CI961" s="121">
        <v>2011</v>
      </c>
      <c r="CJ961" s="118"/>
      <c r="CK961" s="118"/>
      <c r="CL961" s="118"/>
      <c r="CM961" s="183"/>
      <c r="CN961" s="118">
        <f t="shared" si="2823"/>
        <v>108512</v>
      </c>
      <c r="CO961" s="118">
        <f t="shared" si="2824"/>
        <v>177.41993349677088</v>
      </c>
      <c r="CP961" s="186">
        <v>0.92121212121212126</v>
      </c>
      <c r="CQ961" s="118">
        <f>+CQ948*CP961+CO949*CP960+CO950*CP959+CO951*CP958+CO952*CP957+CO953*CP956+CO954*CP955+CO955*CP954+CO956*CP953+CO957*CP952+CO958*CP951+CO959*CP950+CO960*CP949+CO961</f>
        <v>7174.8927875287663</v>
      </c>
      <c r="CR961" s="119">
        <f t="shared" si="2825"/>
        <v>1.7966850299454426E-2</v>
      </c>
      <c r="CS961" s="119"/>
      <c r="CT961" s="177">
        <f t="shared" si="2826"/>
        <v>7.0469586281186655E-3</v>
      </c>
      <c r="CU961" s="177">
        <f t="shared" si="2834"/>
        <v>6.8397491367696477E-3</v>
      </c>
      <c r="CV961" s="119">
        <f>VLOOKUP($H961,RoR!$E:$F,2,FALSE)</f>
        <v>4.6391666666666664E-2</v>
      </c>
      <c r="CW961" s="177">
        <v>2.0840920205183799E-2</v>
      </c>
      <c r="CX961" s="177">
        <f t="shared" si="2832"/>
        <v>2.5550746461482865E-2</v>
      </c>
      <c r="CY961" s="177">
        <f t="shared" si="2835"/>
        <v>2.4062192471763978E-2</v>
      </c>
      <c r="CZ961" s="177">
        <f t="shared" si="2836"/>
        <v>2.4810540821321614E-2</v>
      </c>
      <c r="DA961" s="187">
        <f t="shared" si="2827"/>
        <v>0.86875000000000002</v>
      </c>
      <c r="DB961" s="188">
        <f t="shared" si="2828"/>
        <v>1.1054151524782025</v>
      </c>
      <c r="DC961" s="188">
        <f t="shared" si="2829"/>
        <v>0.43611011316687626</v>
      </c>
      <c r="DD961" s="188">
        <f t="shared" si="2830"/>
        <v>0.83698442246886229</v>
      </c>
      <c r="DE961" s="188">
        <f t="shared" si="2831"/>
        <v>0.40349573304423936</v>
      </c>
      <c r="DF961" s="189">
        <f>INDEX('State Tax Lookup'!$D$7:$Z$91,MATCH(Calculation!$C961,'State Tax Lookup'!$B$7:$B$91,0),MATCH($H961,'State Tax Lookup'!$D$6:$Z$6,0))</f>
        <v>0.35</v>
      </c>
      <c r="DG961" s="189">
        <v>0.375</v>
      </c>
      <c r="DH961" s="190">
        <f t="shared" si="2833"/>
        <v>19.636280564436916</v>
      </c>
      <c r="DI961" s="190">
        <v>19.326346786738242</v>
      </c>
      <c r="DJ961" s="177"/>
      <c r="DK961" s="189">
        <f>VLOOKUP($H961,RoR!$E:$F,2,FALSE)</f>
        <v>4.6391666666666664E-2</v>
      </c>
      <c r="DL961" s="191">
        <f>HLOOKUP($H961,'GDP-PI'!$D$8:$CQ$11,3,FALSE)</f>
        <v>2.0840920205183799E-2</v>
      </c>
      <c r="DM961" s="189">
        <f>VLOOKUP(H961,'HW Dx Data'!$E:$F,2,FALSE)</f>
        <v>611.61109612283201</v>
      </c>
      <c r="DN961" s="183">
        <f>VLOOKUP(H961,'ECI - Input Price'!$G$17:$H$37,2,FALSE)</f>
        <v>114.3</v>
      </c>
      <c r="DO961" s="177">
        <f t="shared" ref="DO961" si="2872">LN(DN961/DN960)</f>
        <v>2.1444394205745516E-2</v>
      </c>
      <c r="DP961" s="183">
        <f>HLOOKUP(H961,'GDP-PI'!$8:$9,2,FALSE)</f>
        <v>98.111999999999995</v>
      </c>
      <c r="DQ961" s="177">
        <f t="shared" ref="DQ961" si="2873">LN(DP961/DP960)</f>
        <v>2.0626719212849295E-2</v>
      </c>
    </row>
    <row r="962" spans="1:121" s="167" customFormat="1" ht="21" x14ac:dyDescent="0.35">
      <c r="A962" s="167" t="s">
        <v>96</v>
      </c>
      <c r="B962" s="167" t="s">
        <v>96</v>
      </c>
      <c r="C962" s="167">
        <v>4062485</v>
      </c>
      <c r="D962" s="168" t="s">
        <v>133</v>
      </c>
      <c r="E962" s="168"/>
      <c r="F962" s="198"/>
      <c r="G962" s="167" t="s">
        <v>18</v>
      </c>
      <c r="H962" s="169">
        <v>2012</v>
      </c>
      <c r="I962" s="170"/>
      <c r="J962" s="166">
        <f>IFERROR(INDEX('Labor Expenditures'!$F$7:$X$91,MATCH($C962,'Labor Expenditures'!$D$7:$D$91,0),MATCH($G962,'Labor Expenditures'!$F$5:$X$5,0)),"NA")</f>
        <v>49455.197310477233</v>
      </c>
      <c r="K962" s="166">
        <f t="shared" si="2839"/>
        <v>424.50813142040545</v>
      </c>
      <c r="L962" s="172">
        <f t="shared" si="2846"/>
        <v>-2.0585283630672975E-2</v>
      </c>
      <c r="M962" s="172">
        <f t="shared" si="2850"/>
        <v>-5.2664887887784518E-4</v>
      </c>
      <c r="N962" s="196"/>
      <c r="O962" s="172"/>
      <c r="P962" s="166">
        <f>IFERROR(INDEX('Non-Labor Expenditures'!$F$7:$AB$91,MATCH($C962,'Non-Labor Expenditures'!$D$7:$D$91,0),MATCH($G962,'Non-Labor Expenditures'!$F$5:$AB$5,0)),"NA")</f>
        <v>71620.362662287487</v>
      </c>
      <c r="Q962" s="166">
        <f t="shared" si="2840"/>
        <v>716.20362662287482</v>
      </c>
      <c r="R962" s="172">
        <f t="shared" si="2851"/>
        <v>-2.0581084164425171E-2</v>
      </c>
      <c r="S962" s="172">
        <f t="shared" si="2856"/>
        <v>-5.2654144075695399E-4</v>
      </c>
      <c r="T962" s="172"/>
      <c r="U962" s="172"/>
      <c r="V962" s="166">
        <f t="shared" si="2821"/>
        <v>152323.37863421382</v>
      </c>
      <c r="W962" s="170"/>
      <c r="X962" s="174">
        <v>7352.5438282308614</v>
      </c>
      <c r="Y962" s="175">
        <v>2.4458533395960456E-2</v>
      </c>
      <c r="Z962" s="175">
        <f t="shared" si="2857"/>
        <v>6.2574115679346609E-4</v>
      </c>
      <c r="AA962" s="175"/>
      <c r="AB962" s="175"/>
      <c r="AC962" s="170">
        <f t="shared" si="2863"/>
        <v>273398.93860697851</v>
      </c>
      <c r="AD962" s="175">
        <f t="shared" si="2852"/>
        <v>5.1638681796125095E-2</v>
      </c>
      <c r="AE962" s="170"/>
      <c r="AF962" s="170"/>
      <c r="AG962" s="121">
        <f t="shared" si="2853"/>
        <v>358.01368236569988</v>
      </c>
      <c r="AH962" s="119">
        <f>+AZ962/$BB$50</f>
        <v>2.1090708948828356E-2</v>
      </c>
      <c r="AI962" s="119"/>
      <c r="AJ962" s="176">
        <f t="shared" si="2858"/>
        <v>7.5507623744732593</v>
      </c>
      <c r="AK962" s="176">
        <f t="shared" si="2859"/>
        <v>0</v>
      </c>
      <c r="AL962" s="120">
        <f t="shared" si="2841"/>
        <v>0.18089023155123138</v>
      </c>
      <c r="AM962" s="120">
        <f t="shared" si="2842"/>
        <v>0.26196284092106337</v>
      </c>
      <c r="AN962" s="120">
        <f t="shared" si="2843"/>
        <v>0.55714692752770534</v>
      </c>
      <c r="AO962" s="120">
        <f t="shared" si="2847"/>
        <v>3.9673200564936794E-3</v>
      </c>
      <c r="AP962" s="173">
        <f t="shared" si="2864"/>
        <v>122.88346581603771</v>
      </c>
      <c r="AQ962" s="175">
        <f t="shared" si="2865"/>
        <v>3.9673200564937054E-3</v>
      </c>
      <c r="AR962" s="177">
        <f>+AC962/$AE$50</f>
        <v>2.5583756256489721E-2</v>
      </c>
      <c r="AS962" s="177">
        <f t="shared" si="2860"/>
        <v>1.01498949316818E-4</v>
      </c>
      <c r="AT962" s="177"/>
      <c r="AU962" s="177"/>
      <c r="AV962" s="177"/>
      <c r="AW962" s="190"/>
      <c r="AX962" s="120"/>
      <c r="AY962" s="120"/>
      <c r="AZ962" s="118">
        <f>IFERROR(INDEX('Total Customers'!$F$7:$AB$91,MATCH($C962,'Total Customers'!$D$7:$D$91,0),MATCH($G962,'Total Customers'!$F$5:$AB$5,0)),"NA")</f>
        <v>763655</v>
      </c>
      <c r="BA962" s="119">
        <f t="shared" si="2822"/>
        <v>9.1347060977841621E-3</v>
      </c>
      <c r="BB962" s="119"/>
      <c r="BC962" s="121"/>
      <c r="BD962" s="119"/>
      <c r="BE962" s="119"/>
      <c r="BF962" s="119"/>
      <c r="BG962" s="173"/>
      <c r="BH962" s="173"/>
      <c r="BI962" s="173"/>
      <c r="BJ962" s="173"/>
      <c r="BK962" s="173"/>
      <c r="BL962" s="173"/>
      <c r="BM962" s="173"/>
      <c r="BN962" s="173"/>
      <c r="BO962" s="173"/>
      <c r="BP962" s="173"/>
      <c r="BQ962" s="118"/>
      <c r="BR962" s="118"/>
      <c r="BS962" s="118">
        <f>INDEX('Dist. Plant Gas Additions'!$F$7:$AE$91,MATCH($C962,'Dist. Plant Gas Additions'!$D$7:$D$91,0),MATCH(Calculation!$G962,'Dist. Plant Gas Additions'!$F$5:$AE$5,0))</f>
        <v>151987</v>
      </c>
      <c r="BT962" s="118">
        <f>INDEX('Gen. Plant Additions'!$F$7:$AE$91,MATCH($C962,'Gen. Plant Additions'!$D$7:$D$91,0),MATCH(Calculation!$G962,'Gen. Plant Additions'!$F$5:$AE$5,0))</f>
        <v>1835</v>
      </c>
      <c r="BU962" s="118"/>
      <c r="BV962" s="118"/>
      <c r="BW962" s="118">
        <f>INDEX('Dist Plant Depreciation'!$E$7:$AD$94,MATCH($C962,'Dist Plant Depreciation'!$D$7:$D$94,0),MATCH(Calculation!$G962,'Dist Plant Depreciation'!$E$5:$AD$5,0))</f>
        <v>994151</v>
      </c>
      <c r="BX962" s="118">
        <f>INDEX('Gen. Plant Depreciation'!$E$7:$AD$94,MATCH($C962,'Gen. Plant Depreciation'!$D$7:$D$94,0),MATCH(Calculation!$G962,'Gen. Plant Depreciation'!$E$5:$AD$5,0))</f>
        <v>11316</v>
      </c>
      <c r="BY962" s="118"/>
      <c r="BZ962" s="118"/>
      <c r="CA962" s="118"/>
      <c r="CB962" s="118"/>
      <c r="CC962" s="118"/>
      <c r="CD962" s="183"/>
      <c r="CE962" s="118">
        <f>INDEX('Gross Dx Plant'!$E$7:$AD$91,MATCH($C962,'Gross Dx Plant'!$D$7:$D$91,0),MATCH(Calculation!$G962,'Gross Dx Plant'!$E$5:$AD$5,0))</f>
        <v>2828799</v>
      </c>
      <c r="CF962" s="118">
        <f>INDEX('Gross Gen Plant'!$E$7:$AD$91,MATCH($C962,'Gross Gen Plant'!$D$7:$D$91,0),MATCH(Calculation!$G962,'Gross Gen Plant'!$E$5:$AD$5,0))</f>
        <v>34698</v>
      </c>
      <c r="CG962" s="118">
        <f t="shared" si="2806"/>
        <v>1858030</v>
      </c>
      <c r="CH962" s="118"/>
      <c r="CI962" s="121">
        <v>2012</v>
      </c>
      <c r="CJ962" s="118"/>
      <c r="CK962" s="118"/>
      <c r="CL962" s="118"/>
      <c r="CM962" s="183"/>
      <c r="CN962" s="118">
        <f t="shared" si="2823"/>
        <v>153822</v>
      </c>
      <c r="CO962" s="118">
        <f t="shared" si="2824"/>
        <v>229.95598260518176</v>
      </c>
      <c r="CP962" s="186">
        <v>0.9135802469135802</v>
      </c>
      <c r="CQ962" s="118">
        <f>+CQ948*CP962+CO949*CP961+CO950*CP960+CO951*CP959+CO952*CP958+CO953*CP957+CO954*CP956+CO955*CP955+CO956*CP954+CO957*CP953+CO958*CP952+CO959*CP951+CO960*CP950+CO961*CP949+CO962</f>
        <v>7352.5438282308614</v>
      </c>
      <c r="CR962" s="119">
        <f t="shared" si="2825"/>
        <v>2.4458533395960456E-2</v>
      </c>
      <c r="CS962" s="119"/>
      <c r="CT962" s="177">
        <f t="shared" si="2826"/>
        <v>7.2899963040565455E-3</v>
      </c>
      <c r="CU962" s="177">
        <f t="shared" si="2834"/>
        <v>7.0552968631242795E-3</v>
      </c>
      <c r="CV962" s="119">
        <f>VLOOKUP($H962,RoR!$E:$F,2,FALSE)</f>
        <v>3.6733333333333333E-2</v>
      </c>
      <c r="CW962" s="177">
        <v>1.924331376386168E-2</v>
      </c>
      <c r="CX962" s="177">
        <f t="shared" si="2832"/>
        <v>1.7490019569471653E-2</v>
      </c>
      <c r="CY962" s="177">
        <f t="shared" si="2835"/>
        <v>2.3846644745409346E-2</v>
      </c>
      <c r="CZ962" s="177">
        <f t="shared" si="2836"/>
        <v>6.7122682943869583E-2</v>
      </c>
      <c r="DA962" s="187">
        <f t="shared" si="2827"/>
        <v>0.86875000000000002</v>
      </c>
      <c r="DB962" s="188">
        <f t="shared" si="2828"/>
        <v>1.3960631020522127</v>
      </c>
      <c r="DC962" s="188">
        <f t="shared" si="2829"/>
        <v>0.29441923774954631</v>
      </c>
      <c r="DD962" s="188">
        <f t="shared" si="2830"/>
        <v>0.76377954189366437</v>
      </c>
      <c r="DE962" s="188">
        <f t="shared" si="2831"/>
        <v>0.31393465103033691</v>
      </c>
      <c r="DF962" s="189">
        <f>INDEX('State Tax Lookup'!$D$7:$Z$91,MATCH(Calculation!$C962,'State Tax Lookup'!$B$7:$B$91,0),MATCH($H962,'State Tax Lookup'!$D$6:$Z$6,0))</f>
        <v>0.35</v>
      </c>
      <c r="DG962" s="189">
        <v>0.375</v>
      </c>
      <c r="DH962" s="190">
        <f t="shared" si="2833"/>
        <v>21.230056412686586</v>
      </c>
      <c r="DI962" s="190">
        <v>20.915458417729248</v>
      </c>
      <c r="DJ962" s="177"/>
      <c r="DK962" s="189">
        <f>VLOOKUP($H962,RoR!$E:$F,2,FALSE)</f>
        <v>3.6733333333333333E-2</v>
      </c>
      <c r="DL962" s="191">
        <f>HLOOKUP($H962,'GDP-PI'!$D$8:$CQ$11,3,FALSE)</f>
        <v>1.924331376386168E-2</v>
      </c>
      <c r="DM962" s="189">
        <f>VLOOKUP(H962,'HW Dx Data'!$E:$F,2,FALSE)</f>
        <v>668.91932211262167</v>
      </c>
      <c r="DN962" s="183">
        <f>VLOOKUP(H962,'ECI - Input Price'!$G$17:$H$37,2,FALSE)</f>
        <v>116.5</v>
      </c>
      <c r="DO962" s="177">
        <f t="shared" ref="DO962" si="2874">LN(DN962/DN961)</f>
        <v>1.9064702204990347E-2</v>
      </c>
      <c r="DP962" s="183">
        <f>HLOOKUP(H962,'GDP-PI'!$8:$9,2,FALSE)</f>
        <v>100</v>
      </c>
      <c r="DQ962" s="177">
        <f t="shared" ref="DQ962" si="2875">LN(DP962/DP961)</f>
        <v>1.9060502738742411E-2</v>
      </c>
    </row>
    <row r="963" spans="1:121" s="167" customFormat="1" ht="21" x14ac:dyDescent="0.35">
      <c r="A963" s="167" t="s">
        <v>96</v>
      </c>
      <c r="B963" s="167" t="s">
        <v>96</v>
      </c>
      <c r="C963" s="167">
        <v>4062485</v>
      </c>
      <c r="D963" s="168" t="s">
        <v>133</v>
      </c>
      <c r="E963" s="168"/>
      <c r="F963" s="198"/>
      <c r="G963" s="167" t="s">
        <v>19</v>
      </c>
      <c r="H963" s="169">
        <v>2013</v>
      </c>
      <c r="I963" s="170"/>
      <c r="J963" s="166">
        <f>IFERROR(INDEX('Labor Expenditures'!$F$7:$X$91,MATCH($C963,'Labor Expenditures'!$D$7:$D$91,0),MATCH($G963,'Labor Expenditures'!$F$5:$X$5,0)),"NA")</f>
        <v>49499.123490012826</v>
      </c>
      <c r="K963" s="166">
        <f t="shared" si="2839"/>
        <v>416.92249728374674</v>
      </c>
      <c r="L963" s="172">
        <f t="shared" si="2846"/>
        <v>-1.8030814165119268E-2</v>
      </c>
      <c r="M963" s="172">
        <f t="shared" si="2850"/>
        <v>-4.4662038082359873E-4</v>
      </c>
      <c r="N963" s="196"/>
      <c r="O963" s="172"/>
      <c r="P963" s="166">
        <f>IFERROR(INDEX('Non-Labor Expenditures'!$F$7:$AB$91,MATCH($C963,'Non-Labor Expenditures'!$D$7:$D$91,0),MATCH($G963,'Non-Labor Expenditures'!$F$5:$AB$5,0)),"NA")</f>
        <v>71683.975974533649</v>
      </c>
      <c r="Q963" s="166">
        <f t="shared" si="2840"/>
        <v>704.35160577494673</v>
      </c>
      <c r="R963" s="172">
        <f t="shared" si="2851"/>
        <v>-1.6686849752199657E-2</v>
      </c>
      <c r="S963" s="172">
        <f t="shared" si="2856"/>
        <v>-4.1333059743307979E-4</v>
      </c>
      <c r="T963" s="172"/>
      <c r="U963" s="172"/>
      <c r="V963" s="166">
        <f t="shared" si="2821"/>
        <v>153387.34149618566</v>
      </c>
      <c r="W963" s="170"/>
      <c r="X963" s="174">
        <v>7513.1737272469236</v>
      </c>
      <c r="Y963" s="175">
        <v>2.16116242464745E-2</v>
      </c>
      <c r="Z963" s="175">
        <f t="shared" si="2857"/>
        <v>5.3531647338749639E-4</v>
      </c>
      <c r="AA963" s="175"/>
      <c r="AB963" s="175"/>
      <c r="AC963" s="170">
        <f t="shared" si="2863"/>
        <v>274570.44096073217</v>
      </c>
      <c r="AD963" s="175">
        <f t="shared" si="2852"/>
        <v>4.2758014672565105E-3</v>
      </c>
      <c r="AE963" s="170"/>
      <c r="AF963" s="170"/>
      <c r="AG963" s="121">
        <f t="shared" si="2853"/>
        <v>355.02426470739948</v>
      </c>
      <c r="AH963" s="119">
        <f>+AZ963/$BB$51</f>
        <v>2.1222875583716917E-2</v>
      </c>
      <c r="AI963" s="119"/>
      <c r="AJ963" s="176">
        <f t="shared" si="2858"/>
        <v>7.53463579908572</v>
      </c>
      <c r="AK963" s="176">
        <f t="shared" si="2859"/>
        <v>0</v>
      </c>
      <c r="AL963" s="120">
        <f t="shared" si="2841"/>
        <v>0.18027841349860368</v>
      </c>
      <c r="AM963" s="120">
        <f t="shared" si="2842"/>
        <v>0.26107681410900879</v>
      </c>
      <c r="AN963" s="120">
        <f t="shared" si="2843"/>
        <v>0.55864477239238741</v>
      </c>
      <c r="AO963" s="120">
        <f t="shared" si="2847"/>
        <v>4.4370110484587121E-3</v>
      </c>
      <c r="AP963" s="173">
        <f t="shared" si="2864"/>
        <v>123.42991251005165</v>
      </c>
      <c r="AQ963" s="175">
        <f t="shared" si="2865"/>
        <v>4.4370110484587937E-3</v>
      </c>
      <c r="AR963" s="177">
        <f>+AC963/$AE$51</f>
        <v>2.476983993809824E-2</v>
      </c>
      <c r="AS963" s="177">
        <f t="shared" si="2860"/>
        <v>1.0990405347389778E-4</v>
      </c>
      <c r="AT963" s="177"/>
      <c r="AU963" s="177"/>
      <c r="AV963" s="177"/>
      <c r="AW963" s="190"/>
      <c r="AX963" s="120"/>
      <c r="AY963" s="120"/>
      <c r="AZ963" s="118">
        <f>IFERROR(INDEX('Total Customers'!$F$7:$AB$91,MATCH($C963,'Total Customers'!$D$7:$D$91,0),MATCH($G963,'Total Customers'!$F$5:$AB$5,0)),"NA")</f>
        <v>773385</v>
      </c>
      <c r="BA963" s="119">
        <f t="shared" si="2822"/>
        <v>1.2660867608213989E-2</v>
      </c>
      <c r="BB963" s="119"/>
      <c r="BC963" s="121"/>
      <c r="BD963" s="119"/>
      <c r="BE963" s="119"/>
      <c r="BF963" s="119"/>
      <c r="BG963" s="173"/>
      <c r="BH963" s="173"/>
      <c r="BI963" s="173"/>
      <c r="BJ963" s="173"/>
      <c r="BK963" s="173"/>
      <c r="BL963" s="173"/>
      <c r="BM963" s="173"/>
      <c r="BN963" s="173"/>
      <c r="BO963" s="173"/>
      <c r="BP963" s="173"/>
      <c r="BQ963" s="118"/>
      <c r="BR963" s="118"/>
      <c r="BS963" s="118">
        <f>INDEX('Dist. Plant Gas Additions'!$F$7:$AE$91,MATCH($C963,'Dist. Plant Gas Additions'!$D$7:$D$91,0),MATCH(Calculation!$G963,'Dist. Plant Gas Additions'!$F$5:$AE$5,0))</f>
        <v>128154</v>
      </c>
      <c r="BT963" s="118">
        <f>INDEX('Gen. Plant Additions'!$F$7:$AE$91,MATCH($C963,'Gen. Plant Additions'!$D$7:$D$91,0),MATCH(Calculation!$G963,'Gen. Plant Additions'!$F$5:$AE$5,0))</f>
        <v>15083</v>
      </c>
      <c r="BU963" s="118"/>
      <c r="BV963" s="118"/>
      <c r="BW963" s="118">
        <f>INDEX('Dist Plant Depreciation'!$E$7:$AD$94,MATCH($C963,'Dist Plant Depreciation'!$D$7:$D$94,0),MATCH(Calculation!$G963,'Dist Plant Depreciation'!$E$5:$AD$5,0))</f>
        <v>1069057</v>
      </c>
      <c r="BX963" s="118">
        <f>INDEX('Gen. Plant Depreciation'!$E$7:$AD$94,MATCH($C963,'Gen. Plant Depreciation'!$D$7:$D$94,0),MATCH(Calculation!$G963,'Gen. Plant Depreciation'!$E$5:$AD$5,0))</f>
        <v>17238</v>
      </c>
      <c r="BY963" s="118"/>
      <c r="BZ963" s="118"/>
      <c r="CA963" s="118"/>
      <c r="CB963" s="118"/>
      <c r="CC963" s="118"/>
      <c r="CD963" s="183"/>
      <c r="CE963" s="118">
        <f>INDEX('Gross Dx Plant'!$E$7:$AD$91,MATCH($C963,'Gross Dx Plant'!$D$7:$D$91,0),MATCH(Calculation!$G963,'Gross Dx Plant'!$E$5:$AD$5,0))</f>
        <v>2958072</v>
      </c>
      <c r="CF963" s="118">
        <f>INDEX('Gross Gen Plant'!$E$7:$AD$91,MATCH($C963,'Gross Gen Plant'!$D$7:$D$91,0),MATCH(Calculation!$G963,'Gross Gen Plant'!$E$5:$AD$5,0))</f>
        <v>36261</v>
      </c>
      <c r="CG963" s="118">
        <f t="shared" si="2806"/>
        <v>1908038</v>
      </c>
      <c r="CH963" s="118"/>
      <c r="CI963" s="121">
        <v>2013</v>
      </c>
      <c r="CJ963" s="118"/>
      <c r="CK963" s="118"/>
      <c r="CL963" s="118"/>
      <c r="CM963" s="183"/>
      <c r="CN963" s="118">
        <f t="shared" si="2823"/>
        <v>143237</v>
      </c>
      <c r="CO963" s="118">
        <f t="shared" si="2824"/>
        <v>215.96282601624037</v>
      </c>
      <c r="CP963" s="186">
        <v>0.90566037735849059</v>
      </c>
      <c r="CQ963" s="118">
        <f>+CQ948*CP963+CO949*CP962+CO950*CP961+CO951*CP960+CO952*CP959+CO953*CP958+CO954*CP957+CO955*CP956+CO956*CP955+CO957*CP954+CO958*CP953+CO959*CP952+CO960*CP951+CO961*CP950+CO962*CP949+CO963</f>
        <v>7513.1737272469236</v>
      </c>
      <c r="CR963" s="119">
        <f t="shared" si="2825"/>
        <v>2.16116242464745E-2</v>
      </c>
      <c r="CS963" s="119"/>
      <c r="CT963" s="177">
        <f t="shared" si="2826"/>
        <v>7.5256847552165078E-3</v>
      </c>
      <c r="CU963" s="177">
        <f t="shared" si="2834"/>
        <v>7.2875465624639051E-3</v>
      </c>
      <c r="CV963" s="119">
        <f>VLOOKUP($H963,RoR!$E:$F,2,FALSE)</f>
        <v>4.2350000000000006E-2</v>
      </c>
      <c r="CW963" s="177">
        <v>1.7730000000000024E-2</v>
      </c>
      <c r="CX963" s="177">
        <f t="shared" si="2832"/>
        <v>2.4619999999999982E-2</v>
      </c>
      <c r="CY963" s="177">
        <f t="shared" si="2835"/>
        <v>2.3614395046069721E-2</v>
      </c>
      <c r="CZ963" s="177">
        <f t="shared" si="2836"/>
        <v>5.3376742735721204E-2</v>
      </c>
      <c r="DA963" s="187">
        <f t="shared" si="2827"/>
        <v>0.86875000000000002</v>
      </c>
      <c r="DB963" s="188">
        <f t="shared" si="2828"/>
        <v>1.2109103018193925</v>
      </c>
      <c r="DC963" s="188">
        <f t="shared" si="2829"/>
        <v>0.38468122786304604</v>
      </c>
      <c r="DD963" s="188">
        <f t="shared" si="2830"/>
        <v>0.80969194503422559</v>
      </c>
      <c r="DE963" s="188">
        <f t="shared" si="2831"/>
        <v>0.37716621754800816</v>
      </c>
      <c r="DF963" s="189">
        <f>INDEX('State Tax Lookup'!$D$7:$Z$91,MATCH(Calculation!$C963,'State Tax Lookup'!$B$7:$B$91,0),MATCH($H963,'State Tax Lookup'!$D$6:$Z$6,0))</f>
        <v>0.35</v>
      </c>
      <c r="DG963" s="189">
        <v>0.375</v>
      </c>
      <c r="DH963" s="190">
        <f t="shared" si="2833"/>
        <v>20.861805802127819</v>
      </c>
      <c r="DI963" s="190">
        <v>20.544620294537658</v>
      </c>
      <c r="DJ963" s="177"/>
      <c r="DK963" s="189">
        <f>VLOOKUP($H963,RoR!$E:$F,2,FALSE)</f>
        <v>4.2350000000000006E-2</v>
      </c>
      <c r="DL963" s="191">
        <f>HLOOKUP($H963,'GDP-PI'!$D$8:$CQ$11,3,FALSE)</f>
        <v>1.7730000000000024E-2</v>
      </c>
      <c r="DM963" s="189">
        <f>VLOOKUP(H963,'HW Dx Data'!$E:$F,2,FALSE)</f>
        <v>663.24840548821396</v>
      </c>
      <c r="DN963" s="183">
        <f>VLOOKUP(H963,'ECI - Input Price'!$G$17:$H$37,2,FALSE)</f>
        <v>118.72499999999999</v>
      </c>
      <c r="DO963" s="177">
        <f t="shared" ref="DO963" si="2876">LN(DN963/DN962)</f>
        <v>1.8918621429430321E-2</v>
      </c>
      <c r="DP963" s="183">
        <f>HLOOKUP(H963,'GDP-PI'!$8:$9,2,FALSE)</f>
        <v>101.773</v>
      </c>
      <c r="DQ963" s="177">
        <f t="shared" ref="DQ963" si="2877">LN(DP963/DP962)</f>
        <v>1.7574657016510519E-2</v>
      </c>
    </row>
    <row r="964" spans="1:121" s="167" customFormat="1" ht="21" x14ac:dyDescent="0.35">
      <c r="A964" s="167" t="s">
        <v>96</v>
      </c>
      <c r="B964" s="167" t="s">
        <v>96</v>
      </c>
      <c r="C964" s="167">
        <v>4062485</v>
      </c>
      <c r="D964" s="168" t="s">
        <v>133</v>
      </c>
      <c r="E964" s="168"/>
      <c r="F964" s="198"/>
      <c r="G964" s="167" t="s">
        <v>20</v>
      </c>
      <c r="H964" s="169">
        <v>2014</v>
      </c>
      <c r="I964" s="170"/>
      <c r="J964" s="166">
        <f>IFERROR(INDEX('Labor Expenditures'!$F$7:$X$91,MATCH($C964,'Labor Expenditures'!$D$7:$D$91,0),MATCH($G964,'Labor Expenditures'!$F$5:$X$5,0)),"NA")</f>
        <v>50041.924708629333</v>
      </c>
      <c r="K964" s="166">
        <f t="shared" si="2839"/>
        <v>412.88716756294826</v>
      </c>
      <c r="L964" s="172">
        <f t="shared" si="2846"/>
        <v>-9.725993084551663E-3</v>
      </c>
      <c r="M964" s="172">
        <f t="shared" si="2850"/>
        <v>-2.4166121029912545E-4</v>
      </c>
      <c r="N964" s="196"/>
      <c r="O964" s="172"/>
      <c r="P964" s="166">
        <f>IFERROR(INDEX('Non-Labor Expenditures'!$F$7:$AB$91,MATCH($C964,'Non-Labor Expenditures'!$D$7:$D$91,0),MATCH($G964,'Non-Labor Expenditures'!$F$5:$AB$5,0)),"NA")</f>
        <v>72470.05352037352</v>
      </c>
      <c r="Q964" s="166">
        <f t="shared" si="2840"/>
        <v>699.20068617879451</v>
      </c>
      <c r="R964" s="172">
        <f t="shared" si="2851"/>
        <v>-7.3398657827787829E-3</v>
      </c>
      <c r="S964" s="172">
        <f t="shared" si="2856"/>
        <v>-1.8237323768169461E-4</v>
      </c>
      <c r="T964" s="172"/>
      <c r="U964" s="172"/>
      <c r="V964" s="166">
        <f t="shared" si="2821"/>
        <v>160241.41502544293</v>
      </c>
      <c r="W964" s="170"/>
      <c r="X964" s="174">
        <v>7695.6252162546398</v>
      </c>
      <c r="Y964" s="175">
        <v>2.3994036994205187E-2</v>
      </c>
      <c r="Z964" s="175">
        <f t="shared" si="2857"/>
        <v>5.9617850532832286E-4</v>
      </c>
      <c r="AA964" s="175"/>
      <c r="AB964" s="175"/>
      <c r="AC964" s="170">
        <f t="shared" si="2863"/>
        <v>282753.39325444575</v>
      </c>
      <c r="AD964" s="175">
        <f t="shared" si="2852"/>
        <v>2.936727227286922E-2</v>
      </c>
      <c r="AE964" s="170"/>
      <c r="AF964" s="170"/>
      <c r="AG964" s="121">
        <f t="shared" si="2853"/>
        <v>361.75671977201699</v>
      </c>
      <c r="AH964" s="119">
        <f>+AZ964/$BB$52</f>
        <v>2.1333499170286842E-2</v>
      </c>
      <c r="AI964" s="119"/>
      <c r="AJ964" s="176">
        <f t="shared" si="2858"/>
        <v>7.7175366811020147</v>
      </c>
      <c r="AK964" s="176">
        <f t="shared" si="2859"/>
        <v>0</v>
      </c>
      <c r="AL964" s="120">
        <f t="shared" si="2841"/>
        <v>0.17698081049587022</v>
      </c>
      <c r="AM964" s="120">
        <f t="shared" si="2842"/>
        <v>0.25630126905376782</v>
      </c>
      <c r="AN964" s="120">
        <f t="shared" si="2843"/>
        <v>0.56671792045036207</v>
      </c>
      <c r="AO964" s="120">
        <f t="shared" si="2847"/>
        <v>9.8649038263193059E-3</v>
      </c>
      <c r="AP964" s="173">
        <f t="shared" si="2864"/>
        <v>124.65356239707057</v>
      </c>
      <c r="AQ964" s="175">
        <f t="shared" si="2865"/>
        <v>9.8649038263193024E-3</v>
      </c>
      <c r="AR964" s="177">
        <f>+AC964/$AE$52</f>
        <v>2.4846944491762946E-2</v>
      </c>
      <c r="AS964" s="177">
        <f t="shared" si="2860"/>
        <v>2.451127177891356E-4</v>
      </c>
      <c r="AT964" s="177"/>
      <c r="AU964" s="177"/>
      <c r="AV964" s="177"/>
      <c r="AW964" s="190"/>
      <c r="AX964" s="120"/>
      <c r="AY964" s="120"/>
      <c r="AZ964" s="118">
        <f>IFERROR(INDEX('Total Customers'!$F$7:$AB$91,MATCH($C964,'Total Customers'!$D$7:$D$91,0),MATCH($G964,'Total Customers'!$F$5:$AB$5,0)),"NA")</f>
        <v>781612</v>
      </c>
      <c r="BA964" s="119">
        <f t="shared" si="2822"/>
        <v>1.0581469627154642E-2</v>
      </c>
      <c r="BB964" s="119"/>
      <c r="BC964" s="121"/>
      <c r="BD964" s="119"/>
      <c r="BE964" s="119"/>
      <c r="BF964" s="119"/>
      <c r="BG964" s="173"/>
      <c r="BH964" s="173"/>
      <c r="BI964" s="173"/>
      <c r="BJ964" s="173"/>
      <c r="BK964" s="173"/>
      <c r="BL964" s="173"/>
      <c r="BM964" s="173"/>
      <c r="BN964" s="173"/>
      <c r="BO964" s="173"/>
      <c r="BP964" s="173"/>
      <c r="BQ964" s="118"/>
      <c r="BR964" s="118"/>
      <c r="BS964" s="118">
        <f>INDEX('Dist. Plant Gas Additions'!$F$7:$AE$91,MATCH($C964,'Dist. Plant Gas Additions'!$D$7:$D$91,0),MATCH(Calculation!$G964,'Dist. Plant Gas Additions'!$F$5:$AE$5,0))</f>
        <v>164006</v>
      </c>
      <c r="BT964" s="118">
        <f>INDEX('Gen. Plant Additions'!$F$7:$AE$91,MATCH($C964,'Gen. Plant Additions'!$D$7:$D$91,0),MATCH(Calculation!$G964,'Gen. Plant Additions'!$F$5:$AE$5,0))</f>
        <v>870</v>
      </c>
      <c r="BU964" s="118"/>
      <c r="BV964" s="118"/>
      <c r="BW964" s="118">
        <f>INDEX('Dist Plant Depreciation'!$E$7:$AD$94,MATCH($C964,'Dist Plant Depreciation'!$D$7:$D$94,0),MATCH(Calculation!$G964,'Dist Plant Depreciation'!$E$5:$AD$5,0))</f>
        <v>1150266</v>
      </c>
      <c r="BX964" s="118">
        <f>INDEX('Gen. Plant Depreciation'!$E$7:$AD$94,MATCH($C964,'Gen. Plant Depreciation'!$D$7:$D$94,0),MATCH(Calculation!$G964,'Gen. Plant Depreciation'!$E$5:$AD$5,0))</f>
        <v>14420</v>
      </c>
      <c r="BY964" s="118"/>
      <c r="BZ964" s="118"/>
      <c r="CA964" s="118"/>
      <c r="CB964" s="118"/>
      <c r="CC964" s="118"/>
      <c r="CD964" s="183"/>
      <c r="CE964" s="118">
        <f>INDEX('Gross Dx Plant'!$E$7:$AD$91,MATCH($C964,'Gross Dx Plant'!$D$7:$D$91,0),MATCH(Calculation!$G964,'Gross Dx Plant'!$E$5:$AD$5,0))</f>
        <v>3105837</v>
      </c>
      <c r="CF964" s="118">
        <f>INDEX('Gross Gen Plant'!$E$7:$AD$91,MATCH($C964,'Gross Gen Plant'!$D$7:$D$91,0),MATCH(Calculation!$G964,'Gross Gen Plant'!$E$5:$AD$5,0))</f>
        <v>32571</v>
      </c>
      <c r="CG964" s="118">
        <f t="shared" si="2806"/>
        <v>1973722</v>
      </c>
      <c r="CH964" s="118"/>
      <c r="CI964" s="121">
        <v>2014</v>
      </c>
      <c r="CJ964" s="118"/>
      <c r="CK964" s="118"/>
      <c r="CL964" s="118"/>
      <c r="CM964" s="183"/>
      <c r="CN964" s="118">
        <f t="shared" si="2823"/>
        <v>164876</v>
      </c>
      <c r="CO964" s="118">
        <f t="shared" si="2824"/>
        <v>240.88156744858392</v>
      </c>
      <c r="CP964" s="186">
        <v>0.89743589743589747</v>
      </c>
      <c r="CQ964" s="118">
        <f>+CQ948*CP964+CO949*CP963+CO950*CP962+CO951*CP961+CO952*CP960+CO953*CP959+CO954*CP958+CO955*CP957+CO956*CP956+CO957*CP955+CO958*CP954+CO959*CP953+CO960*CP952+CO961*CP951+CO962*CP950+CO963*CP949+CO964</f>
        <v>7695.6252162546398</v>
      </c>
      <c r="CR964" s="119">
        <f t="shared" si="2825"/>
        <v>2.3994036994205187E-2</v>
      </c>
      <c r="CS964" s="119"/>
      <c r="CT964" s="177">
        <f t="shared" si="2826"/>
        <v>7.7770168189999316E-3</v>
      </c>
      <c r="CU964" s="177">
        <f t="shared" si="2834"/>
        <v>7.5308992927576616E-3</v>
      </c>
      <c r="CV964" s="119">
        <f>VLOOKUP($H964,RoR!$E:$F,2,FALSE)</f>
        <v>4.1625000000000002E-2</v>
      </c>
      <c r="CW964" s="177">
        <v>1.841352814597208E-2</v>
      </c>
      <c r="CX964" s="177">
        <f t="shared" si="2832"/>
        <v>2.3211471854027922E-2</v>
      </c>
      <c r="CY964" s="177">
        <f t="shared" si="2835"/>
        <v>2.3371042315775963E-2</v>
      </c>
      <c r="CZ964" s="177">
        <f t="shared" si="2836"/>
        <v>3.9072621432650924E-2</v>
      </c>
      <c r="DA964" s="187">
        <f t="shared" si="2827"/>
        <v>0.86875000000000002</v>
      </c>
      <c r="DB964" s="188">
        <f t="shared" si="2828"/>
        <v>1.2320012320012319</v>
      </c>
      <c r="DC964" s="188">
        <f t="shared" si="2829"/>
        <v>0.37439939939939942</v>
      </c>
      <c r="DD964" s="188">
        <f t="shared" si="2830"/>
        <v>0.80432100613819935</v>
      </c>
      <c r="DE964" s="188">
        <f t="shared" si="2831"/>
        <v>0.37100152660040037</v>
      </c>
      <c r="DF964" s="189">
        <f>INDEX('State Tax Lookup'!$D$7:$Z$91,MATCH(Calculation!$C964,'State Tax Lookup'!$B$7:$B$91,0),MATCH($H964,'State Tax Lookup'!$D$6:$Z$6,0))</f>
        <v>0.35</v>
      </c>
      <c r="DG964" s="189">
        <v>0.375</v>
      </c>
      <c r="DH964" s="190">
        <f t="shared" si="2833"/>
        <v>21.328059331879803</v>
      </c>
      <c r="DI964" s="190">
        <v>20.98256484036586</v>
      </c>
      <c r="DJ964" s="177"/>
      <c r="DK964" s="189">
        <f>VLOOKUP($H964,RoR!$E:$F,2,FALSE)</f>
        <v>4.1625000000000002E-2</v>
      </c>
      <c r="DL964" s="191">
        <f>HLOOKUP($H964,'GDP-PI'!$D$8:$CQ$11,3,FALSE)</f>
        <v>1.841352814597208E-2</v>
      </c>
      <c r="DM964" s="189">
        <f>VLOOKUP(H964,'HW Dx Data'!$E:$F,2,FALSE)</f>
        <v>684.46914285042885</v>
      </c>
      <c r="DN964" s="183">
        <f>VLOOKUP(H964,'ECI - Input Price'!$G$17:$H$37,2,FALSE)</f>
        <v>121.2</v>
      </c>
      <c r="DO964" s="177">
        <f t="shared" ref="DO964" si="2878">LN(DN964/DN963)</f>
        <v>2.0632179200028689E-2</v>
      </c>
      <c r="DP964" s="183">
        <f>HLOOKUP(H964,'GDP-PI'!$8:$9,2,FALSE)</f>
        <v>103.64700000000001</v>
      </c>
      <c r="DQ964" s="177">
        <f t="shared" ref="DQ964" si="2879">LN(DP964/DP963)</f>
        <v>1.8246051898256087E-2</v>
      </c>
    </row>
    <row r="965" spans="1:121" s="167" customFormat="1" ht="21" x14ac:dyDescent="0.35">
      <c r="A965" s="167" t="s">
        <v>96</v>
      </c>
      <c r="B965" s="167" t="s">
        <v>96</v>
      </c>
      <c r="C965" s="167">
        <v>4062485</v>
      </c>
      <c r="D965" s="168" t="s">
        <v>133</v>
      </c>
      <c r="E965" s="168"/>
      <c r="F965" s="198"/>
      <c r="G965" s="167" t="s">
        <v>21</v>
      </c>
      <c r="H965" s="169">
        <v>2015</v>
      </c>
      <c r="I965" s="170"/>
      <c r="J965" s="166">
        <f>IFERROR(INDEX('Labor Expenditures'!$F$7:$X$91,MATCH($C965,'Labor Expenditures'!$D$7:$D$91,0),MATCH($G965,'Labor Expenditures'!$F$5:$X$5,0)),"NA")</f>
        <v>47658.008707612207</v>
      </c>
      <c r="K965" s="166">
        <f t="shared" si="2839"/>
        <v>385.11522187969462</v>
      </c>
      <c r="L965" s="172">
        <f t="shared" si="2846"/>
        <v>-6.9631786485030836E-2</v>
      </c>
      <c r="M965" s="172">
        <f t="shared" si="2850"/>
        <v>-1.6799909733991654E-3</v>
      </c>
      <c r="N965" s="196"/>
      <c r="O965" s="172"/>
      <c r="P965" s="166">
        <f>IFERROR(INDEX('Non-Labor Expenditures'!$F$7:$AB$91,MATCH($C965,'Non-Labor Expenditures'!$D$7:$D$91,0),MATCH($G965,'Non-Labor Expenditures'!$F$5:$AB$5,0)),"NA")</f>
        <v>69017.69789680987</v>
      </c>
      <c r="Q965" s="166">
        <f t="shared" si="2840"/>
        <v>659.57910431875189</v>
      </c>
      <c r="R965" s="172">
        <f t="shared" si="2851"/>
        <v>-5.8335894856887754E-2</v>
      </c>
      <c r="S965" s="172">
        <f t="shared" si="2856"/>
        <v>-1.4074574520043757E-3</v>
      </c>
      <c r="T965" s="172"/>
      <c r="U965" s="172"/>
      <c r="V965" s="166">
        <f t="shared" si="2821"/>
        <v>160655.34101567138</v>
      </c>
      <c r="W965" s="170"/>
      <c r="X965" s="174">
        <v>7857.4020870625409</v>
      </c>
      <c r="Y965" s="175">
        <v>2.0804014865789682E-2</v>
      </c>
      <c r="Z965" s="175">
        <f t="shared" si="2857"/>
        <v>5.0193394352308115E-4</v>
      </c>
      <c r="AA965" s="175"/>
      <c r="AB965" s="175"/>
      <c r="AC965" s="170">
        <f t="shared" si="2863"/>
        <v>277331.04762009345</v>
      </c>
      <c r="AD965" s="175">
        <f t="shared" si="2852"/>
        <v>-1.9363205459451492E-2</v>
      </c>
      <c r="AE965" s="170"/>
      <c r="AF965" s="170"/>
      <c r="AG965" s="121">
        <f t="shared" si="2853"/>
        <v>348.83838078131231</v>
      </c>
      <c r="AH965" s="119">
        <f>+AZ965/$BB$53</f>
        <v>2.1523327933152366E-2</v>
      </c>
      <c r="AI965" s="119"/>
      <c r="AJ965" s="176">
        <f t="shared" si="2858"/>
        <v>7.508162865226061</v>
      </c>
      <c r="AK965" s="176">
        <f t="shared" si="2859"/>
        <v>0</v>
      </c>
      <c r="AL965" s="120">
        <f t="shared" si="2841"/>
        <v>0.17184519770356663</v>
      </c>
      <c r="AM965" s="120">
        <f t="shared" si="2842"/>
        <v>0.24886394253035424</v>
      </c>
      <c r="AN965" s="120">
        <f t="shared" si="2843"/>
        <v>0.57929085976607919</v>
      </c>
      <c r="AO965" s="120">
        <f t="shared" si="2847"/>
        <v>-1.495852954587463E-2</v>
      </c>
      <c r="AP965" s="173">
        <f t="shared" si="2864"/>
        <v>122.8028052139131</v>
      </c>
      <c r="AQ965" s="175">
        <f t="shared" si="2865"/>
        <v>-1.4958529545874606E-2</v>
      </c>
      <c r="AR965" s="177">
        <f>+AC965/$AE$53</f>
        <v>2.4126782583128514E-2</v>
      </c>
      <c r="AS965" s="177">
        <f t="shared" si="2860"/>
        <v>-3.6090119011662069E-4</v>
      </c>
      <c r="AT965" s="177"/>
      <c r="AU965" s="177"/>
      <c r="AV965" s="177"/>
      <c r="AW965" s="190"/>
      <c r="AX965" s="120"/>
      <c r="AY965" s="120"/>
      <c r="AZ965" s="118">
        <f>IFERROR(INDEX('Total Customers'!$F$7:$AB$91,MATCH($C965,'Total Customers'!$D$7:$D$91,0),MATCH($G965,'Total Customers'!$F$5:$AB$5,0)),"NA")</f>
        <v>795013</v>
      </c>
      <c r="BA965" s="119">
        <f t="shared" si="2822"/>
        <v>1.7000012989377547E-2</v>
      </c>
      <c r="BB965" s="119"/>
      <c r="BC965" s="121"/>
      <c r="BD965" s="119"/>
      <c r="BE965" s="119"/>
      <c r="BF965" s="119"/>
      <c r="BG965" s="173"/>
      <c r="BH965" s="173"/>
      <c r="BI965" s="173"/>
      <c r="BJ965" s="173"/>
      <c r="BK965" s="173"/>
      <c r="BL965" s="173"/>
      <c r="BM965" s="173"/>
      <c r="BN965" s="173"/>
      <c r="BO965" s="173"/>
      <c r="BP965" s="173"/>
      <c r="BQ965" s="118"/>
      <c r="BR965" s="118"/>
      <c r="BS965" s="118">
        <f>INDEX('Dist. Plant Gas Additions'!$F$7:$AE$91,MATCH($C965,'Dist. Plant Gas Additions'!$D$7:$D$91,0),MATCH(Calculation!$G965,'Dist. Plant Gas Additions'!$F$5:$AE$5,0))</f>
        <v>150535</v>
      </c>
      <c r="BT965" s="118">
        <f>INDEX('Gen. Plant Additions'!$F$7:$AE$91,MATCH($C965,'Gen. Plant Additions'!$D$7:$D$91,0),MATCH(Calculation!$G965,'Gen. Plant Additions'!$F$5:$AE$5,0))</f>
        <v>515</v>
      </c>
      <c r="BU965" s="118"/>
      <c r="BV965" s="118"/>
      <c r="BW965" s="118">
        <f>INDEX('Dist Plant Depreciation'!$E$7:$AD$94,MATCH($C965,'Dist Plant Depreciation'!$D$7:$D$94,0),MATCH(Calculation!$G965,'Dist Plant Depreciation'!$E$5:$AD$5,0))</f>
        <v>1226432</v>
      </c>
      <c r="BX965" s="118">
        <f>INDEX('Gen. Plant Depreciation'!$E$7:$AD$94,MATCH($C965,'Gen. Plant Depreciation'!$D$7:$D$94,0),MATCH(Calculation!$G965,'Gen. Plant Depreciation'!$E$5:$AD$5,0))</f>
        <v>15623</v>
      </c>
      <c r="BY965" s="118"/>
      <c r="BZ965" s="118"/>
      <c r="CA965" s="118"/>
      <c r="CB965" s="118"/>
      <c r="CC965" s="118"/>
      <c r="CD965" s="183"/>
      <c r="CE965" s="118">
        <f>INDEX('Gross Dx Plant'!$E$7:$AD$91,MATCH($C965,'Gross Dx Plant'!$D$7:$D$91,0),MATCH(Calculation!$G965,'Gross Dx Plant'!$E$5:$AD$5,0))</f>
        <v>3233768</v>
      </c>
      <c r="CF965" s="118">
        <f>INDEX('Gross Gen Plant'!$E$7:$AD$91,MATCH($C965,'Gross Gen Plant'!$D$7:$D$91,0),MATCH(Calculation!$G965,'Gross Gen Plant'!$E$5:$AD$5,0))</f>
        <v>32812</v>
      </c>
      <c r="CG965" s="118">
        <f t="shared" si="2806"/>
        <v>2024525</v>
      </c>
      <c r="CH965" s="118"/>
      <c r="CI965" s="121">
        <v>2015</v>
      </c>
      <c r="CJ965" s="118"/>
      <c r="CK965" s="118"/>
      <c r="CL965" s="118"/>
      <c r="CM965" s="183"/>
      <c r="CN965" s="118">
        <f t="shared" si="2823"/>
        <v>151050</v>
      </c>
      <c r="CO965" s="118">
        <f t="shared" si="2824"/>
        <v>223.57419837090112</v>
      </c>
      <c r="CP965" s="186">
        <v>0.88888888888888884</v>
      </c>
      <c r="CQ965" s="118">
        <f>+CQ948*CP965+CO949*CP964+CO950*CP963+CO951*CP962+CO952*CP961+CO953*CP960+CO954*CP959+CO955*CP958+CO956*CP957+CO957*CP956+CO958*CP955+CO959*CP954+CO960*CP953+CO961*CP952+CO962*CP951+CO963*CP950+CO964*CP949+CO965</f>
        <v>7857.4020870625409</v>
      </c>
      <c r="CR965" s="119">
        <f t="shared" si="2825"/>
        <v>2.0804014865789682E-2</v>
      </c>
      <c r="CS965" s="119"/>
      <c r="CT965" s="177">
        <f t="shared" si="2826"/>
        <v>8.0301893382843242E-3</v>
      </c>
      <c r="CU965" s="177">
        <f t="shared" si="2834"/>
        <v>7.7776303041669215E-3</v>
      </c>
      <c r="CV965" s="119">
        <f>VLOOKUP($H965,RoR!$E:$F,2,FALSE)</f>
        <v>3.8866666666666674E-2</v>
      </c>
      <c r="CW965" s="177">
        <v>9.5709475431029478E-3</v>
      </c>
      <c r="CX965" s="177">
        <f t="shared" si="2832"/>
        <v>2.9295719123563727E-2</v>
      </c>
      <c r="CY965" s="177">
        <f t="shared" si="2835"/>
        <v>2.3124311304366704E-2</v>
      </c>
      <c r="CZ965" s="177">
        <f t="shared" si="2836"/>
        <v>3.5270373279175926E-3</v>
      </c>
      <c r="DA965" s="187">
        <f t="shared" si="2827"/>
        <v>0.86875000000000002</v>
      </c>
      <c r="DB965" s="188">
        <f t="shared" si="2828"/>
        <v>1.3194352816994324</v>
      </c>
      <c r="DC965" s="188">
        <f t="shared" si="2829"/>
        <v>0.33177530017152673</v>
      </c>
      <c r="DD965" s="188">
        <f t="shared" si="2830"/>
        <v>0.78242572977668579</v>
      </c>
      <c r="DE965" s="188">
        <f t="shared" si="2831"/>
        <v>0.34251158643433932</v>
      </c>
      <c r="DF965" s="189">
        <f>INDEX('State Tax Lookup'!$D$7:$Z$91,MATCH(Calculation!$C965,'State Tax Lookup'!$B$7:$B$91,0),MATCH($H965,'State Tax Lookup'!$D$6:$Z$6,0))</f>
        <v>0.35</v>
      </c>
      <c r="DG965" s="189">
        <v>0.375</v>
      </c>
      <c r="DH965" s="190">
        <f t="shared" si="2833"/>
        <v>20.876190887822396</v>
      </c>
      <c r="DI965" s="190">
        <v>20.503984432862339</v>
      </c>
      <c r="DJ965" s="177"/>
      <c r="DK965" s="189">
        <f>VLOOKUP($H965,RoR!$E:$F,2,FALSE)</f>
        <v>3.8866666666666674E-2</v>
      </c>
      <c r="DL965" s="191">
        <f>HLOOKUP($H965,'GDP-PI'!$D$8:$CQ$11,3,FALSE)</f>
        <v>9.5709475431029478E-3</v>
      </c>
      <c r="DM965" s="189">
        <f>VLOOKUP(H965,'HW Dx Data'!$E:$F,2,FALSE)</f>
        <v>675.61463308665782</v>
      </c>
      <c r="DN965" s="183">
        <f>VLOOKUP(H965,'ECI - Input Price'!$G$17:$H$37,2,FALSE)</f>
        <v>123.75</v>
      </c>
      <c r="DO965" s="177">
        <f t="shared" ref="DO965" si="2880">LN(DN965/DN964)</f>
        <v>2.0821327813585516E-2</v>
      </c>
      <c r="DP965" s="183">
        <f>HLOOKUP(H965,'GDP-PI'!$8:$9,2,FALSE)</f>
        <v>104.639</v>
      </c>
      <c r="DQ965" s="177">
        <f t="shared" ref="DQ965" si="2881">LN(DP965/DP964)</f>
        <v>9.5254361854427965E-3</v>
      </c>
    </row>
    <row r="966" spans="1:121" s="167" customFormat="1" ht="21" x14ac:dyDescent="0.35">
      <c r="A966" s="167" t="s">
        <v>96</v>
      </c>
      <c r="B966" s="167" t="s">
        <v>96</v>
      </c>
      <c r="C966" s="167">
        <v>4062485</v>
      </c>
      <c r="D966" s="168" t="s">
        <v>133</v>
      </c>
      <c r="E966" s="168"/>
      <c r="F966" s="198"/>
      <c r="G966" s="167" t="s">
        <v>22</v>
      </c>
      <c r="H966" s="169">
        <v>2016</v>
      </c>
      <c r="I966" s="170"/>
      <c r="J966" s="166">
        <f>IFERROR(INDEX('Labor Expenditures'!$F$7:$X$91,MATCH($C966,'Labor Expenditures'!$D$7:$D$91,0),MATCH($G966,'Labor Expenditures'!$F$5:$X$5,0)),"NA")</f>
        <v>52118.769135927461</v>
      </c>
      <c r="K966" s="166">
        <f t="shared" si="2839"/>
        <v>412.33203430322357</v>
      </c>
      <c r="L966" s="172">
        <f t="shared" si="2846"/>
        <v>6.8286366159839323E-2</v>
      </c>
      <c r="M966" s="172">
        <f t="shared" si="2850"/>
        <v>1.6574412094333456E-3</v>
      </c>
      <c r="N966" s="196"/>
      <c r="O966" s="172"/>
      <c r="P966" s="166">
        <f>IFERROR(INDEX('Non-Labor Expenditures'!$F$7:$AB$91,MATCH($C966,'Non-Labor Expenditures'!$D$7:$D$91,0),MATCH($G966,'Non-Labor Expenditures'!$F$5:$AB$5,0)),"NA")</f>
        <v>75477.712152133361</v>
      </c>
      <c r="Q966" s="166">
        <f t="shared" si="2840"/>
        <v>713.8317332992865</v>
      </c>
      <c r="R966" s="172">
        <f t="shared" si="2851"/>
        <v>7.904535605659159E-2</v>
      </c>
      <c r="S966" s="172">
        <f t="shared" si="2856"/>
        <v>1.9185825503712068E-3</v>
      </c>
      <c r="T966" s="172"/>
      <c r="U966" s="172"/>
      <c r="V966" s="166">
        <f t="shared" si="2821"/>
        <v>161188.05413129405</v>
      </c>
      <c r="W966" s="170"/>
      <c r="X966" s="174">
        <v>8087.0091816551585</v>
      </c>
      <c r="Y966" s="175">
        <v>2.8802940941124282E-2</v>
      </c>
      <c r="Z966" s="175">
        <f t="shared" si="2857"/>
        <v>6.9910267529758668E-4</v>
      </c>
      <c r="AA966" s="175"/>
      <c r="AB966" s="175"/>
      <c r="AC966" s="170">
        <f t="shared" si="2863"/>
        <v>288784.53541935486</v>
      </c>
      <c r="AD966" s="175">
        <f t="shared" si="2852"/>
        <v>4.0468947503360914E-2</v>
      </c>
      <c r="AE966" s="170"/>
      <c r="AF966" s="170"/>
      <c r="AG966" s="121">
        <f t="shared" si="2853"/>
        <v>357.58982377029179</v>
      </c>
      <c r="AH966" s="119">
        <f>+AZ966/$BB$54</f>
        <v>2.1674808638169191E-2</v>
      </c>
      <c r="AI966" s="119"/>
      <c r="AJ966" s="176">
        <f t="shared" si="2858"/>
        <v>7.750691001177719</v>
      </c>
      <c r="AK966" s="176">
        <f t="shared" si="2859"/>
        <v>0</v>
      </c>
      <c r="AL966" s="120">
        <f t="shared" si="2841"/>
        <v>0.18047631622740409</v>
      </c>
      <c r="AM966" s="120">
        <f t="shared" si="2842"/>
        <v>0.26136341422344289</v>
      </c>
      <c r="AN966" s="120">
        <f t="shared" si="2843"/>
        <v>0.5581602695491531</v>
      </c>
      <c r="AO966" s="120">
        <f t="shared" si="2847"/>
        <v>4.8575898345889219E-2</v>
      </c>
      <c r="AP966" s="173">
        <f t="shared" si="2864"/>
        <v>128.91532036787044</v>
      </c>
      <c r="AQ966" s="175">
        <f t="shared" si="2865"/>
        <v>4.8575898345889282E-2</v>
      </c>
      <c r="AR966" s="177">
        <f>+AC966/$AE$54</f>
        <v>2.4271919896187454E-2</v>
      </c>
      <c r="AS966" s="177">
        <f t="shared" si="2860"/>
        <v>1.1790303135367692E-3</v>
      </c>
      <c r="AT966" s="177"/>
      <c r="AU966" s="177"/>
      <c r="AV966" s="177"/>
      <c r="AW966" s="190"/>
      <c r="AX966" s="120"/>
      <c r="AY966" s="120"/>
      <c r="AZ966" s="118">
        <f>IFERROR(INDEX('Total Customers'!$F$7:$AB$91,MATCH($C966,'Total Customers'!$D$7:$D$91,0),MATCH($G966,'Total Customers'!$F$5:$AB$5,0)),"NA")</f>
        <v>807586</v>
      </c>
      <c r="BA966" s="119">
        <f t="shared" si="2822"/>
        <v>1.5691084252017977E-2</v>
      </c>
      <c r="BB966" s="119"/>
      <c r="BC966" s="121"/>
      <c r="BD966" s="119"/>
      <c r="BE966" s="119"/>
      <c r="BF966" s="119"/>
      <c r="BG966" s="173"/>
      <c r="BH966" s="173"/>
      <c r="BI966" s="173"/>
      <c r="BJ966" s="173"/>
      <c r="BK966" s="173"/>
      <c r="BL966" s="173"/>
      <c r="BM966" s="173"/>
      <c r="BN966" s="173"/>
      <c r="BO966" s="173"/>
      <c r="BP966" s="173"/>
      <c r="BQ966" s="118"/>
      <c r="BR966" s="118"/>
      <c r="BS966" s="118">
        <f>INDEX('Dist. Plant Gas Additions'!$F$7:$AE$91,MATCH($C966,'Dist. Plant Gas Additions'!$D$7:$D$91,0),MATCH(Calculation!$G966,'Dist. Plant Gas Additions'!$F$5:$AE$5,0))</f>
        <v>196495</v>
      </c>
      <c r="BT966" s="118">
        <f>INDEX('Gen. Plant Additions'!$F$7:$AE$91,MATCH($C966,'Gen. Plant Additions'!$D$7:$D$91,0),MATCH(Calculation!$G966,'Gen. Plant Additions'!$F$5:$AE$5,0))</f>
        <v>1481</v>
      </c>
      <c r="BU966" s="118"/>
      <c r="BV966" s="118"/>
      <c r="BW966" s="118">
        <f>INDEX('Dist Plant Depreciation'!$E$7:$AD$94,MATCH($C966,'Dist Plant Depreciation'!$D$7:$D$94,0),MATCH(Calculation!$G966,'Dist Plant Depreciation'!$E$5:$AD$5,0))</f>
        <v>1311631</v>
      </c>
      <c r="BX966" s="118">
        <f>INDEX('Gen. Plant Depreciation'!$E$7:$AD$94,MATCH($C966,'Gen. Plant Depreciation'!$D$7:$D$94,0),MATCH(Calculation!$G966,'Gen. Plant Depreciation'!$E$5:$AD$5,0))</f>
        <v>17253</v>
      </c>
      <c r="BY966" s="118"/>
      <c r="BZ966" s="118"/>
      <c r="CA966" s="118"/>
      <c r="CB966" s="118"/>
      <c r="CC966" s="118"/>
      <c r="CD966" s="183"/>
      <c r="CE966" s="118">
        <f>INDEX('Gross Dx Plant'!$E$7:$AD$91,MATCH($C966,'Gross Dx Plant'!$D$7:$D$91,0),MATCH(Calculation!$G966,'Gross Dx Plant'!$E$5:$AD$5,0))</f>
        <v>3417350</v>
      </c>
      <c r="CF966" s="118">
        <f>INDEX('Gross Gen Plant'!$E$7:$AD$91,MATCH($C966,'Gross Gen Plant'!$D$7:$D$91,0),MATCH(Calculation!$G966,'Gross Gen Plant'!$E$5:$AD$5,0))</f>
        <v>34434</v>
      </c>
      <c r="CG966" s="118">
        <f t="shared" si="2806"/>
        <v>2122900</v>
      </c>
      <c r="CH966" s="118"/>
      <c r="CI966" s="121">
        <v>2016</v>
      </c>
      <c r="CJ966" s="118"/>
      <c r="CK966" s="118"/>
      <c r="CL966" s="118"/>
      <c r="CM966" s="183"/>
      <c r="CN966" s="118">
        <f t="shared" si="2823"/>
        <v>197976</v>
      </c>
      <c r="CO966" s="118">
        <f t="shared" si="2824"/>
        <v>294.84565462543389</v>
      </c>
      <c r="CP966" s="186">
        <v>0.88</v>
      </c>
      <c r="CQ966" s="118">
        <f>+CQ948*CP966+CO949*CP965+CO950*CP964+CO951*CP963+CO952*CP962+CO953*CP961+CO954*CP960+CO955*CP959+CO956*CP958+CO957*CP957+CO958*CP956+CO959*CP955+CO960*CP954+CO961*CP953+CO962*CP952+CO963*CP951+CO964*CP950+CO965*CP949+CO966</f>
        <v>8087.0091816551585</v>
      </c>
      <c r="CR966" s="119">
        <f t="shared" si="2825"/>
        <v>2.8802940941124282E-2</v>
      </c>
      <c r="CS966" s="119"/>
      <c r="CT966" s="177">
        <f t="shared" si="2826"/>
        <v>8.302815524769136E-3</v>
      </c>
      <c r="CU966" s="177">
        <f t="shared" si="2834"/>
        <v>8.0366738940177967E-3</v>
      </c>
      <c r="CV966" s="119">
        <f>VLOOKUP($H966,RoR!$E:$F,2,FALSE)</f>
        <v>3.6658333333333334E-2</v>
      </c>
      <c r="CW966" s="177">
        <v>1.0483662879041455E-2</v>
      </c>
      <c r="CX966" s="177">
        <f t="shared" si="2832"/>
        <v>2.6174670454291879E-2</v>
      </c>
      <c r="CY966" s="177">
        <f t="shared" si="2835"/>
        <v>2.286526771451583E-2</v>
      </c>
      <c r="CZ966" s="177">
        <f t="shared" si="2836"/>
        <v>4.301363574220729E-3</v>
      </c>
      <c r="DA966" s="187">
        <f t="shared" si="2827"/>
        <v>0.86875000000000002</v>
      </c>
      <c r="DB966" s="188">
        <f t="shared" si="2828"/>
        <v>1.3989193348138562</v>
      </c>
      <c r="DC966" s="188">
        <f t="shared" si="2829"/>
        <v>0.29302682427824522</v>
      </c>
      <c r="DD966" s="188">
        <f t="shared" si="2830"/>
        <v>0.76309497491941802</v>
      </c>
      <c r="DE966" s="188">
        <f t="shared" si="2831"/>
        <v>0.31280857135128509</v>
      </c>
      <c r="DF966" s="189">
        <f>INDEX('State Tax Lookup'!$D$7:$Z$91,MATCH(Calculation!$C966,'State Tax Lookup'!$B$7:$B$91,0),MATCH($H966,'State Tax Lookup'!$D$6:$Z$6,0))</f>
        <v>0.35</v>
      </c>
      <c r="DG966" s="189">
        <v>0.375</v>
      </c>
      <c r="DH966" s="190">
        <f t="shared" si="2833"/>
        <v>20.514166431255344</v>
      </c>
      <c r="DI966" s="190">
        <v>20.10951277905744</v>
      </c>
      <c r="DJ966" s="177"/>
      <c r="DK966" s="189">
        <f>VLOOKUP($H966,RoR!$E:$F,2,FALSE)</f>
        <v>3.6658333333333334E-2</v>
      </c>
      <c r="DL966" s="191">
        <f>HLOOKUP($H966,'GDP-PI'!$D$8:$CQ$11,3,FALSE)</f>
        <v>1.0483662879041455E-2</v>
      </c>
      <c r="DM966" s="189">
        <f>VLOOKUP(H966,'HW Dx Data'!$E:$F,2,FALSE)</f>
        <v>671.45639385971219</v>
      </c>
      <c r="DN966" s="183">
        <f>VLOOKUP(H966,'ECI - Input Price'!$G$17:$H$37,2,FALSE)</f>
        <v>126.4</v>
      </c>
      <c r="DO966" s="177">
        <f t="shared" ref="DO966" si="2882">LN(DN966/DN965)</f>
        <v>2.11880802639575E-2</v>
      </c>
      <c r="DP966" s="183">
        <f>HLOOKUP(H966,'GDP-PI'!$8:$9,2,FALSE)</f>
        <v>105.736</v>
      </c>
      <c r="DQ966" s="177">
        <f t="shared" ref="DQ966" si="2883">LN(DP966/DP965)</f>
        <v>1.0429090367205095E-2</v>
      </c>
    </row>
    <row r="967" spans="1:121" s="167" customFormat="1" ht="21" x14ac:dyDescent="0.35">
      <c r="A967" s="167" t="s">
        <v>96</v>
      </c>
      <c r="B967" s="167" t="s">
        <v>96</v>
      </c>
      <c r="C967" s="167">
        <v>4062485</v>
      </c>
      <c r="D967" s="168" t="s">
        <v>133</v>
      </c>
      <c r="E967" s="168"/>
      <c r="F967" s="198"/>
      <c r="G967" s="167" t="s">
        <v>23</v>
      </c>
      <c r="H967" s="169">
        <v>2017</v>
      </c>
      <c r="I967" s="170"/>
      <c r="J967" s="166">
        <f>IFERROR(INDEX('Labor Expenditures'!$F$7:$X$91,MATCH($C967,'Labor Expenditures'!$D$7:$D$91,0),MATCH($G967,'Labor Expenditures'!$F$5:$X$5,0)),"NA")</f>
        <v>57034.913531540733</v>
      </c>
      <c r="K967" s="166">
        <f t="shared" si="2839"/>
        <v>440.42404271460026</v>
      </c>
      <c r="L967" s="172">
        <f t="shared" si="2846"/>
        <v>6.5909062979047625E-2</v>
      </c>
      <c r="M967" s="172">
        <f t="shared" si="2850"/>
        <v>1.6209754527979998E-3</v>
      </c>
      <c r="N967" s="196"/>
      <c r="O967" s="172"/>
      <c r="P967" s="166">
        <f>IFERROR(INDEX('Non-Labor Expenditures'!$F$7:$AB$91,MATCH($C967,'Non-Labor Expenditures'!$D$7:$D$91,0),MATCH($G967,'Non-Labor Expenditures'!$F$5:$AB$5,0)),"NA")</f>
        <v>82597.207446097178</v>
      </c>
      <c r="Q967" s="166">
        <f t="shared" si="2840"/>
        <v>766.55629596103211</v>
      </c>
      <c r="R967" s="172">
        <f t="shared" si="2851"/>
        <v>7.1260874178137812E-2</v>
      </c>
      <c r="S967" s="172">
        <f t="shared" si="2856"/>
        <v>1.7525985436086283E-3</v>
      </c>
      <c r="T967" s="172"/>
      <c r="U967" s="172"/>
      <c r="V967" s="166">
        <f t="shared" si="2821"/>
        <v>151743.56426004053</v>
      </c>
      <c r="W967" s="170"/>
      <c r="X967" s="174">
        <v>8356.2371085907143</v>
      </c>
      <c r="Y967" s="175">
        <v>3.2749249667413237E-2</v>
      </c>
      <c r="Z967" s="175">
        <f t="shared" si="2857"/>
        <v>8.054390004801885E-4</v>
      </c>
      <c r="AA967" s="175"/>
      <c r="AB967" s="175"/>
      <c r="AC967" s="170">
        <f t="shared" si="2863"/>
        <v>291375.68523767847</v>
      </c>
      <c r="AD967" s="175">
        <f t="shared" si="2852"/>
        <v>8.9325912231944075E-3</v>
      </c>
      <c r="AE967" s="170"/>
      <c r="AF967" s="170"/>
      <c r="AG967" s="121">
        <f t="shared" si="2853"/>
        <v>355.62417034974476</v>
      </c>
      <c r="AH967" s="119">
        <f>+AZ967/$BB$55</f>
        <v>2.1824949600676852E-2</v>
      </c>
      <c r="AI967" s="119"/>
      <c r="AJ967" s="176">
        <f t="shared" si="2858"/>
        <v>7.7614795946656985</v>
      </c>
      <c r="AK967" s="176">
        <f t="shared" si="2859"/>
        <v>0</v>
      </c>
      <c r="AL967" s="120">
        <f t="shared" si="2841"/>
        <v>0.19574355864668908</v>
      </c>
      <c r="AM967" s="120">
        <f t="shared" si="2842"/>
        <v>0.28347323277411324</v>
      </c>
      <c r="AN967" s="120">
        <f t="shared" si="2843"/>
        <v>0.52078320857919758</v>
      </c>
      <c r="AO967" s="120">
        <f t="shared" si="2847"/>
        <v>4.9478212259314952E-2</v>
      </c>
      <c r="AP967" s="173">
        <f t="shared" si="2864"/>
        <v>135.454253371204</v>
      </c>
      <c r="AQ967" s="175">
        <f t="shared" si="2865"/>
        <v>4.9478212259315014E-2</v>
      </c>
      <c r="AR967" s="177">
        <f>+AC967/$AE$55</f>
        <v>2.4594120740470928E-2</v>
      </c>
      <c r="AS967" s="177">
        <f t="shared" si="2860"/>
        <v>1.2168731263282424E-3</v>
      </c>
      <c r="AT967" s="177"/>
      <c r="AU967" s="177"/>
      <c r="AV967" s="177"/>
      <c r="AW967" s="190"/>
      <c r="AX967" s="120"/>
      <c r="AY967" s="120"/>
      <c r="AZ967" s="118">
        <f>IFERROR(INDEX('Total Customers'!$F$7:$AB$91,MATCH($C967,'Total Customers'!$D$7:$D$91,0),MATCH($G967,'Total Customers'!$F$5:$AB$5,0)),"NA")</f>
        <v>819336</v>
      </c>
      <c r="BA967" s="119">
        <f t="shared" si="2822"/>
        <v>1.4444705157262509E-2</v>
      </c>
      <c r="BB967" s="119"/>
      <c r="BC967" s="121"/>
      <c r="BD967" s="119"/>
      <c r="BE967" s="119"/>
      <c r="BF967" s="119"/>
      <c r="BG967" s="173"/>
      <c r="BH967" s="173"/>
      <c r="BI967" s="173"/>
      <c r="BJ967" s="173"/>
      <c r="BK967" s="173"/>
      <c r="BL967" s="173"/>
      <c r="BM967" s="173"/>
      <c r="BN967" s="173"/>
      <c r="BO967" s="173"/>
      <c r="BP967" s="173"/>
      <c r="BQ967" s="118"/>
      <c r="BR967" s="118"/>
      <c r="BS967" s="118">
        <f>INDEX('Dist. Plant Gas Additions'!$F$7:$AE$91,MATCH($C967,'Dist. Plant Gas Additions'!$D$7:$D$91,0),MATCH(Calculation!$G967,'Dist. Plant Gas Additions'!$F$5:$AE$5,0))</f>
        <v>239404</v>
      </c>
      <c r="BT967" s="118">
        <f>INDEX('Gen. Plant Additions'!$F$7:$AE$91,MATCH($C967,'Gen. Plant Additions'!$D$7:$D$91,0),MATCH(Calculation!$G967,'Gen. Plant Additions'!$F$5:$AE$5,0))</f>
        <v>1704</v>
      </c>
      <c r="BU967" s="118"/>
      <c r="BV967" s="118"/>
      <c r="BW967" s="118">
        <f>INDEX('Dist Plant Depreciation'!$E$7:$AD$94,MATCH($C967,'Dist Plant Depreciation'!$D$7:$D$94,0),MATCH(Calculation!$G967,'Dist Plant Depreciation'!$E$5:$AD$5,0))</f>
        <v>1393434</v>
      </c>
      <c r="BX967" s="118">
        <f>INDEX('Gen. Plant Depreciation'!$E$7:$AD$94,MATCH($C967,'Gen. Plant Depreciation'!$D$7:$D$94,0),MATCH(Calculation!$G967,'Gen. Plant Depreciation'!$E$5:$AD$5,0))</f>
        <v>6937</v>
      </c>
      <c r="BY967" s="118"/>
      <c r="BZ967" s="118"/>
      <c r="CA967" s="118"/>
      <c r="CB967" s="118"/>
      <c r="CC967" s="118"/>
      <c r="CD967" s="183"/>
      <c r="CE967" s="118">
        <f>INDEX('Gross Dx Plant'!$E$7:$AD$91,MATCH($C967,'Gross Dx Plant'!$D$7:$D$91,0),MATCH(Calculation!$G967,'Gross Dx Plant'!$E$5:$AD$5,0))</f>
        <v>3620622</v>
      </c>
      <c r="CF967" s="118">
        <f>INDEX('Gross Gen Plant'!$E$7:$AD$91,MATCH($C967,'Gross Gen Plant'!$D$7:$D$91,0),MATCH(Calculation!$G967,'Gross Gen Plant'!$E$5:$AD$5,0))</f>
        <v>23832</v>
      </c>
      <c r="CG967" s="118">
        <f t="shared" si="2806"/>
        <v>2244083</v>
      </c>
      <c r="CH967" s="118"/>
      <c r="CI967" s="121">
        <v>2017</v>
      </c>
      <c r="CJ967" s="118"/>
      <c r="CK967" s="118"/>
      <c r="CL967" s="118"/>
      <c r="CM967" s="183"/>
      <c r="CN967" s="118">
        <f t="shared" si="2823"/>
        <v>241108</v>
      </c>
      <c r="CO967" s="118">
        <f t="shared" si="2824"/>
        <v>338.43111508388307</v>
      </c>
      <c r="CP967" s="186">
        <v>0.87074829931972786</v>
      </c>
      <c r="CQ967" s="118">
        <f>+CQ948*CP967+CO949*CP966+CO950*CP965+CO951*CP964+CO952*CP963+CO953*CP962+CO954*CP961+CO955*CP960+CO956*CP959+CO957*CP958+CO958*CP957+CO959*CP956+CO960*CP955+CO961*CP954+CO962*CP953+CO963*CP952+CO964*CP951+CO965*CP950+CO966*CP949+CO967</f>
        <v>8356.2371085907143</v>
      </c>
      <c r="CR967" s="119">
        <f t="shared" si="2825"/>
        <v>3.2749249667413237E-2</v>
      </c>
      <c r="CS967" s="119"/>
      <c r="CT967" s="177">
        <f t="shared" si="2826"/>
        <v>8.5573277578699977E-3</v>
      </c>
      <c r="CU967" s="177">
        <f t="shared" si="2834"/>
        <v>8.2967775403078193E-3</v>
      </c>
      <c r="CV967" s="119">
        <f>VLOOKUP($H967,RoR!$E:$F,2,FALSE)</f>
        <v>3.7433333333333339E-2</v>
      </c>
      <c r="CW967" s="177">
        <v>1.9056896421275615E-2</v>
      </c>
      <c r="CX967" s="177">
        <f t="shared" si="2832"/>
        <v>1.8376436912057724E-2</v>
      </c>
      <c r="CY967" s="177">
        <f t="shared" si="2835"/>
        <v>2.2605164068225804E-2</v>
      </c>
      <c r="CZ967" s="177">
        <f t="shared" si="2836"/>
        <v>1.3976271617800498E-2</v>
      </c>
      <c r="DA967" s="187">
        <f t="shared" si="2827"/>
        <v>0.92125000000000001</v>
      </c>
      <c r="DB967" s="188">
        <f t="shared" si="2828"/>
        <v>1.3699568463593395</v>
      </c>
      <c r="DC967" s="188">
        <f t="shared" si="2829"/>
        <v>0.30714603739982199</v>
      </c>
      <c r="DD967" s="188">
        <f t="shared" si="2830"/>
        <v>0.77007188472689425</v>
      </c>
      <c r="DE967" s="188">
        <f t="shared" si="2831"/>
        <v>0.32402839633793828</v>
      </c>
      <c r="DF967" s="189">
        <f>INDEX('State Tax Lookup'!$D$7:$Z$91,MATCH(Calculation!$C967,'State Tax Lookup'!$B$7:$B$91,0),MATCH($H967,'State Tax Lookup'!$D$6:$Z$6,0))</f>
        <v>0.20999999999999996</v>
      </c>
      <c r="DG967" s="189">
        <v>0.375</v>
      </c>
      <c r="DH967" s="190">
        <f t="shared" si="2833"/>
        <v>18.763866944068852</v>
      </c>
      <c r="DI967" s="190">
        <v>18.428961795915331</v>
      </c>
      <c r="DJ967" s="177"/>
      <c r="DK967" s="189">
        <f>VLOOKUP($H967,RoR!$E:$F,2,FALSE)</f>
        <v>3.7433333333333339E-2</v>
      </c>
      <c r="DL967" s="191">
        <f>HLOOKUP($H967,'GDP-PI'!$D$8:$CQ$11,3,FALSE)</f>
        <v>1.9056896421275615E-2</v>
      </c>
      <c r="DM967" s="189">
        <f>VLOOKUP(H967,'HW Dx Data'!$E:$F,2,FALSE)</f>
        <v>712.42858370229726</v>
      </c>
      <c r="DN967" s="183">
        <f>VLOOKUP(H967,'ECI - Input Price'!$G$17:$H$37,2,FALSE)</f>
        <v>129.5</v>
      </c>
      <c r="DO967" s="177">
        <f t="shared" ref="DO967" si="2884">LN(DN967/DN966)</f>
        <v>2.4229399426835413E-2</v>
      </c>
      <c r="DP967" s="183">
        <f>HLOOKUP(H967,'GDP-PI'!$8:$9,2,FALSE)</f>
        <v>107.751</v>
      </c>
      <c r="DQ967" s="177">
        <f t="shared" ref="DQ967" si="2885">LN(DP967/DP966)</f>
        <v>1.8877588227745139E-2</v>
      </c>
    </row>
    <row r="968" spans="1:121" s="167" customFormat="1" ht="21" x14ac:dyDescent="0.35">
      <c r="A968" s="167" t="s">
        <v>96</v>
      </c>
      <c r="B968" s="167" t="s">
        <v>96</v>
      </c>
      <c r="C968" s="167">
        <v>4062485</v>
      </c>
      <c r="D968" s="168" t="s">
        <v>133</v>
      </c>
      <c r="E968" s="168"/>
      <c r="F968" s="198"/>
      <c r="G968" s="167" t="s">
        <v>24</v>
      </c>
      <c r="H968" s="169">
        <v>2018</v>
      </c>
      <c r="I968" s="170"/>
      <c r="J968" s="166">
        <f>IFERROR(INDEX('Labor Expenditures'!$F$7:$X$91,MATCH($C968,'Labor Expenditures'!$D$7:$D$91,0),MATCH($G968,'Labor Expenditures'!$F$5:$X$5,0)),"NA")</f>
        <v>56161.598646500046</v>
      </c>
      <c r="K968" s="166">
        <f t="shared" si="2839"/>
        <v>421.47541198123861</v>
      </c>
      <c r="L968" s="172">
        <f t="shared" si="2846"/>
        <v>-4.3976555085357645E-2</v>
      </c>
      <c r="M968" s="172">
        <f t="shared" si="2850"/>
        <v>-1.0294580608276671E-3</v>
      </c>
      <c r="N968" s="196"/>
      <c r="O968" s="172"/>
      <c r="P968" s="166">
        <f>IFERROR(INDEX('Non-Labor Expenditures'!$F$7:$AB$91,MATCH($C968,'Non-Labor Expenditures'!$D$7:$D$91,0),MATCH($G968,'Non-Labor Expenditures'!$F$5:$AB$5,0)),"NA")</f>
        <v>81332.48437983742</v>
      </c>
      <c r="Q968" s="166">
        <f t="shared" si="2840"/>
        <v>737.22815376658707</v>
      </c>
      <c r="R968" s="172">
        <f t="shared" si="2851"/>
        <v>-3.9010725895504653E-2</v>
      </c>
      <c r="S968" s="172">
        <f t="shared" si="2856"/>
        <v>-9.1321173643356738E-4</v>
      </c>
      <c r="T968" s="172"/>
      <c r="U968" s="172"/>
      <c r="V968" s="166">
        <f t="shared" si="2821"/>
        <v>164065.77440394767</v>
      </c>
      <c r="W968" s="170"/>
      <c r="X968" s="174">
        <v>8604.3665969508056</v>
      </c>
      <c r="Y968" s="175">
        <v>2.9261599092357756E-2</v>
      </c>
      <c r="Z968" s="175">
        <f t="shared" si="2857"/>
        <v>6.8499201449194773E-4</v>
      </c>
      <c r="AA968" s="175"/>
      <c r="AB968" s="175"/>
      <c r="AC968" s="170">
        <f t="shared" si="2863"/>
        <v>301559.85743028513</v>
      </c>
      <c r="AD968" s="175">
        <f t="shared" si="2852"/>
        <v>3.4355079478210905E-2</v>
      </c>
      <c r="AE968" s="170"/>
      <c r="AF968" s="170"/>
      <c r="AG968" s="121">
        <f t="shared" si="2853"/>
        <v>362.98357500988243</v>
      </c>
      <c r="AH968" s="119">
        <f>+AZ968/$BB$56</f>
        <v>2.1937588615176796E-2</v>
      </c>
      <c r="AI968" s="119"/>
      <c r="AJ968" s="176">
        <f t="shared" si="2858"/>
        <v>7.9629843426329696</v>
      </c>
      <c r="AK968" s="176">
        <f t="shared" si="2859"/>
        <v>0</v>
      </c>
      <c r="AL968" s="120">
        <f t="shared" si="2841"/>
        <v>0.18623698500548447</v>
      </c>
      <c r="AM968" s="120">
        <f t="shared" si="2842"/>
        <v>0.2697059385586158</v>
      </c>
      <c r="AN968" s="120">
        <f t="shared" si="2843"/>
        <v>0.54405707643589973</v>
      </c>
      <c r="AO968" s="120">
        <f t="shared" si="2847"/>
        <v>-3.6095899629572121E-3</v>
      </c>
      <c r="AP968" s="173">
        <f t="shared" si="2864"/>
        <v>134.96620042321572</v>
      </c>
      <c r="AQ968" s="175">
        <f t="shared" si="2865"/>
        <v>-3.6095899629571848E-3</v>
      </c>
      <c r="AR968" s="177">
        <f>+AC968/$AE$56</f>
        <v>2.3409247469009544E-2</v>
      </c>
      <c r="AS968" s="177">
        <f t="shared" si="2860"/>
        <v>-8.4497784704517728E-5</v>
      </c>
      <c r="AT968" s="177"/>
      <c r="AU968" s="177"/>
      <c r="AV968" s="177"/>
      <c r="AW968" s="190"/>
      <c r="AX968" s="120"/>
      <c r="AY968" s="120"/>
      <c r="AZ968" s="118">
        <f>IFERROR(INDEX('Total Customers'!$F$7:$AB$91,MATCH($C968,'Total Customers'!$D$7:$D$91,0),MATCH($G968,'Total Customers'!$F$5:$AB$5,0)),"NA")</f>
        <v>830781</v>
      </c>
      <c r="BA968" s="119">
        <f t="shared" si="2822"/>
        <v>1.3871966085920237E-2</v>
      </c>
      <c r="BB968" s="119"/>
      <c r="BC968" s="121"/>
      <c r="BD968" s="119"/>
      <c r="BE968" s="119"/>
      <c r="BF968" s="119"/>
      <c r="BG968" s="173"/>
      <c r="BH968" s="173"/>
      <c r="BI968" s="173"/>
      <c r="BJ968" s="173"/>
      <c r="BK968" s="173"/>
      <c r="BL968" s="173"/>
      <c r="BM968" s="173"/>
      <c r="BN968" s="173"/>
      <c r="BO968" s="173"/>
      <c r="BP968" s="173"/>
      <c r="BQ968" s="118"/>
      <c r="BR968" s="118"/>
      <c r="BS968" s="118">
        <f>INDEX('Dist. Plant Gas Additions'!$F$7:$AE$91,MATCH($C968,'Dist. Plant Gas Additions'!$D$7:$D$91,0),MATCH(Calculation!$G968,'Dist. Plant Gas Additions'!$F$5:$AE$5,0))</f>
        <v>242041</v>
      </c>
      <c r="BT968" s="118">
        <f>INDEX('Gen. Plant Additions'!$F$7:$AE$91,MATCH($C968,'Gen. Plant Additions'!$D$7:$D$91,0),MATCH(Calculation!$G968,'Gen. Plant Additions'!$F$5:$AE$5,0))</f>
        <v>891</v>
      </c>
      <c r="BU968" s="118"/>
      <c r="BV968" s="118"/>
      <c r="BW968" s="118">
        <f>INDEX('Dist Plant Depreciation'!$E$7:$AD$94,MATCH($C968,'Dist Plant Depreciation'!$D$7:$D$94,0),MATCH(Calculation!$G968,'Dist Plant Depreciation'!$E$5:$AD$5,0))</f>
        <v>1473933</v>
      </c>
      <c r="BX968" s="118">
        <f>INDEX('Gen. Plant Depreciation'!$E$7:$AD$94,MATCH($C968,'Gen. Plant Depreciation'!$D$7:$D$94,0),MATCH(Calculation!$G968,'Gen. Plant Depreciation'!$E$5:$AD$5,0))</f>
        <v>8385</v>
      </c>
      <c r="BY968" s="118"/>
      <c r="BZ968" s="118"/>
      <c r="CA968" s="118"/>
      <c r="CB968" s="118"/>
      <c r="CC968" s="118"/>
      <c r="CD968" s="183"/>
      <c r="CE968" s="118">
        <f>INDEX('Gross Dx Plant'!$E$7:$AD$91,MATCH($C968,'Gross Dx Plant'!$D$7:$D$91,0),MATCH(Calculation!$G968,'Gross Dx Plant'!$E$5:$AD$5,0))</f>
        <v>3850309</v>
      </c>
      <c r="CF968" s="118">
        <f>INDEX('Gross Gen Plant'!$E$7:$AD$91,MATCH($C968,'Gross Gen Plant'!$D$7:$D$91,0),MATCH(Calculation!$G968,'Gross Gen Plant'!$E$5:$AD$5,0))</f>
        <v>25700</v>
      </c>
      <c r="CG968" s="118">
        <f t="shared" si="2806"/>
        <v>2393691</v>
      </c>
      <c r="CH968" s="118"/>
      <c r="CI968" s="121">
        <v>2018</v>
      </c>
      <c r="CJ968" s="118"/>
      <c r="CK968" s="118"/>
      <c r="CL968" s="118"/>
      <c r="CM968" s="183"/>
      <c r="CN968" s="118">
        <f t="shared" si="2823"/>
        <v>242932</v>
      </c>
      <c r="CO968" s="118">
        <f t="shared" si="2824"/>
        <v>321.70598434187309</v>
      </c>
      <c r="CP968" s="186">
        <v>0.86111111111111116</v>
      </c>
      <c r="CQ968" s="118">
        <f>+CQ948*CP968++CO949*CP967+CO950*CP966+CO951*CP965+CO952*CP964+CO953*CP963+CO954*CP962+CO955*CP961+CO956*CP960+CO957*CP959+CO958*CP958+CO959*CP957+CO960*CP956+CO961*CP955+CO962*CP954+CO963*CP953+CO964*CP952+CO965*CP951+CO966*CP950+CO967*CP949+CO968</f>
        <v>8604.3665969508056</v>
      </c>
      <c r="CR968" s="119">
        <f t="shared" si="2825"/>
        <v>2.9261599092357756E-2</v>
      </c>
      <c r="CS968" s="119"/>
      <c r="CT968" s="177">
        <f t="shared" si="2826"/>
        <v>8.8049794453703041E-3</v>
      </c>
      <c r="CU968" s="177">
        <f t="shared" si="2834"/>
        <v>8.5550409093364792E-3</v>
      </c>
      <c r="CV968" s="119">
        <f>VLOOKUP($H968,RoR!$E:$F,2,FALSE)</f>
        <v>3.9299999999999995E-2</v>
      </c>
      <c r="CW968" s="177">
        <v>2.386056741932796E-2</v>
      </c>
      <c r="CX968" s="177">
        <f t="shared" si="2832"/>
        <v>1.5439432580672034E-2</v>
      </c>
      <c r="CY968" s="177">
        <f t="shared" si="2835"/>
        <v>2.2346900699197147E-2</v>
      </c>
      <c r="CZ968" s="177">
        <f t="shared" si="2836"/>
        <v>3.8270792163076606E-2</v>
      </c>
      <c r="DA968" s="187">
        <f t="shared" si="2827"/>
        <v>0.92125000000000001</v>
      </c>
      <c r="DB968" s="188">
        <f t="shared" si="2828"/>
        <v>1.3048868010700074</v>
      </c>
      <c r="DC968" s="188">
        <f t="shared" si="2829"/>
        <v>0.33886768447837151</v>
      </c>
      <c r="DD968" s="188">
        <f t="shared" si="2830"/>
        <v>0.78602506232557801</v>
      </c>
      <c r="DE968" s="188">
        <f t="shared" si="2831"/>
        <v>0.34756768162358759</v>
      </c>
      <c r="DF968" s="189">
        <f>INDEX('State Tax Lookup'!$D$7:$Z$91,MATCH(Calculation!$C968,'State Tax Lookup'!$B$7:$B$91,0),MATCH($H968,'State Tax Lookup'!$D$6:$Z$6,0))</f>
        <v>0.20999999999999996</v>
      </c>
      <c r="DG968" s="189">
        <v>0.375</v>
      </c>
      <c r="DH968" s="190">
        <f t="shared" si="2833"/>
        <v>19.633929994073313</v>
      </c>
      <c r="DI968" s="190">
        <v>19.304359366546635</v>
      </c>
      <c r="DJ968" s="177"/>
      <c r="DK968" s="189">
        <f>VLOOKUP($H968,RoR!$E:$F,2,FALSE)</f>
        <v>3.9299999999999995E-2</v>
      </c>
      <c r="DL968" s="191">
        <f>HLOOKUP($H968,'GDP-PI'!$D$8:$CQ$11,3,FALSE)</f>
        <v>2.386056741932796E-2</v>
      </c>
      <c r="DM968" s="189">
        <f>VLOOKUP(H968,'HW Dx Data'!$E:$F,2,FALSE)</f>
        <v>755.13671434174842</v>
      </c>
      <c r="DN968" s="183">
        <f>VLOOKUP(H968,'ECI - Input Price'!$G$17:$H$37,2,FALSE)</f>
        <v>133.25</v>
      </c>
      <c r="DO968" s="177">
        <f t="shared" ref="DO968" si="2886">LN(DN968/DN967)</f>
        <v>2.8546181906361531E-2</v>
      </c>
      <c r="DP968" s="183">
        <f>HLOOKUP(H968,'GDP-PI'!$8:$9,2,FALSE)</f>
        <v>110.322</v>
      </c>
      <c r="DQ968" s="177">
        <f t="shared" ref="DQ968" si="2887">LN(DP968/DP967)</f>
        <v>2.3580352716508712E-2</v>
      </c>
    </row>
    <row r="969" spans="1:121" s="167" customFormat="1" ht="21" x14ac:dyDescent="0.35">
      <c r="A969" s="167" t="s">
        <v>96</v>
      </c>
      <c r="B969" s="167" t="s">
        <v>96</v>
      </c>
      <c r="C969" s="167">
        <v>4062485</v>
      </c>
      <c r="D969" s="168" t="s">
        <v>133</v>
      </c>
      <c r="E969" s="168"/>
      <c r="F969" s="198"/>
      <c r="G969" s="167" t="s">
        <v>25</v>
      </c>
      <c r="H969" s="169">
        <v>2019</v>
      </c>
      <c r="I969" s="170"/>
      <c r="J969" s="166">
        <f>IFERROR(INDEX('Labor Expenditures'!$F$7:$X$91,MATCH($C969,'Labor Expenditures'!$D$7:$D$91,0),MATCH($G969,'Labor Expenditures'!$F$5:$X$5,0)),"NA")</f>
        <v>55165.422305825727</v>
      </c>
      <c r="K969" s="166">
        <f t="shared" si="2839"/>
        <v>403.10867596511309</v>
      </c>
      <c r="L969" s="172">
        <f t="shared" si="2846"/>
        <v>-4.4555248176107641E-2</v>
      </c>
      <c r="M969" s="172">
        <f t="shared" si="2850"/>
        <v>-1.0263150700335088E-3</v>
      </c>
      <c r="N969" s="196"/>
      <c r="O969" s="172"/>
      <c r="P969" s="166">
        <f>IFERROR(INDEX('Non-Labor Expenditures'!$F$7:$AB$91,MATCH($C969,'Non-Labor Expenditures'!$D$7:$D$91,0),MATCH($G969,'Non-Labor Expenditures'!$F$5:$AB$5,0)),"NA")</f>
        <v>79889.834978465602</v>
      </c>
      <c r="Q969" s="166">
        <f t="shared" si="2840"/>
        <v>711.28256360036323</v>
      </c>
      <c r="R969" s="172">
        <f t="shared" si="2851"/>
        <v>-3.5827647186775398E-2</v>
      </c>
      <c r="S969" s="172">
        <f t="shared" si="2856"/>
        <v>-8.2527773352969599E-4</v>
      </c>
      <c r="T969" s="172"/>
      <c r="U969" s="172"/>
      <c r="V969" s="166">
        <f t="shared" si="2821"/>
        <v>170965.68567402542</v>
      </c>
      <c r="W969" s="170"/>
      <c r="X969" s="174">
        <v>8877.2045133321099</v>
      </c>
      <c r="Y969" s="175">
        <v>3.1216882152072162E-2</v>
      </c>
      <c r="Z969" s="175">
        <f t="shared" si="2857"/>
        <v>7.190703206387259E-4</v>
      </c>
      <c r="AA969" s="175"/>
      <c r="AB969" s="175"/>
      <c r="AC969" s="170">
        <f t="shared" si="2863"/>
        <v>306020.94295831677</v>
      </c>
      <c r="AD969" s="175">
        <f t="shared" si="2852"/>
        <v>1.4685012081219516E-2</v>
      </c>
      <c r="AE969" s="170"/>
      <c r="AF969" s="170"/>
      <c r="AG969" s="121">
        <f t="shared" si="2853"/>
        <v>363.69280158387687</v>
      </c>
      <c r="AH969" s="119">
        <f>+AZ969/$BB$57</f>
        <v>2.2036929503049925E-2</v>
      </c>
      <c r="AI969" s="119"/>
      <c r="AJ969" s="176">
        <f t="shared" si="2858"/>
        <v>8.0146726292706187</v>
      </c>
      <c r="AK969" s="176">
        <f t="shared" si="2859"/>
        <v>0</v>
      </c>
      <c r="AL969" s="120">
        <f t="shared" si="2841"/>
        <v>0.18026682021347745</v>
      </c>
      <c r="AM969" s="120">
        <f t="shared" si="2842"/>
        <v>0.26106002486681912</v>
      </c>
      <c r="AN969" s="120">
        <f t="shared" si="2843"/>
        <v>0.55867315491970337</v>
      </c>
      <c r="AO969" s="120">
        <f t="shared" si="2847"/>
        <v>-4.6098199880947183E-4</v>
      </c>
      <c r="AP969" s="173">
        <f t="shared" si="2864"/>
        <v>134.90399777262553</v>
      </c>
      <c r="AQ969" s="175">
        <f t="shared" si="2865"/>
        <v>-4.6098199880956583E-4</v>
      </c>
      <c r="AR969" s="177">
        <f>+AC969/$AE$57</f>
        <v>2.3034661730015032E-2</v>
      </c>
      <c r="AS969" s="177">
        <f t="shared" si="2860"/>
        <v>-1.0618564406204542E-5</v>
      </c>
      <c r="AT969" s="177"/>
      <c r="AU969" s="177"/>
      <c r="AV969" s="177"/>
      <c r="AW969" s="190"/>
      <c r="AX969" s="120"/>
      <c r="AY969" s="120"/>
      <c r="AZ969" s="118">
        <f>IFERROR(INDEX('Total Customers'!$F$7:$AB$91,MATCH($C969,'Total Customers'!$D$7:$D$91,0),MATCH($G969,'Total Customers'!$F$5:$AB$5,0)),"NA")</f>
        <v>841427</v>
      </c>
      <c r="BA969" s="119">
        <f t="shared" si="2822"/>
        <v>1.2733037799324285E-2</v>
      </c>
      <c r="BB969" s="119"/>
      <c r="BC969" s="121"/>
      <c r="BD969" s="119"/>
      <c r="BE969" s="119"/>
      <c r="BF969" s="119"/>
      <c r="BG969" s="173"/>
      <c r="BH969" s="173"/>
      <c r="BI969" s="173"/>
      <c r="BJ969" s="173"/>
      <c r="BK969" s="173"/>
      <c r="BL969" s="173"/>
      <c r="BM969" s="173"/>
      <c r="BN969" s="173"/>
      <c r="BO969" s="173"/>
      <c r="BP969" s="173"/>
      <c r="BQ969" s="118"/>
      <c r="BR969" s="118"/>
      <c r="BS969" s="118">
        <f>INDEX('Dist. Plant Gas Additions'!$F$7:$AE$91,MATCH($C969,'Dist. Plant Gas Additions'!$D$7:$D$91,0),MATCH(Calculation!$G969,'Dist. Plant Gas Additions'!$F$5:$AE$5,0))</f>
        <v>271692</v>
      </c>
      <c r="BT969" s="118">
        <f>INDEX('Gen. Plant Additions'!$F$7:$AE$91,MATCH($C969,'Gen. Plant Additions'!$D$7:$D$91,0),MATCH(Calculation!$G969,'Gen. Plant Additions'!$F$5:$AE$5,0))</f>
        <v>-244</v>
      </c>
      <c r="BU969" s="118"/>
      <c r="BV969" s="118"/>
      <c r="BW969" s="118">
        <f>INDEX('Dist Plant Depreciation'!$E$7:$AD$94,MATCH($C969,'Dist Plant Depreciation'!$D$7:$D$94,0),MATCH(Calculation!$G969,'Dist Plant Depreciation'!$E$5:$AD$5,0))</f>
        <v>1553327</v>
      </c>
      <c r="BX969" s="118">
        <f>INDEX('Gen. Plant Depreciation'!$E$7:$AD$94,MATCH($C969,'Gen. Plant Depreciation'!$D$7:$D$94,0),MATCH(Calculation!$G969,'Gen. Plant Depreciation'!$E$5:$AD$5,0))</f>
        <v>13286</v>
      </c>
      <c r="BY969" s="118"/>
      <c r="BZ969" s="118"/>
      <c r="CA969" s="118"/>
      <c r="CB969" s="118"/>
      <c r="CC969" s="118"/>
      <c r="CD969" s="183"/>
      <c r="CE969" s="118">
        <f>INDEX('Gross Dx Plant'!$E$7:$AD$91,MATCH($C969,'Gross Dx Plant'!$D$7:$D$91,0),MATCH(Calculation!$G969,'Gross Dx Plant'!$E$5:$AD$5,0))</f>
        <v>4093494</v>
      </c>
      <c r="CF969" s="118">
        <f>INDEX('Gross Gen Plant'!$E$7:$AD$91,MATCH($C969,'Gross Gen Plant'!$D$7:$D$91,0),MATCH(Calculation!$G969,'Gross Gen Plant'!$E$5:$AD$5,0))</f>
        <v>41428</v>
      </c>
      <c r="CG969" s="118">
        <f t="shared" si="2806"/>
        <v>2568309</v>
      </c>
      <c r="CH969" s="118"/>
      <c r="CI969" s="121">
        <v>2019</v>
      </c>
      <c r="CJ969" s="118"/>
      <c r="CK969" s="118"/>
      <c r="CL969" s="118"/>
      <c r="CM969" s="183"/>
      <c r="CN969" s="118">
        <f t="shared" si="2823"/>
        <v>271448</v>
      </c>
      <c r="CO969" s="118">
        <f t="shared" si="2824"/>
        <v>350.91688389084283</v>
      </c>
      <c r="CP969" s="186">
        <v>0.85106382978723405</v>
      </c>
      <c r="CQ969" s="118">
        <f>CQ948*CP969+CO949*CP968+CO950*CP967+CO951*CP966+CO952*CP965+CO953*CP964+CO954*CP963+CO955*CP962+CO956*CP961+CO957*CP960+CO958*CP959+CO959*CP958+CO960*CP957+CO961*CP956+CO962*CP955+CO963*CP954+CO964*CP953+CO965*CP952+CO966*CP951+CO967*CP950+CO968*CP949+CO969</f>
        <v>8877.2045133321099</v>
      </c>
      <c r="CR969" s="119">
        <f t="shared" si="2825"/>
        <v>3.1216882152072162E-2</v>
      </c>
      <c r="CS969" s="119"/>
      <c r="CT969" s="177">
        <f t="shared" si="2826"/>
        <v>9.0743422690995074E-3</v>
      </c>
      <c r="CU969" s="177">
        <f t="shared" si="2834"/>
        <v>8.812216490779937E-3</v>
      </c>
      <c r="CV969" s="119">
        <f>VLOOKUP($H969,RoR!$E:$F,2,FALSE)</f>
        <v>3.3875000000000009E-2</v>
      </c>
      <c r="CW969" s="177">
        <v>1.8092492884465461E-2</v>
      </c>
      <c r="CX969" s="177">
        <f t="shared" si="2832"/>
        <v>1.5782507115534548E-2</v>
      </c>
      <c r="CY969" s="177">
        <f t="shared" si="2835"/>
        <v>2.2089725117753686E-2</v>
      </c>
      <c r="CZ969" s="177">
        <f t="shared" si="2836"/>
        <v>4.8445665544254078E-2</v>
      </c>
      <c r="DA969" s="187">
        <f t="shared" si="2827"/>
        <v>0.92125000000000001</v>
      </c>
      <c r="DB969" s="188">
        <f t="shared" si="2828"/>
        <v>1.513861292459078</v>
      </c>
      <c r="DC969" s="188">
        <f t="shared" si="2829"/>
        <v>0.23699261992619944</v>
      </c>
      <c r="DD969" s="188">
        <f t="shared" si="2830"/>
        <v>0.73619765810468829</v>
      </c>
      <c r="DE969" s="188">
        <f t="shared" si="2831"/>
        <v>0.26412854465362851</v>
      </c>
      <c r="DF969" s="189">
        <f>INDEX('State Tax Lookup'!$D$7:$Z$91,MATCH(Calculation!$C969,'State Tax Lookup'!$B$7:$B$91,0),MATCH($H969,'State Tax Lookup'!$D$6:$Z$6,0))</f>
        <v>0.20999999999999996</v>
      </c>
      <c r="DG969" s="189">
        <v>0.375</v>
      </c>
      <c r="DH969" s="190">
        <f t="shared" si="2833"/>
        <v>19.869642204065528</v>
      </c>
      <c r="DI969" s="190">
        <v>19.531704820281362</v>
      </c>
      <c r="DJ969" s="177"/>
      <c r="DK969" s="189">
        <f>VLOOKUP($H969,RoR!$E:$F,2,FALSE)</f>
        <v>3.3875000000000009E-2</v>
      </c>
      <c r="DL969" s="191">
        <f>HLOOKUP($H969,'GDP-PI'!$D$8:$CQ$11,3,FALSE)</f>
        <v>1.8092492884465461E-2</v>
      </c>
      <c r="DM969" s="189">
        <f>VLOOKUP(H969,'HW Dx Data'!$E:$F,2,FALSE)</f>
        <v>773.53929793938721</v>
      </c>
      <c r="DN969" s="183">
        <f>VLOOKUP(H969,'ECI - Input Price'!$G$17:$H$37,2,FALSE)</f>
        <v>136.85</v>
      </c>
      <c r="DO969" s="177">
        <f t="shared" ref="DO969" si="2888">LN(DN969/DN968)</f>
        <v>2.6658372440734168E-2</v>
      </c>
      <c r="DP969" s="183">
        <f>HLOOKUP(H969,'GDP-PI'!$8:$9,2,FALSE)</f>
        <v>112.318</v>
      </c>
      <c r="DQ969" s="177">
        <f t="shared" ref="DQ969" si="2889">LN(DP969/DP968)</f>
        <v>1.7930771451401852E-2</v>
      </c>
    </row>
    <row r="970" spans="1:121" s="167" customFormat="1" ht="21" x14ac:dyDescent="0.35">
      <c r="A970" s="167" t="s">
        <v>96</v>
      </c>
      <c r="B970" s="167" t="s">
        <v>96</v>
      </c>
      <c r="C970" s="167">
        <v>4062485</v>
      </c>
      <c r="D970" s="167" t="s">
        <v>133</v>
      </c>
      <c r="G970" s="168" t="s">
        <v>26</v>
      </c>
      <c r="H970" s="169">
        <v>2020</v>
      </c>
      <c r="I970" s="170"/>
      <c r="J970" s="166">
        <f>IFERROR(INDEX('Labor Expenditures'!$F$7:$X$91,MATCH($C970,'Labor Expenditures'!$D$7:$D$91,0),MATCH($G970,'Labor Expenditures'!$F$5:$X$5,0)),"NA")</f>
        <v>55415.354671556692</v>
      </c>
      <c r="K970" s="166">
        <f t="shared" si="2839"/>
        <v>394.5557470384955</v>
      </c>
      <c r="L970" s="172">
        <f t="shared" si="2846"/>
        <v>-2.1445752080441954E-2</v>
      </c>
      <c r="M970" s="172">
        <f t="shared" si="2850"/>
        <v>-4.9935636427323577E-4</v>
      </c>
      <c r="N970" s="196"/>
      <c r="O970" s="172"/>
      <c r="P970" s="166">
        <f>IFERROR(INDEX('Non-Labor Expenditures'!$F$7:$AB$91,MATCH($C970,'Non-Labor Expenditures'!$D$7:$D$91,0),MATCH($G970,'Non-Labor Expenditures'!$F$5:$AB$5,0)),"NA")</f>
        <v>80251.78372497081</v>
      </c>
      <c r="Q970" s="166">
        <f t="shared" si="2840"/>
        <v>706.2987575136267</v>
      </c>
      <c r="R970" s="172">
        <f t="shared" si="2851"/>
        <v>-7.0314507482703075E-3</v>
      </c>
      <c r="S970" s="172">
        <f t="shared" si="2856"/>
        <v>-1.6372471658033947E-4</v>
      </c>
      <c r="T970" s="172"/>
      <c r="U970" s="172"/>
      <c r="V970" s="166">
        <f t="shared" si="2821"/>
        <v>183254.71231253154</v>
      </c>
      <c r="W970" s="170"/>
      <c r="X970" s="174">
        <v>9141.2709348320295</v>
      </c>
      <c r="Y970" s="175">
        <v>2.9312727365479751E-2</v>
      </c>
      <c r="Z970" s="175">
        <f t="shared" si="2857"/>
        <v>6.8253595906797896E-4</v>
      </c>
      <c r="AA970" s="175"/>
      <c r="AB970" s="175"/>
      <c r="AC970" s="170">
        <f t="shared" si="2863"/>
        <v>318921.85070905904</v>
      </c>
      <c r="AD970" s="175">
        <f t="shared" si="2852"/>
        <v>4.1292550017913453E-2</v>
      </c>
      <c r="AE970" s="170"/>
      <c r="AF970" s="170"/>
      <c r="AG970" s="121">
        <f t="shared" si="2853"/>
        <v>374.88462797284541</v>
      </c>
      <c r="AH970" s="119">
        <f>+AZ970/$BB$58</f>
        <v>2.2123668268139524E-2</v>
      </c>
      <c r="AI970" s="119"/>
      <c r="AJ970" s="176">
        <f t="shared" si="2858"/>
        <v>8.2938231480961306</v>
      </c>
      <c r="AK970" s="176">
        <f t="shared" si="2859"/>
        <v>0</v>
      </c>
      <c r="AL970" s="120">
        <f t="shared" si="2841"/>
        <v>0.17375841306687428</v>
      </c>
      <c r="AM970" s="120">
        <f t="shared" si="2842"/>
        <v>0.25163463571576233</v>
      </c>
      <c r="AN970" s="120">
        <f t="shared" si="2843"/>
        <v>0.57460695121736338</v>
      </c>
      <c r="AO970" s="120">
        <f t="shared" si="2847"/>
        <v>1.101110307098958E-2</v>
      </c>
      <c r="AP970" s="173">
        <f t="shared" si="2864"/>
        <v>136.39764787303136</v>
      </c>
      <c r="AQ970" s="175">
        <f t="shared" si="2865"/>
        <v>1.1011103070989511E-2</v>
      </c>
      <c r="AR970" s="177">
        <f>+AC970/$AE$58</f>
        <v>2.3284628228479692E-2</v>
      </c>
      <c r="AS970" s="177">
        <f t="shared" si="2860"/>
        <v>2.5638944139346181E-4</v>
      </c>
      <c r="AT970" s="177"/>
      <c r="AU970" s="177"/>
      <c r="AV970" s="177"/>
      <c r="AW970" s="190"/>
      <c r="AX970" s="120"/>
      <c r="AY970" s="120"/>
      <c r="AZ970" s="118">
        <f>IFERROR(INDEX('Total Customers'!$F$7:$AB$91,MATCH($C970,'Total Customers'!$D$7:$D$91,0),MATCH($G970,'Total Customers'!$F$5:$AB$5,0)),"NA")</f>
        <v>850720</v>
      </c>
      <c r="BA970" s="119">
        <f t="shared" si="2822"/>
        <v>1.0983789739609361E-2</v>
      </c>
      <c r="BB970" s="119"/>
      <c r="BC970" s="121"/>
      <c r="BD970" s="119"/>
      <c r="BE970" s="119"/>
      <c r="BF970" s="119"/>
      <c r="BG970" s="173"/>
      <c r="BH970" s="173"/>
      <c r="BI970" s="173"/>
      <c r="BJ970" s="173"/>
      <c r="BK970" s="173"/>
      <c r="BL970" s="173"/>
      <c r="BM970" s="173"/>
      <c r="BN970" s="173"/>
      <c r="BO970" s="173"/>
      <c r="BP970" s="173"/>
      <c r="BQ970" s="118"/>
      <c r="BR970" s="118"/>
      <c r="BS970" s="118">
        <f>INDEX('Dist. Plant Gas Additions'!$F$7:$AE$91,MATCH($C970,'Dist. Plant Gas Additions'!$D$7:$D$91,0),MATCH(Calculation!$G970,'Dist. Plant Gas Additions'!$F$5:$AE$5,0))</f>
        <v>280663</v>
      </c>
      <c r="BT970" s="118">
        <f>INDEX('Gen. Plant Additions'!$F$7:$AE$91,MATCH($C970,'Gen. Plant Additions'!$D$7:$D$91,0),MATCH(Calculation!$G970,'Gen. Plant Additions'!$F$5:$AE$5,0))</f>
        <v>1491</v>
      </c>
      <c r="BU970" s="118"/>
      <c r="BV970" s="118"/>
      <c r="BW970" s="118">
        <f>INDEX('Dist Plant Depreciation'!$E$7:$AD$94,MATCH($C970,'Dist Plant Depreciation'!$D$7:$D$94,0),MATCH(Calculation!$G970,'Dist Plant Depreciation'!$E$5:$AD$5,0))</f>
        <v>1639878</v>
      </c>
      <c r="BX970" s="118">
        <f>INDEX('Gen. Plant Depreciation'!$E$7:$AD$94,MATCH($C970,'Gen. Plant Depreciation'!$D$7:$D$94,0),MATCH(Calculation!$G970,'Gen. Plant Depreciation'!$E$5:$AD$5,0))</f>
        <v>13976</v>
      </c>
      <c r="BY970" s="118"/>
      <c r="BZ970" s="118"/>
      <c r="CA970" s="118"/>
      <c r="CB970" s="118"/>
      <c r="CC970" s="118"/>
      <c r="CD970" s="183"/>
      <c r="CE970" s="118">
        <f>INDEX('Gross Dx Plant'!$E$7:$AD$91,MATCH($C970,'Gross Dx Plant'!$D$7:$D$91,0),MATCH(Calculation!$G970,'Gross Dx Plant'!$E$5:$AD$5,0))</f>
        <v>4343497</v>
      </c>
      <c r="CF970" s="118">
        <f>INDEX('Gross Gen Plant'!$E$7:$AD$91,MATCH($C970,'Gross Gen Plant'!$D$7:$D$91,0),MATCH(Calculation!$G970,'Gross Gen Plant'!$E$5:$AD$5,0))</f>
        <v>41470</v>
      </c>
      <c r="CG970" s="118">
        <f t="shared" si="2806"/>
        <v>2731113</v>
      </c>
      <c r="CH970" s="118"/>
      <c r="CI970" s="121">
        <v>2020</v>
      </c>
      <c r="CJ970" s="118"/>
      <c r="CK970" s="118"/>
      <c r="CL970" s="118"/>
      <c r="CM970" s="183"/>
      <c r="CN970" s="118">
        <f t="shared" si="2823"/>
        <v>282154</v>
      </c>
      <c r="CO970" s="118">
        <f t="shared" si="2824"/>
        <v>347.01867420641406</v>
      </c>
      <c r="CP970" s="186">
        <v>0.84057971014492749</v>
      </c>
      <c r="CQ970" s="118">
        <f>CQ948*CP970+CO949*CP969+CO950*CP968+CO951*CP967+CO952*CP966+CO953*CP965+CO954*CP964+CO955*CP963+CO956*CP962+CO957*CP961+CO958*CP960+CO959*CP959+CO960*CP958+CO961*CP957+CO962*CP956+CO963*CP955+CO964*CP954+CO965*CP953+CO966*CP952+CO967*CP951+CO968*CP950+CO969*CP949+CO970</f>
        <v>9141.2709348320295</v>
      </c>
      <c r="CR970" s="119">
        <f t="shared" si="2825"/>
        <v>2.9312727365479751E-2</v>
      </c>
      <c r="CS970" s="119"/>
      <c r="CT970" s="177">
        <f t="shared" si="2826"/>
        <v>9.3444115860926349E-3</v>
      </c>
      <c r="CU970" s="177">
        <f t="shared" si="2834"/>
        <v>9.0745777668541482E-3</v>
      </c>
      <c r="CV970" s="119">
        <f>VLOOKUP($H970,RoR!$E:$F,2,FALSE)</f>
        <v>2.4766666666666666E-2</v>
      </c>
      <c r="CW970" s="177">
        <v>1.1618796630994188E-2</v>
      </c>
      <c r="CX970" s="177">
        <f t="shared" si="2832"/>
        <v>1.3147870035672478E-2</v>
      </c>
      <c r="CY970" s="177">
        <f t="shared" si="2835"/>
        <v>2.1827363841679479E-2</v>
      </c>
      <c r="CZ970" s="177">
        <f t="shared" si="2836"/>
        <v>4.5144642961987357E-2</v>
      </c>
      <c r="DA970" s="187">
        <f t="shared" si="2827"/>
        <v>0.92125000000000001</v>
      </c>
      <c r="DB970" s="188">
        <f t="shared" si="2828"/>
        <v>2.0706077233668081</v>
      </c>
      <c r="DC970" s="188">
        <f t="shared" si="2829"/>
        <v>-3.4421265141318998E-2</v>
      </c>
      <c r="DD970" s="188">
        <f t="shared" si="2830"/>
        <v>0.62416226176410472</v>
      </c>
      <c r="DE970" s="188">
        <f t="shared" si="2831"/>
        <v>-4.4485877841158712E-2</v>
      </c>
      <c r="DF970" s="189">
        <f>INDEX('State Tax Lookup'!$D$7:$Z$91,MATCH(Calculation!$C970,'State Tax Lookup'!$B$7:$B$91,0),MATCH($H970,'State Tax Lookup'!$D$6:$Z$6,0))</f>
        <v>0.20999999999999996</v>
      </c>
      <c r="DG970" s="189">
        <v>0.375</v>
      </c>
      <c r="DH970" s="190">
        <f t="shared" si="2833"/>
        <v>20.643290580645395</v>
      </c>
      <c r="DI970" s="190">
        <v>20.318396007728538</v>
      </c>
      <c r="DJ970" s="177"/>
      <c r="DK970" s="189">
        <f>VLOOKUP($H970,RoR!$E:$F,2,FALSE)</f>
        <v>2.4766666666666666E-2</v>
      </c>
      <c r="DL970" s="191">
        <f>HLOOKUP($H970,'GDP-PI'!$D$8:$CQ$11,3,FALSE)</f>
        <v>1.1618796630994188E-2</v>
      </c>
      <c r="DM970" s="189">
        <f>VLOOKUP(H970,'HW Dx Data'!$E:$F,2,FALSE)</f>
        <v>813.080162458833</v>
      </c>
      <c r="DN970" s="183">
        <f>VLOOKUP(H970,'ECI - Input Price'!$G$17:$H$37,2,FALSE)</f>
        <v>140.44999999999999</v>
      </c>
      <c r="DO970" s="177">
        <f t="shared" ref="DO970" si="2890">LN(DN970/DN969)</f>
        <v>2.5966118063564539E-2</v>
      </c>
      <c r="DP970" s="183">
        <f>HLOOKUP(H970,'GDP-PI'!$8:$9,2,FALSE)</f>
        <v>113.623</v>
      </c>
      <c r="DQ970" s="177">
        <f t="shared" ref="DQ970" si="2891">LN(DP970/DP969)</f>
        <v>1.1551816731392881E-2</v>
      </c>
    </row>
    <row r="971" spans="1:121" s="167" customFormat="1" ht="21" x14ac:dyDescent="0.35">
      <c r="A971" s="167" t="s">
        <v>96</v>
      </c>
      <c r="B971" s="167" t="s">
        <v>96</v>
      </c>
      <c r="C971" s="167">
        <v>4062485</v>
      </c>
      <c r="D971" s="167" t="s">
        <v>133</v>
      </c>
      <c r="G971" s="168" t="s">
        <v>462</v>
      </c>
      <c r="H971" s="169">
        <v>2021</v>
      </c>
      <c r="I971" s="170"/>
      <c r="J971" s="166">
        <f>IFERROR(INDEX('Labor Expenditures'!$E$7:$X$91,MATCH($C971,'Labor Expenditures'!$D$7:$D$91,0),MATCH($G971,'Labor Expenditures'!$E$5:$X$5,0)),"NA")</f>
        <v>56521.185671384694</v>
      </c>
      <c r="K971" s="166">
        <f t="shared" si="2839"/>
        <v>388.52851466839445</v>
      </c>
      <c r="L971" s="171">
        <f t="shared" si="2846"/>
        <v>-1.5393876975618946E-2</v>
      </c>
      <c r="M971" s="172">
        <f t="shared" si="2850"/>
        <v>-3.8068489724309867E-4</v>
      </c>
      <c r="N971" s="196"/>
      <c r="O971" s="172"/>
      <c r="P971" s="166">
        <f>IFERROR(INDEX('Non-Labor Expenditures'!$E$7:$AB$91,MATCH($C971,'Non-Labor Expenditures'!$D$7:$D$91,0),MATCH($G971,'Non-Labor Expenditures'!$E$5:$AB$5,0)),"NA")</f>
        <v>79674.442452433854</v>
      </c>
      <c r="Q971" s="166">
        <f t="shared" si="2840"/>
        <v>672.41490802965529</v>
      </c>
      <c r="R971" s="172">
        <f t="shared" si="2851"/>
        <v>-4.9162744605755489E-2</v>
      </c>
      <c r="S971" s="172">
        <f t="shared" si="2856"/>
        <v>-1.2157765329729895E-3</v>
      </c>
      <c r="T971" s="172"/>
      <c r="U971" s="172"/>
      <c r="V971" s="166">
        <f t="shared" si="2821"/>
        <v>228527.53459084412</v>
      </c>
      <c r="W971" s="170"/>
      <c r="X971" s="174">
        <v>9335.4176590405223</v>
      </c>
      <c r="Y971" s="175"/>
      <c r="Z971" s="175">
        <f t="shared" si="2857"/>
        <v>0</v>
      </c>
      <c r="AA971" s="175"/>
      <c r="AB971" s="175"/>
      <c r="AC971" s="170">
        <f t="shared" si="2863"/>
        <v>364723.16271466267</v>
      </c>
      <c r="AD971" s="175">
        <f t="shared" si="2852"/>
        <v>0.13419251682290675</v>
      </c>
      <c r="AE971" s="118"/>
      <c r="AF971" s="119"/>
      <c r="AG971" s="121">
        <f t="shared" si="2853"/>
        <v>423.88081734495995</v>
      </c>
      <c r="AH971" s="119">
        <f>+AZ971/$BB$59</f>
        <v>2.2075999223665658E-2</v>
      </c>
      <c r="AI971" s="119"/>
      <c r="AJ971" s="176">
        <f t="shared" si="2858"/>
        <v>9.3575925946341005</v>
      </c>
      <c r="AK971" s="176">
        <f t="shared" si="2859"/>
        <v>0</v>
      </c>
      <c r="AL971" s="120">
        <f t="shared" si="2841"/>
        <v>0.15497010184572085</v>
      </c>
      <c r="AM971" s="120">
        <f t="shared" si="2842"/>
        <v>0.21845183031264268</v>
      </c>
      <c r="AN971" s="120">
        <f t="shared" si="2843"/>
        <v>0.6265780678416365</v>
      </c>
      <c r="AO971" s="120">
        <f t="shared" si="2847"/>
        <v>-1.4085573594459517E-2</v>
      </c>
      <c r="AP971" s="173">
        <f t="shared" si="2864"/>
        <v>134.48987633625231</v>
      </c>
      <c r="AQ971" s="175">
        <f t="shared" si="2865"/>
        <v>-1.408557359445951E-2</v>
      </c>
      <c r="AR971" s="177">
        <f>+AC971/$AE$59</f>
        <v>2.4729630998482913E-2</v>
      </c>
      <c r="AS971" s="177">
        <f t="shared" si="2860"/>
        <v>-3.4833103739295831E-4</v>
      </c>
      <c r="AT971" s="177"/>
      <c r="AU971" s="177"/>
      <c r="AV971" s="177"/>
      <c r="AW971" s="190"/>
      <c r="AX971" s="120"/>
      <c r="AY971" s="120"/>
      <c r="AZ971" s="118">
        <f>INDEX('Total Customers'!$E$7:$E$91,MATCH(Calculation!$C971,'Total Customers'!$D$7:$D$91,0))</f>
        <v>860438</v>
      </c>
      <c r="BA971" s="119">
        <f t="shared" si="2822"/>
        <v>1.1358512166695936E-2</v>
      </c>
      <c r="BB971" s="118"/>
      <c r="BC971" s="121"/>
      <c r="BD971" s="118"/>
      <c r="BE971" s="119"/>
      <c r="BF971" s="119"/>
      <c r="BG971" s="173"/>
      <c r="BH971" s="173"/>
      <c r="BI971" s="173"/>
      <c r="BJ971" s="173"/>
      <c r="BK971" s="173"/>
      <c r="BL971" s="173"/>
      <c r="BM971" s="173"/>
      <c r="BN971" s="173"/>
      <c r="BO971" s="173"/>
      <c r="BP971" s="173"/>
      <c r="BQ971" s="118"/>
      <c r="BR971" s="118"/>
      <c r="BS971" s="118">
        <f>INDEX('Dist. Plant Gas Additions'!$E$7:$AE$91,MATCH($C971,'Dist. Plant Gas Additions'!$D$7:$D$91,0),MATCH(Calculation!$G971,'Dist. Plant Gas Additions'!$E$5:$AE$5,0))</f>
        <v>223517</v>
      </c>
      <c r="BT971" s="118">
        <f>INDEX('Gen. Plant Additions'!$E$7:$AE$91,MATCH($C971,'Gen. Plant Additions'!$D$7:$D$91,0),MATCH(Calculation!$G971,'Gen. Plant Additions'!$E$5:$AE$5,0))</f>
        <v>1275</v>
      </c>
      <c r="BU971" s="118"/>
      <c r="BV971" s="118"/>
      <c r="BW971" s="118"/>
      <c r="BX971" s="118"/>
      <c r="BY971" s="183"/>
      <c r="BZ971" s="183"/>
      <c r="CA971" s="178"/>
      <c r="CB971" s="184"/>
      <c r="CC971" s="185"/>
      <c r="CD971" s="185"/>
      <c r="CE971" s="118"/>
      <c r="CF971" s="118"/>
      <c r="CG971" s="118"/>
      <c r="CH971" s="118"/>
      <c r="CI971" s="121">
        <v>2021</v>
      </c>
      <c r="CJ971" s="118"/>
      <c r="CK971" s="118"/>
      <c r="CL971" s="118"/>
      <c r="CM971" s="183"/>
      <c r="CN971" s="118">
        <f t="shared" si="2823"/>
        <v>224792</v>
      </c>
      <c r="CO971" s="118">
        <f t="shared" si="2824"/>
        <v>240.92880952896357</v>
      </c>
      <c r="CP971" s="186">
        <f>+(51-23)/(51-23*0.75)</f>
        <v>0.82962962962962961</v>
      </c>
      <c r="CQ971" s="118">
        <f>CQ948*CP971+CO949*CP970+CO950*CP969+CO951*CP968+CO952*CP967+CO953*CP966+CO954*CP965+CO955*CP964+CO956*CP963+CO957*CP962+CO958*CP961+CO959*CP960+CO960*CP959+CO961*CP958+CO962*CP957+CO953*CP956+CO964*CP955+CO965*CP954+CO966*CP953+CO967*CP952+CO968*CP951+CO969*CP950+CO971+CO970*CP949</f>
        <v>9335.4176590405223</v>
      </c>
      <c r="CR971" s="119"/>
      <c r="CS971" s="118"/>
      <c r="CT971" s="177">
        <f t="shared" si="2826"/>
        <v>5.1176784556523428E-3</v>
      </c>
      <c r="CU971" s="177">
        <f t="shared" si="2834"/>
        <v>7.8454774369481617E-3</v>
      </c>
      <c r="CV971" s="119">
        <f>VLOOKUP($H971,RoR!$E:$F,2,FALSE)</f>
        <v>2.7033333333333336E-2</v>
      </c>
      <c r="CW971" s="177"/>
      <c r="CX971" s="177"/>
      <c r="CY971" s="177">
        <f t="shared" si="2835"/>
        <v>2.3056464171585463E-2</v>
      </c>
      <c r="CZ971" s="177">
        <f t="shared" si="2836"/>
        <v>7.433422950153494E-2</v>
      </c>
      <c r="DA971" s="187">
        <f t="shared" si="2827"/>
        <v>0.92125000000000001</v>
      </c>
      <c r="DB971" s="188">
        <f t="shared" si="2828"/>
        <v>1.8969932656739068</v>
      </c>
      <c r="DC971" s="188">
        <f t="shared" si="2829"/>
        <v>5.0215782983970621E-2</v>
      </c>
      <c r="DD971" s="188">
        <f t="shared" si="2830"/>
        <v>0.655952481704143</v>
      </c>
      <c r="DE971" s="188">
        <f t="shared" si="2831"/>
        <v>6.2485378865697057E-2</v>
      </c>
      <c r="DF971" s="189">
        <f>DF970</f>
        <v>0.20999999999999996</v>
      </c>
      <c r="DG971" s="189">
        <v>0.375</v>
      </c>
      <c r="DH971" s="190">
        <f t="shared" si="2833"/>
        <v>24.999536302994755</v>
      </c>
      <c r="DI971" s="190"/>
      <c r="DJ971" s="177">
        <f t="shared" ref="DJ971" si="2892">LN(DH971/DH970)</f>
        <v>0.19146692155295492</v>
      </c>
      <c r="DK971" s="189">
        <f>VLOOKUP($H971,RoR!$E:$F,2,FALSE)</f>
        <v>2.7033333333333336E-2</v>
      </c>
      <c r="DL971" s="191">
        <f>HLOOKUP($H971,'GDP-PI'!$D$8:$CR$11,3,FALSE)</f>
        <v>4.2834637353352578E-2</v>
      </c>
      <c r="DM971" s="189">
        <f>VLOOKUP(H971,'HW Dx Data'!$E:$F,2,FALSE)</f>
        <v>933.02249921662576</v>
      </c>
      <c r="DN971" s="183">
        <f>VLOOKUP(H971,'ECI - Input Price'!$G$17:$H$37,2,FALSE)</f>
        <v>145.47500000000002</v>
      </c>
      <c r="DO971" s="177">
        <f t="shared" ref="DO971" si="2893">LN(DN971/DN970)</f>
        <v>3.5152696992481205E-2</v>
      </c>
      <c r="DP971" s="183">
        <f>HLOOKUP(H971,'GDP-PI'!$8:$9,2,FALSE)</f>
        <v>118.49</v>
      </c>
      <c r="DQ971" s="177">
        <f t="shared" ref="DQ971" si="2894">LN(DP971/DP970)</f>
        <v>4.194261824609434E-2</v>
      </c>
    </row>
    <row r="972" spans="1:121" s="167" customFormat="1" ht="21" x14ac:dyDescent="0.35">
      <c r="A972" s="167" t="s">
        <v>97</v>
      </c>
      <c r="B972" s="167" t="s">
        <v>97</v>
      </c>
      <c r="C972" s="167">
        <v>4057140</v>
      </c>
      <c r="D972" s="168" t="s">
        <v>149</v>
      </c>
      <c r="E972" s="168"/>
      <c r="F972" s="198"/>
      <c r="G972" s="167" t="s">
        <v>4</v>
      </c>
      <c r="H972" s="169">
        <v>1998</v>
      </c>
      <c r="I972" s="170"/>
      <c r="J972" s="166"/>
      <c r="K972" s="166"/>
      <c r="L972" s="166"/>
      <c r="M972" s="166"/>
      <c r="N972" s="196"/>
      <c r="O972" s="166"/>
      <c r="P972" s="172"/>
      <c r="Q972" s="172"/>
      <c r="R972" s="172"/>
      <c r="S972" s="166"/>
      <c r="T972" s="172"/>
      <c r="U972" s="172"/>
      <c r="V972" s="166"/>
      <c r="W972" s="170"/>
      <c r="X972" s="174">
        <v>2430.2516564017628</v>
      </c>
      <c r="Y972" s="175"/>
      <c r="Z972" s="166"/>
      <c r="AA972" s="175"/>
      <c r="AB972" s="175"/>
      <c r="AC972" s="170">
        <f t="shared" si="2863"/>
        <v>0</v>
      </c>
      <c r="AD972" s="170"/>
      <c r="AE972" s="170"/>
      <c r="AF972" s="119"/>
      <c r="AG972" s="174"/>
      <c r="AH972" s="175"/>
      <c r="AI972" s="175"/>
      <c r="AJ972" s="174"/>
      <c r="AK972" s="174"/>
      <c r="AL972" s="120"/>
      <c r="AM972" s="120"/>
      <c r="AN972" s="120"/>
      <c r="AO972" s="120"/>
      <c r="AP972" s="120"/>
      <c r="AQ972" s="175">
        <f>AVERAGE(AQ981:AQ995)</f>
        <v>6.7160837698623053E-3</v>
      </c>
      <c r="AR972" s="120"/>
      <c r="AS972" s="120"/>
      <c r="AT972" s="120"/>
      <c r="AU972" s="120"/>
      <c r="AV972" s="120"/>
      <c r="AW972" s="120"/>
      <c r="AX972" s="120"/>
      <c r="AY972" s="120"/>
      <c r="AZ972" s="118">
        <f>IFERROR(INDEX('Total Customers'!$F$7:$AB$91,MATCH($C972,'Total Customers'!$D$7:$D$91,0),MATCH($G972,'Total Customers'!$F$5:$AB$5,0)),"NA")</f>
        <v>648444</v>
      </c>
      <c r="BA972" s="119"/>
      <c r="BB972" s="119"/>
      <c r="BC972" s="121"/>
      <c r="BD972" s="119"/>
      <c r="BE972" s="119"/>
      <c r="BF972" s="119"/>
      <c r="BG972" s="173"/>
      <c r="BH972" s="173"/>
      <c r="BI972" s="173"/>
      <c r="BJ972" s="173"/>
      <c r="BK972" s="173"/>
      <c r="BL972" s="173"/>
      <c r="BM972" s="173"/>
      <c r="BN972" s="173"/>
      <c r="BO972" s="173"/>
      <c r="BP972" s="173"/>
      <c r="BQ972" s="118">
        <f>INDEX('Gross Dx Plant'!$E$7:$AD$91,MATCH($C972,'Gross Dx Plant'!$D$7:$D$91,0),MATCH(Calculation!$G972,'Gross Dx Plant'!$E$5:$AD$5,0))</f>
        <v>685710</v>
      </c>
      <c r="BR972" s="118">
        <f>INDEX('Gross Gen Plant'!$E$7:$AD$91,MATCH($C972,'Gross Gen Plant'!$D$7:$D$91,0),MATCH(Calculation!$G972,'Gross Gen Plant'!$E$5:$AD$5,0))</f>
        <v>113485</v>
      </c>
      <c r="BS972" s="118">
        <f>INDEX('Dist. Plant Gas Additions'!$F$7:$AE$91,MATCH($C972,'Dist. Plant Gas Additions'!$D$7:$D$91,0),MATCH(Calculation!$G972,'Dist. Plant Gas Additions'!$F$5:$AE$5,0))</f>
        <v>49562</v>
      </c>
      <c r="BT972" s="118">
        <f>INDEX('Gen. Plant Additions'!$F$7:$AE$91,MATCH($C972,'Gen. Plant Additions'!$D$7:$D$91,0),MATCH(Calculation!$G972,'Gen. Plant Additions'!$F$5:$AE$5,0))</f>
        <v>22050</v>
      </c>
      <c r="BU972" s="118" t="e">
        <f>INDEX('Dist Plant Depreciation'!$E$7:$AA$94,MATCH($C972,'Dist Plant Depreciation'!$D$7:$D$94,0),MATCH(#REF!,'Dist Plant Depreciation'!$E$5:$AA$5,0))</f>
        <v>#REF!</v>
      </c>
      <c r="BV972" s="118" t="e">
        <f>INDEX('Gen. Plant Depreciation'!$E$7:$AA$94,MATCH($C972,'Gen. Plant Depreciation'!$D$7:$D$94,0),MATCH(#REF!,'Gen. Plant Depreciation'!$E$5:$AA$5,0))</f>
        <v>#REF!</v>
      </c>
      <c r="BW972" s="118">
        <f>INDEX('Dist Plant Depreciation'!$E$7:$AD$94,MATCH($C972,'Dist Plant Depreciation'!$D$7:$D$94,0),MATCH(Calculation!$G972,'Dist Plant Depreciation'!$E$5:$AD$5,0))</f>
        <v>249659</v>
      </c>
      <c r="BX972" s="118">
        <f>INDEX('Gen. Plant Depreciation'!$E$7:$AD$94,MATCH($C972,'Gen. Plant Depreciation'!$D$7:$D$94,0),MATCH(Calculation!$G972,'Gen. Plant Depreciation'!$E$5:$AD$5,0))</f>
        <v>59307</v>
      </c>
      <c r="BY972" s="118"/>
      <c r="BZ972" s="118"/>
      <c r="CA972" s="118"/>
      <c r="CB972" s="118"/>
      <c r="CC972" s="118"/>
      <c r="CD972" s="183"/>
      <c r="CE972" s="118">
        <f>INDEX('Gross Dx Plant'!$E$7:$AD$91,MATCH($C972,'Gross Dx Plant'!$D$7:$D$91,0),MATCH(Calculation!$G972,'Gross Dx Plant'!$E$5:$AD$5,0))</f>
        <v>685710</v>
      </c>
      <c r="CF972" s="118">
        <f>INDEX('Gross Gen Plant'!$E$7:$AD$91,MATCH($C972,'Gross Gen Plant'!$D$7:$D$91,0),MATCH(Calculation!$G972,'Gross Gen Plant'!$E$5:$AD$5,0))</f>
        <v>113485</v>
      </c>
      <c r="CG972" s="118">
        <f t="shared" si="2806"/>
        <v>490229</v>
      </c>
      <c r="CH972" s="118"/>
      <c r="CI972" s="121">
        <v>1998</v>
      </c>
      <c r="CJ972" s="118">
        <f>BQ972+BR972</f>
        <v>799195</v>
      </c>
      <c r="CK972" s="118">
        <f>249659+59307</f>
        <v>308966</v>
      </c>
      <c r="CL972" s="118">
        <f>+CJ972-CK972</f>
        <v>490229</v>
      </c>
      <c r="CM972" s="118">
        <f>CL972/$CD$36</f>
        <v>2430.2516564017628</v>
      </c>
      <c r="CN972" s="183"/>
      <c r="CO972" s="183"/>
      <c r="CP972" s="186">
        <v>1</v>
      </c>
      <c r="CQ972" s="118">
        <f>+CM972</f>
        <v>2430.2516564017628</v>
      </c>
      <c r="CR972" s="119"/>
      <c r="CS972" s="119"/>
      <c r="CT972" s="177"/>
      <c r="CU972" s="177"/>
      <c r="CV972" s="119" t="e">
        <f>VLOOKUP($H972,RoR!$E:$F,2,FALSE)</f>
        <v>#N/A</v>
      </c>
      <c r="CW972" s="177">
        <v>1.1028127770464469E-2</v>
      </c>
      <c r="CX972" s="177"/>
      <c r="CY972" s="177"/>
      <c r="CZ972" s="177"/>
      <c r="DA972" s="187"/>
      <c r="DB972" s="190" t="e">
        <f>2/(DK972*39)</f>
        <v>#N/A</v>
      </c>
      <c r="DC972" s="188" t="e">
        <f>+(DK972*40-(1+DK972))/(DK972*40)</f>
        <v>#N/A</v>
      </c>
      <c r="DD972" s="188" t="e">
        <f>+(1-(1/(1+DK972)^40))</f>
        <v>#N/A</v>
      </c>
      <c r="DE972" s="188" t="e">
        <f>+DD972*DC972*DB972</f>
        <v>#N/A</v>
      </c>
      <c r="DF972" s="189">
        <f>INDEX('State Tax Lookup'!$D$7:$Z$91,MATCH(Calculation!$C972,'State Tax Lookup'!$B$7:$B$91,0),MATCH($H972,'State Tax Lookup'!$D$6:$Z$6,0))</f>
        <v>0.35</v>
      </c>
      <c r="DG972" s="189">
        <v>0.375</v>
      </c>
      <c r="DH972" s="183"/>
      <c r="DI972" s="183"/>
      <c r="DJ972" s="177"/>
      <c r="DK972" s="189" t="e">
        <f>VLOOKUP($H972,RoR!$E:$F,2,FALSE)</f>
        <v>#N/A</v>
      </c>
      <c r="DL972" s="191">
        <f>HLOOKUP($H972,'GDP-PI'!$D$8:$CQ$11,3,FALSE)</f>
        <v>1.1028127770464469E-2</v>
      </c>
      <c r="DM972" s="189">
        <f>VLOOKUP(H972,'HW Dx Data'!$E:$F,2,FALSE)</f>
        <v>329.24564746449528</v>
      </c>
      <c r="DN972" s="183" t="e">
        <f>VLOOKUP(H972,'ECI - Input Price'!$G$17:$H$37,2,FALSE)</f>
        <v>#N/A</v>
      </c>
      <c r="DO972" s="177"/>
      <c r="DP972" s="183">
        <f>HLOOKUP(H972,'GDP-PI'!$8:$9,2,FALSE)</f>
        <v>75.266999999999996</v>
      </c>
    </row>
    <row r="973" spans="1:121" s="167" customFormat="1" ht="21" x14ac:dyDescent="0.35">
      <c r="A973" s="167" t="s">
        <v>97</v>
      </c>
      <c r="B973" s="167" t="s">
        <v>97</v>
      </c>
      <c r="C973" s="167">
        <v>4057140</v>
      </c>
      <c r="D973" s="168" t="s">
        <v>149</v>
      </c>
      <c r="E973" s="168"/>
      <c r="F973" s="198"/>
      <c r="G973" s="167" t="s">
        <v>5</v>
      </c>
      <c r="H973" s="169">
        <v>1999</v>
      </c>
      <c r="I973" s="170"/>
      <c r="J973" s="166"/>
      <c r="K973" s="170"/>
      <c r="L973" s="170"/>
      <c r="M973" s="166"/>
      <c r="N973" s="173"/>
      <c r="O973" s="170"/>
      <c r="P973" s="177"/>
      <c r="Q973" s="177"/>
      <c r="R973" s="177"/>
      <c r="S973" s="195"/>
      <c r="T973" s="177"/>
      <c r="U973" s="177"/>
      <c r="V973" s="166">
        <f t="shared" ref="V973:V995" si="2895">+CQ972*DH973</f>
        <v>0</v>
      </c>
      <c r="W973" s="170"/>
      <c r="X973" s="174">
        <v>2566.0144307935871</v>
      </c>
      <c r="Y973" s="175">
        <v>5.435907572997839E-2</v>
      </c>
      <c r="Z973" s="175"/>
      <c r="AA973" s="175"/>
      <c r="AB973" s="175"/>
      <c r="AC973" s="170">
        <f t="shared" si="2863"/>
        <v>0</v>
      </c>
      <c r="AD973" s="175"/>
      <c r="AE973" s="170"/>
      <c r="AF973" s="119"/>
      <c r="AG973" s="174"/>
      <c r="AH973" s="175"/>
      <c r="AI973" s="175"/>
      <c r="AJ973" s="174"/>
      <c r="AK973" s="174"/>
      <c r="AL973" s="120"/>
      <c r="AM973" s="120"/>
      <c r="AN973" s="120"/>
      <c r="AO973" s="120"/>
      <c r="AP973" s="120"/>
      <c r="AQ973" s="175"/>
      <c r="AR973" s="120"/>
      <c r="AS973" s="120"/>
      <c r="AT973" s="120"/>
      <c r="AU973" s="120"/>
      <c r="AV973" s="120"/>
      <c r="AW973" s="120"/>
      <c r="AX973" s="120"/>
      <c r="AY973" s="120"/>
      <c r="AZ973" s="118">
        <f>IFERROR(INDEX('Total Customers'!$F$7:$AB$91,MATCH($C973,'Total Customers'!$D$7:$D$91,0),MATCH($G973,'Total Customers'!$F$5:$AB$5,0)),"NA")</f>
        <v>671274</v>
      </c>
      <c r="BA973" s="119">
        <f t="shared" ref="BA973:BA995" si="2896">LN(AZ973/AZ972)</f>
        <v>3.4601752468590381E-2</v>
      </c>
      <c r="BB973" s="119"/>
      <c r="BC973" s="121"/>
      <c r="BD973" s="119"/>
      <c r="BE973" s="119"/>
      <c r="BF973" s="119"/>
      <c r="BG973" s="173"/>
      <c r="BH973" s="173"/>
      <c r="BI973" s="173"/>
      <c r="BJ973" s="173"/>
      <c r="BK973" s="173"/>
      <c r="BL973" s="173"/>
      <c r="BM973" s="173"/>
      <c r="BN973" s="173"/>
      <c r="BO973" s="173"/>
      <c r="BP973" s="173"/>
      <c r="BQ973" s="118"/>
      <c r="BR973" s="118"/>
      <c r="BS973" s="118">
        <f>INDEX('Dist. Plant Gas Additions'!$F$7:$AE$91,MATCH($C973,'Dist. Plant Gas Additions'!$D$7:$D$91,0),MATCH(Calculation!$G973,'Dist. Plant Gas Additions'!$F$5:$AE$5,0))</f>
        <v>40107</v>
      </c>
      <c r="BT973" s="118">
        <f>INDEX('Gen. Plant Additions'!$F$7:$AE$91,MATCH($C973,'Gen. Plant Additions'!$D$7:$D$91,0),MATCH(Calculation!$G973,'Gen. Plant Additions'!$F$5:$AE$5,0))</f>
        <v>9472</v>
      </c>
      <c r="BU973" s="118"/>
      <c r="BV973" s="118"/>
      <c r="BW973" s="118">
        <f>INDEX('Dist Plant Depreciation'!$E$7:$AD$94,MATCH($C973,'Dist Plant Depreciation'!$D$7:$D$94,0),MATCH(Calculation!$G973,'Dist Plant Depreciation'!$E$5:$AD$5,0))</f>
        <v>271133</v>
      </c>
      <c r="BX973" s="118">
        <f>INDEX('Gen. Plant Depreciation'!$E$7:$AD$94,MATCH($C973,'Gen. Plant Depreciation'!$D$7:$D$94,0),MATCH(Calculation!$G973,'Gen. Plant Depreciation'!$E$5:$AD$5,0))</f>
        <v>73735</v>
      </c>
      <c r="BY973" s="118"/>
      <c r="BZ973" s="118"/>
      <c r="CA973" s="118"/>
      <c r="CB973" s="118"/>
      <c r="CC973" s="118"/>
      <c r="CD973" s="183"/>
      <c r="CE973" s="118">
        <f>INDEX('Gross Dx Plant'!$E$7:$AD$91,MATCH($C973,'Gross Dx Plant'!$D$7:$D$91,0),MATCH(Calculation!$G973,'Gross Dx Plant'!$E$5:$AD$5,0))</f>
        <v>725874</v>
      </c>
      <c r="CF973" s="118">
        <f>INDEX('Gross Gen Plant'!$E$7:$AD$91,MATCH($C973,'Gross Gen Plant'!$D$7:$D$91,0),MATCH(Calculation!$G973,'Gross Gen Plant'!$E$5:$AD$5,0))</f>
        <v>119794</v>
      </c>
      <c r="CG973" s="118">
        <f t="shared" si="2806"/>
        <v>500800</v>
      </c>
      <c r="CH973" s="118"/>
      <c r="CI973" s="121">
        <v>1999</v>
      </c>
      <c r="CJ973" s="118"/>
      <c r="CK973" s="118"/>
      <c r="CL973" s="118"/>
      <c r="CM973" s="183"/>
      <c r="CN973" s="118">
        <f t="shared" ref="CN973:CN995" si="2897">+BT973+BS973</f>
        <v>49579</v>
      </c>
      <c r="CO973" s="118">
        <f t="shared" ref="CO973:CO995" si="2898">+CN973/$DM973</f>
        <v>147.85357865252925</v>
      </c>
      <c r="CP973" s="186">
        <v>0.99502487562189057</v>
      </c>
      <c r="CQ973" s="118">
        <f>+CQ972*CP973+CO973</f>
        <v>2566.0144307935871</v>
      </c>
      <c r="CR973" s="119">
        <f t="shared" ref="CR973:CR994" si="2899">LN(CQ973/CQ972)</f>
        <v>5.435907572997839E-2</v>
      </c>
      <c r="CS973" s="119"/>
      <c r="CT973" s="177">
        <f t="shared" ref="CT973:CT995" si="2900">+(CQ972-CQ973+CO973)/CQ972</f>
        <v>4.975124378109346E-3</v>
      </c>
      <c r="CU973" s="177"/>
      <c r="CV973" s="119">
        <f>VLOOKUP($H973,RoR!$E:$F,2,FALSE)</f>
        <v>7.0416666666666669E-2</v>
      </c>
      <c r="CW973" s="177">
        <v>1.4335631817396832E-2</v>
      </c>
      <c r="CX973" s="177">
        <f>+CV973-CW973</f>
        <v>5.6081034849269837E-2</v>
      </c>
      <c r="CY973" s="177"/>
      <c r="CZ973" s="177"/>
      <c r="DA973" s="187">
        <f t="shared" ref="DA973:DA995" si="2901">1-DF973*DG973</f>
        <v>0.86875000000000002</v>
      </c>
      <c r="DB973" s="188">
        <f t="shared" ref="DB973:DB995" si="2902">2/(DK973*39)</f>
        <v>0.72826581702321336</v>
      </c>
      <c r="DC973" s="188">
        <f t="shared" ref="DC973:DC995" si="2903">+(DK973*40-(1+DK973))/(DK973*40)</f>
        <v>0.61997041420118348</v>
      </c>
      <c r="DD973" s="188">
        <f t="shared" ref="DD973:DD995" si="2904">+(1-(1/(1+DK973)^40))</f>
        <v>0.93425155319585029</v>
      </c>
      <c r="DE973" s="188">
        <f t="shared" ref="DE973:DE995" si="2905">+DD973*DC973*DB973</f>
        <v>0.42181762214141483</v>
      </c>
      <c r="DF973" s="189">
        <f>INDEX('State Tax Lookup'!$D$7:$Z$91,MATCH(Calculation!$C973,'State Tax Lookup'!$B$7:$B$91,0),MATCH($H973,'State Tax Lookup'!$D$6:$Z$6,0))</f>
        <v>0.35</v>
      </c>
      <c r="DG973" s="189">
        <v>0.375</v>
      </c>
      <c r="DH973" s="190"/>
      <c r="DI973" s="190"/>
      <c r="DJ973" s="177"/>
      <c r="DK973" s="189">
        <f>VLOOKUP($H973,RoR!$E:$F,2,FALSE)</f>
        <v>7.0416666666666669E-2</v>
      </c>
      <c r="DL973" s="191">
        <f>HLOOKUP($H973,'GDP-PI'!$D$8:$CQ$11,3,FALSE)</f>
        <v>1.4335631817396832E-2</v>
      </c>
      <c r="DM973" s="189">
        <f>VLOOKUP(H973,'HW Dx Data'!$E:$F,2,FALSE)</f>
        <v>335.32499146683239</v>
      </c>
      <c r="DN973" s="183" t="e">
        <f>VLOOKUP(H973,'ECI - Input Price'!$G$17:$H$37,2,FALSE)</f>
        <v>#N/A</v>
      </c>
      <c r="DO973" s="177"/>
      <c r="DP973" s="183">
        <f>HLOOKUP(H973,'GDP-PI'!$8:$9,2,FALSE)</f>
        <v>76.346000000000004</v>
      </c>
    </row>
    <row r="974" spans="1:121" s="167" customFormat="1" ht="21" x14ac:dyDescent="0.35">
      <c r="A974" s="167" t="s">
        <v>97</v>
      </c>
      <c r="B974" s="167" t="s">
        <v>97</v>
      </c>
      <c r="C974" s="167">
        <v>4057140</v>
      </c>
      <c r="D974" s="168" t="s">
        <v>149</v>
      </c>
      <c r="E974" s="168"/>
      <c r="F974" s="198"/>
      <c r="G974" s="167" t="s">
        <v>6</v>
      </c>
      <c r="H974" s="169">
        <v>2000</v>
      </c>
      <c r="I974" s="170"/>
      <c r="J974" s="166"/>
      <c r="K974" s="166"/>
      <c r="L974" s="166"/>
      <c r="M974" s="166"/>
      <c r="N974" s="196"/>
      <c r="O974" s="166"/>
      <c r="P974" s="166"/>
      <c r="Q974" s="166"/>
      <c r="R974" s="166"/>
      <c r="S974" s="166"/>
      <c r="T974" s="166"/>
      <c r="U974" s="166"/>
      <c r="V974" s="166">
        <f t="shared" si="2895"/>
        <v>0</v>
      </c>
      <c r="W974" s="170"/>
      <c r="X974" s="174">
        <v>2868.7533873116708</v>
      </c>
      <c r="Y974" s="175">
        <v>0.11152368556277686</v>
      </c>
      <c r="Z974" s="175"/>
      <c r="AA974" s="175"/>
      <c r="AB974" s="175"/>
      <c r="AC974" s="170">
        <f t="shared" si="2863"/>
        <v>0</v>
      </c>
      <c r="AD974" s="175"/>
      <c r="AE974" s="170"/>
      <c r="AF974" s="170"/>
      <c r="AG974" s="174"/>
      <c r="AH974" s="175"/>
      <c r="AI974" s="175"/>
      <c r="AJ974" s="174"/>
      <c r="AK974" s="174"/>
      <c r="AL974" s="120"/>
      <c r="AM974" s="120"/>
      <c r="AN974" s="120"/>
      <c r="AO974" s="120"/>
      <c r="AP974" s="120"/>
      <c r="AQ974" s="175"/>
      <c r="AR974" s="120"/>
      <c r="AS974" s="120"/>
      <c r="AT974" s="120"/>
      <c r="AU974" s="120"/>
      <c r="AV974" s="120"/>
      <c r="AW974" s="120"/>
      <c r="AX974" s="120"/>
      <c r="AY974" s="120"/>
      <c r="AZ974" s="118">
        <f>IFERROR(INDEX('Total Customers'!$F$7:$AB$91,MATCH($C974,'Total Customers'!$D$7:$D$91,0),MATCH($G974,'Total Customers'!$F$5:$AB$5,0)),"NA")</f>
        <v>706007</v>
      </c>
      <c r="BA974" s="119">
        <f t="shared" si="2896"/>
        <v>5.044775308440029E-2</v>
      </c>
      <c r="BB974" s="119"/>
      <c r="BC974" s="121"/>
      <c r="BD974" s="119"/>
      <c r="BE974" s="119"/>
      <c r="BF974" s="119"/>
      <c r="BG974" s="173"/>
      <c r="BH974" s="173"/>
      <c r="BI974" s="173"/>
      <c r="BJ974" s="173"/>
      <c r="BK974" s="173"/>
      <c r="BL974" s="173"/>
      <c r="BM974" s="173"/>
      <c r="BN974" s="173"/>
      <c r="BO974" s="173"/>
      <c r="BP974" s="173"/>
      <c r="BQ974" s="118"/>
      <c r="BR974" s="118"/>
      <c r="BS974" s="118">
        <f>INDEX('Dist. Plant Gas Additions'!$F$7:$AE$91,MATCH($C974,'Dist. Plant Gas Additions'!$D$7:$D$91,0),MATCH(Calculation!$G974,'Dist. Plant Gas Additions'!$F$5:$AE$5,0))</f>
        <v>95334</v>
      </c>
      <c r="BT974" s="118">
        <f>INDEX('Gen. Plant Additions'!$F$7:$AE$91,MATCH($C974,'Gen. Plant Additions'!$D$7:$D$91,0),MATCH(Calculation!$G974,'Gen. Plant Additions'!$F$5:$AE$5,0))</f>
        <v>14147</v>
      </c>
      <c r="BU974" s="118"/>
      <c r="BV974" s="118"/>
      <c r="BW974" s="118">
        <f>INDEX('Dist Plant Depreciation'!$E$7:$AD$94,MATCH($C974,'Dist Plant Depreciation'!$D$7:$D$94,0),MATCH(Calculation!$G974,'Dist Plant Depreciation'!$E$5:$AD$5,0))</f>
        <v>292616</v>
      </c>
      <c r="BX974" s="118">
        <f>INDEX('Gen. Plant Depreciation'!$E$7:$AD$94,MATCH($C974,'Gen. Plant Depreciation'!$D$7:$D$94,0),MATCH(Calculation!$G974,'Gen. Plant Depreciation'!$E$5:$AD$5,0))</f>
        <v>75710</v>
      </c>
      <c r="BY974" s="118"/>
      <c r="BZ974" s="118"/>
      <c r="CA974" s="118"/>
      <c r="CB974" s="118"/>
      <c r="CC974" s="118"/>
      <c r="CD974" s="183"/>
      <c r="CE974" s="118">
        <f>INDEX('Gross Dx Plant'!$E$7:$AD$91,MATCH($C974,'Gross Dx Plant'!$D$7:$D$91,0),MATCH(Calculation!$G974,'Gross Dx Plant'!$E$5:$AD$5,0))</f>
        <v>818802</v>
      </c>
      <c r="CF974" s="118">
        <f>INDEX('Gross Gen Plant'!$E$7:$AD$91,MATCH($C974,'Gross Gen Plant'!$D$7:$D$91,0),MATCH(Calculation!$G974,'Gross Gen Plant'!$E$5:$AD$5,0))</f>
        <v>124337</v>
      </c>
      <c r="CG974" s="118">
        <f t="shared" si="2806"/>
        <v>574813</v>
      </c>
      <c r="CH974" s="118"/>
      <c r="CI974" s="121">
        <v>2000</v>
      </c>
      <c r="CJ974" s="118"/>
      <c r="CK974" s="118"/>
      <c r="CL974" s="118"/>
      <c r="CM974" s="183"/>
      <c r="CN974" s="118">
        <f t="shared" si="2897"/>
        <v>109481</v>
      </c>
      <c r="CO974" s="118">
        <f t="shared" si="2898"/>
        <v>315.93173873023443</v>
      </c>
      <c r="CP974" s="186">
        <v>0.98989898989898994</v>
      </c>
      <c r="CQ974" s="118">
        <f>+CQ972*CP974+CO973*CP973+CO974</f>
        <v>2868.7533873116708</v>
      </c>
      <c r="CR974" s="119">
        <f t="shared" si="2899"/>
        <v>0.11152368556277686</v>
      </c>
      <c r="CS974" s="119"/>
      <c r="CT974" s="177">
        <f t="shared" si="2900"/>
        <v>5.1413515270335103E-3</v>
      </c>
      <c r="CU974" s="177"/>
      <c r="CV974" s="119">
        <f>VLOOKUP($H974,RoR!$E:$F,2,FALSE)</f>
        <v>7.6225000000000001E-2</v>
      </c>
      <c r="CW974" s="177">
        <v>2.2568307442433211E-2</v>
      </c>
      <c r="CX974" s="177">
        <f t="shared" ref="CX974:CX994" si="2906">+CV974-CW974</f>
        <v>5.365669255756679E-2</v>
      </c>
      <c r="CY974" s="177"/>
      <c r="CZ974" s="177"/>
      <c r="DA974" s="187">
        <f t="shared" si="2901"/>
        <v>0.86875000000000002</v>
      </c>
      <c r="DB974" s="188">
        <f t="shared" si="2902"/>
        <v>0.67277207323124022</v>
      </c>
      <c r="DC974" s="188">
        <f t="shared" si="2903"/>
        <v>0.6470236142997704</v>
      </c>
      <c r="DD974" s="188">
        <f t="shared" si="2904"/>
        <v>0.94704866037543145</v>
      </c>
      <c r="DE974" s="188">
        <f t="shared" si="2905"/>
        <v>0.41224973107878493</v>
      </c>
      <c r="DF974" s="189">
        <f>INDEX('State Tax Lookup'!$D$7:$Z$91,MATCH(Calculation!$C974,'State Tax Lookup'!$B$7:$B$91,0),MATCH($H974,'State Tax Lookup'!$D$6:$Z$6,0))</f>
        <v>0.35</v>
      </c>
      <c r="DG974" s="189">
        <v>0.375</v>
      </c>
      <c r="DH974" s="190"/>
      <c r="DI974" s="190"/>
      <c r="DJ974" s="177"/>
      <c r="DK974" s="189">
        <f>VLOOKUP($H974,RoR!$E:$F,2,FALSE)</f>
        <v>7.6225000000000001E-2</v>
      </c>
      <c r="DL974" s="191">
        <f>HLOOKUP($H974,'GDP-PI'!$D$8:$CQ$11,3,FALSE)</f>
        <v>2.2568307442433211E-2</v>
      </c>
      <c r="DM974" s="189">
        <f>VLOOKUP(H974,'HW Dx Data'!$E:$F,2,FALSE)</f>
        <v>346.53371782150339</v>
      </c>
      <c r="DN974" s="183" t="e">
        <f>VLOOKUP(H974,'ECI - Input Price'!$G$17:$H$37,2,FALSE)</f>
        <v>#N/A</v>
      </c>
      <c r="DO974" s="177"/>
      <c r="DP974" s="183">
        <f>HLOOKUP(H974,'GDP-PI'!$8:$9,2,FALSE)</f>
        <v>78.069000000000003</v>
      </c>
    </row>
    <row r="975" spans="1:121" s="167" customFormat="1" ht="21" x14ac:dyDescent="0.35">
      <c r="A975" s="167" t="s">
        <v>97</v>
      </c>
      <c r="B975" s="167" t="s">
        <v>97</v>
      </c>
      <c r="C975" s="167">
        <v>4057140</v>
      </c>
      <c r="D975" s="168" t="s">
        <v>149</v>
      </c>
      <c r="E975" s="168"/>
      <c r="F975" s="198"/>
      <c r="G975" s="167" t="s">
        <v>7</v>
      </c>
      <c r="H975" s="169">
        <v>2001</v>
      </c>
      <c r="I975" s="170"/>
      <c r="J975" s="166"/>
      <c r="K975" s="166"/>
      <c r="L975" s="166"/>
      <c r="M975" s="166"/>
      <c r="N975" s="196"/>
      <c r="O975" s="166"/>
      <c r="P975" s="166"/>
      <c r="Q975" s="166"/>
      <c r="R975" s="166"/>
      <c r="S975" s="166"/>
      <c r="T975" s="166"/>
      <c r="U975" s="166"/>
      <c r="V975" s="166">
        <f t="shared" si="2895"/>
        <v>35074.931873294699</v>
      </c>
      <c r="W975" s="170"/>
      <c r="X975" s="174">
        <v>3068.5983864350897</v>
      </c>
      <c r="Y975" s="175">
        <v>6.7343330109602167E-2</v>
      </c>
      <c r="Z975" s="175"/>
      <c r="AA975" s="175"/>
      <c r="AB975" s="175"/>
      <c r="AC975" s="170">
        <f t="shared" si="2863"/>
        <v>35074.931873294699</v>
      </c>
      <c r="AD975" s="175"/>
      <c r="AE975" s="170"/>
      <c r="AF975" s="170"/>
      <c r="AG975" s="174"/>
      <c r="AH975" s="175"/>
      <c r="AI975" s="175"/>
      <c r="AJ975" s="174"/>
      <c r="AK975" s="174"/>
      <c r="AL975" s="120"/>
      <c r="AM975" s="120"/>
      <c r="AN975" s="120"/>
      <c r="AO975" s="120"/>
      <c r="AP975" s="120"/>
      <c r="AQ975" s="175"/>
      <c r="AR975" s="120"/>
      <c r="AS975" s="120"/>
      <c r="AT975" s="120"/>
      <c r="AU975" s="120"/>
      <c r="AV975" s="120"/>
      <c r="AW975" s="120"/>
      <c r="AX975" s="120"/>
      <c r="AY975" s="120"/>
      <c r="AZ975" s="118">
        <f>IFERROR(INDEX('Total Customers'!$F$7:$AB$91,MATCH($C975,'Total Customers'!$D$7:$D$91,0),MATCH($G975,'Total Customers'!$F$5:$AB$5,0)),"NA")</f>
        <v>732756</v>
      </c>
      <c r="BA975" s="119">
        <f t="shared" si="2896"/>
        <v>3.7187615430852049E-2</v>
      </c>
      <c r="BB975" s="119"/>
      <c r="BC975" s="121"/>
      <c r="BD975" s="119"/>
      <c r="BE975" s="119"/>
      <c r="BF975" s="119"/>
      <c r="BG975" s="173"/>
      <c r="BH975" s="173"/>
      <c r="BI975" s="173"/>
      <c r="BJ975" s="173"/>
      <c r="BK975" s="173"/>
      <c r="BL975" s="173"/>
      <c r="BM975" s="173"/>
      <c r="BN975" s="173"/>
      <c r="BO975" s="173"/>
      <c r="BP975" s="173"/>
      <c r="BQ975" s="118"/>
      <c r="BR975" s="118"/>
      <c r="BS975" s="118">
        <f>INDEX('Dist. Plant Gas Additions'!$F$7:$AE$91,MATCH($C975,'Dist. Plant Gas Additions'!$D$7:$D$91,0),MATCH(Calculation!$G975,'Dist. Plant Gas Additions'!$F$5:$AE$5,0))</f>
        <v>56613</v>
      </c>
      <c r="BT975" s="118">
        <f>INDEX('Gen. Plant Additions'!$F$7:$AE$91,MATCH($C975,'Gen. Plant Additions'!$D$7:$D$91,0),MATCH(Calculation!$G975,'Gen. Plant Additions'!$F$5:$AE$5,0))</f>
        <v>18828</v>
      </c>
      <c r="BU975" s="118"/>
      <c r="BV975" s="118"/>
      <c r="BW975" s="118">
        <f>INDEX('Dist Plant Depreciation'!$E$7:$AD$94,MATCH($C975,'Dist Plant Depreciation'!$D$7:$D$94,0),MATCH(Calculation!$G975,'Dist Plant Depreciation'!$E$5:$AD$5,0))</f>
        <v>84751</v>
      </c>
      <c r="BX975" s="118">
        <f>INDEX('Gen. Plant Depreciation'!$E$7:$AD$94,MATCH($C975,'Gen. Plant Depreciation'!$D$7:$D$94,0),MATCH(Calculation!$G975,'Gen. Plant Depreciation'!$E$5:$AD$5,0))</f>
        <v>323836</v>
      </c>
      <c r="BY975" s="118"/>
      <c r="BZ975" s="118"/>
      <c r="CA975" s="118"/>
      <c r="CB975" s="118"/>
      <c r="CC975" s="118"/>
      <c r="CD975" s="183"/>
      <c r="CE975" s="118">
        <f>INDEX('Gross Dx Plant'!$E$7:$AD$91,MATCH($C975,'Gross Dx Plant'!$D$7:$D$91,0),MATCH(Calculation!$G975,'Gross Dx Plant'!$E$5:$AD$5,0))</f>
        <v>875415</v>
      </c>
      <c r="CF975" s="118">
        <f>INDEX('Gross Gen Plant'!$E$7:$AD$91,MATCH($C975,'Gross Gen Plant'!$D$7:$D$91,0),MATCH(Calculation!$G975,'Gross Gen Plant'!$E$5:$AD$5,0))</f>
        <v>137650</v>
      </c>
      <c r="CG975" s="118">
        <f t="shared" si="2806"/>
        <v>604478</v>
      </c>
      <c r="CH975" s="118"/>
      <c r="CI975" s="121">
        <v>2001</v>
      </c>
      <c r="CJ975" s="118"/>
      <c r="CK975" s="118"/>
      <c r="CL975" s="118"/>
      <c r="CM975" s="183"/>
      <c r="CN975" s="118">
        <f t="shared" si="2897"/>
        <v>75441</v>
      </c>
      <c r="CO975" s="118">
        <f t="shared" si="2898"/>
        <v>213.44337016356835</v>
      </c>
      <c r="CP975" s="186">
        <v>0.98461538461538467</v>
      </c>
      <c r="CQ975" s="118">
        <f>+CQ972*CP975+CO973*CP974+CO974*CP972+CO975</f>
        <v>3068.5983864350897</v>
      </c>
      <c r="CR975" s="119">
        <f t="shared" si="2899"/>
        <v>6.7343330109602167E-2</v>
      </c>
      <c r="CS975" s="119"/>
      <c r="CT975" s="177">
        <f t="shared" si="2900"/>
        <v>4.7401673145884022E-3</v>
      </c>
      <c r="CU975" s="177">
        <f>+(CT975+CT974+CT973)/3</f>
        <v>4.952214406577087E-3</v>
      </c>
      <c r="CV975" s="119">
        <f>VLOOKUP($H975,RoR!$E:$F,2,FALSE)</f>
        <v>7.0824999999999999E-2</v>
      </c>
      <c r="CW975" s="177">
        <v>2.2454495382290052E-2</v>
      </c>
      <c r="CX975" s="177">
        <f t="shared" si="2906"/>
        <v>4.8370504617709947E-2</v>
      </c>
      <c r="CY975" s="177">
        <f>+$CX$35-CU975</f>
        <v>2.5949727201956537E-2</v>
      </c>
      <c r="CZ975" s="177">
        <f>+((DM973/DM972-1)+(DM974/DM973-1)+(DM975/DM974-1))/3</f>
        <v>2.3947275901631187E-2</v>
      </c>
      <c r="DA975" s="187">
        <f t="shared" si="2901"/>
        <v>0.86875000000000002</v>
      </c>
      <c r="DB975" s="188">
        <f t="shared" si="2902"/>
        <v>0.72406708481540816</v>
      </c>
      <c r="DC975" s="188">
        <f t="shared" si="2903"/>
        <v>0.62201729615248857</v>
      </c>
      <c r="DD975" s="188">
        <f t="shared" si="2904"/>
        <v>0.9352469954311422</v>
      </c>
      <c r="DE975" s="188">
        <f t="shared" si="2905"/>
        <v>0.42121864641655071</v>
      </c>
      <c r="DF975" s="189">
        <f>INDEX('State Tax Lookup'!$D$7:$Z$91,MATCH(Calculation!$C975,'State Tax Lookup'!$B$7:$B$91,0),MATCH($H975,'State Tax Lookup'!$D$6:$Z$6,0))</f>
        <v>0.35</v>
      </c>
      <c r="DG975" s="189">
        <v>0.375</v>
      </c>
      <c r="DH975" s="190">
        <f t="shared" ref="DH975:DH995" si="2907">+(DM975*CY975-CZ975)*DA975/(1-DF975)</f>
        <v>12.226541336187726</v>
      </c>
      <c r="DI975" s="190"/>
      <c r="DJ975" s="177"/>
      <c r="DK975" s="189">
        <f>VLOOKUP($H975,RoR!$E:$F,2,FALSE)</f>
        <v>7.0824999999999999E-2</v>
      </c>
      <c r="DL975" s="191">
        <f>HLOOKUP($H975,'GDP-PI'!$D$8:$CQ$11,3,FALSE)</f>
        <v>2.2454495382290052E-2</v>
      </c>
      <c r="DM975" s="189">
        <f>VLOOKUP(H975,'HW Dx Data'!$E:$F,2,FALSE)</f>
        <v>353.44738017483138</v>
      </c>
      <c r="DN975" s="183">
        <f>VLOOKUP(H975,'ECI - Input Price'!$G$17:$H$37,2,FALSE)</f>
        <v>86.2</v>
      </c>
      <c r="DO975" s="177"/>
      <c r="DP975" s="183">
        <f>HLOOKUP(H975,'GDP-PI'!$8:$9,2,FALSE)</f>
        <v>79.822000000000003</v>
      </c>
    </row>
    <row r="976" spans="1:121" s="167" customFormat="1" ht="21" x14ac:dyDescent="0.35">
      <c r="A976" s="167" t="s">
        <v>97</v>
      </c>
      <c r="B976" s="167" t="s">
        <v>97</v>
      </c>
      <c r="C976" s="167">
        <v>4057140</v>
      </c>
      <c r="D976" s="168" t="s">
        <v>149</v>
      </c>
      <c r="E976" s="168"/>
      <c r="F976" s="198"/>
      <c r="G976" s="167" t="s">
        <v>8</v>
      </c>
      <c r="H976" s="169">
        <v>2002</v>
      </c>
      <c r="I976" s="170"/>
      <c r="J976" s="166"/>
      <c r="K976" s="166"/>
      <c r="L976" s="166"/>
      <c r="M976" s="166"/>
      <c r="N976" s="196"/>
      <c r="O976" s="166"/>
      <c r="P976" s="166"/>
      <c r="Q976" s="166"/>
      <c r="R976" s="166"/>
      <c r="S976" s="166"/>
      <c r="T976" s="166"/>
      <c r="U976" s="166"/>
      <c r="V976" s="166">
        <f t="shared" si="2895"/>
        <v>37869.415563253002</v>
      </c>
      <c r="W976" s="170"/>
      <c r="X976" s="174">
        <v>3296.3398701488386</v>
      </c>
      <c r="Y976" s="175">
        <v>7.1591816976495942E-2</v>
      </c>
      <c r="Z976" s="175"/>
      <c r="AA976" s="175"/>
      <c r="AB976" s="175"/>
      <c r="AC976" s="170">
        <f t="shared" si="2863"/>
        <v>37869.415563253002</v>
      </c>
      <c r="AD976" s="175"/>
      <c r="AE976" s="170"/>
      <c r="AF976" s="170"/>
      <c r="AG976" s="174"/>
      <c r="AH976" s="175"/>
      <c r="AI976" s="175"/>
      <c r="AJ976" s="174"/>
      <c r="AK976" s="174"/>
      <c r="AL976" s="120"/>
      <c r="AM976" s="120"/>
      <c r="AN976" s="120"/>
      <c r="AO976" s="120"/>
      <c r="AP976" s="120"/>
      <c r="AQ976" s="175"/>
      <c r="AR976" s="120"/>
      <c r="AS976" s="120"/>
      <c r="AT976" s="120"/>
      <c r="AU976" s="120"/>
      <c r="AV976" s="120"/>
      <c r="AW976" s="120"/>
      <c r="AX976" s="120"/>
      <c r="AY976" s="120"/>
      <c r="AZ976" s="118">
        <f>IFERROR(INDEX('Total Customers'!$F$7:$AB$91,MATCH($C976,'Total Customers'!$D$7:$D$91,0),MATCH($G976,'Total Customers'!$F$5:$AB$5,0)),"NA")</f>
        <v>735847</v>
      </c>
      <c r="BA976" s="119">
        <f t="shared" si="2896"/>
        <v>4.2094487948560891E-3</v>
      </c>
      <c r="BB976" s="119"/>
      <c r="BC976" s="121"/>
      <c r="BD976" s="119"/>
      <c r="BE976" s="119"/>
      <c r="BF976" s="119"/>
      <c r="BG976" s="173"/>
      <c r="BH976" s="173"/>
      <c r="BI976" s="173"/>
      <c r="BJ976" s="173"/>
      <c r="BK976" s="173"/>
      <c r="BL976" s="173"/>
      <c r="BM976" s="173"/>
      <c r="BN976" s="173"/>
      <c r="BO976" s="173"/>
      <c r="BP976" s="173"/>
      <c r="BQ976" s="118"/>
      <c r="BR976" s="118"/>
      <c r="BS976" s="118">
        <f>INDEX('Dist. Plant Gas Additions'!$F$7:$AE$91,MATCH($C976,'Dist. Plant Gas Additions'!$D$7:$D$91,0),MATCH(Calculation!$G976,'Dist. Plant Gas Additions'!$F$5:$AE$5,0))</f>
        <v>78626</v>
      </c>
      <c r="BT976" s="118">
        <f>INDEX('Gen. Plant Additions'!$F$7:$AE$91,MATCH($C976,'Gen. Plant Additions'!$D$7:$D$91,0),MATCH(Calculation!$G976,'Gen. Plant Additions'!$F$5:$AE$5,0))</f>
        <v>10272</v>
      </c>
      <c r="BU976" s="118"/>
      <c r="BV976" s="118"/>
      <c r="BW976" s="118" t="str">
        <f>INDEX('Dist Plant Depreciation'!$E$7:$AD$94,MATCH($C976,'Dist Plant Depreciation'!$D$7:$D$94,0),MATCH(Calculation!$G976,'Dist Plant Depreciation'!$E$5:$AD$5,0))</f>
        <v>NA</v>
      </c>
      <c r="BX976" s="118" t="str">
        <f>INDEX('Gen. Plant Depreciation'!$E$7:$AD$94,MATCH($C976,'Gen. Plant Depreciation'!$D$7:$D$94,0),MATCH(Calculation!$G976,'Gen. Plant Depreciation'!$E$5:$AD$5,0))</f>
        <v>NA</v>
      </c>
      <c r="BY976" s="118"/>
      <c r="BZ976" s="118"/>
      <c r="CA976" s="118"/>
      <c r="CB976" s="118"/>
      <c r="CC976" s="118"/>
      <c r="CD976" s="183"/>
      <c r="CE976" s="118">
        <f>INDEX('Gross Dx Plant'!$E$7:$AD$91,MATCH($C976,'Gross Dx Plant'!$D$7:$D$91,0),MATCH(Calculation!$G976,'Gross Dx Plant'!$E$5:$AD$5,0))</f>
        <v>941645</v>
      </c>
      <c r="CF976" s="118">
        <f>INDEX('Gross Gen Plant'!$E$7:$AD$91,MATCH($C976,'Gross Gen Plant'!$D$7:$D$91,0),MATCH(Calculation!$G976,'Gross Gen Plant'!$E$5:$AD$5,0))</f>
        <v>142668</v>
      </c>
      <c r="CG976" s="118" t="str">
        <f t="shared" si="2806"/>
        <v>NA</v>
      </c>
      <c r="CH976" s="118"/>
      <c r="CI976" s="121">
        <v>2002</v>
      </c>
      <c r="CJ976" s="118"/>
      <c r="CK976" s="118"/>
      <c r="CL976" s="118"/>
      <c r="CM976" s="183"/>
      <c r="CN976" s="118">
        <f t="shared" si="2897"/>
        <v>88898</v>
      </c>
      <c r="CO976" s="118">
        <f t="shared" si="2898"/>
        <v>246.01757648164519</v>
      </c>
      <c r="CP976" s="186">
        <v>0.97916666666666663</v>
      </c>
      <c r="CQ976" s="118">
        <f>+CQ972*CP976+CO973*CP975+CO974*CP974+CO975*CP973+CO976</f>
        <v>3296.3398701488386</v>
      </c>
      <c r="CR976" s="119">
        <f t="shared" si="2899"/>
        <v>7.1591816976495942E-2</v>
      </c>
      <c r="CS976" s="119"/>
      <c r="CT976" s="177">
        <f t="shared" si="2900"/>
        <v>5.955843830423275E-3</v>
      </c>
      <c r="CU976" s="177">
        <f t="shared" ref="CU976:CU995" si="2908">+(CT976+CT975+CT974)/3</f>
        <v>5.2791208906817289E-3</v>
      </c>
      <c r="CV976" s="119">
        <f>VLOOKUP($H976,RoR!$E:$F,2,FALSE)</f>
        <v>6.4916666666666664E-2</v>
      </c>
      <c r="CW976" s="177">
        <v>1.5246423291824351E-2</v>
      </c>
      <c r="CX976" s="177">
        <f t="shared" si="2906"/>
        <v>4.9670243374842313E-2</v>
      </c>
      <c r="CY976" s="177">
        <f t="shared" ref="CY976:CY995" si="2909">+$CX$35-CU976</f>
        <v>2.5622820717851897E-2</v>
      </c>
      <c r="CZ976" s="177">
        <f t="shared" ref="CZ976:CZ995" si="2910">+((DM974/DM973-1)+(DM975/DM974-1)+(DM976/DM975-1))/3</f>
        <v>2.5243621214759093E-2</v>
      </c>
      <c r="DA976" s="187">
        <f t="shared" si="2901"/>
        <v>0.86875000000000002</v>
      </c>
      <c r="DB976" s="188">
        <f t="shared" si="2902"/>
        <v>0.78996741384417901</v>
      </c>
      <c r="DC976" s="188">
        <f t="shared" si="2903"/>
        <v>0.58989088575096271</v>
      </c>
      <c r="DD976" s="188">
        <f t="shared" si="2904"/>
        <v>0.91920675783645744</v>
      </c>
      <c r="DE976" s="188">
        <f t="shared" si="2905"/>
        <v>0.42834536472275586</v>
      </c>
      <c r="DF976" s="189">
        <f>INDEX('State Tax Lookup'!$D$7:$Z$91,MATCH(Calculation!$C976,'State Tax Lookup'!$B$7:$B$91,0),MATCH($H976,'State Tax Lookup'!$D$6:$Z$6,0))</f>
        <v>0.35</v>
      </c>
      <c r="DG976" s="189">
        <v>0.375</v>
      </c>
      <c r="DH976" s="190">
        <f t="shared" si="2907"/>
        <v>12.340948796250713</v>
      </c>
      <c r="DI976" s="190"/>
      <c r="DJ976" s="177"/>
      <c r="DK976" s="189">
        <f>VLOOKUP($H976,RoR!$E:$F,2,FALSE)</f>
        <v>6.4916666666666664E-2</v>
      </c>
      <c r="DL976" s="191">
        <f>HLOOKUP($H976,'GDP-PI'!$D$8:$CQ$11,3,FALSE)</f>
        <v>1.5246423291824351E-2</v>
      </c>
      <c r="DM976" s="189">
        <f>VLOOKUP(H976,'HW Dx Data'!$E:$F,2,FALSE)</f>
        <v>361.34816573413599</v>
      </c>
      <c r="DN976" s="183">
        <f>VLOOKUP(H976,'ECI - Input Price'!$G$17:$H$37,2,FALSE)</f>
        <v>89.275000000000006</v>
      </c>
      <c r="DO976" s="177">
        <f>LN(DN976/DN975)</f>
        <v>3.5051315810864674E-2</v>
      </c>
      <c r="DP976" s="183">
        <f>HLOOKUP(H976,'GDP-PI'!$8:$9,2,FALSE)</f>
        <v>81.039000000000001</v>
      </c>
      <c r="DQ976" s="177">
        <f>LN(DP976/DP975)</f>
        <v>1.513136459537477E-2</v>
      </c>
    </row>
    <row r="977" spans="1:121" s="167" customFormat="1" ht="21" x14ac:dyDescent="0.35">
      <c r="A977" s="167" t="s">
        <v>97</v>
      </c>
      <c r="B977" s="167" t="s">
        <v>97</v>
      </c>
      <c r="C977" s="167">
        <v>4057140</v>
      </c>
      <c r="D977" s="168" t="s">
        <v>149</v>
      </c>
      <c r="E977" s="168"/>
      <c r="F977" s="198"/>
      <c r="G977" s="167" t="s">
        <v>9</v>
      </c>
      <c r="H977" s="169">
        <v>2003</v>
      </c>
      <c r="I977" s="170"/>
      <c r="J977" s="166"/>
      <c r="K977" s="166"/>
      <c r="L977" s="166"/>
      <c r="M977" s="172"/>
      <c r="N977" s="196"/>
      <c r="O977" s="172"/>
      <c r="P977" s="166"/>
      <c r="Q977" s="166"/>
      <c r="R977" s="166"/>
      <c r="S977" s="166"/>
      <c r="T977" s="166"/>
      <c r="U977" s="166"/>
      <c r="V977" s="166">
        <f t="shared" si="2895"/>
        <v>41339.128282660065</v>
      </c>
      <c r="W977" s="170"/>
      <c r="X977" s="174">
        <v>3458.930383188112</v>
      </c>
      <c r="Y977" s="175">
        <v>4.8146680795429553E-2</v>
      </c>
      <c r="Z977" s="175"/>
      <c r="AA977" s="175"/>
      <c r="AB977" s="175"/>
      <c r="AC977" s="170">
        <f t="shared" si="2863"/>
        <v>41339.128282660065</v>
      </c>
      <c r="AD977" s="175"/>
      <c r="AE977" s="170"/>
      <c r="AF977" s="170"/>
      <c r="AG977" s="174"/>
      <c r="AH977" s="175"/>
      <c r="AI977" s="175"/>
      <c r="AJ977" s="174"/>
      <c r="AK977" s="174"/>
      <c r="AL977" s="120"/>
      <c r="AM977" s="120"/>
      <c r="AN977" s="120"/>
      <c r="AO977" s="120"/>
      <c r="AP977" s="120"/>
      <c r="AQ977" s="175"/>
      <c r="AR977" s="120"/>
      <c r="AS977" s="120"/>
      <c r="AT977" s="120"/>
      <c r="AU977" s="120"/>
      <c r="AV977" s="120"/>
      <c r="AW977" s="120"/>
      <c r="AX977" s="120"/>
      <c r="AY977" s="120"/>
      <c r="AZ977" s="118">
        <f>IFERROR(INDEX('Total Customers'!$F$7:$AB$91,MATCH($C977,'Total Customers'!$D$7:$D$91,0),MATCH($G977,'Total Customers'!$F$5:$AB$5,0)),"NA")</f>
        <v>755075</v>
      </c>
      <c r="BA977" s="119">
        <f t="shared" si="2896"/>
        <v>2.5794865379740611E-2</v>
      </c>
      <c r="BB977" s="119"/>
      <c r="BC977" s="121"/>
      <c r="BD977" s="119"/>
      <c r="BE977" s="119"/>
      <c r="BF977" s="119"/>
      <c r="BG977" s="173"/>
      <c r="BH977" s="173"/>
      <c r="BI977" s="173"/>
      <c r="BJ977" s="173"/>
      <c r="BK977" s="173"/>
      <c r="BL977" s="173"/>
      <c r="BM977" s="173"/>
      <c r="BN977" s="173"/>
      <c r="BO977" s="173"/>
      <c r="BP977" s="173"/>
      <c r="BQ977" s="118"/>
      <c r="BR977" s="118"/>
      <c r="BS977" s="118">
        <f>INDEX('Dist. Plant Gas Additions'!$F$7:$AE$91,MATCH($C977,'Dist. Plant Gas Additions'!$D$7:$D$91,0),MATCH(Calculation!$G977,'Dist. Plant Gas Additions'!$F$5:$AE$5,0))</f>
        <v>63959</v>
      </c>
      <c r="BT977" s="118">
        <f>INDEX('Gen. Plant Additions'!$F$7:$AE$91,MATCH($C977,'Gen. Plant Additions'!$D$7:$D$91,0),MATCH(Calculation!$G977,'Gen. Plant Additions'!$F$5:$AE$5,0))</f>
        <v>2889</v>
      </c>
      <c r="BU977" s="118"/>
      <c r="BV977" s="118"/>
      <c r="BW977" s="118">
        <f>INDEX('Dist Plant Depreciation'!$E$7:$AD$94,MATCH($C977,'Dist Plant Depreciation'!$D$7:$D$94,0),MATCH(Calculation!$G977,'Dist Plant Depreciation'!$E$5:$AD$5,0))</f>
        <v>351229</v>
      </c>
      <c r="BX977" s="118">
        <f>INDEX('Gen. Plant Depreciation'!$E$7:$AD$94,MATCH($C977,'Gen. Plant Depreciation'!$D$7:$D$94,0),MATCH(Calculation!$G977,'Gen. Plant Depreciation'!$E$5:$AD$5,0))</f>
        <v>103509</v>
      </c>
      <c r="BY977" s="118"/>
      <c r="BZ977" s="118"/>
      <c r="CA977" s="118"/>
      <c r="CB977" s="118"/>
      <c r="CC977" s="118"/>
      <c r="CD977" s="183"/>
      <c r="CE977" s="118">
        <f>INDEX('Gross Dx Plant'!$E$7:$AD$91,MATCH($C977,'Gross Dx Plant'!$D$7:$D$91,0),MATCH(Calculation!$G977,'Gross Dx Plant'!$E$5:$AD$5,0))</f>
        <v>990984</v>
      </c>
      <c r="CF977" s="118">
        <f>INDEX('Gross Gen Plant'!$E$7:$AD$91,MATCH($C977,'Gross Gen Plant'!$D$7:$D$91,0),MATCH(Calculation!$G977,'Gross Gen Plant'!$E$5:$AD$5,0))</f>
        <v>136905</v>
      </c>
      <c r="CG977" s="118">
        <f t="shared" si="2806"/>
        <v>673151</v>
      </c>
      <c r="CH977" s="118"/>
      <c r="CI977" s="121">
        <v>2003</v>
      </c>
      <c r="CJ977" s="118"/>
      <c r="CK977" s="118"/>
      <c r="CL977" s="118"/>
      <c r="CM977" s="183"/>
      <c r="CN977" s="118">
        <f t="shared" si="2897"/>
        <v>66848</v>
      </c>
      <c r="CO977" s="118">
        <f t="shared" si="2898"/>
        <v>181.04556747781709</v>
      </c>
      <c r="CP977" s="186">
        <v>0.97354497354497349</v>
      </c>
      <c r="CQ977" s="118">
        <f>+CQ972*CP977+CO973*CP976+CO974*CP975+CO975*CP974+CO976*CP973+CO977</f>
        <v>3458.930383188112</v>
      </c>
      <c r="CR977" s="119">
        <f t="shared" si="2899"/>
        <v>4.8146680795429553E-2</v>
      </c>
      <c r="CS977" s="119"/>
      <c r="CT977" s="177">
        <f t="shared" si="2900"/>
        <v>5.598650371483189E-3</v>
      </c>
      <c r="CU977" s="177">
        <f t="shared" si="2908"/>
        <v>5.4315538388316218E-3</v>
      </c>
      <c r="CV977" s="119">
        <f>VLOOKUP($H977,RoR!$E:$F,2,FALSE)</f>
        <v>5.6666666666666671E-2</v>
      </c>
      <c r="CW977" s="177">
        <v>1.8855119140166909E-2</v>
      </c>
      <c r="CX977" s="177">
        <f t="shared" si="2906"/>
        <v>3.7811547526499761E-2</v>
      </c>
      <c r="CY977" s="177">
        <f t="shared" si="2909"/>
        <v>2.5470387769702004E-2</v>
      </c>
      <c r="CZ977" s="177">
        <f t="shared" si="2910"/>
        <v>2.1375012817671957E-2</v>
      </c>
      <c r="DA977" s="187">
        <f t="shared" si="2901"/>
        <v>0.86875000000000002</v>
      </c>
      <c r="DB977" s="188">
        <f t="shared" si="2902"/>
        <v>0.90497737556561086</v>
      </c>
      <c r="DC977" s="188">
        <f t="shared" si="2903"/>
        <v>0.5338235294117647</v>
      </c>
      <c r="DD977" s="188">
        <f t="shared" si="2904"/>
        <v>0.88972433127405692</v>
      </c>
      <c r="DE977" s="188">
        <f t="shared" si="2905"/>
        <v>0.42982423775949252</v>
      </c>
      <c r="DF977" s="189">
        <f>INDEX('State Tax Lookup'!$D$7:$Z$91,MATCH(Calculation!$C977,'State Tax Lookup'!$B$7:$B$91,0),MATCH($H977,'State Tax Lookup'!$D$6:$Z$6,0))</f>
        <v>0.35</v>
      </c>
      <c r="DG977" s="189">
        <v>0.375</v>
      </c>
      <c r="DH977" s="190">
        <f t="shared" si="2907"/>
        <v>12.540918082210222</v>
      </c>
      <c r="DI977" s="190"/>
      <c r="DJ977" s="177"/>
      <c r="DK977" s="189">
        <f>VLOOKUP($H977,RoR!$E:$F,2,FALSE)</f>
        <v>5.6666666666666671E-2</v>
      </c>
      <c r="DL977" s="191">
        <f>HLOOKUP($H977,'GDP-PI'!$D$8:$CQ$11,3,FALSE)</f>
        <v>1.8855119140166909E-2</v>
      </c>
      <c r="DM977" s="189">
        <f>VLOOKUP(H977,'HW Dx Data'!$E:$F,2,FALSE)</f>
        <v>369.23301095560191</v>
      </c>
      <c r="DN977" s="183">
        <f>VLOOKUP(H977,'ECI - Input Price'!$G$17:$H$37,2,FALSE)</f>
        <v>92.625</v>
      </c>
      <c r="DO977" s="177">
        <f t="shared" ref="DO977" si="2911">LN(DN977/DN976)</f>
        <v>3.6837590135738785E-2</v>
      </c>
      <c r="DP977" s="183">
        <f>HLOOKUP(H977,'GDP-PI'!$8:$9,2,FALSE)</f>
        <v>82.566999999999993</v>
      </c>
      <c r="DQ977" s="177">
        <f t="shared" ref="DQ977" si="2912">LN(DP977/DP976)</f>
        <v>1.8679564681853753E-2</v>
      </c>
    </row>
    <row r="978" spans="1:121" s="167" customFormat="1" ht="21" x14ac:dyDescent="0.35">
      <c r="A978" s="167" t="s">
        <v>97</v>
      </c>
      <c r="B978" s="167" t="s">
        <v>97</v>
      </c>
      <c r="C978" s="167">
        <v>4057140</v>
      </c>
      <c r="D978" s="168" t="s">
        <v>149</v>
      </c>
      <c r="E978" s="168"/>
      <c r="F978" s="198"/>
      <c r="G978" s="167" t="s">
        <v>10</v>
      </c>
      <c r="H978" s="169">
        <v>2004</v>
      </c>
      <c r="I978" s="170"/>
      <c r="J978" s="166">
        <f>IFERROR(INDEX('Labor Expenditures'!$F$7:$X$91,MATCH($C978,'Labor Expenditures'!$D$7:$D$91,0),MATCH($G978,'Labor Expenditures'!$F$5:$X$5,0)),"NA")</f>
        <v>38594.186062693007</v>
      </c>
      <c r="K978" s="166">
        <f t="shared" ref="K978:K995" si="2913">+J978/DN978</f>
        <v>401.29125097679241</v>
      </c>
      <c r="L978" s="172"/>
      <c r="M978" s="172"/>
      <c r="N978" s="196"/>
      <c r="O978" s="172"/>
      <c r="P978" s="166">
        <f>IFERROR(INDEX('Non-Labor Expenditures'!$F$7:$AB$91,MATCH($C978,'Non-Labor Expenditures'!$D$7:$D$91,0),MATCH($G978,'Non-Labor Expenditures'!$F$5:$AB$5,0)),"NA")</f>
        <v>55891.589818412984</v>
      </c>
      <c r="Q978" s="166">
        <f t="shared" ref="Q978:Q995" si="2914">+P978/DP978</f>
        <v>659.26997355933122</v>
      </c>
      <c r="R978" s="166"/>
      <c r="S978" s="166"/>
      <c r="T978" s="166"/>
      <c r="U978" s="166"/>
      <c r="V978" s="166">
        <f t="shared" si="2895"/>
        <v>47938.11994704658</v>
      </c>
      <c r="W978" s="170"/>
      <c r="X978" s="174">
        <v>3638.0346851349314</v>
      </c>
      <c r="Y978" s="175">
        <v>5.0484210702445423E-2</v>
      </c>
      <c r="Z978" s="175"/>
      <c r="AA978" s="175"/>
      <c r="AB978" s="175"/>
      <c r="AC978" s="170">
        <f t="shared" si="2863"/>
        <v>142423.89582815257</v>
      </c>
      <c r="AD978" s="175"/>
      <c r="AE978" s="170"/>
      <c r="AF978" s="170"/>
      <c r="AG978" s="174"/>
      <c r="AH978" s="175"/>
      <c r="AI978" s="175"/>
      <c r="AJ978" s="174"/>
      <c r="AK978" s="174"/>
      <c r="AL978" s="120">
        <f t="shared" ref="AL978:AL995" si="2915">+J978/AC978</f>
        <v>0.27098111477908465</v>
      </c>
      <c r="AM978" s="120">
        <f t="shared" ref="AM978:AM995" si="2916">+P978/AC978</f>
        <v>0.39243126649092147</v>
      </c>
      <c r="AN978" s="120">
        <f t="shared" ref="AN978:AN995" si="2917">+V978/AC978</f>
        <v>0.33658761872999388</v>
      </c>
      <c r="AO978" s="120"/>
      <c r="AP978" s="120"/>
      <c r="AQ978" s="175"/>
      <c r="AR978" s="120"/>
      <c r="AS978" s="120"/>
      <c r="AT978" s="120"/>
      <c r="AU978" s="120"/>
      <c r="AV978" s="120"/>
      <c r="AW978" s="120"/>
      <c r="AX978" s="120"/>
      <c r="AY978" s="120"/>
      <c r="AZ978" s="118">
        <f>IFERROR(INDEX('Total Customers'!$F$7:$AB$91,MATCH($C978,'Total Customers'!$D$7:$D$91,0),MATCH($G978,'Total Customers'!$F$5:$AB$5,0)),"NA")</f>
        <v>777555</v>
      </c>
      <c r="BA978" s="119">
        <f t="shared" si="2896"/>
        <v>2.9337299037602824E-2</v>
      </c>
      <c r="BB978" s="119"/>
      <c r="BC978" s="121"/>
      <c r="BD978" s="119"/>
      <c r="BE978" s="119"/>
      <c r="BF978" s="119"/>
      <c r="BG978" s="173"/>
      <c r="BH978" s="173"/>
      <c r="BI978" s="173"/>
      <c r="BJ978" s="173"/>
      <c r="BK978" s="173"/>
      <c r="BL978" s="173"/>
      <c r="BM978" s="173"/>
      <c r="BN978" s="173"/>
      <c r="BO978" s="173"/>
      <c r="BP978" s="173"/>
      <c r="BQ978" s="118"/>
      <c r="BR978" s="118"/>
      <c r="BS978" s="118">
        <f>INDEX('Dist. Plant Gas Additions'!$F$7:$AE$91,MATCH($C978,'Dist. Plant Gas Additions'!$D$7:$D$91,0),MATCH(Calculation!$G978,'Dist. Plant Gas Additions'!$F$5:$AE$5,0))</f>
        <v>57921</v>
      </c>
      <c r="BT978" s="118">
        <f>INDEX('Gen. Plant Additions'!$F$7:$AE$91,MATCH($C978,'Gen. Plant Additions'!$D$7:$D$91,0),MATCH(Calculation!$G978,'Gen. Plant Additions'!$F$5:$AE$5,0))</f>
        <v>24662</v>
      </c>
      <c r="BU978" s="118"/>
      <c r="BV978" s="118"/>
      <c r="BW978" s="118">
        <f>INDEX('Dist Plant Depreciation'!$E$7:$AD$94,MATCH($C978,'Dist Plant Depreciation'!$D$7:$D$94,0),MATCH(Calculation!$G978,'Dist Plant Depreciation'!$E$5:$AD$5,0))</f>
        <v>382038</v>
      </c>
      <c r="BX978" s="118">
        <f>INDEX('Gen. Plant Depreciation'!$E$7:$AD$94,MATCH($C978,'Gen. Plant Depreciation'!$D$7:$D$94,0),MATCH(Calculation!$G978,'Gen. Plant Depreciation'!$E$5:$AD$5,0))</f>
        <v>111043</v>
      </c>
      <c r="BY978" s="118"/>
      <c r="BZ978" s="118"/>
      <c r="CA978" s="118"/>
      <c r="CB978" s="118"/>
      <c r="CC978" s="118"/>
      <c r="CD978" s="183"/>
      <c r="CE978" s="118">
        <f>INDEX('Gross Dx Plant'!$E$7:$AD$91,MATCH($C978,'Gross Dx Plant'!$D$7:$D$91,0),MATCH(Calculation!$G978,'Gross Dx Plant'!$E$5:$AD$5,0))</f>
        <v>1047365</v>
      </c>
      <c r="CF978" s="118">
        <f>INDEX('Gross Gen Plant'!$E$7:$AD$91,MATCH($C978,'Gross Gen Plant'!$D$7:$D$91,0),MATCH(Calculation!$G978,'Gross Gen Plant'!$E$5:$AD$5,0))</f>
        <v>161179</v>
      </c>
      <c r="CG978" s="118">
        <f t="shared" si="2806"/>
        <v>715463</v>
      </c>
      <c r="CH978" s="118"/>
      <c r="CI978" s="121">
        <v>2004</v>
      </c>
      <c r="CJ978" s="118"/>
      <c r="CK978" s="118"/>
      <c r="CL978" s="118"/>
      <c r="CM978" s="183"/>
      <c r="CN978" s="118">
        <f t="shared" si="2897"/>
        <v>82583</v>
      </c>
      <c r="CO978" s="118">
        <f t="shared" si="2898"/>
        <v>199.04928790601826</v>
      </c>
      <c r="CP978" s="186">
        <v>0.967741935483871</v>
      </c>
      <c r="CQ978" s="118">
        <f>+CQ972*CP978+CO973*CP977+CO974*CP976+CO975*CP975+CO976*CP974+CO977*CP973+CO978</f>
        <v>3638.0346851349314</v>
      </c>
      <c r="CR978" s="119">
        <f t="shared" si="2899"/>
        <v>5.0484210702445423E-2</v>
      </c>
      <c r="CS978" s="119"/>
      <c r="CT978" s="177">
        <f t="shared" si="2900"/>
        <v>5.7662293685181295E-3</v>
      </c>
      <c r="CU978" s="177">
        <f t="shared" si="2908"/>
        <v>5.7735745234748642E-3</v>
      </c>
      <c r="CV978" s="119">
        <f>VLOOKUP($H978,RoR!$E:$F,2,FALSE)</f>
        <v>5.6283333333333331E-2</v>
      </c>
      <c r="CW978" s="177">
        <v>2.6778252812867276E-2</v>
      </c>
      <c r="CX978" s="177">
        <f t="shared" si="2906"/>
        <v>2.9505080520466055E-2</v>
      </c>
      <c r="CY978" s="177">
        <f t="shared" si="2909"/>
        <v>2.5128367085058761E-2</v>
      </c>
      <c r="CZ978" s="177">
        <f t="shared" si="2910"/>
        <v>5.5940039414565046E-2</v>
      </c>
      <c r="DA978" s="187">
        <f t="shared" si="2901"/>
        <v>0.86875000000000002</v>
      </c>
      <c r="DB978" s="188">
        <f t="shared" si="2902"/>
        <v>0.91114097628755619</v>
      </c>
      <c r="DC978" s="188">
        <f t="shared" si="2903"/>
        <v>0.53081877405981637</v>
      </c>
      <c r="DD978" s="188">
        <f t="shared" si="2904"/>
        <v>0.88811215519385678</v>
      </c>
      <c r="DE978" s="188">
        <f t="shared" si="2905"/>
        <v>0.42953609753547711</v>
      </c>
      <c r="DF978" s="189">
        <f>INDEX('State Tax Lookup'!$D$7:$Z$91,MATCH(Calculation!$C978,'State Tax Lookup'!$B$7:$B$91,0),MATCH($H978,'State Tax Lookup'!$D$6:$Z$6,0))</f>
        <v>0.35</v>
      </c>
      <c r="DG978" s="189">
        <v>0.375</v>
      </c>
      <c r="DH978" s="190">
        <f t="shared" si="2907"/>
        <v>13.859232374275713</v>
      </c>
      <c r="DI978" s="190"/>
      <c r="DJ978" s="177"/>
      <c r="DK978" s="189">
        <f>VLOOKUP($H978,RoR!$E:$F,2,FALSE)</f>
        <v>5.6283333333333331E-2</v>
      </c>
      <c r="DL978" s="191">
        <f>HLOOKUP($H978,'GDP-PI'!$D$8:$CQ$11,3,FALSE)</f>
        <v>2.6778252812867276E-2</v>
      </c>
      <c r="DM978" s="189">
        <f>VLOOKUP(H978,'HW Dx Data'!$E:$F,2,FALSE)</f>
        <v>414.88719135228365</v>
      </c>
      <c r="DN978" s="183">
        <f>VLOOKUP(H978,'ECI - Input Price'!$G$17:$H$37,2,FALSE)</f>
        <v>96.174999999999997</v>
      </c>
      <c r="DO978" s="177">
        <f t="shared" ref="DO978" si="2918">LN(DN978/DN977)</f>
        <v>3.7610365022107912E-2</v>
      </c>
      <c r="DP978" s="183">
        <f>HLOOKUP(H978,'GDP-PI'!$8:$9,2,FALSE)</f>
        <v>84.778000000000006</v>
      </c>
      <c r="DQ978" s="177">
        <f t="shared" ref="DQ978" si="2919">LN(DP978/DP977)</f>
        <v>2.6425990216022755E-2</v>
      </c>
    </row>
    <row r="979" spans="1:121" s="167" customFormat="1" ht="21" x14ac:dyDescent="0.35">
      <c r="A979" s="167" t="s">
        <v>97</v>
      </c>
      <c r="B979" s="167" t="s">
        <v>97</v>
      </c>
      <c r="C979" s="167">
        <v>4057140</v>
      </c>
      <c r="D979" s="168" t="s">
        <v>149</v>
      </c>
      <c r="E979" s="168"/>
      <c r="F979" s="198"/>
      <c r="G979" s="167" t="s">
        <v>11</v>
      </c>
      <c r="H979" s="169">
        <v>2005</v>
      </c>
      <c r="I979" s="170"/>
      <c r="J979" s="166">
        <f>IFERROR(INDEX('Labor Expenditures'!$F$7:$X$91,MATCH($C979,'Labor Expenditures'!$D$7:$D$91,0),MATCH($G979,'Labor Expenditures'!$F$5:$X$5,0)),"NA")</f>
        <v>39519.039650879458</v>
      </c>
      <c r="K979" s="166">
        <f t="shared" si="2913"/>
        <v>398.57831216217301</v>
      </c>
      <c r="L979" s="172">
        <f t="shared" ref="L979:L995" si="2920">LN(K979/K978)</f>
        <v>-6.7834790639809683E-3</v>
      </c>
      <c r="M979" s="172"/>
      <c r="N979" s="196"/>
      <c r="O979" s="172"/>
      <c r="P979" s="166">
        <f>IFERROR(INDEX('Non-Labor Expenditures'!$F$7:$AB$91,MATCH($C979,'Non-Labor Expenditures'!$D$7:$D$91,0),MATCH($G979,'Non-Labor Expenditures'!$F$5:$AB$5,0)),"NA")</f>
        <v>57230.950552929724</v>
      </c>
      <c r="Q979" s="166">
        <f t="shared" si="2914"/>
        <v>654.76392683571942</v>
      </c>
      <c r="R979" s="172">
        <f>LN(Q979/Q978)</f>
        <v>-6.8583685472684078E-3</v>
      </c>
      <c r="S979" s="172"/>
      <c r="T979" s="172"/>
      <c r="U979" s="172"/>
      <c r="V979" s="166">
        <f t="shared" si="2895"/>
        <v>56899.364679191865</v>
      </c>
      <c r="W979" s="170"/>
      <c r="X979" s="174">
        <v>3757.7420973410672</v>
      </c>
      <c r="Y979" s="175">
        <v>3.2374656827300258E-2</v>
      </c>
      <c r="Z979" s="175"/>
      <c r="AA979" s="175"/>
      <c r="AB979" s="175"/>
      <c r="AC979" s="170">
        <f t="shared" si="2863"/>
        <v>153649.35488300104</v>
      </c>
      <c r="AD979" s="175">
        <f>LN(AC979/AC978)</f>
        <v>7.586529727225888E-2</v>
      </c>
      <c r="AE979" s="170"/>
      <c r="AF979" s="170"/>
      <c r="AG979" s="121"/>
      <c r="AH979" s="119"/>
      <c r="AI979" s="119"/>
      <c r="AJ979" s="121"/>
      <c r="AK979" s="121"/>
      <c r="AL979" s="120">
        <f t="shared" si="2915"/>
        <v>0.25720276978039974</v>
      </c>
      <c r="AM979" s="120">
        <f t="shared" si="2916"/>
        <v>0.37247764949295897</v>
      </c>
      <c r="AN979" s="120">
        <f t="shared" si="2917"/>
        <v>0.37031958072664134</v>
      </c>
      <c r="AO979" s="120">
        <f t="shared" ref="AO979:AO995" si="2921">+(((AL979+AL978)/2)*L979+((AM978+AM979)/2)*R979+((AN978+AN979)/2)*Y979)</f>
        <v>7.028463208703018E-3</v>
      </c>
      <c r="AP979" s="173">
        <v>100</v>
      </c>
      <c r="AQ979" s="175"/>
      <c r="AR979" s="120"/>
      <c r="AS979" s="120"/>
      <c r="AT979" s="120"/>
      <c r="AU979" s="120"/>
      <c r="AV979" s="120"/>
      <c r="AW979" s="120"/>
      <c r="AX979" s="120"/>
      <c r="AY979" s="120"/>
      <c r="AZ979" s="118">
        <f>IFERROR(INDEX('Total Customers'!$F$7:$AB$91,MATCH($C979,'Total Customers'!$D$7:$D$91,0),MATCH($G979,'Total Customers'!$F$5:$AB$5,0)),"NA")</f>
        <v>824463</v>
      </c>
      <c r="BA979" s="119">
        <f t="shared" si="2896"/>
        <v>5.8577884209173869E-2</v>
      </c>
      <c r="BB979" s="119"/>
      <c r="BC979" s="121"/>
      <c r="BD979" s="119"/>
      <c r="BE979" s="119"/>
      <c r="BF979" s="119"/>
      <c r="BG979" s="173"/>
      <c r="BH979" s="173"/>
      <c r="BI979" s="173"/>
      <c r="BJ979" s="173"/>
      <c r="BK979" s="173"/>
      <c r="BL979" s="173"/>
      <c r="BM979" s="173"/>
      <c r="BN979" s="173"/>
      <c r="BO979" s="173"/>
      <c r="BP979" s="173"/>
      <c r="BQ979" s="118"/>
      <c r="BR979" s="118"/>
      <c r="BS979" s="118">
        <f>INDEX('Dist. Plant Gas Additions'!$F$7:$AE$91,MATCH($C979,'Dist. Plant Gas Additions'!$D$7:$D$91,0),MATCH(Calculation!$G979,'Dist. Plant Gas Additions'!$F$5:$AE$5,0))</f>
        <v>58907</v>
      </c>
      <c r="BT979" s="118">
        <f>INDEX('Gen. Plant Additions'!$F$7:$AE$91,MATCH($C979,'Gen. Plant Additions'!$D$7:$D$91,0),MATCH(Calculation!$G979,'Gen. Plant Additions'!$F$5:$AE$5,0))</f>
        <v>7386</v>
      </c>
      <c r="BU979" s="118"/>
      <c r="BV979" s="118"/>
      <c r="BW979" s="118">
        <f>INDEX('Dist Plant Depreciation'!$E$7:$AD$94,MATCH($C979,'Dist Plant Depreciation'!$D$7:$D$94,0),MATCH(Calculation!$G979,'Dist Plant Depreciation'!$E$5:$AD$5,0))</f>
        <v>413998</v>
      </c>
      <c r="BX979" s="118">
        <f>INDEX('Gen. Plant Depreciation'!$E$7:$AD$94,MATCH($C979,'Gen. Plant Depreciation'!$D$7:$D$94,0),MATCH(Calculation!$G979,'Gen. Plant Depreciation'!$E$5:$AD$5,0))</f>
        <v>122399</v>
      </c>
      <c r="BY979" s="118"/>
      <c r="BZ979" s="118"/>
      <c r="CA979" s="118"/>
      <c r="CB979" s="118"/>
      <c r="CC979" s="118"/>
      <c r="CD979" s="183"/>
      <c r="CE979" s="118">
        <f>INDEX('Gross Dx Plant'!$E$7:$AD$91,MATCH($C979,'Gross Dx Plant'!$D$7:$D$91,0),MATCH(Calculation!$G979,'Gross Dx Plant'!$E$5:$AD$5,0))</f>
        <v>1104430</v>
      </c>
      <c r="CF979" s="118">
        <f>INDEX('Gross Gen Plant'!$E$7:$AD$91,MATCH($C979,'Gross Gen Plant'!$D$7:$D$91,0),MATCH(Calculation!$G979,'Gross Gen Plant'!$E$5:$AD$5,0))</f>
        <v>168747</v>
      </c>
      <c r="CG979" s="118">
        <f t="shared" si="2806"/>
        <v>736780</v>
      </c>
      <c r="CH979" s="118"/>
      <c r="CI979" s="121">
        <v>2005</v>
      </c>
      <c r="CJ979" s="118"/>
      <c r="CK979" s="118"/>
      <c r="CL979" s="118"/>
      <c r="CM979" s="183"/>
      <c r="CN979" s="118">
        <f t="shared" si="2897"/>
        <v>66293</v>
      </c>
      <c r="CO979" s="118">
        <f t="shared" si="2898"/>
        <v>141.28788092696362</v>
      </c>
      <c r="CP979" s="186">
        <v>0.96174863387978138</v>
      </c>
      <c r="CQ979" s="118">
        <f>+CQ972*CP979+CO973*CP978+CO974*CP977+CO975*CP976+CO976*CP975+CO977*CP974+CO978*CP973+CO979</f>
        <v>3757.7420973410672</v>
      </c>
      <c r="CR979" s="119">
        <f t="shared" si="2899"/>
        <v>3.2374656827300258E-2</v>
      </c>
      <c r="CS979" s="119"/>
      <c r="CT979" s="177">
        <f t="shared" si="2900"/>
        <v>5.9319029609602005E-3</v>
      </c>
      <c r="CU979" s="177">
        <f t="shared" si="2908"/>
        <v>5.7655942336538391E-3</v>
      </c>
      <c r="CV979" s="119">
        <f>VLOOKUP($H979,RoR!$E:$F,2,FALSE)</f>
        <v>5.2350000000000001E-2</v>
      </c>
      <c r="CW979" s="177">
        <v>3.1010403642454332E-2</v>
      </c>
      <c r="CX979" s="177">
        <f t="shared" si="2906"/>
        <v>2.1339596357545669E-2</v>
      </c>
      <c r="CY979" s="177">
        <f t="shared" si="2909"/>
        <v>2.5136347374879787E-2</v>
      </c>
      <c r="CZ979" s="177">
        <f t="shared" si="2910"/>
        <v>9.2129610649277341E-2</v>
      </c>
      <c r="DA979" s="187">
        <f t="shared" si="2901"/>
        <v>0.86875000000000002</v>
      </c>
      <c r="DB979" s="188">
        <f t="shared" si="2902"/>
        <v>0.97959983346802826</v>
      </c>
      <c r="DC979" s="188">
        <f t="shared" si="2903"/>
        <v>0.49744508118433622</v>
      </c>
      <c r="DD979" s="188">
        <f t="shared" si="2904"/>
        <v>0.87010519444335932</v>
      </c>
      <c r="DE979" s="188">
        <f t="shared" si="2905"/>
        <v>0.42399975420741998</v>
      </c>
      <c r="DF979" s="189">
        <f>INDEX('State Tax Lookup'!$D$7:$Z$91,MATCH(Calculation!$C979,'State Tax Lookup'!$B$7:$B$91,0),MATCH($H979,'State Tax Lookup'!$D$6:$Z$6,0))</f>
        <v>0.35</v>
      </c>
      <c r="DG979" s="189">
        <v>0.375</v>
      </c>
      <c r="DH979" s="190">
        <f t="shared" si="2907"/>
        <v>15.640138042576558</v>
      </c>
      <c r="DI979" s="190"/>
      <c r="DJ979" s="177"/>
      <c r="DK979" s="189">
        <f>VLOOKUP($H979,RoR!$E:$F,2,FALSE)</f>
        <v>5.2350000000000001E-2</v>
      </c>
      <c r="DL979" s="191">
        <f>HLOOKUP($H979,'GDP-PI'!$D$8:$CQ$11,3,FALSE)</f>
        <v>3.1010403642454332E-2</v>
      </c>
      <c r="DM979" s="189">
        <f>VLOOKUP(H979,'HW Dx Data'!$E:$F,2,FALSE)</f>
        <v>469.20514034936258</v>
      </c>
      <c r="DN979" s="183">
        <f>VLOOKUP(H979,'ECI - Input Price'!$G$17:$H$37,2,FALSE)</f>
        <v>99.15</v>
      </c>
      <c r="DO979" s="177">
        <f t="shared" ref="DO979" si="2922">LN(DN979/DN978)</f>
        <v>3.046440632744625E-2</v>
      </c>
      <c r="DP979" s="183">
        <f>HLOOKUP(H979,'GDP-PI'!$8:$9,2,FALSE)</f>
        <v>87.406999999999996</v>
      </c>
      <c r="DQ979" s="177">
        <f t="shared" ref="DQ979" si="2923">LN(DP979/DP978)</f>
        <v>3.0539295810733648E-2</v>
      </c>
    </row>
    <row r="980" spans="1:121" s="167" customFormat="1" ht="21" x14ac:dyDescent="0.35">
      <c r="A980" s="167" t="s">
        <v>97</v>
      </c>
      <c r="B980" s="167" t="s">
        <v>97</v>
      </c>
      <c r="C980" s="167">
        <v>4057140</v>
      </c>
      <c r="D980" s="168" t="s">
        <v>149</v>
      </c>
      <c r="E980" s="168"/>
      <c r="F980" s="198"/>
      <c r="G980" s="167" t="s">
        <v>12</v>
      </c>
      <c r="H980" s="169">
        <v>2006</v>
      </c>
      <c r="I980" s="170"/>
      <c r="J980" s="166">
        <f>IFERROR(INDEX('Labor Expenditures'!$F$7:$X$91,MATCH($C980,'Labor Expenditures'!$D$7:$D$91,0),MATCH($G980,'Labor Expenditures'!$F$5:$X$5,0)),"NA")</f>
        <v>42436.26928527133</v>
      </c>
      <c r="K980" s="166">
        <f t="shared" si="2913"/>
        <v>415.83801357443735</v>
      </c>
      <c r="L980" s="172">
        <f t="shared" si="2920"/>
        <v>4.2391797714309551E-2</v>
      </c>
      <c r="M980" s="172">
        <f t="shared" ref="M980:M995" si="2924">+L980*AR980</f>
        <v>8.5962539424077093E-4</v>
      </c>
      <c r="N980" s="196"/>
      <c r="O980" s="172"/>
      <c r="P980" s="166">
        <f>IFERROR(INDEX('Non-Labor Expenditures'!$F$7:$AB$91,MATCH($C980,'Non-Labor Expenditures'!$D$7:$D$91,0),MATCH($G980,'Non-Labor Expenditures'!$F$5:$AB$5,0)),"NA")</f>
        <v>61455.64392686668</v>
      </c>
      <c r="Q980" s="166">
        <f t="shared" si="2914"/>
        <v>682.27950270740371</v>
      </c>
      <c r="R980" s="172">
        <f t="shared" ref="R980:R995" si="2925">LN(Q980/Q979)</f>
        <v>4.1164648278903704E-2</v>
      </c>
      <c r="S980" s="172">
        <f>+R980*AR980</f>
        <v>8.3474112714003858E-4</v>
      </c>
      <c r="T980" s="172"/>
      <c r="U980" s="172"/>
      <c r="V980" s="166">
        <f t="shared" si="2895"/>
        <v>57411.063203869977</v>
      </c>
      <c r="W980" s="170"/>
      <c r="X980" s="174">
        <v>3919.5199334856002</v>
      </c>
      <c r="Y980" s="175">
        <v>4.2150909355721244E-2</v>
      </c>
      <c r="Z980" s="175">
        <f>+Y980*AR980</f>
        <v>8.5474063441966079E-4</v>
      </c>
      <c r="AA980" s="175"/>
      <c r="AB980" s="175"/>
      <c r="AC980" s="170">
        <f t="shared" si="2863"/>
        <v>161302.97641600799</v>
      </c>
      <c r="AD980" s="175">
        <f t="shared" ref="AD980:AD995" si="2926">LN(AC980/AC979)</f>
        <v>4.8611347679050135E-2</v>
      </c>
      <c r="AE980" s="170"/>
      <c r="AF980" s="170"/>
      <c r="AG980" s="121">
        <f t="shared" ref="AG980:AG995" si="2927">+(AC980*1000)/AZ980</f>
        <v>192.90161053250625</v>
      </c>
      <c r="AH980" s="119">
        <f>+AZ980/$BB$44</f>
        <v>2.3786289578283645E-2</v>
      </c>
      <c r="AI980" s="119"/>
      <c r="AJ980" s="176">
        <f>+AH980*AG980</f>
        <v>4.5884135682434843</v>
      </c>
      <c r="AK980" s="176">
        <f>+AI980*AG980</f>
        <v>0</v>
      </c>
      <c r="AL980" s="120">
        <f t="shared" si="2915"/>
        <v>0.26308422961660788</v>
      </c>
      <c r="AM980" s="120">
        <f t="shared" si="2916"/>
        <v>0.38099510184095842</v>
      </c>
      <c r="AN980" s="120">
        <f t="shared" si="2917"/>
        <v>0.35592066854243365</v>
      </c>
      <c r="AO980" s="120">
        <f t="shared" si="2921"/>
        <v>4.1842014472819405E-2</v>
      </c>
      <c r="AP980" s="173">
        <f>+AP979*EXP(AO980)</f>
        <v>104.27297295310829</v>
      </c>
      <c r="AQ980" s="175">
        <f>LN(AP980/AP979)</f>
        <v>4.1842014472819399E-2</v>
      </c>
      <c r="AR980" s="177">
        <f>+AC980/$AE$44</f>
        <v>2.0278106628882131E-2</v>
      </c>
      <c r="AS980" s="177">
        <f>+AR980*AQ980</f>
        <v>8.4847683104706116E-4</v>
      </c>
      <c r="AT980" s="177"/>
      <c r="AU980" s="177"/>
      <c r="AV980" s="177"/>
      <c r="AW980" s="190"/>
      <c r="AX980" s="120"/>
      <c r="AY980" s="120"/>
      <c r="AZ980" s="118">
        <f>IFERROR(INDEX('Total Customers'!$F$7:$AB$91,MATCH($C980,'Total Customers'!$D$7:$D$91,0),MATCH($G980,'Total Customers'!$F$5:$AB$5,0)),"NA")</f>
        <v>836193</v>
      </c>
      <c r="BA980" s="119">
        <f t="shared" si="2896"/>
        <v>1.4127182373886143E-2</v>
      </c>
      <c r="BB980" s="119"/>
      <c r="BC980" s="121"/>
      <c r="BD980" s="119"/>
      <c r="BE980" s="119"/>
      <c r="BF980" s="119"/>
      <c r="BG980" s="173"/>
      <c r="BH980" s="173"/>
      <c r="BI980" s="173"/>
      <c r="BJ980" s="173"/>
      <c r="BK980" s="173"/>
      <c r="BL980" s="173"/>
      <c r="BM980" s="173"/>
      <c r="BN980" s="173"/>
      <c r="BO980" s="173"/>
      <c r="BP980" s="173"/>
      <c r="BQ980" s="118"/>
      <c r="BR980" s="118"/>
      <c r="BS980" s="118">
        <f>INDEX('Dist. Plant Gas Additions'!$F$7:$AE$91,MATCH($C980,'Dist. Plant Gas Additions'!$D$7:$D$91,0),MATCH(Calculation!$G980,'Dist. Plant Gas Additions'!$F$5:$AE$5,0))</f>
        <v>74190</v>
      </c>
      <c r="BT980" s="118">
        <f>INDEX('Gen. Plant Additions'!$F$7:$AE$91,MATCH($C980,'Gen. Plant Additions'!$D$7:$D$91,0),MATCH(Calculation!$G980,'Gen. Plant Additions'!$F$5:$AE$5,0))</f>
        <v>11004</v>
      </c>
      <c r="BU980" s="118"/>
      <c r="BV980" s="118"/>
      <c r="BW980" s="118">
        <f>INDEX('Dist Plant Depreciation'!$E$7:$AD$94,MATCH($C980,'Dist Plant Depreciation'!$D$7:$D$94,0),MATCH(Calculation!$G980,'Dist Plant Depreciation'!$E$5:$AD$5,0))</f>
        <v>440179</v>
      </c>
      <c r="BX980" s="118">
        <f>INDEX('Gen. Plant Depreciation'!$E$7:$AD$94,MATCH($C980,'Gen. Plant Depreciation'!$D$7:$D$94,0),MATCH(Calculation!$G980,'Gen. Plant Depreciation'!$E$5:$AD$5,0))</f>
        <v>77516</v>
      </c>
      <c r="BY980" s="118"/>
      <c r="BZ980" s="118"/>
      <c r="CA980" s="118"/>
      <c r="CB980" s="118"/>
      <c r="CC980" s="118"/>
      <c r="CD980" s="183"/>
      <c r="CE980" s="118">
        <f>INDEX('Gross Dx Plant'!$E$7:$AD$91,MATCH($C980,'Gross Dx Plant'!$D$7:$D$91,0),MATCH(Calculation!$G980,'Gross Dx Plant'!$E$5:$AD$5,0))</f>
        <v>1174110</v>
      </c>
      <c r="CF980" s="118">
        <f>INDEX('Gross Gen Plant'!$E$7:$AD$91,MATCH($C980,'Gross Gen Plant'!$D$7:$D$91,0),MATCH(Calculation!$G980,'Gross Gen Plant'!$E$5:$AD$5,0))</f>
        <v>122166</v>
      </c>
      <c r="CG980" s="118">
        <f t="shared" si="2806"/>
        <v>778581</v>
      </c>
      <c r="CH980" s="119" t="e">
        <f>SUM(#REF!)/15</f>
        <v>#REF!</v>
      </c>
      <c r="CI980" s="121">
        <v>2006</v>
      </c>
      <c r="CJ980" s="118"/>
      <c r="CK980" s="118"/>
      <c r="CL980" s="118"/>
      <c r="CM980" s="183"/>
      <c r="CN980" s="118">
        <f t="shared" si="2897"/>
        <v>85194</v>
      </c>
      <c r="CO980" s="118">
        <f t="shared" si="2898"/>
        <v>184.7682655061362</v>
      </c>
      <c r="CP980" s="186">
        <v>0.9555555555555556</v>
      </c>
      <c r="CQ980" s="118">
        <f>+CQ972*CP980+CO973*CP979+CO974*CP978+CO975*CP977+CO976*CP976+CO977*CP975+CO978*CP974+CO979*CP973+CO980</f>
        <v>3919.5199334856002</v>
      </c>
      <c r="CR980" s="119">
        <f t="shared" si="2899"/>
        <v>4.2150909355721244E-2</v>
      </c>
      <c r="CS980" s="119"/>
      <c r="CT980" s="177">
        <f t="shared" si="2900"/>
        <v>6.118149879916171E-3</v>
      </c>
      <c r="CU980" s="177">
        <f t="shared" si="2908"/>
        <v>5.938760736464834E-3</v>
      </c>
      <c r="CV980" s="119">
        <f>VLOOKUP($H980,RoR!$E:$F,2,FALSE)</f>
        <v>5.5874999999999994E-2</v>
      </c>
      <c r="CW980" s="177">
        <v>3.0512430354548314E-2</v>
      </c>
      <c r="CX980" s="177">
        <f t="shared" si="2906"/>
        <v>2.536256964545168E-2</v>
      </c>
      <c r="CY980" s="177">
        <f t="shared" si="2909"/>
        <v>2.496318087206879E-2</v>
      </c>
      <c r="CZ980" s="177">
        <f t="shared" si="2910"/>
        <v>7.9087823893859641E-2</v>
      </c>
      <c r="DA980" s="187">
        <f t="shared" si="2901"/>
        <v>0.86875000000000002</v>
      </c>
      <c r="DB980" s="188">
        <f t="shared" si="2902"/>
        <v>0.91779957551769631</v>
      </c>
      <c r="DC980" s="188">
        <f t="shared" si="2903"/>
        <v>0.52757270693512304</v>
      </c>
      <c r="DD980" s="188">
        <f t="shared" si="2904"/>
        <v>0.88636824549024895</v>
      </c>
      <c r="DE980" s="188">
        <f t="shared" si="2905"/>
        <v>0.42918482841932087</v>
      </c>
      <c r="DF980" s="189">
        <f>INDEX('State Tax Lookup'!$D$7:$Z$91,MATCH(Calculation!$C980,'State Tax Lookup'!$B$7:$B$91,0),MATCH($H980,'State Tax Lookup'!$D$6:$Z$6,0))</f>
        <v>0.35</v>
      </c>
      <c r="DG980" s="189">
        <v>0.375</v>
      </c>
      <c r="DH980" s="190">
        <f t="shared" si="2907"/>
        <v>15.27807436398931</v>
      </c>
      <c r="DI980" s="190">
        <v>14.843419329023563</v>
      </c>
      <c r="DJ980" s="177"/>
      <c r="DK980" s="189">
        <f>VLOOKUP($H980,RoR!$E:$F,2,FALSE)</f>
        <v>5.5874999999999994E-2</v>
      </c>
      <c r="DL980" s="191">
        <f>HLOOKUP($H980,'GDP-PI'!$D$8:$CQ$11,3,FALSE)</f>
        <v>3.0512430354548314E-2</v>
      </c>
      <c r="DM980" s="189">
        <f>VLOOKUP(H980,'HW Dx Data'!$E:$F,2,FALSE)</f>
        <v>461.08567272971823</v>
      </c>
      <c r="DN980" s="183">
        <f>VLOOKUP(H980,'ECI - Input Price'!$G$17:$H$37,2,FALSE)</f>
        <v>102.05</v>
      </c>
      <c r="DO980" s="177">
        <f t="shared" ref="DO980" si="2928">LN(DN980/DN979)</f>
        <v>2.8829034290048662E-2</v>
      </c>
      <c r="DP980" s="183">
        <f>HLOOKUP(H980,'GDP-PI'!$8:$9,2,FALSE)</f>
        <v>90.073999999999998</v>
      </c>
      <c r="DQ980" s="177">
        <f t="shared" ref="DQ980" si="2929">LN(DP980/DP979)</f>
        <v>3.005618372545445E-2</v>
      </c>
    </row>
    <row r="981" spans="1:121" s="167" customFormat="1" ht="21" x14ac:dyDescent="0.35">
      <c r="A981" s="167" t="s">
        <v>97</v>
      </c>
      <c r="B981" s="167" t="s">
        <v>97</v>
      </c>
      <c r="C981" s="167">
        <v>4057140</v>
      </c>
      <c r="D981" s="168" t="s">
        <v>149</v>
      </c>
      <c r="E981" s="168"/>
      <c r="F981" s="198"/>
      <c r="G981" s="167" t="s">
        <v>13</v>
      </c>
      <c r="H981" s="169">
        <v>2007</v>
      </c>
      <c r="I981" s="170"/>
      <c r="J981" s="166">
        <f>IFERROR(INDEX('Labor Expenditures'!$F$7:$X$91,MATCH($C981,'Labor Expenditures'!$D$7:$D$91,0),MATCH($G981,'Labor Expenditures'!$F$5:$X$5,0)),"NA")</f>
        <v>44663.039698294117</v>
      </c>
      <c r="K981" s="166">
        <f t="shared" si="2913"/>
        <v>424.45274125249813</v>
      </c>
      <c r="L981" s="172">
        <f t="shared" si="2920"/>
        <v>2.0504877543828737E-2</v>
      </c>
      <c r="M981" s="172">
        <f t="shared" si="2924"/>
        <v>4.2384592826902551E-4</v>
      </c>
      <c r="N981" s="196"/>
      <c r="O981" s="172"/>
      <c r="P981" s="166">
        <f>IFERROR(INDEX('Non-Labor Expenditures'!$F$7:$AB$91,MATCH($C981,'Non-Labor Expenditures'!$D$7:$D$91,0),MATCH($G981,'Non-Labor Expenditures'!$F$5:$AB$5,0)),"NA")</f>
        <v>64680.423388267329</v>
      </c>
      <c r="Q981" s="166">
        <f t="shared" si="2914"/>
        <v>699.26293961239514</v>
      </c>
      <c r="R981" s="172">
        <f t="shared" si="2925"/>
        <v>2.4587434994571486E-2</v>
      </c>
      <c r="S981" s="172">
        <f t="shared" ref="S981:S995" si="2930">+R981*AR981</f>
        <v>5.0823440358291339E-4</v>
      </c>
      <c r="T981" s="172"/>
      <c r="U981" s="172"/>
      <c r="V981" s="166">
        <f t="shared" si="2895"/>
        <v>64329.175913939573</v>
      </c>
      <c r="W981" s="170"/>
      <c r="X981" s="174">
        <v>4150.8913185326082</v>
      </c>
      <c r="Y981" s="175">
        <v>5.7353906376412703E-2</v>
      </c>
      <c r="Z981" s="175">
        <f t="shared" ref="Z981:Z995" si="2931">+Y981*AR981</f>
        <v>1.1855335217684177E-3</v>
      </c>
      <c r="AA981" s="175"/>
      <c r="AB981" s="175"/>
      <c r="AC981" s="170">
        <f t="shared" si="2863"/>
        <v>173672.63900050102</v>
      </c>
      <c r="AD981" s="175">
        <f t="shared" si="2926"/>
        <v>7.3887704499144849E-2</v>
      </c>
      <c r="AE981" s="170"/>
      <c r="AF981" s="170"/>
      <c r="AG981" s="121">
        <f t="shared" si="2927"/>
        <v>201.29330052539339</v>
      </c>
      <c r="AH981" s="119">
        <f>+AZ981/$BB$45</f>
        <v>2.4358679480908051E-2</v>
      </c>
      <c r="AI981" s="119"/>
      <c r="AJ981" s="176">
        <f t="shared" ref="AJ981:AJ995" si="2932">+AH981*AG981</f>
        <v>4.9032389891521575</v>
      </c>
      <c r="AK981" s="176">
        <f t="shared" ref="AK981:AK995" si="2933">+AI981*AG981</f>
        <v>0</v>
      </c>
      <c r="AL981" s="120">
        <f t="shared" si="2915"/>
        <v>0.2571679681689254</v>
      </c>
      <c r="AM981" s="120">
        <f t="shared" si="2916"/>
        <v>0.37242725025949963</v>
      </c>
      <c r="AN981" s="120">
        <f t="shared" si="2917"/>
        <v>0.37040478157157497</v>
      </c>
      <c r="AO981" s="120">
        <f t="shared" si="2921"/>
        <v>3.5425016288935976E-2</v>
      </c>
      <c r="AP981" s="173">
        <f>+AP980*EXP(AO981)</f>
        <v>108.03305193608462</v>
      </c>
      <c r="AQ981" s="175">
        <f>LN(AP981/AP980)</f>
        <v>3.5425016288936052E-2</v>
      </c>
      <c r="AR981" s="177">
        <f>+AC981/$AE$45</f>
        <v>2.0670493026016073E-2</v>
      </c>
      <c r="AS981" s="177">
        <f t="shared" ref="AS981:AS995" si="2934">+AR981*AQ981</f>
        <v>7.3225255214695844E-4</v>
      </c>
      <c r="AT981" s="177"/>
      <c r="AU981" s="177"/>
      <c r="AV981" s="177"/>
      <c r="AW981" s="190"/>
      <c r="AX981" s="120"/>
      <c r="AY981" s="120"/>
      <c r="AZ981" s="118">
        <f>IFERROR(INDEX('Total Customers'!$F$7:$AB$91,MATCH($C981,'Total Customers'!$D$7:$D$91,0),MATCH($G981,'Total Customers'!$F$5:$AB$5,0)),"NA")</f>
        <v>862784</v>
      </c>
      <c r="BA981" s="119">
        <f t="shared" si="2896"/>
        <v>3.13049223842344E-2</v>
      </c>
      <c r="BB981" s="119"/>
      <c r="BC981" s="121"/>
      <c r="BD981" s="119"/>
      <c r="BE981" s="119"/>
      <c r="BF981" s="119"/>
      <c r="BG981" s="173"/>
      <c r="BH981" s="173"/>
      <c r="BI981" s="173"/>
      <c r="BJ981" s="173"/>
      <c r="BK981" s="173"/>
      <c r="BL981" s="173"/>
      <c r="BM981" s="173"/>
      <c r="BN981" s="173"/>
      <c r="BO981" s="173"/>
      <c r="BP981" s="173"/>
      <c r="BQ981" s="118"/>
      <c r="BR981" s="118"/>
      <c r="BS981" s="118">
        <f>INDEX('Dist. Plant Gas Additions'!$F$7:$AE$91,MATCH($C981,'Dist. Plant Gas Additions'!$D$7:$D$91,0),MATCH(Calculation!$G981,'Dist. Plant Gas Additions'!$F$5:$AE$5,0))</f>
        <v>117447</v>
      </c>
      <c r="BT981" s="118">
        <f>INDEX('Gen. Plant Additions'!$F$7:$AE$91,MATCH($C981,'Gen. Plant Additions'!$D$7:$D$91,0),MATCH(Calculation!$G981,'Gen. Plant Additions'!$F$5:$AE$5,0))</f>
        <v>10069</v>
      </c>
      <c r="BU981" s="118"/>
      <c r="BV981" s="118"/>
      <c r="BW981" s="118">
        <f>INDEX('Dist Plant Depreciation'!$E$7:$AD$94,MATCH($C981,'Dist Plant Depreciation'!$D$7:$D$94,0),MATCH(Calculation!$G981,'Dist Plant Depreciation'!$E$5:$AD$5,0))</f>
        <v>470582</v>
      </c>
      <c r="BX981" s="118">
        <f>INDEX('Gen. Plant Depreciation'!$E$7:$AD$94,MATCH($C981,'Gen. Plant Depreciation'!$D$7:$D$94,0),MATCH(Calculation!$G981,'Gen. Plant Depreciation'!$E$5:$AD$5,0))</f>
        <v>82689</v>
      </c>
      <c r="BY981" s="118"/>
      <c r="BZ981" s="118"/>
      <c r="CA981" s="118"/>
      <c r="CB981" s="118"/>
      <c r="CC981" s="118"/>
      <c r="CD981" s="183"/>
      <c r="CE981" s="118">
        <f>INDEX('Gross Dx Plant'!$E$7:$AD$91,MATCH($C981,'Gross Dx Plant'!$D$7:$D$91,0),MATCH(Calculation!$G981,'Gross Dx Plant'!$E$5:$AD$5,0))</f>
        <v>1293798</v>
      </c>
      <c r="CF981" s="118">
        <f>INDEX('Gross Gen Plant'!$E$7:$AD$91,MATCH($C981,'Gross Gen Plant'!$D$7:$D$91,0),MATCH(Calculation!$G981,'Gross Gen Plant'!$E$5:$AD$5,0))</f>
        <v>125589</v>
      </c>
      <c r="CG981" s="118">
        <f t="shared" si="2806"/>
        <v>866116</v>
      </c>
      <c r="CH981" s="118"/>
      <c r="CI981" s="121">
        <v>2007</v>
      </c>
      <c r="CJ981" s="118"/>
      <c r="CK981" s="118"/>
      <c r="CL981" s="118"/>
      <c r="CM981" s="183"/>
      <c r="CN981" s="118">
        <f t="shared" si="2897"/>
        <v>127516</v>
      </c>
      <c r="CO981" s="118">
        <f t="shared" si="2898"/>
        <v>256.04475148427662</v>
      </c>
      <c r="CP981" s="186">
        <v>0.94915254237288138</v>
      </c>
      <c r="CQ981" s="118">
        <f>+CQ972*CP981+CO973*CP980+CO974*CP979+CO975*CP978+CO976*CP977+CO977*CP976+CO978*CP975+CO979*CP974+CO980*CP973+CO981</f>
        <v>4150.8913185326082</v>
      </c>
      <c r="CR981" s="119">
        <f t="shared" si="2899"/>
        <v>5.7353906376412703E-2</v>
      </c>
      <c r="CS981" s="119"/>
      <c r="CT981" s="177">
        <f t="shared" si="2900"/>
        <v>6.2949970547354029E-3</v>
      </c>
      <c r="CU981" s="177">
        <f t="shared" si="2908"/>
        <v>6.1150166318705915E-3</v>
      </c>
      <c r="CV981" s="119">
        <f>VLOOKUP($H981,RoR!$E:$F,2,FALSE)</f>
        <v>5.5558333333333321E-2</v>
      </c>
      <c r="CW981" s="177">
        <v>2.691120634145272E-2</v>
      </c>
      <c r="CX981" s="177">
        <f t="shared" si="2906"/>
        <v>2.86471269918806E-2</v>
      </c>
      <c r="CY981" s="177">
        <f t="shared" si="2909"/>
        <v>2.4786924976663034E-2</v>
      </c>
      <c r="CZ981" s="177">
        <f t="shared" si="2910"/>
        <v>6.4575155250632399E-2</v>
      </c>
      <c r="DA981" s="187">
        <f t="shared" si="2901"/>
        <v>0.86875000000000002</v>
      </c>
      <c r="DB981" s="188">
        <f t="shared" si="2902"/>
        <v>0.92303077153834634</v>
      </c>
      <c r="DC981" s="188">
        <f t="shared" si="2903"/>
        <v>0.52502249887505614</v>
      </c>
      <c r="DD981" s="188">
        <f t="shared" si="2904"/>
        <v>0.88499666072084604</v>
      </c>
      <c r="DE981" s="188">
        <f t="shared" si="2905"/>
        <v>0.42887993290280618</v>
      </c>
      <c r="DF981" s="189">
        <f>INDEX('State Tax Lookup'!$D$7:$Z$91,MATCH(Calculation!$C981,'State Tax Lookup'!$B$7:$B$91,0),MATCH($H981,'State Tax Lookup'!$D$6:$Z$6,0))</f>
        <v>0.35</v>
      </c>
      <c r="DG981" s="189">
        <v>0.375</v>
      </c>
      <c r="DH981" s="190">
        <f t="shared" si="2907"/>
        <v>16.412514033761301</v>
      </c>
      <c r="DI981" s="190">
        <v>16.187828683661973</v>
      </c>
      <c r="DJ981" s="177"/>
      <c r="DK981" s="189">
        <f>VLOOKUP($H981,RoR!$E:$F,2,FALSE)</f>
        <v>5.5558333333333321E-2</v>
      </c>
      <c r="DL981" s="191">
        <f>HLOOKUP($H981,'GDP-PI'!$D$8:$CQ$11,3,FALSE)</f>
        <v>2.691120634145272E-2</v>
      </c>
      <c r="DM981" s="189">
        <f>VLOOKUP(H981,'HW Dx Data'!$E:$F,2,FALSE)</f>
        <v>498.0223154772637</v>
      </c>
      <c r="DN981" s="183">
        <f>VLOOKUP(H981,'ECI - Input Price'!$G$17:$H$37,2,FALSE)</f>
        <v>105.22500000000001</v>
      </c>
      <c r="DO981" s="177">
        <f t="shared" ref="DO981" si="2935">LN(DN981/DN980)</f>
        <v>3.0638025400780679E-2</v>
      </c>
      <c r="DP981" s="183">
        <f>HLOOKUP(H981,'GDP-PI'!$8:$9,2,FALSE)</f>
        <v>92.498000000000005</v>
      </c>
      <c r="DQ981" s="177">
        <f t="shared" ref="DQ981" si="2936">LN(DP981/DP980)</f>
        <v>2.6555467950038037E-2</v>
      </c>
    </row>
    <row r="982" spans="1:121" s="167" customFormat="1" ht="21" x14ac:dyDescent="0.35">
      <c r="A982" s="167" t="s">
        <v>97</v>
      </c>
      <c r="B982" s="167" t="s">
        <v>97</v>
      </c>
      <c r="C982" s="167">
        <v>4057140</v>
      </c>
      <c r="D982" s="168" t="s">
        <v>149</v>
      </c>
      <c r="E982" s="168"/>
      <c r="F982" s="198"/>
      <c r="G982" s="167" t="s">
        <v>14</v>
      </c>
      <c r="H982" s="169">
        <v>2008</v>
      </c>
      <c r="I982" s="170"/>
      <c r="J982" s="166">
        <f>IFERROR(INDEX('Labor Expenditures'!$F$7:$X$91,MATCH($C982,'Labor Expenditures'!$D$7:$D$91,0),MATCH($G982,'Labor Expenditures'!$F$5:$X$5,0)),"NA")</f>
        <v>43050.29255494431</v>
      </c>
      <c r="K982" s="166">
        <f t="shared" si="2913"/>
        <v>397.78510099278645</v>
      </c>
      <c r="L982" s="172">
        <f t="shared" si="2920"/>
        <v>-6.4888759320762449E-2</v>
      </c>
      <c r="M982" s="172">
        <f t="shared" si="2924"/>
        <v>-1.3208247742032924E-3</v>
      </c>
      <c r="N982" s="196"/>
      <c r="O982" s="172"/>
      <c r="P982" s="166">
        <f>IFERROR(INDEX('Non-Labor Expenditures'!$F$7:$AB$91,MATCH($C982,'Non-Labor Expenditures'!$D$7:$D$91,0),MATCH($G982,'Non-Labor Expenditures'!$F$5:$AB$5,0)),"NA")</f>
        <v>62344.864305080519</v>
      </c>
      <c r="Q982" s="166">
        <f t="shared" si="2914"/>
        <v>661.38572843376608</v>
      </c>
      <c r="R982" s="172">
        <f t="shared" si="2925"/>
        <v>-5.56896143973847E-2</v>
      </c>
      <c r="S982" s="172">
        <f t="shared" si="2930"/>
        <v>-1.1335741834465666E-3</v>
      </c>
      <c r="T982" s="172"/>
      <c r="U982" s="172"/>
      <c r="V982" s="166">
        <f t="shared" si="2895"/>
        <v>77436.328019782566</v>
      </c>
      <c r="W982" s="170"/>
      <c r="X982" s="174">
        <v>4355.4251787176172</v>
      </c>
      <c r="Y982" s="175">
        <v>4.809914882282617E-2</v>
      </c>
      <c r="Z982" s="175">
        <f t="shared" si="2931"/>
        <v>9.7906860985323349E-4</v>
      </c>
      <c r="AA982" s="175"/>
      <c r="AB982" s="175"/>
      <c r="AC982" s="170">
        <f t="shared" si="2863"/>
        <v>182831.48487980739</v>
      </c>
      <c r="AD982" s="175">
        <f t="shared" si="2926"/>
        <v>5.1392738817287349E-2</v>
      </c>
      <c r="AE982" s="170"/>
      <c r="AF982" s="170"/>
      <c r="AG982" s="121">
        <f t="shared" si="2927"/>
        <v>207.39257244990469</v>
      </c>
      <c r="AH982" s="119">
        <f>+AZ982/$BB$46</f>
        <v>2.4756408743770025E-2</v>
      </c>
      <c r="AI982" s="119"/>
      <c r="AJ982" s="176">
        <f t="shared" si="2932"/>
        <v>5.1342952939917792</v>
      </c>
      <c r="AK982" s="176">
        <f t="shared" si="2933"/>
        <v>0</v>
      </c>
      <c r="AL982" s="120">
        <f t="shared" si="2915"/>
        <v>0.2354643270727981</v>
      </c>
      <c r="AM982" s="120">
        <f t="shared" si="2916"/>
        <v>0.34099632427131332</v>
      </c>
      <c r="AN982" s="120">
        <f t="shared" si="2917"/>
        <v>0.4235393486558886</v>
      </c>
      <c r="AO982" s="120">
        <f t="shared" si="2921"/>
        <v>-1.6754272665189873E-2</v>
      </c>
      <c r="AP982" s="173">
        <f t="shared" ref="AP982:AP995" si="2937">+AP981*EXP(AO982)</f>
        <v>106.23811514451836</v>
      </c>
      <c r="AQ982" s="175">
        <f t="shared" ref="AQ982:AQ995" si="2938">LN(AP982/AP981)</f>
        <v>-1.6754272665189886E-2</v>
      </c>
      <c r="AR982" s="177">
        <f>+AC982/$AE$46</f>
        <v>2.0355216959444443E-2</v>
      </c>
      <c r="AS982" s="177">
        <f t="shared" si="2934"/>
        <v>-3.410368550976296E-4</v>
      </c>
      <c r="AT982" s="177"/>
      <c r="AU982" s="177"/>
      <c r="AV982" s="177"/>
      <c r="AW982" s="190"/>
      <c r="AX982" s="120"/>
      <c r="AY982" s="120"/>
      <c r="AZ982" s="118">
        <f>IFERROR(INDEX('Total Customers'!$F$7:$AB$91,MATCH($C982,'Total Customers'!$D$7:$D$91,0),MATCH($G982,'Total Customers'!$F$5:$AB$5,0)),"NA")</f>
        <v>881572</v>
      </c>
      <c r="BA982" s="119">
        <f t="shared" si="2896"/>
        <v>2.1542307390106093E-2</v>
      </c>
      <c r="BB982" s="119"/>
      <c r="BC982" s="121"/>
      <c r="BD982" s="119"/>
      <c r="BE982" s="119"/>
      <c r="BF982" s="119"/>
      <c r="BG982" s="173"/>
      <c r="BH982" s="173"/>
      <c r="BI982" s="173"/>
      <c r="BJ982" s="173"/>
      <c r="BK982" s="173"/>
      <c r="BL982" s="173"/>
      <c r="BM982" s="173"/>
      <c r="BN982" s="173"/>
      <c r="BO982" s="173"/>
      <c r="BP982" s="173"/>
      <c r="BQ982" s="118"/>
      <c r="BR982" s="118"/>
      <c r="BS982" s="118">
        <f>INDEX('Dist. Plant Gas Additions'!$F$7:$AE$91,MATCH($C982,'Dist. Plant Gas Additions'!$D$7:$D$91,0),MATCH(Calculation!$G982,'Dist. Plant Gas Additions'!$F$5:$AE$5,0))</f>
        <v>122491</v>
      </c>
      <c r="BT982" s="118">
        <f>INDEX('Gen. Plant Additions'!$F$7:$AE$91,MATCH($C982,'Gen. Plant Additions'!$D$7:$D$91,0),MATCH(Calculation!$G982,'Gen. Plant Additions'!$F$5:$AE$5,0))</f>
        <v>9329</v>
      </c>
      <c r="BU982" s="118"/>
      <c r="BV982" s="118"/>
      <c r="BW982" s="118">
        <f>INDEX('Dist Plant Depreciation'!$E$7:$AD$94,MATCH($C982,'Dist Plant Depreciation'!$D$7:$D$94,0),MATCH(Calculation!$G982,'Dist Plant Depreciation'!$E$5:$AD$5,0))</f>
        <v>451920</v>
      </c>
      <c r="BX982" s="118">
        <f>INDEX('Gen. Plant Depreciation'!$E$7:$AD$94,MATCH($C982,'Gen. Plant Depreciation'!$D$7:$D$94,0),MATCH(Calculation!$G982,'Gen. Plant Depreciation'!$E$5:$AD$5,0))</f>
        <v>130646</v>
      </c>
      <c r="BY982" s="118"/>
      <c r="BZ982" s="118"/>
      <c r="CA982" s="118"/>
      <c r="CB982" s="118"/>
      <c r="CC982" s="118"/>
      <c r="CD982" s="183"/>
      <c r="CE982" s="118">
        <f>INDEX('Gross Dx Plant'!$E$7:$AD$91,MATCH($C982,'Gross Dx Plant'!$D$7:$D$91,0),MATCH(Calculation!$G982,'Gross Dx Plant'!$E$5:$AD$5,0))</f>
        <v>1362904</v>
      </c>
      <c r="CF982" s="118">
        <f>INDEX('Gross Gen Plant'!$E$7:$AD$91,MATCH($C982,'Gross Gen Plant'!$D$7:$D$91,0),MATCH(Calculation!$G982,'Gross Gen Plant'!$E$5:$AD$5,0))</f>
        <v>173982</v>
      </c>
      <c r="CG982" s="118">
        <f t="shared" si="2806"/>
        <v>954320</v>
      </c>
      <c r="CH982" s="118"/>
      <c r="CI982" s="121">
        <v>2008</v>
      </c>
      <c r="CJ982" s="118"/>
      <c r="CK982" s="118"/>
      <c r="CL982" s="118"/>
      <c r="CM982" s="183"/>
      <c r="CN982" s="118">
        <f t="shared" si="2897"/>
        <v>131820</v>
      </c>
      <c r="CO982" s="118">
        <f t="shared" si="2898"/>
        <v>231.31136669983448</v>
      </c>
      <c r="CP982" s="186">
        <v>0.94252873563218387</v>
      </c>
      <c r="CQ982" s="118">
        <f>+CQ972*CP982+CO973*CP981+CO974*CP980+CO975*CP979+CO976*CP978+CO977*CP977+CO978*CP976+CO979*CP975+CO980*CP974+CO981*CP973+CO982</f>
        <v>4355.4251787176172</v>
      </c>
      <c r="CR982" s="119">
        <f t="shared" si="2899"/>
        <v>4.809914882282617E-2</v>
      </c>
      <c r="CS982" s="119"/>
      <c r="CT982" s="177">
        <f t="shared" si="2900"/>
        <v>6.4510256858017903E-3</v>
      </c>
      <c r="CU982" s="177">
        <f t="shared" si="2908"/>
        <v>6.2880575401511214E-3</v>
      </c>
      <c r="CV982" s="119">
        <f>VLOOKUP($H982,RoR!$E:$F,2,FALSE)</f>
        <v>5.6316666666666668E-2</v>
      </c>
      <c r="CW982" s="177">
        <v>1.9092304698479889E-2</v>
      </c>
      <c r="CX982" s="177">
        <f t="shared" si="2906"/>
        <v>3.7224361968186778E-2</v>
      </c>
      <c r="CY982" s="177">
        <f t="shared" si="2909"/>
        <v>2.4613884068382504E-2</v>
      </c>
      <c r="CZ982" s="177">
        <f t="shared" si="2910"/>
        <v>6.9030581091053131E-2</v>
      </c>
      <c r="DA982" s="187">
        <f t="shared" si="2901"/>
        <v>0.86875000000000002</v>
      </c>
      <c r="DB982" s="188">
        <f t="shared" si="2902"/>
        <v>0.91060168006009956</v>
      </c>
      <c r="DC982" s="188">
        <f t="shared" si="2903"/>
        <v>0.53108168097070152</v>
      </c>
      <c r="DD982" s="188">
        <f t="shared" si="2904"/>
        <v>0.88825329850328805</v>
      </c>
      <c r="DE982" s="188">
        <f t="shared" si="2905"/>
        <v>0.4295627335323573</v>
      </c>
      <c r="DF982" s="189">
        <f>INDEX('State Tax Lookup'!$D$7:$Z$91,MATCH(Calculation!$C982,'State Tax Lookup'!$B$7:$B$91,0),MATCH($H982,'State Tax Lookup'!$D$6:$Z$6,0))</f>
        <v>0.35</v>
      </c>
      <c r="DG982" s="189">
        <v>0.375</v>
      </c>
      <c r="DH982" s="190">
        <f t="shared" si="2907"/>
        <v>18.655349436409065</v>
      </c>
      <c r="DI982" s="190">
        <v>18.425393429052434</v>
      </c>
      <c r="DJ982" s="177"/>
      <c r="DK982" s="189">
        <f>VLOOKUP($H982,RoR!$E:$F,2,FALSE)</f>
        <v>5.6316666666666668E-2</v>
      </c>
      <c r="DL982" s="191">
        <f>HLOOKUP($H982,'GDP-PI'!$D$8:$CQ$11,3,FALSE)</f>
        <v>1.9092304698479889E-2</v>
      </c>
      <c r="DM982" s="189">
        <f>VLOOKUP(H982,'HW Dx Data'!$E:$F,2,FALSE)</f>
        <v>569.88120333515076</v>
      </c>
      <c r="DN982" s="183">
        <f>VLOOKUP(H982,'ECI - Input Price'!$G$17:$H$37,2,FALSE)</f>
        <v>108.22499999999999</v>
      </c>
      <c r="DO982" s="177">
        <f t="shared" ref="DO982" si="2939">LN(DN982/DN981)</f>
        <v>2.8111478671409691E-2</v>
      </c>
      <c r="DP982" s="183">
        <f>HLOOKUP(H982,'GDP-PI'!$8:$9,2,FALSE)</f>
        <v>94.263999999999996</v>
      </c>
      <c r="DQ982" s="177">
        <f t="shared" ref="DQ982" si="2940">LN(DP982/DP981)</f>
        <v>1.8912333748032254E-2</v>
      </c>
    </row>
    <row r="983" spans="1:121" s="167" customFormat="1" ht="21" x14ac:dyDescent="0.35">
      <c r="A983" s="167" t="s">
        <v>97</v>
      </c>
      <c r="B983" s="167" t="s">
        <v>97</v>
      </c>
      <c r="C983" s="167">
        <v>4057140</v>
      </c>
      <c r="D983" s="168" t="s">
        <v>149</v>
      </c>
      <c r="E983" s="168"/>
      <c r="F983" s="198"/>
      <c r="G983" s="167" t="s">
        <v>15</v>
      </c>
      <c r="H983" s="169">
        <v>2009</v>
      </c>
      <c r="I983" s="170"/>
      <c r="J983" s="166">
        <f>IFERROR(INDEX('Labor Expenditures'!$F$7:$X$91,MATCH($C983,'Labor Expenditures'!$D$7:$D$91,0),MATCH($G983,'Labor Expenditures'!$F$5:$X$5,0)),"NA")</f>
        <v>44753.948582870224</v>
      </c>
      <c r="K983" s="166">
        <f t="shared" si="2913"/>
        <v>407.68798526868801</v>
      </c>
      <c r="L983" s="172">
        <f t="shared" si="2920"/>
        <v>2.4590227645210776E-2</v>
      </c>
      <c r="M983" s="172">
        <f t="shared" si="2924"/>
        <v>4.9237974948630324E-4</v>
      </c>
      <c r="N983" s="196"/>
      <c r="O983" s="172"/>
      <c r="P983" s="166">
        <f>IFERROR(INDEX('Non-Labor Expenditures'!$F$7:$AB$91,MATCH($C983,'Non-Labor Expenditures'!$D$7:$D$91,0),MATCH($G983,'Non-Labor Expenditures'!$F$5:$AB$5,0)),"NA")</f>
        <v>64812.076432571041</v>
      </c>
      <c r="Q983" s="166">
        <f t="shared" si="2914"/>
        <v>682.23956496985272</v>
      </c>
      <c r="R983" s="172">
        <f t="shared" si="2925"/>
        <v>3.1043641946637793E-2</v>
      </c>
      <c r="S983" s="172">
        <f t="shared" si="2930"/>
        <v>6.215989890522623E-4</v>
      </c>
      <c r="T983" s="172"/>
      <c r="U983" s="172"/>
      <c r="V983" s="166">
        <f t="shared" si="2895"/>
        <v>78030.834634798361</v>
      </c>
      <c r="W983" s="170"/>
      <c r="X983" s="174">
        <v>4455.8351505819819</v>
      </c>
      <c r="Y983" s="175">
        <v>2.279227145393058E-2</v>
      </c>
      <c r="Z983" s="175">
        <f t="shared" si="2931"/>
        <v>4.5637856918725425E-4</v>
      </c>
      <c r="AA983" s="175"/>
      <c r="AB983" s="175"/>
      <c r="AC983" s="170">
        <f t="shared" si="2863"/>
        <v>187596.85965023964</v>
      </c>
      <c r="AD983" s="175">
        <f t="shared" si="2926"/>
        <v>2.573041587831321E-2</v>
      </c>
      <c r="AE983" s="170"/>
      <c r="AF983" s="170"/>
      <c r="AG983" s="121">
        <f t="shared" si="2927"/>
        <v>210.46398172908664</v>
      </c>
      <c r="AH983" s="119">
        <f>+AZ983/$BB$47</f>
        <v>2.4994851292779303E-2</v>
      </c>
      <c r="AI983" s="119"/>
      <c r="AJ983" s="176">
        <f t="shared" si="2932"/>
        <v>5.2605159258047411</v>
      </c>
      <c r="AK983" s="176">
        <f t="shared" si="2933"/>
        <v>0</v>
      </c>
      <c r="AL983" s="120">
        <f t="shared" si="2915"/>
        <v>0.23856448698720556</v>
      </c>
      <c r="AM983" s="120">
        <f t="shared" si="2916"/>
        <v>0.34548593485737622</v>
      </c>
      <c r="AN983" s="120">
        <f t="shared" si="2917"/>
        <v>0.41594957815541816</v>
      </c>
      <c r="AO983" s="120">
        <f t="shared" si="2921"/>
        <v>2.6050622702843501E-2</v>
      </c>
      <c r="AP983" s="173">
        <f t="shared" si="2937"/>
        <v>109.04204772491877</v>
      </c>
      <c r="AQ983" s="175">
        <f t="shared" si="2938"/>
        <v>2.6050622702843491E-2</v>
      </c>
      <c r="AR983" s="177">
        <f>+AC983/$AE$47</f>
        <v>2.0023391267067009E-2</v>
      </c>
      <c r="AS983" s="177">
        <f t="shared" si="2934"/>
        <v>5.2162181112977392E-4</v>
      </c>
      <c r="AT983" s="177"/>
      <c r="AU983" s="177"/>
      <c r="AV983" s="177"/>
      <c r="AW983" s="190"/>
      <c r="AX983" s="120"/>
      <c r="AY983" s="120"/>
      <c r="AZ983" s="118">
        <f>IFERROR(INDEX('Total Customers'!$F$7:$AB$91,MATCH($C983,'Total Customers'!$D$7:$D$91,0),MATCH($G983,'Total Customers'!$F$5:$AB$5,0)),"NA")</f>
        <v>891349</v>
      </c>
      <c r="BA983" s="119">
        <f t="shared" si="2896"/>
        <v>1.1029368044779444E-2</v>
      </c>
      <c r="BB983" s="119"/>
      <c r="BC983" s="121"/>
      <c r="BD983" s="119"/>
      <c r="BE983" s="119"/>
      <c r="BF983" s="119"/>
      <c r="BG983" s="173"/>
      <c r="BH983" s="173"/>
      <c r="BI983" s="173"/>
      <c r="BJ983" s="173"/>
      <c r="BK983" s="173"/>
      <c r="BL983" s="173"/>
      <c r="BM983" s="173"/>
      <c r="BN983" s="173"/>
      <c r="BO983" s="173"/>
      <c r="BP983" s="173"/>
      <c r="BQ983" s="118"/>
      <c r="BR983" s="118"/>
      <c r="BS983" s="118">
        <f>INDEX('Dist. Plant Gas Additions'!$F$7:$AE$91,MATCH($C983,'Dist. Plant Gas Additions'!$D$7:$D$91,0),MATCH(Calculation!$G983,'Dist. Plant Gas Additions'!$F$5:$AE$5,0))</f>
        <v>54532</v>
      </c>
      <c r="BT983" s="118">
        <f>INDEX('Gen. Plant Additions'!$F$7:$AE$91,MATCH($C983,'Gen. Plant Additions'!$D$7:$D$91,0),MATCH(Calculation!$G983,'Gen. Plant Additions'!$F$5:$AE$5,0))</f>
        <v>16677</v>
      </c>
      <c r="BU983" s="118"/>
      <c r="BV983" s="118"/>
      <c r="BW983" s="118">
        <f>INDEX('Dist Plant Depreciation'!$E$7:$AD$94,MATCH($C983,'Dist Plant Depreciation'!$D$7:$D$94,0),MATCH(Calculation!$G983,'Dist Plant Depreciation'!$E$5:$AD$5,0))</f>
        <v>482581</v>
      </c>
      <c r="BX983" s="118">
        <f>INDEX('Gen. Plant Depreciation'!$E$7:$AD$94,MATCH($C983,'Gen. Plant Depreciation'!$D$7:$D$94,0),MATCH(Calculation!$G983,'Gen. Plant Depreciation'!$E$5:$AD$5,0))</f>
        <v>133855</v>
      </c>
      <c r="BY983" s="118"/>
      <c r="BZ983" s="118"/>
      <c r="CA983" s="118"/>
      <c r="CB983" s="118"/>
      <c r="CC983" s="118"/>
      <c r="CD983" s="183"/>
      <c r="CE983" s="118">
        <f>INDEX('Gross Dx Plant'!$E$7:$AD$91,MATCH($C983,'Gross Dx Plant'!$D$7:$D$91,0),MATCH(Calculation!$G983,'Gross Dx Plant'!$E$5:$AD$5,0))</f>
        <v>1414078</v>
      </c>
      <c r="CF983" s="118">
        <f>INDEX('Gross Gen Plant'!$E$7:$AD$91,MATCH($C983,'Gross Gen Plant'!$D$7:$D$91,0),MATCH(Calculation!$G983,'Gross Gen Plant'!$E$5:$AD$5,0))</f>
        <v>183106</v>
      </c>
      <c r="CG983" s="118">
        <f t="shared" si="2806"/>
        <v>980748</v>
      </c>
      <c r="CH983" s="118"/>
      <c r="CI983" s="121">
        <v>2009</v>
      </c>
      <c r="CJ983" s="118"/>
      <c r="CK983" s="118"/>
      <c r="CL983" s="118"/>
      <c r="CM983" s="183"/>
      <c r="CN983" s="118">
        <f t="shared" si="2897"/>
        <v>71209</v>
      </c>
      <c r="CO983" s="118">
        <f t="shared" si="2898"/>
        <v>129.24985968360693</v>
      </c>
      <c r="CP983" s="186">
        <v>0.93567251461988299</v>
      </c>
      <c r="CQ983" s="118">
        <f>+CQ972*CP983+CO973*CP982+CO974*CP981+CO975*CP980+CO976*CP979+CO977*CP978+CO978*CP977+CO979*CP976+CO980*CP975+CO981*CP974+CO982*CP973+CO983</f>
        <v>4455.8351505819819</v>
      </c>
      <c r="CR983" s="119">
        <f t="shared" si="2899"/>
        <v>2.279227145393058E-2</v>
      </c>
      <c r="CS983" s="119"/>
      <c r="CT983" s="177">
        <f t="shared" si="2900"/>
        <v>6.6216010230564105E-3</v>
      </c>
      <c r="CU983" s="177">
        <f t="shared" si="2908"/>
        <v>6.4558745878645352E-3</v>
      </c>
      <c r="CV983" s="119">
        <f>VLOOKUP($H983,RoR!$E:$F,2,FALSE)</f>
        <v>5.3133333333333324E-2</v>
      </c>
      <c r="CW983" s="177">
        <v>7.7972502758210105E-3</v>
      </c>
      <c r="CX983" s="177">
        <f t="shared" si="2906"/>
        <v>4.5336083057512314E-2</v>
      </c>
      <c r="CY983" s="177">
        <f t="shared" si="2909"/>
        <v>2.444606702066909E-2</v>
      </c>
      <c r="CZ983" s="177">
        <f t="shared" si="2910"/>
        <v>6.3720160300892073E-2</v>
      </c>
      <c r="DA983" s="187">
        <f t="shared" si="2901"/>
        <v>0.86875000000000002</v>
      </c>
      <c r="DB983" s="188">
        <f t="shared" si="2902"/>
        <v>0.96515780330083989</v>
      </c>
      <c r="DC983" s="188">
        <f t="shared" si="2903"/>
        <v>0.50448557089084056</v>
      </c>
      <c r="DD983" s="188">
        <f t="shared" si="2904"/>
        <v>0.87391435735465484</v>
      </c>
      <c r="DE983" s="188">
        <f t="shared" si="2905"/>
        <v>0.42551605393279146</v>
      </c>
      <c r="DF983" s="189">
        <f>INDEX('State Tax Lookup'!$D$7:$Z$91,MATCH(Calculation!$C983,'State Tax Lookup'!$B$7:$B$91,0),MATCH($H983,'State Tax Lookup'!$D$6:$Z$6,0))</f>
        <v>0.35</v>
      </c>
      <c r="DG983" s="189">
        <v>0.375</v>
      </c>
      <c r="DH983" s="190">
        <f t="shared" si="2907"/>
        <v>17.915778926955014</v>
      </c>
      <c r="DI983" s="190">
        <v>17.631582830192812</v>
      </c>
      <c r="DJ983" s="177"/>
      <c r="DK983" s="189">
        <f>VLOOKUP($H983,RoR!$E:$F,2,FALSE)</f>
        <v>5.3133333333333324E-2</v>
      </c>
      <c r="DL983" s="191">
        <f>HLOOKUP($H983,'GDP-PI'!$D$8:$CQ$11,3,FALSE)</f>
        <v>7.7972502758210105E-3</v>
      </c>
      <c r="DM983" s="189">
        <f>VLOOKUP(H983,'HW Dx Data'!$E:$F,2,FALSE)</f>
        <v>550.94063679692806</v>
      </c>
      <c r="DN983" s="183">
        <f>VLOOKUP(H983,'ECI - Input Price'!$G$17:$H$37,2,FALSE)</f>
        <v>109.77499999999999</v>
      </c>
      <c r="DO983" s="177">
        <f t="shared" ref="DO983" si="2941">LN(DN983/DN982)</f>
        <v>1.4220423119736749E-2</v>
      </c>
      <c r="DP983" s="183">
        <f>HLOOKUP(H983,'GDP-PI'!$8:$9,2,FALSE)</f>
        <v>94.998999999999995</v>
      </c>
      <c r="DQ983" s="177">
        <f t="shared" ref="DQ983" si="2942">LN(DP983/DP982)</f>
        <v>7.7670088183096342E-3</v>
      </c>
    </row>
    <row r="984" spans="1:121" s="167" customFormat="1" ht="21" x14ac:dyDescent="0.35">
      <c r="A984" s="167" t="s">
        <v>97</v>
      </c>
      <c r="B984" s="167" t="s">
        <v>97</v>
      </c>
      <c r="C984" s="167">
        <v>4057140</v>
      </c>
      <c r="D984" s="168" t="s">
        <v>149</v>
      </c>
      <c r="E984" s="168"/>
      <c r="F984" s="198"/>
      <c r="G984" s="167" t="s">
        <v>16</v>
      </c>
      <c r="H984" s="169">
        <v>2010</v>
      </c>
      <c r="I984" s="170"/>
      <c r="J984" s="166">
        <f>IFERROR(INDEX('Labor Expenditures'!$F$7:$X$91,MATCH($C984,'Labor Expenditures'!$D$7:$D$91,0),MATCH($G984,'Labor Expenditures'!$F$5:$X$5,0)),"NA")</f>
        <v>46723.778410027815</v>
      </c>
      <c r="K984" s="166">
        <f t="shared" si="2913"/>
        <v>417.64271204494139</v>
      </c>
      <c r="L984" s="172">
        <f t="shared" si="2920"/>
        <v>2.4124171287981059E-2</v>
      </c>
      <c r="M984" s="172">
        <f t="shared" si="2924"/>
        <v>4.8770380540705629E-4</v>
      </c>
      <c r="N984" s="196"/>
      <c r="O984" s="172"/>
      <c r="P984" s="166">
        <f>IFERROR(INDEX('Non-Labor Expenditures'!$F$7:$AB$91,MATCH($C984,'Non-Labor Expenditures'!$D$7:$D$91,0),MATCH($G984,'Non-Labor Expenditures'!$F$5:$AB$5,0)),"NA")</f>
        <v>67664.757935757138</v>
      </c>
      <c r="Q984" s="166">
        <f t="shared" si="2914"/>
        <v>704.04184764961803</v>
      </c>
      <c r="R984" s="172">
        <f t="shared" si="2925"/>
        <v>3.1456932628068923E-2</v>
      </c>
      <c r="S984" s="172">
        <f t="shared" si="2930"/>
        <v>6.3594581409666916E-4</v>
      </c>
      <c r="T984" s="172"/>
      <c r="U984" s="172"/>
      <c r="V984" s="166">
        <f t="shared" si="2895"/>
        <v>81936.094824176995</v>
      </c>
      <c r="W984" s="170"/>
      <c r="X984" s="174">
        <v>4594.2313850877645</v>
      </c>
      <c r="Y984" s="175">
        <v>3.0586962791982801E-2</v>
      </c>
      <c r="Z984" s="175">
        <f t="shared" si="2931"/>
        <v>6.1835815918477002E-4</v>
      </c>
      <c r="AA984" s="175"/>
      <c r="AB984" s="175"/>
      <c r="AC984" s="170">
        <f t="shared" si="2863"/>
        <v>196324.63116996194</v>
      </c>
      <c r="AD984" s="175">
        <f t="shared" si="2926"/>
        <v>4.5474273760658844E-2</v>
      </c>
      <c r="AE984" s="170"/>
      <c r="AF984" s="170"/>
      <c r="AG984" s="121">
        <f t="shared" si="2927"/>
        <v>217.20305790834354</v>
      </c>
      <c r="AH984" s="119">
        <f>+AZ984/$BB$48</f>
        <v>2.5206594957580535E-2</v>
      </c>
      <c r="AI984" s="119"/>
      <c r="AJ984" s="176">
        <f t="shared" si="2932"/>
        <v>5.4749495042435248</v>
      </c>
      <c r="AK984" s="176">
        <f t="shared" si="2933"/>
        <v>0</v>
      </c>
      <c r="AL984" s="120">
        <f t="shared" si="2915"/>
        <v>0.23799244206692616</v>
      </c>
      <c r="AM984" s="120">
        <f t="shared" si="2916"/>
        <v>0.34465750696955838</v>
      </c>
      <c r="AN984" s="120">
        <f t="shared" si="2917"/>
        <v>0.41735005096351546</v>
      </c>
      <c r="AO984" s="120">
        <f t="shared" si="2921"/>
        <v>2.9347220744331742E-2</v>
      </c>
      <c r="AP984" s="173">
        <f t="shared" si="2937"/>
        <v>112.28954825233055</v>
      </c>
      <c r="AQ984" s="175">
        <f t="shared" si="2938"/>
        <v>2.9347220744331642E-2</v>
      </c>
      <c r="AR984" s="177">
        <f>+AC984/$AE$48</f>
        <v>2.0216396227050334E-2</v>
      </c>
      <c r="AS984" s="177">
        <f t="shared" si="2934"/>
        <v>5.9329504273011955E-4</v>
      </c>
      <c r="AT984" s="177"/>
      <c r="AU984" s="177"/>
      <c r="AV984" s="177"/>
      <c r="AW984" s="190"/>
      <c r="AX984" s="120"/>
      <c r="AY984" s="120"/>
      <c r="AZ984" s="118">
        <f>IFERROR(INDEX('Total Customers'!$F$7:$AB$91,MATCH($C984,'Total Customers'!$D$7:$D$91,0),MATCH($G984,'Total Customers'!$F$5:$AB$5,0)),"NA")</f>
        <v>903876</v>
      </c>
      <c r="BA984" s="119">
        <f t="shared" si="2896"/>
        <v>1.3956137338689192E-2</v>
      </c>
      <c r="BB984" s="119"/>
      <c r="BC984" s="121"/>
      <c r="BD984" s="119"/>
      <c r="BE984" s="119"/>
      <c r="BF984" s="119"/>
      <c r="BG984" s="173"/>
      <c r="BH984" s="173"/>
      <c r="BI984" s="173"/>
      <c r="BJ984" s="173"/>
      <c r="BK984" s="173"/>
      <c r="BL984" s="173"/>
      <c r="BM984" s="173"/>
      <c r="BN984" s="173"/>
      <c r="BO984" s="173"/>
      <c r="BP984" s="173"/>
      <c r="BQ984" s="118"/>
      <c r="BR984" s="118"/>
      <c r="BS984" s="118">
        <f>INDEX('Dist. Plant Gas Additions'!$F$7:$AE$91,MATCH($C984,'Dist. Plant Gas Additions'!$D$7:$D$91,0),MATCH(Calculation!$G984,'Dist. Plant Gas Additions'!$F$5:$AE$5,0))</f>
        <v>78057</v>
      </c>
      <c r="BT984" s="118">
        <f>INDEX('Gen. Plant Additions'!$F$7:$AE$91,MATCH($C984,'Gen. Plant Additions'!$D$7:$D$91,0),MATCH(Calculation!$G984,'Gen. Plant Additions'!$F$5:$AE$5,0))</f>
        <v>18030</v>
      </c>
      <c r="BU984" s="118"/>
      <c r="BV984" s="118"/>
      <c r="BW984" s="118">
        <f>INDEX('Dist Plant Depreciation'!$E$7:$AD$94,MATCH($C984,'Dist Plant Depreciation'!$D$7:$D$94,0),MATCH(Calculation!$G984,'Dist Plant Depreciation'!$E$5:$AD$5,0))</f>
        <v>610228</v>
      </c>
      <c r="BX984" s="118">
        <f>INDEX('Gen. Plant Depreciation'!$E$7:$AD$94,MATCH($C984,'Gen. Plant Depreciation'!$D$7:$D$94,0),MATCH(Calculation!$G984,'Gen. Plant Depreciation'!$E$5:$AD$5,0))</f>
        <v>77124</v>
      </c>
      <c r="BY984" s="118"/>
      <c r="BZ984" s="118"/>
      <c r="CA984" s="118"/>
      <c r="CB984" s="118"/>
      <c r="CC984" s="118"/>
      <c r="CD984" s="183"/>
      <c r="CE984" s="118">
        <f>INDEX('Gross Dx Plant'!$E$7:$AD$91,MATCH($C984,'Gross Dx Plant'!$D$7:$D$91,0),MATCH(Calculation!$G984,'Gross Dx Plant'!$E$5:$AD$5,0))</f>
        <v>1490113</v>
      </c>
      <c r="CF984" s="118">
        <f>INDEX('Gross Gen Plant'!$E$7:$AD$91,MATCH($C984,'Gross Gen Plant'!$D$7:$D$91,0),MATCH(Calculation!$G984,'Gross Gen Plant'!$E$5:$AD$5,0))</f>
        <v>188259</v>
      </c>
      <c r="CG984" s="118">
        <f t="shared" si="2806"/>
        <v>991020</v>
      </c>
      <c r="CH984" s="118"/>
      <c r="CI984" s="121">
        <v>2010</v>
      </c>
      <c r="CJ984" s="118"/>
      <c r="CK984" s="118"/>
      <c r="CL984" s="118"/>
      <c r="CM984" s="183"/>
      <c r="CN984" s="118">
        <f t="shared" si="2897"/>
        <v>96087</v>
      </c>
      <c r="CO984" s="118">
        <f t="shared" si="2898"/>
        <v>168.87306278219819</v>
      </c>
      <c r="CP984" s="186">
        <v>0.9285714285714286</v>
      </c>
      <c r="CQ984" s="118">
        <f>+CQ972*CP984+CO973*CP983+CO974*CP982+CO975*CP981+CO976*CP980+CO977*CP979+CO978*CP978+CO979*CP977+CO980*CP976+CO981*CP975+CO982*CP974+CO983*CP973+CO984</f>
        <v>4594.2313850877645</v>
      </c>
      <c r="CR984" s="119">
        <f t="shared" si="2899"/>
        <v>3.0586962791982801E-2</v>
      </c>
      <c r="CS984" s="119"/>
      <c r="CT984" s="177">
        <f t="shared" si="2900"/>
        <v>6.8397566890316883E-3</v>
      </c>
      <c r="CU984" s="177">
        <f t="shared" si="2908"/>
        <v>6.6374611326299633E-3</v>
      </c>
      <c r="CV984" s="119">
        <f>VLOOKUP($H984,RoR!$E:$F,2,FALSE)</f>
        <v>4.9433333333333322E-2</v>
      </c>
      <c r="CW984" s="177">
        <v>1.1684333519300205E-2</v>
      </c>
      <c r="CX984" s="177">
        <f t="shared" si="2906"/>
        <v>3.7748999814033117E-2</v>
      </c>
      <c r="CY984" s="177">
        <f t="shared" si="2909"/>
        <v>2.4264480475903662E-2</v>
      </c>
      <c r="CZ984" s="177">
        <f t="shared" si="2910"/>
        <v>4.7937530248493419E-2</v>
      </c>
      <c r="DA984" s="187">
        <f t="shared" si="2901"/>
        <v>0.86875000000000002</v>
      </c>
      <c r="DB984" s="188">
        <f t="shared" si="2902"/>
        <v>1.037398205301105</v>
      </c>
      <c r="DC984" s="188">
        <f t="shared" si="2903"/>
        <v>0.46926837491571133</v>
      </c>
      <c r="DD984" s="188">
        <f t="shared" si="2904"/>
        <v>0.8548537519972772</v>
      </c>
      <c r="DE984" s="188">
        <f t="shared" si="2905"/>
        <v>0.41615833911547367</v>
      </c>
      <c r="DF984" s="189">
        <f>INDEX('State Tax Lookup'!$D$7:$Z$91,MATCH(Calculation!$C984,'State Tax Lookup'!$B$7:$B$91,0),MATCH($H984,'State Tax Lookup'!$D$6:$Z$6,0))</f>
        <v>0.35</v>
      </c>
      <c r="DG984" s="189">
        <v>0.375</v>
      </c>
      <c r="DH984" s="190">
        <f t="shared" si="2907"/>
        <v>18.388493302647255</v>
      </c>
      <c r="DI984" s="190">
        <v>18.097801844030496</v>
      </c>
      <c r="DJ984" s="177"/>
      <c r="DK984" s="189">
        <f>VLOOKUP($H984,RoR!$E:$F,2,FALSE)</f>
        <v>4.9433333333333322E-2</v>
      </c>
      <c r="DL984" s="191">
        <f>HLOOKUP($H984,'GDP-PI'!$D$8:$CQ$11,3,FALSE)</f>
        <v>1.1684333519300205E-2</v>
      </c>
      <c r="DM984" s="189">
        <f>VLOOKUP(H984,'HW Dx Data'!$E:$F,2,FALSE)</f>
        <v>568.98950262971744</v>
      </c>
      <c r="DN984" s="183">
        <f>VLOOKUP(H984,'ECI - Input Price'!$G$17:$H$37,2,FALSE)</f>
        <v>111.875</v>
      </c>
      <c r="DO984" s="177">
        <f t="shared" ref="DO984" si="2943">LN(DN984/DN983)</f>
        <v>1.8949360147238387E-2</v>
      </c>
      <c r="DP984" s="183">
        <f>HLOOKUP(H984,'GDP-PI'!$8:$9,2,FALSE)</f>
        <v>96.108999999999995</v>
      </c>
      <c r="DQ984" s="177">
        <f t="shared" ref="DQ984" si="2944">LN(DP984/DP983)</f>
        <v>1.1616598807150427E-2</v>
      </c>
    </row>
    <row r="985" spans="1:121" s="167" customFormat="1" ht="21" x14ac:dyDescent="0.35">
      <c r="A985" s="167" t="s">
        <v>97</v>
      </c>
      <c r="B985" s="167" t="s">
        <v>97</v>
      </c>
      <c r="C985" s="167">
        <v>4057140</v>
      </c>
      <c r="D985" s="168" t="s">
        <v>149</v>
      </c>
      <c r="E985" s="168"/>
      <c r="F985" s="198"/>
      <c r="G985" s="167" t="s">
        <v>17</v>
      </c>
      <c r="H985" s="169">
        <v>2011</v>
      </c>
      <c r="I985" s="170"/>
      <c r="J985" s="166">
        <f>IFERROR(INDEX('Labor Expenditures'!$F$7:$X$91,MATCH($C985,'Labor Expenditures'!$D$7:$D$91,0),MATCH($G985,'Labor Expenditures'!$F$5:$X$5,0)),"NA")</f>
        <v>47705.903929846296</v>
      </c>
      <c r="K985" s="166">
        <f t="shared" si="2913"/>
        <v>417.37448757520821</v>
      </c>
      <c r="L985" s="172">
        <f t="shared" si="2920"/>
        <v>-6.424406086019852E-4</v>
      </c>
      <c r="M985" s="172">
        <f t="shared" si="2924"/>
        <v>-1.3040383097043089E-5</v>
      </c>
      <c r="N985" s="196"/>
      <c r="O985" s="172"/>
      <c r="P985" s="166">
        <f>IFERROR(INDEX('Non-Labor Expenditures'!$F$7:$AB$91,MATCH($C985,'Non-Labor Expenditures'!$D$7:$D$91,0),MATCH($G985,'Non-Labor Expenditures'!$F$5:$AB$5,0)),"NA")</f>
        <v>69087.059124198364</v>
      </c>
      <c r="Q985" s="166">
        <f t="shared" si="2914"/>
        <v>704.16523079947785</v>
      </c>
      <c r="R985" s="172">
        <f t="shared" si="2925"/>
        <v>1.7523438429436794E-4</v>
      </c>
      <c r="S985" s="172">
        <f t="shared" si="2930"/>
        <v>3.5569412524306103E-6</v>
      </c>
      <c r="T985" s="172"/>
      <c r="U985" s="172"/>
      <c r="V985" s="166">
        <f t="shared" si="2895"/>
        <v>90225.270424594768</v>
      </c>
      <c r="W985" s="170"/>
      <c r="X985" s="174">
        <v>4763.5224847424197</v>
      </c>
      <c r="Y985" s="175">
        <v>3.6185942567787087E-2</v>
      </c>
      <c r="Z985" s="175">
        <f t="shared" si="2931"/>
        <v>7.3450922543392375E-4</v>
      </c>
      <c r="AA985" s="175"/>
      <c r="AB985" s="175"/>
      <c r="AC985" s="170">
        <f t="shared" si="2863"/>
        <v>207018.23347863945</v>
      </c>
      <c r="AD985" s="175">
        <f t="shared" si="2926"/>
        <v>5.3037303235626485E-2</v>
      </c>
      <c r="AE985" s="170"/>
      <c r="AF985" s="170"/>
      <c r="AG985" s="121">
        <f t="shared" si="2927"/>
        <v>226.6365753507242</v>
      </c>
      <c r="AH985" s="119">
        <f>+AZ985/$BB$49</f>
        <v>2.5349389670311372E-2</v>
      </c>
      <c r="AI985" s="119"/>
      <c r="AJ985" s="176">
        <f t="shared" si="2932"/>
        <v>5.7450988621103933</v>
      </c>
      <c r="AK985" s="176">
        <f t="shared" si="2933"/>
        <v>0</v>
      </c>
      <c r="AL985" s="120">
        <f t="shared" si="2915"/>
        <v>0.23044300556631253</v>
      </c>
      <c r="AM985" s="120">
        <f t="shared" si="2916"/>
        <v>0.33372451287643173</v>
      </c>
      <c r="AN985" s="120">
        <f t="shared" si="2917"/>
        <v>0.43583248155725562</v>
      </c>
      <c r="AO985" s="120">
        <f t="shared" si="2921"/>
        <v>1.5345574011565803E-2</v>
      </c>
      <c r="AP985" s="173">
        <f t="shared" si="2937"/>
        <v>114.02598506003082</v>
      </c>
      <c r="AQ985" s="175">
        <f t="shared" si="2938"/>
        <v>1.534557401156573E-2</v>
      </c>
      <c r="AR985" s="177">
        <f>+AC985/$AE$49</f>
        <v>2.0298192428122287E-2</v>
      </c>
      <c r="AS985" s="177">
        <f t="shared" si="2934"/>
        <v>3.1148741420675363E-4</v>
      </c>
      <c r="AT985" s="177"/>
      <c r="AU985" s="177"/>
      <c r="AV985" s="177"/>
      <c r="AW985" s="190"/>
      <c r="AX985" s="120"/>
      <c r="AY985" s="120"/>
      <c r="AZ985" s="118">
        <f>IFERROR(INDEX('Total Customers'!$F$7:$AB$91,MATCH($C985,'Total Customers'!$D$7:$D$91,0),MATCH($G985,'Total Customers'!$F$5:$AB$5,0)),"NA")</f>
        <v>913437</v>
      </c>
      <c r="BA985" s="119">
        <f t="shared" si="2896"/>
        <v>1.0522225080415644E-2</v>
      </c>
      <c r="BB985" s="119"/>
      <c r="BC985" s="121"/>
      <c r="BD985" s="119"/>
      <c r="BE985" s="119"/>
      <c r="BF985" s="119"/>
      <c r="BG985" s="173"/>
      <c r="BH985" s="173"/>
      <c r="BI985" s="173"/>
      <c r="BJ985" s="173"/>
      <c r="BK985" s="173"/>
      <c r="BL985" s="173"/>
      <c r="BM985" s="173"/>
      <c r="BN985" s="173"/>
      <c r="BO985" s="173"/>
      <c r="BP985" s="173"/>
      <c r="BQ985" s="118"/>
      <c r="BR985" s="118"/>
      <c r="BS985" s="118">
        <f>INDEX('Dist. Plant Gas Additions'!$F$7:$AE$91,MATCH($C985,'Dist. Plant Gas Additions'!$D$7:$D$91,0),MATCH(Calculation!$G985,'Dist. Plant Gas Additions'!$F$5:$AE$5,0))</f>
        <v>98619</v>
      </c>
      <c r="BT985" s="118">
        <f>INDEX('Gen. Plant Additions'!$F$7:$AE$91,MATCH($C985,'Gen. Plant Additions'!$D$7:$D$91,0),MATCH(Calculation!$G985,'Gen. Plant Additions'!$F$5:$AE$5,0))</f>
        <v>24727</v>
      </c>
      <c r="BU985" s="118"/>
      <c r="BV985" s="118"/>
      <c r="BW985" s="118">
        <f>INDEX('Dist Plant Depreciation'!$E$7:$AD$94,MATCH($C985,'Dist Plant Depreciation'!$D$7:$D$94,0),MATCH(Calculation!$G985,'Dist Plant Depreciation'!$E$5:$AD$5,0))</f>
        <v>543446</v>
      </c>
      <c r="BX985" s="118">
        <f>INDEX('Gen. Plant Depreciation'!$E$7:$AD$94,MATCH($C985,'Gen. Plant Depreciation'!$D$7:$D$94,0),MATCH(Calculation!$G985,'Gen. Plant Depreciation'!$E$5:$AD$5,0))</f>
        <v>131572</v>
      </c>
      <c r="BY985" s="118"/>
      <c r="BZ985" s="118"/>
      <c r="CA985" s="118"/>
      <c r="CB985" s="118"/>
      <c r="CC985" s="118"/>
      <c r="CD985" s="183"/>
      <c r="CE985" s="118">
        <f>INDEX('Gross Dx Plant'!$E$7:$AD$91,MATCH($C985,'Gross Dx Plant'!$D$7:$D$91,0),MATCH(Calculation!$G985,'Gross Dx Plant'!$E$5:$AD$5,0))</f>
        <v>1583103</v>
      </c>
      <c r="CF985" s="118">
        <f>INDEX('Gross Gen Plant'!$E$7:$AD$91,MATCH($C985,'Gross Gen Plant'!$D$7:$D$91,0),MATCH(Calculation!$G985,'Gross Gen Plant'!$E$5:$AD$5,0))</f>
        <v>200214</v>
      </c>
      <c r="CG985" s="118">
        <f t="shared" si="2806"/>
        <v>1108299</v>
      </c>
      <c r="CH985" s="118"/>
      <c r="CI985" s="121">
        <v>2011</v>
      </c>
      <c r="CJ985" s="118"/>
      <c r="CK985" s="118"/>
      <c r="CL985" s="118"/>
      <c r="CM985" s="183"/>
      <c r="CN985" s="118">
        <f t="shared" si="2897"/>
        <v>123346</v>
      </c>
      <c r="CO985" s="118">
        <f t="shared" si="2898"/>
        <v>201.67390811239957</v>
      </c>
      <c r="CP985" s="186">
        <v>0.92121212121212126</v>
      </c>
      <c r="CQ985" s="118">
        <f>+CQ972*CP985+CO973*CP984+CO974*CP983+CO975*CP982+CO976*CP981+CO977*CP980+CO978*CP979+CO979*CP978+CO980*CP977+CO981*CP976+CO982*CP975+CO983*CP974+CO984*CP973+CO985</f>
        <v>4763.5224847424197</v>
      </c>
      <c r="CR985" s="119">
        <f t="shared" si="2899"/>
        <v>3.6185942567787087E-2</v>
      </c>
      <c r="CS985" s="119"/>
      <c r="CT985" s="177">
        <f t="shared" si="2900"/>
        <v>7.0485802179782314E-3</v>
      </c>
      <c r="CU985" s="177">
        <f t="shared" si="2908"/>
        <v>6.8366459766887764E-3</v>
      </c>
      <c r="CV985" s="119">
        <f>VLOOKUP($H985,RoR!$E:$F,2,FALSE)</f>
        <v>4.6391666666666664E-2</v>
      </c>
      <c r="CW985" s="177">
        <v>2.0840920205183799E-2</v>
      </c>
      <c r="CX985" s="177">
        <f t="shared" si="2906"/>
        <v>2.5550746461482865E-2</v>
      </c>
      <c r="CY985" s="177">
        <f t="shared" si="2909"/>
        <v>2.4065295631844848E-2</v>
      </c>
      <c r="CZ985" s="177">
        <f t="shared" si="2910"/>
        <v>2.4810540821321614E-2</v>
      </c>
      <c r="DA985" s="187">
        <f t="shared" si="2901"/>
        <v>0.86875000000000002</v>
      </c>
      <c r="DB985" s="188">
        <f t="shared" si="2902"/>
        <v>1.1054151524782025</v>
      </c>
      <c r="DC985" s="188">
        <f t="shared" si="2903"/>
        <v>0.43611011316687626</v>
      </c>
      <c r="DD985" s="188">
        <f t="shared" si="2904"/>
        <v>0.83698442246886229</v>
      </c>
      <c r="DE985" s="188">
        <f t="shared" si="2905"/>
        <v>0.40349573304423936</v>
      </c>
      <c r="DF985" s="189">
        <f>INDEX('State Tax Lookup'!$D$7:$Z$91,MATCH(Calculation!$C985,'State Tax Lookup'!$B$7:$B$91,0),MATCH($H985,'State Tax Lookup'!$D$6:$Z$6,0))</f>
        <v>0.35</v>
      </c>
      <c r="DG985" s="189">
        <v>0.375</v>
      </c>
      <c r="DH985" s="190">
        <f t="shared" si="2907"/>
        <v>19.638817217054726</v>
      </c>
      <c r="DI985" s="190">
        <v>19.324759546876454</v>
      </c>
      <c r="DJ985" s="177"/>
      <c r="DK985" s="189">
        <f>VLOOKUP($H985,RoR!$E:$F,2,FALSE)</f>
        <v>4.6391666666666664E-2</v>
      </c>
      <c r="DL985" s="191">
        <f>HLOOKUP($H985,'GDP-PI'!$D$8:$CQ$11,3,FALSE)</f>
        <v>2.0840920205183799E-2</v>
      </c>
      <c r="DM985" s="189">
        <f>VLOOKUP(H985,'HW Dx Data'!$E:$F,2,FALSE)</f>
        <v>611.61109612283201</v>
      </c>
      <c r="DN985" s="183">
        <f>VLOOKUP(H985,'ECI - Input Price'!$G$17:$H$37,2,FALSE)</f>
        <v>114.3</v>
      </c>
      <c r="DO985" s="177">
        <f t="shared" ref="DO985" si="2945">LN(DN985/DN984)</f>
        <v>2.1444394205745516E-2</v>
      </c>
      <c r="DP985" s="183">
        <f>HLOOKUP(H985,'GDP-PI'!$8:$9,2,FALSE)</f>
        <v>98.111999999999995</v>
      </c>
      <c r="DQ985" s="177">
        <f t="shared" ref="DQ985" si="2946">LN(DP985/DP984)</f>
        <v>2.0626719212849295E-2</v>
      </c>
    </row>
    <row r="986" spans="1:121" s="167" customFormat="1" ht="21" x14ac:dyDescent="0.35">
      <c r="A986" s="167" t="s">
        <v>97</v>
      </c>
      <c r="B986" s="167" t="s">
        <v>97</v>
      </c>
      <c r="C986" s="167">
        <v>4057140</v>
      </c>
      <c r="D986" s="168" t="s">
        <v>149</v>
      </c>
      <c r="E986" s="168"/>
      <c r="F986" s="198"/>
      <c r="G986" s="167" t="s">
        <v>18</v>
      </c>
      <c r="H986" s="169">
        <v>2012</v>
      </c>
      <c r="I986" s="170"/>
      <c r="J986" s="166">
        <f>IFERROR(INDEX('Labor Expenditures'!$F$7:$X$91,MATCH($C986,'Labor Expenditures'!$D$7:$D$91,0),MATCH($G986,'Labor Expenditures'!$F$5:$X$5,0)),"NA")</f>
        <v>50686.796149408685</v>
      </c>
      <c r="K986" s="166">
        <f t="shared" si="2913"/>
        <v>435.07979527389426</v>
      </c>
      <c r="L986" s="172">
        <f t="shared" si="2920"/>
        <v>4.1545581146640975E-2</v>
      </c>
      <c r="M986" s="172">
        <f t="shared" si="2924"/>
        <v>8.7574250105281663E-4</v>
      </c>
      <c r="N986" s="196"/>
      <c r="O986" s="172"/>
      <c r="P986" s="166">
        <f>IFERROR(INDEX('Non-Labor Expenditures'!$F$7:$AB$91,MATCH($C986,'Non-Labor Expenditures'!$D$7:$D$91,0),MATCH($G986,'Non-Labor Expenditures'!$F$5:$AB$5,0)),"NA")</f>
        <v>73403.947811992984</v>
      </c>
      <c r="Q986" s="166">
        <f t="shared" si="2914"/>
        <v>734.03947811992987</v>
      </c>
      <c r="R986" s="172">
        <f t="shared" si="2925"/>
        <v>4.1549780612888963E-2</v>
      </c>
      <c r="S986" s="172">
        <f t="shared" si="2930"/>
        <v>8.758310219249189E-4</v>
      </c>
      <c r="T986" s="172"/>
      <c r="U986" s="172"/>
      <c r="V986" s="166">
        <f t="shared" si="2895"/>
        <v>101169.2687374659</v>
      </c>
      <c r="W986" s="170"/>
      <c r="X986" s="174">
        <v>4956.045240076427</v>
      </c>
      <c r="Y986" s="175">
        <v>3.9620679701758837E-2</v>
      </c>
      <c r="Z986" s="175">
        <f t="shared" si="2931"/>
        <v>8.3516735541527495E-4</v>
      </c>
      <c r="AA986" s="175"/>
      <c r="AB986" s="175"/>
      <c r="AC986" s="170">
        <f t="shared" si="2863"/>
        <v>225260.01269886756</v>
      </c>
      <c r="AD986" s="175">
        <f t="shared" si="2926"/>
        <v>8.4448473169782212E-2</v>
      </c>
      <c r="AE986" s="170"/>
      <c r="AF986" s="170"/>
      <c r="AG986" s="121">
        <f t="shared" si="2927"/>
        <v>243.70586598976703</v>
      </c>
      <c r="AH986" s="119">
        <f>+AZ986/$BB$50</f>
        <v>2.5527724272348749E-2</v>
      </c>
      <c r="AI986" s="119"/>
      <c r="AJ986" s="176">
        <f t="shared" si="2932"/>
        <v>6.2212561505407473</v>
      </c>
      <c r="AK986" s="176">
        <f t="shared" si="2933"/>
        <v>0</v>
      </c>
      <c r="AL986" s="120">
        <f t="shared" si="2915"/>
        <v>0.22501461995905986</v>
      </c>
      <c r="AM986" s="120">
        <f t="shared" si="2916"/>
        <v>0.32586319663455299</v>
      </c>
      <c r="AN986" s="120">
        <f t="shared" si="2917"/>
        <v>0.44912218340638715</v>
      </c>
      <c r="AO986" s="120">
        <f t="shared" si="2921"/>
        <v>4.0695240848180964E-2</v>
      </c>
      <c r="AP986" s="173">
        <f t="shared" si="2937"/>
        <v>118.76201329549245</v>
      </c>
      <c r="AQ986" s="175">
        <f t="shared" si="2938"/>
        <v>4.0695240848180943E-2</v>
      </c>
      <c r="AR986" s="177">
        <f>+AC986/$AE$50</f>
        <v>2.107907692906642E-2</v>
      </c>
      <c r="AS986" s="177">
        <f t="shared" si="2934"/>
        <v>8.578181124856923E-4</v>
      </c>
      <c r="AT986" s="177"/>
      <c r="AU986" s="177"/>
      <c r="AV986" s="177"/>
      <c r="AW986" s="190"/>
      <c r="AX986" s="120"/>
      <c r="AY986" s="120"/>
      <c r="AZ986" s="118">
        <f>IFERROR(INDEX('Total Customers'!$F$7:$AB$91,MATCH($C986,'Total Customers'!$D$7:$D$91,0),MATCH($G986,'Total Customers'!$F$5:$AB$5,0)),"NA")</f>
        <v>924311</v>
      </c>
      <c r="BA986" s="119">
        <f t="shared" si="2896"/>
        <v>1.1834187175304212E-2</v>
      </c>
      <c r="BB986" s="119"/>
      <c r="BC986" s="121"/>
      <c r="BD986" s="119"/>
      <c r="BE986" s="119"/>
      <c r="BF986" s="119"/>
      <c r="BG986" s="173"/>
      <c r="BH986" s="173"/>
      <c r="BI986" s="173"/>
      <c r="BJ986" s="173"/>
      <c r="BK986" s="173"/>
      <c r="BL986" s="173"/>
      <c r="BM986" s="173"/>
      <c r="BN986" s="173"/>
      <c r="BO986" s="173"/>
      <c r="BP986" s="173"/>
      <c r="BQ986" s="118"/>
      <c r="BR986" s="118"/>
      <c r="BS986" s="118">
        <f>INDEX('Dist. Plant Gas Additions'!$F$7:$AE$91,MATCH($C986,'Dist. Plant Gas Additions'!$D$7:$D$91,0),MATCH(Calculation!$G986,'Dist. Plant Gas Additions'!$F$5:$AE$5,0))</f>
        <v>125343</v>
      </c>
      <c r="BT986" s="118">
        <f>INDEX('Gen. Plant Additions'!$F$7:$AE$91,MATCH($C986,'Gen. Plant Additions'!$D$7:$D$91,0),MATCH(Calculation!$G986,'Gen. Plant Additions'!$F$5:$AE$5,0))</f>
        <v>26540</v>
      </c>
      <c r="BU986" s="118"/>
      <c r="BV986" s="118"/>
      <c r="BW986" s="118">
        <f>INDEX('Dist Plant Depreciation'!$E$7:$AD$94,MATCH($C986,'Dist Plant Depreciation'!$D$7:$D$94,0),MATCH(Calculation!$G986,'Dist Plant Depreciation'!$E$5:$AD$5,0))</f>
        <v>561919</v>
      </c>
      <c r="BX986" s="118">
        <f>INDEX('Gen. Plant Depreciation'!$E$7:$AD$94,MATCH($C986,'Gen. Plant Depreciation'!$D$7:$D$94,0),MATCH(Calculation!$G986,'Gen. Plant Depreciation'!$E$5:$AD$5,0))</f>
        <v>127494</v>
      </c>
      <c r="BY986" s="118"/>
      <c r="BZ986" s="118"/>
      <c r="CA986" s="118"/>
      <c r="CB986" s="118"/>
      <c r="CC986" s="118"/>
      <c r="CD986" s="183"/>
      <c r="CE986" s="118">
        <f>INDEX('Gross Dx Plant'!$E$7:$AD$91,MATCH($C986,'Gross Dx Plant'!$D$7:$D$91,0),MATCH(Calculation!$G986,'Gross Dx Plant'!$E$5:$AD$5,0))</f>
        <v>1690524</v>
      </c>
      <c r="CF986" s="118">
        <f>INDEX('Gross Gen Plant'!$E$7:$AD$91,MATCH($C986,'Gross Gen Plant'!$D$7:$D$91,0),MATCH(Calculation!$G986,'Gross Gen Plant'!$E$5:$AD$5,0))</f>
        <v>199297</v>
      </c>
      <c r="CG986" s="118">
        <f t="shared" si="2806"/>
        <v>1200408</v>
      </c>
      <c r="CH986" s="118"/>
      <c r="CI986" s="121">
        <v>2012</v>
      </c>
      <c r="CJ986" s="118"/>
      <c r="CK986" s="118"/>
      <c r="CL986" s="118"/>
      <c r="CM986" s="183"/>
      <c r="CN986" s="118">
        <f t="shared" si="2897"/>
        <v>151883</v>
      </c>
      <c r="CO986" s="118">
        <f t="shared" si="2898"/>
        <v>227.05727728168156</v>
      </c>
      <c r="CP986" s="186">
        <v>0.9135802469135802</v>
      </c>
      <c r="CQ986" s="118">
        <f>+CQ972*CP986+CO973*CP985+CO974*CP984+CO975*CP983+CO976*CP982+CO977*CP981+CO978*CP980+CO979*CP979+CO980*CP978+CO981*CP977+CO982*CP976+CO983*CP975+CO984*CP974+CO985*CP973+CO986</f>
        <v>4956.045240076427</v>
      </c>
      <c r="CR986" s="119">
        <f t="shared" si="2899"/>
        <v>3.9620679701758837E-2</v>
      </c>
      <c r="CS986" s="119"/>
      <c r="CT986" s="177">
        <f t="shared" si="2900"/>
        <v>7.2497866984544369E-3</v>
      </c>
      <c r="CU986" s="177">
        <f t="shared" si="2908"/>
        <v>7.0460412018214522E-3</v>
      </c>
      <c r="CV986" s="119">
        <f>VLOOKUP($H986,RoR!$E:$F,2,FALSE)</f>
        <v>3.6733333333333333E-2</v>
      </c>
      <c r="CW986" s="177">
        <v>1.924331376386168E-2</v>
      </c>
      <c r="CX986" s="177">
        <f t="shared" si="2906"/>
        <v>1.7490019569471653E-2</v>
      </c>
      <c r="CY986" s="177">
        <f t="shared" si="2909"/>
        <v>2.3855900406712174E-2</v>
      </c>
      <c r="CZ986" s="177">
        <f t="shared" si="2910"/>
        <v>6.7122682943869583E-2</v>
      </c>
      <c r="DA986" s="187">
        <f t="shared" si="2901"/>
        <v>0.86875000000000002</v>
      </c>
      <c r="DB986" s="188">
        <f t="shared" si="2902"/>
        <v>1.3960631020522127</v>
      </c>
      <c r="DC986" s="188">
        <f t="shared" si="2903"/>
        <v>0.29441923774954631</v>
      </c>
      <c r="DD986" s="188">
        <f t="shared" si="2904"/>
        <v>0.76377954189366437</v>
      </c>
      <c r="DE986" s="188">
        <f t="shared" si="2905"/>
        <v>0.31393465103033691</v>
      </c>
      <c r="DF986" s="189">
        <f>INDEX('State Tax Lookup'!$D$7:$Z$91,MATCH(Calculation!$C986,'State Tax Lookup'!$B$7:$B$91,0),MATCH($H986,'State Tax Lookup'!$D$6:$Z$6,0))</f>
        <v>0.35</v>
      </c>
      <c r="DG986" s="189">
        <v>0.375</v>
      </c>
      <c r="DH986" s="190">
        <f t="shared" si="2907"/>
        <v>21.238331310812839</v>
      </c>
      <c r="DI986" s="190">
        <v>20.95083889795972</v>
      </c>
      <c r="DJ986" s="177"/>
      <c r="DK986" s="189">
        <f>VLOOKUP($H986,RoR!$E:$F,2,FALSE)</f>
        <v>3.6733333333333333E-2</v>
      </c>
      <c r="DL986" s="191">
        <f>HLOOKUP($H986,'GDP-PI'!$D$8:$CQ$11,3,FALSE)</f>
        <v>1.924331376386168E-2</v>
      </c>
      <c r="DM986" s="189">
        <f>VLOOKUP(H986,'HW Dx Data'!$E:$F,2,FALSE)</f>
        <v>668.91932211262167</v>
      </c>
      <c r="DN986" s="183">
        <f>VLOOKUP(H986,'ECI - Input Price'!$G$17:$H$37,2,FALSE)</f>
        <v>116.5</v>
      </c>
      <c r="DO986" s="177">
        <f t="shared" ref="DO986" si="2947">LN(DN986/DN985)</f>
        <v>1.9064702204990347E-2</v>
      </c>
      <c r="DP986" s="183">
        <f>HLOOKUP(H986,'GDP-PI'!$8:$9,2,FALSE)</f>
        <v>100</v>
      </c>
      <c r="DQ986" s="177">
        <f t="shared" ref="DQ986" si="2948">LN(DP986/DP985)</f>
        <v>1.9060502738742411E-2</v>
      </c>
    </row>
    <row r="987" spans="1:121" s="167" customFormat="1" ht="21" x14ac:dyDescent="0.35">
      <c r="A987" s="167" t="s">
        <v>97</v>
      </c>
      <c r="B987" s="167" t="s">
        <v>97</v>
      </c>
      <c r="C987" s="167">
        <v>4057140</v>
      </c>
      <c r="D987" s="168" t="s">
        <v>149</v>
      </c>
      <c r="E987" s="168"/>
      <c r="F987" s="198"/>
      <c r="G987" s="167" t="s">
        <v>19</v>
      </c>
      <c r="H987" s="169">
        <v>2013</v>
      </c>
      <c r="I987" s="170"/>
      <c r="J987" s="166">
        <f>IFERROR(INDEX('Labor Expenditures'!$F$7:$X$91,MATCH($C987,'Labor Expenditures'!$D$7:$D$91,0),MATCH($G987,'Labor Expenditures'!$F$5:$X$5,0)),"NA")</f>
        <v>51306.774178427455</v>
      </c>
      <c r="K987" s="166">
        <f t="shared" si="2913"/>
        <v>432.14802424449323</v>
      </c>
      <c r="L987" s="172">
        <f t="shared" si="2920"/>
        <v>-6.7612734097997817E-3</v>
      </c>
      <c r="M987" s="172">
        <f t="shared" si="2924"/>
        <v>-1.3978528291068849E-4</v>
      </c>
      <c r="N987" s="196"/>
      <c r="O987" s="172"/>
      <c r="P987" s="166">
        <f>IFERROR(INDEX('Non-Labor Expenditures'!$F$7:$AB$91,MATCH($C987,'Non-Labor Expenditures'!$D$7:$D$91,0),MATCH($G987,'Non-Labor Expenditures'!$F$5:$AB$5,0)),"NA")</f>
        <v>74301.791793935161</v>
      </c>
      <c r="Q987" s="166">
        <f t="shared" si="2914"/>
        <v>730.07371104256697</v>
      </c>
      <c r="R987" s="172">
        <f t="shared" si="2925"/>
        <v>-5.4173089968799501E-3</v>
      </c>
      <c r="S987" s="172">
        <f t="shared" si="2930"/>
        <v>-1.1199962268141828E-4</v>
      </c>
      <c r="T987" s="172"/>
      <c r="U987" s="172"/>
      <c r="V987" s="166">
        <f t="shared" si="2895"/>
        <v>103564.4776620202</v>
      </c>
      <c r="W987" s="170"/>
      <c r="X987" s="174">
        <v>5214.1439921459114</v>
      </c>
      <c r="Y987" s="175">
        <v>5.0766839505353517E-2</v>
      </c>
      <c r="Z987" s="175">
        <f t="shared" si="2931"/>
        <v>1.0495740362239695E-3</v>
      </c>
      <c r="AA987" s="175"/>
      <c r="AB987" s="175"/>
      <c r="AC987" s="170">
        <f t="shared" si="2863"/>
        <v>229173.04363438283</v>
      </c>
      <c r="AD987" s="175">
        <f t="shared" si="2926"/>
        <v>1.7222020259858757E-2</v>
      </c>
      <c r="AE987" s="170"/>
      <c r="AF987" s="170"/>
      <c r="AG987" s="121">
        <f t="shared" si="2927"/>
        <v>244.21419596379283</v>
      </c>
      <c r="AH987" s="119">
        <f>+AZ987/$BB$51</f>
        <v>2.5751415758665856E-2</v>
      </c>
      <c r="AI987" s="119"/>
      <c r="AJ987" s="176">
        <f t="shared" si="2932"/>
        <v>6.2888612944319258</v>
      </c>
      <c r="AK987" s="176">
        <f t="shared" si="2933"/>
        <v>0</v>
      </c>
      <c r="AL987" s="120">
        <f t="shared" si="2915"/>
        <v>0.22387787570810924</v>
      </c>
      <c r="AM987" s="120">
        <f t="shared" si="2916"/>
        <v>0.324216978644637</v>
      </c>
      <c r="AN987" s="120">
        <f t="shared" si="2917"/>
        <v>0.4519051456472537</v>
      </c>
      <c r="AO987" s="120">
        <f t="shared" si="2921"/>
        <v>1.9592769863478594E-2</v>
      </c>
      <c r="AP987" s="173">
        <f t="shared" si="2937"/>
        <v>121.11183467562979</v>
      </c>
      <c r="AQ987" s="175">
        <f t="shared" si="2938"/>
        <v>1.9592769863478642E-2</v>
      </c>
      <c r="AR987" s="177">
        <f>+AC987/$AE$51</f>
        <v>2.0674401764035139E-2</v>
      </c>
      <c r="AS987" s="177">
        <f t="shared" si="2934"/>
        <v>4.0506879582783735E-4</v>
      </c>
      <c r="AT987" s="177"/>
      <c r="AU987" s="177"/>
      <c r="AV987" s="177"/>
      <c r="AW987" s="190"/>
      <c r="AX987" s="120"/>
      <c r="AY987" s="120"/>
      <c r="AZ987" s="118">
        <f>IFERROR(INDEX('Total Customers'!$F$7:$AB$91,MATCH($C987,'Total Customers'!$D$7:$D$91,0),MATCH($G987,'Total Customers'!$F$5:$AB$5,0)),"NA")</f>
        <v>938410</v>
      </c>
      <c r="BA987" s="119">
        <f t="shared" si="2896"/>
        <v>1.5138358621080313E-2</v>
      </c>
      <c r="BB987" s="119"/>
      <c r="BC987" s="121"/>
      <c r="BD987" s="119"/>
      <c r="BE987" s="119"/>
      <c r="BF987" s="119"/>
      <c r="BG987" s="173"/>
      <c r="BH987" s="173"/>
      <c r="BI987" s="173"/>
      <c r="BJ987" s="173"/>
      <c r="BK987" s="173"/>
      <c r="BL987" s="173"/>
      <c r="BM987" s="173"/>
      <c r="BN987" s="173"/>
      <c r="BO987" s="173"/>
      <c r="BP987" s="173"/>
      <c r="BQ987" s="118"/>
      <c r="BR987" s="118"/>
      <c r="BS987" s="118">
        <f>INDEX('Dist. Plant Gas Additions'!$F$7:$AE$91,MATCH($C987,'Dist. Plant Gas Additions'!$D$7:$D$91,0),MATCH(Calculation!$G987,'Dist. Plant Gas Additions'!$F$5:$AE$5,0))</f>
        <v>179458</v>
      </c>
      <c r="BT987" s="118">
        <f>INDEX('Gen. Plant Additions'!$F$7:$AE$91,MATCH($C987,'Gen. Plant Additions'!$D$7:$D$91,0),MATCH(Calculation!$G987,'Gen. Plant Additions'!$F$5:$AE$5,0))</f>
        <v>16203</v>
      </c>
      <c r="BU987" s="118"/>
      <c r="BV987" s="118"/>
      <c r="BW987" s="118">
        <f>INDEX('Dist Plant Depreciation'!$E$7:$AD$94,MATCH($C987,'Dist Plant Depreciation'!$D$7:$D$94,0),MATCH(Calculation!$G987,'Dist Plant Depreciation'!$E$5:$AD$5,0))</f>
        <v>565922</v>
      </c>
      <c r="BX987" s="118">
        <f>INDEX('Gen. Plant Depreciation'!$E$7:$AD$94,MATCH($C987,'Gen. Plant Depreciation'!$D$7:$D$94,0),MATCH(Calculation!$G987,'Gen. Plant Depreciation'!$E$5:$AD$5,0))</f>
        <v>105395</v>
      </c>
      <c r="BY987" s="118"/>
      <c r="BZ987" s="118"/>
      <c r="CA987" s="118"/>
      <c r="CB987" s="118"/>
      <c r="CC987" s="118"/>
      <c r="CD987" s="183"/>
      <c r="CE987" s="118">
        <f>INDEX('Gross Dx Plant'!$E$7:$AD$91,MATCH($C987,'Gross Dx Plant'!$D$7:$D$91,0),MATCH(Calculation!$G987,'Gross Dx Plant'!$E$5:$AD$5,0))</f>
        <v>1861499</v>
      </c>
      <c r="CF987" s="118">
        <f>INDEX('Gross Gen Plant'!$E$7:$AD$91,MATCH($C987,'Gross Gen Plant'!$D$7:$D$91,0),MATCH(Calculation!$G987,'Gross Gen Plant'!$E$5:$AD$5,0))</f>
        <v>208902</v>
      </c>
      <c r="CG987" s="118">
        <f t="shared" si="2806"/>
        <v>1399084</v>
      </c>
      <c r="CH987" s="118"/>
      <c r="CI987" s="121">
        <v>2013</v>
      </c>
      <c r="CJ987" s="118"/>
      <c r="CK987" s="118"/>
      <c r="CL987" s="118"/>
      <c r="CM987" s="183"/>
      <c r="CN987" s="118">
        <f t="shared" si="2897"/>
        <v>195661</v>
      </c>
      <c r="CO987" s="118">
        <f t="shared" si="2898"/>
        <v>295.00410160198555</v>
      </c>
      <c r="CP987" s="186">
        <v>0.90566037735849059</v>
      </c>
      <c r="CQ987" s="118">
        <f>+CQ972*CP987+CO973*CP986+CO974*CP985+CO975*CP984+CO976*CP983+CO977*CP982+CO978*CP981+CO979*CP980+CO980*CP979+CO981*CP978+CO982*CP977+CO983*CP976+CO984*CP975+CO985*CP974+CO986*CP973+CO987</f>
        <v>5214.1439921459114</v>
      </c>
      <c r="CR987" s="119">
        <f t="shared" si="2899"/>
        <v>5.0766839505353517E-2</v>
      </c>
      <c r="CS987" s="119"/>
      <c r="CT987" s="177">
        <f t="shared" si="2900"/>
        <v>7.4465320118692205E-3</v>
      </c>
      <c r="CU987" s="177">
        <f t="shared" si="2908"/>
        <v>7.2482996427672966E-3</v>
      </c>
      <c r="CV987" s="119">
        <f>VLOOKUP($H987,RoR!$E:$F,2,FALSE)</f>
        <v>4.2350000000000006E-2</v>
      </c>
      <c r="CW987" s="177">
        <v>1.7730000000000024E-2</v>
      </c>
      <c r="CX987" s="177">
        <f t="shared" si="2906"/>
        <v>2.4619999999999982E-2</v>
      </c>
      <c r="CY987" s="177">
        <f t="shared" si="2909"/>
        <v>2.3653641965766328E-2</v>
      </c>
      <c r="CZ987" s="177">
        <f t="shared" si="2910"/>
        <v>5.3376742735721204E-2</v>
      </c>
      <c r="DA987" s="187">
        <f t="shared" si="2901"/>
        <v>0.86875000000000002</v>
      </c>
      <c r="DB987" s="188">
        <f t="shared" si="2902"/>
        <v>1.2109103018193925</v>
      </c>
      <c r="DC987" s="188">
        <f t="shared" si="2903"/>
        <v>0.38468122786304604</v>
      </c>
      <c r="DD987" s="188">
        <f t="shared" si="2904"/>
        <v>0.80969194503422559</v>
      </c>
      <c r="DE987" s="188">
        <f t="shared" si="2905"/>
        <v>0.37716621754800816</v>
      </c>
      <c r="DF987" s="189">
        <f>INDEX('State Tax Lookup'!$D$7:$Z$91,MATCH(Calculation!$C987,'State Tax Lookup'!$B$7:$B$91,0),MATCH($H987,'State Tax Lookup'!$D$6:$Z$6,0))</f>
        <v>0.35</v>
      </c>
      <c r="DG987" s="189">
        <v>0.375</v>
      </c>
      <c r="DH987" s="190">
        <f t="shared" si="2907"/>
        <v>20.896596508958247</v>
      </c>
      <c r="DI987" s="190">
        <v>20.613856280288378</v>
      </c>
      <c r="DJ987" s="177"/>
      <c r="DK987" s="189">
        <f>VLOOKUP($H987,RoR!$E:$F,2,FALSE)</f>
        <v>4.2350000000000006E-2</v>
      </c>
      <c r="DL987" s="191">
        <f>HLOOKUP($H987,'GDP-PI'!$D$8:$CQ$11,3,FALSE)</f>
        <v>1.7730000000000024E-2</v>
      </c>
      <c r="DM987" s="189">
        <f>VLOOKUP(H987,'HW Dx Data'!$E:$F,2,FALSE)</f>
        <v>663.24840548821396</v>
      </c>
      <c r="DN987" s="183">
        <f>VLOOKUP(H987,'ECI - Input Price'!$G$17:$H$37,2,FALSE)</f>
        <v>118.72499999999999</v>
      </c>
      <c r="DO987" s="177">
        <f t="shared" ref="DO987" si="2949">LN(DN987/DN986)</f>
        <v>1.8918621429430321E-2</v>
      </c>
      <c r="DP987" s="183">
        <f>HLOOKUP(H987,'GDP-PI'!$8:$9,2,FALSE)</f>
        <v>101.773</v>
      </c>
      <c r="DQ987" s="177">
        <f t="shared" ref="DQ987" si="2950">LN(DP987/DP986)</f>
        <v>1.7574657016510519E-2</v>
      </c>
    </row>
    <row r="988" spans="1:121" s="167" customFormat="1" ht="21" x14ac:dyDescent="0.35">
      <c r="A988" s="167" t="s">
        <v>97</v>
      </c>
      <c r="B988" s="167" t="s">
        <v>97</v>
      </c>
      <c r="C988" s="167">
        <v>4057140</v>
      </c>
      <c r="D988" s="168" t="s">
        <v>149</v>
      </c>
      <c r="E988" s="168"/>
      <c r="F988" s="198"/>
      <c r="G988" s="167" t="s">
        <v>20</v>
      </c>
      <c r="H988" s="169">
        <v>2014</v>
      </c>
      <c r="I988" s="170"/>
      <c r="J988" s="166">
        <f>IFERROR(INDEX('Labor Expenditures'!$F$7:$X$91,MATCH($C988,'Labor Expenditures'!$D$7:$D$91,0),MATCH($G988,'Labor Expenditures'!$F$5:$X$5,0)),"NA")</f>
        <v>51640.880172767131</v>
      </c>
      <c r="K988" s="166">
        <f t="shared" si="2913"/>
        <v>426.07986941227006</v>
      </c>
      <c r="L988" s="172">
        <f t="shared" si="2920"/>
        <v>-1.4141362688386595E-2</v>
      </c>
      <c r="M988" s="172">
        <f t="shared" si="2924"/>
        <v>-2.9585289217673292E-4</v>
      </c>
      <c r="N988" s="196"/>
      <c r="O988" s="172"/>
      <c r="P988" s="166">
        <f>IFERROR(INDEX('Non-Labor Expenditures'!$F$7:$AB$91,MATCH($C988,'Non-Labor Expenditures'!$D$7:$D$91,0),MATCH($G988,'Non-Labor Expenditures'!$F$5:$AB$5,0)),"NA")</f>
        <v>74785.639676130988</v>
      </c>
      <c r="Q988" s="166">
        <f t="shared" si="2914"/>
        <v>721.54176846537757</v>
      </c>
      <c r="R988" s="172">
        <f t="shared" si="2925"/>
        <v>-1.1755235386614139E-2</v>
      </c>
      <c r="S988" s="172">
        <f t="shared" si="2930"/>
        <v>-2.4593247935039399E-4</v>
      </c>
      <c r="T988" s="172"/>
      <c r="U988" s="172"/>
      <c r="V988" s="166">
        <f t="shared" si="2895"/>
        <v>111651.55056167107</v>
      </c>
      <c r="W988" s="170"/>
      <c r="X988" s="174">
        <v>5456.9467629430874</v>
      </c>
      <c r="Y988" s="175">
        <v>4.5514500844182862E-2</v>
      </c>
      <c r="Z988" s="175">
        <f t="shared" si="2931"/>
        <v>9.5221351771072893E-4</v>
      </c>
      <c r="AA988" s="175"/>
      <c r="AB988" s="175"/>
      <c r="AC988" s="170">
        <f t="shared" si="2863"/>
        <v>238078.0704105692</v>
      </c>
      <c r="AD988" s="175">
        <f t="shared" si="2926"/>
        <v>3.8121279563891511E-2</v>
      </c>
      <c r="AE988" s="170"/>
      <c r="AF988" s="170"/>
      <c r="AG988" s="121">
        <f t="shared" si="2927"/>
        <v>249.61110175610841</v>
      </c>
      <c r="AH988" s="119">
        <f>+AZ988/$BB$52</f>
        <v>2.6033129192774559E-2</v>
      </c>
      <c r="AI988" s="119"/>
      <c r="AJ988" s="176">
        <f t="shared" si="2932"/>
        <v>6.498158059967567</v>
      </c>
      <c r="AK988" s="176">
        <f t="shared" si="2933"/>
        <v>0</v>
      </c>
      <c r="AL988" s="120">
        <f t="shared" si="2915"/>
        <v>0.21690733667200704</v>
      </c>
      <c r="AM988" s="120">
        <f t="shared" si="2916"/>
        <v>0.3141223362032548</v>
      </c>
      <c r="AN988" s="120">
        <f t="shared" si="2917"/>
        <v>0.46897032712473813</v>
      </c>
      <c r="AO988" s="120">
        <f t="shared" si="2921"/>
        <v>1.4088027512178209E-2</v>
      </c>
      <c r="AP988" s="173">
        <f t="shared" si="2937"/>
        <v>122.83013685925611</v>
      </c>
      <c r="AQ988" s="175">
        <f t="shared" si="2938"/>
        <v>1.4088027512178258E-2</v>
      </c>
      <c r="AR988" s="177">
        <f>+AC988/$AE$52</f>
        <v>2.0921102067461866E-2</v>
      </c>
      <c r="AS988" s="177">
        <f t="shared" si="2934"/>
        <v>2.9473706151149218E-4</v>
      </c>
      <c r="AT988" s="177"/>
      <c r="AU988" s="177"/>
      <c r="AV988" s="177"/>
      <c r="AW988" s="190"/>
      <c r="AX988" s="120"/>
      <c r="AY988" s="120"/>
      <c r="AZ988" s="118">
        <f>IFERROR(INDEX('Total Customers'!$F$7:$AB$91,MATCH($C988,'Total Customers'!$D$7:$D$91,0),MATCH($G988,'Total Customers'!$F$5:$AB$5,0)),"NA")</f>
        <v>953796</v>
      </c>
      <c r="BA988" s="119">
        <f t="shared" si="2896"/>
        <v>1.6262858385045723E-2</v>
      </c>
      <c r="BB988" s="119"/>
      <c r="BC988" s="121"/>
      <c r="BD988" s="119"/>
      <c r="BE988" s="119"/>
      <c r="BF988" s="119"/>
      <c r="BG988" s="173"/>
      <c r="BH988" s="173"/>
      <c r="BI988" s="173"/>
      <c r="BJ988" s="173"/>
      <c r="BK988" s="173"/>
      <c r="BL988" s="173"/>
      <c r="BM988" s="173"/>
      <c r="BN988" s="173"/>
      <c r="BO988" s="173"/>
      <c r="BP988" s="173"/>
      <c r="BQ988" s="118"/>
      <c r="BR988" s="118"/>
      <c r="BS988" s="118">
        <f>INDEX('Dist. Plant Gas Additions'!$F$7:$AE$91,MATCH($C988,'Dist. Plant Gas Additions'!$D$7:$D$91,0),MATCH(Calculation!$G988,'Dist. Plant Gas Additions'!$F$5:$AE$5,0))</f>
        <v>172069</v>
      </c>
      <c r="BT988" s="118">
        <f>INDEX('Gen. Plant Additions'!$F$7:$AE$91,MATCH($C988,'Gen. Plant Additions'!$D$7:$D$91,0),MATCH(Calculation!$G988,'Gen. Plant Additions'!$F$5:$AE$5,0))</f>
        <v>21307</v>
      </c>
      <c r="BU988" s="118"/>
      <c r="BV988" s="118"/>
      <c r="BW988" s="118">
        <f>INDEX('Dist Plant Depreciation'!$E$7:$AD$94,MATCH($C988,'Dist Plant Depreciation'!$D$7:$D$94,0),MATCH(Calculation!$G988,'Dist Plant Depreciation'!$E$5:$AD$5,0))</f>
        <v>575781</v>
      </c>
      <c r="BX988" s="118">
        <f>INDEX('Gen. Plant Depreciation'!$E$7:$AD$94,MATCH($C988,'Gen. Plant Depreciation'!$D$7:$D$94,0),MATCH(Calculation!$G988,'Gen. Plant Depreciation'!$E$5:$AD$5,0))</f>
        <v>130905</v>
      </c>
      <c r="BY988" s="118"/>
      <c r="BZ988" s="118"/>
      <c r="CA988" s="118"/>
      <c r="CB988" s="118"/>
      <c r="CC988" s="118"/>
      <c r="CD988" s="183"/>
      <c r="CE988" s="118">
        <f>INDEX('Gross Dx Plant'!$E$7:$AD$91,MATCH($C988,'Gross Dx Plant'!$D$7:$D$91,0),MATCH(Calculation!$G988,'Gross Dx Plant'!$E$5:$AD$5,0))</f>
        <v>2003921</v>
      </c>
      <c r="CF988" s="118">
        <f>INDEX('Gross Gen Plant'!$E$7:$AD$91,MATCH($C988,'Gross Gen Plant'!$D$7:$D$91,0),MATCH(Calculation!$G988,'Gross Gen Plant'!$E$5:$AD$5,0))</f>
        <v>225741</v>
      </c>
      <c r="CG988" s="118">
        <f t="shared" si="2806"/>
        <v>1522976</v>
      </c>
      <c r="CH988" s="118"/>
      <c r="CI988" s="121">
        <v>2014</v>
      </c>
      <c r="CJ988" s="118"/>
      <c r="CK988" s="118"/>
      <c r="CL988" s="118"/>
      <c r="CM988" s="183"/>
      <c r="CN988" s="118">
        <f t="shared" si="2897"/>
        <v>193376</v>
      </c>
      <c r="CO988" s="118">
        <f t="shared" si="2898"/>
        <v>282.51967531318911</v>
      </c>
      <c r="CP988" s="186">
        <v>0.89743589743589747</v>
      </c>
      <c r="CQ988" s="118">
        <f>+CQ972*CP988+CO973*CP987+CO974*CP986+CO975*CP985+CO976*CP984+CO977*CP983+CO978*CP982+CO979*CP981+CO980*CP980+CO981*CP979+CO982*CP978+CO983*CP977+CO984*CP976+CO985*CP975+CO986*CP974+CO987*CP973+CO988</f>
        <v>5456.9467629430874</v>
      </c>
      <c r="CR988" s="119">
        <f t="shared" si="2899"/>
        <v>4.5514500844182862E-2</v>
      </c>
      <c r="CS988" s="119"/>
      <c r="CT988" s="177">
        <f t="shared" si="2900"/>
        <v>7.617147623049705E-3</v>
      </c>
      <c r="CU988" s="177">
        <f t="shared" si="2908"/>
        <v>7.4378221111244544E-3</v>
      </c>
      <c r="CV988" s="119">
        <f>VLOOKUP($H988,RoR!$E:$F,2,FALSE)</f>
        <v>4.1625000000000002E-2</v>
      </c>
      <c r="CW988" s="177">
        <v>1.841352814597208E-2</v>
      </c>
      <c r="CX988" s="177">
        <f t="shared" si="2906"/>
        <v>2.3211471854027922E-2</v>
      </c>
      <c r="CY988" s="177">
        <f t="shared" si="2909"/>
        <v>2.3464119497409171E-2</v>
      </c>
      <c r="CZ988" s="177">
        <f t="shared" si="2910"/>
        <v>3.9072621432650924E-2</v>
      </c>
      <c r="DA988" s="187">
        <f t="shared" si="2901"/>
        <v>0.86875000000000002</v>
      </c>
      <c r="DB988" s="188">
        <f t="shared" si="2902"/>
        <v>1.2320012320012319</v>
      </c>
      <c r="DC988" s="188">
        <f t="shared" si="2903"/>
        <v>0.37439939939939942</v>
      </c>
      <c r="DD988" s="188">
        <f t="shared" si="2904"/>
        <v>0.80432100613819935</v>
      </c>
      <c r="DE988" s="188">
        <f t="shared" si="2905"/>
        <v>0.37100152660040037</v>
      </c>
      <c r="DF988" s="189">
        <f>INDEX('State Tax Lookup'!$D$7:$Z$91,MATCH(Calculation!$C988,'State Tax Lookup'!$B$7:$B$91,0),MATCH($H988,'State Tax Lookup'!$D$6:$Z$6,0))</f>
        <v>0.35</v>
      </c>
      <c r="DG988" s="189">
        <v>0.375</v>
      </c>
      <c r="DH988" s="190">
        <f t="shared" si="2907"/>
        <v>21.41320813729968</v>
      </c>
      <c r="DI988" s="190">
        <v>21.127027436769097</v>
      </c>
      <c r="DJ988" s="177"/>
      <c r="DK988" s="189">
        <f>VLOOKUP($H988,RoR!$E:$F,2,FALSE)</f>
        <v>4.1625000000000002E-2</v>
      </c>
      <c r="DL988" s="191">
        <f>HLOOKUP($H988,'GDP-PI'!$D$8:$CQ$11,3,FALSE)</f>
        <v>1.841352814597208E-2</v>
      </c>
      <c r="DM988" s="189">
        <f>VLOOKUP(H988,'HW Dx Data'!$E:$F,2,FALSE)</f>
        <v>684.46914285042885</v>
      </c>
      <c r="DN988" s="183">
        <f>VLOOKUP(H988,'ECI - Input Price'!$G$17:$H$37,2,FALSE)</f>
        <v>121.2</v>
      </c>
      <c r="DO988" s="177">
        <f t="shared" ref="DO988" si="2951">LN(DN988/DN987)</f>
        <v>2.0632179200028689E-2</v>
      </c>
      <c r="DP988" s="183">
        <f>HLOOKUP(H988,'GDP-PI'!$8:$9,2,FALSE)</f>
        <v>103.64700000000001</v>
      </c>
      <c r="DQ988" s="177">
        <f t="shared" ref="DQ988" si="2952">LN(DP988/DP987)</f>
        <v>1.8246051898256087E-2</v>
      </c>
    </row>
    <row r="989" spans="1:121" s="167" customFormat="1" ht="21" x14ac:dyDescent="0.35">
      <c r="A989" s="167" t="s">
        <v>97</v>
      </c>
      <c r="B989" s="167" t="s">
        <v>97</v>
      </c>
      <c r="C989" s="167">
        <v>4057140</v>
      </c>
      <c r="D989" s="168" t="s">
        <v>149</v>
      </c>
      <c r="E989" s="168"/>
      <c r="F989" s="198"/>
      <c r="G989" s="167" t="s">
        <v>21</v>
      </c>
      <c r="H989" s="169">
        <v>2015</v>
      </c>
      <c r="I989" s="170"/>
      <c r="J989" s="166">
        <f>IFERROR(INDEX('Labor Expenditures'!$F$7:$X$91,MATCH($C989,'Labor Expenditures'!$D$7:$D$91,0),MATCH($G989,'Labor Expenditures'!$F$5:$X$5,0)),"NA")</f>
        <v>51846.644693590046</v>
      </c>
      <c r="K989" s="166">
        <f t="shared" si="2913"/>
        <v>418.96278540274784</v>
      </c>
      <c r="L989" s="172">
        <f t="shared" si="2920"/>
        <v>-1.6844717256087778E-2</v>
      </c>
      <c r="M989" s="172">
        <f t="shared" si="2924"/>
        <v>-3.5406900283334124E-4</v>
      </c>
      <c r="N989" s="196"/>
      <c r="O989" s="172"/>
      <c r="P989" s="166">
        <f>IFERROR(INDEX('Non-Labor Expenditures'!$F$7:$AB$91,MATCH($C989,'Non-Labor Expenditures'!$D$7:$D$91,0),MATCH($G989,'Non-Labor Expenditures'!$F$5:$AB$5,0)),"NA")</f>
        <v>75083.625133793845</v>
      </c>
      <c r="Q989" s="166">
        <f t="shared" si="2914"/>
        <v>717.54914643482687</v>
      </c>
      <c r="R989" s="172">
        <f t="shared" si="2925"/>
        <v>-5.5488256279448553E-3</v>
      </c>
      <c r="S989" s="172">
        <f t="shared" si="2930"/>
        <v>-1.166340240155994E-4</v>
      </c>
      <c r="T989" s="172"/>
      <c r="U989" s="172"/>
      <c r="V989" s="166">
        <f t="shared" si="2895"/>
        <v>114684.38029043778</v>
      </c>
      <c r="W989" s="170"/>
      <c r="X989" s="174">
        <v>5752.1909181781703</v>
      </c>
      <c r="Y989" s="175">
        <v>5.2691379064938572E-2</v>
      </c>
      <c r="Z989" s="175">
        <f t="shared" si="2931"/>
        <v>1.1075510357227199E-3</v>
      </c>
      <c r="AA989" s="175"/>
      <c r="AB989" s="175"/>
      <c r="AC989" s="170">
        <f t="shared" si="2863"/>
        <v>241614.65011782167</v>
      </c>
      <c r="AD989" s="175">
        <f t="shared" si="2926"/>
        <v>1.4745455309580721E-2</v>
      </c>
      <c r="AE989" s="170"/>
      <c r="AF989" s="170"/>
      <c r="AG989" s="121">
        <f t="shared" si="2927"/>
        <v>247.07627109027212</v>
      </c>
      <c r="AH989" s="119">
        <f>+AZ989/$BB$53</f>
        <v>2.6474478743353923E-2</v>
      </c>
      <c r="AI989" s="119"/>
      <c r="AJ989" s="176">
        <f t="shared" si="2932"/>
        <v>6.5412154869665606</v>
      </c>
      <c r="AK989" s="176">
        <f t="shared" si="2933"/>
        <v>0</v>
      </c>
      <c r="AL989" s="120">
        <f t="shared" si="2915"/>
        <v>0.21458402736881807</v>
      </c>
      <c r="AM989" s="120">
        <f t="shared" si="2916"/>
        <v>0.31075775039791603</v>
      </c>
      <c r="AN989" s="120">
        <f t="shared" si="2917"/>
        <v>0.47465822223326587</v>
      </c>
      <c r="AO989" s="120">
        <f t="shared" si="2921"/>
        <v>1.9492694463042182E-2</v>
      </c>
      <c r="AP989" s="173">
        <f t="shared" si="2937"/>
        <v>125.24791513908136</v>
      </c>
      <c r="AQ989" s="175">
        <f t="shared" si="2938"/>
        <v>1.9492694463042168E-2</v>
      </c>
      <c r="AR989" s="177">
        <f>+AC989/$AE$53</f>
        <v>2.1019587176827125E-2</v>
      </c>
      <c r="AS989" s="177">
        <f t="shared" si="2934"/>
        <v>4.0972839057717026E-4</v>
      </c>
      <c r="AT989" s="177"/>
      <c r="AU989" s="177"/>
      <c r="AV989" s="177"/>
      <c r="AW989" s="190"/>
      <c r="AX989" s="120"/>
      <c r="AY989" s="120"/>
      <c r="AZ989" s="118">
        <f>IFERROR(INDEX('Total Customers'!$F$7:$AB$91,MATCH($C989,'Total Customers'!$D$7:$D$91,0),MATCH($G989,'Total Customers'!$F$5:$AB$5,0)),"NA")</f>
        <v>977895</v>
      </c>
      <c r="BA989" s="119">
        <f t="shared" si="2896"/>
        <v>2.4952490203899363E-2</v>
      </c>
      <c r="BB989" s="119"/>
      <c r="BC989" s="121"/>
      <c r="BD989" s="119"/>
      <c r="BE989" s="119"/>
      <c r="BF989" s="119"/>
      <c r="BG989" s="173"/>
      <c r="BH989" s="173"/>
      <c r="BI989" s="173"/>
      <c r="BJ989" s="173"/>
      <c r="BK989" s="173"/>
      <c r="BL989" s="173"/>
      <c r="BM989" s="173"/>
      <c r="BN989" s="173"/>
      <c r="BO989" s="173"/>
      <c r="BP989" s="173"/>
      <c r="BQ989" s="118"/>
      <c r="BR989" s="118"/>
      <c r="BS989" s="118">
        <f>INDEX('Dist. Plant Gas Additions'!$F$7:$AE$91,MATCH($C989,'Dist. Plant Gas Additions'!$D$7:$D$91,0),MATCH(Calculation!$G989,'Dist. Plant Gas Additions'!$F$5:$AE$5,0))</f>
        <v>203899</v>
      </c>
      <c r="BT989" s="118">
        <f>INDEX('Gen. Plant Additions'!$F$7:$AE$91,MATCH($C989,'Gen. Plant Additions'!$D$7:$D$91,0),MATCH(Calculation!$G989,'Gen. Plant Additions'!$F$5:$AE$5,0))</f>
        <v>24344</v>
      </c>
      <c r="BU989" s="118"/>
      <c r="BV989" s="118"/>
      <c r="BW989" s="118">
        <f>INDEX('Dist Plant Depreciation'!$E$7:$AD$94,MATCH($C989,'Dist Plant Depreciation'!$D$7:$D$94,0),MATCH(Calculation!$G989,'Dist Plant Depreciation'!$E$5:$AD$5,0))</f>
        <v>673339</v>
      </c>
      <c r="BX989" s="118">
        <f>INDEX('Gen. Plant Depreciation'!$E$7:$AD$94,MATCH($C989,'Gen. Plant Depreciation'!$D$7:$D$94,0),MATCH(Calculation!$G989,'Gen. Plant Depreciation'!$E$5:$AD$5,0))</f>
        <v>132819</v>
      </c>
      <c r="BY989" s="118"/>
      <c r="BZ989" s="118"/>
      <c r="CA989" s="118"/>
      <c r="CB989" s="118"/>
      <c r="CC989" s="118"/>
      <c r="CD989" s="183"/>
      <c r="CE989" s="118">
        <f>INDEX('Gross Dx Plant'!$E$7:$AD$91,MATCH($C989,'Gross Dx Plant'!$D$7:$D$91,0),MATCH(Calculation!$G989,'Gross Dx Plant'!$E$5:$AD$5,0))</f>
        <v>2196798</v>
      </c>
      <c r="CF989" s="118">
        <f>INDEX('Gross Gen Plant'!$E$7:$AD$91,MATCH($C989,'Gross Gen Plant'!$D$7:$D$91,0),MATCH(Calculation!$G989,'Gross Gen Plant'!$E$5:$AD$5,0))</f>
        <v>241412</v>
      </c>
      <c r="CG989" s="118">
        <f t="shared" si="2806"/>
        <v>1632052</v>
      </c>
      <c r="CH989" s="118"/>
      <c r="CI989" s="121">
        <v>2015</v>
      </c>
      <c r="CJ989" s="118"/>
      <c r="CK989" s="118"/>
      <c r="CL989" s="118"/>
      <c r="CM989" s="183"/>
      <c r="CN989" s="118">
        <f t="shared" si="2897"/>
        <v>228243</v>
      </c>
      <c r="CO989" s="118">
        <f t="shared" si="2898"/>
        <v>337.83016060092405</v>
      </c>
      <c r="CP989" s="186">
        <v>0.88888888888888884</v>
      </c>
      <c r="CQ989" s="118">
        <f>+CQ972*CP989+CO973*CP988+CO974*CP987+CO975*CP986+CO976*CP985+CO977*CP984+CO978*CP983+CO979*CP982+CO980*CP981+CO981*CP980+CO982*CP979+CO983*CP978+CO984*CP977+CO985*CP976+CO986*CP975+CO987*CP974+CO988*CP973+CO989</f>
        <v>5752.1909181781703</v>
      </c>
      <c r="CR989" s="119">
        <f t="shared" si="2899"/>
        <v>5.2691379064938572E-2</v>
      </c>
      <c r="CS989" s="119"/>
      <c r="CT989" s="177">
        <f t="shared" si="2900"/>
        <v>7.8039986856813905E-3</v>
      </c>
      <c r="CU989" s="177">
        <f t="shared" si="2908"/>
        <v>7.6225594402001056E-3</v>
      </c>
      <c r="CV989" s="119">
        <f>VLOOKUP($H989,RoR!$E:$F,2,FALSE)</f>
        <v>3.8866666666666674E-2</v>
      </c>
      <c r="CW989" s="177">
        <v>9.5709475431029478E-3</v>
      </c>
      <c r="CX989" s="177">
        <f t="shared" si="2906"/>
        <v>2.9295719123563727E-2</v>
      </c>
      <c r="CY989" s="177">
        <f t="shared" si="2909"/>
        <v>2.3279382168333519E-2</v>
      </c>
      <c r="CZ989" s="177">
        <f t="shared" si="2910"/>
        <v>3.5270373279175926E-3</v>
      </c>
      <c r="DA989" s="187">
        <f t="shared" si="2901"/>
        <v>0.86875000000000002</v>
      </c>
      <c r="DB989" s="188">
        <f t="shared" si="2902"/>
        <v>1.3194352816994324</v>
      </c>
      <c r="DC989" s="188">
        <f t="shared" si="2903"/>
        <v>0.33177530017152673</v>
      </c>
      <c r="DD989" s="188">
        <f t="shared" si="2904"/>
        <v>0.78242572977668579</v>
      </c>
      <c r="DE989" s="188">
        <f t="shared" si="2905"/>
        <v>0.34251158643433932</v>
      </c>
      <c r="DF989" s="189">
        <f>INDEX('State Tax Lookup'!$D$7:$Z$91,MATCH(Calculation!$C989,'State Tax Lookup'!$B$7:$B$91,0),MATCH($H989,'State Tax Lookup'!$D$6:$Z$6,0))</f>
        <v>0.35</v>
      </c>
      <c r="DG989" s="189">
        <v>0.375</v>
      </c>
      <c r="DH989" s="190">
        <f t="shared" si="2907"/>
        <v>21.016217542973649</v>
      </c>
      <c r="DI989" s="190">
        <v>20.705536679085792</v>
      </c>
      <c r="DJ989" s="177"/>
      <c r="DK989" s="189">
        <f>VLOOKUP($H989,RoR!$E:$F,2,FALSE)</f>
        <v>3.8866666666666674E-2</v>
      </c>
      <c r="DL989" s="191">
        <f>HLOOKUP($H989,'GDP-PI'!$D$8:$CQ$11,3,FALSE)</f>
        <v>9.5709475431029478E-3</v>
      </c>
      <c r="DM989" s="189">
        <f>VLOOKUP(H989,'HW Dx Data'!$E:$F,2,FALSE)</f>
        <v>675.61463308665782</v>
      </c>
      <c r="DN989" s="183">
        <f>VLOOKUP(H989,'ECI - Input Price'!$G$17:$H$37,2,FALSE)</f>
        <v>123.75</v>
      </c>
      <c r="DO989" s="177">
        <f t="shared" ref="DO989" si="2953">LN(DN989/DN988)</f>
        <v>2.0821327813585516E-2</v>
      </c>
      <c r="DP989" s="183">
        <f>HLOOKUP(H989,'GDP-PI'!$8:$9,2,FALSE)</f>
        <v>104.639</v>
      </c>
      <c r="DQ989" s="177">
        <f t="shared" ref="DQ989" si="2954">LN(DP989/DP988)</f>
        <v>9.5254361854427965E-3</v>
      </c>
    </row>
    <row r="990" spans="1:121" s="167" customFormat="1" ht="21" x14ac:dyDescent="0.35">
      <c r="A990" s="167" t="s">
        <v>97</v>
      </c>
      <c r="B990" s="167" t="s">
        <v>97</v>
      </c>
      <c r="C990" s="167">
        <v>4057140</v>
      </c>
      <c r="D990" s="168" t="s">
        <v>149</v>
      </c>
      <c r="E990" s="168"/>
      <c r="F990" s="198"/>
      <c r="G990" s="167" t="s">
        <v>22</v>
      </c>
      <c r="H990" s="169">
        <v>2016</v>
      </c>
      <c r="I990" s="170"/>
      <c r="J990" s="166">
        <f>IFERROR(INDEX('Labor Expenditures'!$F$7:$X$91,MATCH($C990,'Labor Expenditures'!$D$7:$D$91,0),MATCH($G990,'Labor Expenditures'!$F$5:$X$5,0)),"NA")</f>
        <v>49842.600182397393</v>
      </c>
      <c r="K990" s="166">
        <f t="shared" si="2913"/>
        <v>394.32436853162494</v>
      </c>
      <c r="L990" s="172">
        <f t="shared" si="2920"/>
        <v>-6.0608257341488808E-2</v>
      </c>
      <c r="M990" s="172">
        <f t="shared" si="2924"/>
        <v>-1.2289826190337032E-3</v>
      </c>
      <c r="N990" s="196"/>
      <c r="O990" s="172"/>
      <c r="P990" s="166">
        <f>IFERROR(INDEX('Non-Labor Expenditures'!$F$7:$AB$91,MATCH($C990,'Non-Labor Expenditures'!$D$7:$D$91,0),MATCH($G990,'Non-Labor Expenditures'!$F$5:$AB$5,0)),"NA")</f>
        <v>72181.394377703473</v>
      </c>
      <c r="Q990" s="166">
        <f t="shared" si="2914"/>
        <v>682.65675245614989</v>
      </c>
      <c r="R990" s="172">
        <f t="shared" si="2925"/>
        <v>-4.9849267444736611E-2</v>
      </c>
      <c r="S990" s="172">
        <f t="shared" si="2930"/>
        <v>-1.0108174355840836E-3</v>
      </c>
      <c r="T990" s="172"/>
      <c r="U990" s="172"/>
      <c r="V990" s="166">
        <f t="shared" si="2895"/>
        <v>119235.12941050301</v>
      </c>
      <c r="W990" s="170"/>
      <c r="X990" s="174">
        <v>6054.0642706538374</v>
      </c>
      <c r="Y990" s="175">
        <v>5.1149015288321602E-2</v>
      </c>
      <c r="Z990" s="175">
        <f t="shared" si="2931"/>
        <v>1.0371730441918734E-3</v>
      </c>
      <c r="AA990" s="175"/>
      <c r="AB990" s="175"/>
      <c r="AC990" s="170">
        <f t="shared" si="2863"/>
        <v>241259.12397060386</v>
      </c>
      <c r="AD990" s="175">
        <f t="shared" si="2926"/>
        <v>-1.4725430559241138E-3</v>
      </c>
      <c r="AE990" s="170"/>
      <c r="AF990" s="170"/>
      <c r="AG990" s="121">
        <f t="shared" si="2927"/>
        <v>241.4563938443747</v>
      </c>
      <c r="AH990" s="119">
        <f>+AZ990/$BB$54</f>
        <v>2.681708241538586E-2</v>
      </c>
      <c r="AI990" s="119"/>
      <c r="AJ990" s="176">
        <f t="shared" si="2932"/>
        <v>6.4751560134464636</v>
      </c>
      <c r="AK990" s="176">
        <f t="shared" si="2933"/>
        <v>0</v>
      </c>
      <c r="AL990" s="120">
        <f t="shared" si="2915"/>
        <v>0.20659363825125407</v>
      </c>
      <c r="AM990" s="120">
        <f t="shared" si="2916"/>
        <v>0.29918617455685692</v>
      </c>
      <c r="AN990" s="120">
        <f t="shared" si="2917"/>
        <v>0.49422018719188904</v>
      </c>
      <c r="AO990" s="120">
        <f t="shared" si="2921"/>
        <v>-3.1874628047698639E-3</v>
      </c>
      <c r="AP990" s="173">
        <f t="shared" si="2937"/>
        <v>124.84932764707118</v>
      </c>
      <c r="AQ990" s="175">
        <f t="shared" si="2938"/>
        <v>-3.1874628047698474E-3</v>
      </c>
      <c r="AR990" s="177">
        <f>+AC990/$AE$54</f>
        <v>2.0277478233851395E-2</v>
      </c>
      <c r="AS990" s="177">
        <f t="shared" si="2934"/>
        <v>-6.4633707644931493E-5</v>
      </c>
      <c r="AT990" s="177"/>
      <c r="AU990" s="177"/>
      <c r="AV990" s="177"/>
      <c r="AW990" s="190"/>
      <c r="AX990" s="120"/>
      <c r="AY990" s="120"/>
      <c r="AZ990" s="118">
        <f>IFERROR(INDEX('Total Customers'!$F$7:$AB$91,MATCH($C990,'Total Customers'!$D$7:$D$91,0),MATCH($G990,'Total Customers'!$F$5:$AB$5,0)),"NA")</f>
        <v>999183</v>
      </c>
      <c r="BA990" s="119">
        <f t="shared" si="2896"/>
        <v>2.1535642747827079E-2</v>
      </c>
      <c r="BB990" s="119"/>
      <c r="BC990" s="121"/>
      <c r="BD990" s="119"/>
      <c r="BE990" s="119"/>
      <c r="BF990" s="119"/>
      <c r="BG990" s="173"/>
      <c r="BH990" s="173"/>
      <c r="BI990" s="173"/>
      <c r="BJ990" s="173"/>
      <c r="BK990" s="173"/>
      <c r="BL990" s="173"/>
      <c r="BM990" s="173"/>
      <c r="BN990" s="173"/>
      <c r="BO990" s="173"/>
      <c r="BP990" s="173"/>
      <c r="BQ990" s="118"/>
      <c r="BR990" s="118"/>
      <c r="BS990" s="118">
        <f>INDEX('Dist. Plant Gas Additions'!$F$7:$AE$91,MATCH($C990,'Dist. Plant Gas Additions'!$D$7:$D$91,0),MATCH(Calculation!$G990,'Dist. Plant Gas Additions'!$F$5:$AE$5,0))</f>
        <v>200009</v>
      </c>
      <c r="BT990" s="118">
        <f>INDEX('Gen. Plant Additions'!$F$7:$AE$91,MATCH($C990,'Gen. Plant Additions'!$D$7:$D$91,0),MATCH(Calculation!$G990,'Gen. Plant Additions'!$F$5:$AE$5,0))</f>
        <v>33476</v>
      </c>
      <c r="BU990" s="118"/>
      <c r="BV990" s="118"/>
      <c r="BW990" s="118">
        <f>INDEX('Dist Plant Depreciation'!$E$7:$AD$94,MATCH($C990,'Dist Plant Depreciation'!$D$7:$D$94,0),MATCH(Calculation!$G990,'Dist Plant Depreciation'!$E$5:$AD$5,0))</f>
        <v>511866</v>
      </c>
      <c r="BX990" s="118">
        <f>INDEX('Gen. Plant Depreciation'!$E$7:$AD$94,MATCH($C990,'Gen. Plant Depreciation'!$D$7:$D$94,0),MATCH(Calculation!$G990,'Gen. Plant Depreciation'!$E$5:$AD$5,0))</f>
        <v>149721</v>
      </c>
      <c r="BY990" s="118"/>
      <c r="BZ990" s="118"/>
      <c r="CA990" s="118"/>
      <c r="CB990" s="118"/>
      <c r="CC990" s="118"/>
      <c r="CD990" s="183"/>
      <c r="CE990" s="118">
        <f>INDEX('Gross Dx Plant'!$E$7:$AD$91,MATCH($C990,'Gross Dx Plant'!$D$7:$D$91,0),MATCH(Calculation!$G990,'Gross Dx Plant'!$E$5:$AD$5,0))</f>
        <v>2456089</v>
      </c>
      <c r="CF990" s="118">
        <f>INDEX('Gross Gen Plant'!$E$7:$AD$91,MATCH($C990,'Gross Gen Plant'!$D$7:$D$91,0),MATCH(Calculation!$G990,'Gross Gen Plant'!$E$5:$AD$5,0))</f>
        <v>290396</v>
      </c>
      <c r="CG990" s="118">
        <f t="shared" si="2806"/>
        <v>2084898</v>
      </c>
      <c r="CH990" s="118"/>
      <c r="CI990" s="121">
        <v>2016</v>
      </c>
      <c r="CJ990" s="118"/>
      <c r="CK990" s="118"/>
      <c r="CL990" s="118"/>
      <c r="CM990" s="183"/>
      <c r="CN990" s="118">
        <f t="shared" si="2897"/>
        <v>233485</v>
      </c>
      <c r="CO990" s="118">
        <f t="shared" si="2898"/>
        <v>347.72920793540345</v>
      </c>
      <c r="CP990" s="186">
        <v>0.88</v>
      </c>
      <c r="CQ990" s="118">
        <f>+CQ972*CP990+CO973*CP989+CO974*CP988+CO975*CP987+CO976*CP986+CO977*CP985+CO978*CP984+CO979*CP983+CO980*CP982+CO981*CP981+CO982*CP980+CO983*CP979+CO984*CP978+CO985*CP977+CO986*CP976+CO987*CP975+CO988*CP974+CO989*CP973+CO990</f>
        <v>6054.0642706538374</v>
      </c>
      <c r="CR990" s="119">
        <f t="shared" si="2899"/>
        <v>5.1149015288321602E-2</v>
      </c>
      <c r="CS990" s="119"/>
      <c r="CT990" s="177">
        <f t="shared" si="2900"/>
        <v>7.9718938595765045E-3</v>
      </c>
      <c r="CU990" s="177">
        <f t="shared" si="2908"/>
        <v>7.7976800561025336E-3</v>
      </c>
      <c r="CV990" s="119">
        <f>VLOOKUP($H990,RoR!$E:$F,2,FALSE)</f>
        <v>3.6658333333333334E-2</v>
      </c>
      <c r="CW990" s="177">
        <v>1.0483662879041455E-2</v>
      </c>
      <c r="CX990" s="177">
        <f t="shared" si="2906"/>
        <v>2.6174670454291879E-2</v>
      </c>
      <c r="CY990" s="177">
        <f t="shared" si="2909"/>
        <v>2.3104261552431091E-2</v>
      </c>
      <c r="CZ990" s="177">
        <f t="shared" si="2910"/>
        <v>4.301363574220729E-3</v>
      </c>
      <c r="DA990" s="187">
        <f t="shared" si="2901"/>
        <v>0.86875000000000002</v>
      </c>
      <c r="DB990" s="188">
        <f t="shared" si="2902"/>
        <v>1.3989193348138562</v>
      </c>
      <c r="DC990" s="188">
        <f t="shared" si="2903"/>
        <v>0.29302682427824522</v>
      </c>
      <c r="DD990" s="188">
        <f t="shared" si="2904"/>
        <v>0.76309497491941802</v>
      </c>
      <c r="DE990" s="188">
        <f t="shared" si="2905"/>
        <v>0.31280857135128509</v>
      </c>
      <c r="DF990" s="189">
        <f>INDEX('State Tax Lookup'!$D$7:$Z$91,MATCH(Calculation!$C990,'State Tax Lookup'!$B$7:$B$91,0),MATCH($H990,'State Tax Lookup'!$D$6:$Z$6,0))</f>
        <v>0.35</v>
      </c>
      <c r="DG990" s="189">
        <v>0.375</v>
      </c>
      <c r="DH990" s="190">
        <f t="shared" si="2907"/>
        <v>20.728646024890125</v>
      </c>
      <c r="DI990" s="190">
        <v>20.402403299171453</v>
      </c>
      <c r="DJ990" s="177"/>
      <c r="DK990" s="189">
        <f>VLOOKUP($H990,RoR!$E:$F,2,FALSE)</f>
        <v>3.6658333333333334E-2</v>
      </c>
      <c r="DL990" s="191">
        <f>HLOOKUP($H990,'GDP-PI'!$D$8:$CQ$11,3,FALSE)</f>
        <v>1.0483662879041455E-2</v>
      </c>
      <c r="DM990" s="189">
        <f>VLOOKUP(H990,'HW Dx Data'!$E:$F,2,FALSE)</f>
        <v>671.45639385971219</v>
      </c>
      <c r="DN990" s="183">
        <f>VLOOKUP(H990,'ECI - Input Price'!$G$17:$H$37,2,FALSE)</f>
        <v>126.4</v>
      </c>
      <c r="DO990" s="177">
        <f t="shared" ref="DO990" si="2955">LN(DN990/DN989)</f>
        <v>2.11880802639575E-2</v>
      </c>
      <c r="DP990" s="183">
        <f>HLOOKUP(H990,'GDP-PI'!$8:$9,2,FALSE)</f>
        <v>105.736</v>
      </c>
      <c r="DQ990" s="177">
        <f t="shared" ref="DQ990" si="2956">LN(DP990/DP989)</f>
        <v>1.0429090367205095E-2</v>
      </c>
    </row>
    <row r="991" spans="1:121" s="167" customFormat="1" ht="21" x14ac:dyDescent="0.35">
      <c r="A991" s="167" t="s">
        <v>97</v>
      </c>
      <c r="B991" s="167" t="s">
        <v>97</v>
      </c>
      <c r="C991" s="167">
        <v>4057140</v>
      </c>
      <c r="D991" s="168" t="s">
        <v>149</v>
      </c>
      <c r="E991" s="168"/>
      <c r="F991" s="198"/>
      <c r="G991" s="167" t="s">
        <v>23</v>
      </c>
      <c r="H991" s="169">
        <v>2017</v>
      </c>
      <c r="I991" s="170"/>
      <c r="J991" s="166">
        <f>IFERROR(INDEX('Labor Expenditures'!$F$7:$X$91,MATCH($C991,'Labor Expenditures'!$D$7:$D$91,0),MATCH($G991,'Labor Expenditures'!$F$5:$X$5,0)),"NA")</f>
        <v>44155.087796901942</v>
      </c>
      <c r="K991" s="166">
        <f t="shared" si="2913"/>
        <v>340.96592893360571</v>
      </c>
      <c r="L991" s="172">
        <f t="shared" si="2920"/>
        <v>-0.1453912838406386</v>
      </c>
      <c r="M991" s="172">
        <f t="shared" si="2924"/>
        <v>-2.8047267911206933E-3</v>
      </c>
      <c r="N991" s="196"/>
      <c r="O991" s="172"/>
      <c r="P991" s="166">
        <f>IFERROR(INDEX('Non-Labor Expenditures'!$F$7:$AB$91,MATCH($C991,'Non-Labor Expenditures'!$D$7:$D$91,0),MATCH($G991,'Non-Labor Expenditures'!$F$5:$AB$5,0)),"NA")</f>
        <v>63944.814162722927</v>
      </c>
      <c r="Q991" s="166">
        <f t="shared" si="2914"/>
        <v>593.44984420305082</v>
      </c>
      <c r="R991" s="172">
        <f t="shared" si="2925"/>
        <v>-0.14003947264154806</v>
      </c>
      <c r="S991" s="172">
        <f t="shared" si="2930"/>
        <v>-2.7014856073674662E-3</v>
      </c>
      <c r="T991" s="172"/>
      <c r="U991" s="172"/>
      <c r="V991" s="166">
        <f t="shared" si="2895"/>
        <v>120446.40002718875</v>
      </c>
      <c r="W991" s="170"/>
      <c r="X991" s="174">
        <v>6281.9691766086289</v>
      </c>
      <c r="Y991" s="175">
        <v>3.6953667710947428E-2</v>
      </c>
      <c r="Z991" s="175">
        <f t="shared" si="2931"/>
        <v>7.1286901883795017E-4</v>
      </c>
      <c r="AA991" s="175"/>
      <c r="AB991" s="175"/>
      <c r="AC991" s="170">
        <f t="shared" si="2863"/>
        <v>228546.3019868136</v>
      </c>
      <c r="AD991" s="175">
        <f t="shared" si="2926"/>
        <v>-5.413273474896884E-2</v>
      </c>
      <c r="AE991" s="170"/>
      <c r="AF991" s="170"/>
      <c r="AG991" s="121">
        <f t="shared" si="2927"/>
        <v>230.6395868773121</v>
      </c>
      <c r="AH991" s="119">
        <f>+AZ991/$BB$55</f>
        <v>2.6395601265050122E-2</v>
      </c>
      <c r="AI991" s="119"/>
      <c r="AJ991" s="176">
        <f t="shared" si="2932"/>
        <v>6.0878705711494163</v>
      </c>
      <c r="AK991" s="176">
        <f t="shared" si="2933"/>
        <v>0</v>
      </c>
      <c r="AL991" s="120">
        <f t="shared" si="2915"/>
        <v>0.19319974732931602</v>
      </c>
      <c r="AM991" s="120">
        <f t="shared" si="2916"/>
        <v>0.27978931886814051</v>
      </c>
      <c r="AN991" s="120">
        <f t="shared" si="2917"/>
        <v>0.52701093380254349</v>
      </c>
      <c r="AO991" s="120">
        <f t="shared" si="2921"/>
        <v>-5.0733830435432309E-2</v>
      </c>
      <c r="AP991" s="173">
        <f t="shared" si="2937"/>
        <v>118.67323609349985</v>
      </c>
      <c r="AQ991" s="175">
        <f t="shared" si="2938"/>
        <v>-5.0733830435432295E-2</v>
      </c>
      <c r="AR991" s="177">
        <f>+AC991/$AE$55</f>
        <v>1.9290886750782915E-2</v>
      </c>
      <c r="AS991" s="177">
        <f t="shared" si="2934"/>
        <v>-9.7870057736334777E-4</v>
      </c>
      <c r="AT991" s="177"/>
      <c r="AU991" s="177"/>
      <c r="AV991" s="177"/>
      <c r="AW991" s="190"/>
      <c r="AX991" s="120"/>
      <c r="AY991" s="120"/>
      <c r="AZ991" s="118">
        <f>IFERROR(INDEX('Total Customers'!$F$7:$AB$91,MATCH($C991,'Total Customers'!$D$7:$D$91,0),MATCH($G991,'Total Customers'!$F$5:$AB$5,0)),"NA")</f>
        <v>990924</v>
      </c>
      <c r="BA991" s="119">
        <f t="shared" si="2896"/>
        <v>-8.3001038785099502E-3</v>
      </c>
      <c r="BB991" s="119"/>
      <c r="BC991" s="121"/>
      <c r="BD991" s="119"/>
      <c r="BE991" s="119"/>
      <c r="BF991" s="119"/>
      <c r="BG991" s="173"/>
      <c r="BH991" s="173"/>
      <c r="BI991" s="173"/>
      <c r="BJ991" s="173"/>
      <c r="BK991" s="173"/>
      <c r="BL991" s="173"/>
      <c r="BM991" s="173"/>
      <c r="BN991" s="173"/>
      <c r="BO991" s="173"/>
      <c r="BP991" s="173"/>
      <c r="BQ991" s="118"/>
      <c r="BR991" s="118"/>
      <c r="BS991" s="118">
        <f>INDEX('Dist. Plant Gas Additions'!$F$7:$AE$91,MATCH($C991,'Dist. Plant Gas Additions'!$D$7:$D$91,0),MATCH(Calculation!$G991,'Dist. Plant Gas Additions'!$F$5:$AE$5,0))</f>
        <v>185269</v>
      </c>
      <c r="BT991" s="118">
        <f>INDEX('Gen. Plant Additions'!$F$7:$AE$91,MATCH($C991,'Gen. Plant Additions'!$D$7:$D$91,0),MATCH(Calculation!$G991,'Gen. Plant Additions'!$F$5:$AE$5,0))</f>
        <v>12232</v>
      </c>
      <c r="BU991" s="118"/>
      <c r="BV991" s="118"/>
      <c r="BW991" s="118">
        <f>INDEX('Dist Plant Depreciation'!$E$7:$AD$94,MATCH($C991,'Dist Plant Depreciation'!$D$7:$D$94,0),MATCH(Calculation!$G991,'Dist Plant Depreciation'!$E$5:$AD$5,0))</f>
        <v>540355</v>
      </c>
      <c r="BX991" s="118">
        <f>INDEX('Gen. Plant Depreciation'!$E$7:$AD$94,MATCH($C991,'Gen. Plant Depreciation'!$D$7:$D$94,0),MATCH(Calculation!$G991,'Gen. Plant Depreciation'!$E$5:$AD$5,0))</f>
        <v>128845</v>
      </c>
      <c r="BY991" s="118"/>
      <c r="BZ991" s="118"/>
      <c r="CA991" s="118"/>
      <c r="CB991" s="118"/>
      <c r="CC991" s="118"/>
      <c r="CD991" s="183"/>
      <c r="CE991" s="118">
        <f>INDEX('Gross Dx Plant'!$E$7:$AD$91,MATCH($C991,'Gross Dx Plant'!$D$7:$D$91,0),MATCH(Calculation!$G991,'Gross Dx Plant'!$E$5:$AD$5,0))</f>
        <v>2604002</v>
      </c>
      <c r="CF991" s="118">
        <f>INDEX('Gross Gen Plant'!$E$7:$AD$91,MATCH($C991,'Gross Gen Plant'!$D$7:$D$91,0),MATCH(Calculation!$G991,'Gross Gen Plant'!$E$5:$AD$5,0))</f>
        <v>265598</v>
      </c>
      <c r="CG991" s="118">
        <f t="shared" si="2806"/>
        <v>2200400</v>
      </c>
      <c r="CH991" s="118"/>
      <c r="CI991" s="121">
        <v>2017</v>
      </c>
      <c r="CJ991" s="118"/>
      <c r="CK991" s="118"/>
      <c r="CL991" s="118"/>
      <c r="CM991" s="183"/>
      <c r="CN991" s="118">
        <f t="shared" si="2897"/>
        <v>197501</v>
      </c>
      <c r="CO991" s="118">
        <f t="shared" si="2898"/>
        <v>277.22217288593492</v>
      </c>
      <c r="CP991" s="186">
        <v>0.87074829931972786</v>
      </c>
      <c r="CQ991" s="118">
        <f>+CQ972*CP991+CO973*CP990+CO974*CP989+CO975*CP988+CO976*CP987+CO977*CP986+CO978*CP985+CO979*CP984+CO980*CP983+CO981*CP982+CO982*CP981+CO983*CP980+CO984*CP979+CO985*CP978+CO986*CP977+CO987*CP976+CO988*CP975+CO989*CP974+CO990*CP973+CO991</f>
        <v>6281.9691766086289</v>
      </c>
      <c r="CR991" s="119">
        <f t="shared" si="2899"/>
        <v>3.6953667710947428E-2</v>
      </c>
      <c r="CS991" s="119"/>
      <c r="CT991" s="177">
        <f t="shared" si="2900"/>
        <v>8.1461419513171388E-3</v>
      </c>
      <c r="CU991" s="177">
        <f t="shared" si="2908"/>
        <v>7.9740114988583449E-3</v>
      </c>
      <c r="CV991" s="119">
        <f>VLOOKUP($H991,RoR!$E:$F,2,FALSE)</f>
        <v>3.7433333333333339E-2</v>
      </c>
      <c r="CW991" s="177">
        <v>1.9056896421275615E-2</v>
      </c>
      <c r="CX991" s="177">
        <f t="shared" si="2906"/>
        <v>1.8376436912057724E-2</v>
      </c>
      <c r="CY991" s="177">
        <f t="shared" si="2909"/>
        <v>2.2927930109675282E-2</v>
      </c>
      <c r="CZ991" s="177">
        <f t="shared" si="2910"/>
        <v>1.3976271617800498E-2</v>
      </c>
      <c r="DA991" s="187">
        <f t="shared" si="2901"/>
        <v>0.90268749999999998</v>
      </c>
      <c r="DB991" s="188">
        <f t="shared" si="2902"/>
        <v>1.3699568463593395</v>
      </c>
      <c r="DC991" s="188">
        <f t="shared" si="2903"/>
        <v>0.30714603739982199</v>
      </c>
      <c r="DD991" s="188">
        <f t="shared" si="2904"/>
        <v>0.77007188472689425</v>
      </c>
      <c r="DE991" s="188">
        <f t="shared" si="2905"/>
        <v>0.32402839633793828</v>
      </c>
      <c r="DF991" s="189">
        <f>INDEX('State Tax Lookup'!$D$7:$Z$91,MATCH(Calculation!$C991,'State Tax Lookup'!$B$7:$B$91,0),MATCH($H991,'State Tax Lookup'!$D$6:$Z$6,0))</f>
        <v>0.25950000000000001</v>
      </c>
      <c r="DG991" s="189">
        <v>0.375</v>
      </c>
      <c r="DH991" s="190">
        <f t="shared" si="2907"/>
        <v>19.895130715911705</v>
      </c>
      <c r="DI991" s="190">
        <v>19.617616291700717</v>
      </c>
      <c r="DJ991" s="177"/>
      <c r="DK991" s="189">
        <f>VLOOKUP($H991,RoR!$E:$F,2,FALSE)</f>
        <v>3.7433333333333339E-2</v>
      </c>
      <c r="DL991" s="191">
        <f>HLOOKUP($H991,'GDP-PI'!$D$8:$CQ$11,3,FALSE)</f>
        <v>1.9056896421275615E-2</v>
      </c>
      <c r="DM991" s="189">
        <f>VLOOKUP(H991,'HW Dx Data'!$E:$F,2,FALSE)</f>
        <v>712.42858370229726</v>
      </c>
      <c r="DN991" s="183">
        <f>VLOOKUP(H991,'ECI - Input Price'!$G$17:$H$37,2,FALSE)</f>
        <v>129.5</v>
      </c>
      <c r="DO991" s="177">
        <f t="shared" ref="DO991" si="2957">LN(DN991/DN990)</f>
        <v>2.4229399426835413E-2</v>
      </c>
      <c r="DP991" s="183">
        <f>HLOOKUP(H991,'GDP-PI'!$8:$9,2,FALSE)</f>
        <v>107.751</v>
      </c>
      <c r="DQ991" s="177">
        <f t="shared" ref="DQ991" si="2958">LN(DP991/DP990)</f>
        <v>1.8877588227745139E-2</v>
      </c>
    </row>
    <row r="992" spans="1:121" s="167" customFormat="1" ht="21" x14ac:dyDescent="0.35">
      <c r="A992" s="167" t="s">
        <v>97</v>
      </c>
      <c r="B992" s="167" t="s">
        <v>97</v>
      </c>
      <c r="C992" s="167">
        <v>4057140</v>
      </c>
      <c r="D992" s="168" t="s">
        <v>149</v>
      </c>
      <c r="E992" s="168"/>
      <c r="F992" s="198"/>
      <c r="G992" s="167" t="s">
        <v>24</v>
      </c>
      <c r="H992" s="169">
        <v>2018</v>
      </c>
      <c r="I992" s="170"/>
      <c r="J992" s="166">
        <f>IFERROR(INDEX('Labor Expenditures'!$F$7:$X$91,MATCH($C992,'Labor Expenditures'!$D$7:$D$91,0),MATCH($G992,'Labor Expenditures'!$F$5:$X$5,0)),"NA")</f>
        <v>44495.271406249842</v>
      </c>
      <c r="K992" s="166">
        <f t="shared" si="2913"/>
        <v>333.9232375703553</v>
      </c>
      <c r="L992" s="172">
        <f t="shared" si="2920"/>
        <v>-2.0871418212333404E-2</v>
      </c>
      <c r="M992" s="172">
        <f t="shared" si="2924"/>
        <v>-3.8906358095382073E-4</v>
      </c>
      <c r="N992" s="196"/>
      <c r="O992" s="172"/>
      <c r="P992" s="166">
        <f>IFERROR(INDEX('Non-Labor Expenditures'!$F$7:$AB$91,MATCH($C992,'Non-Labor Expenditures'!$D$7:$D$91,0),MATCH($G992,'Non-Labor Expenditures'!$F$5:$AB$5,0)),"NA")</f>
        <v>64437.463566592574</v>
      </c>
      <c r="Q992" s="166">
        <f t="shared" si="2914"/>
        <v>584.08534622824618</v>
      </c>
      <c r="R992" s="172">
        <f t="shared" si="2925"/>
        <v>-1.5905589022480709E-2</v>
      </c>
      <c r="S992" s="172">
        <f t="shared" si="2930"/>
        <v>-2.9649568416051982E-4</v>
      </c>
      <c r="T992" s="172"/>
      <c r="U992" s="172"/>
      <c r="V992" s="166">
        <f t="shared" si="2895"/>
        <v>131201.84050821836</v>
      </c>
      <c r="W992" s="170"/>
      <c r="X992" s="174">
        <v>6411.6622047951068</v>
      </c>
      <c r="Y992" s="175">
        <v>2.0435057153345097E-2</v>
      </c>
      <c r="Z992" s="175">
        <f t="shared" si="2931"/>
        <v>3.8092938544915351E-4</v>
      </c>
      <c r="AA992" s="175"/>
      <c r="AB992" s="175"/>
      <c r="AC992" s="170">
        <f t="shared" si="2863"/>
        <v>240134.57548106078</v>
      </c>
      <c r="AD992" s="175">
        <f t="shared" si="2926"/>
        <v>4.9460673039843805E-2</v>
      </c>
      <c r="AE992" s="170"/>
      <c r="AF992" s="170"/>
      <c r="AG992" s="121">
        <f t="shared" si="2927"/>
        <v>229.55507092723718</v>
      </c>
      <c r="AH992" s="119">
        <f>+AZ992/$BB$56</f>
        <v>2.762295510090439E-2</v>
      </c>
      <c r="AI992" s="119"/>
      <c r="AJ992" s="176">
        <f t="shared" si="2932"/>
        <v>6.3409894174079957</v>
      </c>
      <c r="AK992" s="176">
        <f t="shared" si="2933"/>
        <v>0</v>
      </c>
      <c r="AL992" s="120">
        <f t="shared" si="2915"/>
        <v>0.18529306459560277</v>
      </c>
      <c r="AM992" s="120">
        <f t="shared" si="2916"/>
        <v>0.26833896550509323</v>
      </c>
      <c r="AN992" s="120">
        <f t="shared" si="2917"/>
        <v>0.54636796989930403</v>
      </c>
      <c r="AO992" s="120">
        <f t="shared" si="2921"/>
        <v>2.6582871267285171E-3</v>
      </c>
      <c r="AP992" s="173">
        <f t="shared" si="2937"/>
        <v>118.98912330272749</v>
      </c>
      <c r="AQ992" s="175">
        <f t="shared" si="2938"/>
        <v>2.6582871267284468E-3</v>
      </c>
      <c r="AR992" s="177">
        <f>+AC992/$AE$56</f>
        <v>1.8640974800836201E-2</v>
      </c>
      <c r="AS992" s="177">
        <f t="shared" si="2934"/>
        <v>4.9553063342732242E-5</v>
      </c>
      <c r="AT992" s="177"/>
      <c r="AU992" s="177"/>
      <c r="AV992" s="177"/>
      <c r="AW992" s="190"/>
      <c r="AX992" s="120"/>
      <c r="AY992" s="120"/>
      <c r="AZ992" s="118">
        <f>IFERROR(INDEX('Total Customers'!$F$7:$AB$91,MATCH($C992,'Total Customers'!$D$7:$D$91,0),MATCH($G992,'Total Customers'!$F$5:$AB$5,0)),"NA")</f>
        <v>1046087</v>
      </c>
      <c r="BA992" s="119">
        <f t="shared" si="2896"/>
        <v>5.4173973985042992E-2</v>
      </c>
      <c r="BB992" s="119"/>
      <c r="BC992" s="121"/>
      <c r="BD992" s="119"/>
      <c r="BE992" s="119"/>
      <c r="BF992" s="119"/>
      <c r="BG992" s="173"/>
      <c r="BH992" s="173"/>
      <c r="BI992" s="173"/>
      <c r="BJ992" s="173"/>
      <c r="BK992" s="173"/>
      <c r="BL992" s="173"/>
      <c r="BM992" s="173"/>
      <c r="BN992" s="173"/>
      <c r="BO992" s="173"/>
      <c r="BP992" s="173"/>
      <c r="BQ992" s="118"/>
      <c r="BR992" s="118"/>
      <c r="BS992" s="118">
        <f>INDEX('Dist. Plant Gas Additions'!$F$7:$AE$91,MATCH($C992,'Dist. Plant Gas Additions'!$D$7:$D$91,0),MATCH(Calculation!$G992,'Dist. Plant Gas Additions'!$F$5:$AE$5,0))</f>
        <v>132274</v>
      </c>
      <c r="BT992" s="118">
        <f>INDEX('Gen. Plant Additions'!$F$7:$AE$91,MATCH($C992,'Gen. Plant Additions'!$D$7:$D$91,0),MATCH(Calculation!$G992,'Gen. Plant Additions'!$F$5:$AE$5,0))</f>
        <v>5368</v>
      </c>
      <c r="BU992" s="118"/>
      <c r="BV992" s="118"/>
      <c r="BW992" s="118">
        <f>INDEX('Dist Plant Depreciation'!$E$7:$AD$94,MATCH($C992,'Dist Plant Depreciation'!$D$7:$D$94,0),MATCH(Calculation!$G992,'Dist Plant Depreciation'!$E$5:$AD$5,0))</f>
        <v>589325</v>
      </c>
      <c r="BX992" s="118">
        <f>INDEX('Gen. Plant Depreciation'!$E$7:$AD$94,MATCH($C992,'Gen. Plant Depreciation'!$D$7:$D$94,0),MATCH(Calculation!$G992,'Gen. Plant Depreciation'!$E$5:$AD$5,0))</f>
        <v>134553</v>
      </c>
      <c r="BY992" s="118"/>
      <c r="BZ992" s="118"/>
      <c r="CA992" s="118"/>
      <c r="CB992" s="118"/>
      <c r="CC992" s="118"/>
      <c r="CD992" s="183"/>
      <c r="CE992" s="118">
        <f>INDEX('Gross Dx Plant'!$E$7:$AD$91,MATCH($C992,'Gross Dx Plant'!$D$7:$D$91,0),MATCH(Calculation!$G992,'Gross Dx Plant'!$E$5:$AD$5,0))</f>
        <v>2733447</v>
      </c>
      <c r="CF992" s="118">
        <f>INDEX('Gross Gen Plant'!$E$7:$AD$91,MATCH($C992,'Gross Gen Plant'!$D$7:$D$91,0),MATCH(Calculation!$G992,'Gross Gen Plant'!$E$5:$AD$5,0))</f>
        <v>262091</v>
      </c>
      <c r="CG992" s="118">
        <f t="shared" si="2806"/>
        <v>2271660</v>
      </c>
      <c r="CH992" s="118"/>
      <c r="CI992" s="121">
        <v>2018</v>
      </c>
      <c r="CJ992" s="118"/>
      <c r="CK992" s="118"/>
      <c r="CL992" s="118"/>
      <c r="CM992" s="183"/>
      <c r="CN992" s="118">
        <f t="shared" si="2897"/>
        <v>137642</v>
      </c>
      <c r="CO992" s="118">
        <f t="shared" si="2898"/>
        <v>182.27427879729345</v>
      </c>
      <c r="CP992" s="186">
        <v>0.86111111111111116</v>
      </c>
      <c r="CQ992" s="118">
        <f>+CQ972*CP992++CO973*CP991+CO974*CP990+CO975*CP989+CO976*CP988+CO977*CP987+CO978*CP986+CO979*CP985+CO980*CP984+CO981*CP983+CO982*CP982+CO983*CP981+CO984*CP980+CO985*CP979+CO986*CP978+CO987*CP977+CO988*CP976+CO989*CP975+CO990*CP974+CO991*CP973+CO992</f>
        <v>6411.6622047951068</v>
      </c>
      <c r="CR992" s="119">
        <f t="shared" si="2899"/>
        <v>2.0435057153345097E-2</v>
      </c>
      <c r="CS992" s="119"/>
      <c r="CT992" s="177">
        <f t="shared" si="2900"/>
        <v>8.3701860248862163E-3</v>
      </c>
      <c r="CU992" s="177">
        <f t="shared" si="2908"/>
        <v>8.1627406119266204E-3</v>
      </c>
      <c r="CV992" s="119">
        <f>VLOOKUP($H992,RoR!$E:$F,2,FALSE)</f>
        <v>3.9299999999999995E-2</v>
      </c>
      <c r="CW992" s="177">
        <v>2.386056741932796E-2</v>
      </c>
      <c r="CX992" s="177">
        <f t="shared" si="2906"/>
        <v>1.5439432580672034E-2</v>
      </c>
      <c r="CY992" s="177">
        <f t="shared" si="2909"/>
        <v>2.2739200996607006E-2</v>
      </c>
      <c r="CZ992" s="177">
        <f t="shared" si="2910"/>
        <v>3.8270792163076606E-2</v>
      </c>
      <c r="DA992" s="187">
        <f t="shared" si="2901"/>
        <v>0.90268749999999998</v>
      </c>
      <c r="DB992" s="188">
        <f t="shared" si="2902"/>
        <v>1.3048868010700074</v>
      </c>
      <c r="DC992" s="188">
        <f t="shared" si="2903"/>
        <v>0.33886768447837151</v>
      </c>
      <c r="DD992" s="188">
        <f t="shared" si="2904"/>
        <v>0.78602506232557801</v>
      </c>
      <c r="DE992" s="188">
        <f t="shared" si="2905"/>
        <v>0.34756768162358759</v>
      </c>
      <c r="DF992" s="189">
        <f>INDEX('State Tax Lookup'!$D$7:$Z$91,MATCH(Calculation!$C992,'State Tax Lookup'!$B$7:$B$91,0),MATCH($H992,'State Tax Lookup'!$D$6:$Z$6,0))</f>
        <v>0.25950000000000001</v>
      </c>
      <c r="DG992" s="189">
        <v>0.375</v>
      </c>
      <c r="DH992" s="190">
        <f t="shared" si="2907"/>
        <v>20.885463907839281</v>
      </c>
      <c r="DI992" s="190">
        <v>20.57549434283753</v>
      </c>
      <c r="DJ992" s="177"/>
      <c r="DK992" s="189">
        <f>VLOOKUP($H992,RoR!$E:$F,2,FALSE)</f>
        <v>3.9299999999999995E-2</v>
      </c>
      <c r="DL992" s="191">
        <f>HLOOKUP($H992,'GDP-PI'!$D$8:$CQ$11,3,FALSE)</f>
        <v>2.386056741932796E-2</v>
      </c>
      <c r="DM992" s="189">
        <f>VLOOKUP(H992,'HW Dx Data'!$E:$F,2,FALSE)</f>
        <v>755.13671434174842</v>
      </c>
      <c r="DN992" s="183">
        <f>VLOOKUP(H992,'ECI - Input Price'!$G$17:$H$37,2,FALSE)</f>
        <v>133.25</v>
      </c>
      <c r="DO992" s="177">
        <f t="shared" ref="DO992" si="2959">LN(DN992/DN991)</f>
        <v>2.8546181906361531E-2</v>
      </c>
      <c r="DP992" s="183">
        <f>HLOOKUP(H992,'GDP-PI'!$8:$9,2,FALSE)</f>
        <v>110.322</v>
      </c>
      <c r="DQ992" s="177">
        <f t="shared" ref="DQ992" si="2960">LN(DP992/DP991)</f>
        <v>2.3580352716508712E-2</v>
      </c>
    </row>
    <row r="993" spans="1:121" s="167" customFormat="1" ht="21" x14ac:dyDescent="0.35">
      <c r="A993" s="167" t="s">
        <v>97</v>
      </c>
      <c r="B993" s="167" t="s">
        <v>97</v>
      </c>
      <c r="C993" s="167">
        <v>4057140</v>
      </c>
      <c r="D993" s="168" t="s">
        <v>149</v>
      </c>
      <c r="E993" s="168"/>
      <c r="F993" s="198"/>
      <c r="G993" s="167" t="s">
        <v>25</v>
      </c>
      <c r="H993" s="169">
        <v>2019</v>
      </c>
      <c r="I993" s="170"/>
      <c r="J993" s="166">
        <f>IFERROR(INDEX('Labor Expenditures'!$F$7:$X$91,MATCH($C993,'Labor Expenditures'!$D$7:$D$91,0),MATCH($G993,'Labor Expenditures'!$F$5:$X$5,0)),"NA")</f>
        <v>49969.194560959957</v>
      </c>
      <c r="K993" s="166">
        <f t="shared" si="2913"/>
        <v>365.13843303587839</v>
      </c>
      <c r="L993" s="172">
        <f t="shared" si="2920"/>
        <v>8.9365411341171153E-2</v>
      </c>
      <c r="M993" s="172">
        <f t="shared" si="2924"/>
        <v>1.7358072954828665E-3</v>
      </c>
      <c r="N993" s="196"/>
      <c r="O993" s="172"/>
      <c r="P993" s="166">
        <f>IFERROR(INDEX('Non-Labor Expenditures'!$F$7:$AB$91,MATCH($C993,'Non-Labor Expenditures'!$D$7:$D$91,0),MATCH($G993,'Non-Labor Expenditures'!$F$5:$AB$5,0)),"NA")</f>
        <v>72364.726682430453</v>
      </c>
      <c r="Q993" s="166">
        <f t="shared" si="2914"/>
        <v>644.28432381657842</v>
      </c>
      <c r="R993" s="172">
        <f t="shared" si="2925"/>
        <v>9.8093012330503354E-2</v>
      </c>
      <c r="S993" s="172">
        <f t="shared" si="2930"/>
        <v>1.9053296335103857E-3</v>
      </c>
      <c r="T993" s="172"/>
      <c r="U993" s="172"/>
      <c r="V993" s="166">
        <f t="shared" si="2895"/>
        <v>135714.59172373367</v>
      </c>
      <c r="W993" s="170"/>
      <c r="X993" s="174">
        <v>6365.7503815239052</v>
      </c>
      <c r="Y993" s="175">
        <v>-7.1864347422895295E-3</v>
      </c>
      <c r="Z993" s="175">
        <f t="shared" si="2931"/>
        <v>-1.3958718106891021E-4</v>
      </c>
      <c r="AA993" s="175"/>
      <c r="AB993" s="175"/>
      <c r="AC993" s="170">
        <f t="shared" si="2863"/>
        <v>258048.51296712409</v>
      </c>
      <c r="AD993" s="175">
        <f t="shared" si="2926"/>
        <v>7.1948104639495053E-2</v>
      </c>
      <c r="AE993" s="170"/>
      <c r="AF993" s="170"/>
      <c r="AG993" s="121">
        <f t="shared" si="2927"/>
        <v>240.56317834883873</v>
      </c>
      <c r="AH993" s="119">
        <f>+AZ993/$BB$57</f>
        <v>2.8093564532608424E-2</v>
      </c>
      <c r="AI993" s="119"/>
      <c r="AJ993" s="176">
        <f t="shared" si="2932"/>
        <v>6.7582771751124904</v>
      </c>
      <c r="AK993" s="176">
        <f t="shared" si="2933"/>
        <v>0</v>
      </c>
      <c r="AL993" s="120">
        <f t="shared" si="2915"/>
        <v>0.19364263713980842</v>
      </c>
      <c r="AM993" s="120">
        <f t="shared" si="2916"/>
        <v>0.28043070603413967</v>
      </c>
      <c r="AN993" s="120">
        <f t="shared" si="2917"/>
        <v>0.52592665682605189</v>
      </c>
      <c r="AO993" s="120">
        <f t="shared" si="2921"/>
        <v>3.9994119827437564E-2</v>
      </c>
      <c r="AP993" s="173">
        <f t="shared" si="2937"/>
        <v>123.84443331640549</v>
      </c>
      <c r="AQ993" s="175">
        <f t="shared" si="2938"/>
        <v>3.9994119827437523E-2</v>
      </c>
      <c r="AR993" s="177">
        <f>+AC993/$AE$57</f>
        <v>1.9423703974864044E-2</v>
      </c>
      <c r="AS993" s="177">
        <f t="shared" si="2934"/>
        <v>7.7683394426338709E-4</v>
      </c>
      <c r="AT993" s="177"/>
      <c r="AU993" s="177"/>
      <c r="AV993" s="177"/>
      <c r="AW993" s="190"/>
      <c r="AX993" s="120"/>
      <c r="AY993" s="120"/>
      <c r="AZ993" s="118">
        <f>IFERROR(INDEX('Total Customers'!$F$7:$AB$91,MATCH($C993,'Total Customers'!$D$7:$D$91,0),MATCH($G993,'Total Customers'!$F$5:$AB$5,0)),"NA")</f>
        <v>1072685</v>
      </c>
      <c r="BA993" s="119">
        <f t="shared" si="2896"/>
        <v>2.5108314936977912E-2</v>
      </c>
      <c r="BB993" s="119"/>
      <c r="BC993" s="121"/>
      <c r="BD993" s="119"/>
      <c r="BE993" s="119"/>
      <c r="BF993" s="119"/>
      <c r="BG993" s="173"/>
      <c r="BH993" s="173"/>
      <c r="BI993" s="173"/>
      <c r="BJ993" s="173"/>
      <c r="BK993" s="173"/>
      <c r="BL993" s="173"/>
      <c r="BM993" s="173"/>
      <c r="BN993" s="173"/>
      <c r="BO993" s="173"/>
      <c r="BP993" s="173"/>
      <c r="BQ993" s="118"/>
      <c r="BR993" s="118"/>
      <c r="BS993" s="118">
        <f>INDEX('Dist. Plant Gas Additions'!$F$7:$AE$91,MATCH($C993,'Dist. Plant Gas Additions'!$D$7:$D$91,0),MATCH(Calculation!$G993,'Dist. Plant Gas Additions'!$F$5:$AE$5,0))</f>
        <v>4678</v>
      </c>
      <c r="BT993" s="118">
        <f>INDEX('Gen. Plant Additions'!$F$7:$AE$91,MATCH($C993,'Gen. Plant Additions'!$D$7:$D$91,0),MATCH(Calculation!$G993,'Gen. Plant Additions'!$F$5:$AE$5,0))</f>
        <v>2759</v>
      </c>
      <c r="BU993" s="118"/>
      <c r="BV993" s="118"/>
      <c r="BW993" s="118">
        <f>INDEX('Dist Plant Depreciation'!$E$7:$AD$94,MATCH($C993,'Dist Plant Depreciation'!$D$7:$D$94,0),MATCH(Calculation!$G993,'Dist Plant Depreciation'!$E$5:$AD$5,0))</f>
        <v>610409</v>
      </c>
      <c r="BX993" s="118">
        <f>INDEX('Gen. Plant Depreciation'!$E$7:$AD$94,MATCH($C993,'Gen. Plant Depreciation'!$D$7:$D$94,0),MATCH(Calculation!$G993,'Gen. Plant Depreciation'!$E$5:$AD$5,0))</f>
        <v>129855</v>
      </c>
      <c r="BY993" s="118"/>
      <c r="BZ993" s="118"/>
      <c r="CA993" s="118"/>
      <c r="CB993" s="118"/>
      <c r="CC993" s="118"/>
      <c r="CD993" s="183"/>
      <c r="CE993" s="118">
        <f>INDEX('Gross Dx Plant'!$E$7:$AD$91,MATCH($C993,'Gross Dx Plant'!$D$7:$D$91,0),MATCH(Calculation!$G993,'Gross Dx Plant'!$E$5:$AD$5,0))</f>
        <v>2806682</v>
      </c>
      <c r="CF993" s="118">
        <f>INDEX('Gross Gen Plant'!$E$7:$AD$91,MATCH($C993,'Gross Gen Plant'!$D$7:$D$91,0),MATCH(Calculation!$G993,'Gross Gen Plant'!$E$5:$AD$5,0))</f>
        <v>260659</v>
      </c>
      <c r="CG993" s="118">
        <f t="shared" si="2806"/>
        <v>2327077</v>
      </c>
      <c r="CH993" s="118"/>
      <c r="CI993" s="121">
        <v>2019</v>
      </c>
      <c r="CJ993" s="118"/>
      <c r="CK993" s="118"/>
      <c r="CL993" s="118"/>
      <c r="CM993" s="183"/>
      <c r="CN993" s="118">
        <f t="shared" si="2897"/>
        <v>7437</v>
      </c>
      <c r="CO993" s="118">
        <f t="shared" si="2898"/>
        <v>9.6142497476356361</v>
      </c>
      <c r="CP993" s="186">
        <v>0.85106382978723405</v>
      </c>
      <c r="CQ993" s="118">
        <f>CQ972*CP993+CO973*CP992+CO974*CP991+CO975*CP990+CO976*CP989+CO977*CP988+CO978*CP987+CO979*CP986+CO980*CP985+CO981*CP984+CO982*CP983+CO983*CP982+CO984*CP981+CO985*CP980+CO986*CP979+CO987*CP978+CO988*CP977+CO989*CP976+CO990*CP975+CO991*CP974+CO992*CP973+CO993</f>
        <v>6365.7503815239052</v>
      </c>
      <c r="CR993" s="119">
        <f t="shared" si="2899"/>
        <v>-7.1864347422895295E-3</v>
      </c>
      <c r="CS993" s="119"/>
      <c r="CT993" s="177">
        <f t="shared" si="2900"/>
        <v>8.6601681818656781E-3</v>
      </c>
      <c r="CU993" s="177">
        <f t="shared" si="2908"/>
        <v>8.3921653860230105E-3</v>
      </c>
      <c r="CV993" s="119">
        <f>VLOOKUP($H993,RoR!$E:$F,2,FALSE)</f>
        <v>3.3875000000000009E-2</v>
      </c>
      <c r="CW993" s="177">
        <v>1.8092492884465461E-2</v>
      </c>
      <c r="CX993" s="177">
        <f t="shared" si="2906"/>
        <v>1.5782507115534548E-2</v>
      </c>
      <c r="CY993" s="177">
        <f t="shared" si="2909"/>
        <v>2.2509776222510616E-2</v>
      </c>
      <c r="CZ993" s="177">
        <f t="shared" si="2910"/>
        <v>4.8445665544254078E-2</v>
      </c>
      <c r="DA993" s="187">
        <f t="shared" si="2901"/>
        <v>0.90268749999999998</v>
      </c>
      <c r="DB993" s="188">
        <f t="shared" si="2902"/>
        <v>1.513861292459078</v>
      </c>
      <c r="DC993" s="188">
        <f t="shared" si="2903"/>
        <v>0.23699261992619944</v>
      </c>
      <c r="DD993" s="188">
        <f t="shared" si="2904"/>
        <v>0.73619765810468829</v>
      </c>
      <c r="DE993" s="188">
        <f t="shared" si="2905"/>
        <v>0.26412854465362851</v>
      </c>
      <c r="DF993" s="189">
        <f>INDEX('State Tax Lookup'!$D$7:$Z$91,MATCH(Calculation!$C993,'State Tax Lookup'!$B$7:$B$91,0),MATCH($H993,'State Tax Lookup'!$D$6:$Z$6,0))</f>
        <v>0.25950000000000001</v>
      </c>
      <c r="DG993" s="189">
        <v>0.375</v>
      </c>
      <c r="DH993" s="190">
        <f t="shared" si="2907"/>
        <v>21.166834338564566</v>
      </c>
      <c r="DI993" s="190">
        <v>20.803581972154376</v>
      </c>
      <c r="DJ993" s="177"/>
      <c r="DK993" s="189">
        <f>VLOOKUP($H993,RoR!$E:$F,2,FALSE)</f>
        <v>3.3875000000000009E-2</v>
      </c>
      <c r="DL993" s="191">
        <f>HLOOKUP($H993,'GDP-PI'!$D$8:$CQ$11,3,FALSE)</f>
        <v>1.8092492884465461E-2</v>
      </c>
      <c r="DM993" s="189">
        <f>VLOOKUP(H993,'HW Dx Data'!$E:$F,2,FALSE)</f>
        <v>773.53929793938721</v>
      </c>
      <c r="DN993" s="183">
        <f>VLOOKUP(H993,'ECI - Input Price'!$G$17:$H$37,2,FALSE)</f>
        <v>136.85</v>
      </c>
      <c r="DO993" s="177">
        <f t="shared" ref="DO993" si="2961">LN(DN993/DN992)</f>
        <v>2.6658372440734168E-2</v>
      </c>
      <c r="DP993" s="183">
        <f>HLOOKUP(H993,'GDP-PI'!$8:$9,2,FALSE)</f>
        <v>112.318</v>
      </c>
      <c r="DQ993" s="177">
        <f t="shared" ref="DQ993" si="2962">LN(DP993/DP992)</f>
        <v>1.7930771451401852E-2</v>
      </c>
    </row>
    <row r="994" spans="1:121" s="167" customFormat="1" ht="21" x14ac:dyDescent="0.35">
      <c r="A994" s="167" t="s">
        <v>97</v>
      </c>
      <c r="B994" s="167" t="s">
        <v>97</v>
      </c>
      <c r="C994" s="167">
        <v>4057140</v>
      </c>
      <c r="D994" s="167" t="s">
        <v>149</v>
      </c>
      <c r="G994" s="168" t="s">
        <v>26</v>
      </c>
      <c r="H994" s="169">
        <v>2020</v>
      </c>
      <c r="I994" s="170"/>
      <c r="J994" s="166">
        <f>IFERROR(INDEX('Labor Expenditures'!$F$7:$X$91,MATCH($C994,'Labor Expenditures'!$D$7:$D$91,0),MATCH($G994,'Labor Expenditures'!$F$5:$X$5,0)),"NA")</f>
        <v>42555.324452538393</v>
      </c>
      <c r="K994" s="166">
        <f t="shared" si="2913"/>
        <v>302.99269813128086</v>
      </c>
      <c r="L994" s="172">
        <f t="shared" si="2920"/>
        <v>-0.18656784362742404</v>
      </c>
      <c r="M994" s="172">
        <f t="shared" si="2924"/>
        <v>-3.3223625390832673E-3</v>
      </c>
      <c r="N994" s="196"/>
      <c r="O994" s="172"/>
      <c r="P994" s="166">
        <f>IFERROR(INDEX('Non-Labor Expenditures'!$F$7:$AB$91,MATCH($C994,'Non-Labor Expenditures'!$D$7:$D$91,0),MATCH($G994,'Non-Labor Expenditures'!$F$5:$AB$5,0)),"NA")</f>
        <v>61628.05804550735</v>
      </c>
      <c r="Q994" s="166">
        <f t="shared" si="2914"/>
        <v>542.39069594630791</v>
      </c>
      <c r="R994" s="172">
        <f t="shared" si="2925"/>
        <v>-0.17215354229525243</v>
      </c>
      <c r="S994" s="172">
        <f t="shared" si="2930"/>
        <v>-3.0656755675132876E-3</v>
      </c>
      <c r="T994" s="172"/>
      <c r="U994" s="172"/>
      <c r="V994" s="166">
        <f t="shared" si="2895"/>
        <v>139724.14108836709</v>
      </c>
      <c r="W994" s="170"/>
      <c r="X994" s="174">
        <v>6311.2785641851724</v>
      </c>
      <c r="Y994" s="175">
        <v>-8.593835798350883E-3</v>
      </c>
      <c r="Z994" s="175">
        <f t="shared" si="2931"/>
        <v>-1.5303729500401866E-4</v>
      </c>
      <c r="AA994" s="175"/>
      <c r="AB994" s="175"/>
      <c r="AC994" s="170">
        <f t="shared" si="2863"/>
        <v>243907.52358641283</v>
      </c>
      <c r="AD994" s="175">
        <f t="shared" si="2926"/>
        <v>-5.6358450242715276E-2</v>
      </c>
      <c r="AE994" s="170"/>
      <c r="AF994" s="170"/>
      <c r="AG994" s="121">
        <f t="shared" si="2927"/>
        <v>227.38038062097712</v>
      </c>
      <c r="AH994" s="119">
        <f>+AZ994/$BB$58</f>
        <v>2.7896049341980023E-2</v>
      </c>
      <c r="AI994" s="119"/>
      <c r="AJ994" s="176">
        <f t="shared" si="2932"/>
        <v>6.3430143172009759</v>
      </c>
      <c r="AK994" s="176">
        <f t="shared" si="2933"/>
        <v>0</v>
      </c>
      <c r="AL994" s="120">
        <f t="shared" si="2915"/>
        <v>0.17447319306434461</v>
      </c>
      <c r="AM994" s="120">
        <f t="shared" si="2916"/>
        <v>0.25266977065458762</v>
      </c>
      <c r="AN994" s="120">
        <f t="shared" si="2917"/>
        <v>0.57285703628106777</v>
      </c>
      <c r="AO994" s="120">
        <f t="shared" si="2921"/>
        <v>-8.4948239372013998E-2</v>
      </c>
      <c r="AP994" s="173">
        <f t="shared" si="2937"/>
        <v>113.75852141597665</v>
      </c>
      <c r="AQ994" s="175">
        <f t="shared" si="2938"/>
        <v>-8.494823937201397E-2</v>
      </c>
      <c r="AR994" s="177">
        <f>+AC994/$AE$58</f>
        <v>1.780779835628065E-2</v>
      </c>
      <c r="AS994" s="177">
        <f t="shared" si="2934"/>
        <v>-1.5127411174578856E-3</v>
      </c>
      <c r="AT994" s="177"/>
      <c r="AU994" s="177"/>
      <c r="AV994" s="177"/>
      <c r="AW994" s="190"/>
      <c r="AX994" s="120"/>
      <c r="AY994" s="120"/>
      <c r="AZ994" s="118">
        <v>1072685</v>
      </c>
      <c r="BA994" s="119">
        <f t="shared" si="2896"/>
        <v>0</v>
      </c>
      <c r="BB994" s="119"/>
      <c r="BC994" s="121"/>
      <c r="BD994" s="119"/>
      <c r="BE994" s="119"/>
      <c r="BF994" s="119"/>
      <c r="BG994" s="173"/>
      <c r="BH994" s="173"/>
      <c r="BI994" s="173"/>
      <c r="BJ994" s="173"/>
      <c r="BK994" s="173"/>
      <c r="BL994" s="173"/>
      <c r="BM994" s="173"/>
      <c r="BN994" s="173"/>
      <c r="BO994" s="173"/>
      <c r="BP994" s="173"/>
      <c r="BQ994" s="118"/>
      <c r="BR994" s="118"/>
      <c r="BS994" s="118">
        <f>INDEX('Dist. Plant Gas Additions'!$F$7:$AE$91,MATCH($C994,'Dist. Plant Gas Additions'!$D$7:$D$91,0),MATCH(Calculation!$G994,'Dist. Plant Gas Additions'!$F$5:$AE$5,0))</f>
        <v>1732</v>
      </c>
      <c r="BT994" s="118">
        <f>INDEX('Gen. Plant Additions'!$F$7:$AE$91,MATCH($C994,'Gen. Plant Additions'!$D$7:$D$91,0),MATCH(Calculation!$G994,'Gen. Plant Additions'!$F$5:$AE$5,0))</f>
        <v>943</v>
      </c>
      <c r="BU994" s="118"/>
      <c r="BV994" s="118"/>
      <c r="BW994" s="118">
        <f>INDEX('Dist Plant Depreciation'!$E$7:$AD$94,MATCH($C994,'Dist Plant Depreciation'!$D$7:$D$94,0),MATCH(Calculation!$G994,'Dist Plant Depreciation'!$E$5:$AD$5,0))</f>
        <v>646656</v>
      </c>
      <c r="BX994" s="118">
        <f>INDEX('Gen. Plant Depreciation'!$E$7:$AD$94,MATCH($C994,'Gen. Plant Depreciation'!$D$7:$D$94,0),MATCH(Calculation!$G994,'Gen. Plant Depreciation'!$E$5:$AD$5,0))</f>
        <v>133468</v>
      </c>
      <c r="BY994" s="118"/>
      <c r="BZ994" s="118"/>
      <c r="CA994" s="118"/>
      <c r="CB994" s="118"/>
      <c r="CC994" s="118"/>
      <c r="CD994" s="183"/>
      <c r="CE994" s="118">
        <f>INDEX('Gross Dx Plant'!$E$7:$AD$91,MATCH($C994,'Gross Dx Plant'!$D$7:$D$91,0),MATCH(Calculation!$G994,'Gross Dx Plant'!$E$5:$AD$5,0))</f>
        <v>2908845</v>
      </c>
      <c r="CF994" s="118">
        <f>INDEX('Gross Gen Plant'!$E$7:$AD$91,MATCH($C994,'Gross Gen Plant'!$D$7:$D$91,0),MATCH(Calculation!$G994,'Gross Gen Plant'!$E$5:$AD$5,0))</f>
        <v>267552</v>
      </c>
      <c r="CG994" s="118">
        <f t="shared" si="2806"/>
        <v>2396273</v>
      </c>
      <c r="CH994" s="118"/>
      <c r="CI994" s="121">
        <v>2020</v>
      </c>
      <c r="CJ994" s="118"/>
      <c r="CK994" s="118"/>
      <c r="CL994" s="118"/>
      <c r="CM994" s="183"/>
      <c r="CN994" s="118">
        <f t="shared" si="2897"/>
        <v>2675</v>
      </c>
      <c r="CO994" s="118">
        <f t="shared" si="2898"/>
        <v>3.2899585102538249</v>
      </c>
      <c r="CP994" s="186">
        <v>0.84057971014492749</v>
      </c>
      <c r="CQ994" s="118">
        <f>CQ972*CP994+CO973*CP993+CO974*CP992+CO975*CP991+CO976*CP990+CO977*CP989+CO978*CP988+CO979*CP987+CO980*CP986+CO981*CP985+CO982*CP984+CO983*CP983+CO984*CP982+CO985*CP981+CO986*CP980+CO987*CP979+CO988*CP978+CO989*CP977+CO990*CP976+CO991*CP975+CO992*CP974+CO993*CP973+CO994</f>
        <v>6311.2785641851724</v>
      </c>
      <c r="CR994" s="119">
        <f t="shared" si="2899"/>
        <v>-8.593835798350883E-3</v>
      </c>
      <c r="CS994" s="119"/>
      <c r="CT994" s="177">
        <f t="shared" si="2900"/>
        <v>9.0738361366847885E-3</v>
      </c>
      <c r="CU994" s="177">
        <f t="shared" si="2908"/>
        <v>8.7013967811455616E-3</v>
      </c>
      <c r="CV994" s="119">
        <f>VLOOKUP($H994,RoR!$E:$F,2,FALSE)</f>
        <v>2.4766666666666666E-2</v>
      </c>
      <c r="CW994" s="177">
        <v>1.1618796630994188E-2</v>
      </c>
      <c r="CX994" s="177">
        <f t="shared" si="2906"/>
        <v>1.3147870035672478E-2</v>
      </c>
      <c r="CY994" s="177">
        <f t="shared" si="2909"/>
        <v>2.2200544827388063E-2</v>
      </c>
      <c r="CZ994" s="177">
        <f t="shared" si="2910"/>
        <v>4.5144642961987357E-2</v>
      </c>
      <c r="DA994" s="187">
        <f t="shared" si="2901"/>
        <v>0.90268749999999998</v>
      </c>
      <c r="DB994" s="188">
        <f t="shared" si="2902"/>
        <v>2.0706077233668081</v>
      </c>
      <c r="DC994" s="188">
        <f t="shared" si="2903"/>
        <v>-3.4421265141318998E-2</v>
      </c>
      <c r="DD994" s="188">
        <f t="shared" si="2904"/>
        <v>0.62416226176410472</v>
      </c>
      <c r="DE994" s="188">
        <f t="shared" si="2905"/>
        <v>-4.4485877841158712E-2</v>
      </c>
      <c r="DF994" s="189">
        <f>INDEX('State Tax Lookup'!$D$7:$Z$91,MATCH(Calculation!$C994,'State Tax Lookup'!$B$7:$B$91,0),MATCH($H994,'State Tax Lookup'!$D$6:$Z$6,0))</f>
        <v>0.25950000000000001</v>
      </c>
      <c r="DG994" s="189">
        <v>0.375</v>
      </c>
      <c r="DH994" s="190">
        <f t="shared" si="2907"/>
        <v>21.949359103666009</v>
      </c>
      <c r="DI994" s="190">
        <v>21.505202614701734</v>
      </c>
      <c r="DJ994" s="177"/>
      <c r="DK994" s="189">
        <f>VLOOKUP($H994,RoR!$E:$F,2,FALSE)</f>
        <v>2.4766666666666666E-2</v>
      </c>
      <c r="DL994" s="191">
        <f>HLOOKUP($H994,'GDP-PI'!$D$8:$CQ$11,3,FALSE)</f>
        <v>1.1618796630994188E-2</v>
      </c>
      <c r="DM994" s="189">
        <f>VLOOKUP(H994,'HW Dx Data'!$E:$F,2,FALSE)</f>
        <v>813.080162458833</v>
      </c>
      <c r="DN994" s="183">
        <f>VLOOKUP(H994,'ECI - Input Price'!$G$17:$H$37,2,FALSE)</f>
        <v>140.44999999999999</v>
      </c>
      <c r="DO994" s="177">
        <f t="shared" ref="DO994" si="2963">LN(DN994/DN993)</f>
        <v>2.5966118063564539E-2</v>
      </c>
      <c r="DP994" s="183">
        <f>HLOOKUP(H994,'GDP-PI'!$8:$9,2,FALSE)</f>
        <v>113.623</v>
      </c>
      <c r="DQ994" s="177">
        <f t="shared" ref="DQ994" si="2964">LN(DP994/DP993)</f>
        <v>1.1551816731392881E-2</v>
      </c>
    </row>
    <row r="995" spans="1:121" s="167" customFormat="1" ht="21" x14ac:dyDescent="0.35">
      <c r="A995" s="167" t="s">
        <v>97</v>
      </c>
      <c r="B995" s="167" t="s">
        <v>97</v>
      </c>
      <c r="C995" s="167">
        <v>4057140</v>
      </c>
      <c r="D995" s="167" t="s">
        <v>149</v>
      </c>
      <c r="G995" s="168" t="s">
        <v>462</v>
      </c>
      <c r="H995" s="169">
        <v>2021</v>
      </c>
      <c r="I995" s="170"/>
      <c r="J995" s="166">
        <f>IFERROR(INDEX('Labor Expenditures'!$E$7:$X$91,MATCH($C995,'Labor Expenditures'!$D$7:$D$91,0),MATCH($G995,'Labor Expenditures'!$E$5:$X$5,0)),"NA")</f>
        <v>46318.310113393214</v>
      </c>
      <c r="K995" s="166">
        <f t="shared" si="2913"/>
        <v>318.39360792846338</v>
      </c>
      <c r="L995" s="171">
        <f t="shared" si="2920"/>
        <v>4.9579671524787781E-2</v>
      </c>
      <c r="M995" s="172">
        <f t="shared" si="2924"/>
        <v>7.6094697161683612E-4</v>
      </c>
      <c r="N995" s="196"/>
      <c r="O995" s="172"/>
      <c r="P995" s="166">
        <f>IFERROR(INDEX('Non-Labor Expenditures'!$E$7:$AB$91,MATCH($C995,'Non-Labor Expenditures'!$D$7:$D$91,0),MATCH($G995,'Non-Labor Expenditures'!$E$5:$AB$5,0)),"NA")</f>
        <v>65292.075702012131</v>
      </c>
      <c r="Q995" s="166">
        <f t="shared" si="2914"/>
        <v>551.03448140781609</v>
      </c>
      <c r="R995" s="172">
        <f t="shared" si="2925"/>
        <v>1.5810803894651358E-2</v>
      </c>
      <c r="S995" s="172">
        <f t="shared" si="2930"/>
        <v>2.4266363556780596E-4</v>
      </c>
      <c r="T995" s="172"/>
      <c r="U995" s="172"/>
      <c r="V995" s="166">
        <f t="shared" si="2895"/>
        <v>114747.93154564977</v>
      </c>
      <c r="W995" s="170"/>
      <c r="X995" s="174">
        <v>6447.4112826908204</v>
      </c>
      <c r="Y995" s="175"/>
      <c r="Z995" s="175">
        <f t="shared" si="2931"/>
        <v>0</v>
      </c>
      <c r="AA995" s="175"/>
      <c r="AB995" s="175"/>
      <c r="AC995" s="170">
        <f t="shared" si="2863"/>
        <v>226358.31736105512</v>
      </c>
      <c r="AD995" s="175">
        <f t="shared" si="2926"/>
        <v>-7.4669932976332773E-2</v>
      </c>
      <c r="AE995" s="118"/>
      <c r="AF995" s="119"/>
      <c r="AG995" s="121">
        <f t="shared" si="2927"/>
        <v>211.02030639102355</v>
      </c>
      <c r="AH995" s="119">
        <f>+AZ995/$BB$59</f>
        <v>2.7521556727199165E-2</v>
      </c>
      <c r="AI995" s="119"/>
      <c r="AJ995" s="176">
        <f t="shared" si="2932"/>
        <v>5.8076073329315028</v>
      </c>
      <c r="AK995" s="176">
        <f t="shared" si="2933"/>
        <v>0</v>
      </c>
      <c r="AL995" s="120">
        <f t="shared" si="2915"/>
        <v>0.20462384883128781</v>
      </c>
      <c r="AM995" s="120">
        <f t="shared" si="2916"/>
        <v>0.28844566642482744</v>
      </c>
      <c r="AN995" s="120">
        <f t="shared" si="2917"/>
        <v>0.50693048474388469</v>
      </c>
      <c r="AO995" s="120">
        <f t="shared" si="2921"/>
        <v>1.3675488436617679E-2</v>
      </c>
      <c r="AP995" s="173">
        <f t="shared" si="2937"/>
        <v>115.32491091896354</v>
      </c>
      <c r="AQ995" s="175">
        <f t="shared" si="2938"/>
        <v>1.3675488436617669E-2</v>
      </c>
      <c r="AR995" s="177">
        <f>+AC995/$AE$59</f>
        <v>1.5347963151316849E-2</v>
      </c>
      <c r="AS995" s="177">
        <f t="shared" si="2934"/>
        <v>2.0989089260146763E-4</v>
      </c>
      <c r="AT995" s="177"/>
      <c r="AU995" s="177"/>
      <c r="AV995" s="177"/>
      <c r="AW995" s="190"/>
      <c r="AX995" s="120"/>
      <c r="AY995" s="120"/>
      <c r="AZ995" s="118">
        <v>1072685</v>
      </c>
      <c r="BA995" s="119">
        <f t="shared" si="2896"/>
        <v>0</v>
      </c>
      <c r="BB995" s="118"/>
      <c r="BC995" s="121"/>
      <c r="BD995" s="118"/>
      <c r="BE995" s="119"/>
      <c r="BF995" s="119"/>
      <c r="BG995" s="173"/>
      <c r="BH995" s="173"/>
      <c r="BI995" s="173"/>
      <c r="BJ995" s="173"/>
      <c r="BK995" s="173"/>
      <c r="BL995" s="173"/>
      <c r="BM995" s="173"/>
      <c r="BN995" s="173"/>
      <c r="BO995" s="173"/>
      <c r="BP995" s="173"/>
      <c r="BQ995" s="118"/>
      <c r="BR995" s="118"/>
      <c r="BS995" s="118">
        <f>INDEX('Dist. Plant Gas Additions'!$E$7:$AE$91,MATCH($C995,'Dist. Plant Gas Additions'!$D$7:$D$91,0),MATCH(Calculation!$G995,'Dist. Plant Gas Additions'!$E$5:$AE$5,0))</f>
        <v>263420</v>
      </c>
      <c r="BT995" s="118">
        <f>INDEX('Gen. Plant Additions'!$E$7:$AE$91,MATCH($C995,'Gen. Plant Additions'!$D$7:$D$91,0),MATCH(Calculation!$G995,'Gen. Plant Additions'!$E$5:$AE$5,0))</f>
        <v>21271</v>
      </c>
      <c r="BU995" s="118"/>
      <c r="BV995" s="118"/>
      <c r="BW995" s="118"/>
      <c r="BX995" s="118"/>
      <c r="BY995" s="183"/>
      <c r="BZ995" s="183"/>
      <c r="CA995" s="178"/>
      <c r="CB995" s="184"/>
      <c r="CC995" s="185"/>
      <c r="CD995" s="185"/>
      <c r="CE995" s="118"/>
      <c r="CF995" s="118"/>
      <c r="CG995" s="118"/>
      <c r="CH995" s="118"/>
      <c r="CI995" s="121">
        <v>2021</v>
      </c>
      <c r="CJ995" s="118"/>
      <c r="CK995" s="118"/>
      <c r="CL995" s="118"/>
      <c r="CM995" s="183"/>
      <c r="CN995" s="118">
        <f t="shared" si="2897"/>
        <v>284691</v>
      </c>
      <c r="CO995" s="118">
        <f t="shared" si="2898"/>
        <v>305.12769010289588</v>
      </c>
      <c r="CP995" s="186">
        <f>+(51-23)/(51-23*0.75)</f>
        <v>0.82962962962962961</v>
      </c>
      <c r="CQ995" s="118">
        <f>CQ972*CP995+CO973*CP994+CO974*CP993+CO975*CP992+CO976*CP991+CO977*CP990+CO978*CP989+CO979*CP988+CO980*CP987+CO981*CP986+CO982*CP985+CO983*CP984+CO984*CP983+CO985*CP982+CO986*CP981+CO977*CP980+CO988*CP979+CO989*CP978+CO990*CP977+CO991*CP976+CO992*CP975+CO993*CP974+CO995+CO994*CP973</f>
        <v>6447.4112826908204</v>
      </c>
      <c r="CR995" s="119"/>
      <c r="CS995" s="118"/>
      <c r="CT995" s="177">
        <f t="shared" si="2900"/>
        <v>2.6776661793420028E-2</v>
      </c>
      <c r="CU995" s="177">
        <f t="shared" si="2908"/>
        <v>1.4836888703990164E-2</v>
      </c>
      <c r="CV995" s="119">
        <f>VLOOKUP($H995,RoR!$E:$F,2,FALSE)</f>
        <v>2.7033333333333336E-2</v>
      </c>
      <c r="CW995" s="177"/>
      <c r="CX995" s="177"/>
      <c r="CY995" s="177">
        <f t="shared" si="2909"/>
        <v>1.6065052904543461E-2</v>
      </c>
      <c r="CZ995" s="177">
        <f t="shared" si="2910"/>
        <v>7.433422950153494E-2</v>
      </c>
      <c r="DA995" s="187">
        <f t="shared" si="2901"/>
        <v>0.90268749999999998</v>
      </c>
      <c r="DB995" s="188">
        <f t="shared" si="2902"/>
        <v>1.8969932656739068</v>
      </c>
      <c r="DC995" s="188">
        <f t="shared" si="2903"/>
        <v>5.0215782983970621E-2</v>
      </c>
      <c r="DD995" s="188">
        <f t="shared" si="2904"/>
        <v>0.655952481704143</v>
      </c>
      <c r="DE995" s="188">
        <f t="shared" si="2905"/>
        <v>6.2485378865697057E-2</v>
      </c>
      <c r="DF995" s="189">
        <f>DF994</f>
        <v>0.25950000000000001</v>
      </c>
      <c r="DG995" s="189">
        <v>0.375</v>
      </c>
      <c r="DH995" s="190">
        <f t="shared" si="2907"/>
        <v>18.181408153462559</v>
      </c>
      <c r="DI995" s="190"/>
      <c r="DJ995" s="177">
        <f t="shared" ref="DJ995" si="2965">LN(DH995/DH994)</f>
        <v>-0.18833839914843334</v>
      </c>
      <c r="DK995" s="189">
        <f>VLOOKUP($H995,RoR!$E:$F,2,FALSE)</f>
        <v>2.7033333333333336E-2</v>
      </c>
      <c r="DL995" s="191">
        <f>HLOOKUP($H995,'GDP-PI'!$D$8:$CR$11,3,FALSE)</f>
        <v>4.2834637353352578E-2</v>
      </c>
      <c r="DM995" s="189">
        <f>VLOOKUP(H995,'HW Dx Data'!$E:$F,2,FALSE)</f>
        <v>933.02249921662576</v>
      </c>
      <c r="DN995" s="183">
        <f>VLOOKUP(H995,'ECI - Input Price'!$G$17:$H$37,2,FALSE)</f>
        <v>145.47500000000002</v>
      </c>
      <c r="DO995" s="177">
        <f t="shared" ref="DO995" si="2966">LN(DN995/DN994)</f>
        <v>3.5152696992481205E-2</v>
      </c>
      <c r="DP995" s="183">
        <f>HLOOKUP(H995,'GDP-PI'!$8:$9,2,FALSE)</f>
        <v>118.49</v>
      </c>
      <c r="DQ995" s="177">
        <f t="shared" ref="DQ995" si="2967">LN(DP995/DP994)</f>
        <v>4.194261824609434E-2</v>
      </c>
    </row>
    <row r="996" spans="1:121" s="167" customFormat="1" ht="21" x14ac:dyDescent="0.35">
      <c r="A996" s="167" t="s">
        <v>98</v>
      </c>
      <c r="B996" s="167" t="s">
        <v>99</v>
      </c>
      <c r="C996" s="167">
        <v>4057096</v>
      </c>
      <c r="D996" s="168" t="s">
        <v>136</v>
      </c>
      <c r="E996" s="168" t="s">
        <v>126</v>
      </c>
      <c r="F996" s="198"/>
      <c r="G996" s="167" t="s">
        <v>4</v>
      </c>
      <c r="H996" s="169">
        <v>1998</v>
      </c>
      <c r="I996" s="170"/>
      <c r="J996" s="166"/>
      <c r="K996" s="166"/>
      <c r="L996" s="166"/>
      <c r="M996" s="166"/>
      <c r="N996" s="196"/>
      <c r="O996" s="166"/>
      <c r="P996" s="172"/>
      <c r="Q996" s="172"/>
      <c r="R996" s="172"/>
      <c r="S996" s="166"/>
      <c r="T996" s="172"/>
      <c r="U996" s="172"/>
      <c r="V996" s="166"/>
      <c r="W996" s="170"/>
      <c r="X996" s="174">
        <v>1382.6282772447589</v>
      </c>
      <c r="Y996" s="175"/>
      <c r="Z996" s="166"/>
      <c r="AA996" s="175"/>
      <c r="AB996" s="175"/>
      <c r="AC996" s="170">
        <f t="shared" si="2863"/>
        <v>0</v>
      </c>
      <c r="AD996" s="170"/>
      <c r="AE996" s="170"/>
      <c r="AF996" s="119"/>
      <c r="AG996" s="174"/>
      <c r="AH996" s="175"/>
      <c r="AI996" s="175"/>
      <c r="AJ996" s="174"/>
      <c r="AK996" s="174"/>
      <c r="AL996" s="120"/>
      <c r="AM996" s="120"/>
      <c r="AN996" s="120"/>
      <c r="AO996" s="120"/>
      <c r="AP996" s="120"/>
      <c r="AQ996" s="175">
        <f>AVERAGE(AQ1005:AQ1019)</f>
        <v>1.2885121084166996E-2</v>
      </c>
      <c r="AR996" s="120"/>
      <c r="AS996" s="120"/>
      <c r="AT996" s="120"/>
      <c r="AU996" s="120"/>
      <c r="AV996" s="120"/>
      <c r="AW996" s="120"/>
      <c r="AX996" s="120"/>
      <c r="AY996" s="120"/>
      <c r="AZ996" s="118">
        <f>IFERROR(INDEX('Total Customers'!$F$7:$AB$91,MATCH($C996,'Total Customers'!$D$7:$D$91,0),MATCH($G996,'Total Customers'!$F$5:$AB$5,0)),"NA")</f>
        <v>288204</v>
      </c>
      <c r="BA996" s="119"/>
      <c r="BB996" s="119"/>
      <c r="BC996" s="121"/>
      <c r="BD996" s="119"/>
      <c r="BE996" s="119"/>
      <c r="BF996" s="119"/>
      <c r="BG996" s="173"/>
      <c r="BH996" s="173"/>
      <c r="BI996" s="173"/>
      <c r="BJ996" s="173"/>
      <c r="BK996" s="173"/>
      <c r="BL996" s="173"/>
      <c r="BM996" s="173"/>
      <c r="BN996" s="173"/>
      <c r="BO996" s="173"/>
      <c r="BP996" s="173"/>
      <c r="BQ996" s="118">
        <f>INDEX('Gross Dx Plant'!$E$7:$AD$91,MATCH($C996,'Gross Dx Plant'!$D$7:$D$91,0),MATCH(Calculation!$G996,'Gross Dx Plant'!$E$5:$AD$5,0))</f>
        <v>431742</v>
      </c>
      <c r="BR996" s="118">
        <f>INDEX('Gross Gen Plant'!$E$7:$AD$91,MATCH($C996,'Gross Gen Plant'!$D$7:$D$91,0),MATCH(Calculation!$G996,'Gross Gen Plant'!$E$5:$AD$5,0))</f>
        <v>3497</v>
      </c>
      <c r="BS996" s="118">
        <f>INDEX('Dist. Plant Gas Additions'!$F$7:$AE$91,MATCH($C996,'Dist. Plant Gas Additions'!$D$7:$D$91,0),MATCH(Calculation!$G996,'Dist. Plant Gas Additions'!$F$5:$AE$5,0))</f>
        <v>20438</v>
      </c>
      <c r="BT996" s="118">
        <f>INDEX('Gen. Plant Additions'!$F$7:$AE$91,MATCH($C996,'Gen. Plant Additions'!$D$7:$D$91,0),MATCH(Calculation!$G996,'Gen. Plant Additions'!$F$5:$AE$5,0))</f>
        <v>243</v>
      </c>
      <c r="BU996" s="118" t="e">
        <f>INDEX('Dist Plant Depreciation'!$E$7:$AA$94,MATCH($C996,'Dist Plant Depreciation'!$D$7:$D$94,0),MATCH(#REF!,'Dist Plant Depreciation'!$E$5:$AA$5,0))</f>
        <v>#REF!</v>
      </c>
      <c r="BV996" s="118" t="e">
        <f>INDEX('Gen. Plant Depreciation'!$E$7:$AA$94,MATCH($C996,'Gen. Plant Depreciation'!$D$7:$D$94,0),MATCH(#REF!,'Gen. Plant Depreciation'!$E$5:$AA$5,0))</f>
        <v>#REF!</v>
      </c>
      <c r="BW996" s="118">
        <f>INDEX('Dist Plant Depreciation'!$E$7:$AD$94,MATCH($C996,'Dist Plant Depreciation'!$D$7:$D$94,0),MATCH(Calculation!$G996,'Dist Plant Depreciation'!$E$5:$AD$5,0))</f>
        <v>154687</v>
      </c>
      <c r="BX996" s="118">
        <f>INDEX('Gen. Plant Depreciation'!$E$7:$AD$94,MATCH($C996,'Gen. Plant Depreciation'!$D$7:$D$94,0),MATCH(Calculation!$G996,'Gen. Plant Depreciation'!$E$5:$AD$5,0))</f>
        <v>1649</v>
      </c>
      <c r="BY996" s="118"/>
      <c r="BZ996" s="118"/>
      <c r="CA996" s="118"/>
      <c r="CB996" s="118"/>
      <c r="CC996" s="118"/>
      <c r="CD996" s="183"/>
      <c r="CE996" s="118">
        <f>INDEX('Gross Dx Plant'!$E$7:$AD$91,MATCH($C996,'Gross Dx Plant'!$D$7:$D$91,0),MATCH(Calculation!$G996,'Gross Dx Plant'!$E$5:$AD$5,0))</f>
        <v>431742</v>
      </c>
      <c r="CF996" s="118">
        <f>INDEX('Gross Gen Plant'!$E$7:$AD$91,MATCH($C996,'Gross Gen Plant'!$D$7:$D$91,0),MATCH(Calculation!$G996,'Gross Gen Plant'!$E$5:$AD$5,0))</f>
        <v>3497</v>
      </c>
      <c r="CG996" s="118">
        <f t="shared" si="2806"/>
        <v>278903</v>
      </c>
      <c r="CH996" s="118"/>
      <c r="CI996" s="121">
        <v>1998</v>
      </c>
      <c r="CJ996" s="118">
        <f>BQ996+BR996</f>
        <v>435239</v>
      </c>
      <c r="CK996" s="118">
        <f>154687+1649</f>
        <v>156336</v>
      </c>
      <c r="CL996" s="118">
        <f>+CJ996-CK996</f>
        <v>278903</v>
      </c>
      <c r="CM996" s="118">
        <f>CL996/$CD$36</f>
        <v>1382.6282772447589</v>
      </c>
      <c r="CN996" s="183"/>
      <c r="CO996" s="183"/>
      <c r="CP996" s="186">
        <v>1</v>
      </c>
      <c r="CQ996" s="118">
        <f>+CM996</f>
        <v>1382.6282772447589</v>
      </c>
      <c r="CR996" s="119"/>
      <c r="CS996" s="119"/>
      <c r="CT996" s="177"/>
      <c r="CU996" s="177"/>
      <c r="CV996" s="119" t="e">
        <f>VLOOKUP($H996,RoR!$E:$F,2,FALSE)</f>
        <v>#N/A</v>
      </c>
      <c r="CW996" s="177">
        <v>1.1028127770464469E-2</v>
      </c>
      <c r="CX996" s="177"/>
      <c r="CY996" s="177"/>
      <c r="CZ996" s="177"/>
      <c r="DA996" s="187"/>
      <c r="DB996" s="190" t="e">
        <f>2/(DK996*39)</f>
        <v>#N/A</v>
      </c>
      <c r="DC996" s="188" t="e">
        <f>+(DK996*40-(1+DK996))/(DK996*40)</f>
        <v>#N/A</v>
      </c>
      <c r="DD996" s="188" t="e">
        <f>+(1-(1/(1+DK996)^40))</f>
        <v>#N/A</v>
      </c>
      <c r="DE996" s="188" t="e">
        <f>+DD996*DC996*DB996</f>
        <v>#N/A</v>
      </c>
      <c r="DF996" s="189">
        <f>INDEX('State Tax Lookup'!$D$7:$Z$91,MATCH(Calculation!$C996,'State Tax Lookup'!$B$7:$B$91,0),MATCH($H996,'State Tax Lookup'!$D$6:$Z$6,0))</f>
        <v>0.39649667</v>
      </c>
      <c r="DG996" s="189">
        <v>0.375</v>
      </c>
      <c r="DH996" s="183"/>
      <c r="DI996" s="183"/>
      <c r="DJ996" s="177"/>
      <c r="DK996" s="189" t="e">
        <f>VLOOKUP($H996,RoR!$E:$F,2,FALSE)</f>
        <v>#N/A</v>
      </c>
      <c r="DL996" s="191">
        <f>HLOOKUP($H996,'GDP-PI'!$D$8:$CQ$11,3,FALSE)</f>
        <v>1.1028127770464469E-2</v>
      </c>
      <c r="DM996" s="189">
        <f>VLOOKUP(H996,'HW Dx Data'!$E:$F,2,FALSE)</f>
        <v>329.24564746449528</v>
      </c>
      <c r="DN996" s="183" t="e">
        <f>VLOOKUP(H996,'ECI - Input Price'!$G$17:$H$37,2,FALSE)</f>
        <v>#N/A</v>
      </c>
      <c r="DO996" s="177"/>
      <c r="DP996" s="183">
        <f>HLOOKUP(H996,'GDP-PI'!$8:$9,2,FALSE)</f>
        <v>75.266999999999996</v>
      </c>
    </row>
    <row r="997" spans="1:121" s="167" customFormat="1" ht="21" x14ac:dyDescent="0.35">
      <c r="A997" s="167" t="s">
        <v>98</v>
      </c>
      <c r="B997" s="167" t="s">
        <v>99</v>
      </c>
      <c r="C997" s="167">
        <v>4057096</v>
      </c>
      <c r="D997" s="168" t="s">
        <v>136</v>
      </c>
      <c r="E997" s="168" t="s">
        <v>126</v>
      </c>
      <c r="F997" s="198"/>
      <c r="G997" s="167" t="s">
        <v>5</v>
      </c>
      <c r="H997" s="169">
        <v>1999</v>
      </c>
      <c r="I997" s="170"/>
      <c r="J997" s="166"/>
      <c r="K997" s="170"/>
      <c r="L997" s="170"/>
      <c r="M997" s="166"/>
      <c r="N997" s="173"/>
      <c r="O997" s="170"/>
      <c r="P997" s="177"/>
      <c r="Q997" s="177"/>
      <c r="R997" s="177"/>
      <c r="S997" s="195"/>
      <c r="T997" s="177"/>
      <c r="U997" s="177"/>
      <c r="V997" s="166">
        <f t="shared" ref="V997:V1019" si="2968">+CQ996*DH997</f>
        <v>0</v>
      </c>
      <c r="W997" s="170"/>
      <c r="X997" s="174">
        <v>1442.9112400958495</v>
      </c>
      <c r="Y997" s="175">
        <v>4.2676530681007817E-2</v>
      </c>
      <c r="Z997" s="175"/>
      <c r="AA997" s="175"/>
      <c r="AB997" s="175"/>
      <c r="AC997" s="170">
        <f t="shared" si="2863"/>
        <v>0</v>
      </c>
      <c r="AD997" s="175"/>
      <c r="AE997" s="170"/>
      <c r="AF997" s="119"/>
      <c r="AG997" s="174"/>
      <c r="AH997" s="175"/>
      <c r="AI997" s="175"/>
      <c r="AJ997" s="174"/>
      <c r="AK997" s="174"/>
      <c r="AL997" s="120"/>
      <c r="AM997" s="120"/>
      <c r="AN997" s="120"/>
      <c r="AO997" s="120"/>
      <c r="AP997" s="120"/>
      <c r="AQ997" s="175"/>
      <c r="AR997" s="120"/>
      <c r="AS997" s="120"/>
      <c r="AT997" s="120"/>
      <c r="AU997" s="120"/>
      <c r="AV997" s="120"/>
      <c r="AW997" s="120"/>
      <c r="AX997" s="120"/>
      <c r="AY997" s="120"/>
      <c r="AZ997" s="118">
        <f>IFERROR(INDEX('Total Customers'!$F$7:$AB$91,MATCH($C997,'Total Customers'!$D$7:$D$91,0),MATCH($G997,'Total Customers'!$F$5:$AB$5,0)),"NA")</f>
        <v>287806</v>
      </c>
      <c r="BA997" s="119">
        <f t="shared" ref="BA997:BA1019" si="2969">LN(AZ997/AZ996)</f>
        <v>-1.3819206726915848E-3</v>
      </c>
      <c r="BB997" s="119"/>
      <c r="BC997" s="121"/>
      <c r="BD997" s="119"/>
      <c r="BE997" s="119"/>
      <c r="BF997" s="119"/>
      <c r="BG997" s="173"/>
      <c r="BH997" s="173"/>
      <c r="BI997" s="173"/>
      <c r="BJ997" s="173"/>
      <c r="BK997" s="173"/>
      <c r="BL997" s="173"/>
      <c r="BM997" s="173"/>
      <c r="BN997" s="173"/>
      <c r="BO997" s="173"/>
      <c r="BP997" s="173"/>
      <c r="BQ997" s="118"/>
      <c r="BR997" s="118"/>
      <c r="BS997" s="118">
        <f>INDEX('Dist. Plant Gas Additions'!$F$7:$AE$91,MATCH($C997,'Dist. Plant Gas Additions'!$D$7:$D$91,0),MATCH(Calculation!$G997,'Dist. Plant Gas Additions'!$F$5:$AE$5,0))</f>
        <v>22320</v>
      </c>
      <c r="BT997" s="118">
        <f>INDEX('Gen. Plant Additions'!$F$7:$AE$91,MATCH($C997,'Gen. Plant Additions'!$D$7:$D$91,0),MATCH(Calculation!$G997,'Gen. Plant Additions'!$F$5:$AE$5,0))</f>
        <v>201</v>
      </c>
      <c r="BU997" s="118"/>
      <c r="BV997" s="118"/>
      <c r="BW997" s="118">
        <f>INDEX('Dist Plant Depreciation'!$E$7:$AD$94,MATCH($C997,'Dist Plant Depreciation'!$D$7:$D$94,0),MATCH(Calculation!$G997,'Dist Plant Depreciation'!$E$5:$AD$5,0))</f>
        <v>160814</v>
      </c>
      <c r="BX997" s="118">
        <f>INDEX('Gen. Plant Depreciation'!$E$7:$AD$94,MATCH($C997,'Gen. Plant Depreciation'!$D$7:$D$94,0),MATCH(Calculation!$G997,'Gen. Plant Depreciation'!$E$5:$AD$5,0))</f>
        <v>1784</v>
      </c>
      <c r="BY997" s="118"/>
      <c r="BZ997" s="118"/>
      <c r="CA997" s="118"/>
      <c r="CB997" s="118"/>
      <c r="CC997" s="118"/>
      <c r="CD997" s="183"/>
      <c r="CE997" s="118">
        <f>INDEX('Gross Dx Plant'!$E$7:$AD$91,MATCH($C997,'Gross Dx Plant'!$D$7:$D$91,0),MATCH(Calculation!$G997,'Gross Dx Plant'!$E$5:$AD$5,0))</f>
        <v>449857</v>
      </c>
      <c r="CF997" s="118">
        <f>INDEX('Gross Gen Plant'!$E$7:$AD$91,MATCH($C997,'Gross Gen Plant'!$D$7:$D$91,0),MATCH(Calculation!$G997,'Gross Gen Plant'!$E$5:$AD$5,0))</f>
        <v>3699</v>
      </c>
      <c r="CG997" s="118">
        <f t="shared" si="2806"/>
        <v>290958</v>
      </c>
      <c r="CH997" s="118"/>
      <c r="CI997" s="121">
        <v>1999</v>
      </c>
      <c r="CJ997" s="118"/>
      <c r="CK997" s="118"/>
      <c r="CL997" s="118"/>
      <c r="CM997" s="183"/>
      <c r="CN997" s="118">
        <f>+BT997+BS997</f>
        <v>22521</v>
      </c>
      <c r="CO997" s="118">
        <f t="shared" ref="CO997:CO1019" si="2970">+CN997/$DM997</f>
        <v>67.161710499074431</v>
      </c>
      <c r="CP997" s="186">
        <v>0.99502487562189057</v>
      </c>
      <c r="CQ997" s="118">
        <f>+CQ996*CP997+CO997</f>
        <v>1442.9112400958495</v>
      </c>
      <c r="CR997" s="119">
        <f t="shared" ref="CR997:CR1018" si="2971">LN(CQ997/CQ996)</f>
        <v>4.2676530681007817E-2</v>
      </c>
      <c r="CS997" s="119"/>
      <c r="CT997" s="177">
        <f t="shared" ref="CT997:CT1019" si="2972">+(CQ996-CQ997+CO997)/CQ996</f>
        <v>4.9751243781094292E-3</v>
      </c>
      <c r="CU997" s="177"/>
      <c r="CV997" s="119">
        <f>VLOOKUP($H997,RoR!$E:$F,2,FALSE)</f>
        <v>7.0416666666666669E-2</v>
      </c>
      <c r="CW997" s="177">
        <v>1.4335631817396832E-2</v>
      </c>
      <c r="CX997" s="177">
        <f>+CV997-CW997</f>
        <v>5.6081034849269837E-2</v>
      </c>
      <c r="CY997" s="177"/>
      <c r="CZ997" s="177"/>
      <c r="DA997" s="187">
        <f t="shared" ref="DA997:DA1019" si="2973">1-DF997*DG997</f>
        <v>0.85131374874999999</v>
      </c>
      <c r="DB997" s="188">
        <f t="shared" ref="DB997:DB1019" si="2974">2/(DK997*39)</f>
        <v>0.72826581702321336</v>
      </c>
      <c r="DC997" s="188">
        <f t="shared" ref="DC997:DC1019" si="2975">+(DK997*40-(1+DK997))/(DK997*40)</f>
        <v>0.61997041420118348</v>
      </c>
      <c r="DD997" s="188">
        <f t="shared" ref="DD997:DD1019" si="2976">+(1-(1/(1+DK997)^40))</f>
        <v>0.93425155319585029</v>
      </c>
      <c r="DE997" s="188">
        <f t="shared" ref="DE997:DE1019" si="2977">+DD997*DC997*DB997</f>
        <v>0.42181762214141483</v>
      </c>
      <c r="DF997" s="189">
        <f>INDEX('State Tax Lookup'!$D$7:$Z$91,MATCH(Calculation!$C997,'State Tax Lookup'!$B$7:$B$91,0),MATCH($H997,'State Tax Lookup'!$D$6:$Z$6,0))</f>
        <v>0.39649667</v>
      </c>
      <c r="DG997" s="189">
        <v>0.375</v>
      </c>
      <c r="DH997" s="190"/>
      <c r="DI997" s="190"/>
      <c r="DJ997" s="177"/>
      <c r="DK997" s="189">
        <f>VLOOKUP($H997,RoR!$E:$F,2,FALSE)</f>
        <v>7.0416666666666669E-2</v>
      </c>
      <c r="DL997" s="191">
        <f>HLOOKUP($H997,'GDP-PI'!$D$8:$CQ$11,3,FALSE)</f>
        <v>1.4335631817396832E-2</v>
      </c>
      <c r="DM997" s="189">
        <f>VLOOKUP(H997,'HW Dx Data'!$E:$F,2,FALSE)</f>
        <v>335.32499146683239</v>
      </c>
      <c r="DN997" s="183" t="e">
        <f>VLOOKUP(H997,'ECI - Input Price'!$G$17:$H$37,2,FALSE)</f>
        <v>#N/A</v>
      </c>
      <c r="DO997" s="177"/>
      <c r="DP997" s="183">
        <f>HLOOKUP(H997,'GDP-PI'!$8:$9,2,FALSE)</f>
        <v>76.346000000000004</v>
      </c>
    </row>
    <row r="998" spans="1:121" s="167" customFormat="1" ht="21" x14ac:dyDescent="0.35">
      <c r="A998" s="167" t="s">
        <v>98</v>
      </c>
      <c r="B998" s="167" t="s">
        <v>99</v>
      </c>
      <c r="C998" s="167">
        <v>4057096</v>
      </c>
      <c r="D998" s="168" t="s">
        <v>136</v>
      </c>
      <c r="E998" s="168" t="s">
        <v>126</v>
      </c>
      <c r="F998" s="198"/>
      <c r="G998" s="167" t="s">
        <v>6</v>
      </c>
      <c r="H998" s="169">
        <v>2000</v>
      </c>
      <c r="I998" s="170"/>
      <c r="J998" s="166"/>
      <c r="K998" s="166"/>
      <c r="L998" s="166"/>
      <c r="M998" s="166"/>
      <c r="N998" s="196"/>
      <c r="O998" s="166"/>
      <c r="P998" s="166"/>
      <c r="Q998" s="166"/>
      <c r="R998" s="166"/>
      <c r="S998" s="166"/>
      <c r="T998" s="166"/>
      <c r="U998" s="166"/>
      <c r="V998" s="166">
        <f t="shared" si="2968"/>
        <v>0</v>
      </c>
      <c r="W998" s="170"/>
      <c r="X998" s="174">
        <v>1497.0221595376777</v>
      </c>
      <c r="Y998" s="175">
        <v>3.681514073352507E-2</v>
      </c>
      <c r="Z998" s="175"/>
      <c r="AA998" s="175"/>
      <c r="AB998" s="175"/>
      <c r="AC998" s="170">
        <f t="shared" si="2863"/>
        <v>0</v>
      </c>
      <c r="AD998" s="175"/>
      <c r="AE998" s="170"/>
      <c r="AF998" s="170"/>
      <c r="AG998" s="174"/>
      <c r="AH998" s="175"/>
      <c r="AI998" s="175"/>
      <c r="AJ998" s="174"/>
      <c r="AK998" s="174"/>
      <c r="AL998" s="120"/>
      <c r="AM998" s="120"/>
      <c r="AN998" s="120"/>
      <c r="AO998" s="120"/>
      <c r="AP998" s="120"/>
      <c r="AQ998" s="175"/>
      <c r="AR998" s="120"/>
      <c r="AS998" s="120"/>
      <c r="AT998" s="120"/>
      <c r="AU998" s="120"/>
      <c r="AV998" s="120"/>
      <c r="AW998" s="120"/>
      <c r="AX998" s="120"/>
      <c r="AY998" s="120"/>
      <c r="AZ998" s="118">
        <f>IFERROR(INDEX('Total Customers'!$F$7:$AB$91,MATCH($C998,'Total Customers'!$D$7:$D$91,0),MATCH($G998,'Total Customers'!$F$5:$AB$5,0)),"NA")</f>
        <v>285943</v>
      </c>
      <c r="BA998" s="119">
        <f t="shared" si="2969"/>
        <v>-6.4941517894063381E-3</v>
      </c>
      <c r="BB998" s="119"/>
      <c r="BC998" s="121"/>
      <c r="BD998" s="119"/>
      <c r="BE998" s="119"/>
      <c r="BF998" s="119"/>
      <c r="BG998" s="173"/>
      <c r="BH998" s="173"/>
      <c r="BI998" s="173"/>
      <c r="BJ998" s="173"/>
      <c r="BK998" s="173"/>
      <c r="BL998" s="173"/>
      <c r="BM998" s="173"/>
      <c r="BN998" s="173"/>
      <c r="BO998" s="173"/>
      <c r="BP998" s="173"/>
      <c r="BQ998" s="118"/>
      <c r="BR998" s="118"/>
      <c r="BS998" s="118">
        <f>INDEX('Dist. Plant Gas Additions'!$F$7:$AE$91,MATCH($C998,'Dist. Plant Gas Additions'!$D$7:$D$91,0),MATCH(Calculation!$G998,'Dist. Plant Gas Additions'!$F$5:$AE$5,0))</f>
        <v>21145</v>
      </c>
      <c r="BT998" s="118">
        <f>INDEX('Gen. Plant Additions'!$F$7:$AE$91,MATCH($C998,'Gen. Plant Additions'!$D$7:$D$91,0),MATCH(Calculation!$G998,'Gen. Plant Additions'!$F$5:$AE$5,0))</f>
        <v>178</v>
      </c>
      <c r="BU998" s="118"/>
      <c r="BV998" s="118"/>
      <c r="BW998" s="118">
        <f>INDEX('Dist Plant Depreciation'!$E$7:$AD$94,MATCH($C998,'Dist Plant Depreciation'!$D$7:$D$94,0),MATCH(Calculation!$G998,'Dist Plant Depreciation'!$E$5:$AD$5,0))</f>
        <v>166496</v>
      </c>
      <c r="BX998" s="118">
        <f>INDEX('Gen. Plant Depreciation'!$E$7:$AD$94,MATCH($C998,'Gen. Plant Depreciation'!$D$7:$D$94,0),MATCH(Calculation!$G998,'Gen. Plant Depreciation'!$E$5:$AD$5,0))</f>
        <v>1928</v>
      </c>
      <c r="BY998" s="118"/>
      <c r="BZ998" s="118"/>
      <c r="CA998" s="118"/>
      <c r="CB998" s="118"/>
      <c r="CC998" s="118"/>
      <c r="CD998" s="183"/>
      <c r="CE998" s="118">
        <f>INDEX('Gross Dx Plant'!$E$7:$AD$91,MATCH($C998,'Gross Dx Plant'!$D$7:$D$91,0),MATCH(Calculation!$G998,'Gross Dx Plant'!$E$5:$AD$5,0))</f>
        <v>467095</v>
      </c>
      <c r="CF998" s="118">
        <f>INDEX('Gross Gen Plant'!$E$7:$AD$91,MATCH($C998,'Gross Gen Plant'!$D$7:$D$91,0),MATCH(Calculation!$G998,'Gross Gen Plant'!$E$5:$AD$5,0))</f>
        <v>3877</v>
      </c>
      <c r="CG998" s="118">
        <f t="shared" si="2806"/>
        <v>302548</v>
      </c>
      <c r="CH998" s="118"/>
      <c r="CI998" s="121">
        <v>2000</v>
      </c>
      <c r="CJ998" s="118"/>
      <c r="CK998" s="118"/>
      <c r="CL998" s="118"/>
      <c r="CM998" s="183"/>
      <c r="CN998" s="118">
        <f>+BT998+BS998</f>
        <v>21323</v>
      </c>
      <c r="CO998" s="118">
        <f t="shared" si="2970"/>
        <v>61.532251851415218</v>
      </c>
      <c r="CP998" s="186">
        <v>0.98989898989898994</v>
      </c>
      <c r="CQ998" s="118">
        <f>+CQ996*CP998+CO997*CP997+CO998</f>
        <v>1497.0221595376777</v>
      </c>
      <c r="CR998" s="119">
        <f t="shared" si="2971"/>
        <v>3.681514073352507E-2</v>
      </c>
      <c r="CS998" s="119"/>
      <c r="CT998" s="177">
        <f t="shared" si="2972"/>
        <v>5.1433048709871171E-3</v>
      </c>
      <c r="CU998" s="177"/>
      <c r="CV998" s="119">
        <f>VLOOKUP($H998,RoR!$E:$F,2,FALSE)</f>
        <v>7.6225000000000001E-2</v>
      </c>
      <c r="CW998" s="177">
        <v>2.2568307442433211E-2</v>
      </c>
      <c r="CX998" s="177">
        <f t="shared" ref="CX998:CX1018" si="2978">+CV998-CW998</f>
        <v>5.365669255756679E-2</v>
      </c>
      <c r="CY998" s="177"/>
      <c r="CZ998" s="177"/>
      <c r="DA998" s="187">
        <f t="shared" si="2973"/>
        <v>0.85131374874999999</v>
      </c>
      <c r="DB998" s="188">
        <f t="shared" si="2974"/>
        <v>0.67277207323124022</v>
      </c>
      <c r="DC998" s="188">
        <f t="shared" si="2975"/>
        <v>0.6470236142997704</v>
      </c>
      <c r="DD998" s="188">
        <f t="shared" si="2976"/>
        <v>0.94704866037543145</v>
      </c>
      <c r="DE998" s="188">
        <f t="shared" si="2977"/>
        <v>0.41224973107878493</v>
      </c>
      <c r="DF998" s="189">
        <f>INDEX('State Tax Lookup'!$D$7:$Z$91,MATCH(Calculation!$C998,'State Tax Lookup'!$B$7:$B$91,0),MATCH($H998,'State Tax Lookup'!$D$6:$Z$6,0))</f>
        <v>0.39649667</v>
      </c>
      <c r="DG998" s="189">
        <v>0.375</v>
      </c>
      <c r="DH998" s="190"/>
      <c r="DI998" s="190"/>
      <c r="DJ998" s="177"/>
      <c r="DK998" s="189">
        <f>VLOOKUP($H998,RoR!$E:$F,2,FALSE)</f>
        <v>7.6225000000000001E-2</v>
      </c>
      <c r="DL998" s="191">
        <f>HLOOKUP($H998,'GDP-PI'!$D$8:$CQ$11,3,FALSE)</f>
        <v>2.2568307442433211E-2</v>
      </c>
      <c r="DM998" s="189">
        <f>VLOOKUP(H998,'HW Dx Data'!$E:$F,2,FALSE)</f>
        <v>346.53371782150339</v>
      </c>
      <c r="DN998" s="183" t="e">
        <f>VLOOKUP(H998,'ECI - Input Price'!$G$17:$H$37,2,FALSE)</f>
        <v>#N/A</v>
      </c>
      <c r="DO998" s="177"/>
      <c r="DP998" s="183">
        <f>HLOOKUP(H998,'GDP-PI'!$8:$9,2,FALSE)</f>
        <v>78.069000000000003</v>
      </c>
    </row>
    <row r="999" spans="1:121" s="167" customFormat="1" ht="21" x14ac:dyDescent="0.35">
      <c r="A999" s="167" t="s">
        <v>98</v>
      </c>
      <c r="B999" s="167" t="s">
        <v>99</v>
      </c>
      <c r="C999" s="167">
        <v>4057096</v>
      </c>
      <c r="D999" s="168" t="s">
        <v>136</v>
      </c>
      <c r="E999" s="168" t="s">
        <v>126</v>
      </c>
      <c r="F999" s="198"/>
      <c r="G999" s="167" t="s">
        <v>7</v>
      </c>
      <c r="H999" s="169">
        <v>2001</v>
      </c>
      <c r="I999" s="170"/>
      <c r="J999" s="166"/>
      <c r="K999" s="166"/>
      <c r="L999" s="166"/>
      <c r="M999" s="166"/>
      <c r="N999" s="196"/>
      <c r="O999" s="166"/>
      <c r="P999" s="166"/>
      <c r="Q999" s="166"/>
      <c r="R999" s="166"/>
      <c r="S999" s="166"/>
      <c r="T999" s="166"/>
      <c r="U999" s="166"/>
      <c r="V999" s="166">
        <f t="shared" si="2968"/>
        <v>19225.464425105725</v>
      </c>
      <c r="W999" s="170"/>
      <c r="X999" s="174">
        <v>1573.849140971972</v>
      </c>
      <c r="Y999" s="175">
        <v>5.0046393080111169E-2</v>
      </c>
      <c r="Z999" s="175"/>
      <c r="AA999" s="175"/>
      <c r="AB999" s="175"/>
      <c r="AC999" s="170">
        <f t="shared" si="2863"/>
        <v>19225.464425105725</v>
      </c>
      <c r="AD999" s="175"/>
      <c r="AE999" s="170"/>
      <c r="AF999" s="170"/>
      <c r="AG999" s="174"/>
      <c r="AH999" s="175"/>
      <c r="AI999" s="175"/>
      <c r="AJ999" s="174"/>
      <c r="AK999" s="174"/>
      <c r="AL999" s="120"/>
      <c r="AM999" s="120"/>
      <c r="AN999" s="120"/>
      <c r="AO999" s="120"/>
      <c r="AP999" s="120"/>
      <c r="AQ999" s="175"/>
      <c r="AR999" s="120"/>
      <c r="AS999" s="120"/>
      <c r="AT999" s="120"/>
      <c r="AU999" s="120"/>
      <c r="AV999" s="120"/>
      <c r="AW999" s="120"/>
      <c r="AX999" s="120"/>
      <c r="AY999" s="120"/>
      <c r="AZ999" s="118">
        <f>IFERROR(INDEX('Total Customers'!$F$7:$AB$91,MATCH($C999,'Total Customers'!$D$7:$D$91,0),MATCH($G999,'Total Customers'!$F$5:$AB$5,0)),"NA")</f>
        <v>287688</v>
      </c>
      <c r="BA999" s="119">
        <f t="shared" si="2969"/>
        <v>6.0840693153800069E-3</v>
      </c>
      <c r="BB999" s="119"/>
      <c r="BC999" s="121"/>
      <c r="BD999" s="119"/>
      <c r="BE999" s="119"/>
      <c r="BF999" s="119"/>
      <c r="BG999" s="173"/>
      <c r="BH999" s="173"/>
      <c r="BI999" s="173"/>
      <c r="BJ999" s="173"/>
      <c r="BK999" s="173"/>
      <c r="BL999" s="173"/>
      <c r="BM999" s="173"/>
      <c r="BN999" s="173"/>
      <c r="BO999" s="173"/>
      <c r="BP999" s="173"/>
      <c r="BQ999" s="118"/>
      <c r="BR999" s="118"/>
      <c r="BS999" s="118">
        <f>INDEX('Dist. Plant Gas Additions'!$F$7:$AE$91,MATCH($C999,'Dist. Plant Gas Additions'!$D$7:$D$91,0),MATCH(Calculation!$G999,'Dist. Plant Gas Additions'!$F$5:$AE$5,0))</f>
        <v>29742</v>
      </c>
      <c r="BT999" s="118">
        <f>INDEX('Gen. Plant Additions'!$F$7:$AE$91,MATCH($C999,'Gen. Plant Additions'!$D$7:$D$91,0),MATCH(Calculation!$G999,'Gen. Plant Additions'!$F$5:$AE$5,0))</f>
        <v>116</v>
      </c>
      <c r="BU999" s="118"/>
      <c r="BV999" s="118"/>
      <c r="BW999" s="118">
        <f>INDEX('Dist Plant Depreciation'!$E$7:$AD$94,MATCH($C999,'Dist Plant Depreciation'!$D$7:$D$94,0),MATCH(Calculation!$G999,'Dist Plant Depreciation'!$E$5:$AD$5,0))</f>
        <v>167597</v>
      </c>
      <c r="BX999" s="118">
        <f>INDEX('Gen. Plant Depreciation'!$E$7:$AD$94,MATCH($C999,'Gen. Plant Depreciation'!$D$7:$D$94,0),MATCH(Calculation!$G999,'Gen. Plant Depreciation'!$E$5:$AD$5,0))</f>
        <v>2079</v>
      </c>
      <c r="BY999" s="118"/>
      <c r="BZ999" s="118"/>
      <c r="CA999" s="118"/>
      <c r="CB999" s="118"/>
      <c r="CC999" s="118"/>
      <c r="CD999" s="183"/>
      <c r="CE999" s="118">
        <f>INDEX('Gross Dx Plant'!$E$7:$AD$91,MATCH($C999,'Gross Dx Plant'!$D$7:$D$91,0),MATCH(Calculation!$G999,'Gross Dx Plant'!$E$5:$AD$5,0))</f>
        <v>492522</v>
      </c>
      <c r="CF999" s="118">
        <f>INDEX('Gross Gen Plant'!$E$7:$AD$91,MATCH($C999,'Gross Gen Plant'!$D$7:$D$91,0),MATCH(Calculation!$G999,'Gross Gen Plant'!$E$5:$AD$5,0))</f>
        <v>3993</v>
      </c>
      <c r="CG999" s="118">
        <f t="shared" si="2806"/>
        <v>326839</v>
      </c>
      <c r="CH999" s="118"/>
      <c r="CI999" s="121">
        <v>2001</v>
      </c>
      <c r="CJ999" s="118"/>
      <c r="CK999" s="118"/>
      <c r="CL999" s="118"/>
      <c r="CM999" s="183"/>
      <c r="CN999" s="118">
        <f>+BT999+BS999</f>
        <v>29858</v>
      </c>
      <c r="CO999" s="118">
        <f t="shared" si="2970"/>
        <v>84.476506758179553</v>
      </c>
      <c r="CP999" s="186">
        <v>0.98461538461538467</v>
      </c>
      <c r="CQ999" s="118">
        <f>+CQ996*CP999+CO997*CP998+CO998*CP996+CO999</f>
        <v>1573.849140971972</v>
      </c>
      <c r="CR999" s="119">
        <f t="shared" si="2971"/>
        <v>5.0046393080111169E-2</v>
      </c>
      <c r="CS999" s="119"/>
      <c r="CT999" s="177">
        <f t="shared" si="2972"/>
        <v>5.1098277170777496E-3</v>
      </c>
      <c r="CU999" s="177">
        <f>+(CT999+CT998+CT997)/3</f>
        <v>5.0760856553914322E-3</v>
      </c>
      <c r="CV999" s="119">
        <f>VLOOKUP($H999,RoR!$E:$F,2,FALSE)</f>
        <v>7.0824999999999999E-2</v>
      </c>
      <c r="CW999" s="177">
        <v>2.2454495382290052E-2</v>
      </c>
      <c r="CX999" s="177">
        <f t="shared" si="2978"/>
        <v>4.8370504617709947E-2</v>
      </c>
      <c r="CY999" s="177">
        <f>+$CX$35-CU999</f>
        <v>2.5825855953142192E-2</v>
      </c>
      <c r="CZ999" s="177">
        <f>+((DM997/DM996-1)+(DM998/DM997-1)+(DM999/DM998-1))/3</f>
        <v>2.3947275901631187E-2</v>
      </c>
      <c r="DA999" s="187">
        <f t="shared" si="2973"/>
        <v>0.85131374874999999</v>
      </c>
      <c r="DB999" s="188">
        <f t="shared" si="2974"/>
        <v>0.72406708481540816</v>
      </c>
      <c r="DC999" s="188">
        <f t="shared" si="2975"/>
        <v>0.62201729615248857</v>
      </c>
      <c r="DD999" s="188">
        <f t="shared" si="2976"/>
        <v>0.9352469954311422</v>
      </c>
      <c r="DE999" s="188">
        <f t="shared" si="2977"/>
        <v>0.42121864641655071</v>
      </c>
      <c r="DF999" s="189">
        <f>INDEX('State Tax Lookup'!$D$7:$Z$91,MATCH(Calculation!$C999,'State Tax Lookup'!$B$7:$B$91,0),MATCH($H999,'State Tax Lookup'!$D$6:$Z$6,0))</f>
        <v>0.39649667</v>
      </c>
      <c r="DG999" s="189">
        <v>0.375</v>
      </c>
      <c r="DH999" s="190">
        <f t="shared" ref="DH999:DH1019" si="2979">+(DM999*CY999-CZ999)*DA999/(1-DF999)</f>
        <v>12.842471504258219</v>
      </c>
      <c r="DI999" s="190"/>
      <c r="DJ999" s="177"/>
      <c r="DK999" s="189">
        <f>VLOOKUP($H999,RoR!$E:$F,2,FALSE)</f>
        <v>7.0824999999999999E-2</v>
      </c>
      <c r="DL999" s="191">
        <f>HLOOKUP($H999,'GDP-PI'!$D$8:$CQ$11,3,FALSE)</f>
        <v>2.2454495382290052E-2</v>
      </c>
      <c r="DM999" s="189">
        <f>VLOOKUP(H999,'HW Dx Data'!$E:$F,2,FALSE)</f>
        <v>353.44738017483138</v>
      </c>
      <c r="DN999" s="183">
        <f>VLOOKUP(H999,'ECI - Input Price'!$G$17:$H$37,2,FALSE)</f>
        <v>86.2</v>
      </c>
      <c r="DO999" s="177"/>
      <c r="DP999" s="183">
        <f>HLOOKUP(H999,'GDP-PI'!$8:$9,2,FALSE)</f>
        <v>79.822000000000003</v>
      </c>
    </row>
    <row r="1000" spans="1:121" s="167" customFormat="1" ht="21" x14ac:dyDescent="0.35">
      <c r="A1000" s="167" t="s">
        <v>98</v>
      </c>
      <c r="B1000" s="167" t="s">
        <v>99</v>
      </c>
      <c r="C1000" s="167">
        <v>4057096</v>
      </c>
      <c r="D1000" s="168" t="s">
        <v>136</v>
      </c>
      <c r="E1000" s="168" t="s">
        <v>126</v>
      </c>
      <c r="F1000" s="198"/>
      <c r="G1000" s="167" t="s">
        <v>8</v>
      </c>
      <c r="H1000" s="169">
        <v>2002</v>
      </c>
      <c r="I1000" s="170"/>
      <c r="J1000" s="166"/>
      <c r="K1000" s="166"/>
      <c r="L1000" s="166"/>
      <c r="M1000" s="166"/>
      <c r="N1000" s="196"/>
      <c r="O1000" s="166"/>
      <c r="P1000" s="166"/>
      <c r="Q1000" s="166"/>
      <c r="R1000" s="166"/>
      <c r="S1000" s="166"/>
      <c r="T1000" s="166"/>
      <c r="U1000" s="166"/>
      <c r="V1000" s="166">
        <f t="shared" si="2968"/>
        <v>20475.313167426444</v>
      </c>
      <c r="W1000" s="170"/>
      <c r="X1000" s="174">
        <v>1659.4482444573566</v>
      </c>
      <c r="Y1000" s="175">
        <v>5.2960863221588723E-2</v>
      </c>
      <c r="Z1000" s="175"/>
      <c r="AA1000" s="175"/>
      <c r="AB1000" s="175"/>
      <c r="AC1000" s="170">
        <f t="shared" si="2863"/>
        <v>20475.313167426444</v>
      </c>
      <c r="AD1000" s="175"/>
      <c r="AE1000" s="170"/>
      <c r="AF1000" s="170"/>
      <c r="AG1000" s="174"/>
      <c r="AH1000" s="175"/>
      <c r="AI1000" s="175"/>
      <c r="AJ1000" s="174"/>
      <c r="AK1000" s="174"/>
      <c r="AL1000" s="120"/>
      <c r="AM1000" s="120"/>
      <c r="AN1000" s="120"/>
      <c r="AO1000" s="120"/>
      <c r="AP1000" s="120"/>
      <c r="AQ1000" s="175"/>
      <c r="AR1000" s="120"/>
      <c r="AS1000" s="120"/>
      <c r="AT1000" s="120"/>
      <c r="AU1000" s="120"/>
      <c r="AV1000" s="120"/>
      <c r="AW1000" s="120"/>
      <c r="AX1000" s="120"/>
      <c r="AY1000" s="120"/>
      <c r="AZ1000" s="118">
        <f>IFERROR(INDEX('Total Customers'!$F$7:$AB$91,MATCH($C1000,'Total Customers'!$D$7:$D$91,0),MATCH($G1000,'Total Customers'!$F$5:$AB$5,0)),"NA")</f>
        <v>289860</v>
      </c>
      <c r="BA1000" s="119">
        <f t="shared" si="2969"/>
        <v>7.5214882214618512E-3</v>
      </c>
      <c r="BB1000" s="119"/>
      <c r="BC1000" s="121"/>
      <c r="BD1000" s="119"/>
      <c r="BE1000" s="119"/>
      <c r="BF1000" s="119"/>
      <c r="BG1000" s="173"/>
      <c r="BH1000" s="173"/>
      <c r="BI1000" s="173"/>
      <c r="BJ1000" s="173"/>
      <c r="BK1000" s="173"/>
      <c r="BL1000" s="173"/>
      <c r="BM1000" s="173"/>
      <c r="BN1000" s="173"/>
      <c r="BO1000" s="173"/>
      <c r="BP1000" s="173"/>
      <c r="BQ1000" s="118"/>
      <c r="BR1000" s="118"/>
      <c r="BS1000" s="118" t="str">
        <f>INDEX('Dist. Plant Gas Additions'!$F$7:$AE$91,MATCH($C1000,'Dist. Plant Gas Additions'!$D$7:$D$91,0),MATCH(Calculation!$G1000,'Dist. Plant Gas Additions'!$F$5:$AE$5,0))</f>
        <v>NA</v>
      </c>
      <c r="BT1000" s="118" t="str">
        <f>INDEX('Gen. Plant Additions'!$F$7:$AE$91,MATCH($C1000,'Gen. Plant Additions'!$D$7:$D$91,0),MATCH(Calculation!$G1000,'Gen. Plant Additions'!$F$5:$AE$5,0))</f>
        <v>NA</v>
      </c>
      <c r="BU1000" s="118"/>
      <c r="BV1000" s="118"/>
      <c r="BW1000" s="118" t="str">
        <f>INDEX('Dist Plant Depreciation'!$E$7:$AD$94,MATCH($C1000,'Dist Plant Depreciation'!$D$7:$D$94,0),MATCH(Calculation!$G1000,'Dist Plant Depreciation'!$E$5:$AD$5,0))</f>
        <v>NA</v>
      </c>
      <c r="BX1000" s="118" t="str">
        <f>INDEX('Gen. Plant Depreciation'!$E$7:$AD$94,MATCH($C1000,'Gen. Plant Depreciation'!$D$7:$D$94,0),MATCH(Calculation!$G1000,'Gen. Plant Depreciation'!$E$5:$AD$5,0))</f>
        <v>NA</v>
      </c>
      <c r="BY1000" s="118"/>
      <c r="BZ1000" s="118"/>
      <c r="CA1000" s="118"/>
      <c r="CB1000" s="118"/>
      <c r="CC1000" s="118"/>
      <c r="CD1000" s="183"/>
      <c r="CE1000" s="118" t="str">
        <f>INDEX('Gross Dx Plant'!$E$7:$AD$91,MATCH($C1000,'Gross Dx Plant'!$D$7:$D$91,0),MATCH(Calculation!$G1000,'Gross Dx Plant'!$E$5:$AD$5,0))</f>
        <v>NA</v>
      </c>
      <c r="CF1000" s="118" t="str">
        <f>INDEX('Gross Gen Plant'!$E$7:$AD$91,MATCH($C1000,'Gross Gen Plant'!$D$7:$D$91,0),MATCH(Calculation!$G1000,'Gross Gen Plant'!$E$5:$AD$5,0))</f>
        <v>NA</v>
      </c>
      <c r="CG1000" s="118" t="str">
        <f t="shared" si="2806"/>
        <v>NA</v>
      </c>
      <c r="CH1000" s="118"/>
      <c r="CI1000" s="121">
        <v>2002</v>
      </c>
      <c r="CJ1000" s="118"/>
      <c r="CK1000" s="118"/>
      <c r="CL1000" s="118"/>
      <c r="CM1000" s="183"/>
      <c r="CN1000" s="118">
        <v>34158</v>
      </c>
      <c r="CO1000" s="118">
        <f t="shared" si="2970"/>
        <v>94.529329990101417</v>
      </c>
      <c r="CP1000" s="186">
        <v>0.97916666666666663</v>
      </c>
      <c r="CQ1000" s="118">
        <f>+CQ996*CP1000+CO997*CP999+CO998*CP998+CO999*CP997+CO1000</f>
        <v>1659.4482444573566</v>
      </c>
      <c r="CR1000" s="119">
        <f t="shared" si="2971"/>
        <v>5.2960863221588723E-2</v>
      </c>
      <c r="CS1000" s="119"/>
      <c r="CT1000" s="177">
        <f t="shared" si="2972"/>
        <v>5.6741311935410259E-3</v>
      </c>
      <c r="CU1000" s="177">
        <f t="shared" ref="CU1000:CU1019" si="2980">+(CT1000+CT999+CT998)/3</f>
        <v>5.3090879272019642E-3</v>
      </c>
      <c r="CV1000" s="119">
        <f>VLOOKUP($H1000,RoR!$E:$F,2,FALSE)</f>
        <v>6.4916666666666664E-2</v>
      </c>
      <c r="CW1000" s="177">
        <v>1.5246423291824351E-2</v>
      </c>
      <c r="CX1000" s="177">
        <f t="shared" si="2978"/>
        <v>4.9670243374842313E-2</v>
      </c>
      <c r="CY1000" s="177">
        <f t="shared" ref="CY1000:CY1019" si="2981">+$CX$35-CU1000</f>
        <v>2.559285368133166E-2</v>
      </c>
      <c r="CZ1000" s="177">
        <f t="shared" ref="CZ1000:CZ1019" si="2982">+((DM998/DM997-1)+(DM999/DM998-1)+(DM1000/DM999-1))/3</f>
        <v>2.5243621214759093E-2</v>
      </c>
      <c r="DA1000" s="187">
        <f t="shared" si="2973"/>
        <v>0.85131374874999999</v>
      </c>
      <c r="DB1000" s="188">
        <f t="shared" si="2974"/>
        <v>0.78996741384417901</v>
      </c>
      <c r="DC1000" s="188">
        <f t="shared" si="2975"/>
        <v>0.58989088575096271</v>
      </c>
      <c r="DD1000" s="188">
        <f t="shared" si="2976"/>
        <v>0.91920675783645744</v>
      </c>
      <c r="DE1000" s="188">
        <f t="shared" si="2977"/>
        <v>0.42834536472275586</v>
      </c>
      <c r="DF1000" s="189">
        <f>INDEX('State Tax Lookup'!$D$7:$Z$91,MATCH(Calculation!$C1000,'State Tax Lookup'!$B$7:$B$91,0),MATCH($H1000,'State Tax Lookup'!$D$6:$Z$6,0))</f>
        <v>0.39649667</v>
      </c>
      <c r="DG1000" s="189">
        <v>0.375</v>
      </c>
      <c r="DH1000" s="190">
        <f t="shared" si="2979"/>
        <v>13.00970508188693</v>
      </c>
      <c r="DI1000" s="190"/>
      <c r="DJ1000" s="177"/>
      <c r="DK1000" s="189">
        <f>VLOOKUP($H1000,RoR!$E:$F,2,FALSE)</f>
        <v>6.4916666666666664E-2</v>
      </c>
      <c r="DL1000" s="191">
        <f>HLOOKUP($H1000,'GDP-PI'!$D$8:$CQ$11,3,FALSE)</f>
        <v>1.5246423291824351E-2</v>
      </c>
      <c r="DM1000" s="189">
        <f>VLOOKUP(H1000,'HW Dx Data'!$E:$F,2,FALSE)</f>
        <v>361.34816573413599</v>
      </c>
      <c r="DN1000" s="183">
        <f>VLOOKUP(H1000,'ECI - Input Price'!$G$17:$H$37,2,FALSE)</f>
        <v>89.275000000000006</v>
      </c>
      <c r="DO1000" s="177">
        <f>LN(DN1000/DN999)</f>
        <v>3.5051315810864674E-2</v>
      </c>
      <c r="DP1000" s="183">
        <f>HLOOKUP(H1000,'GDP-PI'!$8:$9,2,FALSE)</f>
        <v>81.039000000000001</v>
      </c>
      <c r="DQ1000" s="177">
        <f>LN(DP1000/DP999)</f>
        <v>1.513136459537477E-2</v>
      </c>
    </row>
    <row r="1001" spans="1:121" s="167" customFormat="1" ht="21" x14ac:dyDescent="0.35">
      <c r="A1001" s="167" t="s">
        <v>98</v>
      </c>
      <c r="B1001" s="167" t="s">
        <v>99</v>
      </c>
      <c r="C1001" s="167">
        <v>4057096</v>
      </c>
      <c r="D1001" s="168" t="s">
        <v>136</v>
      </c>
      <c r="E1001" s="168" t="s">
        <v>126</v>
      </c>
      <c r="F1001" s="198"/>
      <c r="G1001" s="167" t="s">
        <v>9</v>
      </c>
      <c r="H1001" s="169">
        <v>2003</v>
      </c>
      <c r="I1001" s="170"/>
      <c r="J1001" s="166"/>
      <c r="K1001" s="166"/>
      <c r="L1001" s="166"/>
      <c r="M1001" s="172"/>
      <c r="N1001" s="196"/>
      <c r="O1001" s="172"/>
      <c r="P1001" s="166"/>
      <c r="Q1001" s="166"/>
      <c r="R1001" s="166"/>
      <c r="S1001" s="166"/>
      <c r="T1001" s="166"/>
      <c r="U1001" s="166"/>
      <c r="V1001" s="166">
        <f t="shared" si="2968"/>
        <v>21925.907558503277</v>
      </c>
      <c r="W1001" s="170"/>
      <c r="X1001" s="174">
        <v>1751.5292972129416</v>
      </c>
      <c r="Y1001" s="175">
        <v>5.4004126182670337E-2</v>
      </c>
      <c r="Z1001" s="175"/>
      <c r="AA1001" s="175"/>
      <c r="AB1001" s="175"/>
      <c r="AC1001" s="170">
        <f t="shared" si="2863"/>
        <v>21925.907558503277</v>
      </c>
      <c r="AD1001" s="175"/>
      <c r="AE1001" s="170"/>
      <c r="AF1001" s="170"/>
      <c r="AG1001" s="174"/>
      <c r="AH1001" s="175"/>
      <c r="AI1001" s="175"/>
      <c r="AJ1001" s="174"/>
      <c r="AK1001" s="174"/>
      <c r="AL1001" s="120"/>
      <c r="AM1001" s="120"/>
      <c r="AN1001" s="120"/>
      <c r="AO1001" s="120"/>
      <c r="AP1001" s="120"/>
      <c r="AQ1001" s="175"/>
      <c r="AR1001" s="120"/>
      <c r="AS1001" s="120"/>
      <c r="AT1001" s="120"/>
      <c r="AU1001" s="120"/>
      <c r="AV1001" s="120"/>
      <c r="AW1001" s="120"/>
      <c r="AX1001" s="120"/>
      <c r="AY1001" s="120"/>
      <c r="AZ1001" s="118">
        <f>IFERROR(INDEX('Total Customers'!$F$7:$AB$91,MATCH($C1001,'Total Customers'!$D$7:$D$91,0),MATCH($G1001,'Total Customers'!$F$5:$AB$5,0)),"NA")</f>
        <v>291686</v>
      </c>
      <c r="BA1001" s="119">
        <f t="shared" si="2969"/>
        <v>6.2798334126191908E-3</v>
      </c>
      <c r="BB1001" s="119"/>
      <c r="BC1001" s="121"/>
      <c r="BD1001" s="119"/>
      <c r="BE1001" s="119"/>
      <c r="BF1001" s="119"/>
      <c r="BG1001" s="173"/>
      <c r="BH1001" s="173"/>
      <c r="BI1001" s="173"/>
      <c r="BJ1001" s="173"/>
      <c r="BK1001" s="173"/>
      <c r="BL1001" s="173"/>
      <c r="BM1001" s="173"/>
      <c r="BN1001" s="173"/>
      <c r="BO1001" s="173"/>
      <c r="BP1001" s="173"/>
      <c r="BQ1001" s="118"/>
      <c r="BR1001" s="118"/>
      <c r="BS1001" s="118" t="str">
        <f>INDEX('Dist. Plant Gas Additions'!$F$7:$AE$91,MATCH($C1001,'Dist. Plant Gas Additions'!$D$7:$D$91,0),MATCH(Calculation!$G1001,'Dist. Plant Gas Additions'!$F$5:$AE$5,0))</f>
        <v>NA</v>
      </c>
      <c r="BT1001" s="118" t="str">
        <f>INDEX('Gen. Plant Additions'!$F$7:$AE$91,MATCH($C1001,'Gen. Plant Additions'!$D$7:$D$91,0),MATCH(Calculation!$G1001,'Gen. Plant Additions'!$F$5:$AE$5,0))</f>
        <v>NA</v>
      </c>
      <c r="BU1001" s="118"/>
      <c r="BV1001" s="118"/>
      <c r="BW1001" s="118" t="str">
        <f>INDEX('Dist Plant Depreciation'!$E$7:$AD$94,MATCH($C1001,'Dist Plant Depreciation'!$D$7:$D$94,0),MATCH(Calculation!$G1001,'Dist Plant Depreciation'!$E$5:$AD$5,0))</f>
        <v>NA</v>
      </c>
      <c r="BX1001" s="118" t="str">
        <f>INDEX('Gen. Plant Depreciation'!$E$7:$AD$94,MATCH($C1001,'Gen. Plant Depreciation'!$D$7:$D$94,0),MATCH(Calculation!$G1001,'Gen. Plant Depreciation'!$E$5:$AD$5,0))</f>
        <v>NA</v>
      </c>
      <c r="BY1001" s="118"/>
      <c r="BZ1001" s="118"/>
      <c r="CA1001" s="118"/>
      <c r="CB1001" s="118"/>
      <c r="CC1001" s="118"/>
      <c r="CD1001" s="183"/>
      <c r="CE1001" s="118" t="str">
        <f>INDEX('Gross Dx Plant'!$E$7:$AD$91,MATCH($C1001,'Gross Dx Plant'!$D$7:$D$91,0),MATCH(Calculation!$G1001,'Gross Dx Plant'!$E$5:$AD$5,0))</f>
        <v>NA</v>
      </c>
      <c r="CF1001" s="118" t="str">
        <f>INDEX('Gross Gen Plant'!$E$7:$AD$91,MATCH($C1001,'Gross Gen Plant'!$D$7:$D$91,0),MATCH(Calculation!$G1001,'Gross Gen Plant'!$E$5:$AD$5,0))</f>
        <v>NA</v>
      </c>
      <c r="CG1001" s="118" t="str">
        <f t="shared" si="2806"/>
        <v>NA</v>
      </c>
      <c r="CH1001" s="118"/>
      <c r="CI1001" s="121">
        <v>2003</v>
      </c>
      <c r="CJ1001" s="118"/>
      <c r="CK1001" s="118"/>
      <c r="CL1001" s="118"/>
      <c r="CM1001" s="183"/>
      <c r="CN1001" s="118">
        <v>37458</v>
      </c>
      <c r="CO1001" s="118">
        <f t="shared" si="2970"/>
        <v>101.44813407407959</v>
      </c>
      <c r="CP1001" s="186">
        <v>0.97354497354497349</v>
      </c>
      <c r="CQ1001" s="118">
        <f>+CQ996*CP1001+CO997*CP1000+CO998*CP999+CO999*CP998+CO1000*CP997+CO1001</f>
        <v>1751.5292972129416</v>
      </c>
      <c r="CR1001" s="119">
        <f t="shared" si="2971"/>
        <v>5.4004126182670337E-2</v>
      </c>
      <c r="CS1001" s="119"/>
      <c r="CT1001" s="177">
        <f t="shared" si="2972"/>
        <v>5.6446962716560295E-3</v>
      </c>
      <c r="CU1001" s="177">
        <f t="shared" si="2980"/>
        <v>5.4762183940916011E-3</v>
      </c>
      <c r="CV1001" s="119">
        <f>VLOOKUP($H1001,RoR!$E:$F,2,FALSE)</f>
        <v>5.6666666666666671E-2</v>
      </c>
      <c r="CW1001" s="177">
        <v>1.8855119140166909E-2</v>
      </c>
      <c r="CX1001" s="177">
        <f t="shared" si="2978"/>
        <v>3.7811547526499761E-2</v>
      </c>
      <c r="CY1001" s="177">
        <f t="shared" si="2981"/>
        <v>2.5425723214442024E-2</v>
      </c>
      <c r="CZ1001" s="177">
        <f t="shared" si="2982"/>
        <v>2.1375012817671957E-2</v>
      </c>
      <c r="DA1001" s="187">
        <f t="shared" si="2973"/>
        <v>0.85131374874999999</v>
      </c>
      <c r="DB1001" s="188">
        <f t="shared" si="2974"/>
        <v>0.90497737556561086</v>
      </c>
      <c r="DC1001" s="188">
        <f t="shared" si="2975"/>
        <v>0.5338235294117647</v>
      </c>
      <c r="DD1001" s="188">
        <f t="shared" si="2976"/>
        <v>0.88972433127405692</v>
      </c>
      <c r="DE1001" s="188">
        <f t="shared" si="2977"/>
        <v>0.42982423775949252</v>
      </c>
      <c r="DF1001" s="189">
        <f>INDEX('State Tax Lookup'!$D$7:$Z$91,MATCH(Calculation!$C1001,'State Tax Lookup'!$B$7:$B$91,0),MATCH($H1001,'State Tax Lookup'!$D$6:$Z$6,0))</f>
        <v>0.39649667</v>
      </c>
      <c r="DG1001" s="189">
        <v>0.375</v>
      </c>
      <c r="DH1001" s="190">
        <f t="shared" si="2979"/>
        <v>13.212769745448192</v>
      </c>
      <c r="DI1001" s="190"/>
      <c r="DJ1001" s="177"/>
      <c r="DK1001" s="189">
        <f>VLOOKUP($H1001,RoR!$E:$F,2,FALSE)</f>
        <v>5.6666666666666671E-2</v>
      </c>
      <c r="DL1001" s="191">
        <f>HLOOKUP($H1001,'GDP-PI'!$D$8:$CQ$11,3,FALSE)</f>
        <v>1.8855119140166909E-2</v>
      </c>
      <c r="DM1001" s="189">
        <f>VLOOKUP(H1001,'HW Dx Data'!$E:$F,2,FALSE)</f>
        <v>369.23301095560191</v>
      </c>
      <c r="DN1001" s="183">
        <f>VLOOKUP(H1001,'ECI - Input Price'!$G$17:$H$37,2,FALSE)</f>
        <v>92.625</v>
      </c>
      <c r="DO1001" s="177">
        <f t="shared" ref="DO1001" si="2983">LN(DN1001/DN1000)</f>
        <v>3.6837590135738785E-2</v>
      </c>
      <c r="DP1001" s="183">
        <f>HLOOKUP(H1001,'GDP-PI'!$8:$9,2,FALSE)</f>
        <v>82.566999999999993</v>
      </c>
      <c r="DQ1001" s="177">
        <f t="shared" ref="DQ1001" si="2984">LN(DP1001/DP1000)</f>
        <v>1.8679564681853753E-2</v>
      </c>
    </row>
    <row r="1002" spans="1:121" s="167" customFormat="1" ht="21" x14ac:dyDescent="0.35">
      <c r="A1002" s="167" t="s">
        <v>98</v>
      </c>
      <c r="B1002" s="167" t="s">
        <v>99</v>
      </c>
      <c r="C1002" s="167">
        <v>4057096</v>
      </c>
      <c r="D1002" s="168" t="s">
        <v>136</v>
      </c>
      <c r="E1002" s="168" t="s">
        <v>126</v>
      </c>
      <c r="F1002" s="198"/>
      <c r="G1002" s="167" t="s">
        <v>10</v>
      </c>
      <c r="H1002" s="169">
        <v>2004</v>
      </c>
      <c r="I1002" s="170"/>
      <c r="J1002" s="166">
        <f>IFERROR(INDEX('Labor Expenditures'!$F$7:$X$91,MATCH($C1002,'Labor Expenditures'!$D$7:$D$91,0),MATCH($G1002,'Labor Expenditures'!$F$5:$X$5,0)),"NA")</f>
        <v>21414.38729345335</v>
      </c>
      <c r="K1002" s="166">
        <f t="shared" ref="K1002:K1019" si="2985">+J1002/DN1002</f>
        <v>222.66064251056252</v>
      </c>
      <c r="L1002" s="172"/>
      <c r="M1002" s="172"/>
      <c r="N1002" s="196"/>
      <c r="O1002" s="172"/>
      <c r="P1002" s="166">
        <f>IFERROR(INDEX('Non-Labor Expenditures'!$F$7:$AB$91,MATCH($C1002,'Non-Labor Expenditures'!$D$7:$D$91,0),MATCH($G1002,'Non-Labor Expenditures'!$F$5:$AB$5,0)),"NA")</f>
        <v>31012.032456756358</v>
      </c>
      <c r="Q1002" s="166">
        <f t="shared" ref="Q1002:Q1019" si="2986">+P1002/DP1002</f>
        <v>365.80283159258721</v>
      </c>
      <c r="R1002" s="166"/>
      <c r="S1002" s="166"/>
      <c r="T1002" s="166"/>
      <c r="U1002" s="166"/>
      <c r="V1002" s="166">
        <f t="shared" si="2968"/>
        <v>25686.800203389823</v>
      </c>
      <c r="W1002" s="170"/>
      <c r="X1002" s="174">
        <v>1843.2670437477534</v>
      </c>
      <c r="Y1002" s="175">
        <v>5.1050273976314287E-2</v>
      </c>
      <c r="Z1002" s="175"/>
      <c r="AA1002" s="175"/>
      <c r="AB1002" s="175"/>
      <c r="AC1002" s="170">
        <f t="shared" si="2863"/>
        <v>78113.219953599531</v>
      </c>
      <c r="AD1002" s="175"/>
      <c r="AE1002" s="170"/>
      <c r="AF1002" s="170"/>
      <c r="AG1002" s="174"/>
      <c r="AH1002" s="175"/>
      <c r="AI1002" s="175"/>
      <c r="AJ1002" s="174"/>
      <c r="AK1002" s="174"/>
      <c r="AL1002" s="120">
        <f t="shared" ref="AL1002:AL1019" si="2987">+J1002/AC1002</f>
        <v>0.27414549427323354</v>
      </c>
      <c r="AM1002" s="120">
        <f t="shared" ref="AM1002:AM1019" si="2988">+P1002/AC1002</f>
        <v>0.39701387902301288</v>
      </c>
      <c r="AN1002" s="120">
        <f t="shared" ref="AN1002:AN1019" si="2989">+V1002/AC1002</f>
        <v>0.32884062670375364</v>
      </c>
      <c r="AO1002" s="120"/>
      <c r="AP1002" s="120"/>
      <c r="AQ1002" s="175"/>
      <c r="AR1002" s="120"/>
      <c r="AS1002" s="120"/>
      <c r="AT1002" s="120"/>
      <c r="AU1002" s="120"/>
      <c r="AV1002" s="120"/>
      <c r="AW1002" s="120"/>
      <c r="AX1002" s="120"/>
      <c r="AY1002" s="120"/>
      <c r="AZ1002" s="118">
        <f>IFERROR(INDEX('Total Customers'!$F$7:$AB$91,MATCH($C1002,'Total Customers'!$D$7:$D$91,0),MATCH($G1002,'Total Customers'!$F$5:$AB$5,0)),"NA")</f>
        <v>293334</v>
      </c>
      <c r="BA1002" s="119">
        <f t="shared" si="2969"/>
        <v>5.6340103218430714E-3</v>
      </c>
      <c r="BB1002" s="119"/>
      <c r="BC1002" s="121"/>
      <c r="BD1002" s="119"/>
      <c r="BE1002" s="119"/>
      <c r="BF1002" s="119"/>
      <c r="BG1002" s="173"/>
      <c r="BH1002" s="173"/>
      <c r="BI1002" s="173"/>
      <c r="BJ1002" s="173"/>
      <c r="BK1002" s="173"/>
      <c r="BL1002" s="173"/>
      <c r="BM1002" s="173"/>
      <c r="BN1002" s="173"/>
      <c r="BO1002" s="173"/>
      <c r="BP1002" s="173"/>
      <c r="BQ1002" s="118"/>
      <c r="BR1002" s="118"/>
      <c r="BS1002" s="118">
        <f>INDEX('Dist. Plant Gas Additions'!$F$7:$AE$91,MATCH($C1002,'Dist. Plant Gas Additions'!$D$7:$D$91,0),MATCH(Calculation!$G1002,'Dist. Plant Gas Additions'!$F$5:$AE$5,0))</f>
        <v>42137</v>
      </c>
      <c r="BT1002" s="118">
        <f>INDEX('Gen. Plant Additions'!$F$7:$AE$91,MATCH($C1002,'Gen. Plant Additions'!$D$7:$D$91,0),MATCH(Calculation!$G1002,'Gen. Plant Additions'!$F$5:$AE$5,0))</f>
        <v>144</v>
      </c>
      <c r="BU1002" s="118"/>
      <c r="BV1002" s="118"/>
      <c r="BW1002" s="118">
        <f>INDEX('Dist Plant Depreciation'!$E$7:$AD$94,MATCH($C1002,'Dist Plant Depreciation'!$D$7:$D$94,0),MATCH(Calculation!$G1002,'Dist Plant Depreciation'!$E$5:$AD$5,0))</f>
        <v>185843</v>
      </c>
      <c r="BX1002" s="118">
        <f>INDEX('Gen. Plant Depreciation'!$E$7:$AD$94,MATCH($C1002,'Gen. Plant Depreciation'!$D$7:$D$94,0),MATCH(Calculation!$G1002,'Gen. Plant Depreciation'!$E$5:$AD$5,0))</f>
        <v>1400</v>
      </c>
      <c r="BY1002" s="118"/>
      <c r="BZ1002" s="118"/>
      <c r="CA1002" s="118"/>
      <c r="CB1002" s="118"/>
      <c r="CC1002" s="118"/>
      <c r="CD1002" s="183"/>
      <c r="CE1002" s="118">
        <f>INDEX('Gross Dx Plant'!$E$7:$AD$91,MATCH($C1002,'Gross Dx Plant'!$D$7:$D$91,0),MATCH(Calculation!$G1002,'Gross Dx Plant'!$E$5:$AD$5,0))</f>
        <v>554658</v>
      </c>
      <c r="CF1002" s="118">
        <f>INDEX('Gross Gen Plant'!$E$7:$AD$91,MATCH($C1002,'Gross Gen Plant'!$D$7:$D$91,0),MATCH(Calculation!$G1002,'Gross Gen Plant'!$E$5:$AD$5,0))</f>
        <v>3175</v>
      </c>
      <c r="CG1002" s="118">
        <f t="shared" si="2806"/>
        <v>370590</v>
      </c>
      <c r="CH1002" s="118"/>
      <c r="CI1002" s="121">
        <v>2004</v>
      </c>
      <c r="CJ1002" s="118"/>
      <c r="CK1002" s="118"/>
      <c r="CL1002" s="118"/>
      <c r="CM1002" s="183"/>
      <c r="CN1002" s="118">
        <f t="shared" ref="CN1002:CN1019" si="2990">+BT1002+BS1002</f>
        <v>42281</v>
      </c>
      <c r="CO1002" s="118">
        <f t="shared" si="2970"/>
        <v>101.90962960844675</v>
      </c>
      <c r="CP1002" s="186">
        <v>0.967741935483871</v>
      </c>
      <c r="CQ1002" s="118">
        <f>+CQ996*CP1002+CO997*CP1001+CO998*CP1000+CO999*CP999+CO1000*CP998+CO1001*CP997+CO1002</f>
        <v>1843.2670437477534</v>
      </c>
      <c r="CR1002" s="119">
        <f t="shared" si="2971"/>
        <v>5.1050273976314287E-2</v>
      </c>
      <c r="CS1002" s="119"/>
      <c r="CT1002" s="177">
        <f t="shared" si="2972"/>
        <v>5.8074295929965991E-3</v>
      </c>
      <c r="CU1002" s="177">
        <f t="shared" si="2980"/>
        <v>5.7087523527312176E-3</v>
      </c>
      <c r="CV1002" s="119">
        <f>VLOOKUP($H1002,RoR!$E:$F,2,FALSE)</f>
        <v>5.6283333333333331E-2</v>
      </c>
      <c r="CW1002" s="177">
        <v>2.6778252812867276E-2</v>
      </c>
      <c r="CX1002" s="177">
        <f t="shared" si="2978"/>
        <v>2.9505080520466055E-2</v>
      </c>
      <c r="CY1002" s="177">
        <f t="shared" si="2981"/>
        <v>2.5193189255802408E-2</v>
      </c>
      <c r="CZ1002" s="177">
        <f t="shared" si="2982"/>
        <v>5.5940039414565046E-2</v>
      </c>
      <c r="DA1002" s="187">
        <f t="shared" si="2973"/>
        <v>0.85131374874999999</v>
      </c>
      <c r="DB1002" s="188">
        <f t="shared" si="2974"/>
        <v>0.91114097628755619</v>
      </c>
      <c r="DC1002" s="188">
        <f t="shared" si="2975"/>
        <v>0.53081877405981637</v>
      </c>
      <c r="DD1002" s="188">
        <f t="shared" si="2976"/>
        <v>0.88811215519385678</v>
      </c>
      <c r="DE1002" s="188">
        <f t="shared" si="2977"/>
        <v>0.42953609753547711</v>
      </c>
      <c r="DF1002" s="189">
        <f>INDEX('State Tax Lookup'!$D$7:$Z$91,MATCH(Calculation!$C1002,'State Tax Lookup'!$B$7:$B$91,0),MATCH($H1002,'State Tax Lookup'!$D$6:$Z$6,0))</f>
        <v>0.39649667</v>
      </c>
      <c r="DG1002" s="189">
        <v>0.375</v>
      </c>
      <c r="DH1002" s="190">
        <f t="shared" si="2979"/>
        <v>14.665355723288799</v>
      </c>
      <c r="DI1002" s="190"/>
      <c r="DJ1002" s="177"/>
      <c r="DK1002" s="189">
        <f>VLOOKUP($H1002,RoR!$E:$F,2,FALSE)</f>
        <v>5.6283333333333331E-2</v>
      </c>
      <c r="DL1002" s="191">
        <f>HLOOKUP($H1002,'GDP-PI'!$D$8:$CQ$11,3,FALSE)</f>
        <v>2.6778252812867276E-2</v>
      </c>
      <c r="DM1002" s="189">
        <f>VLOOKUP(H1002,'HW Dx Data'!$E:$F,2,FALSE)</f>
        <v>414.88719135228365</v>
      </c>
      <c r="DN1002" s="183">
        <f>VLOOKUP(H1002,'ECI - Input Price'!$G$17:$H$37,2,FALSE)</f>
        <v>96.174999999999997</v>
      </c>
      <c r="DO1002" s="177">
        <f t="shared" ref="DO1002" si="2991">LN(DN1002/DN1001)</f>
        <v>3.7610365022107912E-2</v>
      </c>
      <c r="DP1002" s="183">
        <f>HLOOKUP(H1002,'GDP-PI'!$8:$9,2,FALSE)</f>
        <v>84.778000000000006</v>
      </c>
      <c r="DQ1002" s="177">
        <f t="shared" ref="DQ1002" si="2992">LN(DP1002/DP1001)</f>
        <v>2.6425990216022755E-2</v>
      </c>
    </row>
    <row r="1003" spans="1:121" s="167" customFormat="1" ht="21" x14ac:dyDescent="0.35">
      <c r="A1003" s="167" t="s">
        <v>98</v>
      </c>
      <c r="B1003" s="167" t="s">
        <v>99</v>
      </c>
      <c r="C1003" s="167">
        <v>4057096</v>
      </c>
      <c r="D1003" s="168" t="s">
        <v>136</v>
      </c>
      <c r="E1003" s="168" t="s">
        <v>126</v>
      </c>
      <c r="F1003" s="198"/>
      <c r="G1003" s="167" t="s">
        <v>11</v>
      </c>
      <c r="H1003" s="169">
        <v>2005</v>
      </c>
      <c r="I1003" s="170"/>
      <c r="J1003" s="166">
        <f>IFERROR(INDEX('Labor Expenditures'!$F$7:$X$91,MATCH($C1003,'Labor Expenditures'!$D$7:$D$91,0),MATCH($G1003,'Labor Expenditures'!$F$5:$X$5,0)),"NA")</f>
        <v>21875.042092597625</v>
      </c>
      <c r="K1003" s="166">
        <f t="shared" si="2985"/>
        <v>220.62573971354135</v>
      </c>
      <c r="L1003" s="172">
        <f t="shared" ref="L1003:L1019" si="2993">LN(K1003/K1002)</f>
        <v>-9.1810494180786986E-3</v>
      </c>
      <c r="M1003" s="172"/>
      <c r="N1003" s="196"/>
      <c r="O1003" s="172"/>
      <c r="P1003" s="166">
        <f>IFERROR(INDEX('Non-Labor Expenditures'!$F$7:$AB$91,MATCH($C1003,'Non-Labor Expenditures'!$D$7:$D$91,0),MATCH($G1003,'Non-Labor Expenditures'!$F$5:$AB$5,0)),"NA")</f>
        <v>31679.14664436565</v>
      </c>
      <c r="Q1003" s="166">
        <f t="shared" si="2986"/>
        <v>362.43260430361016</v>
      </c>
      <c r="R1003" s="172">
        <f>LN(Q1003/Q1002)</f>
        <v>-9.2559389013660252E-3</v>
      </c>
      <c r="S1003" s="172"/>
      <c r="T1003" s="172"/>
      <c r="U1003" s="172"/>
      <c r="V1003" s="166">
        <f t="shared" si="2968"/>
        <v>30374.88079080846</v>
      </c>
      <c r="W1003" s="170"/>
      <c r="X1003" s="174">
        <v>1868.1912192948341</v>
      </c>
      <c r="Y1003" s="175">
        <v>1.3431135938159392E-2</v>
      </c>
      <c r="Z1003" s="175"/>
      <c r="AA1003" s="175"/>
      <c r="AB1003" s="175"/>
      <c r="AC1003" s="170">
        <f t="shared" si="2863"/>
        <v>83929.069527771731</v>
      </c>
      <c r="AD1003" s="175">
        <f>LN(AC1003/AC1002)</f>
        <v>7.1812719650872381E-2</v>
      </c>
      <c r="AE1003" s="170"/>
      <c r="AF1003" s="170"/>
      <c r="AG1003" s="121"/>
      <c r="AH1003" s="119"/>
      <c r="AI1003" s="119"/>
      <c r="AJ1003" s="121"/>
      <c r="AK1003" s="121"/>
      <c r="AL1003" s="120">
        <f t="shared" si="2987"/>
        <v>0.26063725257146186</v>
      </c>
      <c r="AM1003" s="120">
        <f t="shared" si="2988"/>
        <v>0.37745142204731785</v>
      </c>
      <c r="AN1003" s="120">
        <f t="shared" si="2989"/>
        <v>0.36191132538122034</v>
      </c>
      <c r="AO1003" s="120">
        <f t="shared" ref="AO1003:AO1019" si="2994">+(((AL1003+AL1002)/2)*L1003+((AM1002+AM1003)/2)*R1003+((AN1002+AN1003)/2)*Y1003)</f>
        <v>-1.4003434833248975E-3</v>
      </c>
      <c r="AP1003" s="173">
        <v>100</v>
      </c>
      <c r="AQ1003" s="175"/>
      <c r="AR1003" s="120"/>
      <c r="AS1003" s="120"/>
      <c r="AT1003" s="120"/>
      <c r="AU1003" s="120"/>
      <c r="AV1003" s="120"/>
      <c r="AW1003" s="120"/>
      <c r="AX1003" s="120"/>
      <c r="AY1003" s="120"/>
      <c r="AZ1003" s="118">
        <f>IFERROR(INDEX('Total Customers'!$F$7:$AB$91,MATCH($C1003,'Total Customers'!$D$7:$D$91,0),MATCH($G1003,'Total Customers'!$F$5:$AB$5,0)),"NA")</f>
        <v>294647</v>
      </c>
      <c r="BA1003" s="119">
        <f t="shared" si="2969"/>
        <v>4.4661381319014305E-3</v>
      </c>
      <c r="BB1003" s="119"/>
      <c r="BC1003" s="121"/>
      <c r="BD1003" s="119"/>
      <c r="BE1003" s="119"/>
      <c r="BF1003" s="119"/>
      <c r="BG1003" s="173"/>
      <c r="BH1003" s="173"/>
      <c r="BI1003" s="173"/>
      <c r="BJ1003" s="173"/>
      <c r="BK1003" s="173"/>
      <c r="BL1003" s="173"/>
      <c r="BM1003" s="173"/>
      <c r="BN1003" s="173"/>
      <c r="BO1003" s="173"/>
      <c r="BP1003" s="173"/>
      <c r="BQ1003" s="118"/>
      <c r="BR1003" s="118"/>
      <c r="BS1003" s="118">
        <f>INDEX('Dist. Plant Gas Additions'!$F$7:$AE$91,MATCH($C1003,'Dist. Plant Gas Additions'!$D$7:$D$91,0),MATCH(Calculation!$G1003,'Dist. Plant Gas Additions'!$F$5:$AE$5,0))</f>
        <v>16673</v>
      </c>
      <c r="BT1003" s="118">
        <f>INDEX('Gen. Plant Additions'!$F$7:$AE$91,MATCH($C1003,'Gen. Plant Additions'!$D$7:$D$91,0),MATCH(Calculation!$G1003,'Gen. Plant Additions'!$F$5:$AE$5,0))</f>
        <v>187</v>
      </c>
      <c r="BU1003" s="118"/>
      <c r="BV1003" s="118"/>
      <c r="BW1003" s="118">
        <f>INDEX('Dist Plant Depreciation'!$E$7:$AD$94,MATCH($C1003,'Dist Plant Depreciation'!$D$7:$D$94,0),MATCH(Calculation!$G1003,'Dist Plant Depreciation'!$E$5:$AD$5,0))</f>
        <v>196916</v>
      </c>
      <c r="BX1003" s="118">
        <f>INDEX('Gen. Plant Depreciation'!$E$7:$AD$94,MATCH($C1003,'Gen. Plant Depreciation'!$D$7:$D$94,0),MATCH(Calculation!$G1003,'Gen. Plant Depreciation'!$E$5:$AD$5,0))</f>
        <v>1451</v>
      </c>
      <c r="BY1003" s="118"/>
      <c r="BZ1003" s="118"/>
      <c r="CA1003" s="118"/>
      <c r="CB1003" s="118"/>
      <c r="CC1003" s="118"/>
      <c r="CD1003" s="183"/>
      <c r="CE1003" s="118">
        <f>INDEX('Gross Dx Plant'!$E$7:$AD$91,MATCH($C1003,'Gross Dx Plant'!$D$7:$D$91,0),MATCH(Calculation!$G1003,'Gross Dx Plant'!$E$5:$AD$5,0))</f>
        <v>569794</v>
      </c>
      <c r="CF1003" s="118">
        <f>INDEX('Gross Gen Plant'!$E$7:$AD$91,MATCH($C1003,'Gross Gen Plant'!$D$7:$D$91,0),MATCH(Calculation!$G1003,'Gross Gen Plant'!$E$5:$AD$5,0))</f>
        <v>3362</v>
      </c>
      <c r="CG1003" s="118">
        <f t="shared" si="2806"/>
        <v>374789</v>
      </c>
      <c r="CH1003" s="118"/>
      <c r="CI1003" s="121">
        <v>2005</v>
      </c>
      <c r="CJ1003" s="118"/>
      <c r="CK1003" s="118"/>
      <c r="CL1003" s="118"/>
      <c r="CM1003" s="183"/>
      <c r="CN1003" s="118">
        <f t="shared" si="2990"/>
        <v>16860</v>
      </c>
      <c r="CO1003" s="118">
        <f t="shared" si="2970"/>
        <v>35.933110168925936</v>
      </c>
      <c r="CP1003" s="186">
        <v>0.96174863387978138</v>
      </c>
      <c r="CQ1003" s="118">
        <f>+CQ996*CP1003+CO997*CP1002+CO998*CP1001+CO999*CP1000+CO1000*CP999+CO1001*CP998+CO1002*CP997+CO1003</f>
        <v>1868.1912192948341</v>
      </c>
      <c r="CR1003" s="119">
        <f t="shared" si="2971"/>
        <v>1.3431135938159392E-2</v>
      </c>
      <c r="CS1003" s="119"/>
      <c r="CT1003" s="177">
        <f t="shared" si="2972"/>
        <v>5.972512045493805E-3</v>
      </c>
      <c r="CU1003" s="177">
        <f t="shared" si="2980"/>
        <v>5.8082126367154782E-3</v>
      </c>
      <c r="CV1003" s="119">
        <f>VLOOKUP($H1003,RoR!$E:$F,2,FALSE)</f>
        <v>5.2350000000000001E-2</v>
      </c>
      <c r="CW1003" s="177">
        <v>3.1010403642454332E-2</v>
      </c>
      <c r="CX1003" s="177">
        <f t="shared" si="2978"/>
        <v>2.1339596357545669E-2</v>
      </c>
      <c r="CY1003" s="177">
        <f t="shared" si="2981"/>
        <v>2.5093728971818146E-2</v>
      </c>
      <c r="CZ1003" s="177">
        <f t="shared" si="2982"/>
        <v>9.2129610649277341E-2</v>
      </c>
      <c r="DA1003" s="187">
        <f t="shared" si="2973"/>
        <v>0.85131374874999999</v>
      </c>
      <c r="DB1003" s="188">
        <f t="shared" si="2974"/>
        <v>0.97959983346802826</v>
      </c>
      <c r="DC1003" s="188">
        <f t="shared" si="2975"/>
        <v>0.49744508118433622</v>
      </c>
      <c r="DD1003" s="188">
        <f t="shared" si="2976"/>
        <v>0.87010519444335932</v>
      </c>
      <c r="DE1003" s="188">
        <f t="shared" si="2977"/>
        <v>0.42399975420741998</v>
      </c>
      <c r="DF1003" s="189">
        <f>INDEX('State Tax Lookup'!$D$7:$Z$91,MATCH(Calculation!$C1003,'State Tax Lookup'!$B$7:$B$91,0),MATCH($H1003,'State Tax Lookup'!$D$6:$Z$6,0))</f>
        <v>0.39649667</v>
      </c>
      <c r="DG1003" s="189">
        <v>0.375</v>
      </c>
      <c r="DH1003" s="190">
        <f t="shared" si="2979"/>
        <v>16.47882811871354</v>
      </c>
      <c r="DI1003" s="190"/>
      <c r="DJ1003" s="177"/>
      <c r="DK1003" s="189">
        <f>VLOOKUP($H1003,RoR!$E:$F,2,FALSE)</f>
        <v>5.2350000000000001E-2</v>
      </c>
      <c r="DL1003" s="191">
        <f>HLOOKUP($H1003,'GDP-PI'!$D$8:$CQ$11,3,FALSE)</f>
        <v>3.1010403642454332E-2</v>
      </c>
      <c r="DM1003" s="189">
        <f>VLOOKUP(H1003,'HW Dx Data'!$E:$F,2,FALSE)</f>
        <v>469.20514034936258</v>
      </c>
      <c r="DN1003" s="183">
        <f>VLOOKUP(H1003,'ECI - Input Price'!$G$17:$H$37,2,FALSE)</f>
        <v>99.15</v>
      </c>
      <c r="DO1003" s="177">
        <f t="shared" ref="DO1003" si="2995">LN(DN1003/DN1002)</f>
        <v>3.046440632744625E-2</v>
      </c>
      <c r="DP1003" s="183">
        <f>HLOOKUP(H1003,'GDP-PI'!$8:$9,2,FALSE)</f>
        <v>87.406999999999996</v>
      </c>
      <c r="DQ1003" s="177">
        <f t="shared" ref="DQ1003" si="2996">LN(DP1003/DP1002)</f>
        <v>3.0539295810733648E-2</v>
      </c>
    </row>
    <row r="1004" spans="1:121" s="167" customFormat="1" ht="21" x14ac:dyDescent="0.35">
      <c r="A1004" s="167" t="s">
        <v>98</v>
      </c>
      <c r="B1004" s="167" t="s">
        <v>99</v>
      </c>
      <c r="C1004" s="167">
        <v>4057096</v>
      </c>
      <c r="D1004" s="168" t="s">
        <v>136</v>
      </c>
      <c r="E1004" s="168" t="s">
        <v>126</v>
      </c>
      <c r="F1004" s="198"/>
      <c r="G1004" s="167" t="s">
        <v>12</v>
      </c>
      <c r="H1004" s="169">
        <v>2006</v>
      </c>
      <c r="I1004" s="170"/>
      <c r="J1004" s="166">
        <f>IFERROR(INDEX('Labor Expenditures'!$F$7:$X$91,MATCH($C1004,'Labor Expenditures'!$D$7:$D$91,0),MATCH($G1004,'Labor Expenditures'!$F$5:$X$5,0)),"NA")</f>
        <v>18823.587771424191</v>
      </c>
      <c r="K1004" s="166">
        <f t="shared" si="2985"/>
        <v>184.45455924962459</v>
      </c>
      <c r="L1004" s="172">
        <f t="shared" si="2993"/>
        <v>-0.17906463867524974</v>
      </c>
      <c r="M1004" s="172">
        <f t="shared" ref="M1004:M1019" si="2997">+L1004*AR1004</f>
        <v>-1.714190465008796E-3</v>
      </c>
      <c r="N1004" s="196"/>
      <c r="O1004" s="172"/>
      <c r="P1004" s="166">
        <f>IFERROR(INDEX('Non-Labor Expenditures'!$F$7:$AB$91,MATCH($C1004,'Non-Labor Expenditures'!$D$7:$D$91,0),MATCH($G1004,'Non-Labor Expenditures'!$F$5:$AB$5,0)),"NA")</f>
        <v>27260.070854255599</v>
      </c>
      <c r="Q1004" s="166">
        <f t="shared" si="2986"/>
        <v>302.64083813592822</v>
      </c>
      <c r="R1004" s="172">
        <f t="shared" ref="R1004:R1019" si="2998">LN(Q1004/Q1003)</f>
        <v>-0.18029178811065538</v>
      </c>
      <c r="S1004" s="172">
        <f>+R1004*AR1004</f>
        <v>-1.7259379986194286E-3</v>
      </c>
      <c r="T1004" s="172"/>
      <c r="U1004" s="172"/>
      <c r="V1004" s="166">
        <f t="shared" si="2968"/>
        <v>30065.344649031347</v>
      </c>
      <c r="W1004" s="170"/>
      <c r="X1004" s="174">
        <v>1889.7983022952064</v>
      </c>
      <c r="Y1004" s="175">
        <v>1.1499404657259973E-2</v>
      </c>
      <c r="Z1004" s="175">
        <f>+Y1004*AR1004</f>
        <v>1.1008410126413974E-4</v>
      </c>
      <c r="AA1004" s="175"/>
      <c r="AB1004" s="175"/>
      <c r="AC1004" s="170">
        <f t="shared" si="2863"/>
        <v>76149.00327471114</v>
      </c>
      <c r="AD1004" s="175">
        <f t="shared" ref="AD1004:AD1019" si="2999">LN(AC1004/AC1003)</f>
        <v>-9.7280041461795891E-2</v>
      </c>
      <c r="AE1004" s="170"/>
      <c r="AF1004" s="170"/>
      <c r="AG1004" s="121">
        <f t="shared" ref="AG1004:AG1019" si="3000">+(AC1004*1000)/AZ1004</f>
        <v>257.80536971673587</v>
      </c>
      <c r="AH1004" s="119">
        <f>+AZ1004/$BB$44</f>
        <v>8.4021888462304205E-3</v>
      </c>
      <c r="AI1004" s="119">
        <f>+AZ1004/$BC$44</f>
        <v>3.5814295866431228E-2</v>
      </c>
      <c r="AJ1004" s="176">
        <f>+AH1004*AG1004</f>
        <v>2.1661294019322681</v>
      </c>
      <c r="AK1004" s="176">
        <f>+AI1004*AG1004</f>
        <v>9.2331177869898671</v>
      </c>
      <c r="AL1004" s="120">
        <f t="shared" si="2987"/>
        <v>0.24719414518818067</v>
      </c>
      <c r="AM1004" s="120">
        <f t="shared" si="2988"/>
        <v>0.35798329173020954</v>
      </c>
      <c r="AN1004" s="120">
        <f t="shared" si="2989"/>
        <v>0.39482256308160973</v>
      </c>
      <c r="AO1004" s="120">
        <f t="shared" si="2994"/>
        <v>-0.10741274806604</v>
      </c>
      <c r="AP1004" s="173">
        <f>+AP1003*EXP(AO1004)</f>
        <v>89.815488478281324</v>
      </c>
      <c r="AQ1004" s="175">
        <f>LN(AP1004/AP1003)</f>
        <v>-0.10741274806604001</v>
      </c>
      <c r="AR1004" s="177">
        <f>+AC1004/$AE$44</f>
        <v>9.5730261300649017E-3</v>
      </c>
      <c r="AS1004" s="177">
        <f>+AR1004*AQ1004</f>
        <v>-1.0282650439382792E-3</v>
      </c>
      <c r="AT1004" s="177"/>
      <c r="AU1004" s="177"/>
      <c r="AV1004" s="177"/>
      <c r="AW1004" s="190"/>
      <c r="AX1004" s="120"/>
      <c r="AY1004" s="120"/>
      <c r="AZ1004" s="118">
        <f>IFERROR(INDEX('Total Customers'!$F$7:$AB$91,MATCH($C1004,'Total Customers'!$D$7:$D$91,0),MATCH($G1004,'Total Customers'!$F$5:$AB$5,0)),"NA")</f>
        <v>295374</v>
      </c>
      <c r="BA1004" s="119">
        <f t="shared" si="2969"/>
        <v>2.464320313734481E-3</v>
      </c>
      <c r="BB1004" s="119"/>
      <c r="BC1004" s="121">
        <v>8247377</v>
      </c>
      <c r="BD1004" s="119"/>
      <c r="BE1004" s="119"/>
      <c r="BF1004" s="119"/>
      <c r="BG1004" s="173"/>
      <c r="BH1004" s="173"/>
      <c r="BI1004" s="173"/>
      <c r="BJ1004" s="173"/>
      <c r="BK1004" s="173"/>
      <c r="BL1004" s="173"/>
      <c r="BM1004" s="173"/>
      <c r="BN1004" s="173"/>
      <c r="BO1004" s="173"/>
      <c r="BP1004" s="173"/>
      <c r="BQ1004" s="118"/>
      <c r="BR1004" s="118"/>
      <c r="BS1004" s="118">
        <f>INDEX('Dist. Plant Gas Additions'!$F$7:$AE$91,MATCH($C1004,'Dist. Plant Gas Additions'!$D$7:$D$91,0),MATCH(Calculation!$G1004,'Dist. Plant Gas Additions'!$F$5:$AE$5,0))</f>
        <v>15100</v>
      </c>
      <c r="BT1004" s="118">
        <f>INDEX('Gen. Plant Additions'!$F$7:$AE$91,MATCH($C1004,'Gen. Plant Additions'!$D$7:$D$91,0),MATCH(Calculation!$G1004,'Gen. Plant Additions'!$F$5:$AE$5,0))</f>
        <v>188</v>
      </c>
      <c r="BU1004" s="118"/>
      <c r="BV1004" s="118"/>
      <c r="BW1004" s="118">
        <f>INDEX('Dist Plant Depreciation'!$E$7:$AD$94,MATCH($C1004,'Dist Plant Depreciation'!$D$7:$D$94,0),MATCH(Calculation!$G1004,'Dist Plant Depreciation'!$E$5:$AD$5,0))</f>
        <v>205393</v>
      </c>
      <c r="BX1004" s="118">
        <f>INDEX('Gen. Plant Depreciation'!$E$7:$AD$94,MATCH($C1004,'Gen. Plant Depreciation'!$D$7:$D$94,0),MATCH(Calculation!$G1004,'Gen. Plant Depreciation'!$E$5:$AD$5,0))</f>
        <v>1578</v>
      </c>
      <c r="BY1004" s="118"/>
      <c r="BZ1004" s="118"/>
      <c r="CA1004" s="118"/>
      <c r="CB1004" s="118"/>
      <c r="CC1004" s="118"/>
      <c r="CD1004" s="183"/>
      <c r="CE1004" s="118">
        <f>INDEX('Gross Dx Plant'!$E$7:$AD$91,MATCH($C1004,'Gross Dx Plant'!$D$7:$D$91,0),MATCH(Calculation!$G1004,'Gross Dx Plant'!$E$5:$AD$5,0))</f>
        <v>581522</v>
      </c>
      <c r="CF1004" s="118">
        <f>INDEX('Gross Gen Plant'!$E$7:$AD$91,MATCH($C1004,'Gross Gen Plant'!$D$7:$D$91,0),MATCH(Calculation!$G1004,'Gross Gen Plant'!$E$5:$AD$5,0))</f>
        <v>3550</v>
      </c>
      <c r="CG1004" s="118">
        <f t="shared" si="2806"/>
        <v>378101</v>
      </c>
      <c r="CH1004" s="119" t="e">
        <f>SUM(#REF!)/15</f>
        <v>#REF!</v>
      </c>
      <c r="CI1004" s="121">
        <v>2006</v>
      </c>
      <c r="CJ1004" s="118"/>
      <c r="CK1004" s="118"/>
      <c r="CL1004" s="118"/>
      <c r="CM1004" s="183"/>
      <c r="CN1004" s="118">
        <f t="shared" si="2990"/>
        <v>15288</v>
      </c>
      <c r="CO1004" s="118">
        <f t="shared" si="2970"/>
        <v>33.156527960394044</v>
      </c>
      <c r="CP1004" s="186">
        <v>0.9555555555555556</v>
      </c>
      <c r="CQ1004" s="118">
        <f>+CQ996*CP1004+CO997*CP1003+CO998*CP1002+CO999*CP1001+CO1000*CP1000+CO1001*CP999+CO1002*CP998+CO1003*CP997+CO1004</f>
        <v>1889.7983022952064</v>
      </c>
      <c r="CR1004" s="119">
        <f t="shared" si="2971"/>
        <v>1.1499404657259973E-2</v>
      </c>
      <c r="CS1004" s="119"/>
      <c r="CT1004" s="177">
        <f t="shared" si="2972"/>
        <v>6.1821535401398444E-3</v>
      </c>
      <c r="CU1004" s="177">
        <f t="shared" si="2980"/>
        <v>5.9873650595434159E-3</v>
      </c>
      <c r="CV1004" s="119">
        <f>VLOOKUP($H1004,RoR!$E:$F,2,FALSE)</f>
        <v>5.5874999999999994E-2</v>
      </c>
      <c r="CW1004" s="177">
        <v>3.0512430354548314E-2</v>
      </c>
      <c r="CX1004" s="177">
        <f t="shared" si="2978"/>
        <v>2.536256964545168E-2</v>
      </c>
      <c r="CY1004" s="177">
        <f t="shared" si="2981"/>
        <v>2.4914576548990208E-2</v>
      </c>
      <c r="CZ1004" s="177">
        <f t="shared" si="2982"/>
        <v>7.9087823893859641E-2</v>
      </c>
      <c r="DA1004" s="187">
        <f t="shared" si="2973"/>
        <v>0.85131374874999999</v>
      </c>
      <c r="DB1004" s="188">
        <f t="shared" si="2974"/>
        <v>0.91779957551769631</v>
      </c>
      <c r="DC1004" s="188">
        <f t="shared" si="2975"/>
        <v>0.52757270693512304</v>
      </c>
      <c r="DD1004" s="188">
        <f t="shared" si="2976"/>
        <v>0.88636824549024895</v>
      </c>
      <c r="DE1004" s="188">
        <f t="shared" si="2977"/>
        <v>0.42918482841932087</v>
      </c>
      <c r="DF1004" s="189">
        <f>INDEX('State Tax Lookup'!$D$7:$Z$91,MATCH(Calculation!$C1004,'State Tax Lookup'!$B$7:$B$91,0),MATCH($H1004,'State Tax Lookup'!$D$6:$Z$6,0))</f>
        <v>0.39649667</v>
      </c>
      <c r="DG1004" s="189">
        <v>0.375</v>
      </c>
      <c r="DH1004" s="190">
        <f t="shared" si="2979"/>
        <v>16.093290846522546</v>
      </c>
      <c r="DI1004" s="190">
        <v>15.625496603849191</v>
      </c>
      <c r="DJ1004" s="177"/>
      <c r="DK1004" s="189">
        <f>VLOOKUP($H1004,RoR!$E:$F,2,FALSE)</f>
        <v>5.5874999999999994E-2</v>
      </c>
      <c r="DL1004" s="191">
        <f>HLOOKUP($H1004,'GDP-PI'!$D$8:$CQ$11,3,FALSE)</f>
        <v>3.0512430354548314E-2</v>
      </c>
      <c r="DM1004" s="189">
        <f>VLOOKUP(H1004,'HW Dx Data'!$E:$F,2,FALSE)</f>
        <v>461.08567272971823</v>
      </c>
      <c r="DN1004" s="183">
        <f>VLOOKUP(H1004,'ECI - Input Price'!$G$17:$H$37,2,FALSE)</f>
        <v>102.05</v>
      </c>
      <c r="DO1004" s="177">
        <f t="shared" ref="DO1004" si="3001">LN(DN1004/DN1003)</f>
        <v>2.8829034290048662E-2</v>
      </c>
      <c r="DP1004" s="183">
        <f>HLOOKUP(H1004,'GDP-PI'!$8:$9,2,FALSE)</f>
        <v>90.073999999999998</v>
      </c>
      <c r="DQ1004" s="177">
        <f t="shared" ref="DQ1004" si="3002">LN(DP1004/DP1003)</f>
        <v>3.005618372545445E-2</v>
      </c>
    </row>
    <row r="1005" spans="1:121" s="167" customFormat="1" ht="21" x14ac:dyDescent="0.35">
      <c r="A1005" s="167" t="s">
        <v>98</v>
      </c>
      <c r="B1005" s="167" t="s">
        <v>99</v>
      </c>
      <c r="C1005" s="167">
        <v>4057096</v>
      </c>
      <c r="D1005" s="168" t="s">
        <v>136</v>
      </c>
      <c r="E1005" s="168" t="s">
        <v>126</v>
      </c>
      <c r="F1005" s="198"/>
      <c r="G1005" s="167" t="s">
        <v>13</v>
      </c>
      <c r="H1005" s="169">
        <v>2007</v>
      </c>
      <c r="I1005" s="170"/>
      <c r="J1005" s="166">
        <f>IFERROR(INDEX('Labor Expenditures'!$F$7:$X$91,MATCH($C1005,'Labor Expenditures'!$D$7:$D$91,0),MATCH($G1005,'Labor Expenditures'!$F$5:$X$5,0)),"NA")</f>
        <v>19355.042196651841</v>
      </c>
      <c r="K1005" s="166">
        <f t="shared" si="2985"/>
        <v>183.93957896556748</v>
      </c>
      <c r="L1005" s="172">
        <f t="shared" si="2993"/>
        <v>-2.7958133210286623E-3</v>
      </c>
      <c r="M1005" s="172">
        <f t="shared" si="2997"/>
        <v>-2.6629347321943421E-5</v>
      </c>
      <c r="N1005" s="196"/>
      <c r="O1005" s="172"/>
      <c r="P1005" s="166">
        <f>IFERROR(INDEX('Non-Labor Expenditures'!$F$7:$AB$91,MATCH($C1005,'Non-Labor Expenditures'!$D$7:$D$91,0),MATCH($G1005,'Non-Labor Expenditures'!$F$5:$AB$5,0)),"NA")</f>
        <v>28029.716123979721</v>
      </c>
      <c r="Q1005" s="166">
        <f t="shared" si="2986"/>
        <v>303.03051010810742</v>
      </c>
      <c r="R1005" s="172">
        <f t="shared" si="2998"/>
        <v>1.2867441297141082E-3</v>
      </c>
      <c r="S1005" s="172">
        <f t="shared" ref="S1005:S1019" si="3003">+R1005*AR1005</f>
        <v>1.2255881351914312E-5</v>
      </c>
      <c r="T1005" s="172"/>
      <c r="U1005" s="172"/>
      <c r="V1005" s="166">
        <f t="shared" si="2968"/>
        <v>32641.575332245659</v>
      </c>
      <c r="W1005" s="170"/>
      <c r="X1005" s="174">
        <v>1911.0926874042643</v>
      </c>
      <c r="Y1005" s="175">
        <v>1.1205061110580847E-2</v>
      </c>
      <c r="Z1005" s="175">
        <f t="shared" ref="Z1005:Z1019" si="3004">+Y1005*AR1005</f>
        <v>1.0672510279315587E-4</v>
      </c>
      <c r="AA1005" s="175"/>
      <c r="AB1005" s="175"/>
      <c r="AC1005" s="170">
        <f t="shared" si="2863"/>
        <v>80026.33365287722</v>
      </c>
      <c r="AD1005" s="175">
        <f t="shared" si="2999"/>
        <v>4.9663760887494413E-2</v>
      </c>
      <c r="AE1005" s="170"/>
      <c r="AF1005" s="170"/>
      <c r="AG1005" s="121">
        <f t="shared" si="3000"/>
        <v>269.92971876803205</v>
      </c>
      <c r="AH1005" s="119">
        <f>+AZ1005/$BB$45</f>
        <v>8.370162247311368E-3</v>
      </c>
      <c r="AI1005" s="119">
        <f>+AZ1005/$BC$45</f>
        <v>3.6209061895705989E-2</v>
      </c>
      <c r="AJ1005" s="176">
        <f t="shared" ref="AJ1005:AJ1019" si="3005">+AH1005*AG1005</f>
        <v>2.2593555414595565</v>
      </c>
      <c r="AK1005" s="176">
        <f t="shared" ref="AK1005:AK1019" si="3006">+AI1005*AG1005</f>
        <v>9.7739018943621829</v>
      </c>
      <c r="AL1005" s="120">
        <f t="shared" si="2987"/>
        <v>0.24185841476390016</v>
      </c>
      <c r="AM1005" s="120">
        <f t="shared" si="2988"/>
        <v>0.35025615749887545</v>
      </c>
      <c r="AN1005" s="120">
        <f t="shared" si="2989"/>
        <v>0.40788542773722436</v>
      </c>
      <c r="AO1005" s="120">
        <f t="shared" si="2994"/>
        <v>4.2692076915034445E-3</v>
      </c>
      <c r="AP1005" s="173">
        <f>+AP1004*EXP(AO1005)</f>
        <v>90.199749113105824</v>
      </c>
      <c r="AQ1005" s="175">
        <f>LN(AP1005/AP1004)</f>
        <v>4.2692076915033664E-3</v>
      </c>
      <c r="AR1005" s="177">
        <f>+AC1005/$AE$45</f>
        <v>9.5247229568767126E-3</v>
      </c>
      <c r="AS1005" s="177">
        <f t="shared" ref="AS1005:AS1019" si="3007">+AR1005*AQ1005</f>
        <v>4.0663020506936745E-5</v>
      </c>
      <c r="AT1005" s="177"/>
      <c r="AU1005" s="177"/>
      <c r="AV1005" s="177"/>
      <c r="AW1005" s="190"/>
      <c r="AX1005" s="120"/>
      <c r="AY1005" s="120"/>
      <c r="AZ1005" s="118">
        <f>IFERROR(INDEX('Total Customers'!$F$7:$AB$91,MATCH($C1005,'Total Customers'!$D$7:$D$91,0),MATCH($G1005,'Total Customers'!$F$5:$AB$5,0)),"NA")</f>
        <v>296471</v>
      </c>
      <c r="BA1005" s="119">
        <f t="shared" si="2969"/>
        <v>3.7070559226543018E-3</v>
      </c>
      <c r="BB1005" s="119"/>
      <c r="BC1005" s="121">
        <v>8187757</v>
      </c>
      <c r="BD1005" s="119"/>
      <c r="BE1005" s="119"/>
      <c r="BF1005" s="119"/>
      <c r="BG1005" s="173"/>
      <c r="BH1005" s="173"/>
      <c r="BI1005" s="173"/>
      <c r="BJ1005" s="173"/>
      <c r="BK1005" s="173"/>
      <c r="BL1005" s="173"/>
      <c r="BM1005" s="173"/>
      <c r="BN1005" s="173"/>
      <c r="BO1005" s="173"/>
      <c r="BP1005" s="173"/>
      <c r="BQ1005" s="118"/>
      <c r="BR1005" s="118"/>
      <c r="BS1005" s="118">
        <f>INDEX('Dist. Plant Gas Additions'!$F$7:$AE$91,MATCH($C1005,'Dist. Plant Gas Additions'!$D$7:$D$91,0),MATCH(Calculation!$G1005,'Dist. Plant Gas Additions'!$F$5:$AE$5,0))</f>
        <v>16470</v>
      </c>
      <c r="BT1005" s="118">
        <f>INDEX('Gen. Plant Additions'!$F$7:$AE$91,MATCH($C1005,'Gen. Plant Additions'!$D$7:$D$91,0),MATCH(Calculation!$G1005,'Gen. Plant Additions'!$F$5:$AE$5,0))</f>
        <v>161</v>
      </c>
      <c r="BU1005" s="118"/>
      <c r="BV1005" s="118"/>
      <c r="BW1005" s="118">
        <f>INDEX('Dist Plant Depreciation'!$E$7:$AD$94,MATCH($C1005,'Dist Plant Depreciation'!$D$7:$D$94,0),MATCH(Calculation!$G1005,'Dist Plant Depreciation'!$E$5:$AD$5,0))</f>
        <v>215621</v>
      </c>
      <c r="BX1005" s="118">
        <f>INDEX('Gen. Plant Depreciation'!$E$7:$AD$94,MATCH($C1005,'Gen. Plant Depreciation'!$D$7:$D$94,0),MATCH(Calculation!$G1005,'Gen. Plant Depreciation'!$E$5:$AD$5,0))</f>
        <v>1541</v>
      </c>
      <c r="BY1005" s="118"/>
      <c r="BZ1005" s="118"/>
      <c r="CA1005" s="118"/>
      <c r="CB1005" s="118"/>
      <c r="CC1005" s="118"/>
      <c r="CD1005" s="183"/>
      <c r="CE1005" s="118">
        <f>INDEX('Gross Dx Plant'!$E$7:$AD$91,MATCH($C1005,'Gross Dx Plant'!$D$7:$D$91,0),MATCH(Calculation!$G1005,'Gross Dx Plant'!$E$5:$AD$5,0))</f>
        <v>595544</v>
      </c>
      <c r="CF1005" s="118">
        <f>INDEX('Gross Gen Plant'!$E$7:$AD$91,MATCH($C1005,'Gross Gen Plant'!$D$7:$D$91,0),MATCH(Calculation!$G1005,'Gross Gen Plant'!$E$5:$AD$5,0))</f>
        <v>3543</v>
      </c>
      <c r="CG1005" s="118">
        <f t="shared" si="2806"/>
        <v>381925</v>
      </c>
      <c r="CH1005" s="118"/>
      <c r="CI1005" s="121">
        <v>2007</v>
      </c>
      <c r="CJ1005" s="118"/>
      <c r="CK1005" s="118"/>
      <c r="CL1005" s="118"/>
      <c r="CM1005" s="183"/>
      <c r="CN1005" s="118">
        <f t="shared" si="2990"/>
        <v>16631</v>
      </c>
      <c r="CO1005" s="118">
        <f t="shared" si="2970"/>
        <v>33.394085933804419</v>
      </c>
      <c r="CP1005" s="186">
        <v>0.94915254237288138</v>
      </c>
      <c r="CQ1005" s="118">
        <f>+CQ996*CP1005+CO997*CP1004+CO998*CP1003+CO999*CP1002+CO1000*CP1001+CO1001*CP1000+CO1002*CP999+CO1003*CP998+CO1004*CP997+CO1005</f>
        <v>1911.0926874042643</v>
      </c>
      <c r="CR1005" s="119">
        <f t="shared" si="2971"/>
        <v>1.1205061110580847E-2</v>
      </c>
      <c r="CS1005" s="119"/>
      <c r="CT1005" s="177">
        <f t="shared" si="2972"/>
        <v>6.4026413877349506E-3</v>
      </c>
      <c r="CU1005" s="177">
        <f t="shared" si="2980"/>
        <v>6.1857689911228664E-3</v>
      </c>
      <c r="CV1005" s="119">
        <f>VLOOKUP($H1005,RoR!$E:$F,2,FALSE)</f>
        <v>5.5558333333333321E-2</v>
      </c>
      <c r="CW1005" s="177">
        <v>2.691120634145272E-2</v>
      </c>
      <c r="CX1005" s="177">
        <f t="shared" si="2978"/>
        <v>2.86471269918806E-2</v>
      </c>
      <c r="CY1005" s="177">
        <f t="shared" si="2981"/>
        <v>2.4716172617410759E-2</v>
      </c>
      <c r="CZ1005" s="177">
        <f t="shared" si="2982"/>
        <v>6.4575155250632399E-2</v>
      </c>
      <c r="DA1005" s="187">
        <f t="shared" si="2973"/>
        <v>0.85131374874999999</v>
      </c>
      <c r="DB1005" s="188">
        <f t="shared" si="2974"/>
        <v>0.92303077153834634</v>
      </c>
      <c r="DC1005" s="188">
        <f t="shared" si="2975"/>
        <v>0.52502249887505614</v>
      </c>
      <c r="DD1005" s="188">
        <f t="shared" si="2976"/>
        <v>0.88499666072084604</v>
      </c>
      <c r="DE1005" s="188">
        <f t="shared" si="2977"/>
        <v>0.42887993290280618</v>
      </c>
      <c r="DF1005" s="189">
        <f>INDEX('State Tax Lookup'!$D$7:$Z$91,MATCH(Calculation!$C1005,'State Tax Lookup'!$B$7:$B$91,0),MATCH($H1005,'State Tax Lookup'!$D$6:$Z$6,0))</f>
        <v>0.39649667</v>
      </c>
      <c r="DG1005" s="189">
        <v>0.375</v>
      </c>
      <c r="DH1005" s="190">
        <f t="shared" si="2979"/>
        <v>17.272518073808016</v>
      </c>
      <c r="DI1005" s="190">
        <v>17.009657914833191</v>
      </c>
      <c r="DJ1005" s="177"/>
      <c r="DK1005" s="189">
        <f>VLOOKUP($H1005,RoR!$E:$F,2,FALSE)</f>
        <v>5.5558333333333321E-2</v>
      </c>
      <c r="DL1005" s="191">
        <f>HLOOKUP($H1005,'GDP-PI'!$D$8:$CQ$11,3,FALSE)</f>
        <v>2.691120634145272E-2</v>
      </c>
      <c r="DM1005" s="189">
        <f>VLOOKUP(H1005,'HW Dx Data'!$E:$F,2,FALSE)</f>
        <v>498.0223154772637</v>
      </c>
      <c r="DN1005" s="183">
        <f>VLOOKUP(H1005,'ECI - Input Price'!$G$17:$H$37,2,FALSE)</f>
        <v>105.22500000000001</v>
      </c>
      <c r="DO1005" s="177">
        <f t="shared" ref="DO1005" si="3008">LN(DN1005/DN1004)</f>
        <v>3.0638025400780679E-2</v>
      </c>
      <c r="DP1005" s="183">
        <f>HLOOKUP(H1005,'GDP-PI'!$8:$9,2,FALSE)</f>
        <v>92.498000000000005</v>
      </c>
      <c r="DQ1005" s="177">
        <f t="shared" ref="DQ1005" si="3009">LN(DP1005/DP1004)</f>
        <v>2.6555467950038037E-2</v>
      </c>
    </row>
    <row r="1006" spans="1:121" s="167" customFormat="1" ht="21" x14ac:dyDescent="0.35">
      <c r="A1006" s="167" t="s">
        <v>98</v>
      </c>
      <c r="B1006" s="167" t="s">
        <v>99</v>
      </c>
      <c r="C1006" s="167">
        <v>4057096</v>
      </c>
      <c r="D1006" s="168" t="s">
        <v>136</v>
      </c>
      <c r="E1006" s="168" t="s">
        <v>126</v>
      </c>
      <c r="F1006" s="198"/>
      <c r="G1006" s="167" t="s">
        <v>14</v>
      </c>
      <c r="H1006" s="169">
        <v>2008</v>
      </c>
      <c r="I1006" s="170"/>
      <c r="J1006" s="166">
        <f>IFERROR(INDEX('Labor Expenditures'!$F$7:$X$91,MATCH($C1006,'Labor Expenditures'!$D$7:$D$91,0),MATCH($G1006,'Labor Expenditures'!$F$5:$X$5,0)),"NA")</f>
        <v>18161.188678995128</v>
      </c>
      <c r="K1006" s="166">
        <f t="shared" si="2985"/>
        <v>167.80955120346619</v>
      </c>
      <c r="L1006" s="172">
        <f t="shared" si="2993"/>
        <v>-9.1777615918015878E-2</v>
      </c>
      <c r="M1006" s="172">
        <f t="shared" si="2997"/>
        <v>-8.3694025924349591E-4</v>
      </c>
      <c r="N1006" s="196"/>
      <c r="O1006" s="172"/>
      <c r="P1006" s="166">
        <f>IFERROR(INDEX('Non-Labor Expenditures'!$F$7:$AB$91,MATCH($C1006,'Non-Labor Expenditures'!$D$7:$D$91,0),MATCH($G1006,'Non-Labor Expenditures'!$F$5:$AB$5,0)),"NA")</f>
        <v>26300.793249333601</v>
      </c>
      <c r="Q1006" s="166">
        <f t="shared" si="2986"/>
        <v>279.01206451385048</v>
      </c>
      <c r="R1006" s="172">
        <f t="shared" si="2998"/>
        <v>-8.2578470994638373E-2</v>
      </c>
      <c r="S1006" s="172">
        <f t="shared" si="3003"/>
        <v>-7.5305123401682602E-4</v>
      </c>
      <c r="T1006" s="172"/>
      <c r="U1006" s="172"/>
      <c r="V1006" s="166">
        <f t="shared" si="2968"/>
        <v>37447.265916119897</v>
      </c>
      <c r="W1006" s="170"/>
      <c r="X1006" s="174">
        <v>1936.4757324922043</v>
      </c>
      <c r="Y1006" s="175">
        <v>1.3194522135896947E-2</v>
      </c>
      <c r="Z1006" s="175">
        <f t="shared" si="3004"/>
        <v>1.2032374851484782E-4</v>
      </c>
      <c r="AA1006" s="175"/>
      <c r="AB1006" s="175"/>
      <c r="AC1006" s="170">
        <f t="shared" si="2863"/>
        <v>81909.247844448633</v>
      </c>
      <c r="AD1006" s="175">
        <f t="shared" si="2999"/>
        <v>2.3256149608022296E-2</v>
      </c>
      <c r="AE1006" s="170"/>
      <c r="AF1006" s="170"/>
      <c r="AG1006" s="121">
        <f t="shared" si="3000"/>
        <v>275.06908809091578</v>
      </c>
      <c r="AH1006" s="119">
        <f>+AZ1006/$BB$46</f>
        <v>8.3622087889515615E-3</v>
      </c>
      <c r="AI1006" s="119">
        <f>+AZ1006/$BC$46</f>
        <v>3.6119982431086835E-2</v>
      </c>
      <c r="AJ1006" s="176">
        <f t="shared" si="3005"/>
        <v>2.3001851460027471</v>
      </c>
      <c r="AK1006" s="176">
        <f t="shared" si="3006"/>
        <v>9.9354906291789558</v>
      </c>
      <c r="AL1006" s="120">
        <f t="shared" si="2987"/>
        <v>0.2217232993456916</v>
      </c>
      <c r="AM1006" s="120">
        <f t="shared" si="2988"/>
        <v>0.32109674965250123</v>
      </c>
      <c r="AN1006" s="120">
        <f t="shared" si="2989"/>
        <v>0.45717995100180708</v>
      </c>
      <c r="AO1006" s="120">
        <f t="shared" si="2994"/>
        <v>-4.3285798392880714E-2</v>
      </c>
      <c r="AP1006" s="173">
        <f t="shared" ref="AP1006:AP1019" si="3010">+AP1005*EXP(AO1006)</f>
        <v>86.378676641596883</v>
      </c>
      <c r="AQ1006" s="175">
        <f t="shared" ref="AQ1006:AQ1019" si="3011">LN(AP1006/AP1005)</f>
        <v>-4.3285798392880659E-2</v>
      </c>
      <c r="AR1006" s="177">
        <f>+AC1006/$AE$46</f>
        <v>9.1192198759131766E-3</v>
      </c>
      <c r="AS1006" s="177">
        <f t="shared" si="3007"/>
        <v>-3.9473271304912795E-4</v>
      </c>
      <c r="AT1006" s="177"/>
      <c r="AU1006" s="177"/>
      <c r="AV1006" s="177"/>
      <c r="AW1006" s="190"/>
      <c r="AX1006" s="120"/>
      <c r="AY1006" s="120"/>
      <c r="AZ1006" s="118">
        <f>IFERROR(INDEX('Total Customers'!$F$7:$AB$91,MATCH($C1006,'Total Customers'!$D$7:$D$91,0),MATCH($G1006,'Total Customers'!$F$5:$AB$5,0)),"NA")</f>
        <v>297777</v>
      </c>
      <c r="BA1006" s="119">
        <f t="shared" si="2969"/>
        <v>4.3954783278506498E-3</v>
      </c>
      <c r="BB1006" s="119"/>
      <c r="BC1006" s="121">
        <v>8244107</v>
      </c>
      <c r="BD1006" s="119"/>
      <c r="BE1006" s="119"/>
      <c r="BF1006" s="119"/>
      <c r="BG1006" s="173"/>
      <c r="BH1006" s="173"/>
      <c r="BI1006" s="173"/>
      <c r="BJ1006" s="173"/>
      <c r="BK1006" s="173"/>
      <c r="BL1006" s="173"/>
      <c r="BM1006" s="173"/>
      <c r="BN1006" s="173"/>
      <c r="BO1006" s="173"/>
      <c r="BP1006" s="173"/>
      <c r="BQ1006" s="118"/>
      <c r="BR1006" s="118"/>
      <c r="BS1006" s="118">
        <f>INDEX('Dist. Plant Gas Additions'!$F$7:$AE$91,MATCH($C1006,'Dist. Plant Gas Additions'!$D$7:$D$91,0),MATCH(Calculation!$G1006,'Dist. Plant Gas Additions'!$F$5:$AE$5,0))</f>
        <v>21592</v>
      </c>
      <c r="BT1006" s="118">
        <f>INDEX('Gen. Plant Additions'!$F$7:$AE$91,MATCH($C1006,'Gen. Plant Additions'!$D$7:$D$91,0),MATCH(Calculation!$G1006,'Gen. Plant Additions'!$F$5:$AE$5,0))</f>
        <v>97</v>
      </c>
      <c r="BU1006" s="118"/>
      <c r="BV1006" s="118"/>
      <c r="BW1006" s="118">
        <f>INDEX('Dist Plant Depreciation'!$E$7:$AD$94,MATCH($C1006,'Dist Plant Depreciation'!$D$7:$D$94,0),MATCH(Calculation!$G1006,'Dist Plant Depreciation'!$E$5:$AD$5,0))</f>
        <v>221065</v>
      </c>
      <c r="BX1006" s="118">
        <f>INDEX('Gen. Plant Depreciation'!$E$7:$AD$94,MATCH($C1006,'Gen. Plant Depreciation'!$D$7:$D$94,0),MATCH(Calculation!$G1006,'Gen. Plant Depreciation'!$E$5:$AD$5,0))</f>
        <v>1675</v>
      </c>
      <c r="BY1006" s="118"/>
      <c r="BZ1006" s="118"/>
      <c r="CA1006" s="118"/>
      <c r="CB1006" s="118"/>
      <c r="CC1006" s="118"/>
      <c r="CD1006" s="183"/>
      <c r="CE1006" s="118">
        <f>INDEX('Gross Dx Plant'!$E$7:$AD$91,MATCH($C1006,'Gross Dx Plant'!$D$7:$D$91,0),MATCH(Calculation!$G1006,'Gross Dx Plant'!$E$5:$AD$5,0))</f>
        <v>609603</v>
      </c>
      <c r="CF1006" s="118">
        <f>INDEX('Gross Gen Plant'!$E$7:$AD$91,MATCH($C1006,'Gross Gen Plant'!$D$7:$D$91,0),MATCH(Calculation!$G1006,'Gross Gen Plant'!$E$5:$AD$5,0))</f>
        <v>3640</v>
      </c>
      <c r="CG1006" s="118">
        <f t="shared" si="2806"/>
        <v>390503</v>
      </c>
      <c r="CH1006" s="118"/>
      <c r="CI1006" s="121">
        <v>2008</v>
      </c>
      <c r="CJ1006" s="118"/>
      <c r="CK1006" s="118"/>
      <c r="CL1006" s="118"/>
      <c r="CM1006" s="183"/>
      <c r="CN1006" s="118">
        <f t="shared" si="2990"/>
        <v>21689</v>
      </c>
      <c r="CO1006" s="118">
        <f t="shared" si="2970"/>
        <v>38.058809227376045</v>
      </c>
      <c r="CP1006" s="186">
        <v>0.94252873563218387</v>
      </c>
      <c r="CQ1006" s="118">
        <f>+CQ996*CP1006+CO997*CP1005+CO998*CP1004+CO999*CP1003+CO1000*CP1002+CO1001*CP1001+CO1002*CP1000+CO1003*CP999+CO1004*CP998+CO1005*CP997+CO1006</f>
        <v>1936.4757324922043</v>
      </c>
      <c r="CR1006" s="119">
        <f t="shared" si="2971"/>
        <v>1.3194522135896947E-2</v>
      </c>
      <c r="CS1006" s="119"/>
      <c r="CT1006" s="177">
        <f t="shared" si="2972"/>
        <v>6.6327312238596194E-3</v>
      </c>
      <c r="CU1006" s="177">
        <f t="shared" si="2980"/>
        <v>6.4058420505781382E-3</v>
      </c>
      <c r="CV1006" s="119">
        <f>VLOOKUP($H1006,RoR!$E:$F,2,FALSE)</f>
        <v>5.6316666666666668E-2</v>
      </c>
      <c r="CW1006" s="177">
        <v>1.9092304698479889E-2</v>
      </c>
      <c r="CX1006" s="177">
        <f t="shared" si="2978"/>
        <v>3.7224361968186778E-2</v>
      </c>
      <c r="CY1006" s="177">
        <f t="shared" si="2981"/>
        <v>2.4496099557955488E-2</v>
      </c>
      <c r="CZ1006" s="177">
        <f t="shared" si="2982"/>
        <v>6.9030581091053131E-2</v>
      </c>
      <c r="DA1006" s="187">
        <f t="shared" si="2973"/>
        <v>0.85131374874999999</v>
      </c>
      <c r="DB1006" s="188">
        <f t="shared" si="2974"/>
        <v>0.91060168006009956</v>
      </c>
      <c r="DC1006" s="188">
        <f t="shared" si="2975"/>
        <v>0.53108168097070152</v>
      </c>
      <c r="DD1006" s="188">
        <f t="shared" si="2976"/>
        <v>0.88825329850328805</v>
      </c>
      <c r="DE1006" s="188">
        <f t="shared" si="2977"/>
        <v>0.4295627335323573</v>
      </c>
      <c r="DF1006" s="189">
        <f>INDEX('State Tax Lookup'!$D$7:$Z$91,MATCH(Calculation!$C1006,'State Tax Lookup'!$B$7:$B$91,0),MATCH($H1006,'State Tax Lookup'!$D$6:$Z$6,0))</f>
        <v>0.39649667</v>
      </c>
      <c r="DG1006" s="189">
        <v>0.375</v>
      </c>
      <c r="DH1006" s="190">
        <f t="shared" si="2979"/>
        <v>19.594688506177338</v>
      </c>
      <c r="DI1006" s="190">
        <v>19.301267185001603</v>
      </c>
      <c r="DJ1006" s="177"/>
      <c r="DK1006" s="189">
        <f>VLOOKUP($H1006,RoR!$E:$F,2,FALSE)</f>
        <v>5.6316666666666668E-2</v>
      </c>
      <c r="DL1006" s="191">
        <f>HLOOKUP($H1006,'GDP-PI'!$D$8:$CQ$11,3,FALSE)</f>
        <v>1.9092304698479889E-2</v>
      </c>
      <c r="DM1006" s="189">
        <f>VLOOKUP(H1006,'HW Dx Data'!$E:$F,2,FALSE)</f>
        <v>569.88120333515076</v>
      </c>
      <c r="DN1006" s="183">
        <f>VLOOKUP(H1006,'ECI - Input Price'!$G$17:$H$37,2,FALSE)</f>
        <v>108.22499999999999</v>
      </c>
      <c r="DO1006" s="177">
        <f t="shared" ref="DO1006" si="3012">LN(DN1006/DN1005)</f>
        <v>2.8111478671409691E-2</v>
      </c>
      <c r="DP1006" s="183">
        <f>HLOOKUP(H1006,'GDP-PI'!$8:$9,2,FALSE)</f>
        <v>94.263999999999996</v>
      </c>
      <c r="DQ1006" s="177">
        <f t="shared" ref="DQ1006" si="3013">LN(DP1006/DP1005)</f>
        <v>1.8912333748032254E-2</v>
      </c>
    </row>
    <row r="1007" spans="1:121" s="167" customFormat="1" ht="21" x14ac:dyDescent="0.35">
      <c r="A1007" s="167" t="s">
        <v>98</v>
      </c>
      <c r="B1007" s="167" t="s">
        <v>99</v>
      </c>
      <c r="C1007" s="167">
        <v>4057096</v>
      </c>
      <c r="D1007" s="168" t="s">
        <v>136</v>
      </c>
      <c r="E1007" s="168" t="s">
        <v>126</v>
      </c>
      <c r="F1007" s="198"/>
      <c r="G1007" s="167" t="s">
        <v>15</v>
      </c>
      <c r="H1007" s="169">
        <v>2009</v>
      </c>
      <c r="I1007" s="170"/>
      <c r="J1007" s="166">
        <f>IFERROR(INDEX('Labor Expenditures'!$F$7:$X$91,MATCH($C1007,'Labor Expenditures'!$D$7:$D$91,0),MATCH($G1007,'Labor Expenditures'!$F$5:$X$5,0)),"NA")</f>
        <v>22462.096371369928</v>
      </c>
      <c r="K1007" s="166">
        <f t="shared" si="2985"/>
        <v>204.61941581753521</v>
      </c>
      <c r="L1007" s="172">
        <f t="shared" si="2993"/>
        <v>0.19832203290713377</v>
      </c>
      <c r="M1007" s="172">
        <f t="shared" si="2997"/>
        <v>1.9334717189150104E-3</v>
      </c>
      <c r="N1007" s="196"/>
      <c r="O1007" s="172"/>
      <c r="P1007" s="166">
        <f>IFERROR(INDEX('Non-Labor Expenditures'!$F$7:$AB$91,MATCH($C1007,'Non-Labor Expenditures'!$D$7:$D$91,0),MATCH($G1007,'Non-Labor Expenditures'!$F$5:$AB$5,0)),"NA")</f>
        <v>32529.310886642623</v>
      </c>
      <c r="Q1007" s="166">
        <f t="shared" si="2986"/>
        <v>342.41740320048234</v>
      </c>
      <c r="R1007" s="172">
        <f t="shared" si="2998"/>
        <v>0.20477544720856086</v>
      </c>
      <c r="S1007" s="172">
        <f t="shared" si="3003"/>
        <v>1.996387038304126E-3</v>
      </c>
      <c r="T1007" s="172"/>
      <c r="U1007" s="172"/>
      <c r="V1007" s="166">
        <f t="shared" si="2968"/>
        <v>36347.284882062362</v>
      </c>
      <c r="W1007" s="170"/>
      <c r="X1007" s="174">
        <v>1948.1172441736874</v>
      </c>
      <c r="Y1007" s="175">
        <v>5.9937020957652968E-3</v>
      </c>
      <c r="Z1007" s="175">
        <f t="shared" si="3004"/>
        <v>5.8433515045654706E-5</v>
      </c>
      <c r="AA1007" s="175"/>
      <c r="AB1007" s="175"/>
      <c r="AC1007" s="170">
        <f t="shared" si="2863"/>
        <v>91338.692140074912</v>
      </c>
      <c r="AD1007" s="175">
        <f t="shared" si="2999"/>
        <v>0.10896258828718414</v>
      </c>
      <c r="AE1007" s="170"/>
      <c r="AF1007" s="170"/>
      <c r="AG1007" s="121">
        <f t="shared" si="3000"/>
        <v>305.3478157994013</v>
      </c>
      <c r="AH1007" s="119">
        <f>+AZ1007/$BB$47</f>
        <v>8.3880835309279225E-3</v>
      </c>
      <c r="AI1007" s="119">
        <f>+AZ1007/$BC$47</f>
        <v>3.5880621993155178E-2</v>
      </c>
      <c r="AJ1007" s="176">
        <f t="shared" si="3005"/>
        <v>2.5612829849117711</v>
      </c>
      <c r="AK1007" s="176">
        <f t="shared" si="3006"/>
        <v>10.956069555133894</v>
      </c>
      <c r="AL1007" s="120">
        <f t="shared" si="2987"/>
        <v>0.2459209327950807</v>
      </c>
      <c r="AM1007" s="120">
        <f t="shared" si="2988"/>
        <v>0.35613944238172823</v>
      </c>
      <c r="AN1007" s="120">
        <f t="shared" si="2989"/>
        <v>0.39793962482319106</v>
      </c>
      <c r="AO1007" s="120">
        <f t="shared" si="2994"/>
        <v>0.11827541543941895</v>
      </c>
      <c r="AP1007" s="173">
        <f t="shared" si="3010"/>
        <v>97.223870506623371</v>
      </c>
      <c r="AQ1007" s="175">
        <f t="shared" si="3011"/>
        <v>0.11827541543941894</v>
      </c>
      <c r="AR1007" s="177">
        <f>+AC1007/$AE$47</f>
        <v>9.7491523789511453E-3</v>
      </c>
      <c r="AS1007" s="177">
        <f t="shared" si="3007"/>
        <v>1.1530850478026463E-3</v>
      </c>
      <c r="AT1007" s="177"/>
      <c r="AU1007" s="177"/>
      <c r="AV1007" s="177"/>
      <c r="AW1007" s="190"/>
      <c r="AX1007" s="120"/>
      <c r="AY1007" s="120"/>
      <c r="AZ1007" s="118">
        <f>IFERROR(INDEX('Total Customers'!$F$7:$AB$91,MATCH($C1007,'Total Customers'!$D$7:$D$91,0),MATCH($G1007,'Total Customers'!$F$5:$AB$5,0)),"NA")</f>
        <v>299130</v>
      </c>
      <c r="BA1007" s="119">
        <f t="shared" si="2969"/>
        <v>4.5333772838379773E-3</v>
      </c>
      <c r="BB1007" s="119"/>
      <c r="BC1007" s="121">
        <v>8336812</v>
      </c>
      <c r="BD1007" s="119"/>
      <c r="BE1007" s="119"/>
      <c r="BF1007" s="119"/>
      <c r="BG1007" s="173"/>
      <c r="BH1007" s="173"/>
      <c r="BI1007" s="173"/>
      <c r="BJ1007" s="173"/>
      <c r="BK1007" s="173"/>
      <c r="BL1007" s="173"/>
      <c r="BM1007" s="173"/>
      <c r="BN1007" s="173"/>
      <c r="BO1007" s="173"/>
      <c r="BP1007" s="173"/>
      <c r="BQ1007" s="118"/>
      <c r="BR1007" s="118"/>
      <c r="BS1007" s="118">
        <f>INDEX('Dist. Plant Gas Additions'!$F$7:$AE$91,MATCH($C1007,'Dist. Plant Gas Additions'!$D$7:$D$91,0),MATCH(Calculation!$G1007,'Dist. Plant Gas Additions'!$F$5:$AE$5,0))</f>
        <v>13647</v>
      </c>
      <c r="BT1007" s="118">
        <f>INDEX('Gen. Plant Additions'!$F$7:$AE$91,MATCH($C1007,'Gen. Plant Additions'!$D$7:$D$91,0),MATCH(Calculation!$G1007,'Gen. Plant Additions'!$F$5:$AE$5,0))</f>
        <v>95</v>
      </c>
      <c r="BU1007" s="118"/>
      <c r="BV1007" s="118"/>
      <c r="BW1007" s="118">
        <f>INDEX('Dist Plant Depreciation'!$E$7:$AD$94,MATCH($C1007,'Dist Plant Depreciation'!$D$7:$D$94,0),MATCH(Calculation!$G1007,'Dist Plant Depreciation'!$E$5:$AD$5,0))</f>
        <v>230003</v>
      </c>
      <c r="BX1007" s="118">
        <f>INDEX('Gen. Plant Depreciation'!$E$7:$AD$94,MATCH($C1007,'Gen. Plant Depreciation'!$D$7:$D$94,0),MATCH(Calculation!$G1007,'Gen. Plant Depreciation'!$E$5:$AD$5,0))</f>
        <v>1969</v>
      </c>
      <c r="BY1007" s="118"/>
      <c r="BZ1007" s="118"/>
      <c r="CA1007" s="118"/>
      <c r="CB1007" s="118"/>
      <c r="CC1007" s="118"/>
      <c r="CD1007" s="183"/>
      <c r="CE1007" s="118">
        <f>INDEX('Gross Dx Plant'!$E$7:$AD$91,MATCH($C1007,'Gross Dx Plant'!$D$7:$D$91,0),MATCH(Calculation!$G1007,'Gross Dx Plant'!$E$5:$AD$5,0))</f>
        <v>616088</v>
      </c>
      <c r="CF1007" s="118">
        <f>INDEX('Gross Gen Plant'!$E$7:$AD$91,MATCH($C1007,'Gross Gen Plant'!$D$7:$D$91,0),MATCH(Calculation!$G1007,'Gross Gen Plant'!$E$5:$AD$5,0))</f>
        <v>3735</v>
      </c>
      <c r="CG1007" s="118">
        <f t="shared" si="2806"/>
        <v>387851</v>
      </c>
      <c r="CH1007" s="118"/>
      <c r="CI1007" s="121">
        <v>2009</v>
      </c>
      <c r="CJ1007" s="118"/>
      <c r="CK1007" s="118"/>
      <c r="CL1007" s="118"/>
      <c r="CM1007" s="183"/>
      <c r="CN1007" s="118">
        <f t="shared" si="2990"/>
        <v>13742</v>
      </c>
      <c r="CO1007" s="118">
        <f t="shared" si="2970"/>
        <v>24.942796160206242</v>
      </c>
      <c r="CP1007" s="186">
        <v>0.93567251461988299</v>
      </c>
      <c r="CQ1007" s="118">
        <f>+CQ996*CP1007+CO997*CP1006+CO998*CP1005+CO999*CP1004+CO1000*CP1003+CO1001*CP1002+CO1002*CP1001+CO1003*CP1000+CO1004*CP999+CO1005*CP998+CO1006*CP997+CO1007</f>
        <v>1948.1172441736874</v>
      </c>
      <c r="CR1007" s="119">
        <f t="shared" si="2971"/>
        <v>5.9937020957652968E-3</v>
      </c>
      <c r="CS1007" s="119"/>
      <c r="CT1007" s="177">
        <f t="shared" si="2972"/>
        <v>6.8688103111959531E-3</v>
      </c>
      <c r="CU1007" s="177">
        <f t="shared" si="2980"/>
        <v>6.6347276409301744E-3</v>
      </c>
      <c r="CV1007" s="119">
        <f>VLOOKUP($H1007,RoR!$E:$F,2,FALSE)</f>
        <v>5.3133333333333324E-2</v>
      </c>
      <c r="CW1007" s="177">
        <v>7.7972502758210105E-3</v>
      </c>
      <c r="CX1007" s="177">
        <f t="shared" si="2978"/>
        <v>4.5336083057512314E-2</v>
      </c>
      <c r="CY1007" s="177">
        <f t="shared" si="2981"/>
        <v>2.4267213967603452E-2</v>
      </c>
      <c r="CZ1007" s="177">
        <f t="shared" si="2982"/>
        <v>6.3720160300892073E-2</v>
      </c>
      <c r="DA1007" s="187">
        <f t="shared" si="2973"/>
        <v>0.85131374874999999</v>
      </c>
      <c r="DB1007" s="188">
        <f t="shared" si="2974"/>
        <v>0.96515780330083989</v>
      </c>
      <c r="DC1007" s="188">
        <f t="shared" si="2975"/>
        <v>0.50448557089084056</v>
      </c>
      <c r="DD1007" s="188">
        <f t="shared" si="2976"/>
        <v>0.87391435735465484</v>
      </c>
      <c r="DE1007" s="188">
        <f t="shared" si="2977"/>
        <v>0.42551605393279146</v>
      </c>
      <c r="DF1007" s="189">
        <f>INDEX('State Tax Lookup'!$D$7:$Z$91,MATCH(Calculation!$C1007,'State Tax Lookup'!$B$7:$B$91,0),MATCH($H1007,'State Tax Lookup'!$D$6:$Z$6,0))</f>
        <v>0.39649667</v>
      </c>
      <c r="DG1007" s="189">
        <v>0.375</v>
      </c>
      <c r="DH1007" s="190">
        <f t="shared" si="2979"/>
        <v>18.769811711135752</v>
      </c>
      <c r="DI1007" s="190">
        <v>18.418460326845395</v>
      </c>
      <c r="DJ1007" s="177"/>
      <c r="DK1007" s="189">
        <f>VLOOKUP($H1007,RoR!$E:$F,2,FALSE)</f>
        <v>5.3133333333333324E-2</v>
      </c>
      <c r="DL1007" s="191">
        <f>HLOOKUP($H1007,'GDP-PI'!$D$8:$CQ$11,3,FALSE)</f>
        <v>7.7972502758210105E-3</v>
      </c>
      <c r="DM1007" s="189">
        <f>VLOOKUP(H1007,'HW Dx Data'!$E:$F,2,FALSE)</f>
        <v>550.94063679692806</v>
      </c>
      <c r="DN1007" s="183">
        <f>VLOOKUP(H1007,'ECI - Input Price'!$G$17:$H$37,2,FALSE)</f>
        <v>109.77499999999999</v>
      </c>
      <c r="DO1007" s="177">
        <f t="shared" ref="DO1007" si="3014">LN(DN1007/DN1006)</f>
        <v>1.4220423119736749E-2</v>
      </c>
      <c r="DP1007" s="183">
        <f>HLOOKUP(H1007,'GDP-PI'!$8:$9,2,FALSE)</f>
        <v>94.998999999999995</v>
      </c>
      <c r="DQ1007" s="177">
        <f t="shared" ref="DQ1007" si="3015">LN(DP1007/DP1006)</f>
        <v>7.7670088183096342E-3</v>
      </c>
    </row>
    <row r="1008" spans="1:121" s="167" customFormat="1" ht="21" x14ac:dyDescent="0.35">
      <c r="A1008" s="167" t="s">
        <v>98</v>
      </c>
      <c r="B1008" s="167" t="s">
        <v>99</v>
      </c>
      <c r="C1008" s="167">
        <v>4057096</v>
      </c>
      <c r="D1008" s="168" t="s">
        <v>136</v>
      </c>
      <c r="E1008" s="168" t="s">
        <v>126</v>
      </c>
      <c r="F1008" s="198"/>
      <c r="G1008" s="167" t="s">
        <v>16</v>
      </c>
      <c r="H1008" s="169">
        <v>2010</v>
      </c>
      <c r="I1008" s="170"/>
      <c r="J1008" s="166">
        <f>IFERROR(INDEX('Labor Expenditures'!$F$7:$X$91,MATCH($C1008,'Labor Expenditures'!$D$7:$D$91,0),MATCH($G1008,'Labor Expenditures'!$F$5:$X$5,0)),"NA")</f>
        <v>22827.250276313236</v>
      </c>
      <c r="K1008" s="166">
        <f t="shared" si="2985"/>
        <v>204.04246057039765</v>
      </c>
      <c r="L1008" s="172">
        <f t="shared" si="2993"/>
        <v>-2.8236332469824725E-3</v>
      </c>
      <c r="M1008" s="172">
        <f t="shared" si="2997"/>
        <v>-2.7133602137477678E-5</v>
      </c>
      <c r="N1008" s="196"/>
      <c r="O1008" s="172"/>
      <c r="P1008" s="166">
        <f>IFERROR(INDEX('Non-Labor Expenditures'!$F$7:$AB$91,MATCH($C1008,'Non-Labor Expenditures'!$D$7:$D$91,0),MATCH($G1008,'Non-Labor Expenditures'!$F$5:$AB$5,0)),"NA")</f>
        <v>33058.121942342317</v>
      </c>
      <c r="Q1008" s="166">
        <f t="shared" si="2986"/>
        <v>343.96489342665433</v>
      </c>
      <c r="R1008" s="172">
        <f t="shared" si="2998"/>
        <v>4.5091280931055305E-3</v>
      </c>
      <c r="S1008" s="172">
        <f t="shared" si="3003"/>
        <v>4.3330304244008764E-5</v>
      </c>
      <c r="T1008" s="172"/>
      <c r="U1008" s="172"/>
      <c r="V1008" s="166">
        <f t="shared" si="2968"/>
        <v>37433.65761252286</v>
      </c>
      <c r="W1008" s="170"/>
      <c r="X1008" s="174">
        <v>1969.6125553827208</v>
      </c>
      <c r="Y1008" s="175">
        <v>1.0973460656127872E-2</v>
      </c>
      <c r="Z1008" s="175">
        <f t="shared" si="3004"/>
        <v>1.0544907552453347E-4</v>
      </c>
      <c r="AA1008" s="175"/>
      <c r="AB1008" s="175"/>
      <c r="AC1008" s="170">
        <f t="shared" si="2863"/>
        <v>93319.029831178414</v>
      </c>
      <c r="AD1008" s="175">
        <f t="shared" si="2999"/>
        <v>2.144956188280164E-2</v>
      </c>
      <c r="AE1008" s="170"/>
      <c r="AF1008" s="170"/>
      <c r="AG1008" s="121">
        <f t="shared" si="3000"/>
        <v>309.73158694672378</v>
      </c>
      <c r="AH1008" s="119">
        <f>+AZ1008/$BB$48</f>
        <v>8.4021425447400305E-3</v>
      </c>
      <c r="AI1008" s="119">
        <f>+AZ1008/$BC$48</f>
        <v>3.5853170147800172E-2</v>
      </c>
      <c r="AJ1008" s="176">
        <f t="shared" si="3005"/>
        <v>2.6024089441349139</v>
      </c>
      <c r="AK1008" s="176">
        <f t="shared" si="3006"/>
        <v>11.104859286949051</v>
      </c>
      <c r="AL1008" s="120">
        <f t="shared" si="2987"/>
        <v>0.24461516924907553</v>
      </c>
      <c r="AM1008" s="120">
        <f t="shared" si="2988"/>
        <v>0.35424845288412343</v>
      </c>
      <c r="AN1008" s="120">
        <f t="shared" si="2989"/>
        <v>0.40113637786680101</v>
      </c>
      <c r="AO1008" s="120">
        <f t="shared" si="2994"/>
        <v>5.293382522871426E-3</v>
      </c>
      <c r="AP1008" s="173">
        <f t="shared" si="3010"/>
        <v>97.739878151620971</v>
      </c>
      <c r="AQ1008" s="175">
        <f t="shared" si="3011"/>
        <v>5.2933825228714459E-3</v>
      </c>
      <c r="AR1008" s="177">
        <f>+AC1008/$AE$48</f>
        <v>9.6094640359099398E-3</v>
      </c>
      <c r="AS1008" s="177">
        <f t="shared" si="3007"/>
        <v>5.0866568981847386E-5</v>
      </c>
      <c r="AT1008" s="177"/>
      <c r="AU1008" s="177"/>
      <c r="AV1008" s="177"/>
      <c r="AW1008" s="190"/>
      <c r="AX1008" s="120"/>
      <c r="AY1008" s="120"/>
      <c r="AZ1008" s="118">
        <f>IFERROR(INDEX('Total Customers'!$F$7:$AB$91,MATCH($C1008,'Total Customers'!$D$7:$D$91,0),MATCH($G1008,'Total Customers'!$F$5:$AB$5,0)),"NA")</f>
        <v>301290</v>
      </c>
      <c r="BA1008" s="119">
        <f t="shared" si="2969"/>
        <v>7.19499456454598E-3</v>
      </c>
      <c r="BB1008" s="119"/>
      <c r="BC1008" s="121">
        <v>8403441</v>
      </c>
      <c r="BD1008" s="119"/>
      <c r="BE1008" s="119"/>
      <c r="BF1008" s="119"/>
      <c r="BG1008" s="173"/>
      <c r="BH1008" s="173"/>
      <c r="BI1008" s="173"/>
      <c r="BJ1008" s="173"/>
      <c r="BK1008" s="173"/>
      <c r="BL1008" s="173"/>
      <c r="BM1008" s="173"/>
      <c r="BN1008" s="173"/>
      <c r="BO1008" s="173"/>
      <c r="BP1008" s="173"/>
      <c r="BQ1008" s="118"/>
      <c r="BR1008" s="118"/>
      <c r="BS1008" s="118">
        <f>INDEX('Dist. Plant Gas Additions'!$F$7:$AE$91,MATCH($C1008,'Dist. Plant Gas Additions'!$D$7:$D$91,0),MATCH(Calculation!$G1008,'Dist. Plant Gas Additions'!$F$5:$AE$5,0))</f>
        <v>20074</v>
      </c>
      <c r="BT1008" s="118">
        <f>INDEX('Gen. Plant Additions'!$F$7:$AE$91,MATCH($C1008,'Gen. Plant Additions'!$D$7:$D$91,0),MATCH(Calculation!$G1008,'Gen. Plant Additions'!$F$5:$AE$5,0))</f>
        <v>60</v>
      </c>
      <c r="BU1008" s="118"/>
      <c r="BV1008" s="118"/>
      <c r="BW1008" s="118">
        <f>INDEX('Dist Plant Depreciation'!$E$7:$AD$94,MATCH($C1008,'Dist Plant Depreciation'!$D$7:$D$94,0),MATCH(Calculation!$G1008,'Dist Plant Depreciation'!$E$5:$AD$5,0))</f>
        <v>241400</v>
      </c>
      <c r="BX1008" s="118">
        <f>INDEX('Gen. Plant Depreciation'!$E$7:$AD$94,MATCH($C1008,'Gen. Plant Depreciation'!$D$7:$D$94,0),MATCH(Calculation!$G1008,'Gen. Plant Depreciation'!$E$5:$AD$5,0))</f>
        <v>2040</v>
      </c>
      <c r="BY1008" s="118"/>
      <c r="BZ1008" s="118"/>
      <c r="CA1008" s="118"/>
      <c r="CB1008" s="118"/>
      <c r="CC1008" s="118"/>
      <c r="CD1008" s="183"/>
      <c r="CE1008" s="118">
        <f>INDEX('Gross Dx Plant'!$E$7:$AD$91,MATCH($C1008,'Gross Dx Plant'!$D$7:$D$91,0),MATCH(Calculation!$G1008,'Gross Dx Plant'!$E$5:$AD$5,0))</f>
        <v>633956</v>
      </c>
      <c r="CF1008" s="118">
        <f>INDEX('Gross Gen Plant'!$E$7:$AD$91,MATCH($C1008,'Gross Gen Plant'!$D$7:$D$91,0),MATCH(Calculation!$G1008,'Gross Gen Plant'!$E$5:$AD$5,0))</f>
        <v>3721</v>
      </c>
      <c r="CG1008" s="118">
        <f t="shared" si="2806"/>
        <v>394237</v>
      </c>
      <c r="CH1008" s="118"/>
      <c r="CI1008" s="121">
        <v>2010</v>
      </c>
      <c r="CJ1008" s="118"/>
      <c r="CK1008" s="118"/>
      <c r="CL1008" s="118"/>
      <c r="CM1008" s="183"/>
      <c r="CN1008" s="118">
        <f t="shared" si="2990"/>
        <v>20134</v>
      </c>
      <c r="CO1008" s="118">
        <f t="shared" si="2970"/>
        <v>35.385538585415077</v>
      </c>
      <c r="CP1008" s="186">
        <v>0.9285714285714286</v>
      </c>
      <c r="CQ1008" s="118">
        <f>+CQ996*CP1008+CO997*CP1007+CO998*CP1006+CO999*CP1005+CO1000*CP1004+CO1001*CP1003+CO1002*CP1002+CO1003*CP1001+CO1004*CP1000+CO1005*CP999+CO1006*CP998+CO1007*CP997+CO1008</f>
        <v>1969.6125553827208</v>
      </c>
      <c r="CR1008" s="119">
        <f t="shared" si="2971"/>
        <v>1.0973460656127872E-2</v>
      </c>
      <c r="CS1008" s="119"/>
      <c r="CT1008" s="177">
        <f t="shared" si="2972"/>
        <v>7.1300777291119152E-3</v>
      </c>
      <c r="CU1008" s="177">
        <f t="shared" si="2980"/>
        <v>6.8772064213891634E-3</v>
      </c>
      <c r="CV1008" s="119">
        <f>VLOOKUP($H1008,RoR!$E:$F,2,FALSE)</f>
        <v>4.9433333333333322E-2</v>
      </c>
      <c r="CW1008" s="177">
        <v>1.1684333519300205E-2</v>
      </c>
      <c r="CX1008" s="177">
        <f t="shared" si="2978"/>
        <v>3.7748999814033117E-2</v>
      </c>
      <c r="CY1008" s="177">
        <f t="shared" si="2981"/>
        <v>2.4024735187144462E-2</v>
      </c>
      <c r="CZ1008" s="177">
        <f t="shared" si="2982"/>
        <v>4.7937530248493419E-2</v>
      </c>
      <c r="DA1008" s="187">
        <f t="shared" si="2973"/>
        <v>0.85131374874999999</v>
      </c>
      <c r="DB1008" s="188">
        <f t="shared" si="2974"/>
        <v>1.037398205301105</v>
      </c>
      <c r="DC1008" s="188">
        <f t="shared" si="2975"/>
        <v>0.46926837491571133</v>
      </c>
      <c r="DD1008" s="188">
        <f t="shared" si="2976"/>
        <v>0.8548537519972772</v>
      </c>
      <c r="DE1008" s="188">
        <f t="shared" si="2977"/>
        <v>0.41615833911547367</v>
      </c>
      <c r="DF1008" s="189">
        <f>INDEX('State Tax Lookup'!$D$7:$Z$91,MATCH(Calculation!$C1008,'State Tax Lookup'!$B$7:$B$91,0),MATCH($H1008,'State Tax Lookup'!$D$6:$Z$6,0))</f>
        <v>0.39649667</v>
      </c>
      <c r="DG1008" s="189">
        <v>0.375</v>
      </c>
      <c r="DH1008" s="190">
        <f t="shared" si="2979"/>
        <v>19.215300169677779</v>
      </c>
      <c r="DI1008" s="190">
        <v>18.869782696594115</v>
      </c>
      <c r="DJ1008" s="177"/>
      <c r="DK1008" s="189">
        <f>VLOOKUP($H1008,RoR!$E:$F,2,FALSE)</f>
        <v>4.9433333333333322E-2</v>
      </c>
      <c r="DL1008" s="191">
        <f>HLOOKUP($H1008,'GDP-PI'!$D$8:$CQ$11,3,FALSE)</f>
        <v>1.1684333519300205E-2</v>
      </c>
      <c r="DM1008" s="189">
        <f>VLOOKUP(H1008,'HW Dx Data'!$E:$F,2,FALSE)</f>
        <v>568.98950262971744</v>
      </c>
      <c r="DN1008" s="183">
        <f>VLOOKUP(H1008,'ECI - Input Price'!$G$17:$H$37,2,FALSE)</f>
        <v>111.875</v>
      </c>
      <c r="DO1008" s="177">
        <f t="shared" ref="DO1008" si="3016">LN(DN1008/DN1007)</f>
        <v>1.8949360147238387E-2</v>
      </c>
      <c r="DP1008" s="183">
        <f>HLOOKUP(H1008,'GDP-PI'!$8:$9,2,FALSE)</f>
        <v>96.108999999999995</v>
      </c>
      <c r="DQ1008" s="177">
        <f t="shared" ref="DQ1008" si="3017">LN(DP1008/DP1007)</f>
        <v>1.1616598807150427E-2</v>
      </c>
    </row>
    <row r="1009" spans="1:121" s="167" customFormat="1" ht="21" x14ac:dyDescent="0.35">
      <c r="A1009" s="167" t="s">
        <v>98</v>
      </c>
      <c r="B1009" s="167" t="s">
        <v>99</v>
      </c>
      <c r="C1009" s="167">
        <v>4057096</v>
      </c>
      <c r="D1009" s="168" t="s">
        <v>136</v>
      </c>
      <c r="E1009" s="168" t="s">
        <v>126</v>
      </c>
      <c r="F1009" s="198"/>
      <c r="G1009" s="167" t="s">
        <v>17</v>
      </c>
      <c r="H1009" s="169">
        <v>2011</v>
      </c>
      <c r="I1009" s="170"/>
      <c r="J1009" s="166">
        <f>IFERROR(INDEX('Labor Expenditures'!$F$7:$X$91,MATCH($C1009,'Labor Expenditures'!$D$7:$D$91,0),MATCH($G1009,'Labor Expenditures'!$F$5:$X$5,0)),"NA")</f>
        <v>25506.533852812139</v>
      </c>
      <c r="K1009" s="166">
        <f t="shared" si="2985"/>
        <v>223.15427692749029</v>
      </c>
      <c r="L1009" s="172">
        <f t="shared" si="2993"/>
        <v>8.9535244809569536E-2</v>
      </c>
      <c r="M1009" s="172">
        <f t="shared" si="2997"/>
        <v>9.0221768503913541E-4</v>
      </c>
      <c r="N1009" s="196"/>
      <c r="O1009" s="172"/>
      <c r="P1009" s="166">
        <f>IFERROR(INDEX('Non-Labor Expenditures'!$F$7:$AB$91,MATCH($C1009,'Non-Labor Expenditures'!$D$7:$D$91,0),MATCH($G1009,'Non-Labor Expenditures'!$F$5:$AB$5,0)),"NA")</f>
        <v>36938.224982256972</v>
      </c>
      <c r="Q1009" s="166">
        <f t="shared" si="2986"/>
        <v>376.49038835470662</v>
      </c>
      <c r="R1009" s="172">
        <f t="shared" si="2998"/>
        <v>9.0352919802465792E-2</v>
      </c>
      <c r="S1009" s="172">
        <f t="shared" si="3003"/>
        <v>9.1045713131277092E-4</v>
      </c>
      <c r="T1009" s="172"/>
      <c r="U1009" s="172"/>
      <c r="V1009" s="166">
        <f t="shared" si="2968"/>
        <v>40325.758658883104</v>
      </c>
      <c r="W1009" s="170"/>
      <c r="X1009" s="174">
        <v>1994.9850662841384</v>
      </c>
      <c r="Y1009" s="175">
        <v>1.2799713729161754E-2</v>
      </c>
      <c r="Z1009" s="175">
        <f t="shared" si="3004"/>
        <v>1.289785727894016E-4</v>
      </c>
      <c r="AA1009" s="175"/>
      <c r="AB1009" s="175"/>
      <c r="AC1009" s="170">
        <f t="shared" si="2863"/>
        <v>102770.51749395221</v>
      </c>
      <c r="AD1009" s="175">
        <f t="shared" si="2999"/>
        <v>9.6474466133578338E-2</v>
      </c>
      <c r="AE1009" s="170"/>
      <c r="AF1009" s="170"/>
      <c r="AG1009" s="121">
        <f t="shared" si="3000"/>
        <v>339.1340937240617</v>
      </c>
      <c r="AH1009" s="119">
        <f>+AZ1009/$BB$49</f>
        <v>8.4098064200506632E-3</v>
      </c>
      <c r="AI1009" s="119">
        <f>+AZ1009/$BC$49</f>
        <v>3.5914163350553772E-2</v>
      </c>
      <c r="AJ1009" s="176">
        <f t="shared" si="3005"/>
        <v>2.8520520786586774</v>
      </c>
      <c r="AK1009" s="176">
        <f t="shared" si="3006"/>
        <v>12.179717239747966</v>
      </c>
      <c r="AL1009" s="120">
        <f t="shared" si="2987"/>
        <v>0.24818921296482852</v>
      </c>
      <c r="AM1009" s="120">
        <f t="shared" si="2988"/>
        <v>0.35942433572381977</v>
      </c>
      <c r="AN1009" s="120">
        <f t="shared" si="2989"/>
        <v>0.39238645131135175</v>
      </c>
      <c r="AO1009" s="120">
        <f t="shared" si="2994"/>
        <v>5.9381323145040535E-2</v>
      </c>
      <c r="AP1009" s="173">
        <f t="shared" si="3010"/>
        <v>103.71958591506677</v>
      </c>
      <c r="AQ1009" s="175">
        <f t="shared" si="3011"/>
        <v>5.9381323145040486E-2</v>
      </c>
      <c r="AR1009" s="177">
        <f>+AC1009/$AE$49</f>
        <v>1.0076676363124282E-2</v>
      </c>
      <c r="AS1009" s="177">
        <f t="shared" si="3007"/>
        <v>5.9836637534667434E-4</v>
      </c>
      <c r="AT1009" s="177"/>
      <c r="AU1009" s="177"/>
      <c r="AV1009" s="177"/>
      <c r="AW1009" s="190"/>
      <c r="AX1009" s="120"/>
      <c r="AY1009" s="120"/>
      <c r="AZ1009" s="118">
        <f>IFERROR(INDEX('Total Customers'!$F$7:$AB$91,MATCH($C1009,'Total Customers'!$D$7:$D$91,0),MATCH($G1009,'Total Customers'!$F$5:$AB$5,0)),"NA")</f>
        <v>303038</v>
      </c>
      <c r="BA1009" s="119">
        <f t="shared" si="2969"/>
        <v>5.7849541137706189E-3</v>
      </c>
      <c r="BB1009" s="119"/>
      <c r="BC1009" s="121">
        <v>8437841</v>
      </c>
      <c r="BD1009" s="119"/>
      <c r="BE1009" s="119"/>
      <c r="BF1009" s="119"/>
      <c r="BG1009" s="173"/>
      <c r="BH1009" s="173"/>
      <c r="BI1009" s="173"/>
      <c r="BJ1009" s="173"/>
      <c r="BK1009" s="173"/>
      <c r="BL1009" s="173"/>
      <c r="BM1009" s="173"/>
      <c r="BN1009" s="173"/>
      <c r="BO1009" s="173"/>
      <c r="BP1009" s="173"/>
      <c r="BQ1009" s="118"/>
      <c r="BR1009" s="118"/>
      <c r="BS1009" s="118">
        <f>INDEX('Dist. Plant Gas Additions'!$F$7:$AE$91,MATCH($C1009,'Dist. Plant Gas Additions'!$D$7:$D$91,0),MATCH(Calculation!$G1009,'Dist. Plant Gas Additions'!$F$5:$AE$5,0))</f>
        <v>24337</v>
      </c>
      <c r="BT1009" s="118">
        <f>INDEX('Gen. Plant Additions'!$F$7:$AE$91,MATCH($C1009,'Gen. Plant Additions'!$D$7:$D$91,0),MATCH(Calculation!$G1009,'Gen. Plant Additions'!$F$5:$AE$5,0))</f>
        <v>86</v>
      </c>
      <c r="BU1009" s="118"/>
      <c r="BV1009" s="118"/>
      <c r="BW1009" s="118">
        <f>INDEX('Dist Plant Depreciation'!$E$7:$AD$94,MATCH($C1009,'Dist Plant Depreciation'!$D$7:$D$94,0),MATCH(Calculation!$G1009,'Dist Plant Depreciation'!$E$5:$AD$5,0))</f>
        <v>253374</v>
      </c>
      <c r="BX1009" s="118">
        <f>INDEX('Gen. Plant Depreciation'!$E$7:$AD$94,MATCH($C1009,'Gen. Plant Depreciation'!$D$7:$D$94,0),MATCH(Calculation!$G1009,'Gen. Plant Depreciation'!$E$5:$AD$5,0))</f>
        <v>2093</v>
      </c>
      <c r="BY1009" s="118"/>
      <c r="BZ1009" s="118"/>
      <c r="CA1009" s="118"/>
      <c r="CB1009" s="118"/>
      <c r="CC1009" s="118"/>
      <c r="CD1009" s="183"/>
      <c r="CE1009" s="118">
        <f>INDEX('Gross Dx Plant'!$E$7:$AD$91,MATCH($C1009,'Gross Dx Plant'!$D$7:$D$91,0),MATCH(Calculation!$G1009,'Gross Dx Plant'!$E$5:$AD$5,0))</f>
        <v>655293</v>
      </c>
      <c r="CF1009" s="118">
        <f>INDEX('Gross Gen Plant'!$E$7:$AD$91,MATCH($C1009,'Gross Gen Plant'!$D$7:$D$91,0),MATCH(Calculation!$G1009,'Gross Gen Plant'!$E$5:$AD$5,0))</f>
        <v>3804</v>
      </c>
      <c r="CG1009" s="118">
        <f t="shared" ref="CG1009:CG1075" si="3018">IF(OR(BW1009="NA",BX1009="NA"),"NA",(SUM(CE1009:CF1009)-SUM(BW1009:BX1009)))</f>
        <v>403630</v>
      </c>
      <c r="CH1009" s="118"/>
      <c r="CI1009" s="121">
        <v>2011</v>
      </c>
      <c r="CJ1009" s="118"/>
      <c r="CK1009" s="118"/>
      <c r="CL1009" s="118"/>
      <c r="CM1009" s="183"/>
      <c r="CN1009" s="118">
        <f t="shared" si="2990"/>
        <v>24423</v>
      </c>
      <c r="CO1009" s="118">
        <f t="shared" si="2970"/>
        <v>39.932238239011681</v>
      </c>
      <c r="CP1009" s="186">
        <v>0.92121212121212126</v>
      </c>
      <c r="CQ1009" s="118">
        <f>+CQ996*CP1009+CO997*CP1008+CO998*CP1007+CO999*CP1006+CO1000*CP1005+CO1001*CP1004+CO1002*CP1003+CO1003*CP1002+CO1004*CP1001+CO1005*CP1000+CO1006*CP999+CO1007*CP998+CO1008*CP997+CO1009</f>
        <v>1994.9850662841384</v>
      </c>
      <c r="CR1009" s="119">
        <f t="shared" si="2971"/>
        <v>1.2799713729161754E-2</v>
      </c>
      <c r="CS1009" s="119"/>
      <c r="CT1009" s="177">
        <f t="shared" si="2972"/>
        <v>7.3921783742716416E-3</v>
      </c>
      <c r="CU1009" s="177">
        <f t="shared" si="2980"/>
        <v>7.1303554715265033E-3</v>
      </c>
      <c r="CV1009" s="119">
        <f>VLOOKUP($H1009,RoR!$E:$F,2,FALSE)</f>
        <v>4.6391666666666664E-2</v>
      </c>
      <c r="CW1009" s="177">
        <v>2.0840920205183799E-2</v>
      </c>
      <c r="CX1009" s="177">
        <f t="shared" si="2978"/>
        <v>2.5550746461482865E-2</v>
      </c>
      <c r="CY1009" s="177">
        <f t="shared" si="2981"/>
        <v>2.3771586137007122E-2</v>
      </c>
      <c r="CZ1009" s="177">
        <f t="shared" si="2982"/>
        <v>2.4810540821321614E-2</v>
      </c>
      <c r="DA1009" s="187">
        <f t="shared" si="2973"/>
        <v>0.85131374874999999</v>
      </c>
      <c r="DB1009" s="188">
        <f t="shared" si="2974"/>
        <v>1.1054151524782025</v>
      </c>
      <c r="DC1009" s="188">
        <f t="shared" si="2975"/>
        <v>0.43611011316687626</v>
      </c>
      <c r="DD1009" s="188">
        <f t="shared" si="2976"/>
        <v>0.83698442246886229</v>
      </c>
      <c r="DE1009" s="188">
        <f t="shared" si="2977"/>
        <v>0.40349573304423936</v>
      </c>
      <c r="DF1009" s="189">
        <f>INDEX('State Tax Lookup'!$D$7:$Z$91,MATCH(Calculation!$C1009,'State Tax Lookup'!$B$7:$B$91,0),MATCH($H1009,'State Tax Lookup'!$D$6:$Z$6,0))</f>
        <v>0.39649667</v>
      </c>
      <c r="DG1009" s="189">
        <v>0.375</v>
      </c>
      <c r="DH1009" s="190">
        <f t="shared" si="2979"/>
        <v>20.473954914979355</v>
      </c>
      <c r="DI1009" s="190">
        <v>20.101920134909872</v>
      </c>
      <c r="DJ1009" s="177"/>
      <c r="DK1009" s="189">
        <f>VLOOKUP($H1009,RoR!$E:$F,2,FALSE)</f>
        <v>4.6391666666666664E-2</v>
      </c>
      <c r="DL1009" s="191">
        <f>HLOOKUP($H1009,'GDP-PI'!$D$8:$CQ$11,3,FALSE)</f>
        <v>2.0840920205183799E-2</v>
      </c>
      <c r="DM1009" s="189">
        <f>VLOOKUP(H1009,'HW Dx Data'!$E:$F,2,FALSE)</f>
        <v>611.61109612283201</v>
      </c>
      <c r="DN1009" s="183">
        <f>VLOOKUP(H1009,'ECI - Input Price'!$G$17:$H$37,2,FALSE)</f>
        <v>114.3</v>
      </c>
      <c r="DO1009" s="177">
        <f t="shared" ref="DO1009" si="3019">LN(DN1009/DN1008)</f>
        <v>2.1444394205745516E-2</v>
      </c>
      <c r="DP1009" s="183">
        <f>HLOOKUP(H1009,'GDP-PI'!$8:$9,2,FALSE)</f>
        <v>98.111999999999995</v>
      </c>
      <c r="DQ1009" s="177">
        <f t="shared" ref="DQ1009" si="3020">LN(DP1009/DP1008)</f>
        <v>2.0626719212849295E-2</v>
      </c>
    </row>
    <row r="1010" spans="1:121" s="167" customFormat="1" ht="21" x14ac:dyDescent="0.35">
      <c r="A1010" s="167" t="s">
        <v>98</v>
      </c>
      <c r="B1010" s="167" t="s">
        <v>99</v>
      </c>
      <c r="C1010" s="167">
        <v>4057096</v>
      </c>
      <c r="D1010" s="168" t="s">
        <v>136</v>
      </c>
      <c r="E1010" s="168" t="s">
        <v>126</v>
      </c>
      <c r="F1010" s="198"/>
      <c r="G1010" s="167" t="s">
        <v>18</v>
      </c>
      <c r="H1010" s="169">
        <v>2012</v>
      </c>
      <c r="I1010" s="170"/>
      <c r="J1010" s="166">
        <f>IFERROR(INDEX('Labor Expenditures'!$F$7:$X$91,MATCH($C1010,'Labor Expenditures'!$D$7:$D$91,0),MATCH($G1010,'Labor Expenditures'!$F$5:$X$5,0)),"NA")</f>
        <v>25582.794746891821</v>
      </c>
      <c r="K1010" s="166">
        <f t="shared" si="2985"/>
        <v>219.59480469435039</v>
      </c>
      <c r="L1010" s="172">
        <f t="shared" si="2993"/>
        <v>-1.6079305731398704E-2</v>
      </c>
      <c r="M1010" s="172">
        <f t="shared" si="2997"/>
        <v>-1.6053710511319664E-4</v>
      </c>
      <c r="N1010" s="196"/>
      <c r="O1010" s="172"/>
      <c r="P1010" s="166">
        <f>IFERROR(INDEX('Non-Labor Expenditures'!$F$7:$AB$91,MATCH($C1010,'Non-Labor Expenditures'!$D$7:$D$91,0),MATCH($G1010,'Non-Labor Expenditures'!$F$5:$AB$5,0)),"NA")</f>
        <v>37048.665000454617</v>
      </c>
      <c r="Q1010" s="166">
        <f t="shared" si="2986"/>
        <v>370.48665000454616</v>
      </c>
      <c r="R1010" s="172">
        <f t="shared" si="2998"/>
        <v>-1.6075106265150886E-2</v>
      </c>
      <c r="S1010" s="172">
        <f t="shared" si="3003"/>
        <v>-1.6049517729829548E-4</v>
      </c>
      <c r="T1010" s="172"/>
      <c r="U1010" s="172"/>
      <c r="V1010" s="166">
        <f t="shared" si="2968"/>
        <v>44062.700546657288</v>
      </c>
      <c r="W1010" s="170"/>
      <c r="X1010" s="174">
        <v>2031.3963847397963</v>
      </c>
      <c r="Y1010" s="175">
        <v>1.8086866090745942E-2</v>
      </c>
      <c r="Z1010" s="175">
        <f t="shared" si="3004"/>
        <v>1.8058075213461436E-4</v>
      </c>
      <c r="AA1010" s="175"/>
      <c r="AB1010" s="175"/>
      <c r="AC1010" s="170">
        <f t="shared" si="2863"/>
        <v>106694.16029400373</v>
      </c>
      <c r="AD1010" s="175">
        <f t="shared" si="2999"/>
        <v>3.7467909587755491E-2</v>
      </c>
      <c r="AE1010" s="170"/>
      <c r="AF1010" s="170"/>
      <c r="AG1010" s="121">
        <f t="shared" si="3000"/>
        <v>350.3947831801421</v>
      </c>
      <c r="AH1010" s="119">
        <f>+AZ1010/$BB$50</f>
        <v>8.4096321019195668E-3</v>
      </c>
      <c r="AI1010" s="119">
        <f>+AZ1010/$BC$50</f>
        <v>3.5886201083502885E-2</v>
      </c>
      <c r="AJ1010" s="176">
        <f t="shared" si="3005"/>
        <v>2.9466912169768693</v>
      </c>
      <c r="AK1010" s="176">
        <f t="shared" si="3006"/>
        <v>12.574337647812973</v>
      </c>
      <c r="AL1010" s="120">
        <f t="shared" si="2987"/>
        <v>0.23977689759586204</v>
      </c>
      <c r="AM1010" s="120">
        <f t="shared" si="2988"/>
        <v>0.3472417318657765</v>
      </c>
      <c r="AN1010" s="120">
        <f t="shared" si="2989"/>
        <v>0.41298137053836148</v>
      </c>
      <c r="AO1010" s="120">
        <f t="shared" si="2994"/>
        <v>-2.3196542305772032E-3</v>
      </c>
      <c r="AP1010" s="173">
        <f t="shared" si="3010"/>
        <v>103.4792711701196</v>
      </c>
      <c r="AQ1010" s="175">
        <f t="shared" si="3011"/>
        <v>-2.3196542305771537E-3</v>
      </c>
      <c r="AR1010" s="177">
        <f>+AC1010/$AE$50</f>
        <v>9.984081887298742E-3</v>
      </c>
      <c r="AS1010" s="177">
        <f t="shared" si="3007"/>
        <v>-2.3159617788301259E-5</v>
      </c>
      <c r="AT1010" s="177"/>
      <c r="AU1010" s="177"/>
      <c r="AV1010" s="177"/>
      <c r="AW1010" s="190"/>
      <c r="AX1010" s="120"/>
      <c r="AY1010" s="120"/>
      <c r="AZ1010" s="118">
        <f>IFERROR(INDEX('Total Customers'!$F$7:$AB$91,MATCH($C1010,'Total Customers'!$D$7:$D$91,0),MATCH($G1010,'Total Customers'!$F$5:$AB$5,0)),"NA")</f>
        <v>304497</v>
      </c>
      <c r="BA1010" s="119">
        <f t="shared" si="2969"/>
        <v>4.803024697541557E-3</v>
      </c>
      <c r="BB1010" s="119"/>
      <c r="BC1010" s="121">
        <v>8485072</v>
      </c>
      <c r="BD1010" s="119"/>
      <c r="BE1010" s="119"/>
      <c r="BF1010" s="119"/>
      <c r="BG1010" s="173"/>
      <c r="BH1010" s="173"/>
      <c r="BI1010" s="173"/>
      <c r="BJ1010" s="173"/>
      <c r="BK1010" s="173"/>
      <c r="BL1010" s="173"/>
      <c r="BM1010" s="173"/>
      <c r="BN1010" s="173"/>
      <c r="BO1010" s="173"/>
      <c r="BP1010" s="173"/>
      <c r="BQ1010" s="118"/>
      <c r="BR1010" s="118"/>
      <c r="BS1010" s="118">
        <f>INDEX('Dist. Plant Gas Additions'!$F$7:$AE$91,MATCH($C1010,'Dist. Plant Gas Additions'!$D$7:$D$91,0),MATCH(Calculation!$G1010,'Dist. Plant Gas Additions'!$F$5:$AE$5,0))</f>
        <v>34218</v>
      </c>
      <c r="BT1010" s="118">
        <f>INDEX('Gen. Plant Additions'!$F$7:$AE$91,MATCH($C1010,'Gen. Plant Additions'!$D$7:$D$91,0),MATCH(Calculation!$G1010,'Gen. Plant Additions'!$F$5:$AE$5,0))</f>
        <v>362</v>
      </c>
      <c r="BU1010" s="118"/>
      <c r="BV1010" s="118"/>
      <c r="BW1010" s="118">
        <f>INDEX('Dist Plant Depreciation'!$E$7:$AD$94,MATCH($C1010,'Dist Plant Depreciation'!$D$7:$D$94,0),MATCH(Calculation!$G1010,'Dist Plant Depreciation'!$E$5:$AD$5,0))</f>
        <v>265070</v>
      </c>
      <c r="BX1010" s="118">
        <f>INDEX('Gen. Plant Depreciation'!$E$7:$AD$94,MATCH($C1010,'Gen. Plant Depreciation'!$D$7:$D$94,0),MATCH(Calculation!$G1010,'Gen. Plant Depreciation'!$E$5:$AD$5,0))</f>
        <v>2235</v>
      </c>
      <c r="BY1010" s="118"/>
      <c r="BZ1010" s="118"/>
      <c r="CA1010" s="118"/>
      <c r="CB1010" s="118"/>
      <c r="CC1010" s="118"/>
      <c r="CD1010" s="183"/>
      <c r="CE1010" s="118">
        <f>INDEX('Gross Dx Plant'!$E$7:$AD$91,MATCH($C1010,'Gross Dx Plant'!$D$7:$D$91,0),MATCH(Calculation!$G1010,'Gross Dx Plant'!$E$5:$AD$5,0))</f>
        <v>686555</v>
      </c>
      <c r="CF1010" s="118">
        <f>INDEX('Gross Gen Plant'!$E$7:$AD$91,MATCH($C1010,'Gross Gen Plant'!$D$7:$D$91,0),MATCH(Calculation!$G1010,'Gross Gen Plant'!$E$5:$AD$5,0))</f>
        <v>4166</v>
      </c>
      <c r="CG1010" s="118">
        <f t="shared" si="3018"/>
        <v>423416</v>
      </c>
      <c r="CH1010" s="118"/>
      <c r="CI1010" s="121">
        <v>2012</v>
      </c>
      <c r="CJ1010" s="118"/>
      <c r="CK1010" s="118"/>
      <c r="CL1010" s="118"/>
      <c r="CM1010" s="183"/>
      <c r="CN1010" s="118">
        <f t="shared" si="2990"/>
        <v>34580</v>
      </c>
      <c r="CO1010" s="118">
        <f t="shared" si="2970"/>
        <v>51.695322375779703</v>
      </c>
      <c r="CP1010" s="186">
        <v>0.9135802469135802</v>
      </c>
      <c r="CQ1010" s="118">
        <f>+CQ996*CP1010+CO997*CP1009+CO998*CP1008+CO999*CP1007+CO1000*CP1006+CO1001*CP1005+CO1002*CP1004+CO1003*CP1003+CO1004*CP1002+CO1005*CP1001+CO1006*CP1000+CO1007*CP999+CO1008*CP998+CO1009*CP997+CO1010</f>
        <v>2031.3963847397963</v>
      </c>
      <c r="CR1010" s="119">
        <f t="shared" si="2971"/>
        <v>1.8086866090745942E-2</v>
      </c>
      <c r="CS1010" s="119"/>
      <c r="CT1010" s="177">
        <f t="shared" si="2972"/>
        <v>7.6612121957332678E-3</v>
      </c>
      <c r="CU1010" s="177">
        <f t="shared" si="2980"/>
        <v>7.3944894330389421E-3</v>
      </c>
      <c r="CV1010" s="119">
        <f>VLOOKUP($H1010,RoR!$E:$F,2,FALSE)</f>
        <v>3.6733333333333333E-2</v>
      </c>
      <c r="CW1010" s="177">
        <v>1.924331376386168E-2</v>
      </c>
      <c r="CX1010" s="177">
        <f t="shared" si="2978"/>
        <v>1.7490019569471653E-2</v>
      </c>
      <c r="CY1010" s="177">
        <f t="shared" si="2981"/>
        <v>2.3507452175494683E-2</v>
      </c>
      <c r="CZ1010" s="177">
        <f t="shared" si="2982"/>
        <v>6.7122682943869583E-2</v>
      </c>
      <c r="DA1010" s="187">
        <f t="shared" si="2973"/>
        <v>0.85131374874999999</v>
      </c>
      <c r="DB1010" s="188">
        <f t="shared" si="2974"/>
        <v>1.3960631020522127</v>
      </c>
      <c r="DC1010" s="188">
        <f t="shared" si="2975"/>
        <v>0.29441923774954631</v>
      </c>
      <c r="DD1010" s="188">
        <f t="shared" si="2976"/>
        <v>0.76377954189366437</v>
      </c>
      <c r="DE1010" s="188">
        <f t="shared" si="2977"/>
        <v>0.31393465103033691</v>
      </c>
      <c r="DF1010" s="189">
        <f>INDEX('State Tax Lookup'!$D$7:$Z$91,MATCH(Calculation!$C1010,'State Tax Lookup'!$B$7:$B$91,0),MATCH($H1010,'State Tax Lookup'!$D$6:$Z$6,0))</f>
        <v>0.39649667</v>
      </c>
      <c r="DG1010" s="189">
        <v>0.375</v>
      </c>
      <c r="DH1010" s="190">
        <f t="shared" si="2979"/>
        <v>22.086732021873491</v>
      </c>
      <c r="DI1010" s="190">
        <v>21.72641375756869</v>
      </c>
      <c r="DJ1010" s="177"/>
      <c r="DK1010" s="189">
        <f>VLOOKUP($H1010,RoR!$E:$F,2,FALSE)</f>
        <v>3.6733333333333333E-2</v>
      </c>
      <c r="DL1010" s="191">
        <f>HLOOKUP($H1010,'GDP-PI'!$D$8:$CQ$11,3,FALSE)</f>
        <v>1.924331376386168E-2</v>
      </c>
      <c r="DM1010" s="189">
        <f>VLOOKUP(H1010,'HW Dx Data'!$E:$F,2,FALSE)</f>
        <v>668.91932211262167</v>
      </c>
      <c r="DN1010" s="183">
        <f>VLOOKUP(H1010,'ECI - Input Price'!$G$17:$H$37,2,FALSE)</f>
        <v>116.5</v>
      </c>
      <c r="DO1010" s="177">
        <f t="shared" ref="DO1010" si="3021">LN(DN1010/DN1009)</f>
        <v>1.9064702204990347E-2</v>
      </c>
      <c r="DP1010" s="183">
        <f>HLOOKUP(H1010,'GDP-PI'!$8:$9,2,FALSE)</f>
        <v>100</v>
      </c>
      <c r="DQ1010" s="177">
        <f t="shared" ref="DQ1010" si="3022">LN(DP1010/DP1009)</f>
        <v>1.9060502738742411E-2</v>
      </c>
    </row>
    <row r="1011" spans="1:121" s="167" customFormat="1" ht="21" x14ac:dyDescent="0.35">
      <c r="A1011" s="167" t="s">
        <v>98</v>
      </c>
      <c r="B1011" s="167" t="s">
        <v>99</v>
      </c>
      <c r="C1011" s="167">
        <v>4057096</v>
      </c>
      <c r="D1011" s="168" t="s">
        <v>136</v>
      </c>
      <c r="E1011" s="168" t="s">
        <v>126</v>
      </c>
      <c r="F1011" s="198"/>
      <c r="G1011" s="167" t="s">
        <v>19</v>
      </c>
      <c r="H1011" s="169">
        <v>2013</v>
      </c>
      <c r="I1011" s="170"/>
      <c r="J1011" s="166">
        <f>IFERROR(INDEX('Labor Expenditures'!$F$7:$X$91,MATCH($C1011,'Labor Expenditures'!$D$7:$D$91,0),MATCH($G1011,'Labor Expenditures'!$F$5:$X$5,0)),"NA")</f>
        <v>26490.933150494533</v>
      </c>
      <c r="K1011" s="166">
        <f t="shared" si="2985"/>
        <v>223.12851674453177</v>
      </c>
      <c r="L1011" s="172">
        <f t="shared" si="2993"/>
        <v>1.5963862414504714E-2</v>
      </c>
      <c r="M1011" s="172">
        <f t="shared" si="2997"/>
        <v>1.5679548638244863E-4</v>
      </c>
      <c r="N1011" s="196"/>
      <c r="O1011" s="172"/>
      <c r="P1011" s="166">
        <f>IFERROR(INDEX('Non-Labor Expenditures'!$F$7:$AB$91,MATCH($C1011,'Non-Labor Expenditures'!$D$7:$D$91,0),MATCH($G1011,'Non-Labor Expenditures'!$F$5:$AB$5,0)),"NA")</f>
        <v>38363.819025728269</v>
      </c>
      <c r="Q1011" s="166">
        <f t="shared" si="2986"/>
        <v>376.95478197290316</v>
      </c>
      <c r="R1011" s="172">
        <f t="shared" si="2998"/>
        <v>1.7307826827424353E-2</v>
      </c>
      <c r="S1011" s="172">
        <f t="shared" si="3003"/>
        <v>1.6999577264982277E-4</v>
      </c>
      <c r="T1011" s="172"/>
      <c r="U1011" s="172"/>
      <c r="V1011" s="166">
        <f t="shared" si="2968"/>
        <v>44019.744804523143</v>
      </c>
      <c r="W1011" s="170"/>
      <c r="X1011" s="174">
        <v>2058.8091267189575</v>
      </c>
      <c r="Y1011" s="175">
        <v>1.3404290982383871E-2</v>
      </c>
      <c r="Z1011" s="175">
        <f t="shared" si="3004"/>
        <v>1.3165562754318918E-4</v>
      </c>
      <c r="AA1011" s="175"/>
      <c r="AB1011" s="175"/>
      <c r="AC1011" s="170">
        <f t="shared" si="2863"/>
        <v>108874.49698074594</v>
      </c>
      <c r="AD1011" s="175">
        <f t="shared" si="2999"/>
        <v>2.0229388338697699E-2</v>
      </c>
      <c r="AE1011" s="170"/>
      <c r="AF1011" s="170"/>
      <c r="AG1011" s="121">
        <f t="shared" si="3000"/>
        <v>356.05499699374042</v>
      </c>
      <c r="AH1011" s="119">
        <f>+AZ1011/$BB$51</f>
        <v>8.3910741687373801E-3</v>
      </c>
      <c r="AI1011" s="119">
        <f>+AZ1011/$BC$51</f>
        <v>3.58269279821102E-2</v>
      </c>
      <c r="AJ1011" s="176">
        <f t="shared" si="3005"/>
        <v>2.9876838879240406</v>
      </c>
      <c r="AK1011" s="176">
        <f t="shared" si="3006"/>
        <v>12.756356734965202</v>
      </c>
      <c r="AL1011" s="120">
        <f t="shared" si="2987"/>
        <v>0.24331623920319337</v>
      </c>
      <c r="AM1011" s="120">
        <f t="shared" si="2988"/>
        <v>0.35236735957101845</v>
      </c>
      <c r="AN1011" s="120">
        <f t="shared" si="2989"/>
        <v>0.40431640122578821</v>
      </c>
      <c r="AO1011" s="120">
        <f t="shared" si="2994"/>
        <v>1.5388021261355992E-2</v>
      </c>
      <c r="AP1011" s="173">
        <f t="shared" si="3010"/>
        <v>105.08392696987104</v>
      </c>
      <c r="AQ1011" s="175">
        <f t="shared" si="3011"/>
        <v>1.5388021261355951E-2</v>
      </c>
      <c r="AR1011" s="177">
        <f>+AC1011/$AE$51</f>
        <v>9.8219016370364575E-3</v>
      </c>
      <c r="AS1011" s="177">
        <f t="shared" si="3007"/>
        <v>1.5113963121766384E-4</v>
      </c>
      <c r="AT1011" s="177"/>
      <c r="AU1011" s="177"/>
      <c r="AV1011" s="177"/>
      <c r="AW1011" s="190"/>
      <c r="AX1011" s="120"/>
      <c r="AY1011" s="120"/>
      <c r="AZ1011" s="118">
        <f>IFERROR(INDEX('Total Customers'!$F$7:$AB$91,MATCH($C1011,'Total Customers'!$D$7:$D$91,0),MATCH($G1011,'Total Customers'!$F$5:$AB$5,0)),"NA")</f>
        <v>305780</v>
      </c>
      <c r="BA1011" s="119">
        <f t="shared" si="2969"/>
        <v>4.2046542477980654E-3</v>
      </c>
      <c r="BB1011" s="119"/>
      <c r="BC1011" s="121">
        <v>8534921</v>
      </c>
      <c r="BD1011" s="119"/>
      <c r="BE1011" s="119"/>
      <c r="BF1011" s="119"/>
      <c r="BG1011" s="173"/>
      <c r="BH1011" s="173"/>
      <c r="BI1011" s="173"/>
      <c r="BJ1011" s="173"/>
      <c r="BK1011" s="173"/>
      <c r="BL1011" s="173"/>
      <c r="BM1011" s="173"/>
      <c r="BN1011" s="173"/>
      <c r="BO1011" s="173"/>
      <c r="BP1011" s="173"/>
      <c r="BQ1011" s="118"/>
      <c r="BR1011" s="118"/>
      <c r="BS1011" s="118">
        <f>INDEX('Dist. Plant Gas Additions'!$F$7:$AE$91,MATCH($C1011,'Dist. Plant Gas Additions'!$D$7:$D$91,0),MATCH(Calculation!$G1011,'Dist. Plant Gas Additions'!$F$5:$AE$5,0))</f>
        <v>27676</v>
      </c>
      <c r="BT1011" s="118">
        <f>INDEX('Gen. Plant Additions'!$F$7:$AE$91,MATCH($C1011,'Gen. Plant Additions'!$D$7:$D$91,0),MATCH(Calculation!$G1011,'Gen. Plant Additions'!$F$5:$AE$5,0))</f>
        <v>1185</v>
      </c>
      <c r="BU1011" s="118"/>
      <c r="BV1011" s="118"/>
      <c r="BW1011" s="118">
        <f>INDEX('Dist Plant Depreciation'!$E$7:$AD$94,MATCH($C1011,'Dist Plant Depreciation'!$D$7:$D$94,0),MATCH(Calculation!$G1011,'Dist Plant Depreciation'!$E$5:$AD$5,0))</f>
        <v>277246</v>
      </c>
      <c r="BX1011" s="118">
        <f>INDEX('Gen. Plant Depreciation'!$E$7:$AD$94,MATCH($C1011,'Gen. Plant Depreciation'!$D$7:$D$94,0),MATCH(Calculation!$G1011,'Gen. Plant Depreciation'!$E$5:$AD$5,0))</f>
        <v>2405</v>
      </c>
      <c r="BY1011" s="118"/>
      <c r="BZ1011" s="118"/>
      <c r="CA1011" s="118"/>
      <c r="CB1011" s="118"/>
      <c r="CC1011" s="118"/>
      <c r="CD1011" s="183"/>
      <c r="CE1011" s="118">
        <f>INDEX('Gross Dx Plant'!$E$7:$AD$91,MATCH($C1011,'Gross Dx Plant'!$D$7:$D$91,0),MATCH(Calculation!$G1011,'Gross Dx Plant'!$E$5:$AD$5,0))</f>
        <v>710934</v>
      </c>
      <c r="CF1011" s="118">
        <f>INDEX('Gross Gen Plant'!$E$7:$AD$91,MATCH($C1011,'Gross Gen Plant'!$D$7:$D$91,0),MATCH(Calculation!$G1011,'Gross Gen Plant'!$E$5:$AD$5,0))</f>
        <v>5351</v>
      </c>
      <c r="CG1011" s="118">
        <f t="shared" si="3018"/>
        <v>436634</v>
      </c>
      <c r="CH1011" s="118"/>
      <c r="CI1011" s="121">
        <v>2013</v>
      </c>
      <c r="CJ1011" s="118"/>
      <c r="CK1011" s="118"/>
      <c r="CL1011" s="118"/>
      <c r="CM1011" s="183"/>
      <c r="CN1011" s="118">
        <f t="shared" si="2990"/>
        <v>28861</v>
      </c>
      <c r="CO1011" s="118">
        <f t="shared" si="2970"/>
        <v>43.514616486345801</v>
      </c>
      <c r="CP1011" s="186">
        <v>0.90566037735849059</v>
      </c>
      <c r="CQ1011" s="118">
        <f>+CQ996*CP1011+CO997*CP1010+CO998*CP1009+CO999*CP1008+CO1000*CP1007+CO1001*CP1006+CO1002*CP1005+CO1003*CP1004+CO1004*CP1003+CO1005*CP1002+CO1006*CP1001+CO1007*CP1000+CO1008*CP999+CO1009*CP998+CO1010*CP997+CO1011</f>
        <v>2058.8091267189575</v>
      </c>
      <c r="CR1011" s="119">
        <f t="shared" si="2971"/>
        <v>1.3404290982383871E-2</v>
      </c>
      <c r="CS1011" s="119"/>
      <c r="CT1011" s="177">
        <f t="shared" si="2972"/>
        <v>7.9265054462756297E-3</v>
      </c>
      <c r="CU1011" s="177">
        <f t="shared" si="2980"/>
        <v>7.65996533876018E-3</v>
      </c>
      <c r="CV1011" s="119">
        <f>VLOOKUP($H1011,RoR!$E:$F,2,FALSE)</f>
        <v>4.2350000000000006E-2</v>
      </c>
      <c r="CW1011" s="177">
        <v>1.7730000000000024E-2</v>
      </c>
      <c r="CX1011" s="177">
        <f t="shared" si="2978"/>
        <v>2.4619999999999982E-2</v>
      </c>
      <c r="CY1011" s="177">
        <f t="shared" si="2981"/>
        <v>2.3241976269773444E-2</v>
      </c>
      <c r="CZ1011" s="177">
        <f t="shared" si="2982"/>
        <v>5.3376742735721204E-2</v>
      </c>
      <c r="DA1011" s="187">
        <f t="shared" si="2973"/>
        <v>0.85131374874999999</v>
      </c>
      <c r="DB1011" s="188">
        <f t="shared" si="2974"/>
        <v>1.2109103018193925</v>
      </c>
      <c r="DC1011" s="188">
        <f t="shared" si="2975"/>
        <v>0.38468122786304604</v>
      </c>
      <c r="DD1011" s="188">
        <f t="shared" si="2976"/>
        <v>0.80969194503422559</v>
      </c>
      <c r="DE1011" s="188">
        <f t="shared" si="2977"/>
        <v>0.37716621754800816</v>
      </c>
      <c r="DF1011" s="189">
        <f>INDEX('State Tax Lookup'!$D$7:$Z$91,MATCH(Calculation!$C1011,'State Tax Lookup'!$B$7:$B$91,0),MATCH($H1011,'State Tax Lookup'!$D$6:$Z$6,0))</f>
        <v>0.39649667</v>
      </c>
      <c r="DG1011" s="189">
        <v>0.375</v>
      </c>
      <c r="DH1011" s="190">
        <f t="shared" si="2979"/>
        <v>21.669697325055385</v>
      </c>
      <c r="DI1011" s="190">
        <v>21.310739314841815</v>
      </c>
      <c r="DJ1011" s="177"/>
      <c r="DK1011" s="189">
        <f>VLOOKUP($H1011,RoR!$E:$F,2,FALSE)</f>
        <v>4.2350000000000006E-2</v>
      </c>
      <c r="DL1011" s="191">
        <f>HLOOKUP($H1011,'GDP-PI'!$D$8:$CQ$11,3,FALSE)</f>
        <v>1.7730000000000024E-2</v>
      </c>
      <c r="DM1011" s="189">
        <f>VLOOKUP(H1011,'HW Dx Data'!$E:$F,2,FALSE)</f>
        <v>663.24840548821396</v>
      </c>
      <c r="DN1011" s="183">
        <f>VLOOKUP(H1011,'ECI - Input Price'!$G$17:$H$37,2,FALSE)</f>
        <v>118.72499999999999</v>
      </c>
      <c r="DO1011" s="177">
        <f t="shared" ref="DO1011" si="3023">LN(DN1011/DN1010)</f>
        <v>1.8918621429430321E-2</v>
      </c>
      <c r="DP1011" s="183">
        <f>HLOOKUP(H1011,'GDP-PI'!$8:$9,2,FALSE)</f>
        <v>101.773</v>
      </c>
      <c r="DQ1011" s="177">
        <f t="shared" ref="DQ1011" si="3024">LN(DP1011/DP1010)</f>
        <v>1.7574657016510519E-2</v>
      </c>
    </row>
    <row r="1012" spans="1:121" s="167" customFormat="1" ht="21" x14ac:dyDescent="0.35">
      <c r="A1012" s="167" t="s">
        <v>98</v>
      </c>
      <c r="B1012" s="167" t="s">
        <v>99</v>
      </c>
      <c r="C1012" s="167">
        <v>4057096</v>
      </c>
      <c r="D1012" s="168" t="s">
        <v>136</v>
      </c>
      <c r="E1012" s="168" t="s">
        <v>126</v>
      </c>
      <c r="F1012" s="198"/>
      <c r="G1012" s="167" t="s">
        <v>20</v>
      </c>
      <c r="H1012" s="169">
        <v>2014</v>
      </c>
      <c r="I1012" s="170"/>
      <c r="J1012" s="166">
        <f>IFERROR(INDEX('Labor Expenditures'!$F$7:$X$91,MATCH($C1012,'Labor Expenditures'!$D$7:$D$91,0),MATCH($G1012,'Labor Expenditures'!$F$5:$X$5,0)),"NA")</f>
        <v>26923.615199322128</v>
      </c>
      <c r="K1012" s="166">
        <f t="shared" si="2985"/>
        <v>222.1420395983674</v>
      </c>
      <c r="L1012" s="172">
        <f t="shared" si="2993"/>
        <v>-4.430918443060562E-3</v>
      </c>
      <c r="M1012" s="172">
        <f t="shared" si="2997"/>
        <v>-4.3396814541923436E-5</v>
      </c>
      <c r="N1012" s="196"/>
      <c r="O1012" s="172"/>
      <c r="P1012" s="166">
        <f>IFERROR(INDEX('Non-Labor Expenditures'!$F$7:$AB$91,MATCH($C1012,'Non-Labor Expenditures'!$D$7:$D$91,0),MATCH($G1012,'Non-Labor Expenditures'!$F$5:$AB$5,0)),"NA")</f>
        <v>38990.423446289933</v>
      </c>
      <c r="Q1012" s="166">
        <f t="shared" si="2986"/>
        <v>376.18477569336238</v>
      </c>
      <c r="R1012" s="172">
        <f t="shared" si="2998"/>
        <v>-2.0447911412879655E-3</v>
      </c>
      <c r="S1012" s="172">
        <f t="shared" si="3003"/>
        <v>-2.0026868712606754E-5</v>
      </c>
      <c r="T1012" s="172"/>
      <c r="U1012" s="172"/>
      <c r="V1012" s="166">
        <f t="shared" si="2968"/>
        <v>45540.801040876184</v>
      </c>
      <c r="W1012" s="170"/>
      <c r="X1012" s="174">
        <v>2087.2280984428694</v>
      </c>
      <c r="Y1012" s="175">
        <v>1.3709195201297509E-2</v>
      </c>
      <c r="Z1012" s="175">
        <f t="shared" si="3004"/>
        <v>1.3426909326247851E-4</v>
      </c>
      <c r="AA1012" s="175"/>
      <c r="AB1012" s="175"/>
      <c r="AC1012" s="170">
        <f t="shared" si="2863"/>
        <v>111454.83968648824</v>
      </c>
      <c r="AD1012" s="175">
        <f t="shared" si="2999"/>
        <v>2.3423668613899488E-2</v>
      </c>
      <c r="AE1012" s="170"/>
      <c r="AF1012" s="170"/>
      <c r="AG1012" s="121">
        <f t="shared" si="3000"/>
        <v>362.78864674314326</v>
      </c>
      <c r="AH1012" s="119">
        <f>+AZ1012/$BB$52</f>
        <v>8.3852520363019156E-3</v>
      </c>
      <c r="AI1012" s="119">
        <f>+AZ1012/$BC$52</f>
        <v>3.5723928847267029E-2</v>
      </c>
      <c r="AJ1012" s="176">
        <f t="shared" si="3005"/>
        <v>3.0420742388501583</v>
      </c>
      <c r="AK1012" s="176">
        <f t="shared" si="3006"/>
        <v>12.960235802848343</v>
      </c>
      <c r="AL1012" s="120">
        <f t="shared" si="2987"/>
        <v>0.2415652409088351</v>
      </c>
      <c r="AM1012" s="120">
        <f t="shared" si="2988"/>
        <v>0.34983158699941835</v>
      </c>
      <c r="AN1012" s="120">
        <f t="shared" si="2989"/>
        <v>0.40860317209174662</v>
      </c>
      <c r="AO1012" s="120">
        <f t="shared" si="2994"/>
        <v>3.7800763176348532E-3</v>
      </c>
      <c r="AP1012" s="173">
        <f t="shared" si="3010"/>
        <v>105.48190395136506</v>
      </c>
      <c r="AQ1012" s="175">
        <f t="shared" si="3011"/>
        <v>3.7800763176347647E-3</v>
      </c>
      <c r="AR1012" s="177">
        <f>+AC1012/$AE$52</f>
        <v>9.7940901191464983E-3</v>
      </c>
      <c r="AS1012" s="177">
        <f t="shared" si="3007"/>
        <v>3.7022408112166327E-5</v>
      </c>
      <c r="AT1012" s="177"/>
      <c r="AU1012" s="177"/>
      <c r="AV1012" s="177"/>
      <c r="AW1012" s="190"/>
      <c r="AX1012" s="120"/>
      <c r="AY1012" s="120"/>
      <c r="AZ1012" s="118">
        <f>IFERROR(INDEX('Total Customers'!$F$7:$AB$91,MATCH($C1012,'Total Customers'!$D$7:$D$91,0),MATCH($G1012,'Total Customers'!$F$5:$AB$5,0)),"NA")</f>
        <v>307217</v>
      </c>
      <c r="BA1012" s="119">
        <f t="shared" si="2969"/>
        <v>4.6884491515955589E-3</v>
      </c>
      <c r="BB1012" s="119"/>
      <c r="BC1012" s="121">
        <v>8599754</v>
      </c>
      <c r="BD1012" s="119"/>
      <c r="BE1012" s="119"/>
      <c r="BF1012" s="119"/>
      <c r="BG1012" s="173"/>
      <c r="BH1012" s="173"/>
      <c r="BI1012" s="173"/>
      <c r="BJ1012" s="173"/>
      <c r="BK1012" s="173"/>
      <c r="BL1012" s="173"/>
      <c r="BM1012" s="173"/>
      <c r="BN1012" s="173"/>
      <c r="BO1012" s="173"/>
      <c r="BP1012" s="173"/>
      <c r="BQ1012" s="118"/>
      <c r="BR1012" s="118"/>
      <c r="BS1012" s="118">
        <f>INDEX('Dist. Plant Gas Additions'!$F$7:$AE$91,MATCH($C1012,'Dist. Plant Gas Additions'!$D$7:$D$91,0),MATCH(Calculation!$G1012,'Dist. Plant Gas Additions'!$F$5:$AE$5,0))</f>
        <v>30330</v>
      </c>
      <c r="BT1012" s="118">
        <f>INDEX('Gen. Plant Additions'!$F$7:$AE$91,MATCH($C1012,'Gen. Plant Additions'!$D$7:$D$91,0),MATCH(Calculation!$G1012,'Gen. Plant Additions'!$F$5:$AE$5,0))</f>
        <v>702</v>
      </c>
      <c r="BU1012" s="118"/>
      <c r="BV1012" s="118"/>
      <c r="BW1012" s="118">
        <f>INDEX('Dist Plant Depreciation'!$E$7:$AD$94,MATCH($C1012,'Dist Plant Depreciation'!$D$7:$D$94,0),MATCH(Calculation!$G1012,'Dist Plant Depreciation'!$E$5:$AD$5,0))</f>
        <v>289087</v>
      </c>
      <c r="BX1012" s="118">
        <f>INDEX('Gen. Plant Depreciation'!$E$7:$AD$94,MATCH($C1012,'Gen. Plant Depreciation'!$D$7:$D$94,0),MATCH(Calculation!$G1012,'Gen. Plant Depreciation'!$E$5:$AD$5,0))</f>
        <v>2195</v>
      </c>
      <c r="BY1012" s="118"/>
      <c r="BZ1012" s="118"/>
      <c r="CA1012" s="118"/>
      <c r="CB1012" s="118"/>
      <c r="CC1012" s="118"/>
      <c r="CD1012" s="183"/>
      <c r="CE1012" s="118">
        <f>INDEX('Gross Dx Plant'!$E$7:$AD$91,MATCH($C1012,'Gross Dx Plant'!$D$7:$D$91,0),MATCH(Calculation!$G1012,'Gross Dx Plant'!$E$5:$AD$5,0))</f>
        <v>735851</v>
      </c>
      <c r="CF1012" s="118">
        <f>INDEX('Gross Gen Plant'!$E$7:$AD$91,MATCH($C1012,'Gross Gen Plant'!$D$7:$D$91,0),MATCH(Calculation!$G1012,'Gross Gen Plant'!$E$5:$AD$5,0))</f>
        <v>5654</v>
      </c>
      <c r="CG1012" s="118">
        <f t="shared" si="3018"/>
        <v>450223</v>
      </c>
      <c r="CH1012" s="118"/>
      <c r="CI1012" s="121">
        <v>2014</v>
      </c>
      <c r="CJ1012" s="118"/>
      <c r="CK1012" s="118"/>
      <c r="CL1012" s="118"/>
      <c r="CM1012" s="183"/>
      <c r="CN1012" s="118">
        <f t="shared" si="2990"/>
        <v>31032</v>
      </c>
      <c r="CO1012" s="118">
        <f t="shared" si="2970"/>
        <v>45.337325026471142</v>
      </c>
      <c r="CP1012" s="186">
        <v>0.89743589743589747</v>
      </c>
      <c r="CQ1012" s="118">
        <f>+CQ996*CP1012+CO997*CP1011+CO998*CP1010+CO999*CP1009+CO1000*CP1008+CO1001*CP1007+CO1002*CP1006+CO1003*CP1005+CO1004*CP1004+CO1005*CP1003+CO1006*CP1002+CO1007*CP1001+CO1008*CP1000+CO1009*CP999+CO1010*CP998+CO1011*CP997+CO1012</f>
        <v>2087.2280984428694</v>
      </c>
      <c r="CR1012" s="119">
        <f t="shared" si="2971"/>
        <v>1.3709195201297509E-2</v>
      </c>
      <c r="CS1012" s="119"/>
      <c r="CT1012" s="177">
        <f t="shared" si="2972"/>
        <v>8.21754337640874E-3</v>
      </c>
      <c r="CU1012" s="177">
        <f t="shared" si="2980"/>
        <v>7.9350870061392128E-3</v>
      </c>
      <c r="CV1012" s="119">
        <f>VLOOKUP($H1012,RoR!$E:$F,2,FALSE)</f>
        <v>4.1625000000000002E-2</v>
      </c>
      <c r="CW1012" s="177">
        <v>1.841352814597208E-2</v>
      </c>
      <c r="CX1012" s="177">
        <f t="shared" si="2978"/>
        <v>2.3211471854027922E-2</v>
      </c>
      <c r="CY1012" s="177">
        <f t="shared" si="2981"/>
        <v>2.2966854602394414E-2</v>
      </c>
      <c r="CZ1012" s="177">
        <f t="shared" si="2982"/>
        <v>3.9072621432650924E-2</v>
      </c>
      <c r="DA1012" s="187">
        <f t="shared" si="2973"/>
        <v>0.85131374874999999</v>
      </c>
      <c r="DB1012" s="188">
        <f t="shared" si="2974"/>
        <v>1.2320012320012319</v>
      </c>
      <c r="DC1012" s="188">
        <f t="shared" si="2975"/>
        <v>0.37439939939939942</v>
      </c>
      <c r="DD1012" s="188">
        <f t="shared" si="2976"/>
        <v>0.80432100613819935</v>
      </c>
      <c r="DE1012" s="188">
        <f t="shared" si="2977"/>
        <v>0.37100152660040037</v>
      </c>
      <c r="DF1012" s="189">
        <f>INDEX('State Tax Lookup'!$D$7:$Z$91,MATCH(Calculation!$C1012,'State Tax Lookup'!$B$7:$B$91,0),MATCH($H1012,'State Tax Lookup'!$D$6:$Z$6,0))</f>
        <v>0.39649667</v>
      </c>
      <c r="DG1012" s="189">
        <v>0.375</v>
      </c>
      <c r="DH1012" s="190">
        <f t="shared" si="2979"/>
        <v>22.119972390763952</v>
      </c>
      <c r="DI1012" s="190">
        <v>21.723437044658631</v>
      </c>
      <c r="DJ1012" s="177"/>
      <c r="DK1012" s="189">
        <f>VLOOKUP($H1012,RoR!$E:$F,2,FALSE)</f>
        <v>4.1625000000000002E-2</v>
      </c>
      <c r="DL1012" s="191">
        <f>HLOOKUP($H1012,'GDP-PI'!$D$8:$CQ$11,3,FALSE)</f>
        <v>1.841352814597208E-2</v>
      </c>
      <c r="DM1012" s="189">
        <f>VLOOKUP(H1012,'HW Dx Data'!$E:$F,2,FALSE)</f>
        <v>684.46914285042885</v>
      </c>
      <c r="DN1012" s="183">
        <f>VLOOKUP(H1012,'ECI - Input Price'!$G$17:$H$37,2,FALSE)</f>
        <v>121.2</v>
      </c>
      <c r="DO1012" s="177">
        <f t="shared" ref="DO1012" si="3025">LN(DN1012/DN1011)</f>
        <v>2.0632179200028689E-2</v>
      </c>
      <c r="DP1012" s="183">
        <f>HLOOKUP(H1012,'GDP-PI'!$8:$9,2,FALSE)</f>
        <v>103.64700000000001</v>
      </c>
      <c r="DQ1012" s="177">
        <f t="shared" ref="DQ1012" si="3026">LN(DP1012/DP1011)</f>
        <v>1.8246051898256087E-2</v>
      </c>
    </row>
    <row r="1013" spans="1:121" s="167" customFormat="1" ht="21" x14ac:dyDescent="0.35">
      <c r="A1013" s="167" t="s">
        <v>98</v>
      </c>
      <c r="B1013" s="167" t="s">
        <v>99</v>
      </c>
      <c r="C1013" s="167">
        <v>4057096</v>
      </c>
      <c r="D1013" s="168" t="s">
        <v>136</v>
      </c>
      <c r="E1013" s="168" t="s">
        <v>126</v>
      </c>
      <c r="F1013" s="198"/>
      <c r="G1013" s="167" t="s">
        <v>21</v>
      </c>
      <c r="H1013" s="169">
        <v>2015</v>
      </c>
      <c r="I1013" s="170"/>
      <c r="J1013" s="166">
        <f>IFERROR(INDEX('Labor Expenditures'!$F$7:$X$91,MATCH($C1013,'Labor Expenditures'!$D$7:$D$91,0),MATCH($G1013,'Labor Expenditures'!$F$5:$X$5,0)),"NA")</f>
        <v>29570.99715815932</v>
      </c>
      <c r="K1013" s="166">
        <f t="shared" si="2985"/>
        <v>238.95755279320662</v>
      </c>
      <c r="L1013" s="172">
        <f t="shared" si="2993"/>
        <v>7.2968937495794028E-2</v>
      </c>
      <c r="M1013" s="172">
        <f t="shared" si="2997"/>
        <v>7.4589808666992909E-4</v>
      </c>
      <c r="N1013" s="196"/>
      <c r="O1013" s="172"/>
      <c r="P1013" s="166">
        <f>IFERROR(INDEX('Non-Labor Expenditures'!$F$7:$AB$91,MATCH($C1013,'Non-Labor Expenditures'!$D$7:$D$91,0),MATCH($G1013,'Non-Labor Expenditures'!$F$5:$AB$5,0)),"NA")</f>
        <v>42824.326985430154</v>
      </c>
      <c r="Q1013" s="166">
        <f t="shared" si="2986"/>
        <v>409.2578004895895</v>
      </c>
      <c r="R1013" s="172">
        <f t="shared" si="2998"/>
        <v>8.4264829123936819E-2</v>
      </c>
      <c r="S1013" s="172">
        <f t="shared" si="3003"/>
        <v>8.6136617818692888E-4</v>
      </c>
      <c r="T1013" s="172"/>
      <c r="U1013" s="172"/>
      <c r="V1013" s="166">
        <f t="shared" si="2968"/>
        <v>45105.402457726894</v>
      </c>
      <c r="W1013" s="170"/>
      <c r="X1013" s="174">
        <v>2103.7069659496556</v>
      </c>
      <c r="Y1013" s="175">
        <v>7.8640934207028692E-3</v>
      </c>
      <c r="Z1013" s="175">
        <f t="shared" si="3004"/>
        <v>8.0387798386593709E-5</v>
      </c>
      <c r="AA1013" s="175"/>
      <c r="AB1013" s="175"/>
      <c r="AC1013" s="170">
        <f t="shared" si="2863"/>
        <v>117500.72660131636</v>
      </c>
      <c r="AD1013" s="175">
        <f t="shared" si="2999"/>
        <v>5.2825033784074001E-2</v>
      </c>
      <c r="AE1013" s="170"/>
      <c r="AF1013" s="170"/>
      <c r="AG1013" s="121">
        <f t="shared" si="3000"/>
        <v>380.60860267725354</v>
      </c>
      <c r="AH1013" s="119">
        <f>+AZ1013/$BB$53</f>
        <v>8.3578994970735475E-3</v>
      </c>
      <c r="AI1013" s="119">
        <f>+AZ1013/$BC$53</f>
        <v>3.5652397954570154E-2</v>
      </c>
      <c r="AJ1013" s="176">
        <f t="shared" si="3005"/>
        <v>3.1810884488980831</v>
      </c>
      <c r="AK1013" s="176">
        <f t="shared" si="3006"/>
        <v>13.569609367582318</v>
      </c>
      <c r="AL1013" s="120">
        <f t="shared" si="2987"/>
        <v>0.25166650465485746</v>
      </c>
      <c r="AM1013" s="120">
        <f t="shared" si="2988"/>
        <v>0.36446010355948211</v>
      </c>
      <c r="AN1013" s="120">
        <f t="shared" si="2989"/>
        <v>0.38387339178566049</v>
      </c>
      <c r="AO1013" s="120">
        <f t="shared" si="2994"/>
        <v>5.1206186697310856E-2</v>
      </c>
      <c r="AP1013" s="173">
        <f t="shared" si="3010"/>
        <v>111.02391164897188</v>
      </c>
      <c r="AQ1013" s="175">
        <f t="shared" si="3011"/>
        <v>5.1206186697310779E-2</v>
      </c>
      <c r="AR1013" s="177">
        <f>+AC1013/$AE$53</f>
        <v>1.0222131666819503E-2</v>
      </c>
      <c r="AS1013" s="177">
        <f t="shared" si="3007"/>
        <v>5.234363825756521E-4</v>
      </c>
      <c r="AT1013" s="177"/>
      <c r="AU1013" s="177"/>
      <c r="AV1013" s="177"/>
      <c r="AW1013" s="190"/>
      <c r="AX1013" s="120"/>
      <c r="AY1013" s="120"/>
      <c r="AZ1013" s="118">
        <f>IFERROR(INDEX('Total Customers'!$F$7:$AB$91,MATCH($C1013,'Total Customers'!$D$7:$D$91,0),MATCH($G1013,'Total Customers'!$F$5:$AB$5,0)),"NA")</f>
        <v>308718</v>
      </c>
      <c r="BA1013" s="119">
        <f t="shared" si="2969"/>
        <v>4.8739005620454766E-3</v>
      </c>
      <c r="BB1013" s="119"/>
      <c r="BC1013" s="121">
        <v>8659109</v>
      </c>
      <c r="BD1013" s="119"/>
      <c r="BE1013" s="119"/>
      <c r="BF1013" s="119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18"/>
      <c r="BR1013" s="118"/>
      <c r="BS1013" s="118">
        <f>INDEX('Dist. Plant Gas Additions'!$F$7:$AE$91,MATCH($C1013,'Dist. Plant Gas Additions'!$D$7:$D$91,0),MATCH(Calculation!$G1013,'Dist. Plant Gas Additions'!$F$5:$AE$5,0))</f>
        <v>22894</v>
      </c>
      <c r="BT1013" s="118">
        <f>INDEX('Gen. Plant Additions'!$F$7:$AE$91,MATCH($C1013,'Gen. Plant Additions'!$D$7:$D$91,0),MATCH(Calculation!$G1013,'Gen. Plant Additions'!$F$5:$AE$5,0))</f>
        <v>255</v>
      </c>
      <c r="BU1013" s="118"/>
      <c r="BV1013" s="118"/>
      <c r="BW1013" s="118">
        <f>INDEX('Dist Plant Depreciation'!$E$7:$AD$94,MATCH($C1013,'Dist Plant Depreciation'!$D$7:$D$94,0),MATCH(Calculation!$G1013,'Dist Plant Depreciation'!$E$5:$AD$5,0))</f>
        <v>307261</v>
      </c>
      <c r="BX1013" s="118">
        <f>INDEX('Gen. Plant Depreciation'!$E$7:$AD$94,MATCH($C1013,'Gen. Plant Depreciation'!$D$7:$D$94,0),MATCH(Calculation!$G1013,'Gen. Plant Depreciation'!$E$5:$AD$5,0))</f>
        <v>4307</v>
      </c>
      <c r="BY1013" s="118"/>
      <c r="BZ1013" s="118"/>
      <c r="CA1013" s="118"/>
      <c r="CB1013" s="118"/>
      <c r="CC1013" s="118"/>
      <c r="CD1013" s="183"/>
      <c r="CE1013" s="118">
        <f>INDEX('Gross Dx Plant'!$E$7:$AD$91,MATCH($C1013,'Gross Dx Plant'!$D$7:$D$91,0),MATCH(Calculation!$G1013,'Gross Dx Plant'!$E$5:$AD$5,0))</f>
        <v>754937</v>
      </c>
      <c r="CF1013" s="118">
        <f>INDEX('Gross Gen Plant'!$E$7:$AD$91,MATCH($C1013,'Gross Gen Plant'!$D$7:$D$91,0),MATCH(Calculation!$G1013,'Gross Gen Plant'!$E$5:$AD$5,0))</f>
        <v>5909</v>
      </c>
      <c r="CG1013" s="118">
        <f t="shared" si="3018"/>
        <v>449278</v>
      </c>
      <c r="CH1013" s="118"/>
      <c r="CI1013" s="121">
        <v>2015</v>
      </c>
      <c r="CJ1013" s="118"/>
      <c r="CK1013" s="118"/>
      <c r="CL1013" s="118"/>
      <c r="CM1013" s="183"/>
      <c r="CN1013" s="118">
        <f t="shared" si="2990"/>
        <v>23149</v>
      </c>
      <c r="CO1013" s="118">
        <f t="shared" si="2970"/>
        <v>34.263615478900959</v>
      </c>
      <c r="CP1013" s="186">
        <v>0.88888888888888884</v>
      </c>
      <c r="CQ1013" s="118">
        <f>+CQ996*CP1013+CO997*CP1012+CO998*CP1011+CO999*CP1010+CO1000*CP1009+CO1001*CP1008+CO1002*CP1007+CO1003*CP1006+CO1004*CP1005+CO1005*CP1004+CO1006*CP1003+CO1007*CP1002+CO1008*CP1001+CO1009*CP1000+CO1010*CP999+CO1011*CP998+CO1012*CP997+CO1013</f>
        <v>2103.7069659496556</v>
      </c>
      <c r="CR1013" s="119">
        <f t="shared" si="2971"/>
        <v>7.8640934207028692E-3</v>
      </c>
      <c r="CS1013" s="119"/>
      <c r="CT1013" s="177">
        <f t="shared" si="2972"/>
        <v>8.5207495938669602E-3</v>
      </c>
      <c r="CU1013" s="177">
        <f t="shared" si="2980"/>
        <v>8.221599472183776E-3</v>
      </c>
      <c r="CV1013" s="119">
        <f>VLOOKUP($H1013,RoR!$E:$F,2,FALSE)</f>
        <v>3.8866666666666674E-2</v>
      </c>
      <c r="CW1013" s="177">
        <v>9.5709475431029478E-3</v>
      </c>
      <c r="CX1013" s="177">
        <f t="shared" si="2978"/>
        <v>2.9295719123563727E-2</v>
      </c>
      <c r="CY1013" s="177">
        <f t="shared" si="2981"/>
        <v>2.2680342136349847E-2</v>
      </c>
      <c r="CZ1013" s="177">
        <f t="shared" si="2982"/>
        <v>3.5270373279175926E-3</v>
      </c>
      <c r="DA1013" s="187">
        <f t="shared" si="2973"/>
        <v>0.85131374874999999</v>
      </c>
      <c r="DB1013" s="188">
        <f t="shared" si="2974"/>
        <v>1.3194352816994324</v>
      </c>
      <c r="DC1013" s="188">
        <f t="shared" si="2975"/>
        <v>0.33177530017152673</v>
      </c>
      <c r="DD1013" s="188">
        <f t="shared" si="2976"/>
        <v>0.78242572977668579</v>
      </c>
      <c r="DE1013" s="188">
        <f t="shared" si="2977"/>
        <v>0.34251158643433932</v>
      </c>
      <c r="DF1013" s="189">
        <f>INDEX('State Tax Lookup'!$D$7:$Z$91,MATCH(Calculation!$C1013,'State Tax Lookup'!$B$7:$B$91,0),MATCH($H1013,'State Tax Lookup'!$D$6:$Z$6,0))</f>
        <v>0.39649667</v>
      </c>
      <c r="DG1013" s="189">
        <v>0.375</v>
      </c>
      <c r="DH1013" s="190">
        <f t="shared" si="2979"/>
        <v>21.610193198997649</v>
      </c>
      <c r="DI1013" s="190">
        <v>21.177369298801832</v>
      </c>
      <c r="DJ1013" s="177"/>
      <c r="DK1013" s="189">
        <f>VLOOKUP($H1013,RoR!$E:$F,2,FALSE)</f>
        <v>3.8866666666666674E-2</v>
      </c>
      <c r="DL1013" s="191">
        <f>HLOOKUP($H1013,'GDP-PI'!$D$8:$CQ$11,3,FALSE)</f>
        <v>9.5709475431029478E-3</v>
      </c>
      <c r="DM1013" s="189">
        <f>VLOOKUP(H1013,'HW Dx Data'!$E:$F,2,FALSE)</f>
        <v>675.61463308665782</v>
      </c>
      <c r="DN1013" s="183">
        <f>VLOOKUP(H1013,'ECI - Input Price'!$G$17:$H$37,2,FALSE)</f>
        <v>123.75</v>
      </c>
      <c r="DO1013" s="177">
        <f t="shared" ref="DO1013" si="3027">LN(DN1013/DN1012)</f>
        <v>2.0821327813585516E-2</v>
      </c>
      <c r="DP1013" s="183">
        <f>HLOOKUP(H1013,'GDP-PI'!$8:$9,2,FALSE)</f>
        <v>104.639</v>
      </c>
      <c r="DQ1013" s="177">
        <f t="shared" ref="DQ1013" si="3028">LN(DP1013/DP1012)</f>
        <v>9.5254361854427965E-3</v>
      </c>
    </row>
    <row r="1014" spans="1:121" s="167" customFormat="1" ht="21" x14ac:dyDescent="0.35">
      <c r="A1014" s="167" t="s">
        <v>98</v>
      </c>
      <c r="B1014" s="167" t="s">
        <v>99</v>
      </c>
      <c r="C1014" s="167">
        <v>4057096</v>
      </c>
      <c r="D1014" s="168" t="s">
        <v>136</v>
      </c>
      <c r="E1014" s="168" t="s">
        <v>126</v>
      </c>
      <c r="F1014" s="198"/>
      <c r="G1014" s="167" t="s">
        <v>22</v>
      </c>
      <c r="H1014" s="169">
        <v>2016</v>
      </c>
      <c r="I1014" s="170"/>
      <c r="J1014" s="166">
        <f>IFERROR(INDEX('Labor Expenditures'!$F$7:$X$91,MATCH($C1014,'Labor Expenditures'!$D$7:$D$91,0),MATCH($G1014,'Labor Expenditures'!$F$5:$X$5,0)),"NA")</f>
        <v>29351.934835500797</v>
      </c>
      <c r="K1014" s="166">
        <f t="shared" si="2985"/>
        <v>232.21467433149363</v>
      </c>
      <c r="L1014" s="172">
        <f t="shared" si="2993"/>
        <v>-2.8623668566787205E-2</v>
      </c>
      <c r="M1014" s="172">
        <f t="shared" si="2997"/>
        <v>-2.8007567687876204E-4</v>
      </c>
      <c r="N1014" s="196"/>
      <c r="O1014" s="172"/>
      <c r="P1014" s="166">
        <f>IFERROR(INDEX('Non-Labor Expenditures'!$F$7:$AB$91,MATCH($C1014,'Non-Labor Expenditures'!$D$7:$D$91,0),MATCH($G1014,'Non-Labor Expenditures'!$F$5:$AB$5,0)),"NA")</f>
        <v>42507.083827022565</v>
      </c>
      <c r="Q1014" s="166">
        <f t="shared" si="2986"/>
        <v>402.01146087446625</v>
      </c>
      <c r="R1014" s="172">
        <f t="shared" si="2998"/>
        <v>-1.7864678670034807E-2</v>
      </c>
      <c r="S1014" s="172">
        <f t="shared" si="3003"/>
        <v>-1.7480156182835452E-4</v>
      </c>
      <c r="T1014" s="172"/>
      <c r="U1014" s="172"/>
      <c r="V1014" s="166">
        <f t="shared" si="2968"/>
        <v>44558.919214840003</v>
      </c>
      <c r="W1014" s="170"/>
      <c r="X1014" s="174">
        <v>2138.6458759751144</v>
      </c>
      <c r="Y1014" s="175">
        <v>1.6471850078439924E-2</v>
      </c>
      <c r="Z1014" s="175">
        <f t="shared" si="3004"/>
        <v>1.6117307078931034E-4</v>
      </c>
      <c r="AA1014" s="175"/>
      <c r="AB1014" s="175"/>
      <c r="AC1014" s="170">
        <f t="shared" si="2863"/>
        <v>116417.93787736337</v>
      </c>
      <c r="AD1014" s="175">
        <f t="shared" si="2999"/>
        <v>-9.2578885061453762E-3</v>
      </c>
      <c r="AE1014" s="170"/>
      <c r="AF1014" s="170"/>
      <c r="AG1014" s="121">
        <f t="shared" si="3000"/>
        <v>374.79215078669552</v>
      </c>
      <c r="AH1014" s="119">
        <f>+AZ1014/$BB$54</f>
        <v>8.336733250933169E-3</v>
      </c>
      <c r="AI1014" s="119">
        <f>+AZ1014/$BC$54</f>
        <v>3.5462632543901022E-2</v>
      </c>
      <c r="AJ1014" s="176">
        <f t="shared" si="3005"/>
        <v>3.1245421856522024</v>
      </c>
      <c r="AK1014" s="176">
        <f t="shared" si="3006"/>
        <v>13.291116323686927</v>
      </c>
      <c r="AL1014" s="120">
        <f t="shared" si="2987"/>
        <v>0.25212553469569804</v>
      </c>
      <c r="AM1014" s="120">
        <f t="shared" si="2988"/>
        <v>0.36512486479360468</v>
      </c>
      <c r="AN1014" s="120">
        <f t="shared" si="2989"/>
        <v>0.38274960051069729</v>
      </c>
      <c r="AO1014" s="120">
        <f t="shared" si="2994"/>
        <v>-7.413239193640459E-3</v>
      </c>
      <c r="AP1014" s="173">
        <f t="shared" si="3010"/>
        <v>110.20390803252629</v>
      </c>
      <c r="AQ1014" s="175">
        <f t="shared" si="3011"/>
        <v>-7.4132391936405024E-3</v>
      </c>
      <c r="AR1014" s="177">
        <f>+AC1014/$AE$54</f>
        <v>9.7847582403794743E-3</v>
      </c>
      <c r="AS1014" s="177">
        <f t="shared" si="3007"/>
        <v>-7.2536753287877996E-5</v>
      </c>
      <c r="AT1014" s="177"/>
      <c r="AU1014" s="177"/>
      <c r="AV1014" s="177"/>
      <c r="AW1014" s="190"/>
      <c r="AX1014" s="120"/>
      <c r="AY1014" s="120"/>
      <c r="AZ1014" s="118">
        <f>IFERROR(INDEX('Total Customers'!$F$7:$AB$91,MATCH($C1014,'Total Customers'!$D$7:$D$91,0),MATCH($G1014,'Total Customers'!$F$5:$AB$5,0)),"NA")</f>
        <v>310620</v>
      </c>
      <c r="BA1014" s="119">
        <f t="shared" si="2969"/>
        <v>6.1420612957563602E-3</v>
      </c>
      <c r="BB1014" s="119"/>
      <c r="BC1014" s="121">
        <v>8759079</v>
      </c>
      <c r="BD1014" s="119"/>
      <c r="BE1014" s="119"/>
      <c r="BF1014" s="119"/>
      <c r="BG1014" s="173"/>
      <c r="BH1014" s="173"/>
      <c r="BI1014" s="173"/>
      <c r="BJ1014" s="173"/>
      <c r="BK1014" s="173"/>
      <c r="BL1014" s="173"/>
      <c r="BM1014" s="173"/>
      <c r="BN1014" s="173"/>
      <c r="BO1014" s="173"/>
      <c r="BP1014" s="173"/>
      <c r="BQ1014" s="118"/>
      <c r="BR1014" s="118"/>
      <c r="BS1014" s="118">
        <f>INDEX('Dist. Plant Gas Additions'!$F$7:$AE$91,MATCH($C1014,'Dist. Plant Gas Additions'!$D$7:$D$91,0),MATCH(Calculation!$G1014,'Dist. Plant Gas Additions'!$F$5:$AE$5,0))</f>
        <v>35666</v>
      </c>
      <c r="BT1014" s="118">
        <f>INDEX('Gen. Plant Additions'!$F$7:$AE$91,MATCH($C1014,'Gen. Plant Additions'!$D$7:$D$91,0),MATCH(Calculation!$G1014,'Gen. Plant Additions'!$F$5:$AE$5,0))</f>
        <v>310</v>
      </c>
      <c r="BU1014" s="118"/>
      <c r="BV1014" s="118"/>
      <c r="BW1014" s="118">
        <f>INDEX('Dist Plant Depreciation'!$E$7:$AD$94,MATCH($C1014,'Dist Plant Depreciation'!$D$7:$D$94,0),MATCH(Calculation!$G1014,'Dist Plant Depreciation'!$E$5:$AD$5,0))</f>
        <v>316284</v>
      </c>
      <c r="BX1014" s="118">
        <f>INDEX('Gen. Plant Depreciation'!$E$7:$AD$94,MATCH($C1014,'Gen. Plant Depreciation'!$D$7:$D$94,0),MATCH(Calculation!$G1014,'Gen. Plant Depreciation'!$E$5:$AD$5,0))</f>
        <v>2686</v>
      </c>
      <c r="BY1014" s="118"/>
      <c r="BZ1014" s="118"/>
      <c r="CA1014" s="118"/>
      <c r="CB1014" s="118"/>
      <c r="CC1014" s="118"/>
      <c r="CD1014" s="183"/>
      <c r="CE1014" s="118">
        <f>INDEX('Gross Dx Plant'!$E$7:$AD$91,MATCH($C1014,'Gross Dx Plant'!$D$7:$D$91,0),MATCH(Calculation!$G1014,'Gross Dx Plant'!$E$5:$AD$5,0))</f>
        <v>786839</v>
      </c>
      <c r="CF1014" s="118">
        <f>INDEX('Gross Gen Plant'!$E$7:$AD$91,MATCH($C1014,'Gross Gen Plant'!$D$7:$D$91,0),MATCH(Calculation!$G1014,'Gross Gen Plant'!$E$5:$AD$5,0))</f>
        <v>6220</v>
      </c>
      <c r="CG1014" s="118">
        <f t="shared" si="3018"/>
        <v>474089</v>
      </c>
      <c r="CH1014" s="118"/>
      <c r="CI1014" s="121">
        <v>2016</v>
      </c>
      <c r="CJ1014" s="118"/>
      <c r="CK1014" s="118"/>
      <c r="CL1014" s="118"/>
      <c r="CM1014" s="183"/>
      <c r="CN1014" s="118">
        <f t="shared" si="2990"/>
        <v>35976</v>
      </c>
      <c r="CO1014" s="118">
        <f t="shared" si="2970"/>
        <v>53.579056404840024</v>
      </c>
      <c r="CP1014" s="186">
        <v>0.88</v>
      </c>
      <c r="CQ1014" s="118">
        <f>+CQ996*CP1014+CO997*CP1013+CO998*CP1012+CO999*CP1011+CO1000*CP1010+CO1001*CP1009+CO1002*CP1008+CO1003*CP1007+CO1004*CP1006+CO1005*CP1005+CO1006*CP1004+CO1007*CP1003+CO1008*CP1002+CO1009*CP1001+CO1010*CP1000+CO1011*CP999+CO1012*CP998+CO1013*CP997+CO1014</f>
        <v>2138.6458759751144</v>
      </c>
      <c r="CR1014" s="119">
        <f t="shared" si="2971"/>
        <v>1.6471850078439924E-2</v>
      </c>
      <c r="CS1014" s="119"/>
      <c r="CT1014" s="177">
        <f t="shared" si="2972"/>
        <v>8.8606192217301552E-3</v>
      </c>
      <c r="CU1014" s="177">
        <f t="shared" si="2980"/>
        <v>8.5329707306686185E-3</v>
      </c>
      <c r="CV1014" s="119">
        <f>VLOOKUP($H1014,RoR!$E:$F,2,FALSE)</f>
        <v>3.6658333333333334E-2</v>
      </c>
      <c r="CW1014" s="177">
        <v>1.0483662879041455E-2</v>
      </c>
      <c r="CX1014" s="177">
        <f t="shared" si="2978"/>
        <v>2.6174670454291879E-2</v>
      </c>
      <c r="CY1014" s="177">
        <f t="shared" si="2981"/>
        <v>2.2368970877865005E-2</v>
      </c>
      <c r="CZ1014" s="177">
        <f t="shared" si="2982"/>
        <v>4.301363574220729E-3</v>
      </c>
      <c r="DA1014" s="187">
        <f t="shared" si="2973"/>
        <v>0.85131374874999999</v>
      </c>
      <c r="DB1014" s="188">
        <f t="shared" si="2974"/>
        <v>1.3989193348138562</v>
      </c>
      <c r="DC1014" s="188">
        <f t="shared" si="2975"/>
        <v>0.29302682427824522</v>
      </c>
      <c r="DD1014" s="188">
        <f t="shared" si="2976"/>
        <v>0.76309497491941802</v>
      </c>
      <c r="DE1014" s="188">
        <f t="shared" si="2977"/>
        <v>0.31280857135128509</v>
      </c>
      <c r="DF1014" s="189">
        <f>INDEX('State Tax Lookup'!$D$7:$Z$91,MATCH(Calculation!$C1014,'State Tax Lookup'!$B$7:$B$91,0),MATCH($H1014,'State Tax Lookup'!$D$6:$Z$6,0))</f>
        <v>0.39649667</v>
      </c>
      <c r="DG1014" s="189">
        <v>0.375</v>
      </c>
      <c r="DH1014" s="190">
        <f t="shared" si="2979"/>
        <v>21.181143541408208</v>
      </c>
      <c r="DI1014" s="190">
        <v>20.701639093092968</v>
      </c>
      <c r="DJ1014" s="177"/>
      <c r="DK1014" s="189">
        <f>VLOOKUP($H1014,RoR!$E:$F,2,FALSE)</f>
        <v>3.6658333333333334E-2</v>
      </c>
      <c r="DL1014" s="191">
        <f>HLOOKUP($H1014,'GDP-PI'!$D$8:$CQ$11,3,FALSE)</f>
        <v>1.0483662879041455E-2</v>
      </c>
      <c r="DM1014" s="189">
        <f>VLOOKUP(H1014,'HW Dx Data'!$E:$F,2,FALSE)</f>
        <v>671.45639385971219</v>
      </c>
      <c r="DN1014" s="183">
        <f>VLOOKUP(H1014,'ECI - Input Price'!$G$17:$H$37,2,FALSE)</f>
        <v>126.4</v>
      </c>
      <c r="DO1014" s="177">
        <f t="shared" ref="DO1014" si="3029">LN(DN1014/DN1013)</f>
        <v>2.11880802639575E-2</v>
      </c>
      <c r="DP1014" s="183">
        <f>HLOOKUP(H1014,'GDP-PI'!$8:$9,2,FALSE)</f>
        <v>105.736</v>
      </c>
      <c r="DQ1014" s="177">
        <f t="shared" ref="DQ1014" si="3030">LN(DP1014/DP1013)</f>
        <v>1.0429090367205095E-2</v>
      </c>
    </row>
    <row r="1015" spans="1:121" s="167" customFormat="1" ht="21" x14ac:dyDescent="0.35">
      <c r="A1015" s="167" t="s">
        <v>98</v>
      </c>
      <c r="B1015" s="167" t="s">
        <v>99</v>
      </c>
      <c r="C1015" s="167">
        <v>4057096</v>
      </c>
      <c r="D1015" s="168" t="s">
        <v>136</v>
      </c>
      <c r="E1015" s="168" t="s">
        <v>126</v>
      </c>
      <c r="F1015" s="198"/>
      <c r="G1015" s="167" t="s">
        <v>23</v>
      </c>
      <c r="H1015" s="169">
        <v>2017</v>
      </c>
      <c r="I1015" s="170"/>
      <c r="J1015" s="166">
        <f>IFERROR(INDEX('Labor Expenditures'!$F$7:$X$91,MATCH($C1015,'Labor Expenditures'!$D$7:$D$91,0),MATCH($G1015,'Labor Expenditures'!$F$5:$X$5,0)),"NA")</f>
        <v>29187.325427550655</v>
      </c>
      <c r="K1015" s="166">
        <f t="shared" si="2985"/>
        <v>225.3847523362985</v>
      </c>
      <c r="L1015" s="172">
        <f t="shared" si="2993"/>
        <v>-2.9853312030825956E-2</v>
      </c>
      <c r="M1015" s="172">
        <f t="shared" si="2997"/>
        <v>-2.8286269372502642E-4</v>
      </c>
      <c r="N1015" s="196"/>
      <c r="O1015" s="172"/>
      <c r="P1015" s="166">
        <f>IFERROR(INDEX('Non-Labor Expenditures'!$F$7:$AB$91,MATCH($C1015,'Non-Labor Expenditures'!$D$7:$D$91,0),MATCH($G1015,'Non-Labor Expenditures'!$F$5:$AB$5,0)),"NA")</f>
        <v>42268.698659514273</v>
      </c>
      <c r="Q1015" s="166">
        <f t="shared" si="2986"/>
        <v>392.28126569140215</v>
      </c>
      <c r="R1015" s="172">
        <f t="shared" si="2998"/>
        <v>-2.4501500831735835E-2</v>
      </c>
      <c r="S1015" s="172">
        <f t="shared" si="3003"/>
        <v>-2.3215382328146405E-4</v>
      </c>
      <c r="T1015" s="172"/>
      <c r="U1015" s="172"/>
      <c r="V1015" s="166">
        <f t="shared" si="2968"/>
        <v>40798.837747016245</v>
      </c>
      <c r="W1015" s="170"/>
      <c r="X1015" s="174">
        <v>2234.7534698876148</v>
      </c>
      <c r="Y1015" s="175">
        <v>4.395805716520234E-2</v>
      </c>
      <c r="Z1015" s="175">
        <f t="shared" si="3004"/>
        <v>4.1650636444722199E-4</v>
      </c>
      <c r="AA1015" s="175"/>
      <c r="AB1015" s="175"/>
      <c r="AC1015" s="170">
        <f t="shared" si="2863"/>
        <v>112254.86183408118</v>
      </c>
      <c r="AD1015" s="175">
        <f t="shared" si="2999"/>
        <v>-3.6414790662474862E-2</v>
      </c>
      <c r="AE1015" s="170"/>
      <c r="AF1015" s="170"/>
      <c r="AG1015" s="121">
        <f t="shared" si="3000"/>
        <v>358.5924675973626</v>
      </c>
      <c r="AH1015" s="119">
        <f>+AZ1015/$BB$55</f>
        <v>8.338639700738993E-3</v>
      </c>
      <c r="AI1015" s="119">
        <f>+AZ1015/$BC$56</f>
        <v>3.5128548337649175E-2</v>
      </c>
      <c r="AJ1015" s="176">
        <f t="shared" si="3005"/>
        <v>2.9901733866933289</v>
      </c>
      <c r="AK1015" s="176">
        <f t="shared" si="3006"/>
        <v>12.596832831510847</v>
      </c>
      <c r="AL1015" s="120">
        <f t="shared" si="2987"/>
        <v>0.2600094548304831</v>
      </c>
      <c r="AM1015" s="120">
        <f t="shared" si="2988"/>
        <v>0.37654225366193689</v>
      </c>
      <c r="AN1015" s="120">
        <f t="shared" si="2989"/>
        <v>0.3634482915075799</v>
      </c>
      <c r="AO1015" s="120">
        <f t="shared" si="2994"/>
        <v>-3.2973678502276615E-4</v>
      </c>
      <c r="AP1015" s="173">
        <f t="shared" si="3010"/>
        <v>110.16757574057046</v>
      </c>
      <c r="AQ1015" s="175">
        <f t="shared" si="3011"/>
        <v>-3.2973678502273043E-4</v>
      </c>
      <c r="AR1015" s="177">
        <f>+AC1015/$AE$55</f>
        <v>9.4750858274267134E-3</v>
      </c>
      <c r="AS1015" s="177">
        <f t="shared" si="3007"/>
        <v>-3.1242843385501221E-6</v>
      </c>
      <c r="AT1015" s="177"/>
      <c r="AU1015" s="177"/>
      <c r="AV1015" s="177"/>
      <c r="AW1015" s="190"/>
      <c r="AX1015" s="120"/>
      <c r="AY1015" s="120"/>
      <c r="AZ1015" s="118">
        <f>IFERROR(INDEX('Total Customers'!$F$7:$AB$91,MATCH($C1015,'Total Customers'!$D$7:$D$91,0),MATCH($G1015,'Total Customers'!$F$5:$AB$5,0)),"NA")</f>
        <v>313043</v>
      </c>
      <c r="BA1015" s="119">
        <f t="shared" si="2969"/>
        <v>7.770261154187089E-3</v>
      </c>
      <c r="BB1015" s="119"/>
      <c r="BC1015" s="121">
        <v>8824403</v>
      </c>
      <c r="BD1015" s="119"/>
      <c r="BE1015" s="119"/>
      <c r="BF1015" s="119"/>
      <c r="BG1015" s="173"/>
      <c r="BH1015" s="173"/>
      <c r="BI1015" s="173"/>
      <c r="BJ1015" s="173"/>
      <c r="BK1015" s="173"/>
      <c r="BL1015" s="173"/>
      <c r="BM1015" s="173"/>
      <c r="BN1015" s="173"/>
      <c r="BO1015" s="173"/>
      <c r="BP1015" s="173"/>
      <c r="BQ1015" s="118"/>
      <c r="BR1015" s="118"/>
      <c r="BS1015" s="118">
        <f>INDEX('Dist. Plant Gas Additions'!$F$7:$AE$91,MATCH($C1015,'Dist. Plant Gas Additions'!$D$7:$D$91,0),MATCH(Calculation!$G1015,'Dist. Plant Gas Additions'!$F$5:$AE$5,0))</f>
        <v>82147</v>
      </c>
      <c r="BT1015" s="118">
        <f>INDEX('Gen. Plant Additions'!$F$7:$AE$91,MATCH($C1015,'Gen. Plant Additions'!$D$7:$D$91,0),MATCH(Calculation!$G1015,'Gen. Plant Additions'!$F$5:$AE$5,0))</f>
        <v>313</v>
      </c>
      <c r="BU1015" s="118"/>
      <c r="BV1015" s="118"/>
      <c r="BW1015" s="118">
        <f>INDEX('Dist Plant Depreciation'!$E$7:$AD$94,MATCH($C1015,'Dist Plant Depreciation'!$D$7:$D$94,0),MATCH(Calculation!$G1015,'Dist Plant Depreciation'!$E$5:$AD$5,0))</f>
        <v>333608</v>
      </c>
      <c r="BX1015" s="118">
        <f>INDEX('Gen. Plant Depreciation'!$E$7:$AD$94,MATCH($C1015,'Gen. Plant Depreciation'!$D$7:$D$94,0),MATCH(Calculation!$G1015,'Gen. Plant Depreciation'!$E$5:$AD$5,0))</f>
        <v>2889</v>
      </c>
      <c r="BY1015" s="118"/>
      <c r="BZ1015" s="118"/>
      <c r="CA1015" s="118"/>
      <c r="CB1015" s="118"/>
      <c r="CC1015" s="118"/>
      <c r="CD1015" s="183"/>
      <c r="CE1015" s="118">
        <f>INDEX('Gross Dx Plant'!$E$7:$AD$91,MATCH($C1015,'Gross Dx Plant'!$D$7:$D$91,0),MATCH(Calculation!$G1015,'Gross Dx Plant'!$E$5:$AD$5,0))</f>
        <v>867459</v>
      </c>
      <c r="CF1015" s="118">
        <f>INDEX('Gross Gen Plant'!$E$7:$AD$91,MATCH($C1015,'Gross Gen Plant'!$D$7:$D$91,0),MATCH(Calculation!$G1015,'Gross Gen Plant'!$E$5:$AD$5,0))</f>
        <v>6495</v>
      </c>
      <c r="CG1015" s="118">
        <f t="shared" si="3018"/>
        <v>537457</v>
      </c>
      <c r="CH1015" s="118"/>
      <c r="CI1015" s="121">
        <v>2017</v>
      </c>
      <c r="CJ1015" s="118"/>
      <c r="CK1015" s="118"/>
      <c r="CL1015" s="118"/>
      <c r="CM1015" s="183"/>
      <c r="CN1015" s="118">
        <f t="shared" si="2990"/>
        <v>82460</v>
      </c>
      <c r="CO1015" s="118">
        <f t="shared" si="2970"/>
        <v>115.74493484171823</v>
      </c>
      <c r="CP1015" s="186">
        <v>0.87074829931972786</v>
      </c>
      <c r="CQ1015" s="118">
        <f>+CQ996*CP1015+CO997*CP1014+CO998*CP1013+CO999*CP1012+CO1000*CP1011+CO1001*CP1010+CO1002*CP1009+CO1003*CP1008+CO1004*CP1007+CO1005*CP1006+CO1006*CP1005+CO1007*CP1004+CO1008*CP1003+CO1009*CP1002+CO1010*CP1001+CO1011*CP1000+CO1012*CP999+CO1013*CP998+CO1014*CP997+CO1015</f>
        <v>2234.7534698876148</v>
      </c>
      <c r="CR1015" s="119">
        <f t="shared" si="2971"/>
        <v>4.395805716520234E-2</v>
      </c>
      <c r="CS1015" s="119"/>
      <c r="CT1015" s="177">
        <f t="shared" si="2972"/>
        <v>9.1821377020935239E-3</v>
      </c>
      <c r="CU1015" s="177">
        <f t="shared" si="2980"/>
        <v>8.8545021725635453E-3</v>
      </c>
      <c r="CV1015" s="119">
        <f>VLOOKUP($H1015,RoR!$E:$F,2,FALSE)</f>
        <v>3.7433333333333339E-2</v>
      </c>
      <c r="CW1015" s="177">
        <v>1.9056896421275615E-2</v>
      </c>
      <c r="CX1015" s="177">
        <f t="shared" si="2978"/>
        <v>1.8376436912057724E-2</v>
      </c>
      <c r="CY1015" s="177">
        <f t="shared" si="2981"/>
        <v>2.2047439435970081E-2</v>
      </c>
      <c r="CZ1015" s="177">
        <f t="shared" si="2982"/>
        <v>1.3976271617800498E-2</v>
      </c>
      <c r="DA1015" s="187">
        <f t="shared" si="2973"/>
        <v>0.90381374874999998</v>
      </c>
      <c r="DB1015" s="188">
        <f t="shared" si="2974"/>
        <v>1.3699568463593395</v>
      </c>
      <c r="DC1015" s="188">
        <f t="shared" si="2975"/>
        <v>0.30714603739982199</v>
      </c>
      <c r="DD1015" s="188">
        <f t="shared" si="2976"/>
        <v>0.77007188472689425</v>
      </c>
      <c r="DE1015" s="188">
        <f t="shared" si="2977"/>
        <v>0.32402839633793828</v>
      </c>
      <c r="DF1015" s="189">
        <f>INDEX('State Tax Lookup'!$D$7:$Z$91,MATCH(Calculation!$C1015,'State Tax Lookup'!$B$7:$B$91,0),MATCH($H1015,'State Tax Lookup'!$D$6:$Z$6,0))</f>
        <v>0.25649666999999998</v>
      </c>
      <c r="DG1015" s="189">
        <v>0.375</v>
      </c>
      <c r="DH1015" s="190">
        <f t="shared" si="2979"/>
        <v>19.076948739077263</v>
      </c>
      <c r="DI1015" s="190">
        <v>18.674975027866701</v>
      </c>
      <c r="DJ1015" s="177"/>
      <c r="DK1015" s="189">
        <f>VLOOKUP($H1015,RoR!$E:$F,2,FALSE)</f>
        <v>3.7433333333333339E-2</v>
      </c>
      <c r="DL1015" s="191">
        <f>HLOOKUP($H1015,'GDP-PI'!$D$8:$CQ$11,3,FALSE)</f>
        <v>1.9056896421275615E-2</v>
      </c>
      <c r="DM1015" s="189">
        <f>VLOOKUP(H1015,'HW Dx Data'!$E:$F,2,FALSE)</f>
        <v>712.42858370229726</v>
      </c>
      <c r="DN1015" s="183">
        <f>VLOOKUP(H1015,'ECI - Input Price'!$G$17:$H$37,2,FALSE)</f>
        <v>129.5</v>
      </c>
      <c r="DO1015" s="177">
        <f t="shared" ref="DO1015" si="3031">LN(DN1015/DN1014)</f>
        <v>2.4229399426835413E-2</v>
      </c>
      <c r="DP1015" s="183">
        <f>HLOOKUP(H1015,'GDP-PI'!$8:$9,2,FALSE)</f>
        <v>107.751</v>
      </c>
      <c r="DQ1015" s="177">
        <f t="shared" ref="DQ1015" si="3032">LN(DP1015/DP1014)</f>
        <v>1.8877588227745139E-2</v>
      </c>
    </row>
    <row r="1016" spans="1:121" s="167" customFormat="1" ht="21" x14ac:dyDescent="0.35">
      <c r="A1016" s="167" t="s">
        <v>98</v>
      </c>
      <c r="B1016" s="167" t="s">
        <v>99</v>
      </c>
      <c r="C1016" s="167">
        <v>4057096</v>
      </c>
      <c r="D1016" s="168" t="s">
        <v>136</v>
      </c>
      <c r="E1016" s="168" t="s">
        <v>126</v>
      </c>
      <c r="F1016" s="198"/>
      <c r="G1016" s="167" t="s">
        <v>24</v>
      </c>
      <c r="H1016" s="169">
        <v>2018</v>
      </c>
      <c r="I1016" s="170"/>
      <c r="J1016" s="166">
        <f>IFERROR(INDEX('Labor Expenditures'!$F$7:$X$91,MATCH($C1016,'Labor Expenditures'!$D$7:$D$91,0),MATCH($G1016,'Labor Expenditures'!$F$5:$X$5,0)),"NA")</f>
        <v>31606.737606217204</v>
      </c>
      <c r="K1016" s="166">
        <f t="shared" si="2985"/>
        <v>237.19878128493212</v>
      </c>
      <c r="L1016" s="172">
        <f t="shared" si="2993"/>
        <v>5.1089577003654234E-2</v>
      </c>
      <c r="M1016" s="172">
        <f t="shared" si="2997"/>
        <v>4.8346996999527506E-4</v>
      </c>
      <c r="N1016" s="196"/>
      <c r="O1016" s="172"/>
      <c r="P1016" s="166">
        <f>IFERROR(INDEX('Non-Labor Expenditures'!$F$7:$AB$91,MATCH($C1016,'Non-Labor Expenditures'!$D$7:$D$91,0),MATCH($G1016,'Non-Labor Expenditures'!$F$5:$AB$5,0)),"NA")</f>
        <v>45772.459378085776</v>
      </c>
      <c r="Q1016" s="166">
        <f t="shared" si="2986"/>
        <v>414.89874529183459</v>
      </c>
      <c r="R1016" s="172">
        <f t="shared" si="2998"/>
        <v>5.6055406193506796E-2</v>
      </c>
      <c r="S1016" s="172">
        <f t="shared" si="3003"/>
        <v>5.3046251583780486E-4</v>
      </c>
      <c r="T1016" s="172"/>
      <c r="U1016" s="172"/>
      <c r="V1016" s="166">
        <f t="shared" si="2968"/>
        <v>44526.295498347252</v>
      </c>
      <c r="W1016" s="170"/>
      <c r="X1016" s="174">
        <v>2265.6368725434545</v>
      </c>
      <c r="Y1016" s="175">
        <v>1.3724981661492362E-2</v>
      </c>
      <c r="Z1016" s="175">
        <f t="shared" si="3004"/>
        <v>1.2988200062006373E-4</v>
      </c>
      <c r="AA1016" s="175"/>
      <c r="AB1016" s="175"/>
      <c r="AC1016" s="170">
        <f t="shared" si="2863"/>
        <v>121905.49248265024</v>
      </c>
      <c r="AD1016" s="175">
        <f t="shared" si="2999"/>
        <v>8.2474254516503545E-2</v>
      </c>
      <c r="AE1016" s="170"/>
      <c r="AF1016" s="170"/>
      <c r="AG1016" s="121">
        <f t="shared" si="3000"/>
        <v>378.2536962087911</v>
      </c>
      <c r="AH1016" s="119">
        <f>+AZ1016/$BB$56</f>
        <v>8.5102520963313485E-3</v>
      </c>
      <c r="AI1016" s="119">
        <f>+AZ1016/$BC$57</f>
        <v>3.5954701438254993E-2</v>
      </c>
      <c r="AJ1016" s="176">
        <f t="shared" si="3005"/>
        <v>3.2190343111059456</v>
      </c>
      <c r="AK1016" s="176">
        <f t="shared" si="3006"/>
        <v>13.599998715103489</v>
      </c>
      <c r="AL1016" s="120">
        <f t="shared" si="2987"/>
        <v>0.25927246560047751</v>
      </c>
      <c r="AM1016" s="120">
        <f t="shared" si="2988"/>
        <v>0.37547495560628802</v>
      </c>
      <c r="AN1016" s="120">
        <f t="shared" si="2989"/>
        <v>0.36525257879323442</v>
      </c>
      <c r="AO1016" s="120">
        <f t="shared" si="2994"/>
        <v>3.9342964936046484E-2</v>
      </c>
      <c r="AP1016" s="173">
        <f t="shared" si="3010"/>
        <v>114.5882865362517</v>
      </c>
      <c r="AQ1016" s="175">
        <f t="shared" si="3011"/>
        <v>3.9342964936046394E-2</v>
      </c>
      <c r="AR1016" s="177">
        <f>+AC1016/$AE$56</f>
        <v>9.4631820882113468E-3</v>
      </c>
      <c r="AS1016" s="177">
        <f t="shared" si="3007"/>
        <v>3.7230964107992133E-4</v>
      </c>
      <c r="AT1016" s="177"/>
      <c r="AU1016" s="177"/>
      <c r="AV1016" s="177"/>
      <c r="AW1016" s="190"/>
      <c r="AX1016" s="120"/>
      <c r="AY1016" s="120"/>
      <c r="AZ1016" s="118">
        <f>IFERROR(INDEX('Total Customers'!$F$7:$AB$91,MATCH($C1016,'Total Customers'!$D$7:$D$91,0),MATCH($G1016,'Total Customers'!$F$5:$AB$5,0)),"NA")</f>
        <v>322285</v>
      </c>
      <c r="BA1016" s="119">
        <f t="shared" si="2969"/>
        <v>2.9095685952071348E-2</v>
      </c>
      <c r="BB1016" s="119"/>
      <c r="BC1016" s="121">
        <v>8911356</v>
      </c>
      <c r="BD1016" s="119"/>
      <c r="BE1016" s="119"/>
      <c r="BF1016" s="119"/>
      <c r="BG1016" s="173"/>
      <c r="BH1016" s="173"/>
      <c r="BI1016" s="173"/>
      <c r="BJ1016" s="173"/>
      <c r="BK1016" s="173"/>
      <c r="BL1016" s="173"/>
      <c r="BM1016" s="173"/>
      <c r="BN1016" s="173"/>
      <c r="BO1016" s="173"/>
      <c r="BP1016" s="173"/>
      <c r="BQ1016" s="118"/>
      <c r="BR1016" s="118"/>
      <c r="BS1016" s="118">
        <f>INDEX('Dist. Plant Gas Additions'!$F$7:$AE$91,MATCH($C1016,'Dist. Plant Gas Additions'!$D$7:$D$91,0),MATCH(Calculation!$G1016,'Dist. Plant Gas Additions'!$F$5:$AE$5,0))</f>
        <v>38809</v>
      </c>
      <c r="BT1016" s="118">
        <f>INDEX('Gen. Plant Additions'!$F$7:$AE$91,MATCH($C1016,'Gen. Plant Additions'!$D$7:$D$91,0),MATCH(Calculation!$G1016,'Gen. Plant Additions'!$F$5:$AE$5,0))</f>
        <v>367</v>
      </c>
      <c r="BU1016" s="118"/>
      <c r="BV1016" s="118"/>
      <c r="BW1016" s="118">
        <f>INDEX('Dist Plant Depreciation'!$E$7:$AD$94,MATCH($C1016,'Dist Plant Depreciation'!$D$7:$D$94,0),MATCH(Calculation!$G1016,'Dist Plant Depreciation'!$E$5:$AD$5,0))</f>
        <v>348281</v>
      </c>
      <c r="BX1016" s="118">
        <f>INDEX('Gen. Plant Depreciation'!$E$7:$AD$94,MATCH($C1016,'Gen. Plant Depreciation'!$D$7:$D$94,0),MATCH(Calculation!$G1016,'Gen. Plant Depreciation'!$E$5:$AD$5,0))</f>
        <v>3136</v>
      </c>
      <c r="BY1016" s="118"/>
      <c r="BZ1016" s="118"/>
      <c r="CA1016" s="118"/>
      <c r="CB1016" s="118"/>
      <c r="CC1016" s="118"/>
      <c r="CD1016" s="183"/>
      <c r="CE1016" s="118">
        <f>INDEX('Gross Dx Plant'!$E$7:$AD$91,MATCH($C1016,'Gross Dx Plant'!$D$7:$D$91,0),MATCH(Calculation!$G1016,'Gross Dx Plant'!$E$5:$AD$5,0))</f>
        <v>903804</v>
      </c>
      <c r="CF1016" s="118">
        <f>INDEX('Gross Gen Plant'!$E$7:$AD$91,MATCH($C1016,'Gross Gen Plant'!$D$7:$D$91,0),MATCH(Calculation!$G1016,'Gross Gen Plant'!$E$5:$AD$5,0))</f>
        <v>6862</v>
      </c>
      <c r="CG1016" s="118">
        <f t="shared" si="3018"/>
        <v>559249</v>
      </c>
      <c r="CH1016" s="118"/>
      <c r="CI1016" s="121">
        <v>2018</v>
      </c>
      <c r="CJ1016" s="118"/>
      <c r="CK1016" s="118"/>
      <c r="CL1016" s="118"/>
      <c r="CM1016" s="183"/>
      <c r="CN1016" s="118">
        <f t="shared" si="2990"/>
        <v>39176</v>
      </c>
      <c r="CO1016" s="118">
        <f t="shared" si="2970"/>
        <v>51.879347482329294</v>
      </c>
      <c r="CP1016" s="186">
        <v>0.86111111111111116</v>
      </c>
      <c r="CQ1016" s="118">
        <f>+CQ996*CP1016++CO997*CP1015+CO998*CP1014+CO999*CP1013+CO1000*CP1012+CO1001*CP1011+CO1002*CP1010+CO1003*CP1009+CO1004*CP1008+CO1005*CP1007+CO1006*CP1006+CO1007*CP1005+CO1008*CP1004+CO1009*CP1003+CO1010*CP1002+CO1011*CP1001+CO1012*CP1000+CO1013*CP999+CO1014*CP998+CO1015*CP997+CO1016</f>
        <v>2265.6368725434545</v>
      </c>
      <c r="CR1016" s="119">
        <f t="shared" si="2971"/>
        <v>1.3724981661492362E-2</v>
      </c>
      <c r="CS1016" s="119"/>
      <c r="CT1016" s="177">
        <f t="shared" si="2972"/>
        <v>9.3951950894813601E-3</v>
      </c>
      <c r="CU1016" s="177">
        <f t="shared" si="2980"/>
        <v>9.1459840044350125E-3</v>
      </c>
      <c r="CV1016" s="119">
        <f>VLOOKUP($H1016,RoR!$E:$F,2,FALSE)</f>
        <v>3.9299999999999995E-2</v>
      </c>
      <c r="CW1016" s="177">
        <v>2.386056741932796E-2</v>
      </c>
      <c r="CX1016" s="177">
        <f t="shared" si="2978"/>
        <v>1.5439432580672034E-2</v>
      </c>
      <c r="CY1016" s="177">
        <f t="shared" si="2981"/>
        <v>2.1755957604098611E-2</v>
      </c>
      <c r="CZ1016" s="177">
        <f t="shared" si="2982"/>
        <v>3.8270792163076606E-2</v>
      </c>
      <c r="DA1016" s="187">
        <f t="shared" si="2973"/>
        <v>0.90381374874999998</v>
      </c>
      <c r="DB1016" s="188">
        <f t="shared" si="2974"/>
        <v>1.3048868010700074</v>
      </c>
      <c r="DC1016" s="188">
        <f t="shared" si="2975"/>
        <v>0.33886768447837151</v>
      </c>
      <c r="DD1016" s="188">
        <f t="shared" si="2976"/>
        <v>0.78602506232557801</v>
      </c>
      <c r="DE1016" s="188">
        <f t="shared" si="2977"/>
        <v>0.34756768162358759</v>
      </c>
      <c r="DF1016" s="189">
        <f>INDEX('State Tax Lookup'!$D$7:$Z$91,MATCH(Calculation!$C1016,'State Tax Lookup'!$B$7:$B$91,0),MATCH($H1016,'State Tax Lookup'!$D$6:$Z$6,0))</f>
        <v>0.25649666999999998</v>
      </c>
      <c r="DG1016" s="189">
        <v>0.375</v>
      </c>
      <c r="DH1016" s="190">
        <f t="shared" si="2979"/>
        <v>19.924477620605941</v>
      </c>
      <c r="DI1016" s="190">
        <v>19.586970885609322</v>
      </c>
      <c r="DJ1016" s="177"/>
      <c r="DK1016" s="189">
        <f>VLOOKUP($H1016,RoR!$E:$F,2,FALSE)</f>
        <v>3.9299999999999995E-2</v>
      </c>
      <c r="DL1016" s="191">
        <f>HLOOKUP($H1016,'GDP-PI'!$D$8:$CQ$11,3,FALSE)</f>
        <v>2.386056741932796E-2</v>
      </c>
      <c r="DM1016" s="189">
        <f>VLOOKUP(H1016,'HW Dx Data'!$E:$F,2,FALSE)</f>
        <v>755.13671434174842</v>
      </c>
      <c r="DN1016" s="183">
        <f>VLOOKUP(H1016,'ECI - Input Price'!$G$17:$H$37,2,FALSE)</f>
        <v>133.25</v>
      </c>
      <c r="DO1016" s="177">
        <f t="shared" ref="DO1016" si="3033">LN(DN1016/DN1015)</f>
        <v>2.8546181906361531E-2</v>
      </c>
      <c r="DP1016" s="183">
        <f>HLOOKUP(H1016,'GDP-PI'!$8:$9,2,FALSE)</f>
        <v>110.322</v>
      </c>
      <c r="DQ1016" s="177">
        <f t="shared" ref="DQ1016" si="3034">LN(DP1016/DP1015)</f>
        <v>2.3580352716508712E-2</v>
      </c>
    </row>
    <row r="1017" spans="1:121" s="167" customFormat="1" ht="21" x14ac:dyDescent="0.35">
      <c r="A1017" s="167" t="s">
        <v>98</v>
      </c>
      <c r="B1017" s="167" t="s">
        <v>99</v>
      </c>
      <c r="C1017" s="167">
        <v>4057096</v>
      </c>
      <c r="D1017" s="168" t="s">
        <v>136</v>
      </c>
      <c r="E1017" s="168" t="s">
        <v>126</v>
      </c>
      <c r="F1017" s="198"/>
      <c r="G1017" s="167" t="s">
        <v>25</v>
      </c>
      <c r="H1017" s="169">
        <v>2019</v>
      </c>
      <c r="I1017" s="170"/>
      <c r="J1017" s="166">
        <f>IFERROR(INDEX('Labor Expenditures'!$F$7:$X$91,MATCH($C1017,'Labor Expenditures'!$D$7:$D$91,0),MATCH($G1017,'Labor Expenditures'!$F$5:$X$5,0)),"NA")</f>
        <v>29157.391305276218</v>
      </c>
      <c r="K1017" s="166">
        <f t="shared" si="2985"/>
        <v>213.06095217593145</v>
      </c>
      <c r="L1017" s="172">
        <f t="shared" si="2993"/>
        <v>-0.10732024396478475</v>
      </c>
      <c r="M1017" s="172">
        <f t="shared" si="2997"/>
        <v>-9.4485003801504132E-4</v>
      </c>
      <c r="N1017" s="196"/>
      <c r="O1017" s="172"/>
      <c r="P1017" s="166">
        <f>IFERROR(INDEX('Non-Labor Expenditures'!$F$7:$AB$91,MATCH($C1017,'Non-Labor Expenditures'!$D$7:$D$91,0),MATCH($G1017,'Non-Labor Expenditures'!$F$5:$AB$5,0)),"NA")</f>
        <v>42225.348459538058</v>
      </c>
      <c r="Q1017" s="166">
        <f t="shared" si="2986"/>
        <v>375.94462561244018</v>
      </c>
      <c r="R1017" s="172">
        <f t="shared" si="2998"/>
        <v>-9.8592642975452366E-2</v>
      </c>
      <c r="S1017" s="172">
        <f t="shared" si="3003"/>
        <v>-8.680120266398837E-4</v>
      </c>
      <c r="T1017" s="172"/>
      <c r="U1017" s="172"/>
      <c r="V1017" s="166">
        <f t="shared" si="2968"/>
        <v>45580.810911859415</v>
      </c>
      <c r="W1017" s="170"/>
      <c r="X1017" s="174">
        <v>2357.6696803012496</v>
      </c>
      <c r="Y1017" s="175">
        <v>3.9817808270302707E-2</v>
      </c>
      <c r="Z1017" s="175">
        <f t="shared" si="3004"/>
        <v>3.5055695242564011E-4</v>
      </c>
      <c r="AA1017" s="175"/>
      <c r="AB1017" s="175"/>
      <c r="AC1017" s="170">
        <f t="shared" si="2863"/>
        <v>116963.55067667369</v>
      </c>
      <c r="AD1017" s="175">
        <f t="shared" si="2999"/>
        <v>-4.1383739170599232E-2</v>
      </c>
      <c r="AE1017" s="170"/>
      <c r="AF1017" s="170"/>
      <c r="AG1017" s="121">
        <f t="shared" si="3000"/>
        <v>368.20126636699916</v>
      </c>
      <c r="AH1017" s="119">
        <f>+AZ1017/$BB$57</f>
        <v>8.3195513096178814E-3</v>
      </c>
      <c r="AI1017" s="119">
        <f>+AZ1017/$BC$58</f>
        <v>3.5061055696905562E-2</v>
      </c>
      <c r="AJ1017" s="176">
        <f t="shared" si="3005"/>
        <v>3.0632693278065304</v>
      </c>
      <c r="AK1017" s="176">
        <f t="shared" si="3006"/>
        <v>12.909525107764518</v>
      </c>
      <c r="AL1017" s="120">
        <f t="shared" si="2987"/>
        <v>0.24928613347141779</v>
      </c>
      <c r="AM1017" s="120">
        <f t="shared" si="2988"/>
        <v>0.36101288149385119</v>
      </c>
      <c r="AN1017" s="120">
        <f t="shared" si="2989"/>
        <v>0.389700985034731</v>
      </c>
      <c r="AO1017" s="120">
        <f t="shared" si="2994"/>
        <v>-4.8565159522139217E-2</v>
      </c>
      <c r="AP1017" s="173">
        <f t="shared" si="3010"/>
        <v>109.15625936581054</v>
      </c>
      <c r="AQ1017" s="175">
        <f t="shared" si="3011"/>
        <v>-4.856515952213919E-2</v>
      </c>
      <c r="AR1017" s="177">
        <f>+AC1017/$AE$57</f>
        <v>8.8040243211250733E-3</v>
      </c>
      <c r="AS1017" s="177">
        <f t="shared" si="3007"/>
        <v>-4.2756884559223238E-4</v>
      </c>
      <c r="AT1017" s="177"/>
      <c r="AU1017" s="177"/>
      <c r="AV1017" s="177"/>
      <c r="AW1017" s="190"/>
      <c r="AX1017" s="120"/>
      <c r="AY1017" s="120"/>
      <c r="AZ1017" s="118">
        <f>IFERROR(INDEX('Total Customers'!$F$7:$AB$91,MATCH($C1017,'Total Customers'!$D$7:$D$91,0),MATCH($G1017,'Total Customers'!$F$5:$AB$5,0)),"NA")</f>
        <v>317662</v>
      </c>
      <c r="BA1017" s="119">
        <f t="shared" si="2969"/>
        <v>-1.4448322821143469E-2</v>
      </c>
      <c r="BB1017" s="119"/>
      <c r="BC1017" s="121">
        <v>8963640</v>
      </c>
      <c r="BD1017" s="119"/>
      <c r="BE1017" s="119"/>
      <c r="BF1017" s="119"/>
      <c r="BG1017" s="173"/>
      <c r="BH1017" s="173"/>
      <c r="BI1017" s="173"/>
      <c r="BJ1017" s="173"/>
      <c r="BK1017" s="173"/>
      <c r="BL1017" s="173"/>
      <c r="BM1017" s="173"/>
      <c r="BN1017" s="173"/>
      <c r="BO1017" s="173"/>
      <c r="BP1017" s="173"/>
      <c r="BQ1017" s="118"/>
      <c r="BR1017" s="118"/>
      <c r="BS1017" s="118">
        <f>INDEX('Dist. Plant Gas Additions'!$F$7:$AE$91,MATCH($C1017,'Dist. Plant Gas Additions'!$D$7:$D$91,0),MATCH(Calculation!$G1017,'Dist. Plant Gas Additions'!$F$5:$AE$5,0))</f>
        <v>87764</v>
      </c>
      <c r="BT1017" s="118">
        <f>INDEX('Gen. Plant Additions'!$F$7:$AE$91,MATCH($C1017,'Gen. Plant Additions'!$D$7:$D$91,0),MATCH(Calculation!$G1017,'Gen. Plant Additions'!$F$5:$AE$5,0))</f>
        <v>524</v>
      </c>
      <c r="BU1017" s="118"/>
      <c r="BV1017" s="118"/>
      <c r="BW1017" s="118">
        <f>INDEX('Dist Plant Depreciation'!$E$7:$AD$94,MATCH($C1017,'Dist Plant Depreciation'!$D$7:$D$94,0),MATCH(Calculation!$G1017,'Dist Plant Depreciation'!$E$5:$AD$5,0))</f>
        <v>362148</v>
      </c>
      <c r="BX1017" s="118">
        <f>INDEX('Gen. Plant Depreciation'!$E$7:$AD$94,MATCH($C1017,'Gen. Plant Depreciation'!$D$7:$D$94,0),MATCH(Calculation!$G1017,'Gen. Plant Depreciation'!$E$5:$AD$5,0))</f>
        <v>3470</v>
      </c>
      <c r="BY1017" s="118"/>
      <c r="BZ1017" s="118"/>
      <c r="CA1017" s="118"/>
      <c r="CB1017" s="118"/>
      <c r="CC1017" s="118"/>
      <c r="CD1017" s="183"/>
      <c r="CE1017" s="118">
        <f>INDEX('Gross Dx Plant'!$E$7:$AD$91,MATCH($C1017,'Gross Dx Plant'!$D$7:$D$91,0),MATCH(Calculation!$G1017,'Gross Dx Plant'!$E$5:$AD$5,0))</f>
        <v>985645</v>
      </c>
      <c r="CF1017" s="118">
        <f>INDEX('Gross Gen Plant'!$E$7:$AD$91,MATCH($C1017,'Gross Gen Plant'!$D$7:$D$91,0),MATCH(Calculation!$G1017,'Gross Gen Plant'!$E$5:$AD$5,0))</f>
        <v>7386</v>
      </c>
      <c r="CG1017" s="118">
        <f t="shared" si="3018"/>
        <v>627413</v>
      </c>
      <c r="CH1017" s="118"/>
      <c r="CI1017" s="121">
        <v>2019</v>
      </c>
      <c r="CJ1017" s="118"/>
      <c r="CK1017" s="118"/>
      <c r="CL1017" s="118"/>
      <c r="CM1017" s="183"/>
      <c r="CN1017" s="118">
        <f t="shared" si="2990"/>
        <v>88288</v>
      </c>
      <c r="CO1017" s="118">
        <f t="shared" si="2970"/>
        <v>114.13511923077249</v>
      </c>
      <c r="CP1017" s="186">
        <v>0.85106382978723405</v>
      </c>
      <c r="CQ1017" s="118">
        <f>CQ996*CP1017+CO997*CP1016+CO998*CP1015+CO999*CP1014+CO1000*CP1013+CO1001*CP1012+CO1002*CP1011+CO1003*CP1010+CO1004*CP1009+CO1005*CP1008+CO1006*CP1007+CO1007*CP1006+CO1008*CP1005+CO1009*CP1004+CO1010*CP1003+CO1011*CP1002+CO1012*CP1001+CO1013*CP1000+CO1014*CP999+CO1015*CP998+CO1016*CP997+CO1017</f>
        <v>2357.6696803012496</v>
      </c>
      <c r="CR1017" s="119">
        <f t="shared" si="2971"/>
        <v>3.9817808270302707E-2</v>
      </c>
      <c r="CS1017" s="119"/>
      <c r="CT1017" s="177">
        <f t="shared" si="2972"/>
        <v>9.755451873523233E-3</v>
      </c>
      <c r="CU1017" s="177">
        <f t="shared" si="2980"/>
        <v>9.4442615550327045E-3</v>
      </c>
      <c r="CV1017" s="119">
        <f>VLOOKUP($H1017,RoR!$E:$F,2,FALSE)</f>
        <v>3.3875000000000009E-2</v>
      </c>
      <c r="CW1017" s="177">
        <v>1.8092492884465461E-2</v>
      </c>
      <c r="CX1017" s="177">
        <f t="shared" si="2978"/>
        <v>1.5782507115534548E-2</v>
      </c>
      <c r="CY1017" s="177">
        <f t="shared" si="2981"/>
        <v>2.1457680053500919E-2</v>
      </c>
      <c r="CZ1017" s="177">
        <f t="shared" si="2982"/>
        <v>4.8445665544254078E-2</v>
      </c>
      <c r="DA1017" s="187">
        <f t="shared" si="2973"/>
        <v>0.90381374874999998</v>
      </c>
      <c r="DB1017" s="188">
        <f t="shared" si="2974"/>
        <v>1.513861292459078</v>
      </c>
      <c r="DC1017" s="188">
        <f t="shared" si="2975"/>
        <v>0.23699261992619944</v>
      </c>
      <c r="DD1017" s="188">
        <f t="shared" si="2976"/>
        <v>0.73619765810468829</v>
      </c>
      <c r="DE1017" s="188">
        <f t="shared" si="2977"/>
        <v>0.26412854465362851</v>
      </c>
      <c r="DF1017" s="189">
        <f>INDEX('State Tax Lookup'!$D$7:$Z$91,MATCH(Calculation!$C1017,'State Tax Lookup'!$B$7:$B$91,0),MATCH($H1017,'State Tax Lookup'!$D$6:$Z$6,0))</f>
        <v>0.25649666999999998</v>
      </c>
      <c r="DG1017" s="189">
        <v>0.375</v>
      </c>
      <c r="DH1017" s="190">
        <f t="shared" si="2979"/>
        <v>20.118321459294304</v>
      </c>
      <c r="DI1017" s="190">
        <v>19.726252557614007</v>
      </c>
      <c r="DJ1017" s="177"/>
      <c r="DK1017" s="189">
        <f>VLOOKUP($H1017,RoR!$E:$F,2,FALSE)</f>
        <v>3.3875000000000009E-2</v>
      </c>
      <c r="DL1017" s="191">
        <f>HLOOKUP($H1017,'GDP-PI'!$D$8:$CQ$11,3,FALSE)</f>
        <v>1.8092492884465461E-2</v>
      </c>
      <c r="DM1017" s="189">
        <f>VLOOKUP(H1017,'HW Dx Data'!$E:$F,2,FALSE)</f>
        <v>773.53929793938721</v>
      </c>
      <c r="DN1017" s="183">
        <f>VLOOKUP(H1017,'ECI - Input Price'!$G$17:$H$37,2,FALSE)</f>
        <v>136.85</v>
      </c>
      <c r="DO1017" s="177">
        <f t="shared" ref="DO1017" si="3035">LN(DN1017/DN1016)</f>
        <v>2.6658372440734168E-2</v>
      </c>
      <c r="DP1017" s="183">
        <f>HLOOKUP(H1017,'GDP-PI'!$8:$9,2,FALSE)</f>
        <v>112.318</v>
      </c>
      <c r="DQ1017" s="177">
        <f t="shared" ref="DQ1017" si="3036">LN(DP1017/DP1016)</f>
        <v>1.7930771451401852E-2</v>
      </c>
    </row>
    <row r="1018" spans="1:121" s="167" customFormat="1" ht="21" x14ac:dyDescent="0.35">
      <c r="A1018" s="167" t="s">
        <v>98</v>
      </c>
      <c r="B1018" s="167" t="s">
        <v>99</v>
      </c>
      <c r="C1018" s="167">
        <v>4057096</v>
      </c>
      <c r="D1018" s="167" t="s">
        <v>136</v>
      </c>
      <c r="E1018" s="167" t="s">
        <v>126</v>
      </c>
      <c r="G1018" s="168" t="s">
        <v>26</v>
      </c>
      <c r="H1018" s="169">
        <v>2020</v>
      </c>
      <c r="I1018" s="170"/>
      <c r="J1018" s="166">
        <f>IFERROR(INDEX('Labor Expenditures'!$F$7:$X$91,MATCH($C1018,'Labor Expenditures'!$D$7:$D$91,0),MATCH($G1018,'Labor Expenditures'!$F$5:$X$5,0)),"NA")</f>
        <v>30594.627489133334</v>
      </c>
      <c r="K1018" s="166">
        <f t="shared" si="2985"/>
        <v>217.83287639112379</v>
      </c>
      <c r="L1018" s="172">
        <f t="shared" si="2993"/>
        <v>2.2149861501347942E-2</v>
      </c>
      <c r="M1018" s="172">
        <f t="shared" si="2997"/>
        <v>2.0075368125182331E-4</v>
      </c>
      <c r="N1018" s="196"/>
      <c r="O1018" s="172"/>
      <c r="P1018" s="166">
        <f>IFERROR(INDEX('Non-Labor Expenditures'!$F$7:$AB$91,MATCH($C1018,'Non-Labor Expenditures'!$D$7:$D$91,0),MATCH($G1018,'Non-Labor Expenditures'!$F$5:$AB$5,0)),"NA")</f>
        <v>44306.734892454013</v>
      </c>
      <c r="Q1018" s="166">
        <f t="shared" si="2986"/>
        <v>389.94512460024828</v>
      </c>
      <c r="R1018" s="172">
        <f t="shared" si="2998"/>
        <v>3.656416283351975E-2</v>
      </c>
      <c r="S1018" s="172">
        <f t="shared" si="3003"/>
        <v>3.3139666766193938E-4</v>
      </c>
      <c r="T1018" s="172"/>
      <c r="U1018" s="172"/>
      <c r="V1018" s="166">
        <f t="shared" si="2968"/>
        <v>49237.416826134031</v>
      </c>
      <c r="W1018" s="170"/>
      <c r="X1018" s="174">
        <v>2390.4429328296851</v>
      </c>
      <c r="Y1018" s="175">
        <v>1.3804968703675886E-2</v>
      </c>
      <c r="Z1018" s="175">
        <f t="shared" si="3004"/>
        <v>1.2512034382971155E-4</v>
      </c>
      <c r="AA1018" s="175"/>
      <c r="AB1018" s="175"/>
      <c r="AC1018" s="170">
        <f t="shared" si="2863"/>
        <v>124138.77920772138</v>
      </c>
      <c r="AD1018" s="175">
        <f t="shared" si="2999"/>
        <v>5.9537773357662249E-2</v>
      </c>
      <c r="AE1018" s="170"/>
      <c r="AF1018" s="170"/>
      <c r="AG1018" s="121">
        <f t="shared" si="3000"/>
        <v>388.25156599378676</v>
      </c>
      <c r="AH1018" s="119">
        <f>+AZ1018/$BB$58</f>
        <v>8.3150477768459598E-3</v>
      </c>
      <c r="AI1018" s="119">
        <f>+AZ1018/$BC$59</f>
        <v>3.5081759751751165E-2</v>
      </c>
      <c r="AJ1018" s="176">
        <f t="shared" si="3005"/>
        <v>3.2283303206735989</v>
      </c>
      <c r="AK1018" s="176">
        <f t="shared" si="3006"/>
        <v>13.62054816143519</v>
      </c>
      <c r="AL1018" s="120">
        <f t="shared" si="2987"/>
        <v>0.24645503753455922</v>
      </c>
      <c r="AM1018" s="120">
        <f t="shared" si="2988"/>
        <v>0.35691292580149808</v>
      </c>
      <c r="AN1018" s="120">
        <f t="shared" si="2989"/>
        <v>0.39663203666394264</v>
      </c>
      <c r="AO1018" s="120">
        <f t="shared" si="2994"/>
        <v>2.4043128576924394E-2</v>
      </c>
      <c r="AP1018" s="173">
        <f t="shared" si="3010"/>
        <v>111.81252181651719</v>
      </c>
      <c r="AQ1018" s="175">
        <f t="shared" si="3011"/>
        <v>2.4043128576924359E-2</v>
      </c>
      <c r="AR1018" s="177">
        <f>+AC1018/$AE$58</f>
        <v>9.0634282855270379E-3</v>
      </c>
      <c r="AS1018" s="177">
        <f t="shared" si="3007"/>
        <v>2.1791317161665968E-4</v>
      </c>
      <c r="AT1018" s="177"/>
      <c r="AU1018" s="177"/>
      <c r="AV1018" s="177"/>
      <c r="AW1018" s="190"/>
      <c r="AX1018" s="120"/>
      <c r="AY1018" s="120"/>
      <c r="AZ1018" s="118">
        <f>IFERROR(INDEX('Total Customers'!$F$7:$AB$91,MATCH($C1018,'Total Customers'!$D$7:$D$91,0),MATCH($G1018,'Total Customers'!$F$5:$AB$5,0)),"NA")</f>
        <v>319738</v>
      </c>
      <c r="BA1018" s="119">
        <f t="shared" si="2969"/>
        <v>6.5139860079484434E-3</v>
      </c>
      <c r="BB1018" s="119"/>
      <c r="BC1018" s="121">
        <v>9060252</v>
      </c>
      <c r="BD1018" s="119"/>
      <c r="BE1018" s="119"/>
      <c r="BF1018" s="119"/>
      <c r="BG1018" s="173"/>
      <c r="BH1018" s="173"/>
      <c r="BI1018" s="173"/>
      <c r="BJ1018" s="173"/>
      <c r="BK1018" s="173"/>
      <c r="BL1018" s="173"/>
      <c r="BM1018" s="173"/>
      <c r="BN1018" s="173"/>
      <c r="BO1018" s="173"/>
      <c r="BP1018" s="173"/>
      <c r="BQ1018" s="118"/>
      <c r="BR1018" s="118"/>
      <c r="BS1018" s="118">
        <f>INDEX('Dist. Plant Gas Additions'!$F$7:$AE$91,MATCH($C1018,'Dist. Plant Gas Additions'!$D$7:$D$91,0),MATCH(Calculation!$G1018,'Dist. Plant Gas Additions'!$F$5:$AE$5,0))</f>
        <v>45298</v>
      </c>
      <c r="BT1018" s="118">
        <f>INDEX('Gen. Plant Additions'!$F$7:$AE$91,MATCH($C1018,'Gen. Plant Additions'!$D$7:$D$91,0),MATCH(Calculation!$G1018,'Gen. Plant Additions'!$F$5:$AE$5,0))</f>
        <v>521</v>
      </c>
      <c r="BU1018" s="118"/>
      <c r="BV1018" s="118"/>
      <c r="BW1018" s="118">
        <f>INDEX('Dist Plant Depreciation'!$E$7:$AD$94,MATCH($C1018,'Dist Plant Depreciation'!$D$7:$D$94,0),MATCH(Calculation!$G1018,'Dist Plant Depreciation'!$E$5:$AD$5,0))</f>
        <v>379939</v>
      </c>
      <c r="BX1018" s="118">
        <f>INDEX('Gen. Plant Depreciation'!$E$7:$AD$94,MATCH($C1018,'Gen. Plant Depreciation'!$D$7:$D$94,0),MATCH(Calculation!$G1018,'Gen. Plant Depreciation'!$E$5:$AD$5,0))</f>
        <v>3667</v>
      </c>
      <c r="BY1018" s="118"/>
      <c r="BZ1018" s="118"/>
      <c r="CA1018" s="118"/>
      <c r="CB1018" s="118"/>
      <c r="CC1018" s="118"/>
      <c r="CD1018" s="183"/>
      <c r="CE1018" s="118">
        <f>INDEX('Gross Dx Plant'!$E$7:$AD$91,MATCH($C1018,'Gross Dx Plant'!$D$7:$D$91,0),MATCH(Calculation!$G1018,'Gross Dx Plant'!$E$5:$AD$5,0))</f>
        <v>1026610</v>
      </c>
      <c r="CF1018" s="118">
        <f>INDEX('Gross Gen Plant'!$E$7:$AD$91,MATCH($C1018,'Gross Gen Plant'!$D$7:$D$91,0),MATCH(Calculation!$G1018,'Gross Gen Plant'!$E$5:$AD$5,0))</f>
        <v>7907</v>
      </c>
      <c r="CG1018" s="118">
        <f t="shared" si="3018"/>
        <v>650911</v>
      </c>
      <c r="CH1018" s="118"/>
      <c r="CI1018" s="121">
        <v>2020</v>
      </c>
      <c r="CJ1018" s="118"/>
      <c r="CK1018" s="118"/>
      <c r="CL1018" s="118"/>
      <c r="CM1018" s="183"/>
      <c r="CN1018" s="118">
        <f t="shared" si="2990"/>
        <v>45819</v>
      </c>
      <c r="CO1018" s="118">
        <f t="shared" si="2970"/>
        <v>56.352377189278499</v>
      </c>
      <c r="CP1018" s="186">
        <v>0.84057971014492749</v>
      </c>
      <c r="CQ1018" s="118">
        <f>CQ996*CP1018+CO997*CP1017+CO998*CP1016+CO999*CP1015+CO1000*CP1014+CO1001*CP1013+CO1002*CP1012+CO1003*CP1011+CO1004*CP1010+CO1005*CP1009+CO1006*CP1008+CO1007*CP1007+CO1008*CP1006+CO1009*CP1005+CO1010*CP1004+CO1011*CP1003+CO1012*CP1002+CO1013*CP1001+CO1014*CP1000+CO1015*CP999+CO1016*CP998+CO1017*CP997+CO1018</f>
        <v>2390.4429328296851</v>
      </c>
      <c r="CR1018" s="119">
        <f t="shared" si="2971"/>
        <v>1.3804968703675886E-2</v>
      </c>
      <c r="CS1018" s="119"/>
      <c r="CT1018" s="177">
        <f t="shared" si="2972"/>
        <v>1.0001029770137356E-2</v>
      </c>
      <c r="CU1018" s="177">
        <f t="shared" si="2980"/>
        <v>9.7172255777139838E-3</v>
      </c>
      <c r="CV1018" s="119">
        <f>VLOOKUP($H1018,RoR!$E:$F,2,FALSE)</f>
        <v>2.4766666666666666E-2</v>
      </c>
      <c r="CW1018" s="177">
        <v>1.1618796630994188E-2</v>
      </c>
      <c r="CX1018" s="177">
        <f t="shared" si="2978"/>
        <v>1.3147870035672478E-2</v>
      </c>
      <c r="CY1018" s="177">
        <f t="shared" si="2981"/>
        <v>2.1184716030819641E-2</v>
      </c>
      <c r="CZ1018" s="177">
        <f t="shared" si="2982"/>
        <v>4.5144642961987357E-2</v>
      </c>
      <c r="DA1018" s="187">
        <f t="shared" si="2973"/>
        <v>0.90381374874999998</v>
      </c>
      <c r="DB1018" s="188">
        <f t="shared" si="2974"/>
        <v>2.0706077233668081</v>
      </c>
      <c r="DC1018" s="188">
        <f t="shared" si="2975"/>
        <v>-3.4421265141318998E-2</v>
      </c>
      <c r="DD1018" s="188">
        <f t="shared" si="2976"/>
        <v>0.62416226176410472</v>
      </c>
      <c r="DE1018" s="188">
        <f t="shared" si="2977"/>
        <v>-4.4485877841158712E-2</v>
      </c>
      <c r="DF1018" s="189">
        <f>INDEX('State Tax Lookup'!$D$7:$Z$91,MATCH(Calculation!$C1018,'State Tax Lookup'!$B$7:$B$91,0),MATCH($H1018,'State Tax Lookup'!$D$6:$Z$6,0))</f>
        <v>0.25649666999999998</v>
      </c>
      <c r="DG1018" s="189">
        <v>0.375</v>
      </c>
      <c r="DH1018" s="190">
        <f t="shared" si="2979"/>
        <v>20.883933503289889</v>
      </c>
      <c r="DI1018" s="190">
        <v>20.537300376846233</v>
      </c>
      <c r="DJ1018" s="177"/>
      <c r="DK1018" s="189">
        <f>VLOOKUP($H1018,RoR!$E:$F,2,FALSE)</f>
        <v>2.4766666666666666E-2</v>
      </c>
      <c r="DL1018" s="191">
        <f>HLOOKUP($H1018,'GDP-PI'!$D$8:$CQ$11,3,FALSE)</f>
        <v>1.1618796630994188E-2</v>
      </c>
      <c r="DM1018" s="189">
        <f>VLOOKUP(H1018,'HW Dx Data'!$E:$F,2,FALSE)</f>
        <v>813.080162458833</v>
      </c>
      <c r="DN1018" s="183">
        <f>VLOOKUP(H1018,'ECI - Input Price'!$G$17:$H$37,2,FALSE)</f>
        <v>140.44999999999999</v>
      </c>
      <c r="DO1018" s="177">
        <f t="shared" ref="DO1018" si="3037">LN(DN1018/DN1017)</f>
        <v>2.5966118063564539E-2</v>
      </c>
      <c r="DP1018" s="183">
        <f>HLOOKUP(H1018,'GDP-PI'!$8:$9,2,FALSE)</f>
        <v>113.623</v>
      </c>
      <c r="DQ1018" s="177">
        <f t="shared" ref="DQ1018" si="3038">LN(DP1018/DP1017)</f>
        <v>1.1551816731392881E-2</v>
      </c>
    </row>
    <row r="1019" spans="1:121" s="167" customFormat="1" ht="21" x14ac:dyDescent="0.35">
      <c r="A1019" s="167" t="s">
        <v>98</v>
      </c>
      <c r="B1019" s="167" t="s">
        <v>99</v>
      </c>
      <c r="C1019" s="167">
        <v>4057096</v>
      </c>
      <c r="D1019" s="167" t="s">
        <v>136</v>
      </c>
      <c r="E1019" s="167" t="s">
        <v>126</v>
      </c>
      <c r="G1019" s="168" t="s">
        <v>462</v>
      </c>
      <c r="H1019" s="169">
        <v>2021</v>
      </c>
      <c r="I1019" s="170"/>
      <c r="J1019" s="166">
        <f>IFERROR(INDEX('Labor Expenditures'!$E$7:$X$91,MATCH($C1019,'Labor Expenditures'!$D$7:$D$91,0),MATCH($G1019,'Labor Expenditures'!$E$5:$X$5,0)),"NA")</f>
        <v>30836.281825580678</v>
      </c>
      <c r="K1019" s="166">
        <f t="shared" si="2985"/>
        <v>211.96962932174375</v>
      </c>
      <c r="L1019" s="171">
        <f t="shared" si="2993"/>
        <v>-2.7285140231749057E-2</v>
      </c>
      <c r="M1019" s="172">
        <f t="shared" si="2997"/>
        <v>-2.8037787492058E-4</v>
      </c>
      <c r="N1019" s="196"/>
      <c r="O1019" s="172"/>
      <c r="P1019" s="166">
        <f>IFERROR(INDEX('Non-Labor Expenditures'!$E$7:$AB$91,MATCH($C1019,'Non-Labor Expenditures'!$D$7:$D$91,0),MATCH($G1019,'Non-Labor Expenditures'!$E$5:$AB$5,0)),"NA")</f>
        <v>43468.011730035418</v>
      </c>
      <c r="Q1019" s="166">
        <f t="shared" si="2986"/>
        <v>366.84962216250671</v>
      </c>
      <c r="R1019" s="172">
        <f t="shared" si="2998"/>
        <v>-6.1054007861885605E-2</v>
      </c>
      <c r="S1019" s="172">
        <f t="shared" si="3003"/>
        <v>-6.2738152834490839E-4</v>
      </c>
      <c r="T1019" s="172"/>
      <c r="U1019" s="172"/>
      <c r="V1019" s="166">
        <f t="shared" si="2968"/>
        <v>77248.260122935448</v>
      </c>
      <c r="W1019" s="170"/>
      <c r="X1019" s="174">
        <v>2535.6745988543707</v>
      </c>
      <c r="Y1019" s="175"/>
      <c r="Z1019" s="175">
        <f t="shared" si="3004"/>
        <v>0</v>
      </c>
      <c r="AA1019" s="175"/>
      <c r="AB1019" s="175"/>
      <c r="AC1019" s="170">
        <f t="shared" si="2863"/>
        <v>151552.55367855154</v>
      </c>
      <c r="AD1019" s="175">
        <f t="shared" si="2999"/>
        <v>0.19953232682366287</v>
      </c>
      <c r="AE1019" s="118"/>
      <c r="AF1019" s="119"/>
      <c r="AG1019" s="121">
        <f t="shared" si="3000"/>
        <v>471.17224833997062</v>
      </c>
      <c r="AH1019" s="119">
        <f>+AZ1019/$BB$59</f>
        <v>8.2524774013840139E-3</v>
      </c>
      <c r="AI1019" s="119">
        <f>+AZ1019/$BC$44</f>
        <v>3.9000278512792613E-2</v>
      </c>
      <c r="AJ1019" s="176">
        <f t="shared" si="3005"/>
        <v>3.8883383315849041</v>
      </c>
      <c r="AK1019" s="176">
        <f t="shared" si="3006"/>
        <v>18.37584891275754</v>
      </c>
      <c r="AL1019" s="120">
        <f t="shared" si="2987"/>
        <v>0.2034692327981853</v>
      </c>
      <c r="AM1019" s="120">
        <f t="shared" si="2988"/>
        <v>0.28681807514924917</v>
      </c>
      <c r="AN1019" s="120">
        <f t="shared" si="2989"/>
        <v>0.50971269205256553</v>
      </c>
      <c r="AO1019" s="120">
        <f t="shared" si="2994"/>
        <v>-2.578930220134136E-2</v>
      </c>
      <c r="AP1019" s="173">
        <f t="shared" si="3010"/>
        <v>108.96581990333858</v>
      </c>
      <c r="AQ1019" s="175">
        <f t="shared" si="3011"/>
        <v>-2.5789302201341312E-2</v>
      </c>
      <c r="AR1019" s="177">
        <f>+AC1019/$AE$59</f>
        <v>1.0275845113463321E-2</v>
      </c>
      <c r="AS1019" s="177">
        <f t="shared" si="3007"/>
        <v>-2.6500687500528197E-4</v>
      </c>
      <c r="AT1019" s="177"/>
      <c r="AU1019" s="177"/>
      <c r="AV1019" s="177"/>
      <c r="AW1019" s="190"/>
      <c r="AX1019" s="120"/>
      <c r="AY1019" s="120"/>
      <c r="AZ1019" s="118">
        <f>INDEX('Total Customers'!$E$7:$E$91,MATCH(Calculation!$C1019,'Total Customers'!$D$7:$D$91,0))</f>
        <v>321650</v>
      </c>
      <c r="BA1019" s="119">
        <f t="shared" si="2969"/>
        <v>5.9620874220809488E-3</v>
      </c>
      <c r="BB1019" s="118"/>
      <c r="BC1019" s="121"/>
      <c r="BD1019" s="118"/>
      <c r="BE1019" s="119"/>
      <c r="BF1019" s="119"/>
      <c r="BG1019" s="173"/>
      <c r="BH1019" s="173"/>
      <c r="BI1019" s="173"/>
      <c r="BJ1019" s="173"/>
      <c r="BK1019" s="173"/>
      <c r="BL1019" s="173"/>
      <c r="BM1019" s="173"/>
      <c r="BN1019" s="173"/>
      <c r="BO1019" s="173"/>
      <c r="BP1019" s="173"/>
      <c r="BQ1019" s="118"/>
      <c r="BR1019" s="118"/>
      <c r="BS1019" s="118">
        <f>INDEX('Dist. Plant Gas Additions'!$E$7:$AE$91,MATCH($C1019,'Dist. Plant Gas Additions'!$D$7:$D$91,0),MATCH(Calculation!$G1019,'Dist. Plant Gas Additions'!$E$5:$AE$5,0))</f>
        <v>106714</v>
      </c>
      <c r="BT1019" s="118">
        <f>INDEX('Gen. Plant Additions'!$E$7:$AE$91,MATCH($C1019,'Gen. Plant Additions'!$D$7:$D$91,0),MATCH(Calculation!$G1019,'Gen. Plant Additions'!$E$5:$AE$5,0))</f>
        <v>319</v>
      </c>
      <c r="BU1019" s="118"/>
      <c r="BV1019" s="118"/>
      <c r="BW1019" s="118"/>
      <c r="BX1019" s="118"/>
      <c r="BY1019" s="183"/>
      <c r="BZ1019" s="183"/>
      <c r="CA1019" s="178"/>
      <c r="CB1019" s="184"/>
      <c r="CC1019" s="185"/>
      <c r="CD1019" s="185"/>
      <c r="CE1019" s="118"/>
      <c r="CF1019" s="118"/>
      <c r="CG1019" s="118"/>
      <c r="CH1019" s="118"/>
      <c r="CI1019" s="121">
        <v>2021</v>
      </c>
      <c r="CJ1019" s="118"/>
      <c r="CK1019" s="118"/>
      <c r="CL1019" s="118"/>
      <c r="CM1019" s="183"/>
      <c r="CN1019" s="118">
        <f t="shared" si="2990"/>
        <v>107033</v>
      </c>
      <c r="CO1019" s="118">
        <f t="shared" si="2970"/>
        <v>114.71641904655664</v>
      </c>
      <c r="CP1019" s="186">
        <f>+(51-23)/(51-23*0.75)</f>
        <v>0.82962962962962961</v>
      </c>
      <c r="CQ1019" s="118">
        <f>CQ996*CP1019+CO997*CP1018+CO998*CP1017+CO999*CP1016+CO1000*CP1015+CO1001*CP1014+CO1002*CP1013+CO1003*CP1012+CO1004*CP1011+CO1005*CP1010+CO1006*CP1009+CO1007*CP1008+CO1008*CP1007+CO1009*CP1006+CO1010*CP1005+CO1001*CP1004+CO1012*CP1003+CO1013*CP1002+CO1014*CP1001+CO1015*CP1000+CO1016*CP999+CO1017*CP998+CO1019+CO1018*CP997</f>
        <v>2535.6745988543707</v>
      </c>
      <c r="CR1019" s="119"/>
      <c r="CS1019" s="118"/>
      <c r="CT1019" s="177">
        <f t="shared" si="2972"/>
        <v>-1.2765519962447545E-2</v>
      </c>
      <c r="CU1019" s="177">
        <f t="shared" si="2980"/>
        <v>2.3303205604043482E-3</v>
      </c>
      <c r="CV1019" s="119">
        <f>VLOOKUP($H1019,RoR!$E:$F,2,FALSE)</f>
        <v>2.7033333333333336E-2</v>
      </c>
      <c r="CW1019" s="177"/>
      <c r="CX1019" s="177"/>
      <c r="CY1019" s="177">
        <f t="shared" si="2981"/>
        <v>2.8571621048129277E-2</v>
      </c>
      <c r="CZ1019" s="177">
        <f t="shared" si="2982"/>
        <v>7.433422950153494E-2</v>
      </c>
      <c r="DA1019" s="187">
        <f t="shared" si="2973"/>
        <v>0.90381374874999998</v>
      </c>
      <c r="DB1019" s="188">
        <f t="shared" si="2974"/>
        <v>1.8969932656739068</v>
      </c>
      <c r="DC1019" s="188">
        <f t="shared" si="2975"/>
        <v>5.0215782983970621E-2</v>
      </c>
      <c r="DD1019" s="188">
        <f t="shared" si="2976"/>
        <v>0.655952481704143</v>
      </c>
      <c r="DE1019" s="188">
        <f t="shared" si="2977"/>
        <v>6.2485378865697057E-2</v>
      </c>
      <c r="DF1019" s="189">
        <f>DF1018</f>
        <v>0.25649666999999998</v>
      </c>
      <c r="DG1019" s="189">
        <v>0.375</v>
      </c>
      <c r="DH1019" s="190">
        <f t="shared" si="2979"/>
        <v>32.315458805574949</v>
      </c>
      <c r="DI1019" s="190"/>
      <c r="DJ1019" s="177">
        <f t="shared" ref="DJ1019" si="3039">LN(DH1019/DH1018)</f>
        <v>0.43656558508269688</v>
      </c>
      <c r="DK1019" s="189">
        <f>VLOOKUP($H1019,RoR!$E:$F,2,FALSE)</f>
        <v>2.7033333333333336E-2</v>
      </c>
      <c r="DL1019" s="191">
        <f>HLOOKUP($H1019,'GDP-PI'!$D$8:$CR$11,3,FALSE)</f>
        <v>4.2834637353352578E-2</v>
      </c>
      <c r="DM1019" s="189">
        <f>VLOOKUP(H1019,'HW Dx Data'!$E:$F,2,FALSE)</f>
        <v>933.02249921662576</v>
      </c>
      <c r="DN1019" s="183">
        <f>VLOOKUP(H1019,'ECI - Input Price'!$G$17:$H$37,2,FALSE)</f>
        <v>145.47500000000002</v>
      </c>
      <c r="DO1019" s="177">
        <f t="shared" ref="DO1019" si="3040">LN(DN1019/DN1018)</f>
        <v>3.5152696992481205E-2</v>
      </c>
      <c r="DP1019" s="183">
        <f>HLOOKUP(H1019,'GDP-PI'!$8:$9,2,FALSE)</f>
        <v>118.49</v>
      </c>
      <c r="DQ1019" s="177">
        <f t="shared" ref="DQ1019" si="3041">LN(DP1019/DP1018)</f>
        <v>4.194261824609434E-2</v>
      </c>
    </row>
    <row r="1020" spans="1:121" s="167" customFormat="1" ht="21" x14ac:dyDescent="0.35">
      <c r="A1020" s="167" t="s">
        <v>102</v>
      </c>
      <c r="B1020" s="167" t="s">
        <v>102</v>
      </c>
      <c r="C1020" s="167">
        <v>4063023</v>
      </c>
      <c r="D1020" s="168" t="s">
        <v>145</v>
      </c>
      <c r="E1020" s="168" t="s">
        <v>126</v>
      </c>
      <c r="F1020" s="198"/>
      <c r="G1020" s="167" t="s">
        <v>4</v>
      </c>
      <c r="H1020" s="169">
        <v>1998</v>
      </c>
      <c r="I1020" s="170"/>
      <c r="J1020" s="166"/>
      <c r="K1020" s="166"/>
      <c r="L1020" s="166"/>
      <c r="M1020" s="166"/>
      <c r="N1020" s="196"/>
      <c r="O1020" s="166"/>
      <c r="P1020" s="172"/>
      <c r="Q1020" s="172"/>
      <c r="R1020" s="172"/>
      <c r="S1020" s="166"/>
      <c r="T1020" s="172"/>
      <c r="U1020" s="172"/>
      <c r="V1020" s="166"/>
      <c r="W1020" s="170"/>
      <c r="X1020" s="174">
        <v>2134.8066542362935</v>
      </c>
      <c r="Y1020" s="175"/>
      <c r="Z1020" s="166"/>
      <c r="AA1020" s="175"/>
      <c r="AB1020" s="175"/>
      <c r="AC1020" s="170">
        <f t="shared" si="2863"/>
        <v>0</v>
      </c>
      <c r="AD1020" s="170"/>
      <c r="AE1020" s="170"/>
      <c r="AF1020" s="119"/>
      <c r="AG1020" s="174"/>
      <c r="AH1020" s="175"/>
      <c r="AI1020" s="175"/>
      <c r="AJ1020" s="174"/>
      <c r="AK1020" s="174"/>
      <c r="AL1020" s="120"/>
      <c r="AM1020" s="120"/>
      <c r="AN1020" s="120"/>
      <c r="AO1020" s="120"/>
      <c r="AP1020" s="120"/>
      <c r="AQ1020" s="175">
        <f>AVERAGE(AQ1029:AQ1043)</f>
        <v>3.9914429135559898E-2</v>
      </c>
      <c r="AR1020" s="120"/>
      <c r="AS1020" s="120"/>
      <c r="AT1020" s="120"/>
      <c r="AU1020" s="120"/>
      <c r="AV1020" s="120"/>
      <c r="AW1020" s="120"/>
      <c r="AX1020" s="120"/>
      <c r="AY1020" s="120"/>
      <c r="AZ1020" s="118">
        <f>IFERROR(INDEX('Total Customers'!$F$7:$AB$91,MATCH($C1020,'Total Customers'!$D$7:$D$91,0),MATCH($G1020,'Total Customers'!$F$5:$AB$5,0)),"NA")</f>
        <v>274696</v>
      </c>
      <c r="BA1020" s="119"/>
      <c r="BB1020" s="119"/>
      <c r="BC1020" s="121"/>
      <c r="BD1020" s="119"/>
      <c r="BE1020" s="119"/>
      <c r="BF1020" s="119"/>
      <c r="BG1020" s="173"/>
      <c r="BH1020" s="173"/>
      <c r="BI1020" s="173"/>
      <c r="BJ1020" s="173"/>
      <c r="BK1020" s="173"/>
      <c r="BL1020" s="173"/>
      <c r="BM1020" s="173"/>
      <c r="BN1020" s="173"/>
      <c r="BO1020" s="173"/>
      <c r="BP1020" s="173"/>
      <c r="BQ1020" s="118">
        <f>INDEX('Gross Dx Plant'!$E$7:$AD$91,MATCH($C1020,'Gross Dx Plant'!$D$7:$D$91,0),MATCH(Calculation!$G1020,'Gross Dx Plant'!$E$5:$AD$5,0))</f>
        <v>549557</v>
      </c>
      <c r="BR1020" s="118">
        <f>INDEX('Gross Gen Plant'!$E$7:$AD$91,MATCH($C1020,'Gross Gen Plant'!$D$7:$D$91,0),MATCH(Calculation!$G1020,'Gross Gen Plant'!$E$5:$AD$5,0))</f>
        <v>29087</v>
      </c>
      <c r="BS1020" s="118">
        <f>INDEX('Dist. Plant Gas Additions'!$F$7:$AE$91,MATCH($C1020,'Dist. Plant Gas Additions'!$D$7:$D$91,0),MATCH(Calculation!$G1020,'Dist. Plant Gas Additions'!$F$5:$AE$5,0))</f>
        <v>36447</v>
      </c>
      <c r="BT1020" s="118">
        <f>INDEX('Gen. Plant Additions'!$F$7:$AE$91,MATCH($C1020,'Gen. Plant Additions'!$D$7:$D$91,0),MATCH(Calculation!$G1020,'Gen. Plant Additions'!$F$5:$AE$5,0))</f>
        <v>7220</v>
      </c>
      <c r="BU1020" s="118" t="e">
        <f>INDEX('Dist Plant Depreciation'!$E$7:$AA$94,MATCH($C1020,'Dist Plant Depreciation'!$D$7:$D$94,0),MATCH(#REF!,'Dist Plant Depreciation'!$E$5:$AA$5,0))</f>
        <v>#REF!</v>
      </c>
      <c r="BV1020" s="118" t="e">
        <f>INDEX('Gen. Plant Depreciation'!$E$7:$AA$94,MATCH($C1020,'Gen. Plant Depreciation'!$D$7:$D$94,0),MATCH(#REF!,'Gen. Plant Depreciation'!$E$5:$AA$5,0))</f>
        <v>#REF!</v>
      </c>
      <c r="BW1020" s="118">
        <f>INDEX('Dist Plant Depreciation'!$E$7:$AD$94,MATCH($C1020,'Dist Plant Depreciation'!$D$7:$D$94,0),MATCH(Calculation!$G1020,'Dist Plant Depreciation'!$E$5:$AD$5,0))</f>
        <v>139892</v>
      </c>
      <c r="BX1020" s="118">
        <f>INDEX('Gen. Plant Depreciation'!$E$7:$AD$94,MATCH($C1020,'Gen. Plant Depreciation'!$D$7:$D$94,0),MATCH(Calculation!$G1020,'Gen. Plant Depreciation'!$E$5:$AD$5,0))</f>
        <v>8120</v>
      </c>
      <c r="BY1020" s="118"/>
      <c r="BZ1020" s="118"/>
      <c r="CA1020" s="118"/>
      <c r="CB1020" s="118"/>
      <c r="CC1020" s="118"/>
      <c r="CD1020" s="183"/>
      <c r="CE1020" s="118">
        <f>INDEX('Gross Dx Plant'!$E$7:$AD$91,MATCH($C1020,'Gross Dx Plant'!$D$7:$D$91,0),MATCH(Calculation!$G1020,'Gross Dx Plant'!$E$5:$AD$5,0))</f>
        <v>549557</v>
      </c>
      <c r="CF1020" s="118">
        <f>INDEX('Gross Gen Plant'!$E$7:$AD$91,MATCH($C1020,'Gross Gen Plant'!$D$7:$D$91,0),MATCH(Calculation!$G1020,'Gross Gen Plant'!$E$5:$AD$5,0))</f>
        <v>29087</v>
      </c>
      <c r="CG1020" s="118">
        <f t="shared" si="3018"/>
        <v>430632</v>
      </c>
      <c r="CH1020" s="118"/>
      <c r="CI1020" s="121">
        <v>1998</v>
      </c>
      <c r="CJ1020" s="118">
        <f>BQ1020+BR1020</f>
        <v>578644</v>
      </c>
      <c r="CK1020" s="118">
        <f>139892+8120</f>
        <v>148012</v>
      </c>
      <c r="CL1020" s="118">
        <f>+CJ1020-CK1020</f>
        <v>430632</v>
      </c>
      <c r="CM1020" s="118">
        <f>CL1020/$CD$36</f>
        <v>2134.8066542362935</v>
      </c>
      <c r="CN1020" s="183"/>
      <c r="CO1020" s="183"/>
      <c r="CP1020" s="186">
        <v>1</v>
      </c>
      <c r="CQ1020" s="118">
        <f>+CM1020</f>
        <v>2134.8066542362935</v>
      </c>
      <c r="CR1020" s="119"/>
      <c r="CS1020" s="119"/>
      <c r="CT1020" s="177"/>
      <c r="CU1020" s="177"/>
      <c r="CV1020" s="119" t="e">
        <f>VLOOKUP($H1020,RoR!$E:$F,2,FALSE)</f>
        <v>#N/A</v>
      </c>
      <c r="CW1020" s="177">
        <v>1.1028127770464469E-2</v>
      </c>
      <c r="CX1020" s="177"/>
      <c r="CY1020" s="177"/>
      <c r="CZ1020" s="177"/>
      <c r="DA1020" s="187"/>
      <c r="DB1020" s="190" t="e">
        <f>2/(DK1020*39)</f>
        <v>#N/A</v>
      </c>
      <c r="DC1020" s="188" t="e">
        <f>+(DK1020*40-(1+DK1020))/(DK1020*40)</f>
        <v>#N/A</v>
      </c>
      <c r="DD1020" s="188" t="e">
        <f>+(1-(1/(1+DK1020)^40))</f>
        <v>#N/A</v>
      </c>
      <c r="DE1020" s="188" t="e">
        <f>+DD1020*DC1020*DB1020</f>
        <v>#N/A</v>
      </c>
      <c r="DF1020" s="189">
        <f>INDEX('State Tax Lookup'!$D$7:$Z$91,MATCH(Calculation!$C1020,'State Tax Lookup'!$B$7:$B$91,0),MATCH($H1020,'State Tax Lookup'!$D$6:$Z$6,0))</f>
        <v>0.40849999999999997</v>
      </c>
      <c r="DG1020" s="189">
        <v>0.375</v>
      </c>
      <c r="DH1020" s="183"/>
      <c r="DI1020" s="183"/>
      <c r="DJ1020" s="177"/>
      <c r="DK1020" s="189" t="e">
        <f>VLOOKUP($H1020,RoR!$E:$F,2,FALSE)</f>
        <v>#N/A</v>
      </c>
      <c r="DL1020" s="191">
        <f>HLOOKUP($H1020,'GDP-PI'!$D$8:$CQ$11,3,FALSE)</f>
        <v>1.1028127770464469E-2</v>
      </c>
      <c r="DM1020" s="189">
        <f>VLOOKUP(H1020,'HW Dx Data'!$E:$F,2,FALSE)</f>
        <v>329.24564746449528</v>
      </c>
      <c r="DN1020" s="183" t="e">
        <f>VLOOKUP(H1020,'ECI - Input Price'!$G$17:$H$37,2,FALSE)</f>
        <v>#N/A</v>
      </c>
      <c r="DO1020" s="177"/>
      <c r="DP1020" s="183">
        <f>HLOOKUP(H1020,'GDP-PI'!$8:$9,2,FALSE)</f>
        <v>75.266999999999996</v>
      </c>
    </row>
    <row r="1021" spans="1:121" s="167" customFormat="1" ht="21" x14ac:dyDescent="0.35">
      <c r="A1021" s="167" t="s">
        <v>102</v>
      </c>
      <c r="B1021" s="167" t="s">
        <v>102</v>
      </c>
      <c r="C1021" s="167">
        <v>4063023</v>
      </c>
      <c r="D1021" s="168" t="s">
        <v>145</v>
      </c>
      <c r="E1021" s="168" t="s">
        <v>126</v>
      </c>
      <c r="F1021" s="198"/>
      <c r="G1021" s="167" t="s">
        <v>5</v>
      </c>
      <c r="H1021" s="169">
        <v>1999</v>
      </c>
      <c r="I1021" s="170"/>
      <c r="J1021" s="166"/>
      <c r="K1021" s="170"/>
      <c r="L1021" s="170"/>
      <c r="M1021" s="166"/>
      <c r="N1021" s="173"/>
      <c r="O1021" s="170"/>
      <c r="P1021" s="177"/>
      <c r="Q1021" s="177"/>
      <c r="R1021" s="177"/>
      <c r="S1021" s="195"/>
      <c r="T1021" s="177"/>
      <c r="U1021" s="177"/>
      <c r="V1021" s="166">
        <f t="shared" ref="V1021:V1043" si="3042">+CQ1020*DH1021</f>
        <v>0</v>
      </c>
      <c r="W1021" s="170"/>
      <c r="X1021" s="174">
        <v>2247.1351062066201</v>
      </c>
      <c r="Y1021" s="175">
        <v>5.128003626528771E-2</v>
      </c>
      <c r="Z1021" s="175"/>
      <c r="AA1021" s="175"/>
      <c r="AB1021" s="175"/>
      <c r="AC1021" s="170">
        <f t="shared" si="2863"/>
        <v>0</v>
      </c>
      <c r="AD1021" s="175"/>
      <c r="AE1021" s="170"/>
      <c r="AF1021" s="119"/>
      <c r="AG1021" s="174"/>
      <c r="AH1021" s="175"/>
      <c r="AI1021" s="175"/>
      <c r="AJ1021" s="174"/>
      <c r="AK1021" s="174"/>
      <c r="AL1021" s="120"/>
      <c r="AM1021" s="120"/>
      <c r="AN1021" s="120"/>
      <c r="AO1021" s="120"/>
      <c r="AP1021" s="120"/>
      <c r="AQ1021" s="175"/>
      <c r="AR1021" s="120"/>
      <c r="AS1021" s="120"/>
      <c r="AT1021" s="120"/>
      <c r="AU1021" s="120"/>
      <c r="AV1021" s="120"/>
      <c r="AW1021" s="120"/>
      <c r="AX1021" s="120"/>
      <c r="AY1021" s="120"/>
      <c r="AZ1021" s="118">
        <f>IFERROR(INDEX('Total Customers'!$F$7:$AB$91,MATCH($C1021,'Total Customers'!$D$7:$D$91,0),MATCH($G1021,'Total Customers'!$F$5:$AB$5,0)),"NA")</f>
        <v>270524</v>
      </c>
      <c r="BA1021" s="119">
        <f t="shared" ref="BA1021:BA1043" si="3043">LN(AZ1021/AZ1020)</f>
        <v>-1.5304212720721008E-2</v>
      </c>
      <c r="BB1021" s="119"/>
      <c r="BC1021" s="121"/>
      <c r="BD1021" s="119"/>
      <c r="BE1021" s="119"/>
      <c r="BF1021" s="119"/>
      <c r="BG1021" s="173"/>
      <c r="BH1021" s="173"/>
      <c r="BI1021" s="173"/>
      <c r="BJ1021" s="173"/>
      <c r="BK1021" s="173"/>
      <c r="BL1021" s="173"/>
      <c r="BM1021" s="173"/>
      <c r="BN1021" s="173"/>
      <c r="BO1021" s="173"/>
      <c r="BP1021" s="173"/>
      <c r="BQ1021" s="118"/>
      <c r="BR1021" s="118"/>
      <c r="BS1021" s="118">
        <f>INDEX('Dist. Plant Gas Additions'!$F$7:$AE$91,MATCH($C1021,'Dist. Plant Gas Additions'!$D$7:$D$91,0),MATCH(Calculation!$G1021,'Dist. Plant Gas Additions'!$F$5:$AE$5,0))</f>
        <v>35223</v>
      </c>
      <c r="BT1021" s="118">
        <f>INDEX('Gen. Plant Additions'!$F$7:$AE$91,MATCH($C1021,'Gen. Plant Additions'!$D$7:$D$91,0),MATCH(Calculation!$G1021,'Gen. Plant Additions'!$F$5:$AE$5,0))</f>
        <v>6005</v>
      </c>
      <c r="BU1021" s="118"/>
      <c r="BV1021" s="118"/>
      <c r="BW1021" s="118">
        <f>INDEX('Dist Plant Depreciation'!$E$7:$AD$94,MATCH($C1021,'Dist Plant Depreciation'!$D$7:$D$94,0),MATCH(Calculation!$G1021,'Dist Plant Depreciation'!$E$5:$AD$5,0))</f>
        <v>150323</v>
      </c>
      <c r="BX1021" s="118">
        <f>INDEX('Gen. Plant Depreciation'!$E$7:$AD$94,MATCH($C1021,'Gen. Plant Depreciation'!$D$7:$D$94,0),MATCH(Calculation!$G1021,'Gen. Plant Depreciation'!$E$5:$AD$5,0))</f>
        <v>7896</v>
      </c>
      <c r="BY1021" s="118"/>
      <c r="BZ1021" s="118"/>
      <c r="CA1021" s="118"/>
      <c r="CB1021" s="118"/>
      <c r="CC1021" s="118"/>
      <c r="CD1021" s="183"/>
      <c r="CE1021" s="118">
        <f>INDEX('Gross Dx Plant'!$E$7:$AD$91,MATCH($C1021,'Gross Dx Plant'!$D$7:$D$91,0),MATCH(Calculation!$G1021,'Gross Dx Plant'!$E$5:$AD$5,0))</f>
        <v>584272</v>
      </c>
      <c r="CF1021" s="118">
        <f>INDEX('Gross Gen Plant'!$E$7:$AD$91,MATCH($C1021,'Gross Gen Plant'!$D$7:$D$91,0),MATCH(Calculation!$G1021,'Gross Gen Plant'!$E$5:$AD$5,0))</f>
        <v>29275</v>
      </c>
      <c r="CG1021" s="118">
        <f t="shared" si="3018"/>
        <v>455328</v>
      </c>
      <c r="CH1021" s="118"/>
      <c r="CI1021" s="121">
        <v>1999</v>
      </c>
      <c r="CJ1021" s="118"/>
      <c r="CK1021" s="118"/>
      <c r="CL1021" s="118"/>
      <c r="CM1021" s="183"/>
      <c r="CN1021" s="118">
        <f t="shared" ref="CN1021:CN1041" si="3044">+BT1021+BS1021</f>
        <v>41228</v>
      </c>
      <c r="CO1021" s="118">
        <f t="shared" ref="CO1021:CO1043" si="3045">+CN1021/$DM1021</f>
        <v>122.94938059836777</v>
      </c>
      <c r="CP1021" s="186">
        <v>0.99502487562189057</v>
      </c>
      <c r="CQ1021" s="118">
        <f>+CQ1020*CP1021+CO1021</f>
        <v>2247.1351062066201</v>
      </c>
      <c r="CR1021" s="119">
        <f t="shared" ref="CR1021:CR1042" si="3046">LN(CQ1021/CQ1020)</f>
        <v>5.128003626528771E-2</v>
      </c>
      <c r="CS1021" s="119"/>
      <c r="CT1021" s="177">
        <f t="shared" ref="CT1021:CT1043" si="3047">+(CQ1020-CQ1021+CO1021)/CQ1020</f>
        <v>4.9751243781094232E-3</v>
      </c>
      <c r="CU1021" s="177"/>
      <c r="CV1021" s="119">
        <f>VLOOKUP($H1021,RoR!$E:$F,2,FALSE)</f>
        <v>7.0416666666666669E-2</v>
      </c>
      <c r="CW1021" s="177">
        <v>1.4335631817396832E-2</v>
      </c>
      <c r="CX1021" s="177">
        <f>+CV1021-CW1021</f>
        <v>5.6081034849269837E-2</v>
      </c>
      <c r="CY1021" s="177"/>
      <c r="CZ1021" s="177"/>
      <c r="DA1021" s="187">
        <f t="shared" ref="DA1021:DA1043" si="3048">1-DF1021*DG1021</f>
        <v>0.84681249999999997</v>
      </c>
      <c r="DB1021" s="188">
        <f t="shared" ref="DB1021:DB1043" si="3049">2/(DK1021*39)</f>
        <v>0.72826581702321336</v>
      </c>
      <c r="DC1021" s="188">
        <f t="shared" ref="DC1021:DC1043" si="3050">+(DK1021*40-(1+DK1021))/(DK1021*40)</f>
        <v>0.61997041420118348</v>
      </c>
      <c r="DD1021" s="188">
        <f t="shared" ref="DD1021:DD1043" si="3051">+(1-(1/(1+DK1021)^40))</f>
        <v>0.93425155319585029</v>
      </c>
      <c r="DE1021" s="188">
        <f t="shared" ref="DE1021:DE1043" si="3052">+DD1021*DC1021*DB1021</f>
        <v>0.42181762214141483</v>
      </c>
      <c r="DF1021" s="189">
        <f>INDEX('State Tax Lookup'!$D$7:$Z$91,MATCH(Calculation!$C1021,'State Tax Lookup'!$B$7:$B$91,0),MATCH($H1021,'State Tax Lookup'!$D$6:$Z$6,0))</f>
        <v>0.40849999999999997</v>
      </c>
      <c r="DG1021" s="189">
        <v>0.375</v>
      </c>
      <c r="DH1021" s="190"/>
      <c r="DI1021" s="190"/>
      <c r="DJ1021" s="177"/>
      <c r="DK1021" s="189">
        <f>VLOOKUP($H1021,RoR!$E:$F,2,FALSE)</f>
        <v>7.0416666666666669E-2</v>
      </c>
      <c r="DL1021" s="191">
        <f>HLOOKUP($H1021,'GDP-PI'!$D$8:$CQ$11,3,FALSE)</f>
        <v>1.4335631817396832E-2</v>
      </c>
      <c r="DM1021" s="189">
        <f>VLOOKUP(H1021,'HW Dx Data'!$E:$F,2,FALSE)</f>
        <v>335.32499146683239</v>
      </c>
      <c r="DN1021" s="183" t="e">
        <f>VLOOKUP(H1021,'ECI - Input Price'!$G$17:$H$37,2,FALSE)</f>
        <v>#N/A</v>
      </c>
      <c r="DO1021" s="177"/>
      <c r="DP1021" s="183">
        <f>HLOOKUP(H1021,'GDP-PI'!$8:$9,2,FALSE)</f>
        <v>76.346000000000004</v>
      </c>
    </row>
    <row r="1022" spans="1:121" s="167" customFormat="1" ht="21" x14ac:dyDescent="0.35">
      <c r="A1022" s="167" t="s">
        <v>102</v>
      </c>
      <c r="B1022" s="167" t="s">
        <v>102</v>
      </c>
      <c r="C1022" s="167">
        <v>4063023</v>
      </c>
      <c r="D1022" s="168" t="s">
        <v>145</v>
      </c>
      <c r="E1022" s="168" t="s">
        <v>126</v>
      </c>
      <c r="F1022" s="198"/>
      <c r="G1022" s="167" t="s">
        <v>6</v>
      </c>
      <c r="H1022" s="169">
        <v>2000</v>
      </c>
      <c r="I1022" s="170"/>
      <c r="J1022" s="166"/>
      <c r="K1022" s="166"/>
      <c r="L1022" s="166"/>
      <c r="M1022" s="166"/>
      <c r="N1022" s="196"/>
      <c r="O1022" s="166"/>
      <c r="P1022" s="166"/>
      <c r="Q1022" s="166"/>
      <c r="R1022" s="166"/>
      <c r="S1022" s="166"/>
      <c r="T1022" s="166"/>
      <c r="U1022" s="166"/>
      <c r="V1022" s="166">
        <f t="shared" si="3042"/>
        <v>0</v>
      </c>
      <c r="W1022" s="170"/>
      <c r="X1022" s="174">
        <v>2367.5504848287942</v>
      </c>
      <c r="Y1022" s="175">
        <v>5.21997511916652E-2</v>
      </c>
      <c r="Z1022" s="175"/>
      <c r="AA1022" s="175"/>
      <c r="AB1022" s="175"/>
      <c r="AC1022" s="170">
        <f t="shared" ref="AC1022:AC1085" si="3053">+J1022+P1022+V1022</f>
        <v>0</v>
      </c>
      <c r="AD1022" s="175"/>
      <c r="AE1022" s="170"/>
      <c r="AF1022" s="170"/>
      <c r="AG1022" s="174"/>
      <c r="AH1022" s="175"/>
      <c r="AI1022" s="175"/>
      <c r="AJ1022" s="174"/>
      <c r="AK1022" s="174"/>
      <c r="AL1022" s="120"/>
      <c r="AM1022" s="120"/>
      <c r="AN1022" s="120"/>
      <c r="AO1022" s="120"/>
      <c r="AP1022" s="120"/>
      <c r="AQ1022" s="175"/>
      <c r="AR1022" s="120"/>
      <c r="AS1022" s="120"/>
      <c r="AT1022" s="120"/>
      <c r="AU1022" s="120"/>
      <c r="AV1022" s="120"/>
      <c r="AW1022" s="120"/>
      <c r="AX1022" s="120"/>
      <c r="AY1022" s="120"/>
      <c r="AZ1022" s="118">
        <f>IFERROR(INDEX('Total Customers'!$F$7:$AB$91,MATCH($C1022,'Total Customers'!$D$7:$D$91,0),MATCH($G1022,'Total Customers'!$F$5:$AB$5,0)),"NA")</f>
        <v>329912</v>
      </c>
      <c r="BA1022" s="119">
        <f t="shared" si="3043"/>
        <v>0.19846513329713486</v>
      </c>
      <c r="BB1022" s="119"/>
      <c r="BC1022" s="121"/>
      <c r="BD1022" s="119"/>
      <c r="BE1022" s="119"/>
      <c r="BF1022" s="119"/>
      <c r="BG1022" s="173"/>
      <c r="BH1022" s="173"/>
      <c r="BI1022" s="173"/>
      <c r="BJ1022" s="173"/>
      <c r="BK1022" s="173"/>
      <c r="BL1022" s="173"/>
      <c r="BM1022" s="173"/>
      <c r="BN1022" s="173"/>
      <c r="BO1022" s="173"/>
      <c r="BP1022" s="173"/>
      <c r="BQ1022" s="118"/>
      <c r="BR1022" s="118"/>
      <c r="BS1022" s="118">
        <f>INDEX('Dist. Plant Gas Additions'!$F$7:$AE$91,MATCH($C1022,'Dist. Plant Gas Additions'!$D$7:$D$91,0),MATCH(Calculation!$G1022,'Dist. Plant Gas Additions'!$F$5:$AE$5,0))</f>
        <v>38416</v>
      </c>
      <c r="BT1022" s="118">
        <f>INDEX('Gen. Plant Additions'!$F$7:$AE$91,MATCH($C1022,'Gen. Plant Additions'!$D$7:$D$91,0),MATCH(Calculation!$G1022,'Gen. Plant Additions'!$F$5:$AE$5,0))</f>
        <v>7316</v>
      </c>
      <c r="BU1022" s="118"/>
      <c r="BV1022" s="118"/>
      <c r="BW1022" s="118">
        <f>INDEX('Dist Plant Depreciation'!$E$7:$AD$94,MATCH($C1022,'Dist Plant Depreciation'!$D$7:$D$94,0),MATCH(Calculation!$G1022,'Dist Plant Depreciation'!$E$5:$AD$5,0))</f>
        <v>162149</v>
      </c>
      <c r="BX1022" s="118">
        <f>INDEX('Gen. Plant Depreciation'!$E$7:$AD$94,MATCH($C1022,'Gen. Plant Depreciation'!$D$7:$D$94,0),MATCH(Calculation!$G1022,'Gen. Plant Depreciation'!$E$5:$AD$5,0))</f>
        <v>9263</v>
      </c>
      <c r="BY1022" s="118"/>
      <c r="BZ1022" s="118"/>
      <c r="CA1022" s="118"/>
      <c r="CB1022" s="118"/>
      <c r="CC1022" s="118"/>
      <c r="CD1022" s="183"/>
      <c r="CE1022" s="118">
        <f>INDEX('Gross Dx Plant'!$E$7:$AD$91,MATCH($C1022,'Gross Dx Plant'!$D$7:$D$91,0),MATCH(Calculation!$G1022,'Gross Dx Plant'!$E$5:$AD$5,0))</f>
        <v>622702</v>
      </c>
      <c r="CF1022" s="118">
        <f>INDEX('Gross Gen Plant'!$E$7:$AD$91,MATCH($C1022,'Gross Gen Plant'!$D$7:$D$91,0),MATCH(Calculation!$G1022,'Gross Gen Plant'!$E$5:$AD$5,0))</f>
        <v>32021</v>
      </c>
      <c r="CG1022" s="118">
        <f t="shared" si="3018"/>
        <v>483311</v>
      </c>
      <c r="CH1022" s="118"/>
      <c r="CI1022" s="121">
        <v>2000</v>
      </c>
      <c r="CJ1022" s="118"/>
      <c r="CK1022" s="118"/>
      <c r="CL1022" s="118"/>
      <c r="CM1022" s="183"/>
      <c r="CN1022" s="118">
        <f t="shared" si="3044"/>
        <v>45732</v>
      </c>
      <c r="CO1022" s="118">
        <f t="shared" si="3045"/>
        <v>131.96984203296537</v>
      </c>
      <c r="CP1022" s="186">
        <v>0.98989898989898994</v>
      </c>
      <c r="CQ1022" s="118">
        <f>+CQ1020*CP1022+CO1021*CP1021+CO1022</f>
        <v>2367.5504848287942</v>
      </c>
      <c r="CR1022" s="119">
        <f t="shared" si="3046"/>
        <v>5.21997511916652E-2</v>
      </c>
      <c r="CS1022" s="119"/>
      <c r="CT1022" s="177">
        <f t="shared" si="3047"/>
        <v>5.1418641357511945E-3</v>
      </c>
      <c r="CU1022" s="177"/>
      <c r="CV1022" s="119">
        <f>VLOOKUP($H1022,RoR!$E:$F,2,FALSE)</f>
        <v>7.6225000000000001E-2</v>
      </c>
      <c r="CW1022" s="177">
        <v>2.2568307442433211E-2</v>
      </c>
      <c r="CX1022" s="177">
        <f t="shared" ref="CX1022:CX1042" si="3054">+CV1022-CW1022</f>
        <v>5.365669255756679E-2</v>
      </c>
      <c r="CY1022" s="177"/>
      <c r="CZ1022" s="177"/>
      <c r="DA1022" s="187">
        <f t="shared" si="3048"/>
        <v>0.84681249999999997</v>
      </c>
      <c r="DB1022" s="188">
        <f t="shared" si="3049"/>
        <v>0.67277207323124022</v>
      </c>
      <c r="DC1022" s="188">
        <f t="shared" si="3050"/>
        <v>0.6470236142997704</v>
      </c>
      <c r="DD1022" s="188">
        <f t="shared" si="3051"/>
        <v>0.94704866037543145</v>
      </c>
      <c r="DE1022" s="188">
        <f t="shared" si="3052"/>
        <v>0.41224973107878493</v>
      </c>
      <c r="DF1022" s="189">
        <f>INDEX('State Tax Lookup'!$D$7:$Z$91,MATCH(Calculation!$C1022,'State Tax Lookup'!$B$7:$B$91,0),MATCH($H1022,'State Tax Lookup'!$D$6:$Z$6,0))</f>
        <v>0.40849999999999997</v>
      </c>
      <c r="DG1022" s="189">
        <v>0.375</v>
      </c>
      <c r="DH1022" s="190"/>
      <c r="DI1022" s="190"/>
      <c r="DJ1022" s="177"/>
      <c r="DK1022" s="189">
        <f>VLOOKUP($H1022,RoR!$E:$F,2,FALSE)</f>
        <v>7.6225000000000001E-2</v>
      </c>
      <c r="DL1022" s="191">
        <f>HLOOKUP($H1022,'GDP-PI'!$D$8:$CQ$11,3,FALSE)</f>
        <v>2.2568307442433211E-2</v>
      </c>
      <c r="DM1022" s="189">
        <f>VLOOKUP(H1022,'HW Dx Data'!$E:$F,2,FALSE)</f>
        <v>346.53371782150339</v>
      </c>
      <c r="DN1022" s="183" t="e">
        <f>VLOOKUP(H1022,'ECI - Input Price'!$G$17:$H$37,2,FALSE)</f>
        <v>#N/A</v>
      </c>
      <c r="DO1022" s="177"/>
      <c r="DP1022" s="183">
        <f>HLOOKUP(H1022,'GDP-PI'!$8:$9,2,FALSE)</f>
        <v>78.069000000000003</v>
      </c>
    </row>
    <row r="1023" spans="1:121" s="167" customFormat="1" ht="21" x14ac:dyDescent="0.35">
      <c r="A1023" s="167" t="s">
        <v>102</v>
      </c>
      <c r="B1023" s="167" t="s">
        <v>102</v>
      </c>
      <c r="C1023" s="167">
        <v>4063023</v>
      </c>
      <c r="D1023" s="168" t="s">
        <v>145</v>
      </c>
      <c r="E1023" s="168" t="s">
        <v>126</v>
      </c>
      <c r="F1023" s="198"/>
      <c r="G1023" s="167" t="s">
        <v>7</v>
      </c>
      <c r="H1023" s="169">
        <v>2001</v>
      </c>
      <c r="I1023" s="170"/>
      <c r="J1023" s="166"/>
      <c r="K1023" s="166"/>
      <c r="L1023" s="166"/>
      <c r="M1023" s="166"/>
      <c r="N1023" s="196"/>
      <c r="O1023" s="166"/>
      <c r="P1023" s="166"/>
      <c r="Q1023" s="166"/>
      <c r="R1023" s="166"/>
      <c r="S1023" s="166"/>
      <c r="T1023" s="166"/>
      <c r="U1023" s="166"/>
      <c r="V1023" s="166">
        <f t="shared" si="3042"/>
        <v>30890.483894961792</v>
      </c>
      <c r="W1023" s="170"/>
      <c r="X1023" s="174">
        <v>2480.3297835424942</v>
      </c>
      <c r="Y1023" s="175">
        <v>4.6535658611026785E-2</v>
      </c>
      <c r="Z1023" s="175"/>
      <c r="AA1023" s="175"/>
      <c r="AB1023" s="175"/>
      <c r="AC1023" s="170">
        <f t="shared" si="3053"/>
        <v>30890.483894961792</v>
      </c>
      <c r="AD1023" s="175"/>
      <c r="AE1023" s="170"/>
      <c r="AF1023" s="170"/>
      <c r="AG1023" s="174"/>
      <c r="AH1023" s="175"/>
      <c r="AI1023" s="175"/>
      <c r="AJ1023" s="174"/>
      <c r="AK1023" s="174"/>
      <c r="AL1023" s="120"/>
      <c r="AM1023" s="120"/>
      <c r="AN1023" s="120"/>
      <c r="AO1023" s="120"/>
      <c r="AP1023" s="120"/>
      <c r="AQ1023" s="175"/>
      <c r="AR1023" s="120"/>
      <c r="AS1023" s="120"/>
      <c r="AT1023" s="120"/>
      <c r="AU1023" s="120"/>
      <c r="AV1023" s="120"/>
      <c r="AW1023" s="120"/>
      <c r="AX1023" s="120"/>
      <c r="AY1023" s="120"/>
      <c r="AZ1023" s="118">
        <f>IFERROR(INDEX('Total Customers'!$F$7:$AB$91,MATCH($C1023,'Total Customers'!$D$7:$D$91,0),MATCH($G1023,'Total Customers'!$F$5:$AB$5,0)),"NA")</f>
        <v>330278</v>
      </c>
      <c r="BA1023" s="119">
        <f t="shared" si="3043"/>
        <v>1.10877183082437E-3</v>
      </c>
      <c r="BB1023" s="119"/>
      <c r="BC1023" s="121"/>
      <c r="BD1023" s="119"/>
      <c r="BE1023" s="119"/>
      <c r="BF1023" s="119"/>
      <c r="BG1023" s="173"/>
      <c r="BH1023" s="173"/>
      <c r="BI1023" s="173"/>
      <c r="BJ1023" s="173"/>
      <c r="BK1023" s="173"/>
      <c r="BL1023" s="173"/>
      <c r="BM1023" s="173"/>
      <c r="BN1023" s="173"/>
      <c r="BO1023" s="173"/>
      <c r="BP1023" s="173"/>
      <c r="BQ1023" s="118"/>
      <c r="BR1023" s="118"/>
      <c r="BS1023" s="118">
        <f>INDEX('Dist. Plant Gas Additions'!$F$7:$AE$91,MATCH($C1023,'Dist. Plant Gas Additions'!$D$7:$D$91,0),MATCH(Calculation!$G1023,'Dist. Plant Gas Additions'!$F$5:$AE$5,0))</f>
        <v>36892</v>
      </c>
      <c r="BT1023" s="118">
        <f>INDEX('Gen. Plant Additions'!$F$7:$AE$91,MATCH($C1023,'Gen. Plant Additions'!$D$7:$D$91,0),MATCH(Calculation!$G1023,'Gen. Plant Additions'!$F$5:$AE$5,0))</f>
        <v>7179</v>
      </c>
      <c r="BU1023" s="118"/>
      <c r="BV1023" s="118"/>
      <c r="BW1023" s="118">
        <f>INDEX('Dist Plant Depreciation'!$E$7:$AD$94,MATCH($C1023,'Dist Plant Depreciation'!$D$7:$D$94,0),MATCH(Calculation!$G1023,'Dist Plant Depreciation'!$E$5:$AD$5,0))</f>
        <v>172896</v>
      </c>
      <c r="BX1023" s="118">
        <f>INDEX('Gen. Plant Depreciation'!$E$7:$AD$94,MATCH($C1023,'Gen. Plant Depreciation'!$D$7:$D$94,0),MATCH(Calculation!$G1023,'Gen. Plant Depreciation'!$E$5:$AD$5,0))</f>
        <v>9085</v>
      </c>
      <c r="BY1023" s="118"/>
      <c r="BZ1023" s="118"/>
      <c r="CA1023" s="118"/>
      <c r="CB1023" s="118"/>
      <c r="CC1023" s="118"/>
      <c r="CD1023" s="183"/>
      <c r="CE1023" s="118">
        <f>INDEX('Gross Dx Plant'!$E$7:$AD$91,MATCH($C1023,'Gross Dx Plant'!$D$7:$D$91,0),MATCH(Calculation!$G1023,'Gross Dx Plant'!$E$5:$AD$5,0))</f>
        <v>658503</v>
      </c>
      <c r="CF1023" s="118">
        <f>INDEX('Gross Gen Plant'!$E$7:$AD$91,MATCH($C1023,'Gross Gen Plant'!$D$7:$D$91,0),MATCH(Calculation!$G1023,'Gross Gen Plant'!$E$5:$AD$5,0))</f>
        <v>32581</v>
      </c>
      <c r="CG1023" s="118">
        <f t="shared" si="3018"/>
        <v>509103</v>
      </c>
      <c r="CH1023" s="118"/>
      <c r="CI1023" s="121">
        <v>2001</v>
      </c>
      <c r="CJ1023" s="118"/>
      <c r="CK1023" s="118"/>
      <c r="CL1023" s="118"/>
      <c r="CM1023" s="183"/>
      <c r="CN1023" s="118">
        <f t="shared" si="3044"/>
        <v>44071</v>
      </c>
      <c r="CO1023" s="118">
        <f t="shared" si="3045"/>
        <v>124.68899890614679</v>
      </c>
      <c r="CP1023" s="186">
        <v>0.98461538461538467</v>
      </c>
      <c r="CQ1023" s="118">
        <f>+CQ1020*CP1023+CO1021*CP1022+CO1022*CP1020+CO1023</f>
        <v>2480.3297835424942</v>
      </c>
      <c r="CR1023" s="119">
        <f t="shared" si="3046"/>
        <v>4.6535658611026785E-2</v>
      </c>
      <c r="CS1023" s="119"/>
      <c r="CT1023" s="177">
        <f t="shared" si="3047"/>
        <v>5.0303891168377987E-3</v>
      </c>
      <c r="CU1023" s="177">
        <f>+(CT1023+CT1022+CT1021)/3</f>
        <v>5.0491258768994721E-3</v>
      </c>
      <c r="CV1023" s="119">
        <f>VLOOKUP($H1023,RoR!$E:$F,2,FALSE)</f>
        <v>7.0824999999999999E-2</v>
      </c>
      <c r="CW1023" s="177">
        <v>2.2454495382290052E-2</v>
      </c>
      <c r="CX1023" s="177">
        <f t="shared" si="3054"/>
        <v>4.8370504617709947E-2</v>
      </c>
      <c r="CY1023" s="177">
        <f>+$CX$35-CU1023</f>
        <v>2.5852815731634154E-2</v>
      </c>
      <c r="CZ1023" s="177">
        <f>+((DM1021/DM1020-1)+(DM1022/DM1021-1)+(DM1023/DM1022-1))/3</f>
        <v>2.3947275901631187E-2</v>
      </c>
      <c r="DA1023" s="187">
        <f t="shared" si="3048"/>
        <v>0.84681249999999997</v>
      </c>
      <c r="DB1023" s="188">
        <f t="shared" si="3049"/>
        <v>0.72406708481540816</v>
      </c>
      <c r="DC1023" s="188">
        <f t="shared" si="3050"/>
        <v>0.62201729615248857</v>
      </c>
      <c r="DD1023" s="188">
        <f t="shared" si="3051"/>
        <v>0.9352469954311422</v>
      </c>
      <c r="DE1023" s="188">
        <f t="shared" si="3052"/>
        <v>0.42121864641655071</v>
      </c>
      <c r="DF1023" s="189">
        <f>INDEX('State Tax Lookup'!$D$7:$Z$91,MATCH(Calculation!$C1023,'State Tax Lookup'!$B$7:$B$91,0),MATCH($H1023,'State Tax Lookup'!$D$6:$Z$6,0))</f>
        <v>0.40849999999999997</v>
      </c>
      <c r="DG1023" s="189">
        <v>0.375</v>
      </c>
      <c r="DH1023" s="190">
        <f t="shared" ref="DH1023:DH1043" si="3055">+(DM1023*CY1023-CZ1023)*DA1023/(1-DF1023)</f>
        <v>13.047444644964177</v>
      </c>
      <c r="DI1023" s="190"/>
      <c r="DJ1023" s="177"/>
      <c r="DK1023" s="189">
        <f>VLOOKUP($H1023,RoR!$E:$F,2,FALSE)</f>
        <v>7.0824999999999999E-2</v>
      </c>
      <c r="DL1023" s="191">
        <f>HLOOKUP($H1023,'GDP-PI'!$D$8:$CQ$11,3,FALSE)</f>
        <v>2.2454495382290052E-2</v>
      </c>
      <c r="DM1023" s="189">
        <f>VLOOKUP(H1023,'HW Dx Data'!$E:$F,2,FALSE)</f>
        <v>353.44738017483138</v>
      </c>
      <c r="DN1023" s="183">
        <f>VLOOKUP(H1023,'ECI - Input Price'!$G$17:$H$37,2,FALSE)</f>
        <v>86.2</v>
      </c>
      <c r="DO1023" s="177"/>
      <c r="DP1023" s="183">
        <f>HLOOKUP(H1023,'GDP-PI'!$8:$9,2,FALSE)</f>
        <v>79.822000000000003</v>
      </c>
    </row>
    <row r="1024" spans="1:121" s="167" customFormat="1" ht="21" x14ac:dyDescent="0.35">
      <c r="A1024" s="167" t="s">
        <v>102</v>
      </c>
      <c r="B1024" s="167" t="s">
        <v>102</v>
      </c>
      <c r="C1024" s="167">
        <v>4063023</v>
      </c>
      <c r="D1024" s="168" t="s">
        <v>145</v>
      </c>
      <c r="E1024" s="168" t="s">
        <v>126</v>
      </c>
      <c r="F1024" s="198"/>
      <c r="G1024" s="167" t="s">
        <v>8</v>
      </c>
      <c r="H1024" s="169">
        <v>2002</v>
      </c>
      <c r="I1024" s="170"/>
      <c r="J1024" s="166"/>
      <c r="K1024" s="166"/>
      <c r="L1024" s="166"/>
      <c r="M1024" s="166"/>
      <c r="N1024" s="196"/>
      <c r="O1024" s="166"/>
      <c r="P1024" s="166"/>
      <c r="Q1024" s="166"/>
      <c r="R1024" s="166"/>
      <c r="S1024" s="166"/>
      <c r="T1024" s="166"/>
      <c r="U1024" s="166"/>
      <c r="V1024" s="166">
        <f t="shared" si="3042"/>
        <v>32755.893508652473</v>
      </c>
      <c r="W1024" s="170"/>
      <c r="X1024" s="174">
        <v>2592.6459144834562</v>
      </c>
      <c r="Y1024" s="175">
        <v>4.4287414277500513E-2</v>
      </c>
      <c r="Z1024" s="175"/>
      <c r="AA1024" s="175"/>
      <c r="AB1024" s="175"/>
      <c r="AC1024" s="170">
        <f t="shared" si="3053"/>
        <v>32755.893508652473</v>
      </c>
      <c r="AD1024" s="175"/>
      <c r="AE1024" s="170"/>
      <c r="AF1024" s="170"/>
      <c r="AG1024" s="174"/>
      <c r="AH1024" s="175"/>
      <c r="AI1024" s="175"/>
      <c r="AJ1024" s="174"/>
      <c r="AK1024" s="174"/>
      <c r="AL1024" s="120"/>
      <c r="AM1024" s="120"/>
      <c r="AN1024" s="120"/>
      <c r="AO1024" s="120"/>
      <c r="AP1024" s="120"/>
      <c r="AQ1024" s="175"/>
      <c r="AR1024" s="120"/>
      <c r="AS1024" s="120"/>
      <c r="AT1024" s="120"/>
      <c r="AU1024" s="120"/>
      <c r="AV1024" s="120"/>
      <c r="AW1024" s="120"/>
      <c r="AX1024" s="120"/>
      <c r="AY1024" s="120"/>
      <c r="AZ1024" s="118">
        <f>IFERROR(INDEX('Total Customers'!$F$7:$AB$91,MATCH($C1024,'Total Customers'!$D$7:$D$91,0),MATCH($G1024,'Total Customers'!$F$5:$AB$5,0)),"NA")</f>
        <v>296378</v>
      </c>
      <c r="BA1024" s="119">
        <f t="shared" si="3043"/>
        <v>-0.10829905741720537</v>
      </c>
      <c r="BB1024" s="119"/>
      <c r="BC1024" s="121"/>
      <c r="BD1024" s="119"/>
      <c r="BE1024" s="119"/>
      <c r="BF1024" s="119"/>
      <c r="BG1024" s="173"/>
      <c r="BH1024" s="173"/>
      <c r="BI1024" s="173"/>
      <c r="BJ1024" s="173"/>
      <c r="BK1024" s="173"/>
      <c r="BL1024" s="173"/>
      <c r="BM1024" s="173"/>
      <c r="BN1024" s="173"/>
      <c r="BO1024" s="173"/>
      <c r="BP1024" s="173"/>
      <c r="BQ1024" s="118"/>
      <c r="BR1024" s="118"/>
      <c r="BS1024" s="118">
        <f>INDEX('Dist. Plant Gas Additions'!$F$7:$AE$91,MATCH($C1024,'Dist. Plant Gas Additions'!$D$7:$D$91,0),MATCH(Calculation!$G1024,'Dist. Plant Gas Additions'!$F$5:$AE$5,0))</f>
        <v>38906</v>
      </c>
      <c r="BT1024" s="118">
        <f>INDEX('Gen. Plant Additions'!$F$7:$AE$91,MATCH($C1024,'Gen. Plant Additions'!$D$7:$D$91,0),MATCH(Calculation!$G1024,'Gen. Plant Additions'!$F$5:$AE$5,0))</f>
        <v>6823</v>
      </c>
      <c r="BU1024" s="118"/>
      <c r="BV1024" s="118"/>
      <c r="BW1024" s="118">
        <f>INDEX('Dist Plant Depreciation'!$E$7:$AD$94,MATCH($C1024,'Dist Plant Depreciation'!$D$7:$D$94,0),MATCH(Calculation!$G1024,'Dist Plant Depreciation'!$E$5:$AD$5,0))</f>
        <v>184972</v>
      </c>
      <c r="BX1024" s="118">
        <f>INDEX('Gen. Plant Depreciation'!$E$7:$AD$94,MATCH($C1024,'Gen. Plant Depreciation'!$D$7:$D$94,0),MATCH(Calculation!$G1024,'Gen. Plant Depreciation'!$E$5:$AD$5,0))</f>
        <v>9966</v>
      </c>
      <c r="BY1024" s="118"/>
      <c r="BZ1024" s="118"/>
      <c r="CA1024" s="118"/>
      <c r="CB1024" s="118"/>
      <c r="CC1024" s="118"/>
      <c r="CD1024" s="183"/>
      <c r="CE1024" s="118">
        <f>INDEX('Gross Dx Plant'!$E$7:$AD$91,MATCH($C1024,'Gross Dx Plant'!$D$7:$D$91,0),MATCH(Calculation!$G1024,'Gross Dx Plant'!$E$5:$AD$5,0))</f>
        <v>696912</v>
      </c>
      <c r="CF1024" s="118">
        <f>INDEX('Gross Gen Plant'!$E$7:$AD$91,MATCH($C1024,'Gross Gen Plant'!$D$7:$D$91,0),MATCH(Calculation!$G1024,'Gross Gen Plant'!$E$5:$AD$5,0))</f>
        <v>33617</v>
      </c>
      <c r="CG1024" s="118">
        <f t="shared" si="3018"/>
        <v>535591</v>
      </c>
      <c r="CH1024" s="118"/>
      <c r="CI1024" s="121">
        <v>2002</v>
      </c>
      <c r="CJ1024" s="118"/>
      <c r="CK1024" s="118"/>
      <c r="CL1024" s="118"/>
      <c r="CM1024" s="183"/>
      <c r="CN1024" s="118">
        <f t="shared" si="3044"/>
        <v>45729</v>
      </c>
      <c r="CO1024" s="118">
        <f t="shared" si="3045"/>
        <v>126.55107825743158</v>
      </c>
      <c r="CP1024" s="186">
        <v>0.97916666666666663</v>
      </c>
      <c r="CQ1024" s="118">
        <f>+CQ1020*CP1024+CO1021*CP1023+CO1022*CP1022+CO1023*CP1021+CO1024</f>
        <v>2592.6459144834562</v>
      </c>
      <c r="CR1024" s="119">
        <f t="shared" si="3046"/>
        <v>4.4287414277500513E-2</v>
      </c>
      <c r="CS1024" s="119"/>
      <c r="CT1024" s="177">
        <f t="shared" si="3047"/>
        <v>5.739134937185135E-3</v>
      </c>
      <c r="CU1024" s="177">
        <f t="shared" ref="CU1024:CU1043" si="3056">+(CT1024+CT1023+CT1022)/3</f>
        <v>5.3037960632580433E-3</v>
      </c>
      <c r="CV1024" s="119">
        <f>VLOOKUP($H1024,RoR!$E:$F,2,FALSE)</f>
        <v>6.4916666666666664E-2</v>
      </c>
      <c r="CW1024" s="177">
        <v>1.5246423291824351E-2</v>
      </c>
      <c r="CX1024" s="177">
        <f t="shared" si="3054"/>
        <v>4.9670243374842313E-2</v>
      </c>
      <c r="CY1024" s="177">
        <f t="shared" ref="CY1024:CY1043" si="3057">+$CX$35-CU1024</f>
        <v>2.5598145545275581E-2</v>
      </c>
      <c r="CZ1024" s="177">
        <f t="shared" ref="CZ1024:CZ1043" si="3058">+((DM1022/DM1021-1)+(DM1023/DM1022-1)+(DM1024/DM1023-1))/3</f>
        <v>2.5243621214759093E-2</v>
      </c>
      <c r="DA1024" s="187">
        <f t="shared" si="3048"/>
        <v>0.84681249999999997</v>
      </c>
      <c r="DB1024" s="188">
        <f t="shared" si="3049"/>
        <v>0.78996741384417901</v>
      </c>
      <c r="DC1024" s="188">
        <f t="shared" si="3050"/>
        <v>0.58989088575096271</v>
      </c>
      <c r="DD1024" s="188">
        <f t="shared" si="3051"/>
        <v>0.91920675783645744</v>
      </c>
      <c r="DE1024" s="188">
        <f t="shared" si="3052"/>
        <v>0.42834536472275586</v>
      </c>
      <c r="DF1024" s="189">
        <f>INDEX('State Tax Lookup'!$D$7:$Z$91,MATCH(Calculation!$C1024,'State Tax Lookup'!$B$7:$B$91,0),MATCH($H1024,'State Tax Lookup'!$D$6:$Z$6,0))</f>
        <v>0.40849999999999997</v>
      </c>
      <c r="DG1024" s="189">
        <v>0.375</v>
      </c>
      <c r="DH1024" s="190">
        <f t="shared" si="3055"/>
        <v>13.206265443407833</v>
      </c>
      <c r="DI1024" s="190"/>
      <c r="DJ1024" s="177"/>
      <c r="DK1024" s="189">
        <f>VLOOKUP($H1024,RoR!$E:$F,2,FALSE)</f>
        <v>6.4916666666666664E-2</v>
      </c>
      <c r="DL1024" s="191">
        <f>HLOOKUP($H1024,'GDP-PI'!$D$8:$CQ$11,3,FALSE)</f>
        <v>1.5246423291824351E-2</v>
      </c>
      <c r="DM1024" s="189">
        <f>VLOOKUP(H1024,'HW Dx Data'!$E:$F,2,FALSE)</f>
        <v>361.34816573413599</v>
      </c>
      <c r="DN1024" s="183">
        <f>VLOOKUP(H1024,'ECI - Input Price'!$G$17:$H$37,2,FALSE)</f>
        <v>89.275000000000006</v>
      </c>
      <c r="DO1024" s="177">
        <f>LN(DN1024/DN1023)</f>
        <v>3.5051315810864674E-2</v>
      </c>
      <c r="DP1024" s="183">
        <f>HLOOKUP(H1024,'GDP-PI'!$8:$9,2,FALSE)</f>
        <v>81.039000000000001</v>
      </c>
      <c r="DQ1024" s="177">
        <f>LN(DP1024/DP1023)</f>
        <v>1.513136459537477E-2</v>
      </c>
    </row>
    <row r="1025" spans="1:121" s="167" customFormat="1" ht="21" x14ac:dyDescent="0.35">
      <c r="A1025" s="167" t="s">
        <v>102</v>
      </c>
      <c r="B1025" s="167" t="s">
        <v>102</v>
      </c>
      <c r="C1025" s="167">
        <v>4063023</v>
      </c>
      <c r="D1025" s="168" t="s">
        <v>145</v>
      </c>
      <c r="E1025" s="168" t="s">
        <v>126</v>
      </c>
      <c r="F1025" s="198"/>
      <c r="G1025" s="167" t="s">
        <v>9</v>
      </c>
      <c r="H1025" s="169">
        <v>2003</v>
      </c>
      <c r="I1025" s="170"/>
      <c r="J1025" s="166"/>
      <c r="K1025" s="166"/>
      <c r="L1025" s="166"/>
      <c r="M1025" s="172"/>
      <c r="N1025" s="196"/>
      <c r="O1025" s="172"/>
      <c r="P1025" s="166"/>
      <c r="Q1025" s="166"/>
      <c r="R1025" s="166"/>
      <c r="S1025" s="166"/>
      <c r="T1025" s="166"/>
      <c r="U1025" s="166"/>
      <c r="V1025" s="166">
        <f t="shared" si="3042"/>
        <v>34772.549793010839</v>
      </c>
      <c r="W1025" s="170"/>
      <c r="X1025" s="174">
        <v>2707.2090018821123</v>
      </c>
      <c r="Y1025" s="175">
        <v>4.3239272738969395E-2</v>
      </c>
      <c r="Z1025" s="175"/>
      <c r="AA1025" s="175"/>
      <c r="AB1025" s="175"/>
      <c r="AC1025" s="170">
        <f t="shared" si="3053"/>
        <v>34772.549793010839</v>
      </c>
      <c r="AD1025" s="175"/>
      <c r="AE1025" s="170"/>
      <c r="AF1025" s="170"/>
      <c r="AG1025" s="174"/>
      <c r="AH1025" s="175"/>
      <c r="AI1025" s="175"/>
      <c r="AJ1025" s="174"/>
      <c r="AK1025" s="174"/>
      <c r="AL1025" s="120"/>
      <c r="AM1025" s="120"/>
      <c r="AN1025" s="120"/>
      <c r="AO1025" s="120"/>
      <c r="AP1025" s="120"/>
      <c r="AQ1025" s="175"/>
      <c r="AR1025" s="120"/>
      <c r="AS1025" s="120"/>
      <c r="AT1025" s="120"/>
      <c r="AU1025" s="120"/>
      <c r="AV1025" s="120"/>
      <c r="AW1025" s="120"/>
      <c r="AX1025" s="120"/>
      <c r="AY1025" s="120"/>
      <c r="AZ1025" s="118">
        <f>IFERROR(INDEX('Total Customers'!$F$7:$AB$91,MATCH($C1025,'Total Customers'!$D$7:$D$91,0),MATCH($G1025,'Total Customers'!$F$5:$AB$5,0)),"NA")</f>
        <v>414506</v>
      </c>
      <c r="BA1025" s="119">
        <f t="shared" si="3043"/>
        <v>0.3354517830963949</v>
      </c>
      <c r="BB1025" s="119"/>
      <c r="BC1025" s="121"/>
      <c r="BD1025" s="119"/>
      <c r="BE1025" s="119"/>
      <c r="BF1025" s="119"/>
      <c r="BG1025" s="173"/>
      <c r="BH1025" s="173"/>
      <c r="BI1025" s="173"/>
      <c r="BJ1025" s="173"/>
      <c r="BK1025" s="173"/>
      <c r="BL1025" s="173"/>
      <c r="BM1025" s="173"/>
      <c r="BN1025" s="173"/>
      <c r="BO1025" s="173"/>
      <c r="BP1025" s="173"/>
      <c r="BQ1025" s="118"/>
      <c r="BR1025" s="118"/>
      <c r="BS1025" s="118">
        <f>INDEX('Dist. Plant Gas Additions'!$F$7:$AE$91,MATCH($C1025,'Dist. Plant Gas Additions'!$D$7:$D$91,0),MATCH(Calculation!$G1025,'Dist. Plant Gas Additions'!$F$5:$AE$5,0))</f>
        <v>39065</v>
      </c>
      <c r="BT1025" s="118">
        <f>INDEX('Gen. Plant Additions'!$F$7:$AE$91,MATCH($C1025,'Gen. Plant Additions'!$D$7:$D$91,0),MATCH(Calculation!$G1025,'Gen. Plant Additions'!$F$5:$AE$5,0))</f>
        <v>8640</v>
      </c>
      <c r="BU1025" s="118"/>
      <c r="BV1025" s="118"/>
      <c r="BW1025" s="118">
        <f>INDEX('Dist Plant Depreciation'!$E$7:$AD$94,MATCH($C1025,'Dist Plant Depreciation'!$D$7:$D$94,0),MATCH(Calculation!$G1025,'Dist Plant Depreciation'!$E$5:$AD$5,0))</f>
        <v>198766</v>
      </c>
      <c r="BX1025" s="118">
        <f>INDEX('Gen. Plant Depreciation'!$E$7:$AD$94,MATCH($C1025,'Gen. Plant Depreciation'!$D$7:$D$94,0),MATCH(Calculation!$G1025,'Gen. Plant Depreciation'!$E$5:$AD$5,0))</f>
        <v>11130</v>
      </c>
      <c r="BY1025" s="118"/>
      <c r="BZ1025" s="118"/>
      <c r="CA1025" s="118"/>
      <c r="CB1025" s="118"/>
      <c r="CC1025" s="118"/>
      <c r="CD1025" s="183"/>
      <c r="CE1025" s="118">
        <f>INDEX('Gross Dx Plant'!$E$7:$AD$91,MATCH($C1025,'Gross Dx Plant'!$D$7:$D$91,0),MATCH(Calculation!$G1025,'Gross Dx Plant'!$E$5:$AD$5,0))</f>
        <v>736073</v>
      </c>
      <c r="CF1025" s="118">
        <f>INDEX('Gross Gen Plant'!$E$7:$AD$91,MATCH($C1025,'Gross Gen Plant'!$D$7:$D$91,0),MATCH(Calculation!$G1025,'Gross Gen Plant'!$E$5:$AD$5,0))</f>
        <v>36345</v>
      </c>
      <c r="CG1025" s="118">
        <f t="shared" si="3018"/>
        <v>562522</v>
      </c>
      <c r="CH1025" s="118"/>
      <c r="CI1025" s="121">
        <v>2003</v>
      </c>
      <c r="CJ1025" s="118"/>
      <c r="CK1025" s="118"/>
      <c r="CL1025" s="118"/>
      <c r="CM1025" s="183"/>
      <c r="CN1025" s="118">
        <f t="shared" si="3044"/>
        <v>47705</v>
      </c>
      <c r="CO1025" s="118">
        <f t="shared" si="3045"/>
        <v>129.20025724822378</v>
      </c>
      <c r="CP1025" s="186">
        <v>0.97354497354497349</v>
      </c>
      <c r="CQ1025" s="118">
        <f>+CQ1020*CP1025+CO1021*CP1024+CO1022*CP1023+CO1023*CP1022+CO1024*CP1021+CO1025</f>
        <v>2707.2090018821123</v>
      </c>
      <c r="CR1025" s="119">
        <f t="shared" si="3046"/>
        <v>4.3239272738969395E-2</v>
      </c>
      <c r="CS1025" s="119"/>
      <c r="CT1025" s="177">
        <f t="shared" si="3047"/>
        <v>5.645649399248537E-3</v>
      </c>
      <c r="CU1025" s="177">
        <f t="shared" si="3056"/>
        <v>5.4717244844238238E-3</v>
      </c>
      <c r="CV1025" s="119">
        <f>VLOOKUP($H1025,RoR!$E:$F,2,FALSE)</f>
        <v>5.6666666666666671E-2</v>
      </c>
      <c r="CW1025" s="177">
        <v>1.8855119140166909E-2</v>
      </c>
      <c r="CX1025" s="177">
        <f t="shared" si="3054"/>
        <v>3.7811547526499761E-2</v>
      </c>
      <c r="CY1025" s="177">
        <f t="shared" si="3057"/>
        <v>2.54302171241098E-2</v>
      </c>
      <c r="CZ1025" s="177">
        <f t="shared" si="3058"/>
        <v>2.1375012817671957E-2</v>
      </c>
      <c r="DA1025" s="187">
        <f t="shared" si="3048"/>
        <v>0.84681249999999997</v>
      </c>
      <c r="DB1025" s="188">
        <f t="shared" si="3049"/>
        <v>0.90497737556561086</v>
      </c>
      <c r="DC1025" s="188">
        <f t="shared" si="3050"/>
        <v>0.5338235294117647</v>
      </c>
      <c r="DD1025" s="188">
        <f t="shared" si="3051"/>
        <v>0.88972433127405692</v>
      </c>
      <c r="DE1025" s="188">
        <f t="shared" si="3052"/>
        <v>0.42982423775949252</v>
      </c>
      <c r="DF1025" s="189">
        <f>INDEX('State Tax Lookup'!$D$7:$Z$91,MATCH(Calculation!$C1025,'State Tax Lookup'!$B$7:$B$91,0),MATCH($H1025,'State Tax Lookup'!$D$6:$Z$6,0))</f>
        <v>0.40849999999999997</v>
      </c>
      <c r="DG1025" s="189">
        <v>0.375</v>
      </c>
      <c r="DH1025" s="190">
        <f t="shared" si="3055"/>
        <v>13.411993361206335</v>
      </c>
      <c r="DI1025" s="190"/>
      <c r="DJ1025" s="177"/>
      <c r="DK1025" s="189">
        <f>VLOOKUP($H1025,RoR!$E:$F,2,FALSE)</f>
        <v>5.6666666666666671E-2</v>
      </c>
      <c r="DL1025" s="191">
        <f>HLOOKUP($H1025,'GDP-PI'!$D$8:$CQ$11,3,FALSE)</f>
        <v>1.8855119140166909E-2</v>
      </c>
      <c r="DM1025" s="189">
        <f>VLOOKUP(H1025,'HW Dx Data'!$E:$F,2,FALSE)</f>
        <v>369.23301095560191</v>
      </c>
      <c r="DN1025" s="183">
        <f>VLOOKUP(H1025,'ECI - Input Price'!$G$17:$H$37,2,FALSE)</f>
        <v>92.625</v>
      </c>
      <c r="DO1025" s="177">
        <f t="shared" ref="DO1025" si="3059">LN(DN1025/DN1024)</f>
        <v>3.6837590135738785E-2</v>
      </c>
      <c r="DP1025" s="183">
        <f>HLOOKUP(H1025,'GDP-PI'!$8:$9,2,FALSE)</f>
        <v>82.566999999999993</v>
      </c>
      <c r="DQ1025" s="177">
        <f t="shared" ref="DQ1025" si="3060">LN(DP1025/DP1024)</f>
        <v>1.8679564681853753E-2</v>
      </c>
    </row>
    <row r="1026" spans="1:121" s="167" customFormat="1" ht="21" x14ac:dyDescent="0.35">
      <c r="A1026" s="167" t="s">
        <v>102</v>
      </c>
      <c r="B1026" s="167" t="s">
        <v>102</v>
      </c>
      <c r="C1026" s="167">
        <v>4063023</v>
      </c>
      <c r="D1026" s="168" t="s">
        <v>145</v>
      </c>
      <c r="E1026" s="168" t="s">
        <v>126</v>
      </c>
      <c r="F1026" s="198"/>
      <c r="G1026" s="167" t="s">
        <v>10</v>
      </c>
      <c r="H1026" s="169">
        <v>2004</v>
      </c>
      <c r="I1026" s="170"/>
      <c r="J1026" s="166">
        <f>IFERROR(INDEX('Labor Expenditures'!$F$7:$X$91,MATCH($C1026,'Labor Expenditures'!$D$7:$D$91,0),MATCH($G1026,'Labor Expenditures'!$F$5:$X$5,0)),"NA")</f>
        <v>16394.03843593394</v>
      </c>
      <c r="K1026" s="166">
        <f t="shared" ref="K1026:K1043" si="3061">+J1026/DN1026</f>
        <v>170.46049842405969</v>
      </c>
      <c r="L1026" s="172"/>
      <c r="M1026" s="172"/>
      <c r="N1026" s="196"/>
      <c r="O1026" s="172"/>
      <c r="P1026" s="166">
        <f>IFERROR(INDEX('Non-Labor Expenditures'!$F$7:$AB$91,MATCH($C1026,'Non-Labor Expenditures'!$D$7:$D$91,0),MATCH($G1026,'Non-Labor Expenditures'!$F$5:$AB$5,0)),"NA")</f>
        <v>23741.629639243645</v>
      </c>
      <c r="Q1026" s="166">
        <f t="shared" ref="Q1026:Q1043" si="3062">+P1026/DP1026</f>
        <v>280.04470073891389</v>
      </c>
      <c r="R1026" s="166"/>
      <c r="S1026" s="166"/>
      <c r="T1026" s="166"/>
      <c r="U1026" s="166"/>
      <c r="V1026" s="166">
        <f t="shared" si="3042"/>
        <v>40252.986462396657</v>
      </c>
      <c r="W1026" s="170"/>
      <c r="X1026" s="174">
        <v>2815.4359751075463</v>
      </c>
      <c r="Y1026" s="175">
        <v>3.9198909716380723E-2</v>
      </c>
      <c r="Z1026" s="175"/>
      <c r="AA1026" s="175"/>
      <c r="AB1026" s="175"/>
      <c r="AC1026" s="170">
        <f t="shared" si="3053"/>
        <v>80388.654537574243</v>
      </c>
      <c r="AD1026" s="175"/>
      <c r="AE1026" s="170"/>
      <c r="AF1026" s="170"/>
      <c r="AG1026" s="174"/>
      <c r="AH1026" s="175"/>
      <c r="AI1026" s="175"/>
      <c r="AJ1026" s="174"/>
      <c r="AK1026" s="174"/>
      <c r="AL1026" s="120">
        <f t="shared" ref="AL1026:AL1043" si="3063">+J1026/AC1026</f>
        <v>0.20393472847926877</v>
      </c>
      <c r="AM1026" s="120">
        <f t="shared" ref="AM1026:AM1043" si="3064">+P1026/AC1026</f>
        <v>0.2953355765911797</v>
      </c>
      <c r="AN1026" s="120">
        <f t="shared" ref="AN1026:AN1043" si="3065">+V1026/AC1026</f>
        <v>0.50072969492955155</v>
      </c>
      <c r="AO1026" s="120"/>
      <c r="AP1026" s="120"/>
      <c r="AQ1026" s="175"/>
      <c r="AR1026" s="120"/>
      <c r="AS1026" s="120"/>
      <c r="AT1026" s="120"/>
      <c r="AU1026" s="120"/>
      <c r="AV1026" s="120"/>
      <c r="AW1026" s="120"/>
      <c r="AX1026" s="120"/>
      <c r="AY1026" s="120"/>
      <c r="AZ1026" s="118">
        <f>IFERROR(INDEX('Total Customers'!$F$7:$AB$91,MATCH($C1026,'Total Customers'!$D$7:$D$91,0),MATCH($G1026,'Total Customers'!$F$5:$AB$5,0)),"NA")</f>
        <v>405376</v>
      </c>
      <c r="BA1026" s="119">
        <f t="shared" si="3043"/>
        <v>-2.2272418265875359E-2</v>
      </c>
      <c r="BB1026" s="119"/>
      <c r="BC1026" s="121"/>
      <c r="BD1026" s="119"/>
      <c r="BE1026" s="119"/>
      <c r="BF1026" s="119"/>
      <c r="BG1026" s="173"/>
      <c r="BH1026" s="173"/>
      <c r="BI1026" s="173"/>
      <c r="BJ1026" s="173"/>
      <c r="BK1026" s="173"/>
      <c r="BL1026" s="173"/>
      <c r="BM1026" s="173"/>
      <c r="BN1026" s="173"/>
      <c r="BO1026" s="173"/>
      <c r="BP1026" s="173"/>
      <c r="BQ1026" s="118"/>
      <c r="BR1026" s="118"/>
      <c r="BS1026" s="118">
        <f>INDEX('Dist. Plant Gas Additions'!$F$7:$AE$91,MATCH($C1026,'Dist. Plant Gas Additions'!$D$7:$D$91,0),MATCH(Calculation!$G1026,'Dist. Plant Gas Additions'!$F$5:$AE$5,0))</f>
        <v>51008</v>
      </c>
      <c r="BT1026" s="118">
        <f>INDEX('Gen. Plant Additions'!$F$7:$AE$91,MATCH($C1026,'Gen. Plant Additions'!$D$7:$D$91,0),MATCH(Calculation!$G1026,'Gen. Plant Additions'!$F$5:$AE$5,0))</f>
        <v>428</v>
      </c>
      <c r="BU1026" s="118"/>
      <c r="BV1026" s="118"/>
      <c r="BW1026" s="118">
        <f>INDEX('Dist Plant Depreciation'!$E$7:$AD$94,MATCH($C1026,'Dist Plant Depreciation'!$D$7:$D$94,0),MATCH(Calculation!$G1026,'Dist Plant Depreciation'!$E$5:$AD$5,0))</f>
        <v>165673</v>
      </c>
      <c r="BX1026" s="118">
        <f>INDEX('Gen. Plant Depreciation'!$E$7:$AD$94,MATCH($C1026,'Gen. Plant Depreciation'!$D$7:$D$94,0),MATCH(Calculation!$G1026,'Gen. Plant Depreciation'!$E$5:$AD$5,0))</f>
        <v>14449</v>
      </c>
      <c r="BY1026" s="118"/>
      <c r="BZ1026" s="118"/>
      <c r="CA1026" s="118"/>
      <c r="CB1026" s="118"/>
      <c r="CC1026" s="118"/>
      <c r="CD1026" s="183"/>
      <c r="CE1026" s="118">
        <f>INDEX('Gross Dx Plant'!$E$7:$AD$91,MATCH($C1026,'Gross Dx Plant'!$D$7:$D$91,0),MATCH(Calculation!$G1026,'Gross Dx Plant'!$E$5:$AD$5,0))</f>
        <v>781800</v>
      </c>
      <c r="CF1026" s="118">
        <f>INDEX('Gross Gen Plant'!$E$7:$AD$91,MATCH($C1026,'Gross Gen Plant'!$D$7:$D$91,0),MATCH(Calculation!$G1026,'Gross Gen Plant'!$E$5:$AD$5,0))</f>
        <v>36243</v>
      </c>
      <c r="CG1026" s="118">
        <f t="shared" si="3018"/>
        <v>637921</v>
      </c>
      <c r="CH1026" s="118"/>
      <c r="CI1026" s="121">
        <v>2004</v>
      </c>
      <c r="CJ1026" s="118"/>
      <c r="CK1026" s="118"/>
      <c r="CL1026" s="118"/>
      <c r="CM1026" s="183"/>
      <c r="CN1026" s="118">
        <f t="shared" si="3044"/>
        <v>51436</v>
      </c>
      <c r="CO1026" s="118">
        <f t="shared" si="3045"/>
        <v>123.97586879544163</v>
      </c>
      <c r="CP1026" s="186">
        <v>0.967741935483871</v>
      </c>
      <c r="CQ1026" s="118">
        <f>+CQ1020*CP1026+CO1021*CP1025+CO1022*CP1024+CO1023*CP1023+CO1024*CP1022+CO1025*CP1021+CO1026</f>
        <v>2815.4359751075463</v>
      </c>
      <c r="CR1026" s="119">
        <f t="shared" si="3046"/>
        <v>3.9198909716380723E-2</v>
      </c>
      <c r="CS1026" s="119"/>
      <c r="CT1026" s="177">
        <f t="shared" si="3047"/>
        <v>5.8173918449069316E-3</v>
      </c>
      <c r="CU1026" s="177">
        <f t="shared" si="3056"/>
        <v>5.7340587271135337E-3</v>
      </c>
      <c r="CV1026" s="119">
        <f>VLOOKUP($H1026,RoR!$E:$F,2,FALSE)</f>
        <v>5.6283333333333331E-2</v>
      </c>
      <c r="CW1026" s="177">
        <v>2.6778252812867276E-2</v>
      </c>
      <c r="CX1026" s="177">
        <f t="shared" si="3054"/>
        <v>2.9505080520466055E-2</v>
      </c>
      <c r="CY1026" s="177">
        <f t="shared" si="3057"/>
        <v>2.5167882881420092E-2</v>
      </c>
      <c r="CZ1026" s="177">
        <f t="shared" si="3058"/>
        <v>5.5940039414565046E-2</v>
      </c>
      <c r="DA1026" s="187">
        <f t="shared" si="3048"/>
        <v>0.84681249999999997</v>
      </c>
      <c r="DB1026" s="188">
        <f t="shared" si="3049"/>
        <v>0.91114097628755619</v>
      </c>
      <c r="DC1026" s="188">
        <f t="shared" si="3050"/>
        <v>0.53081877405981637</v>
      </c>
      <c r="DD1026" s="188">
        <f t="shared" si="3051"/>
        <v>0.88811215519385678</v>
      </c>
      <c r="DE1026" s="188">
        <f t="shared" si="3052"/>
        <v>0.42953609753547711</v>
      </c>
      <c r="DF1026" s="189">
        <f>INDEX('State Tax Lookup'!$D$7:$Z$91,MATCH(Calculation!$C1026,'State Tax Lookup'!$B$7:$B$91,0),MATCH($H1026,'State Tax Lookup'!$D$6:$Z$6,0))</f>
        <v>0.40849999999999997</v>
      </c>
      <c r="DG1026" s="189">
        <v>0.375</v>
      </c>
      <c r="DH1026" s="190">
        <f t="shared" si="3055"/>
        <v>14.868813761483462</v>
      </c>
      <c r="DI1026" s="190"/>
      <c r="DJ1026" s="177"/>
      <c r="DK1026" s="189">
        <f>VLOOKUP($H1026,RoR!$E:$F,2,FALSE)</f>
        <v>5.6283333333333331E-2</v>
      </c>
      <c r="DL1026" s="191">
        <f>HLOOKUP($H1026,'GDP-PI'!$D$8:$CQ$11,3,FALSE)</f>
        <v>2.6778252812867276E-2</v>
      </c>
      <c r="DM1026" s="189">
        <f>VLOOKUP(H1026,'HW Dx Data'!$E:$F,2,FALSE)</f>
        <v>414.88719135228365</v>
      </c>
      <c r="DN1026" s="183">
        <f>VLOOKUP(H1026,'ECI - Input Price'!$G$17:$H$37,2,FALSE)</f>
        <v>96.174999999999997</v>
      </c>
      <c r="DO1026" s="177">
        <f t="shared" ref="DO1026" si="3066">LN(DN1026/DN1025)</f>
        <v>3.7610365022107912E-2</v>
      </c>
      <c r="DP1026" s="183">
        <f>HLOOKUP(H1026,'GDP-PI'!$8:$9,2,FALSE)</f>
        <v>84.778000000000006</v>
      </c>
      <c r="DQ1026" s="177">
        <f t="shared" ref="DQ1026" si="3067">LN(DP1026/DP1025)</f>
        <v>2.6425990216022755E-2</v>
      </c>
    </row>
    <row r="1027" spans="1:121" s="167" customFormat="1" ht="21" x14ac:dyDescent="0.35">
      <c r="A1027" s="167" t="s">
        <v>102</v>
      </c>
      <c r="B1027" s="167" t="s">
        <v>102</v>
      </c>
      <c r="C1027" s="167">
        <v>4063023</v>
      </c>
      <c r="D1027" s="168" t="s">
        <v>145</v>
      </c>
      <c r="E1027" s="168" t="s">
        <v>126</v>
      </c>
      <c r="F1027" s="198"/>
      <c r="G1027" s="167" t="s">
        <v>11</v>
      </c>
      <c r="H1027" s="169">
        <v>2005</v>
      </c>
      <c r="I1027" s="170"/>
      <c r="J1027" s="166">
        <f>IFERROR(INDEX('Labor Expenditures'!$F$7:$X$91,MATCH($C1027,'Labor Expenditures'!$D$7:$D$91,0),MATCH($G1027,'Labor Expenditures'!$F$5:$X$5,0)),"NA")</f>
        <v>16913.703072802837</v>
      </c>
      <c r="K1027" s="166">
        <f t="shared" si="3061"/>
        <v>170.58702040144061</v>
      </c>
      <c r="L1027" s="172">
        <f t="shared" ref="L1027:L1043" si="3068">LN(K1027/K1026)</f>
        <v>7.4196102420514599E-4</v>
      </c>
      <c r="M1027" s="172"/>
      <c r="N1027" s="196"/>
      <c r="O1027" s="172"/>
      <c r="P1027" s="166">
        <f>IFERROR(INDEX('Non-Labor Expenditures'!$F$7:$AB$91,MATCH($C1027,'Non-Labor Expenditures'!$D$7:$D$91,0),MATCH($G1027,'Non-Labor Expenditures'!$F$5:$AB$5,0)),"NA")</f>
        <v>24494.201093395572</v>
      </c>
      <c r="Q1027" s="166">
        <f t="shared" si="3062"/>
        <v>280.23157291058578</v>
      </c>
      <c r="R1027" s="172">
        <f>LN(Q1027/Q1026)</f>
        <v>6.6707154091777323E-4</v>
      </c>
      <c r="S1027" s="172"/>
      <c r="T1027" s="172"/>
      <c r="U1027" s="172"/>
      <c r="V1027" s="166">
        <f t="shared" si="3042"/>
        <v>47065.57770050101</v>
      </c>
      <c r="W1027" s="170"/>
      <c r="X1027" s="174">
        <v>2918.1548352814334</v>
      </c>
      <c r="Y1027" s="175">
        <v>3.583438551415398E-2</v>
      </c>
      <c r="Z1027" s="175"/>
      <c r="AA1027" s="175"/>
      <c r="AB1027" s="175"/>
      <c r="AC1027" s="170">
        <f t="shared" si="3053"/>
        <v>88473.481866699411</v>
      </c>
      <c r="AD1027" s="175">
        <f>LN(AC1027/AC1026)</f>
        <v>9.5829813677725348E-2</v>
      </c>
      <c r="AE1027" s="170"/>
      <c r="AF1027" s="170"/>
      <c r="AG1027" s="121"/>
      <c r="AH1027" s="119"/>
      <c r="AI1027" s="119"/>
      <c r="AJ1027" s="121"/>
      <c r="AK1027" s="121"/>
      <c r="AL1027" s="120">
        <f t="shared" si="3063"/>
        <v>0.19117257189319453</v>
      </c>
      <c r="AM1027" s="120">
        <f t="shared" si="3064"/>
        <v>0.27685359021249234</v>
      </c>
      <c r="AN1027" s="120">
        <f t="shared" si="3065"/>
        <v>0.53197383789431318</v>
      </c>
      <c r="AO1027" s="120">
        <f t="shared" ref="AO1027:AO1043" si="3069">+(((AL1027+AL1026)/2)*L1027+((AM1026+AM1027)/2)*R1027+((AN1026+AN1027)/2)*Y1027)</f>
        <v>1.8840570921745299E-2</v>
      </c>
      <c r="AP1027" s="173">
        <v>100</v>
      </c>
      <c r="AQ1027" s="175"/>
      <c r="AR1027" s="120"/>
      <c r="AS1027" s="120"/>
      <c r="AT1027" s="120"/>
      <c r="AU1027" s="120"/>
      <c r="AV1027" s="120"/>
      <c r="AW1027" s="120"/>
      <c r="AX1027" s="120"/>
      <c r="AY1027" s="120"/>
      <c r="AZ1027" s="118">
        <f>IFERROR(INDEX('Total Customers'!$F$7:$AB$91,MATCH($C1027,'Total Customers'!$D$7:$D$91,0),MATCH($G1027,'Total Customers'!$F$5:$AB$5,0)),"NA")</f>
        <v>334010</v>
      </c>
      <c r="BA1027" s="119">
        <f t="shared" si="3043"/>
        <v>-0.19364409882785549</v>
      </c>
      <c r="BB1027" s="119"/>
      <c r="BC1027" s="121"/>
      <c r="BD1027" s="119"/>
      <c r="BE1027" s="119"/>
      <c r="BF1027" s="119"/>
      <c r="BG1027" s="173"/>
      <c r="BH1027" s="173"/>
      <c r="BI1027" s="173"/>
      <c r="BJ1027" s="173"/>
      <c r="BK1027" s="173"/>
      <c r="BL1027" s="173"/>
      <c r="BM1027" s="173"/>
      <c r="BN1027" s="173"/>
      <c r="BO1027" s="173"/>
      <c r="BP1027" s="173"/>
      <c r="BQ1027" s="118"/>
      <c r="BR1027" s="118"/>
      <c r="BS1027" s="118">
        <f>INDEX('Dist. Plant Gas Additions'!$F$7:$AE$91,MATCH($C1027,'Dist. Plant Gas Additions'!$D$7:$D$91,0),MATCH(Calculation!$G1027,'Dist. Plant Gas Additions'!$F$5:$AE$5,0))</f>
        <v>54874</v>
      </c>
      <c r="BT1027" s="118">
        <f>INDEX('Gen. Plant Additions'!$F$7:$AE$91,MATCH($C1027,'Gen. Plant Additions'!$D$7:$D$91,0),MATCH(Calculation!$G1027,'Gen. Plant Additions'!$F$5:$AE$5,0))</f>
        <v>1241</v>
      </c>
      <c r="BU1027" s="118"/>
      <c r="BV1027" s="118"/>
      <c r="BW1027" s="118">
        <f>INDEX('Dist Plant Depreciation'!$E$7:$AD$94,MATCH($C1027,'Dist Plant Depreciation'!$D$7:$D$94,0),MATCH(Calculation!$G1027,'Dist Plant Depreciation'!$E$5:$AD$5,0))</f>
        <v>180071</v>
      </c>
      <c r="BX1027" s="118">
        <f>INDEX('Gen. Plant Depreciation'!$E$7:$AD$94,MATCH($C1027,'Gen. Plant Depreciation'!$D$7:$D$94,0),MATCH(Calculation!$G1027,'Gen. Plant Depreciation'!$E$5:$AD$5,0))</f>
        <v>13963</v>
      </c>
      <c r="BY1027" s="118"/>
      <c r="BZ1027" s="118"/>
      <c r="CA1027" s="118"/>
      <c r="CB1027" s="118"/>
      <c r="CC1027" s="118"/>
      <c r="CD1027" s="183"/>
      <c r="CE1027" s="118">
        <f>INDEX('Gross Dx Plant'!$E$7:$AD$91,MATCH($C1027,'Gross Dx Plant'!$D$7:$D$91,0),MATCH(Calculation!$G1027,'Gross Dx Plant'!$E$5:$AD$5,0))</f>
        <v>831847</v>
      </c>
      <c r="CF1027" s="118">
        <f>INDEX('Gross Gen Plant'!$E$7:$AD$91,MATCH($C1027,'Gross Gen Plant'!$D$7:$D$91,0),MATCH(Calculation!$G1027,'Gross Gen Plant'!$E$5:$AD$5,0))</f>
        <v>34532</v>
      </c>
      <c r="CG1027" s="118">
        <f t="shared" si="3018"/>
        <v>672345</v>
      </c>
      <c r="CH1027" s="118"/>
      <c r="CI1027" s="121">
        <v>2005</v>
      </c>
      <c r="CJ1027" s="118"/>
      <c r="CK1027" s="118"/>
      <c r="CL1027" s="118"/>
      <c r="CM1027" s="183"/>
      <c r="CN1027" s="118">
        <f t="shared" si="3044"/>
        <v>56115</v>
      </c>
      <c r="CO1027" s="118">
        <f t="shared" si="3045"/>
        <v>119.59587646081131</v>
      </c>
      <c r="CP1027" s="186">
        <v>0.96174863387978138</v>
      </c>
      <c r="CQ1027" s="118">
        <f>+CQ1020*CP1027+CO1021*CP1026+CO1022*CP1025+CO1023*CP1024+CO1024*CP1023+CO1025*CP1022+CO1026*CP1021+CO1027</f>
        <v>2918.1548352814334</v>
      </c>
      <c r="CR1027" s="119">
        <f t="shared" si="3046"/>
        <v>3.583438551415398E-2</v>
      </c>
      <c r="CS1027" s="119"/>
      <c r="CT1027" s="177">
        <f t="shared" si="3047"/>
        <v>5.9944592724327462E-3</v>
      </c>
      <c r="CU1027" s="177">
        <f t="shared" si="3056"/>
        <v>5.8191668388627377E-3</v>
      </c>
      <c r="CV1027" s="119">
        <f>VLOOKUP($H1027,RoR!$E:$F,2,FALSE)</f>
        <v>5.2350000000000001E-2</v>
      </c>
      <c r="CW1027" s="177">
        <v>3.1010403642454332E-2</v>
      </c>
      <c r="CX1027" s="177">
        <f t="shared" si="3054"/>
        <v>2.1339596357545669E-2</v>
      </c>
      <c r="CY1027" s="177">
        <f t="shared" si="3057"/>
        <v>2.5082774769670888E-2</v>
      </c>
      <c r="CZ1027" s="177">
        <f t="shared" si="3058"/>
        <v>9.2129610649277341E-2</v>
      </c>
      <c r="DA1027" s="187">
        <f t="shared" si="3048"/>
        <v>0.84681249999999997</v>
      </c>
      <c r="DB1027" s="188">
        <f t="shared" si="3049"/>
        <v>0.97959983346802826</v>
      </c>
      <c r="DC1027" s="188">
        <f t="shared" si="3050"/>
        <v>0.49744508118433622</v>
      </c>
      <c r="DD1027" s="188">
        <f t="shared" si="3051"/>
        <v>0.87010519444335932</v>
      </c>
      <c r="DE1027" s="188">
        <f t="shared" si="3052"/>
        <v>0.42399975420741998</v>
      </c>
      <c r="DF1027" s="189">
        <f>INDEX('State Tax Lookup'!$D$7:$Z$91,MATCH(Calculation!$C1027,'State Tax Lookup'!$B$7:$B$91,0),MATCH($H1027,'State Tax Lookup'!$D$6:$Z$6,0))</f>
        <v>0.40849999999999997</v>
      </c>
      <c r="DG1027" s="189">
        <v>0.375</v>
      </c>
      <c r="DH1027" s="190">
        <f t="shared" si="3055"/>
        <v>16.716976737040934</v>
      </c>
      <c r="DI1027" s="190"/>
      <c r="DJ1027" s="177"/>
      <c r="DK1027" s="189">
        <f>VLOOKUP($H1027,RoR!$E:$F,2,FALSE)</f>
        <v>5.2350000000000001E-2</v>
      </c>
      <c r="DL1027" s="191">
        <f>HLOOKUP($H1027,'GDP-PI'!$D$8:$CQ$11,3,FALSE)</f>
        <v>3.1010403642454332E-2</v>
      </c>
      <c r="DM1027" s="189">
        <f>VLOOKUP(H1027,'HW Dx Data'!$E:$F,2,FALSE)</f>
        <v>469.20514034936258</v>
      </c>
      <c r="DN1027" s="183">
        <f>VLOOKUP(H1027,'ECI - Input Price'!$G$17:$H$37,2,FALSE)</f>
        <v>99.15</v>
      </c>
      <c r="DO1027" s="177">
        <f t="shared" ref="DO1027" si="3070">LN(DN1027/DN1026)</f>
        <v>3.046440632744625E-2</v>
      </c>
      <c r="DP1027" s="183">
        <f>HLOOKUP(H1027,'GDP-PI'!$8:$9,2,FALSE)</f>
        <v>87.406999999999996</v>
      </c>
      <c r="DQ1027" s="177">
        <f t="shared" ref="DQ1027" si="3071">LN(DP1027/DP1026)</f>
        <v>3.0539295810733648E-2</v>
      </c>
    </row>
    <row r="1028" spans="1:121" s="167" customFormat="1" ht="21" x14ac:dyDescent="0.35">
      <c r="A1028" s="167" t="s">
        <v>102</v>
      </c>
      <c r="B1028" s="167" t="s">
        <v>102</v>
      </c>
      <c r="C1028" s="167">
        <v>4063023</v>
      </c>
      <c r="D1028" s="168" t="s">
        <v>145</v>
      </c>
      <c r="E1028" s="168" t="s">
        <v>126</v>
      </c>
      <c r="F1028" s="198"/>
      <c r="G1028" s="167" t="s">
        <v>12</v>
      </c>
      <c r="H1028" s="169">
        <v>2006</v>
      </c>
      <c r="I1028" s="170"/>
      <c r="J1028" s="166">
        <f>IFERROR(INDEX('Labor Expenditures'!$F$7:$X$91,MATCH($C1028,'Labor Expenditures'!$D$7:$D$91,0),MATCH($G1028,'Labor Expenditures'!$F$5:$X$5,0)),"NA")</f>
        <v>15718.729242144082</v>
      </c>
      <c r="K1028" s="166">
        <f t="shared" si="3061"/>
        <v>154.02968390146088</v>
      </c>
      <c r="L1028" s="172">
        <f t="shared" si="3068"/>
        <v>-0.10210021366220973</v>
      </c>
      <c r="M1028" s="172">
        <f t="shared" ref="M1028:M1043" si="3072">+L1028*AR1028</f>
        <v>-1.1054823520849301E-3</v>
      </c>
      <c r="N1028" s="196"/>
      <c r="O1028" s="172"/>
      <c r="P1028" s="166">
        <f>IFERROR(INDEX('Non-Labor Expenditures'!$F$7:$AB$91,MATCH($C1028,'Non-Labor Expenditures'!$D$7:$D$91,0),MATCH($G1028,'Non-Labor Expenditures'!$F$5:$AB$5,0)),"NA")</f>
        <v>22763.655796276893</v>
      </c>
      <c r="Q1028" s="166">
        <f t="shared" si="3062"/>
        <v>252.72171543705056</v>
      </c>
      <c r="R1028" s="172">
        <f t="shared" ref="R1028:R1043" si="3073">LN(Q1028/Q1027)</f>
        <v>-0.10332736309761524</v>
      </c>
      <c r="S1028" s="172">
        <f>+R1028*AR1028</f>
        <v>-1.11876921991363E-3</v>
      </c>
      <c r="T1028" s="172"/>
      <c r="U1028" s="172"/>
      <c r="V1028" s="166">
        <f t="shared" si="3042"/>
        <v>47644.777933273661</v>
      </c>
      <c r="W1028" s="170"/>
      <c r="X1028" s="174">
        <v>3016.0126619366906</v>
      </c>
      <c r="Y1028" s="175">
        <v>3.2984137573684617E-2</v>
      </c>
      <c r="Z1028" s="175">
        <f>+Y1028*AR1028</f>
        <v>3.5713325837971247E-4</v>
      </c>
      <c r="AA1028" s="175"/>
      <c r="AB1028" s="175"/>
      <c r="AC1028" s="170">
        <f t="shared" si="3053"/>
        <v>86127.162971694634</v>
      </c>
      <c r="AD1028" s="175">
        <f t="shared" ref="AD1028:AD1043" si="3074">LN(AC1028/AC1027)</f>
        <v>-2.6878023839836958E-2</v>
      </c>
      <c r="AE1028" s="170"/>
      <c r="AF1028" s="170"/>
      <c r="AG1028" s="121">
        <f t="shared" ref="AG1028:AG1043" si="3075">+(AC1028*1000)/AZ1028</f>
        <v>244.97661359573868</v>
      </c>
      <c r="AH1028" s="119">
        <f>+AZ1028/$BB$44</f>
        <v>1.0000821802987966E-2</v>
      </c>
      <c r="AI1028" s="119">
        <f>+AZ1028/$BC$44</f>
        <v>4.2628462358395888E-2</v>
      </c>
      <c r="AJ1028" s="176">
        <f>+AH1028*AG1028</f>
        <v>2.4499674584704216</v>
      </c>
      <c r="AK1028" s="176">
        <f>+AI1028*AG1028</f>
        <v>10.442976351353241</v>
      </c>
      <c r="AL1028" s="120">
        <f t="shared" si="3063"/>
        <v>0.18250606080348869</v>
      </c>
      <c r="AM1028" s="120">
        <f t="shared" si="3064"/>
        <v>0.26430286347360682</v>
      </c>
      <c r="AN1028" s="120">
        <f t="shared" si="3065"/>
        <v>0.55319107572290449</v>
      </c>
      <c r="AO1028" s="120">
        <f t="shared" si="3069"/>
        <v>-2.9137854410544613E-2</v>
      </c>
      <c r="AP1028" s="173">
        <f>+AP1027*EXP(AO1028)</f>
        <v>97.128255965239902</v>
      </c>
      <c r="AQ1028" s="175">
        <f>LN(AP1028/AP1027)</f>
        <v>-2.9137854410544669E-2</v>
      </c>
      <c r="AR1028" s="177">
        <f>+AC1028/$AE$44</f>
        <v>1.0827424472805991E-2</v>
      </c>
      <c r="AS1028" s="177">
        <f>+AR1028*AQ1028</f>
        <v>-3.1548791792978935E-4</v>
      </c>
      <c r="AT1028" s="177"/>
      <c r="AU1028" s="177"/>
      <c r="AV1028" s="177"/>
      <c r="AW1028" s="190"/>
      <c r="AX1028" s="120"/>
      <c r="AY1028" s="120"/>
      <c r="AZ1028" s="118">
        <f>IFERROR(INDEX('Total Customers'!$F$7:$AB$91,MATCH($C1028,'Total Customers'!$D$7:$D$91,0),MATCH($G1028,'Total Customers'!$F$5:$AB$5,0)),"NA")</f>
        <v>351573</v>
      </c>
      <c r="BA1028" s="119">
        <f t="shared" si="3043"/>
        <v>5.1246438405241748E-2</v>
      </c>
      <c r="BB1028" s="119"/>
      <c r="BC1028" s="121">
        <v>8247377</v>
      </c>
      <c r="BD1028" s="119"/>
      <c r="BE1028" s="119"/>
      <c r="BF1028" s="119"/>
      <c r="BG1028" s="173"/>
      <c r="BH1028" s="173"/>
      <c r="BI1028" s="173"/>
      <c r="BJ1028" s="173"/>
      <c r="BK1028" s="173"/>
      <c r="BL1028" s="173"/>
      <c r="BM1028" s="173"/>
      <c r="BN1028" s="173"/>
      <c r="BO1028" s="173"/>
      <c r="BP1028" s="173"/>
      <c r="BQ1028" s="118"/>
      <c r="BR1028" s="118"/>
      <c r="BS1028" s="118">
        <f>INDEX('Dist. Plant Gas Additions'!$F$7:$AE$91,MATCH($C1028,'Dist. Plant Gas Additions'!$D$7:$D$91,0),MATCH(Calculation!$G1028,'Dist. Plant Gas Additions'!$F$5:$AE$5,0))</f>
        <v>50256</v>
      </c>
      <c r="BT1028" s="118">
        <f>INDEX('Gen. Plant Additions'!$F$7:$AE$91,MATCH($C1028,'Gen. Plant Additions'!$D$7:$D$91,0),MATCH(Calculation!$G1028,'Gen. Plant Additions'!$F$5:$AE$5,0))</f>
        <v>3177</v>
      </c>
      <c r="BU1028" s="118"/>
      <c r="BV1028" s="118"/>
      <c r="BW1028" s="118">
        <f>INDEX('Dist Plant Depreciation'!$E$7:$AD$94,MATCH($C1028,'Dist Plant Depreciation'!$D$7:$D$94,0),MATCH(Calculation!$G1028,'Dist Plant Depreciation'!$E$5:$AD$5,0))</f>
        <v>193496</v>
      </c>
      <c r="BX1028" s="118">
        <f>INDEX('Gen. Plant Depreciation'!$E$7:$AD$94,MATCH($C1028,'Gen. Plant Depreciation'!$D$7:$D$94,0),MATCH(Calculation!$G1028,'Gen. Plant Depreciation'!$E$5:$AD$5,0))</f>
        <v>14445</v>
      </c>
      <c r="BY1028" s="118"/>
      <c r="BZ1028" s="118"/>
      <c r="CA1028" s="118"/>
      <c r="CB1028" s="118"/>
      <c r="CC1028" s="118"/>
      <c r="CD1028" s="183"/>
      <c r="CE1028" s="118">
        <f>INDEX('Gross Dx Plant'!$E$7:$AD$91,MATCH($C1028,'Gross Dx Plant'!$D$7:$D$91,0),MATCH(Calculation!$G1028,'Gross Dx Plant'!$E$5:$AD$5,0))</f>
        <v>878157</v>
      </c>
      <c r="CF1028" s="118">
        <f>INDEX('Gross Gen Plant'!$E$7:$AD$91,MATCH($C1028,'Gross Gen Plant'!$D$7:$D$91,0),MATCH(Calculation!$G1028,'Gross Gen Plant'!$E$5:$AD$5,0))</f>
        <v>35499</v>
      </c>
      <c r="CG1028" s="118">
        <f t="shared" si="3018"/>
        <v>705715</v>
      </c>
      <c r="CH1028" s="119" t="e">
        <f>SUM(#REF!)/15</f>
        <v>#REF!</v>
      </c>
      <c r="CI1028" s="121">
        <v>2006</v>
      </c>
      <c r="CJ1028" s="118"/>
      <c r="CK1028" s="118"/>
      <c r="CL1028" s="118"/>
      <c r="CM1028" s="183"/>
      <c r="CN1028" s="118">
        <f t="shared" si="3044"/>
        <v>53433</v>
      </c>
      <c r="CO1028" s="118">
        <f t="shared" si="3045"/>
        <v>115.88518828543531</v>
      </c>
      <c r="CP1028" s="186">
        <v>0.9555555555555556</v>
      </c>
      <c r="CQ1028" s="118">
        <f>+CQ1020*CP1028+CO1021*CP1027+CO1022*CP1026+CO1023*CP1025+CO1024*CP1024+CO1025*CP1023+CO1026*CP1022+CO1027*CP1021+CO1028</f>
        <v>3016.0126619366906</v>
      </c>
      <c r="CR1028" s="119">
        <f t="shared" si="3046"/>
        <v>3.2984137573684617E-2</v>
      </c>
      <c r="CS1028" s="119"/>
      <c r="CT1028" s="177">
        <f t="shared" si="3047"/>
        <v>6.1776576801962236E-3</v>
      </c>
      <c r="CU1028" s="177">
        <f t="shared" si="3056"/>
        <v>5.9965029325119669E-3</v>
      </c>
      <c r="CV1028" s="119">
        <f>VLOOKUP($H1028,RoR!$E:$F,2,FALSE)</f>
        <v>5.5874999999999994E-2</v>
      </c>
      <c r="CW1028" s="177">
        <v>3.0512430354548314E-2</v>
      </c>
      <c r="CX1028" s="177">
        <f t="shared" si="3054"/>
        <v>2.536256964545168E-2</v>
      </c>
      <c r="CY1028" s="177">
        <f t="shared" si="3057"/>
        <v>2.4905438676021657E-2</v>
      </c>
      <c r="CZ1028" s="177">
        <f t="shared" si="3058"/>
        <v>7.9087823893859641E-2</v>
      </c>
      <c r="DA1028" s="187">
        <f t="shared" si="3048"/>
        <v>0.84681249999999997</v>
      </c>
      <c r="DB1028" s="188">
        <f t="shared" si="3049"/>
        <v>0.91779957551769631</v>
      </c>
      <c r="DC1028" s="188">
        <f t="shared" si="3050"/>
        <v>0.52757270693512304</v>
      </c>
      <c r="DD1028" s="188">
        <f t="shared" si="3051"/>
        <v>0.88636824549024895</v>
      </c>
      <c r="DE1028" s="188">
        <f t="shared" si="3052"/>
        <v>0.42918482841932087</v>
      </c>
      <c r="DF1028" s="189">
        <f>INDEX('State Tax Lookup'!$D$7:$Z$91,MATCH(Calculation!$C1028,'State Tax Lookup'!$B$7:$B$91,0),MATCH($H1028,'State Tax Lookup'!$D$6:$Z$6,0))</f>
        <v>0.40849999999999997</v>
      </c>
      <c r="DG1028" s="189">
        <v>0.375</v>
      </c>
      <c r="DH1028" s="190">
        <f t="shared" si="3055"/>
        <v>16.327021910295137</v>
      </c>
      <c r="DI1028" s="190">
        <v>15.861129598592422</v>
      </c>
      <c r="DJ1028" s="177"/>
      <c r="DK1028" s="189">
        <f>VLOOKUP($H1028,RoR!$E:$F,2,FALSE)</f>
        <v>5.5874999999999994E-2</v>
      </c>
      <c r="DL1028" s="191">
        <f>HLOOKUP($H1028,'GDP-PI'!$D$8:$CQ$11,3,FALSE)</f>
        <v>3.0512430354548314E-2</v>
      </c>
      <c r="DM1028" s="189">
        <f>VLOOKUP(H1028,'HW Dx Data'!$E:$F,2,FALSE)</f>
        <v>461.08567272971823</v>
      </c>
      <c r="DN1028" s="183">
        <f>VLOOKUP(H1028,'ECI - Input Price'!$G$17:$H$37,2,FALSE)</f>
        <v>102.05</v>
      </c>
      <c r="DO1028" s="177">
        <f t="shared" ref="DO1028" si="3076">LN(DN1028/DN1027)</f>
        <v>2.8829034290048662E-2</v>
      </c>
      <c r="DP1028" s="183">
        <f>HLOOKUP(H1028,'GDP-PI'!$8:$9,2,FALSE)</f>
        <v>90.073999999999998</v>
      </c>
      <c r="DQ1028" s="177">
        <f t="shared" ref="DQ1028" si="3077">LN(DP1028/DP1027)</f>
        <v>3.005618372545445E-2</v>
      </c>
    </row>
    <row r="1029" spans="1:121" s="167" customFormat="1" ht="21" x14ac:dyDescent="0.35">
      <c r="A1029" s="167" t="s">
        <v>102</v>
      </c>
      <c r="B1029" s="167" t="s">
        <v>102</v>
      </c>
      <c r="C1029" s="167">
        <v>4063023</v>
      </c>
      <c r="D1029" s="168" t="s">
        <v>145</v>
      </c>
      <c r="E1029" s="168" t="s">
        <v>126</v>
      </c>
      <c r="F1029" s="198"/>
      <c r="G1029" s="167" t="s">
        <v>13</v>
      </c>
      <c r="H1029" s="169">
        <v>2007</v>
      </c>
      <c r="I1029" s="170"/>
      <c r="J1029" s="166">
        <f>IFERROR(INDEX('Labor Expenditures'!$F$7:$X$91,MATCH($C1029,'Labor Expenditures'!$D$7:$D$91,0),MATCH($G1029,'Labor Expenditures'!$F$5:$X$5,0)),"NA")</f>
        <v>16840.51978834199</v>
      </c>
      <c r="K1029" s="166">
        <f t="shared" si="3061"/>
        <v>160.04295355991437</v>
      </c>
      <c r="L1029" s="172">
        <f t="shared" si="3068"/>
        <v>3.8296902508300056E-2</v>
      </c>
      <c r="M1029" s="172">
        <f t="shared" si="3072"/>
        <v>4.2896886460070597E-4</v>
      </c>
      <c r="N1029" s="196"/>
      <c r="O1029" s="172"/>
      <c r="P1029" s="166">
        <f>IFERROR(INDEX('Non-Labor Expenditures'!$F$7:$AB$91,MATCH($C1029,'Non-Labor Expenditures'!$D$7:$D$91,0),MATCH($G1029,'Non-Labor Expenditures'!$F$5:$AB$5,0)),"NA")</f>
        <v>24388.218028744188</v>
      </c>
      <c r="Q1029" s="166">
        <f t="shared" si="3062"/>
        <v>263.66211192397873</v>
      </c>
      <c r="R1029" s="172">
        <f t="shared" si="3073"/>
        <v>4.2379459959042569E-2</v>
      </c>
      <c r="S1029" s="172">
        <f t="shared" ref="S1029:S1043" si="3078">+R1029*AR1029</f>
        <v>4.7469815129517459E-4</v>
      </c>
      <c r="T1029" s="172"/>
      <c r="U1029" s="172"/>
      <c r="V1029" s="166">
        <f t="shared" si="3042"/>
        <v>52882.761061153542</v>
      </c>
      <c r="W1029" s="170"/>
      <c r="X1029" s="174">
        <v>3093.8553570093632</v>
      </c>
      <c r="Y1029" s="175">
        <v>2.5482353154149595E-2</v>
      </c>
      <c r="Z1029" s="175">
        <f t="shared" ref="Z1029:Z1043" si="3079">+Y1029*AR1029</f>
        <v>2.8543133736522619E-4</v>
      </c>
      <c r="AA1029" s="175"/>
      <c r="AB1029" s="175"/>
      <c r="AC1029" s="170">
        <f t="shared" si="3053"/>
        <v>94111.498878239712</v>
      </c>
      <c r="AD1029" s="175">
        <f t="shared" si="3074"/>
        <v>8.8655394270486049E-2</v>
      </c>
      <c r="AE1029" s="170"/>
      <c r="AF1029" s="170"/>
      <c r="AG1029" s="121">
        <f t="shared" si="3075"/>
        <v>283.0369944549563</v>
      </c>
      <c r="AH1029" s="119">
        <f>+AZ1029/$BB$45</f>
        <v>9.3875258227769775E-3</v>
      </c>
      <c r="AI1029" s="119">
        <f>+AZ1029/$BC$45</f>
        <v>4.0610145122772938E-2</v>
      </c>
      <c r="AJ1029" s="176">
        <f t="shared" ref="AJ1029:AJ1043" si="3080">+AH1029*AG1029</f>
        <v>2.6570170942470863</v>
      </c>
      <c r="AK1029" s="176">
        <f t="shared" ref="AK1029:AK1043" si="3081">+AI1029*AG1029</f>
        <v>11.494173419929254</v>
      </c>
      <c r="AL1029" s="120">
        <f t="shared" si="3063"/>
        <v>0.17894221204711705</v>
      </c>
      <c r="AM1029" s="120">
        <f t="shared" si="3064"/>
        <v>0.25914174483925034</v>
      </c>
      <c r="AN1029" s="120">
        <f t="shared" si="3065"/>
        <v>0.56191604311363275</v>
      </c>
      <c r="AO1029" s="120">
        <f t="shared" si="3069"/>
        <v>3.2220601246411719E-2</v>
      </c>
      <c r="AP1029" s="173">
        <f>+AP1028*EXP(AO1029)</f>
        <v>100.30875033863852</v>
      </c>
      <c r="AQ1029" s="175">
        <f>LN(AP1029/AP1028)</f>
        <v>3.2220601246411712E-2</v>
      </c>
      <c r="AR1029" s="177">
        <f>+AC1029/$AE$45</f>
        <v>1.1201137337614599E-2</v>
      </c>
      <c r="AS1029" s="177">
        <f t="shared" ref="AS1029:AS1043" si="3082">+AR1029*AQ1029</f>
        <v>3.6090737966157371E-4</v>
      </c>
      <c r="AT1029" s="177"/>
      <c r="AU1029" s="177"/>
      <c r="AV1029" s="177"/>
      <c r="AW1029" s="190"/>
      <c r="AX1029" s="120"/>
      <c r="AY1029" s="120"/>
      <c r="AZ1029" s="118">
        <f>IFERROR(INDEX('Total Customers'!$F$7:$AB$91,MATCH($C1029,'Total Customers'!$D$7:$D$91,0),MATCH($G1029,'Total Customers'!$F$5:$AB$5,0)),"NA")</f>
        <v>332506</v>
      </c>
      <c r="BA1029" s="119">
        <f t="shared" si="3043"/>
        <v>-5.5759466007626664E-2</v>
      </c>
      <c r="BB1029" s="119"/>
      <c r="BC1029" s="121">
        <v>8187757</v>
      </c>
      <c r="BD1029" s="119"/>
      <c r="BE1029" s="119"/>
      <c r="BF1029" s="119"/>
      <c r="BG1029" s="173"/>
      <c r="BH1029" s="173"/>
      <c r="BI1029" s="173"/>
      <c r="BJ1029" s="173"/>
      <c r="BK1029" s="173"/>
      <c r="BL1029" s="173"/>
      <c r="BM1029" s="173"/>
      <c r="BN1029" s="173"/>
      <c r="BO1029" s="173"/>
      <c r="BP1029" s="173"/>
      <c r="BQ1029" s="118"/>
      <c r="BR1029" s="118"/>
      <c r="BS1029" s="118">
        <f>INDEX('Dist. Plant Gas Additions'!$F$7:$AE$91,MATCH($C1029,'Dist. Plant Gas Additions'!$D$7:$D$91,0),MATCH(Calculation!$G1029,'Dist. Plant Gas Additions'!$F$5:$AE$5,0))</f>
        <v>45155</v>
      </c>
      <c r="BT1029" s="118">
        <f>INDEX('Gen. Plant Additions'!$F$7:$AE$91,MATCH($C1029,'Gen. Plant Additions'!$D$7:$D$91,0),MATCH(Calculation!$G1029,'Gen. Plant Additions'!$F$5:$AE$5,0))</f>
        <v>3177</v>
      </c>
      <c r="BU1029" s="118"/>
      <c r="BV1029" s="118"/>
      <c r="BW1029" s="118">
        <f>INDEX('Dist Plant Depreciation'!$E$7:$AD$94,MATCH($C1029,'Dist Plant Depreciation'!$D$7:$D$94,0),MATCH(Calculation!$G1029,'Dist Plant Depreciation'!$E$5:$AD$5,0))</f>
        <v>207527</v>
      </c>
      <c r="BX1029" s="118">
        <f>INDEX('Gen. Plant Depreciation'!$E$7:$AD$94,MATCH($C1029,'Gen. Plant Depreciation'!$D$7:$D$94,0),MATCH(Calculation!$G1029,'Gen. Plant Depreciation'!$E$5:$AD$5,0))</f>
        <v>15723</v>
      </c>
      <c r="BY1029" s="118"/>
      <c r="BZ1029" s="118"/>
      <c r="CA1029" s="118"/>
      <c r="CB1029" s="118"/>
      <c r="CC1029" s="118"/>
      <c r="CD1029" s="183"/>
      <c r="CE1029" s="118">
        <f>INDEX('Gross Dx Plant'!$E$7:$AD$91,MATCH($C1029,'Gross Dx Plant'!$D$7:$D$91,0),MATCH(Calculation!$G1029,'Gross Dx Plant'!$E$5:$AD$5,0))</f>
        <v>919236</v>
      </c>
      <c r="CF1029" s="118">
        <f>INDEX('Gross Gen Plant'!$E$7:$AD$91,MATCH($C1029,'Gross Gen Plant'!$D$7:$D$91,0),MATCH(Calculation!$G1029,'Gross Gen Plant'!$E$5:$AD$5,0))</f>
        <v>37106</v>
      </c>
      <c r="CG1029" s="118">
        <f t="shared" si="3018"/>
        <v>733092</v>
      </c>
      <c r="CH1029" s="118"/>
      <c r="CI1029" s="121">
        <v>2007</v>
      </c>
      <c r="CJ1029" s="118"/>
      <c r="CK1029" s="118"/>
      <c r="CL1029" s="118"/>
      <c r="CM1029" s="183"/>
      <c r="CN1029" s="118">
        <f t="shared" si="3044"/>
        <v>48332</v>
      </c>
      <c r="CO1029" s="118">
        <f t="shared" si="3045"/>
        <v>97.047860101775925</v>
      </c>
      <c r="CP1029" s="186">
        <v>0.94915254237288138</v>
      </c>
      <c r="CQ1029" s="118">
        <f>+CQ1020*CP1029+CO1021*CP1028+CO1022*CP1027+CO1023*CP1026+CO1024*CP1025+CO1025*CP1024+CO1026*CP1023+CO1027*CP1022+CO1028*CP1021+CO1029</f>
        <v>3093.8553570093632</v>
      </c>
      <c r="CR1029" s="119">
        <f t="shared" si="3046"/>
        <v>2.5482353154149595E-2</v>
      </c>
      <c r="CS1029" s="119"/>
      <c r="CT1029" s="177">
        <f t="shared" si="3047"/>
        <v>6.367733554795839E-3</v>
      </c>
      <c r="CU1029" s="177">
        <f t="shared" si="3056"/>
        <v>6.1799501691416035E-3</v>
      </c>
      <c r="CV1029" s="119">
        <f>VLOOKUP($H1029,RoR!$E:$F,2,FALSE)</f>
        <v>5.5558333333333321E-2</v>
      </c>
      <c r="CW1029" s="177">
        <v>2.691120634145272E-2</v>
      </c>
      <c r="CX1029" s="177">
        <f t="shared" si="3054"/>
        <v>2.86471269918806E-2</v>
      </c>
      <c r="CY1029" s="177">
        <f t="shared" si="3057"/>
        <v>2.4721991439392021E-2</v>
      </c>
      <c r="CZ1029" s="177">
        <f t="shared" si="3058"/>
        <v>6.4575155250632399E-2</v>
      </c>
      <c r="DA1029" s="187">
        <f t="shared" si="3048"/>
        <v>0.84681249999999997</v>
      </c>
      <c r="DB1029" s="188">
        <f t="shared" si="3049"/>
        <v>0.92303077153834634</v>
      </c>
      <c r="DC1029" s="188">
        <f t="shared" si="3050"/>
        <v>0.52502249887505614</v>
      </c>
      <c r="DD1029" s="188">
        <f t="shared" si="3051"/>
        <v>0.88499666072084604</v>
      </c>
      <c r="DE1029" s="188">
        <f t="shared" si="3052"/>
        <v>0.42887993290280618</v>
      </c>
      <c r="DF1029" s="189">
        <f>INDEX('State Tax Lookup'!$D$7:$Z$91,MATCH(Calculation!$C1029,'State Tax Lookup'!$B$7:$B$91,0),MATCH($H1029,'State Tax Lookup'!$D$6:$Z$6,0))</f>
        <v>0.40849999999999997</v>
      </c>
      <c r="DG1029" s="189">
        <v>0.375</v>
      </c>
      <c r="DH1029" s="190">
        <f t="shared" si="3055"/>
        <v>17.533998357684485</v>
      </c>
      <c r="DI1029" s="190">
        <v>17.288060898880119</v>
      </c>
      <c r="DJ1029" s="177"/>
      <c r="DK1029" s="189">
        <f>VLOOKUP($H1029,RoR!$E:$F,2,FALSE)</f>
        <v>5.5558333333333321E-2</v>
      </c>
      <c r="DL1029" s="191">
        <f>HLOOKUP($H1029,'GDP-PI'!$D$8:$CQ$11,3,FALSE)</f>
        <v>2.691120634145272E-2</v>
      </c>
      <c r="DM1029" s="189">
        <f>VLOOKUP(H1029,'HW Dx Data'!$E:$F,2,FALSE)</f>
        <v>498.0223154772637</v>
      </c>
      <c r="DN1029" s="183">
        <f>VLOOKUP(H1029,'ECI - Input Price'!$G$17:$H$37,2,FALSE)</f>
        <v>105.22500000000001</v>
      </c>
      <c r="DO1029" s="177">
        <f t="shared" ref="DO1029" si="3083">LN(DN1029/DN1028)</f>
        <v>3.0638025400780679E-2</v>
      </c>
      <c r="DP1029" s="183">
        <f>HLOOKUP(H1029,'GDP-PI'!$8:$9,2,FALSE)</f>
        <v>92.498000000000005</v>
      </c>
      <c r="DQ1029" s="177">
        <f t="shared" ref="DQ1029" si="3084">LN(DP1029/DP1028)</f>
        <v>2.6555467950038037E-2</v>
      </c>
    </row>
    <row r="1030" spans="1:121" s="167" customFormat="1" ht="21" x14ac:dyDescent="0.35">
      <c r="A1030" s="167" t="s">
        <v>102</v>
      </c>
      <c r="B1030" s="167" t="s">
        <v>102</v>
      </c>
      <c r="C1030" s="167">
        <v>4063023</v>
      </c>
      <c r="D1030" s="168" t="s">
        <v>145</v>
      </c>
      <c r="E1030" s="168" t="s">
        <v>126</v>
      </c>
      <c r="F1030" s="198"/>
      <c r="G1030" s="167" t="s">
        <v>14</v>
      </c>
      <c r="H1030" s="169">
        <v>2008</v>
      </c>
      <c r="I1030" s="170"/>
      <c r="J1030" s="166">
        <f>IFERROR(INDEX('Labor Expenditures'!$F$7:$X$91,MATCH($C1030,'Labor Expenditures'!$D$7:$D$91,0),MATCH($G1030,'Labor Expenditures'!$F$5:$X$5,0)),"NA")</f>
        <v>17334.708784259605</v>
      </c>
      <c r="K1030" s="166">
        <f t="shared" si="3061"/>
        <v>160.1728693394281</v>
      </c>
      <c r="L1030" s="172">
        <f t="shared" si="3068"/>
        <v>8.1142640276556956E-4</v>
      </c>
      <c r="M1030" s="172">
        <f t="shared" si="3072"/>
        <v>9.3995567783988436E-6</v>
      </c>
      <c r="N1030" s="196"/>
      <c r="O1030" s="172"/>
      <c r="P1030" s="166">
        <f>IFERROR(INDEX('Non-Labor Expenditures'!$F$7:$AB$91,MATCH($C1030,'Non-Labor Expenditures'!$D$7:$D$91,0),MATCH($G1030,'Non-Labor Expenditures'!$F$5:$AB$5,0)),"NA")</f>
        <v>25103.895996605275</v>
      </c>
      <c r="Q1030" s="166">
        <f t="shared" si="3062"/>
        <v>266.31477548804713</v>
      </c>
      <c r="R1030" s="172">
        <f t="shared" si="3073"/>
        <v>1.0010571326143297E-2</v>
      </c>
      <c r="S1030" s="172">
        <f t="shared" si="3078"/>
        <v>1.1596237593895556E-4</v>
      </c>
      <c r="T1030" s="172"/>
      <c r="U1030" s="172"/>
      <c r="V1030" s="166">
        <f t="shared" si="3042"/>
        <v>61609.336437196092</v>
      </c>
      <c r="W1030" s="170"/>
      <c r="X1030" s="174">
        <v>3161.9785559633319</v>
      </c>
      <c r="Y1030" s="175">
        <v>2.1779955423088703E-2</v>
      </c>
      <c r="Z1030" s="175">
        <f t="shared" si="3079"/>
        <v>2.5229882455459689E-4</v>
      </c>
      <c r="AA1030" s="175"/>
      <c r="AB1030" s="175"/>
      <c r="AC1030" s="170">
        <f t="shared" si="3053"/>
        <v>104047.94121806097</v>
      </c>
      <c r="AD1030" s="175">
        <f t="shared" si="3074"/>
        <v>0.10037152855720961</v>
      </c>
      <c r="AE1030" s="170"/>
      <c r="AF1030" s="170"/>
      <c r="AG1030" s="121">
        <f t="shared" si="3075"/>
        <v>308.62488274116811</v>
      </c>
      <c r="AH1030" s="119">
        <f>+AZ1030/$BB$46</f>
        <v>9.4674366987859901E-3</v>
      </c>
      <c r="AI1030" s="119">
        <f>+AZ1030/$BC$46</f>
        <v>4.0893937936516349E-2</v>
      </c>
      <c r="AJ1030" s="176">
        <f t="shared" si="3080"/>
        <v>2.9218865410222579</v>
      </c>
      <c r="AK1030" s="176">
        <f t="shared" si="3081"/>
        <v>12.620886800481964</v>
      </c>
      <c r="AL1030" s="120">
        <f t="shared" si="3063"/>
        <v>0.16660309258719472</v>
      </c>
      <c r="AM1030" s="120">
        <f t="shared" si="3064"/>
        <v>0.24127239523166713</v>
      </c>
      <c r="AN1030" s="120">
        <f t="shared" si="3065"/>
        <v>0.59212451218113826</v>
      </c>
      <c r="AO1030" s="120">
        <f t="shared" si="3069"/>
        <v>1.521238393803959E-2</v>
      </c>
      <c r="AP1030" s="173">
        <f t="shared" ref="AP1030:AP1043" si="3085">+AP1029*EXP(AO1030)</f>
        <v>101.84635119634454</v>
      </c>
      <c r="AQ1030" s="175">
        <f t="shared" ref="AQ1030:AQ1043" si="3086">LN(AP1030/AP1029)</f>
        <v>1.5212383938039526E-2</v>
      </c>
      <c r="AR1030" s="177">
        <f>+AC1030/$AE$46</f>
        <v>1.1583991778382499E-2</v>
      </c>
      <c r="AS1030" s="177">
        <f t="shared" si="3082"/>
        <v>1.7622013046784786E-4</v>
      </c>
      <c r="AT1030" s="177"/>
      <c r="AU1030" s="177"/>
      <c r="AV1030" s="177"/>
      <c r="AW1030" s="190"/>
      <c r="AX1030" s="120"/>
      <c r="AY1030" s="120"/>
      <c r="AZ1030" s="118">
        <f>IFERROR(INDEX('Total Customers'!$F$7:$AB$91,MATCH($C1030,'Total Customers'!$D$7:$D$91,0),MATCH($G1030,'Total Customers'!$F$5:$AB$5,0)),"NA")</f>
        <v>337134</v>
      </c>
      <c r="BA1030" s="119">
        <f t="shared" si="3043"/>
        <v>1.3822572386928512E-2</v>
      </c>
      <c r="BB1030" s="119"/>
      <c r="BC1030" s="121">
        <v>8244107</v>
      </c>
      <c r="BD1030" s="119"/>
      <c r="BE1030" s="119"/>
      <c r="BF1030" s="119"/>
      <c r="BG1030" s="173"/>
      <c r="BH1030" s="173"/>
      <c r="BI1030" s="173"/>
      <c r="BJ1030" s="173"/>
      <c r="BK1030" s="173"/>
      <c r="BL1030" s="173"/>
      <c r="BM1030" s="173"/>
      <c r="BN1030" s="173"/>
      <c r="BO1030" s="173"/>
      <c r="BP1030" s="173"/>
      <c r="BQ1030" s="118"/>
      <c r="BR1030" s="118"/>
      <c r="BS1030" s="118">
        <f>INDEX('Dist. Plant Gas Additions'!$F$7:$AE$91,MATCH($C1030,'Dist. Plant Gas Additions'!$D$7:$D$91,0),MATCH(Calculation!$G1030,'Dist. Plant Gas Additions'!$F$5:$AE$5,0))</f>
        <v>47235</v>
      </c>
      <c r="BT1030" s="118">
        <f>INDEX('Gen. Plant Additions'!$F$7:$AE$91,MATCH($C1030,'Gen. Plant Additions'!$D$7:$D$91,0),MATCH(Calculation!$G1030,'Gen. Plant Additions'!$F$5:$AE$5,0))</f>
        <v>3177</v>
      </c>
      <c r="BU1030" s="118"/>
      <c r="BV1030" s="118"/>
      <c r="BW1030" s="118">
        <f>INDEX('Dist Plant Depreciation'!$E$7:$AD$94,MATCH($C1030,'Dist Plant Depreciation'!$D$7:$D$94,0),MATCH(Calculation!$G1030,'Dist Plant Depreciation'!$E$5:$AD$5,0))</f>
        <v>222276</v>
      </c>
      <c r="BX1030" s="118">
        <f>INDEX('Gen. Plant Depreciation'!$E$7:$AD$94,MATCH($C1030,'Gen. Plant Depreciation'!$D$7:$D$94,0),MATCH(Calculation!$G1030,'Gen. Plant Depreciation'!$E$5:$AD$5,0))</f>
        <v>17304</v>
      </c>
      <c r="BY1030" s="118"/>
      <c r="BZ1030" s="118"/>
      <c r="CA1030" s="118"/>
      <c r="CB1030" s="118"/>
      <c r="CC1030" s="118"/>
      <c r="CD1030" s="183"/>
      <c r="CE1030" s="118">
        <f>INDEX('Gross Dx Plant'!$E$7:$AD$91,MATCH($C1030,'Gross Dx Plant'!$D$7:$D$91,0),MATCH(Calculation!$G1030,'Gross Dx Plant'!$E$5:$AD$5,0))</f>
        <v>959837</v>
      </c>
      <c r="CF1030" s="118">
        <f>INDEX('Gross Gen Plant'!$E$7:$AD$91,MATCH($C1030,'Gross Gen Plant'!$D$7:$D$91,0),MATCH(Calculation!$G1030,'Gross Gen Plant'!$E$5:$AD$5,0))</f>
        <v>41092</v>
      </c>
      <c r="CG1030" s="118">
        <f t="shared" si="3018"/>
        <v>761349</v>
      </c>
      <c r="CH1030" s="118"/>
      <c r="CI1030" s="121">
        <v>2008</v>
      </c>
      <c r="CJ1030" s="118"/>
      <c r="CK1030" s="118"/>
      <c r="CL1030" s="118"/>
      <c r="CM1030" s="183"/>
      <c r="CN1030" s="118">
        <f t="shared" si="3044"/>
        <v>50412</v>
      </c>
      <c r="CO1030" s="118">
        <f t="shared" si="3045"/>
        <v>88.460541784797883</v>
      </c>
      <c r="CP1030" s="186">
        <v>0.94252873563218387</v>
      </c>
      <c r="CQ1030" s="118">
        <f>+CQ1020*CP1030+CO1021*CP1029+CO1022*CP1028+CO1023*CP1027+CO1024*CP1026+CO1025*CP1025+CO1026*CP1024+CO1027*CP1023+CO1028*CP1022+CO1029*CP1021+CO1030</f>
        <v>3161.9785559633319</v>
      </c>
      <c r="CR1030" s="119">
        <f t="shared" si="3046"/>
        <v>2.1779955423088703E-2</v>
      </c>
      <c r="CS1030" s="119"/>
      <c r="CT1030" s="177">
        <f t="shared" si="3047"/>
        <v>6.5734627136828901E-3</v>
      </c>
      <c r="CU1030" s="177">
        <f t="shared" si="3056"/>
        <v>6.3729513162249845E-3</v>
      </c>
      <c r="CV1030" s="119">
        <f>VLOOKUP($H1030,RoR!$E:$F,2,FALSE)</f>
        <v>5.6316666666666668E-2</v>
      </c>
      <c r="CW1030" s="177">
        <v>1.9092304698479889E-2</v>
      </c>
      <c r="CX1030" s="177">
        <f t="shared" si="3054"/>
        <v>3.7224361968186778E-2</v>
      </c>
      <c r="CY1030" s="177">
        <f t="shared" si="3057"/>
        <v>2.452899029230864E-2</v>
      </c>
      <c r="CZ1030" s="177">
        <f t="shared" si="3058"/>
        <v>6.9030581091053131E-2</v>
      </c>
      <c r="DA1030" s="187">
        <f t="shared" si="3048"/>
        <v>0.84681249999999997</v>
      </c>
      <c r="DB1030" s="188">
        <f t="shared" si="3049"/>
        <v>0.91060168006009956</v>
      </c>
      <c r="DC1030" s="188">
        <f t="shared" si="3050"/>
        <v>0.53108168097070152</v>
      </c>
      <c r="DD1030" s="188">
        <f t="shared" si="3051"/>
        <v>0.88825329850328805</v>
      </c>
      <c r="DE1030" s="188">
        <f t="shared" si="3052"/>
        <v>0.4295627335323573</v>
      </c>
      <c r="DF1030" s="189">
        <f>INDEX('State Tax Lookup'!$D$7:$Z$91,MATCH(Calculation!$C1030,'State Tax Lookup'!$B$7:$B$91,0),MATCH($H1030,'State Tax Lookup'!$D$6:$Z$6,0))</f>
        <v>0.40849999999999997</v>
      </c>
      <c r="DG1030" s="189">
        <v>0.375</v>
      </c>
      <c r="DH1030" s="190">
        <f t="shared" si="3055"/>
        <v>19.913450800993488</v>
      </c>
      <c r="DI1030" s="190">
        <v>19.637182555626474</v>
      </c>
      <c r="DJ1030" s="177"/>
      <c r="DK1030" s="189">
        <f>VLOOKUP($H1030,RoR!$E:$F,2,FALSE)</f>
        <v>5.6316666666666668E-2</v>
      </c>
      <c r="DL1030" s="191">
        <f>HLOOKUP($H1030,'GDP-PI'!$D$8:$CQ$11,3,FALSE)</f>
        <v>1.9092304698479889E-2</v>
      </c>
      <c r="DM1030" s="189">
        <f>VLOOKUP(H1030,'HW Dx Data'!$E:$F,2,FALSE)</f>
        <v>569.88120333515076</v>
      </c>
      <c r="DN1030" s="183">
        <f>VLOOKUP(H1030,'ECI - Input Price'!$G$17:$H$37,2,FALSE)</f>
        <v>108.22499999999999</v>
      </c>
      <c r="DO1030" s="177">
        <f t="shared" ref="DO1030" si="3087">LN(DN1030/DN1029)</f>
        <v>2.8111478671409691E-2</v>
      </c>
      <c r="DP1030" s="183">
        <f>HLOOKUP(H1030,'GDP-PI'!$8:$9,2,FALSE)</f>
        <v>94.263999999999996</v>
      </c>
      <c r="DQ1030" s="177">
        <f t="shared" ref="DQ1030" si="3088">LN(DP1030/DP1029)</f>
        <v>1.8912333748032254E-2</v>
      </c>
    </row>
    <row r="1031" spans="1:121" s="167" customFormat="1" ht="21" x14ac:dyDescent="0.35">
      <c r="A1031" s="167" t="s">
        <v>102</v>
      </c>
      <c r="B1031" s="167" t="s">
        <v>102</v>
      </c>
      <c r="C1031" s="167">
        <v>4063023</v>
      </c>
      <c r="D1031" s="168" t="s">
        <v>145</v>
      </c>
      <c r="E1031" s="168" t="s">
        <v>126</v>
      </c>
      <c r="F1031" s="198"/>
      <c r="G1031" s="167" t="s">
        <v>15</v>
      </c>
      <c r="H1031" s="169">
        <v>2009</v>
      </c>
      <c r="I1031" s="170"/>
      <c r="J1031" s="166">
        <f>IFERROR(INDEX('Labor Expenditures'!$F$7:$X$91,MATCH($C1031,'Labor Expenditures'!$D$7:$D$91,0),MATCH($G1031,'Labor Expenditures'!$F$5:$X$5,0)),"NA")</f>
        <v>19278.155667304527</v>
      </c>
      <c r="K1031" s="166">
        <f t="shared" si="3061"/>
        <v>175.61517346667756</v>
      </c>
      <c r="L1031" s="172">
        <f t="shared" si="3068"/>
        <v>9.2041421374303753E-2</v>
      </c>
      <c r="M1031" s="172">
        <f t="shared" si="3072"/>
        <v>1.0568136532905163E-3</v>
      </c>
      <c r="N1031" s="196"/>
      <c r="O1031" s="172"/>
      <c r="P1031" s="166">
        <f>IFERROR(INDEX('Non-Labor Expenditures'!$F$7:$AB$91,MATCH($C1031,'Non-Labor Expenditures'!$D$7:$D$91,0),MATCH($G1031,'Non-Labor Expenditures'!$F$5:$AB$5,0)),"NA")</f>
        <v>27918.370069061995</v>
      </c>
      <c r="Q1031" s="166">
        <f t="shared" si="3062"/>
        <v>293.88067315510688</v>
      </c>
      <c r="R1031" s="172">
        <f t="shared" si="3073"/>
        <v>9.8494835675730877E-2</v>
      </c>
      <c r="S1031" s="172">
        <f t="shared" si="3078"/>
        <v>1.130911339335079E-3</v>
      </c>
      <c r="T1031" s="172"/>
      <c r="U1031" s="172"/>
      <c r="V1031" s="166">
        <f t="shared" si="3042"/>
        <v>60376.411977863798</v>
      </c>
      <c r="W1031" s="170"/>
      <c r="X1031" s="174">
        <v>3269.3141930112533</v>
      </c>
      <c r="Y1031" s="175">
        <v>3.3382279036519025E-2</v>
      </c>
      <c r="Z1031" s="175">
        <f t="shared" si="3079"/>
        <v>3.8329317102002387E-4</v>
      </c>
      <c r="AA1031" s="175"/>
      <c r="AB1031" s="175"/>
      <c r="AC1031" s="170">
        <f t="shared" si="3053"/>
        <v>107572.93771423033</v>
      </c>
      <c r="AD1031" s="175">
        <f t="shared" si="3074"/>
        <v>3.3317341685693828E-2</v>
      </c>
      <c r="AE1031" s="170"/>
      <c r="AF1031" s="170"/>
      <c r="AG1031" s="121">
        <f t="shared" si="3075"/>
        <v>315.22466202764576</v>
      </c>
      <c r="AH1031" s="119">
        <f>+AZ1031/$BB$47</f>
        <v>9.5694200167064508E-3</v>
      </c>
      <c r="AI1031" s="119">
        <f>+AZ1031/$BC$47</f>
        <v>4.0933872564236785E-2</v>
      </c>
      <c r="AJ1031" s="176">
        <f t="shared" si="3080"/>
        <v>3.0165171905668791</v>
      </c>
      <c r="AK1031" s="176">
        <f t="shared" si="3081"/>
        <v>12.903366144544263</v>
      </c>
      <c r="AL1031" s="120">
        <f t="shared" si="3063"/>
        <v>0.17921008830787288</v>
      </c>
      <c r="AM1031" s="120">
        <f t="shared" si="3064"/>
        <v>0.25952967969720886</v>
      </c>
      <c r="AN1031" s="120">
        <f t="shared" si="3065"/>
        <v>0.56126023199491815</v>
      </c>
      <c r="AO1031" s="120">
        <f t="shared" si="3069"/>
        <v>5.9829083071142583E-2</v>
      </c>
      <c r="AP1031" s="173">
        <f t="shared" si="3085"/>
        <v>108.12569574131952</v>
      </c>
      <c r="AQ1031" s="175">
        <f t="shared" si="3086"/>
        <v>5.9829083071142528E-2</v>
      </c>
      <c r="AR1031" s="177">
        <f>+AC1031/$AE$47</f>
        <v>1.1481935388554951E-2</v>
      </c>
      <c r="AS1031" s="177">
        <f t="shared" si="3082"/>
        <v>6.8695366617934532E-4</v>
      </c>
      <c r="AT1031" s="177"/>
      <c r="AU1031" s="177"/>
      <c r="AV1031" s="177"/>
      <c r="AW1031" s="190"/>
      <c r="AX1031" s="120"/>
      <c r="AY1031" s="120"/>
      <c r="AZ1031" s="118">
        <f>IFERROR(INDEX('Total Customers'!$F$7:$AB$91,MATCH($C1031,'Total Customers'!$D$7:$D$91,0),MATCH($G1031,'Total Customers'!$F$5:$AB$5,0)),"NA")</f>
        <v>341258</v>
      </c>
      <c r="BA1031" s="119">
        <f t="shared" si="3043"/>
        <v>1.2158312015016642E-2</v>
      </c>
      <c r="BB1031" s="119"/>
      <c r="BC1031" s="121">
        <v>8336812</v>
      </c>
      <c r="BD1031" s="119"/>
      <c r="BE1031" s="119"/>
      <c r="BF1031" s="119"/>
      <c r="BG1031" s="173"/>
      <c r="BH1031" s="173"/>
      <c r="BI1031" s="173"/>
      <c r="BJ1031" s="173"/>
      <c r="BK1031" s="173"/>
      <c r="BL1031" s="173"/>
      <c r="BM1031" s="173"/>
      <c r="BN1031" s="173"/>
      <c r="BO1031" s="173"/>
      <c r="BP1031" s="173"/>
      <c r="BQ1031" s="118"/>
      <c r="BR1031" s="118"/>
      <c r="BS1031" s="118">
        <f>INDEX('Dist. Plant Gas Additions'!$F$7:$AE$91,MATCH($C1031,'Dist. Plant Gas Additions'!$D$7:$D$91,0),MATCH(Calculation!$G1031,'Dist. Plant Gas Additions'!$F$5:$AE$5,0))</f>
        <v>65868</v>
      </c>
      <c r="BT1031" s="118">
        <f>INDEX('Gen. Plant Additions'!$F$7:$AE$91,MATCH($C1031,'Gen. Plant Additions'!$D$7:$D$91,0),MATCH(Calculation!$G1031,'Gen. Plant Additions'!$F$5:$AE$5,0))</f>
        <v>5099</v>
      </c>
      <c r="BU1031" s="118"/>
      <c r="BV1031" s="118"/>
      <c r="BW1031" s="118">
        <f>INDEX('Dist Plant Depreciation'!$E$7:$AD$94,MATCH($C1031,'Dist Plant Depreciation'!$D$7:$D$94,0),MATCH(Calculation!$G1031,'Dist Plant Depreciation'!$E$5:$AD$5,0))</f>
        <v>236795</v>
      </c>
      <c r="BX1031" s="118">
        <f>INDEX('Gen. Plant Depreciation'!$E$7:$AD$94,MATCH($C1031,'Gen. Plant Depreciation'!$D$7:$D$94,0),MATCH(Calculation!$G1031,'Gen. Plant Depreciation'!$E$5:$AD$5,0))</f>
        <v>20259</v>
      </c>
      <c r="BY1031" s="118"/>
      <c r="BZ1031" s="118"/>
      <c r="CA1031" s="118"/>
      <c r="CB1031" s="118"/>
      <c r="CC1031" s="118"/>
      <c r="CD1031" s="183"/>
      <c r="CE1031" s="118">
        <f>INDEX('Gross Dx Plant'!$E$7:$AD$91,MATCH($C1031,'Gross Dx Plant'!$D$7:$D$91,0),MATCH(Calculation!$G1031,'Gross Dx Plant'!$E$5:$AD$5,0))</f>
        <v>1021233</v>
      </c>
      <c r="CF1031" s="118">
        <f>INDEX('Gross Gen Plant'!$E$7:$AD$91,MATCH($C1031,'Gross Gen Plant'!$D$7:$D$91,0),MATCH(Calculation!$G1031,'Gross Gen Plant'!$E$5:$AD$5,0))</f>
        <v>45008</v>
      </c>
      <c r="CG1031" s="118">
        <f t="shared" si="3018"/>
        <v>809187</v>
      </c>
      <c r="CH1031" s="118"/>
      <c r="CI1031" s="121">
        <v>2009</v>
      </c>
      <c r="CJ1031" s="118"/>
      <c r="CK1031" s="118"/>
      <c r="CL1031" s="118"/>
      <c r="CM1031" s="183"/>
      <c r="CN1031" s="118">
        <f t="shared" si="3044"/>
        <v>70967</v>
      </c>
      <c r="CO1031" s="118">
        <f t="shared" si="3045"/>
        <v>128.81061090826347</v>
      </c>
      <c r="CP1031" s="186">
        <v>0.93567251461988299</v>
      </c>
      <c r="CQ1031" s="118">
        <f>+CQ1020*CP1031+CO1021*CP1030+CO1022*CP1029+CO1023*CP1028+CO1024*CP1027+CO1025*CP1026+CO1026*CP1025+CO1027*CP1024+CO1028*CP1023+CO1029*CP1022+CO1030*CP1021+CO1031</f>
        <v>3269.3141930112533</v>
      </c>
      <c r="CR1031" s="119">
        <f t="shared" si="3046"/>
        <v>3.3382279036519025E-2</v>
      </c>
      <c r="CS1031" s="119"/>
      <c r="CT1031" s="177">
        <f t="shared" si="3047"/>
        <v>6.7916253953845904E-3</v>
      </c>
      <c r="CU1031" s="177">
        <f t="shared" si="3056"/>
        <v>6.5776072212877729E-3</v>
      </c>
      <c r="CV1031" s="119">
        <f>VLOOKUP($H1031,RoR!$E:$F,2,FALSE)</f>
        <v>5.3133333333333324E-2</v>
      </c>
      <c r="CW1031" s="177">
        <v>7.7972502758210105E-3</v>
      </c>
      <c r="CX1031" s="177">
        <f t="shared" si="3054"/>
        <v>4.5336083057512314E-2</v>
      </c>
      <c r="CY1031" s="177">
        <f t="shared" si="3057"/>
        <v>2.4324334387245853E-2</v>
      </c>
      <c r="CZ1031" s="177">
        <f t="shared" si="3058"/>
        <v>6.3720160300892073E-2</v>
      </c>
      <c r="DA1031" s="187">
        <f t="shared" si="3048"/>
        <v>0.84681249999999997</v>
      </c>
      <c r="DB1031" s="188">
        <f t="shared" si="3049"/>
        <v>0.96515780330083989</v>
      </c>
      <c r="DC1031" s="188">
        <f t="shared" si="3050"/>
        <v>0.50448557089084056</v>
      </c>
      <c r="DD1031" s="188">
        <f t="shared" si="3051"/>
        <v>0.87391435735465484</v>
      </c>
      <c r="DE1031" s="188">
        <f t="shared" si="3052"/>
        <v>0.42551605393279146</v>
      </c>
      <c r="DF1031" s="189">
        <f>INDEX('State Tax Lookup'!$D$7:$Z$91,MATCH(Calculation!$C1031,'State Tax Lookup'!$B$7:$B$91,0),MATCH($H1031,'State Tax Lookup'!$D$6:$Z$6,0))</f>
        <v>0.40849999999999997</v>
      </c>
      <c r="DG1031" s="189">
        <v>0.375</v>
      </c>
      <c r="DH1031" s="190">
        <f t="shared" si="3055"/>
        <v>19.094503934568731</v>
      </c>
      <c r="DI1031" s="190">
        <v>18.753451538640146</v>
      </c>
      <c r="DJ1031" s="177"/>
      <c r="DK1031" s="189">
        <f>VLOOKUP($H1031,RoR!$E:$F,2,FALSE)</f>
        <v>5.3133333333333324E-2</v>
      </c>
      <c r="DL1031" s="191">
        <f>HLOOKUP($H1031,'GDP-PI'!$D$8:$CQ$11,3,FALSE)</f>
        <v>7.7972502758210105E-3</v>
      </c>
      <c r="DM1031" s="189">
        <f>VLOOKUP(H1031,'HW Dx Data'!$E:$F,2,FALSE)</f>
        <v>550.94063679692806</v>
      </c>
      <c r="DN1031" s="183">
        <f>VLOOKUP(H1031,'ECI - Input Price'!$G$17:$H$37,2,FALSE)</f>
        <v>109.77499999999999</v>
      </c>
      <c r="DO1031" s="177">
        <f t="shared" ref="DO1031" si="3089">LN(DN1031/DN1030)</f>
        <v>1.4220423119736749E-2</v>
      </c>
      <c r="DP1031" s="183">
        <f>HLOOKUP(H1031,'GDP-PI'!$8:$9,2,FALSE)</f>
        <v>94.998999999999995</v>
      </c>
      <c r="DQ1031" s="177">
        <f t="shared" ref="DQ1031" si="3090">LN(DP1031/DP1030)</f>
        <v>7.7670088183096342E-3</v>
      </c>
    </row>
    <row r="1032" spans="1:121" s="167" customFormat="1" ht="21" x14ac:dyDescent="0.35">
      <c r="A1032" s="167" t="s">
        <v>102</v>
      </c>
      <c r="B1032" s="167" t="s">
        <v>102</v>
      </c>
      <c r="C1032" s="167">
        <v>4063023</v>
      </c>
      <c r="D1032" s="168" t="s">
        <v>145</v>
      </c>
      <c r="E1032" s="168" t="s">
        <v>126</v>
      </c>
      <c r="F1032" s="198"/>
      <c r="G1032" s="167" t="s">
        <v>16</v>
      </c>
      <c r="H1032" s="169">
        <v>2010</v>
      </c>
      <c r="I1032" s="170"/>
      <c r="J1032" s="166">
        <f>IFERROR(INDEX('Labor Expenditures'!$F$7:$X$91,MATCH($C1032,'Labor Expenditures'!$D$7:$D$91,0),MATCH($G1032,'Labor Expenditures'!$F$5:$X$5,0)),"NA")</f>
        <v>20706.557306919542</v>
      </c>
      <c r="K1032" s="166">
        <f t="shared" si="3061"/>
        <v>185.08654576017469</v>
      </c>
      <c r="L1032" s="172">
        <f t="shared" si="3068"/>
        <v>5.2528443875413125E-2</v>
      </c>
      <c r="M1032" s="172">
        <f t="shared" si="3072"/>
        <v>6.2038296073821571E-4</v>
      </c>
      <c r="N1032" s="196"/>
      <c r="O1032" s="172"/>
      <c r="P1032" s="166">
        <f>IFERROR(INDEX('Non-Labor Expenditures'!$F$7:$AB$91,MATCH($C1032,'Non-Labor Expenditures'!$D$7:$D$91,0),MATCH($G1032,'Non-Labor Expenditures'!$F$5:$AB$5,0)),"NA")</f>
        <v>29986.962431850134</v>
      </c>
      <c r="Q1032" s="166">
        <f t="shared" si="3062"/>
        <v>312.00993072293056</v>
      </c>
      <c r="R1032" s="172">
        <f t="shared" si="3073"/>
        <v>5.9861205215501111E-2</v>
      </c>
      <c r="S1032" s="172">
        <f t="shared" si="3078"/>
        <v>7.0698594866110381E-4</v>
      </c>
      <c r="T1032" s="172"/>
      <c r="U1032" s="172"/>
      <c r="V1032" s="166">
        <f t="shared" si="3042"/>
        <v>63999.338328045858</v>
      </c>
      <c r="W1032" s="170"/>
      <c r="X1032" s="174">
        <v>3374.2318468030244</v>
      </c>
      <c r="Y1032" s="175">
        <v>3.1587461466689663E-2</v>
      </c>
      <c r="Z1032" s="175">
        <f t="shared" si="3079"/>
        <v>3.7306117259798825E-4</v>
      </c>
      <c r="AA1032" s="175"/>
      <c r="AB1032" s="175"/>
      <c r="AC1032" s="170">
        <f t="shared" si="3053"/>
        <v>114692.85806681553</v>
      </c>
      <c r="AD1032" s="175">
        <f t="shared" si="3074"/>
        <v>6.4088648134192683E-2</v>
      </c>
      <c r="AE1032" s="170"/>
      <c r="AF1032" s="170"/>
      <c r="AG1032" s="121">
        <f t="shared" si="3075"/>
        <v>332.36310704038027</v>
      </c>
      <c r="AH1032" s="119">
        <f>+AZ1032/$BB$48</f>
        <v>9.6234078654005243E-3</v>
      </c>
      <c r="AI1032" s="119">
        <f>+AZ1032/$BC$48</f>
        <v>4.1064487749720623E-2</v>
      </c>
      <c r="AJ1032" s="176">
        <f t="shared" si="3080"/>
        <v>3.1984657384613517</v>
      </c>
      <c r="AK1032" s="176">
        <f t="shared" si="3081"/>
        <v>13.64832073751878</v>
      </c>
      <c r="AL1032" s="120">
        <f t="shared" si="3063"/>
        <v>0.18053920406148322</v>
      </c>
      <c r="AM1032" s="120">
        <f t="shared" si="3064"/>
        <v>0.2614544875530167</v>
      </c>
      <c r="AN1032" s="120">
        <f t="shared" si="3065"/>
        <v>0.55800630838550003</v>
      </c>
      <c r="AO1032" s="120">
        <f t="shared" si="3069"/>
        <v>4.271929968922876E-2</v>
      </c>
      <c r="AP1032" s="173">
        <f t="shared" si="3085"/>
        <v>112.84483116618522</v>
      </c>
      <c r="AQ1032" s="175">
        <f t="shared" si="3086"/>
        <v>4.2719299689228801E-2</v>
      </c>
      <c r="AR1032" s="177">
        <f>+AC1032/$AE$48</f>
        <v>1.1810419554967951E-2</v>
      </c>
      <c r="AS1032" s="177">
        <f t="shared" si="3082"/>
        <v>5.0453285242420417E-4</v>
      </c>
      <c r="AT1032" s="177"/>
      <c r="AU1032" s="177"/>
      <c r="AV1032" s="177"/>
      <c r="AW1032" s="190"/>
      <c r="AX1032" s="120"/>
      <c r="AY1032" s="120"/>
      <c r="AZ1032" s="118">
        <f>IFERROR(INDEX('Total Customers'!$F$7:$AB$91,MATCH($C1032,'Total Customers'!$D$7:$D$91,0),MATCH($G1032,'Total Customers'!$F$5:$AB$5,0)),"NA")</f>
        <v>345083</v>
      </c>
      <c r="BA1032" s="119">
        <f t="shared" si="3043"/>
        <v>1.1146178359022305E-2</v>
      </c>
      <c r="BB1032" s="119"/>
      <c r="BC1032" s="121">
        <v>8403441</v>
      </c>
      <c r="BD1032" s="119"/>
      <c r="BE1032" s="119"/>
      <c r="BF1032" s="119"/>
      <c r="BG1032" s="173"/>
      <c r="BH1032" s="173"/>
      <c r="BI1032" s="173"/>
      <c r="BJ1032" s="173"/>
      <c r="BK1032" s="173"/>
      <c r="BL1032" s="173"/>
      <c r="BM1032" s="173"/>
      <c r="BN1032" s="173"/>
      <c r="BO1032" s="173"/>
      <c r="BP1032" s="173"/>
      <c r="BQ1032" s="118"/>
      <c r="BR1032" s="118"/>
      <c r="BS1032" s="118">
        <f>INDEX('Dist. Plant Gas Additions'!$F$7:$AE$91,MATCH($C1032,'Dist. Plant Gas Additions'!$D$7:$D$91,0),MATCH(Calculation!$G1032,'Dist. Plant Gas Additions'!$F$5:$AE$5,0))</f>
        <v>65494</v>
      </c>
      <c r="BT1032" s="118">
        <f>INDEX('Gen. Plant Additions'!$F$7:$AE$91,MATCH($C1032,'Gen. Plant Additions'!$D$7:$D$91,0),MATCH(Calculation!$G1032,'Gen. Plant Additions'!$F$5:$AE$5,0))</f>
        <v>7212</v>
      </c>
      <c r="BU1032" s="118"/>
      <c r="BV1032" s="118"/>
      <c r="BW1032" s="118">
        <f>INDEX('Dist Plant Depreciation'!$E$7:$AD$94,MATCH($C1032,'Dist Plant Depreciation'!$D$7:$D$94,0),MATCH(Calculation!$G1032,'Dist Plant Depreciation'!$E$5:$AD$5,0))</f>
        <v>253534</v>
      </c>
      <c r="BX1032" s="118">
        <f>INDEX('Gen. Plant Depreciation'!$E$7:$AD$94,MATCH($C1032,'Gen. Plant Depreciation'!$D$7:$D$94,0),MATCH(Calculation!$G1032,'Gen. Plant Depreciation'!$E$5:$AD$5,0))</f>
        <v>22897</v>
      </c>
      <c r="BY1032" s="118"/>
      <c r="BZ1032" s="118"/>
      <c r="CA1032" s="118"/>
      <c r="CB1032" s="118"/>
      <c r="CC1032" s="118"/>
      <c r="CD1032" s="183"/>
      <c r="CE1032" s="118">
        <f>INDEX('Gross Dx Plant'!$E$7:$AD$91,MATCH($C1032,'Gross Dx Plant'!$D$7:$D$91,0),MATCH(Calculation!$G1032,'Gross Dx Plant'!$E$5:$AD$5,0))</f>
        <v>1084990</v>
      </c>
      <c r="CF1032" s="118">
        <f>INDEX('Gross Gen Plant'!$E$7:$AD$91,MATCH($C1032,'Gross Gen Plant'!$D$7:$D$91,0),MATCH(Calculation!$G1032,'Gross Gen Plant'!$E$5:$AD$5,0))</f>
        <v>50862</v>
      </c>
      <c r="CG1032" s="118">
        <f t="shared" si="3018"/>
        <v>859421</v>
      </c>
      <c r="CH1032" s="118"/>
      <c r="CI1032" s="121">
        <v>2010</v>
      </c>
      <c r="CJ1032" s="118"/>
      <c r="CK1032" s="118"/>
      <c r="CL1032" s="118"/>
      <c r="CM1032" s="183"/>
      <c r="CN1032" s="118">
        <f t="shared" si="3044"/>
        <v>72706</v>
      </c>
      <c r="CO1032" s="118">
        <f t="shared" si="3045"/>
        <v>127.78091628048021</v>
      </c>
      <c r="CP1032" s="186">
        <v>0.9285714285714286</v>
      </c>
      <c r="CQ1032" s="118">
        <f>+CQ1020*CP1032+CO1021*CP1031+CO1022*CP1030+CO1023*CP1029+CO1024*CP1028+CO1025*CP1027+CO1026*CP1026+CO1027*CP1025+CO1028*CP1024+CO1029*CP1023+CO1030*CP1022+CO1031*CP1021+CO1032</f>
        <v>3374.2318468030244</v>
      </c>
      <c r="CR1032" s="119">
        <f t="shared" si="3046"/>
        <v>3.1587461466689663E-2</v>
      </c>
      <c r="CS1032" s="119"/>
      <c r="CT1032" s="177">
        <f t="shared" si="3047"/>
        <v>6.9932900721452534E-3</v>
      </c>
      <c r="CU1032" s="177">
        <f t="shared" si="3056"/>
        <v>6.7861260604042441E-3</v>
      </c>
      <c r="CV1032" s="119">
        <f>VLOOKUP($H1032,RoR!$E:$F,2,FALSE)</f>
        <v>4.9433333333333322E-2</v>
      </c>
      <c r="CW1032" s="177">
        <v>1.1684333519300205E-2</v>
      </c>
      <c r="CX1032" s="177">
        <f t="shared" si="3054"/>
        <v>3.7748999814033117E-2</v>
      </c>
      <c r="CY1032" s="177">
        <f t="shared" si="3057"/>
        <v>2.4115815548129381E-2</v>
      </c>
      <c r="CZ1032" s="177">
        <f t="shared" si="3058"/>
        <v>4.7937530248493419E-2</v>
      </c>
      <c r="DA1032" s="187">
        <f t="shared" si="3048"/>
        <v>0.84681249999999997</v>
      </c>
      <c r="DB1032" s="188">
        <f t="shared" si="3049"/>
        <v>1.037398205301105</v>
      </c>
      <c r="DC1032" s="188">
        <f t="shared" si="3050"/>
        <v>0.46926837491571133</v>
      </c>
      <c r="DD1032" s="188">
        <f t="shared" si="3051"/>
        <v>0.8548537519972772</v>
      </c>
      <c r="DE1032" s="188">
        <f t="shared" si="3052"/>
        <v>0.41615833911547367</v>
      </c>
      <c r="DF1032" s="189">
        <f>INDEX('State Tax Lookup'!$D$7:$Z$91,MATCH(Calculation!$C1032,'State Tax Lookup'!$B$7:$B$91,0),MATCH($H1032,'State Tax Lookup'!$D$6:$Z$6,0))</f>
        <v>0.40849999999999997</v>
      </c>
      <c r="DG1032" s="189">
        <v>0.375</v>
      </c>
      <c r="DH1032" s="190">
        <f t="shared" si="3055"/>
        <v>19.575768662692607</v>
      </c>
      <c r="DI1032" s="190">
        <v>19.261796867525479</v>
      </c>
      <c r="DJ1032" s="177"/>
      <c r="DK1032" s="189">
        <f>VLOOKUP($H1032,RoR!$E:$F,2,FALSE)</f>
        <v>4.9433333333333322E-2</v>
      </c>
      <c r="DL1032" s="191">
        <f>HLOOKUP($H1032,'GDP-PI'!$D$8:$CQ$11,3,FALSE)</f>
        <v>1.1684333519300205E-2</v>
      </c>
      <c r="DM1032" s="189">
        <f>VLOOKUP(H1032,'HW Dx Data'!$E:$F,2,FALSE)</f>
        <v>568.98950262971744</v>
      </c>
      <c r="DN1032" s="183">
        <f>VLOOKUP(H1032,'ECI - Input Price'!$G$17:$H$37,2,FALSE)</f>
        <v>111.875</v>
      </c>
      <c r="DO1032" s="177">
        <f t="shared" ref="DO1032" si="3091">LN(DN1032/DN1031)</f>
        <v>1.8949360147238387E-2</v>
      </c>
      <c r="DP1032" s="183">
        <f>HLOOKUP(H1032,'GDP-PI'!$8:$9,2,FALSE)</f>
        <v>96.108999999999995</v>
      </c>
      <c r="DQ1032" s="177">
        <f t="shared" ref="DQ1032" si="3092">LN(DP1032/DP1031)</f>
        <v>1.1616598807150427E-2</v>
      </c>
    </row>
    <row r="1033" spans="1:121" s="167" customFormat="1" ht="21" x14ac:dyDescent="0.35">
      <c r="A1033" s="167" t="s">
        <v>102</v>
      </c>
      <c r="B1033" s="167" t="s">
        <v>102</v>
      </c>
      <c r="C1033" s="167">
        <v>4063023</v>
      </c>
      <c r="D1033" s="168" t="s">
        <v>145</v>
      </c>
      <c r="E1033" s="168" t="s">
        <v>126</v>
      </c>
      <c r="F1033" s="198"/>
      <c r="G1033" s="167" t="s">
        <v>17</v>
      </c>
      <c r="H1033" s="169">
        <v>2011</v>
      </c>
      <c r="I1033" s="170"/>
      <c r="J1033" s="166">
        <f>IFERROR(INDEX('Labor Expenditures'!$F$7:$X$91,MATCH($C1033,'Labor Expenditures'!$D$7:$D$91,0),MATCH($G1033,'Labor Expenditures'!$F$5:$X$5,0)),"NA")</f>
        <v>22054.841254643583</v>
      </c>
      <c r="K1033" s="166">
        <f t="shared" si="3061"/>
        <v>192.95574151044255</v>
      </c>
      <c r="L1033" s="172">
        <f t="shared" si="3068"/>
        <v>4.1637313401708322E-2</v>
      </c>
      <c r="M1033" s="172">
        <f t="shared" si="3072"/>
        <v>5.0829458117235282E-4</v>
      </c>
      <c r="N1033" s="196"/>
      <c r="O1033" s="172"/>
      <c r="P1033" s="166">
        <f>IFERROR(INDEX('Non-Labor Expenditures'!$F$7:$AB$91,MATCH($C1033,'Non-Labor Expenditures'!$D$7:$D$91,0),MATCH($G1033,'Non-Labor Expenditures'!$F$5:$AB$5,0)),"NA")</f>
        <v>31939.5294128594</v>
      </c>
      <c r="Q1033" s="166">
        <f t="shared" si="3062"/>
        <v>325.54151798821147</v>
      </c>
      <c r="R1033" s="172">
        <f t="shared" si="3073"/>
        <v>4.2454988394604647E-2</v>
      </c>
      <c r="S1033" s="172">
        <f t="shared" si="3078"/>
        <v>5.1827648764262693E-4</v>
      </c>
      <c r="T1033" s="172"/>
      <c r="U1033" s="172"/>
      <c r="V1033" s="166">
        <f t="shared" si="3042"/>
        <v>70509.832583230585</v>
      </c>
      <c r="W1033" s="170"/>
      <c r="X1033" s="174">
        <v>3510.6541557897112</v>
      </c>
      <c r="Y1033" s="175">
        <v>3.9634691811841198E-2</v>
      </c>
      <c r="Z1033" s="175">
        <f t="shared" si="3079"/>
        <v>4.8384723769349957E-4</v>
      </c>
      <c r="AA1033" s="175"/>
      <c r="AB1033" s="175"/>
      <c r="AC1033" s="170">
        <f t="shared" si="3053"/>
        <v>124504.20325073357</v>
      </c>
      <c r="AD1033" s="175">
        <f t="shared" si="3074"/>
        <v>8.2081720388622617E-2</v>
      </c>
      <c r="AE1033" s="170"/>
      <c r="AF1033" s="170"/>
      <c r="AG1033" s="121">
        <f t="shared" si="3075"/>
        <v>356.89282469194615</v>
      </c>
      <c r="AH1033" s="119">
        <f>+AZ1033/$BB$49</f>
        <v>9.6813318081336135E-3</v>
      </c>
      <c r="AI1033" s="119">
        <f>+AZ1033/$BC$49</f>
        <v>4.1344225377084022E-2</v>
      </c>
      <c r="AJ1033" s="176">
        <f t="shared" si="3080"/>
        <v>3.4551978557847915</v>
      </c>
      <c r="AK1033" s="176">
        <f t="shared" si="3081"/>
        <v>14.755457379527959</v>
      </c>
      <c r="AL1033" s="120">
        <f t="shared" si="3063"/>
        <v>0.17714133883679656</v>
      </c>
      <c r="AM1033" s="120">
        <f t="shared" si="3064"/>
        <v>0.25653374407398744</v>
      </c>
      <c r="AN1033" s="120">
        <f t="shared" si="3065"/>
        <v>0.56632491708921595</v>
      </c>
      <c r="AO1033" s="120">
        <f t="shared" si="3069"/>
        <v>4.0723281420367602E-2</v>
      </c>
      <c r="AP1033" s="173">
        <f t="shared" si="3085"/>
        <v>117.53509630507503</v>
      </c>
      <c r="AQ1033" s="175">
        <f t="shared" si="3086"/>
        <v>4.0723281420367602E-2</v>
      </c>
      <c r="AR1033" s="177">
        <f>+AC1033/$AE$49</f>
        <v>1.2207669987456447E-2</v>
      </c>
      <c r="AS1033" s="177">
        <f t="shared" si="3082"/>
        <v>4.9713638038616432E-4</v>
      </c>
      <c r="AT1033" s="177"/>
      <c r="AU1033" s="177"/>
      <c r="AV1033" s="177"/>
      <c r="AW1033" s="190"/>
      <c r="AX1033" s="120"/>
      <c r="AY1033" s="120"/>
      <c r="AZ1033" s="118">
        <f>IFERROR(INDEX('Total Customers'!$F$7:$AB$91,MATCH($C1033,'Total Customers'!$D$7:$D$91,0),MATCH($G1033,'Total Customers'!$F$5:$AB$5,0)),"NA")</f>
        <v>348856</v>
      </c>
      <c r="BA1033" s="119">
        <f t="shared" si="3043"/>
        <v>1.0874261799847761E-2</v>
      </c>
      <c r="BB1033" s="119"/>
      <c r="BC1033" s="121">
        <v>8437841</v>
      </c>
      <c r="BD1033" s="119"/>
      <c r="BE1033" s="119"/>
      <c r="BF1033" s="119"/>
      <c r="BG1033" s="173"/>
      <c r="BH1033" s="173"/>
      <c r="BI1033" s="173"/>
      <c r="BJ1033" s="173"/>
      <c r="BK1033" s="173"/>
      <c r="BL1033" s="173"/>
      <c r="BM1033" s="173"/>
      <c r="BN1033" s="173"/>
      <c r="BO1033" s="173"/>
      <c r="BP1033" s="173"/>
      <c r="BQ1033" s="118"/>
      <c r="BR1033" s="118"/>
      <c r="BS1033" s="118">
        <f>INDEX('Dist. Plant Gas Additions'!$F$7:$AE$91,MATCH($C1033,'Dist. Plant Gas Additions'!$D$7:$D$91,0),MATCH(Calculation!$G1033,'Dist. Plant Gas Additions'!$F$5:$AE$5,0))</f>
        <v>94075</v>
      </c>
      <c r="BT1033" s="118">
        <f>INDEX('Gen. Plant Additions'!$F$7:$AE$91,MATCH($C1033,'Gen. Plant Additions'!$D$7:$D$91,0),MATCH(Calculation!$G1033,'Gen. Plant Additions'!$F$5:$AE$5,0))</f>
        <v>4228</v>
      </c>
      <c r="BU1033" s="118"/>
      <c r="BV1033" s="118"/>
      <c r="BW1033" s="118">
        <f>INDEX('Dist Plant Depreciation'!$E$7:$AD$94,MATCH($C1033,'Dist Plant Depreciation'!$D$7:$D$94,0),MATCH(Calculation!$G1033,'Dist Plant Depreciation'!$E$5:$AD$5,0))</f>
        <v>269608</v>
      </c>
      <c r="BX1033" s="118">
        <f>INDEX('Gen. Plant Depreciation'!$E$7:$AD$94,MATCH($C1033,'Gen. Plant Depreciation'!$D$7:$D$94,0),MATCH(Calculation!$G1033,'Gen. Plant Depreciation'!$E$5:$AD$5,0))</f>
        <v>23793</v>
      </c>
      <c r="BY1033" s="118"/>
      <c r="BZ1033" s="118"/>
      <c r="CA1033" s="118"/>
      <c r="CB1033" s="118"/>
      <c r="CC1033" s="118"/>
      <c r="CD1033" s="183"/>
      <c r="CE1033" s="118">
        <f>INDEX('Gross Dx Plant'!$E$7:$AD$91,MATCH($C1033,'Gross Dx Plant'!$D$7:$D$91,0),MATCH(Calculation!$G1033,'Gross Dx Plant'!$E$5:$AD$5,0))</f>
        <v>1172547</v>
      </c>
      <c r="CF1033" s="118">
        <f>INDEX('Gross Gen Plant'!$E$7:$AD$91,MATCH($C1033,'Gross Gen Plant'!$D$7:$D$91,0),MATCH(Calculation!$G1033,'Gross Gen Plant'!$E$5:$AD$5,0))</f>
        <v>51621</v>
      </c>
      <c r="CG1033" s="118">
        <f t="shared" si="3018"/>
        <v>930767</v>
      </c>
      <c r="CH1033" s="118"/>
      <c r="CI1033" s="121">
        <v>2011</v>
      </c>
      <c r="CJ1033" s="118"/>
      <c r="CK1033" s="118"/>
      <c r="CL1033" s="118"/>
      <c r="CM1033" s="183"/>
      <c r="CN1033" s="118">
        <f t="shared" si="3044"/>
        <v>98303</v>
      </c>
      <c r="CO1033" s="118">
        <f t="shared" si="3045"/>
        <v>160.7279537980414</v>
      </c>
      <c r="CP1033" s="186">
        <v>0.92121212121212126</v>
      </c>
      <c r="CQ1033" s="118">
        <f>+CQ1020*CP1033+CO1021*CP1032+CO1022*CP1031+CO1023*CP1030+CO1024*CP1029+CO1025*CP1028+CO1026*CP1027+CO1027*CP1026+CO1028*CP1025+CO1029*CP1024+CO1030*CP1023+CO1031*CP1022+CO1032*CP1021+CO1033</f>
        <v>3510.6541557897112</v>
      </c>
      <c r="CR1033" s="119">
        <f t="shared" si="3046"/>
        <v>3.9634691811841198E-2</v>
      </c>
      <c r="CS1033" s="119"/>
      <c r="CT1033" s="177">
        <f t="shared" si="3047"/>
        <v>7.2033120173361394E-3</v>
      </c>
      <c r="CU1033" s="177">
        <f t="shared" si="3056"/>
        <v>6.9960758282886617E-3</v>
      </c>
      <c r="CV1033" s="119">
        <f>VLOOKUP($H1033,RoR!$E:$F,2,FALSE)</f>
        <v>4.6391666666666664E-2</v>
      </c>
      <c r="CW1033" s="177">
        <v>2.0840920205183799E-2</v>
      </c>
      <c r="CX1033" s="177">
        <f t="shared" si="3054"/>
        <v>2.5550746461482865E-2</v>
      </c>
      <c r="CY1033" s="177">
        <f t="shared" si="3057"/>
        <v>2.3905865780244964E-2</v>
      </c>
      <c r="CZ1033" s="177">
        <f t="shared" si="3058"/>
        <v>2.4810540821321614E-2</v>
      </c>
      <c r="DA1033" s="187">
        <f t="shared" si="3048"/>
        <v>0.84681249999999997</v>
      </c>
      <c r="DB1033" s="188">
        <f t="shared" si="3049"/>
        <v>1.1054151524782025</v>
      </c>
      <c r="DC1033" s="188">
        <f t="shared" si="3050"/>
        <v>0.43611011316687626</v>
      </c>
      <c r="DD1033" s="188">
        <f t="shared" si="3051"/>
        <v>0.83698442246886229</v>
      </c>
      <c r="DE1033" s="188">
        <f t="shared" si="3052"/>
        <v>0.40349573304423936</v>
      </c>
      <c r="DF1033" s="189">
        <f>INDEX('State Tax Lookup'!$D$7:$Z$91,MATCH(Calculation!$C1033,'State Tax Lookup'!$B$7:$B$91,0),MATCH($H1033,'State Tax Lookup'!$D$6:$Z$6,0))</f>
        <v>0.40849999999999997</v>
      </c>
      <c r="DG1033" s="189">
        <v>0.375</v>
      </c>
      <c r="DH1033" s="190">
        <f t="shared" si="3055"/>
        <v>20.896558323351837</v>
      </c>
      <c r="DI1033" s="190">
        <v>20.565848111464984</v>
      </c>
      <c r="DJ1033" s="177"/>
      <c r="DK1033" s="189">
        <f>VLOOKUP($H1033,RoR!$E:$F,2,FALSE)</f>
        <v>4.6391666666666664E-2</v>
      </c>
      <c r="DL1033" s="191">
        <f>HLOOKUP($H1033,'GDP-PI'!$D$8:$CQ$11,3,FALSE)</f>
        <v>2.0840920205183799E-2</v>
      </c>
      <c r="DM1033" s="189">
        <f>VLOOKUP(H1033,'HW Dx Data'!$E:$F,2,FALSE)</f>
        <v>611.61109612283201</v>
      </c>
      <c r="DN1033" s="183">
        <f>VLOOKUP(H1033,'ECI - Input Price'!$G$17:$H$37,2,FALSE)</f>
        <v>114.3</v>
      </c>
      <c r="DO1033" s="177">
        <f t="shared" ref="DO1033" si="3093">LN(DN1033/DN1032)</f>
        <v>2.1444394205745516E-2</v>
      </c>
      <c r="DP1033" s="183">
        <f>HLOOKUP(H1033,'GDP-PI'!$8:$9,2,FALSE)</f>
        <v>98.111999999999995</v>
      </c>
      <c r="DQ1033" s="177">
        <f t="shared" ref="DQ1033" si="3094">LN(DP1033/DP1032)</f>
        <v>2.0626719212849295E-2</v>
      </c>
    </row>
    <row r="1034" spans="1:121" s="167" customFormat="1" ht="21" x14ac:dyDescent="0.35">
      <c r="A1034" s="167" t="s">
        <v>102</v>
      </c>
      <c r="B1034" s="167" t="s">
        <v>102</v>
      </c>
      <c r="C1034" s="167">
        <v>4063023</v>
      </c>
      <c r="D1034" s="168" t="s">
        <v>145</v>
      </c>
      <c r="E1034" s="168" t="s">
        <v>126</v>
      </c>
      <c r="F1034" s="198"/>
      <c r="G1034" s="167" t="s">
        <v>18</v>
      </c>
      <c r="H1034" s="169">
        <v>2012</v>
      </c>
      <c r="I1034" s="170"/>
      <c r="J1034" s="166">
        <f>IFERROR(INDEX('Labor Expenditures'!$F$7:$X$91,MATCH($C1034,'Labor Expenditures'!$D$7:$D$91,0),MATCH($G1034,'Labor Expenditures'!$F$5:$X$5,0)),"NA")</f>
        <v>23749.22718317786</v>
      </c>
      <c r="K1034" s="166">
        <f t="shared" si="3061"/>
        <v>203.85602732341511</v>
      </c>
      <c r="L1034" s="172">
        <f t="shared" si="3068"/>
        <v>5.4953152263324923E-2</v>
      </c>
      <c r="M1034" s="172">
        <f t="shared" si="3072"/>
        <v>7.0704795536782113E-4</v>
      </c>
      <c r="N1034" s="196"/>
      <c r="O1034" s="172"/>
      <c r="P1034" s="166">
        <f>IFERROR(INDEX('Non-Labor Expenditures'!$F$7:$AB$91,MATCH($C1034,'Non-Labor Expenditures'!$D$7:$D$91,0),MATCH($G1034,'Non-Labor Expenditures'!$F$5:$AB$5,0)),"NA")</f>
        <v>34393.316705015095</v>
      </c>
      <c r="Q1034" s="166">
        <f t="shared" si="3062"/>
        <v>343.93316705015093</v>
      </c>
      <c r="R1034" s="172">
        <f t="shared" si="3073"/>
        <v>5.495735172957248E-2</v>
      </c>
      <c r="S1034" s="172">
        <f t="shared" si="3078"/>
        <v>7.0710198728230974E-4</v>
      </c>
      <c r="T1034" s="172"/>
      <c r="U1034" s="172"/>
      <c r="V1034" s="166">
        <f t="shared" si="3042"/>
        <v>79353.048462311534</v>
      </c>
      <c r="W1034" s="170"/>
      <c r="X1034" s="174">
        <v>3691.1033701149604</v>
      </c>
      <c r="Y1034" s="175">
        <v>5.0123040363235713E-2</v>
      </c>
      <c r="Z1034" s="175">
        <f t="shared" si="3079"/>
        <v>6.4490191637826041E-4</v>
      </c>
      <c r="AA1034" s="175"/>
      <c r="AB1034" s="175"/>
      <c r="AC1034" s="170">
        <f t="shared" si="3053"/>
        <v>137495.59235050448</v>
      </c>
      <c r="AD1034" s="175">
        <f t="shared" si="3074"/>
        <v>9.925238457519886E-2</v>
      </c>
      <c r="AE1034" s="170"/>
      <c r="AF1034" s="170"/>
      <c r="AG1034" s="121">
        <f t="shared" si="3075"/>
        <v>387.91799108607677</v>
      </c>
      <c r="AH1034" s="119">
        <f>+AZ1034/$BB$50</f>
        <v>9.7891015358603905E-3</v>
      </c>
      <c r="AI1034" s="119">
        <f>+AZ1034/$BC$50</f>
        <v>4.1772774585766628E-2</v>
      </c>
      <c r="AJ1034" s="176">
        <f t="shared" si="3080"/>
        <v>3.7973686023285915</v>
      </c>
      <c r="AK1034" s="176">
        <f t="shared" si="3081"/>
        <v>16.204410799402112</v>
      </c>
      <c r="AL1034" s="120">
        <f t="shared" si="3063"/>
        <v>0.17272718912062437</v>
      </c>
      <c r="AM1034" s="120">
        <f t="shared" si="3064"/>
        <v>0.25014123083552725</v>
      </c>
      <c r="AN1034" s="120">
        <f t="shared" si="3065"/>
        <v>0.57713158004384846</v>
      </c>
      <c r="AO1034" s="120">
        <f t="shared" si="3069"/>
        <v>5.2192704728534364E-2</v>
      </c>
      <c r="AP1034" s="173">
        <f t="shared" si="3085"/>
        <v>123.83248014708988</v>
      </c>
      <c r="AQ1034" s="175">
        <f t="shared" si="3086"/>
        <v>5.2192704728534378E-2</v>
      </c>
      <c r="AR1034" s="177">
        <f>+AC1034/$AE$50</f>
        <v>1.2866376654423453E-2</v>
      </c>
      <c r="AS1034" s="177">
        <f t="shared" si="3082"/>
        <v>6.7153099765043128E-4</v>
      </c>
      <c r="AT1034" s="177"/>
      <c r="AU1034" s="177"/>
      <c r="AV1034" s="177"/>
      <c r="AW1034" s="190"/>
      <c r="AX1034" s="120"/>
      <c r="AY1034" s="120"/>
      <c r="AZ1034" s="118">
        <f>IFERROR(INDEX('Total Customers'!$F$7:$AB$91,MATCH($C1034,'Total Customers'!$D$7:$D$91,0),MATCH($G1034,'Total Customers'!$F$5:$AB$5,0)),"NA")</f>
        <v>354445</v>
      </c>
      <c r="BA1034" s="119">
        <f t="shared" si="3043"/>
        <v>1.589395623286707E-2</v>
      </c>
      <c r="BB1034" s="119"/>
      <c r="BC1034" s="121">
        <v>8485072</v>
      </c>
      <c r="BD1034" s="119"/>
      <c r="BE1034" s="119"/>
      <c r="BF1034" s="119"/>
      <c r="BG1034" s="173"/>
      <c r="BH1034" s="173"/>
      <c r="BI1034" s="173"/>
      <c r="BJ1034" s="173"/>
      <c r="BK1034" s="173"/>
      <c r="BL1034" s="173"/>
      <c r="BM1034" s="173"/>
      <c r="BN1034" s="173"/>
      <c r="BO1034" s="173"/>
      <c r="BP1034" s="173"/>
      <c r="BQ1034" s="118"/>
      <c r="BR1034" s="118"/>
      <c r="BS1034" s="118">
        <f>INDEX('Dist. Plant Gas Additions'!$F$7:$AE$91,MATCH($C1034,'Dist. Plant Gas Additions'!$D$7:$D$91,0),MATCH(Calculation!$G1034,'Dist. Plant Gas Additions'!$F$5:$AE$5,0))</f>
        <v>130046</v>
      </c>
      <c r="BT1034" s="118">
        <f>INDEX('Gen. Plant Additions'!$F$7:$AE$91,MATCH($C1034,'Gen. Plant Additions'!$D$7:$D$91,0),MATCH(Calculation!$G1034,'Gen. Plant Additions'!$F$5:$AE$5,0))</f>
        <v>8035</v>
      </c>
      <c r="BU1034" s="118"/>
      <c r="BV1034" s="118"/>
      <c r="BW1034" s="118">
        <f>INDEX('Dist Plant Depreciation'!$E$7:$AD$94,MATCH($C1034,'Dist Plant Depreciation'!$D$7:$D$94,0),MATCH(Calculation!$G1034,'Dist Plant Depreciation'!$E$5:$AD$5,0))</f>
        <v>286695</v>
      </c>
      <c r="BX1034" s="118">
        <f>INDEX('Gen. Plant Depreciation'!$E$7:$AD$94,MATCH($C1034,'Gen. Plant Depreciation'!$D$7:$D$94,0),MATCH(Calculation!$G1034,'Gen. Plant Depreciation'!$E$5:$AD$5,0))</f>
        <v>19523</v>
      </c>
      <c r="BY1034" s="118"/>
      <c r="BZ1034" s="118"/>
      <c r="CA1034" s="118"/>
      <c r="CB1034" s="118"/>
      <c r="CC1034" s="118"/>
      <c r="CD1034" s="183"/>
      <c r="CE1034" s="118">
        <f>INDEX('Gross Dx Plant'!$E$7:$AD$91,MATCH($C1034,'Gross Dx Plant'!$D$7:$D$91,0),MATCH(Calculation!$G1034,'Gross Dx Plant'!$E$5:$AD$5,0))</f>
        <v>1299853</v>
      </c>
      <c r="CF1034" s="118">
        <f>INDEX('Gross Gen Plant'!$E$7:$AD$91,MATCH($C1034,'Gross Gen Plant'!$D$7:$D$91,0),MATCH(Calculation!$G1034,'Gross Gen Plant'!$E$5:$AD$5,0))</f>
        <v>50925</v>
      </c>
      <c r="CG1034" s="118">
        <f t="shared" si="3018"/>
        <v>1044560</v>
      </c>
      <c r="CH1034" s="118"/>
      <c r="CI1034" s="121">
        <v>2012</v>
      </c>
      <c r="CJ1034" s="118"/>
      <c r="CK1034" s="118"/>
      <c r="CL1034" s="118"/>
      <c r="CM1034" s="183"/>
      <c r="CN1034" s="118">
        <f t="shared" si="3044"/>
        <v>138081</v>
      </c>
      <c r="CO1034" s="118">
        <f t="shared" si="3045"/>
        <v>206.42399678918557</v>
      </c>
      <c r="CP1034" s="186">
        <v>0.9135802469135802</v>
      </c>
      <c r="CQ1034" s="118">
        <f>+CQ1020*CP1034+CO1021*CP1033+CO1022*CP1032+CO1023*CP1031+CO1024*CP1030+CO1025*CP1029+CO1026*CP1028+CO1027*CP1027+CO1028*CP1026+CO1029*CP1025+CO1030*CP1024+CO1031*CP1023+CO1032*CP1022+CO1033*CP1021+CO1034</f>
        <v>3691.1033701149604</v>
      </c>
      <c r="CR1034" s="119">
        <f t="shared" si="3046"/>
        <v>5.0123040363235713E-2</v>
      </c>
      <c r="CS1034" s="119"/>
      <c r="CT1034" s="177">
        <f t="shared" si="3047"/>
        <v>7.3988440077753705E-3</v>
      </c>
      <c r="CU1034" s="177">
        <f t="shared" si="3056"/>
        <v>7.1984820324189208E-3</v>
      </c>
      <c r="CV1034" s="119">
        <f>VLOOKUP($H1034,RoR!$E:$F,2,FALSE)</f>
        <v>3.6733333333333333E-2</v>
      </c>
      <c r="CW1034" s="177">
        <v>1.924331376386168E-2</v>
      </c>
      <c r="CX1034" s="177">
        <f t="shared" si="3054"/>
        <v>1.7490019569471653E-2</v>
      </c>
      <c r="CY1034" s="177">
        <f t="shared" si="3057"/>
        <v>2.3703459576114704E-2</v>
      </c>
      <c r="CZ1034" s="177">
        <f t="shared" si="3058"/>
        <v>6.7122682943869583E-2</v>
      </c>
      <c r="DA1034" s="187">
        <f t="shared" si="3048"/>
        <v>0.84681249999999997</v>
      </c>
      <c r="DB1034" s="188">
        <f t="shared" si="3049"/>
        <v>1.3960631020522127</v>
      </c>
      <c r="DC1034" s="188">
        <f t="shared" si="3050"/>
        <v>0.29441923774954631</v>
      </c>
      <c r="DD1034" s="188">
        <f t="shared" si="3051"/>
        <v>0.76377954189366437</v>
      </c>
      <c r="DE1034" s="188">
        <f t="shared" si="3052"/>
        <v>0.31393465103033691</v>
      </c>
      <c r="DF1034" s="189">
        <f>INDEX('State Tax Lookup'!$D$7:$Z$91,MATCH(Calculation!$C1034,'State Tax Lookup'!$B$7:$B$91,0),MATCH($H1034,'State Tax Lookup'!$D$6:$Z$6,0))</f>
        <v>0.40849999999999997</v>
      </c>
      <c r="DG1034" s="189">
        <v>0.375</v>
      </c>
      <c r="DH1034" s="190">
        <f t="shared" si="3055"/>
        <v>22.603493520272806</v>
      </c>
      <c r="DI1034" s="190">
        <v>22.300300197127868</v>
      </c>
      <c r="DJ1034" s="177"/>
      <c r="DK1034" s="189">
        <f>VLOOKUP($H1034,RoR!$E:$F,2,FALSE)</f>
        <v>3.6733333333333333E-2</v>
      </c>
      <c r="DL1034" s="191">
        <f>HLOOKUP($H1034,'GDP-PI'!$D$8:$CQ$11,3,FALSE)</f>
        <v>1.924331376386168E-2</v>
      </c>
      <c r="DM1034" s="189">
        <f>VLOOKUP(H1034,'HW Dx Data'!$E:$F,2,FALSE)</f>
        <v>668.91932211262167</v>
      </c>
      <c r="DN1034" s="183">
        <f>VLOOKUP(H1034,'ECI - Input Price'!$G$17:$H$37,2,FALSE)</f>
        <v>116.5</v>
      </c>
      <c r="DO1034" s="177">
        <f t="shared" ref="DO1034" si="3095">LN(DN1034/DN1033)</f>
        <v>1.9064702204990347E-2</v>
      </c>
      <c r="DP1034" s="183">
        <f>HLOOKUP(H1034,'GDP-PI'!$8:$9,2,FALSE)</f>
        <v>100</v>
      </c>
      <c r="DQ1034" s="177">
        <f t="shared" ref="DQ1034" si="3096">LN(DP1034/DP1033)</f>
        <v>1.9060502738742411E-2</v>
      </c>
    </row>
    <row r="1035" spans="1:121" s="167" customFormat="1" ht="21" x14ac:dyDescent="0.35">
      <c r="A1035" s="167" t="s">
        <v>102</v>
      </c>
      <c r="B1035" s="167" t="s">
        <v>102</v>
      </c>
      <c r="C1035" s="167">
        <v>4063023</v>
      </c>
      <c r="D1035" s="168" t="s">
        <v>145</v>
      </c>
      <c r="E1035" s="168" t="s">
        <v>126</v>
      </c>
      <c r="F1035" s="198"/>
      <c r="G1035" s="167" t="s">
        <v>19</v>
      </c>
      <c r="H1035" s="169">
        <v>2013</v>
      </c>
      <c r="I1035" s="170"/>
      <c r="J1035" s="166">
        <f>IFERROR(INDEX('Labor Expenditures'!$F$7:$X$91,MATCH($C1035,'Labor Expenditures'!$D$7:$D$91,0),MATCH($G1035,'Labor Expenditures'!$F$5:$X$5,0)),"NA")</f>
        <v>24119.711213013023</v>
      </c>
      <c r="K1035" s="166">
        <f t="shared" si="3061"/>
        <v>203.1561272942769</v>
      </c>
      <c r="L1035" s="172">
        <f t="shared" si="3068"/>
        <v>-3.4392128641682744E-3</v>
      </c>
      <c r="M1035" s="172">
        <f t="shared" si="3072"/>
        <v>-4.3799512502628029E-5</v>
      </c>
      <c r="N1035" s="196"/>
      <c r="O1035" s="172"/>
      <c r="P1035" s="166">
        <f>IFERROR(INDEX('Non-Labor Expenditures'!$F$7:$AB$91,MATCH($C1035,'Non-Labor Expenditures'!$D$7:$D$91,0),MATCH($G1035,'Non-Labor Expenditures'!$F$5:$AB$5,0)),"NA")</f>
        <v>34929.846777088213</v>
      </c>
      <c r="Q1035" s="166">
        <f t="shared" si="3062"/>
        <v>343.21329603223069</v>
      </c>
      <c r="R1035" s="172">
        <f t="shared" si="3073"/>
        <v>-2.0952484512481505E-3</v>
      </c>
      <c r="S1035" s="172">
        <f t="shared" si="3078"/>
        <v>-2.6683681516976671E-5</v>
      </c>
      <c r="T1035" s="172"/>
      <c r="U1035" s="172"/>
      <c r="V1035" s="166">
        <f t="shared" si="3042"/>
        <v>82119.917521604846</v>
      </c>
      <c r="W1035" s="170"/>
      <c r="X1035" s="174">
        <v>3865.069474074654</v>
      </c>
      <c r="Y1035" s="175">
        <v>4.6054227411565188E-2</v>
      </c>
      <c r="Z1035" s="175">
        <f t="shared" si="3079"/>
        <v>5.8651580724403466E-4</v>
      </c>
      <c r="AA1035" s="175"/>
      <c r="AB1035" s="175"/>
      <c r="AC1035" s="170">
        <f t="shared" si="3053"/>
        <v>141169.47551170608</v>
      </c>
      <c r="AD1035" s="175">
        <f t="shared" si="3074"/>
        <v>2.6369261633368474E-2</v>
      </c>
      <c r="AE1035" s="170"/>
      <c r="AF1035" s="170"/>
      <c r="AG1035" s="121">
        <f t="shared" si="3075"/>
        <v>392.45357513470873</v>
      </c>
      <c r="AH1035" s="119">
        <f>+AZ1035/$BB$51</f>
        <v>9.8709964328488557E-3</v>
      </c>
      <c r="AI1035" s="119">
        <f>+AZ1035/$BC$51</f>
        <v>4.2145674224752634E-2</v>
      </c>
      <c r="AJ1035" s="176">
        <f t="shared" si="3080"/>
        <v>3.8739078402134903</v>
      </c>
      <c r="AK1035" s="176">
        <f t="shared" si="3081"/>
        <v>16.540220525966916</v>
      </c>
      <c r="AL1035" s="120">
        <f t="shared" si="3063"/>
        <v>0.17085642009779206</v>
      </c>
      <c r="AM1035" s="120">
        <f t="shared" si="3064"/>
        <v>0.24743200787901032</v>
      </c>
      <c r="AN1035" s="120">
        <f t="shared" si="3065"/>
        <v>0.58171157202319757</v>
      </c>
      <c r="AO1035" s="120">
        <f t="shared" si="3069"/>
        <v>2.5572714666545128E-2</v>
      </c>
      <c r="AP1035" s="173">
        <f t="shared" si="3085"/>
        <v>127.0400511766757</v>
      </c>
      <c r="AQ1035" s="175">
        <f t="shared" si="3086"/>
        <v>2.5572714666545156E-2</v>
      </c>
      <c r="AR1035" s="177">
        <f>+AC1035/$AE$51</f>
        <v>1.2735330505115544E-2</v>
      </c>
      <c r="AS1035" s="177">
        <f t="shared" si="3082"/>
        <v>3.2567697319146823E-4</v>
      </c>
      <c r="AT1035" s="177"/>
      <c r="AU1035" s="177"/>
      <c r="AV1035" s="177"/>
      <c r="AW1035" s="190"/>
      <c r="AX1035" s="120"/>
      <c r="AY1035" s="120"/>
      <c r="AZ1035" s="118">
        <f>IFERROR(INDEX('Total Customers'!$F$7:$AB$91,MATCH($C1035,'Total Customers'!$D$7:$D$91,0),MATCH($G1035,'Total Customers'!$F$5:$AB$5,0)),"NA")</f>
        <v>359710</v>
      </c>
      <c r="BA1035" s="119">
        <f t="shared" si="3043"/>
        <v>1.4744965420809572E-2</v>
      </c>
      <c r="BB1035" s="119"/>
      <c r="BC1035" s="121">
        <v>8534921</v>
      </c>
      <c r="BD1035" s="119"/>
      <c r="BE1035" s="119"/>
      <c r="BF1035" s="119"/>
      <c r="BG1035" s="173"/>
      <c r="BH1035" s="173"/>
      <c r="BI1035" s="173"/>
      <c r="BJ1035" s="173"/>
      <c r="BK1035" s="173"/>
      <c r="BL1035" s="173"/>
      <c r="BM1035" s="173"/>
      <c r="BN1035" s="173"/>
      <c r="BO1035" s="173"/>
      <c r="BP1035" s="173"/>
      <c r="BQ1035" s="118"/>
      <c r="BR1035" s="118"/>
      <c r="BS1035" s="118">
        <f>INDEX('Dist. Plant Gas Additions'!$F$7:$AE$91,MATCH($C1035,'Dist. Plant Gas Additions'!$D$7:$D$91,0),MATCH(Calculation!$G1035,'Dist. Plant Gas Additions'!$F$5:$AE$5,0))</f>
        <v>126662</v>
      </c>
      <c r="BT1035" s="118">
        <f>INDEX('Gen. Plant Additions'!$F$7:$AE$91,MATCH($C1035,'Gen. Plant Additions'!$D$7:$D$91,0),MATCH(Calculation!$G1035,'Gen. Plant Additions'!$F$5:$AE$5,0))</f>
        <v>7254</v>
      </c>
      <c r="BU1035" s="118"/>
      <c r="BV1035" s="118"/>
      <c r="BW1035" s="118">
        <f>INDEX('Dist Plant Depreciation'!$E$7:$AD$94,MATCH($C1035,'Dist Plant Depreciation'!$D$7:$D$94,0),MATCH(Calculation!$G1035,'Dist Plant Depreciation'!$E$5:$AD$5,0))</f>
        <v>300958</v>
      </c>
      <c r="BX1035" s="118">
        <f>INDEX('Gen. Plant Depreciation'!$E$7:$AD$94,MATCH($C1035,'Gen. Plant Depreciation'!$D$7:$D$94,0),MATCH(Calculation!$G1035,'Gen. Plant Depreciation'!$E$5:$AD$5,0))</f>
        <v>19148</v>
      </c>
      <c r="BY1035" s="118"/>
      <c r="BZ1035" s="118"/>
      <c r="CA1035" s="118"/>
      <c r="CB1035" s="118"/>
      <c r="CC1035" s="118"/>
      <c r="CD1035" s="183"/>
      <c r="CE1035" s="118">
        <f>INDEX('Gross Dx Plant'!$E$7:$AD$91,MATCH($C1035,'Gross Dx Plant'!$D$7:$D$91,0),MATCH(Calculation!$G1035,'Gross Dx Plant'!$E$5:$AD$5,0))</f>
        <v>1417938</v>
      </c>
      <c r="CF1035" s="118">
        <f>INDEX('Gross Gen Plant'!$E$7:$AD$91,MATCH($C1035,'Gross Gen Plant'!$D$7:$D$91,0),MATCH(Calculation!$G1035,'Gross Gen Plant'!$E$5:$AD$5,0))</f>
        <v>53162</v>
      </c>
      <c r="CG1035" s="118">
        <f t="shared" si="3018"/>
        <v>1150994</v>
      </c>
      <c r="CH1035" s="118"/>
      <c r="CI1035" s="121">
        <v>2013</v>
      </c>
      <c r="CJ1035" s="118"/>
      <c r="CK1035" s="118"/>
      <c r="CL1035" s="118"/>
      <c r="CM1035" s="183"/>
      <c r="CN1035" s="118">
        <f t="shared" si="3044"/>
        <v>133916</v>
      </c>
      <c r="CO1035" s="118">
        <f t="shared" si="3045"/>
        <v>201.90926791814158</v>
      </c>
      <c r="CP1035" s="186">
        <v>0.90566037735849059</v>
      </c>
      <c r="CQ1035" s="118">
        <f>+CQ1020*CP1035+CO1021*CP1034+CO1022*CP1033+CO1023*CP1032+CO1024*CP1031+CO1025*CP1030+CO1026*CP1029+CO1027*CP1028+CO1028*CP1027+CO1029*CP1026+CO1030*CP1025+CO1031*CP1024+CO1032*CP1023+CO1033*CP1022+CO1034*CP1021+CO1035</f>
        <v>3865.069474074654</v>
      </c>
      <c r="CR1035" s="119">
        <f t="shared" si="3046"/>
        <v>4.6054227411565188E-2</v>
      </c>
      <c r="CS1035" s="119"/>
      <c r="CT1035" s="177">
        <f t="shared" si="3047"/>
        <v>7.5704094837034403E-3</v>
      </c>
      <c r="CU1035" s="177">
        <f t="shared" si="3056"/>
        <v>7.3908551696049837E-3</v>
      </c>
      <c r="CV1035" s="119">
        <f>VLOOKUP($H1035,RoR!$E:$F,2,FALSE)</f>
        <v>4.2350000000000006E-2</v>
      </c>
      <c r="CW1035" s="177">
        <v>1.7730000000000024E-2</v>
      </c>
      <c r="CX1035" s="177">
        <f t="shared" si="3054"/>
        <v>2.4619999999999982E-2</v>
      </c>
      <c r="CY1035" s="177">
        <f t="shared" si="3057"/>
        <v>2.351108643892864E-2</v>
      </c>
      <c r="CZ1035" s="177">
        <f t="shared" si="3058"/>
        <v>5.3376742735721204E-2</v>
      </c>
      <c r="DA1035" s="187">
        <f t="shared" si="3048"/>
        <v>0.84681249999999997</v>
      </c>
      <c r="DB1035" s="188">
        <f t="shared" si="3049"/>
        <v>1.2109103018193925</v>
      </c>
      <c r="DC1035" s="188">
        <f t="shared" si="3050"/>
        <v>0.38468122786304604</v>
      </c>
      <c r="DD1035" s="188">
        <f t="shared" si="3051"/>
        <v>0.80969194503422559</v>
      </c>
      <c r="DE1035" s="188">
        <f t="shared" si="3052"/>
        <v>0.37716621754800816</v>
      </c>
      <c r="DF1035" s="189">
        <f>INDEX('State Tax Lookup'!$D$7:$Z$91,MATCH(Calculation!$C1035,'State Tax Lookup'!$B$7:$B$91,0),MATCH($H1035,'State Tax Lookup'!$D$6:$Z$6,0))</f>
        <v>0.40849999999999997</v>
      </c>
      <c r="DG1035" s="189">
        <v>0.375</v>
      </c>
      <c r="DH1035" s="190">
        <f t="shared" si="3055"/>
        <v>22.24806766087594</v>
      </c>
      <c r="DI1035" s="190">
        <v>21.964421746417901</v>
      </c>
      <c r="DJ1035" s="177"/>
      <c r="DK1035" s="189">
        <f>VLOOKUP($H1035,RoR!$E:$F,2,FALSE)</f>
        <v>4.2350000000000006E-2</v>
      </c>
      <c r="DL1035" s="191">
        <f>HLOOKUP($H1035,'GDP-PI'!$D$8:$CQ$11,3,FALSE)</f>
        <v>1.7730000000000024E-2</v>
      </c>
      <c r="DM1035" s="189">
        <f>VLOOKUP(H1035,'HW Dx Data'!$E:$F,2,FALSE)</f>
        <v>663.24840548821396</v>
      </c>
      <c r="DN1035" s="183">
        <f>VLOOKUP(H1035,'ECI - Input Price'!$G$17:$H$37,2,FALSE)</f>
        <v>118.72499999999999</v>
      </c>
      <c r="DO1035" s="177">
        <f t="shared" ref="DO1035" si="3097">LN(DN1035/DN1034)</f>
        <v>1.8918621429430321E-2</v>
      </c>
      <c r="DP1035" s="183">
        <f>HLOOKUP(H1035,'GDP-PI'!$8:$9,2,FALSE)</f>
        <v>101.773</v>
      </c>
      <c r="DQ1035" s="177">
        <f t="shared" ref="DQ1035" si="3098">LN(DP1035/DP1034)</f>
        <v>1.7574657016510519E-2</v>
      </c>
    </row>
    <row r="1036" spans="1:121" s="167" customFormat="1" ht="21" x14ac:dyDescent="0.35">
      <c r="A1036" s="167" t="s">
        <v>102</v>
      </c>
      <c r="B1036" s="167" t="s">
        <v>102</v>
      </c>
      <c r="C1036" s="167">
        <v>4063023</v>
      </c>
      <c r="D1036" s="168" t="s">
        <v>145</v>
      </c>
      <c r="E1036" s="168" t="s">
        <v>126</v>
      </c>
      <c r="F1036" s="198"/>
      <c r="G1036" s="167" t="s">
        <v>20</v>
      </c>
      <c r="H1036" s="169">
        <v>2014</v>
      </c>
      <c r="I1036" s="170"/>
      <c r="J1036" s="166">
        <f>IFERROR(INDEX('Labor Expenditures'!$F$7:$X$91,MATCH($C1036,'Labor Expenditures'!$D$7:$D$91,0),MATCH($G1036,'Labor Expenditures'!$F$5:$X$5,0)),"NA")</f>
        <v>25078.813155402575</v>
      </c>
      <c r="K1036" s="166">
        <f t="shared" si="3061"/>
        <v>206.92090062213344</v>
      </c>
      <c r="L1036" s="172">
        <f t="shared" si="3068"/>
        <v>1.8361814231766877E-2</v>
      </c>
      <c r="M1036" s="172">
        <f t="shared" si="3072"/>
        <v>2.4127590359487801E-4</v>
      </c>
      <c r="N1036" s="196"/>
      <c r="O1036" s="172"/>
      <c r="P1036" s="166">
        <f>IFERROR(INDEX('Non-Labor Expenditures'!$F$7:$AB$91,MATCH($C1036,'Non-Labor Expenditures'!$D$7:$D$91,0),MATCH($G1036,'Non-Labor Expenditures'!$F$5:$AB$5,0)),"NA")</f>
        <v>36318.805525201256</v>
      </c>
      <c r="Q1036" s="166">
        <f t="shared" si="3062"/>
        <v>350.40865172365102</v>
      </c>
      <c r="R1036" s="172">
        <f t="shared" si="3073"/>
        <v>2.0747941533539583E-2</v>
      </c>
      <c r="S1036" s="172">
        <f t="shared" si="3078"/>
        <v>2.7262983265443692E-4</v>
      </c>
      <c r="T1036" s="172"/>
      <c r="U1036" s="172"/>
      <c r="V1036" s="166">
        <f t="shared" si="3042"/>
        <v>88134.05599237424</v>
      </c>
      <c r="W1036" s="170"/>
      <c r="X1036" s="174">
        <v>4331.8556189923565</v>
      </c>
      <c r="Y1036" s="175">
        <v>0.11401634257533287</v>
      </c>
      <c r="Z1036" s="175">
        <f t="shared" si="3079"/>
        <v>1.4981850775863932E-3</v>
      </c>
      <c r="AA1036" s="175"/>
      <c r="AB1036" s="175"/>
      <c r="AC1036" s="170">
        <f t="shared" si="3053"/>
        <v>149531.67467297806</v>
      </c>
      <c r="AD1036" s="175">
        <f t="shared" si="3074"/>
        <v>5.7547118518063781E-2</v>
      </c>
      <c r="AE1036" s="170"/>
      <c r="AF1036" s="170"/>
      <c r="AG1036" s="121">
        <f t="shared" si="3075"/>
        <v>410.8317778323613</v>
      </c>
      <c r="AH1036" s="119">
        <f>+AZ1036/$BB$52</f>
        <v>9.9343634610354146E-3</v>
      </c>
      <c r="AI1036" s="119">
        <f>+AZ1036/$BC$52</f>
        <v>4.2323652513781208E-2</v>
      </c>
      <c r="AJ1036" s="176">
        <f t="shared" si="3080"/>
        <v>4.081352202330029</v>
      </c>
      <c r="AK1036" s="176">
        <f t="shared" si="3081"/>
        <v>17.38790140659582</v>
      </c>
      <c r="AL1036" s="120">
        <f t="shared" si="3063"/>
        <v>0.16771572451287861</v>
      </c>
      <c r="AM1036" s="120">
        <f t="shared" si="3064"/>
        <v>0.2428836940710358</v>
      </c>
      <c r="AN1036" s="120">
        <f t="shared" si="3065"/>
        <v>0.58940058141608564</v>
      </c>
      <c r="AO1036" s="120">
        <f t="shared" si="3069"/>
        <v>7.4957882410548571E-2</v>
      </c>
      <c r="AP1036" s="173">
        <f t="shared" si="3085"/>
        <v>136.92869046309218</v>
      </c>
      <c r="AQ1036" s="175">
        <f t="shared" si="3086"/>
        <v>7.495788241054864E-2</v>
      </c>
      <c r="AR1036" s="177">
        <f>+AC1036/$AE$52</f>
        <v>1.3140090654955999E-2</v>
      </c>
      <c r="AS1036" s="177">
        <f t="shared" si="3082"/>
        <v>9.8495337017814096E-4</v>
      </c>
      <c r="AT1036" s="177"/>
      <c r="AU1036" s="177"/>
      <c r="AV1036" s="177"/>
      <c r="AW1036" s="190"/>
      <c r="AX1036" s="120"/>
      <c r="AY1036" s="120"/>
      <c r="AZ1036" s="118">
        <f>IFERROR(INDEX('Total Customers'!$F$7:$AB$91,MATCH($C1036,'Total Customers'!$D$7:$D$91,0),MATCH($G1036,'Total Customers'!$F$5:$AB$5,0)),"NA")</f>
        <v>363973</v>
      </c>
      <c r="BA1036" s="119">
        <f t="shared" si="3043"/>
        <v>1.1781537801031E-2</v>
      </c>
      <c r="BB1036" s="119"/>
      <c r="BC1036" s="121">
        <v>8599754</v>
      </c>
      <c r="BD1036" s="119"/>
      <c r="BE1036" s="119"/>
      <c r="BF1036" s="119"/>
      <c r="BG1036" s="173"/>
      <c r="BH1036" s="173"/>
      <c r="BI1036" s="173"/>
      <c r="BJ1036" s="173"/>
      <c r="BK1036" s="173"/>
      <c r="BL1036" s="173"/>
      <c r="BM1036" s="173"/>
      <c r="BN1036" s="173"/>
      <c r="BO1036" s="173"/>
      <c r="BP1036" s="173"/>
      <c r="BQ1036" s="118"/>
      <c r="BR1036" s="118"/>
      <c r="BS1036" s="118">
        <f>INDEX('Dist. Plant Gas Additions'!$F$7:$AE$91,MATCH($C1036,'Dist. Plant Gas Additions'!$D$7:$D$91,0),MATCH(Calculation!$G1036,'Dist. Plant Gas Additions'!$F$5:$AE$5,0))</f>
        <v>142763</v>
      </c>
      <c r="BT1036" s="118">
        <f>INDEX('Gen. Plant Additions'!$F$7:$AE$91,MATCH($C1036,'Gen. Plant Additions'!$D$7:$D$91,0),MATCH(Calculation!$G1036,'Gen. Plant Additions'!$F$5:$AE$5,0))</f>
        <v>197253</v>
      </c>
      <c r="BU1036" s="118"/>
      <c r="BV1036" s="118"/>
      <c r="BW1036" s="118">
        <f>INDEX('Dist Plant Depreciation'!$E$7:$AD$94,MATCH($C1036,'Dist Plant Depreciation'!$D$7:$D$94,0),MATCH(Calculation!$G1036,'Dist Plant Depreciation'!$E$5:$AD$5,0))</f>
        <v>312399</v>
      </c>
      <c r="BX1036" s="118">
        <f>INDEX('Gen. Plant Depreciation'!$E$7:$AD$94,MATCH($C1036,'Gen. Plant Depreciation'!$D$7:$D$94,0),MATCH(Calculation!$G1036,'Gen. Plant Depreciation'!$E$5:$AD$5,0))</f>
        <v>24046</v>
      </c>
      <c r="BY1036" s="118"/>
      <c r="BZ1036" s="118"/>
      <c r="CA1036" s="118"/>
      <c r="CB1036" s="118"/>
      <c r="CC1036" s="118"/>
      <c r="CD1036" s="183"/>
      <c r="CE1036" s="118">
        <f>INDEX('Gross Dx Plant'!$E$7:$AD$91,MATCH($C1036,'Gross Dx Plant'!$D$7:$D$91,0),MATCH(Calculation!$G1036,'Gross Dx Plant'!$E$5:$AD$5,0))</f>
        <v>1547214</v>
      </c>
      <c r="CF1036" s="118">
        <f>INDEX('Gross Gen Plant'!$E$7:$AD$91,MATCH($C1036,'Gross Gen Plant'!$D$7:$D$91,0),MATCH(Calculation!$G1036,'Gross Gen Plant'!$E$5:$AD$5,0))</f>
        <v>103567</v>
      </c>
      <c r="CG1036" s="118">
        <f t="shared" si="3018"/>
        <v>1314336</v>
      </c>
      <c r="CH1036" s="118"/>
      <c r="CI1036" s="121">
        <v>2014</v>
      </c>
      <c r="CJ1036" s="118"/>
      <c r="CK1036" s="118"/>
      <c r="CL1036" s="118"/>
      <c r="CM1036" s="183"/>
      <c r="CN1036" s="118">
        <f t="shared" si="3044"/>
        <v>340016</v>
      </c>
      <c r="CO1036" s="118">
        <f t="shared" si="3045"/>
        <v>496.75869767338918</v>
      </c>
      <c r="CP1036" s="186">
        <v>0.89743589743589747</v>
      </c>
      <c r="CQ1036" s="118">
        <f>+CQ1020*CP1036+CO1021*CP1035+CO1022*CP1034+CO1023*CP1033+CO1024*CP1032+CO1025*CP1031+CO1026*CP1030+CO1027*CP1029+CO1028*CP1028+CO1029*CP1027+CO1030*CP1026+CO1031*CP1025+CO1032*CP1024+CO1033*CP1023+CO1034*CP1022+CO1035*CP1021+CO1036</f>
        <v>4331.8556189923565</v>
      </c>
      <c r="CR1036" s="119">
        <f t="shared" si="3046"/>
        <v>0.11401634257533287</v>
      </c>
      <c r="CS1036" s="119"/>
      <c r="CT1036" s="177">
        <f t="shared" si="3047"/>
        <v>7.7547254859791099E-3</v>
      </c>
      <c r="CU1036" s="177">
        <f t="shared" si="3056"/>
        <v>7.5746596591526397E-3</v>
      </c>
      <c r="CV1036" s="119">
        <f>VLOOKUP($H1036,RoR!$E:$F,2,FALSE)</f>
        <v>4.1625000000000002E-2</v>
      </c>
      <c r="CW1036" s="177">
        <v>1.841352814597208E-2</v>
      </c>
      <c r="CX1036" s="177">
        <f t="shared" si="3054"/>
        <v>2.3211471854027922E-2</v>
      </c>
      <c r="CY1036" s="177">
        <f t="shared" si="3057"/>
        <v>2.3327281949380985E-2</v>
      </c>
      <c r="CZ1036" s="177">
        <f t="shared" si="3058"/>
        <v>3.9072621432650924E-2</v>
      </c>
      <c r="DA1036" s="187">
        <f t="shared" si="3048"/>
        <v>0.84681249999999997</v>
      </c>
      <c r="DB1036" s="188">
        <f t="shared" si="3049"/>
        <v>1.2320012320012319</v>
      </c>
      <c r="DC1036" s="188">
        <f t="shared" si="3050"/>
        <v>0.37439939939939942</v>
      </c>
      <c r="DD1036" s="188">
        <f t="shared" si="3051"/>
        <v>0.80432100613819935</v>
      </c>
      <c r="DE1036" s="188">
        <f t="shared" si="3052"/>
        <v>0.37100152660040037</v>
      </c>
      <c r="DF1036" s="189">
        <f>INDEX('State Tax Lookup'!$D$7:$Z$91,MATCH(Calculation!$C1036,'State Tax Lookup'!$B$7:$B$91,0),MATCH($H1036,'State Tax Lookup'!$D$6:$Z$6,0))</f>
        <v>0.40849999999999997</v>
      </c>
      <c r="DG1036" s="189">
        <v>0.375</v>
      </c>
      <c r="DH1036" s="190">
        <f t="shared" si="3055"/>
        <v>22.802709390747662</v>
      </c>
      <c r="DI1036" s="190">
        <v>22.497344573846181</v>
      </c>
      <c r="DJ1036" s="177"/>
      <c r="DK1036" s="189">
        <f>VLOOKUP($H1036,RoR!$E:$F,2,FALSE)</f>
        <v>4.1625000000000002E-2</v>
      </c>
      <c r="DL1036" s="191">
        <f>HLOOKUP($H1036,'GDP-PI'!$D$8:$CQ$11,3,FALSE)</f>
        <v>1.841352814597208E-2</v>
      </c>
      <c r="DM1036" s="189">
        <f>VLOOKUP(H1036,'HW Dx Data'!$E:$F,2,FALSE)</f>
        <v>684.46914285042885</v>
      </c>
      <c r="DN1036" s="183">
        <f>VLOOKUP(H1036,'ECI - Input Price'!$G$17:$H$37,2,FALSE)</f>
        <v>121.2</v>
      </c>
      <c r="DO1036" s="177">
        <f t="shared" ref="DO1036" si="3099">LN(DN1036/DN1035)</f>
        <v>2.0632179200028689E-2</v>
      </c>
      <c r="DP1036" s="183">
        <f>HLOOKUP(H1036,'GDP-PI'!$8:$9,2,FALSE)</f>
        <v>103.64700000000001</v>
      </c>
      <c r="DQ1036" s="177">
        <f t="shared" ref="DQ1036" si="3100">LN(DP1036/DP1035)</f>
        <v>1.8246051898256087E-2</v>
      </c>
    </row>
    <row r="1037" spans="1:121" s="167" customFormat="1" ht="21" x14ac:dyDescent="0.35">
      <c r="A1037" s="167" t="s">
        <v>102</v>
      </c>
      <c r="B1037" s="167" t="s">
        <v>102</v>
      </c>
      <c r="C1037" s="167">
        <v>4063023</v>
      </c>
      <c r="D1037" s="168" t="s">
        <v>145</v>
      </c>
      <c r="E1037" s="168" t="s">
        <v>126</v>
      </c>
      <c r="F1037" s="198"/>
      <c r="G1037" s="167" t="s">
        <v>21</v>
      </c>
      <c r="H1037" s="169">
        <v>2015</v>
      </c>
      <c r="I1037" s="170"/>
      <c r="J1037" s="166">
        <f>IFERROR(INDEX('Labor Expenditures'!$F$7:$X$91,MATCH($C1037,'Labor Expenditures'!$D$7:$D$91,0),MATCH($G1037,'Labor Expenditures'!$F$5:$X$5,0)),"NA")</f>
        <v>26551.324088750946</v>
      </c>
      <c r="K1037" s="166">
        <f t="shared" si="3061"/>
        <v>214.55615425253291</v>
      </c>
      <c r="L1037" s="172">
        <f t="shared" si="3068"/>
        <v>3.6234897854250013E-2</v>
      </c>
      <c r="M1037" s="172">
        <f t="shared" si="3072"/>
        <v>5.1141221549384243E-4</v>
      </c>
      <c r="N1037" s="196"/>
      <c r="O1037" s="172"/>
      <c r="P1037" s="166">
        <f>IFERROR(INDEX('Non-Labor Expenditures'!$F$7:$AB$91,MATCH($C1037,'Non-Labor Expenditures'!$D$7:$D$91,0),MATCH($G1037,'Non-Labor Expenditures'!$F$5:$AB$5,0)),"NA")</f>
        <v>38451.276383794946</v>
      </c>
      <c r="Q1037" s="166">
        <f t="shared" si="3062"/>
        <v>367.46601538427302</v>
      </c>
      <c r="R1037" s="172">
        <f t="shared" si="3073"/>
        <v>4.753078948239272E-2</v>
      </c>
      <c r="S1037" s="172">
        <f t="shared" si="3078"/>
        <v>6.7084020634298005E-4</v>
      </c>
      <c r="T1037" s="172"/>
      <c r="U1037" s="172"/>
      <c r="V1037" s="166">
        <f t="shared" si="3042"/>
        <v>97231.87070691312</v>
      </c>
      <c r="W1037" s="170"/>
      <c r="X1037" s="174">
        <v>4633.8226823530931</v>
      </c>
      <c r="Y1037" s="175">
        <v>6.7386161153837262E-2</v>
      </c>
      <c r="Z1037" s="175">
        <f t="shared" si="3079"/>
        <v>9.5107501359402706E-4</v>
      </c>
      <c r="AA1037" s="175"/>
      <c r="AB1037" s="175"/>
      <c r="AC1037" s="170">
        <f t="shared" si="3053"/>
        <v>162234.47117945901</v>
      </c>
      <c r="AD1037" s="175">
        <f t="shared" si="3074"/>
        <v>8.1534400674699456E-2</v>
      </c>
      <c r="AE1037" s="170"/>
      <c r="AF1037" s="170"/>
      <c r="AG1037" s="121">
        <f t="shared" si="3075"/>
        <v>438.82260180971537</v>
      </c>
      <c r="AH1037" s="119">
        <f>+AZ1037/$BB$53</f>
        <v>1.0008968947926841E-2</v>
      </c>
      <c r="AI1037" s="119">
        <f>+AZ1037/$BC$53</f>
        <v>4.2695385864758142E-2</v>
      </c>
      <c r="AJ1037" s="176">
        <f t="shared" si="3080"/>
        <v>4.3921617951619059</v>
      </c>
      <c r="AK1037" s="176">
        <f t="shared" si="3081"/>
        <v>18.735700310442912</v>
      </c>
      <c r="AL1037" s="120">
        <f t="shared" si="3063"/>
        <v>0.16366018821844988</v>
      </c>
      <c r="AM1037" s="120">
        <f t="shared" si="3064"/>
        <v>0.23701052004700821</v>
      </c>
      <c r="AN1037" s="120">
        <f t="shared" si="3065"/>
        <v>0.59932929173454186</v>
      </c>
      <c r="AO1037" s="120">
        <f t="shared" si="3069"/>
        <v>5.7460533007375157E-2</v>
      </c>
      <c r="AP1037" s="173">
        <f t="shared" si="3085"/>
        <v>145.02712817099865</v>
      </c>
      <c r="AQ1037" s="175">
        <f t="shared" si="3086"/>
        <v>5.7460533007375157E-2</v>
      </c>
      <c r="AR1037" s="177">
        <f>+AC1037/$AE$53</f>
        <v>1.4113803150513327E-2</v>
      </c>
      <c r="AS1037" s="177">
        <f t="shared" si="3082"/>
        <v>8.1098665178966649E-4</v>
      </c>
      <c r="AT1037" s="177"/>
      <c r="AU1037" s="177"/>
      <c r="AV1037" s="177"/>
      <c r="AW1037" s="190"/>
      <c r="AX1037" s="120"/>
      <c r="AY1037" s="120"/>
      <c r="AZ1037" s="118">
        <f>IFERROR(INDEX('Total Customers'!$F$7:$AB$91,MATCH($C1037,'Total Customers'!$D$7:$D$91,0),MATCH($G1037,'Total Customers'!$F$5:$AB$5,0)),"NA")</f>
        <v>369704</v>
      </c>
      <c r="BA1037" s="119">
        <f t="shared" si="3043"/>
        <v>1.5622996406098639E-2</v>
      </c>
      <c r="BB1037" s="119"/>
      <c r="BC1037" s="121">
        <v>8659109</v>
      </c>
      <c r="BD1037" s="119"/>
      <c r="BE1037" s="119"/>
      <c r="BF1037" s="119"/>
      <c r="BG1037" s="173"/>
      <c r="BH1037" s="173"/>
      <c r="BI1037" s="173"/>
      <c r="BJ1037" s="173"/>
      <c r="BK1037" s="173"/>
      <c r="BL1037" s="173"/>
      <c r="BM1037" s="173"/>
      <c r="BN1037" s="173"/>
      <c r="BO1037" s="173"/>
      <c r="BP1037" s="173"/>
      <c r="BQ1037" s="118"/>
      <c r="BR1037" s="118"/>
      <c r="BS1037" s="118">
        <f>INDEX('Dist. Plant Gas Additions'!$F$7:$AE$91,MATCH($C1037,'Dist. Plant Gas Additions'!$D$7:$D$91,0),MATCH(Calculation!$G1037,'Dist. Plant Gas Additions'!$F$5:$AE$5,0))</f>
        <v>161566</v>
      </c>
      <c r="BT1037" s="118">
        <f>INDEX('Gen. Plant Additions'!$F$7:$AE$91,MATCH($C1037,'Gen. Plant Additions'!$D$7:$D$91,0),MATCH(Calculation!$G1037,'Gen. Plant Additions'!$F$5:$AE$5,0))</f>
        <v>65119</v>
      </c>
      <c r="BU1037" s="118"/>
      <c r="BV1037" s="118"/>
      <c r="BW1037" s="118">
        <f>INDEX('Dist Plant Depreciation'!$E$7:$AD$94,MATCH($C1037,'Dist Plant Depreciation'!$D$7:$D$94,0),MATCH(Calculation!$G1037,'Dist Plant Depreciation'!$E$5:$AD$5,0))</f>
        <v>329600</v>
      </c>
      <c r="BX1037" s="118">
        <f>INDEX('Gen. Plant Depreciation'!$E$7:$AD$94,MATCH($C1037,'Gen. Plant Depreciation'!$D$7:$D$94,0),MATCH(Calculation!$G1037,'Gen. Plant Depreciation'!$E$5:$AD$5,0))</f>
        <v>29423</v>
      </c>
      <c r="BY1037" s="118"/>
      <c r="BZ1037" s="118"/>
      <c r="CA1037" s="118"/>
      <c r="CB1037" s="118"/>
      <c r="CC1037" s="118"/>
      <c r="CD1037" s="183"/>
      <c r="CE1037" s="118">
        <f>INDEX('Gross Dx Plant'!$E$7:$AD$91,MATCH($C1037,'Gross Dx Plant'!$D$7:$D$91,0),MATCH(Calculation!$G1037,'Gross Dx Plant'!$E$5:$AD$5,0))</f>
        <v>1701682</v>
      </c>
      <c r="CF1037" s="118">
        <f>INDEX('Gross Gen Plant'!$E$7:$AD$91,MATCH($C1037,'Gross Gen Plant'!$D$7:$D$91,0),MATCH(Calculation!$G1037,'Gross Gen Plant'!$E$5:$AD$5,0))</f>
        <v>163841</v>
      </c>
      <c r="CG1037" s="118">
        <f t="shared" si="3018"/>
        <v>1506500</v>
      </c>
      <c r="CH1037" s="118"/>
      <c r="CI1037" s="121">
        <v>2015</v>
      </c>
      <c r="CJ1037" s="118"/>
      <c r="CK1037" s="118"/>
      <c r="CL1037" s="118"/>
      <c r="CM1037" s="183"/>
      <c r="CN1037" s="118">
        <f t="shared" si="3044"/>
        <v>226685</v>
      </c>
      <c r="CO1037" s="118">
        <f t="shared" si="3045"/>
        <v>335.52411226552607</v>
      </c>
      <c r="CP1037" s="186">
        <v>0.88888888888888884</v>
      </c>
      <c r="CQ1037" s="118">
        <f>+CQ1020*CP1037+CO1021*CP1036+CO1022*CP1035+CO1023*CP1034+CO1024*CP1033+CO1025*CP1032+CO1026*CP1031+CO1027*CP1030+CO1028*CP1029+CO1029*CP1028+CO1030*CP1027+CO1031*CP1026+CO1032*CP1025+CO1033*CP1024+CO1034*CP1023+CO1035*CP1022+CO1036*CP1021+CO1037</f>
        <v>4633.8226823530931</v>
      </c>
      <c r="CR1037" s="119">
        <f t="shared" si="3046"/>
        <v>6.7386161153837262E-2</v>
      </c>
      <c r="CS1037" s="119"/>
      <c r="CT1037" s="177">
        <f t="shared" si="3047"/>
        <v>7.7465760302960615E-3</v>
      </c>
      <c r="CU1037" s="177">
        <f t="shared" si="3056"/>
        <v>7.6905703333262033E-3</v>
      </c>
      <c r="CV1037" s="119">
        <f>VLOOKUP($H1037,RoR!$E:$F,2,FALSE)</f>
        <v>3.8866666666666674E-2</v>
      </c>
      <c r="CW1037" s="177">
        <v>9.5709475431029478E-3</v>
      </c>
      <c r="CX1037" s="177">
        <f t="shared" si="3054"/>
        <v>2.9295719123563727E-2</v>
      </c>
      <c r="CY1037" s="177">
        <f t="shared" si="3057"/>
        <v>2.3211371275207421E-2</v>
      </c>
      <c r="CZ1037" s="177">
        <f t="shared" si="3058"/>
        <v>3.5270373279175926E-3</v>
      </c>
      <c r="DA1037" s="187">
        <f t="shared" si="3048"/>
        <v>0.84681249999999997</v>
      </c>
      <c r="DB1037" s="188">
        <f t="shared" si="3049"/>
        <v>1.3194352816994324</v>
      </c>
      <c r="DC1037" s="188">
        <f t="shared" si="3050"/>
        <v>0.33177530017152673</v>
      </c>
      <c r="DD1037" s="188">
        <f t="shared" si="3051"/>
        <v>0.78242572977668579</v>
      </c>
      <c r="DE1037" s="188">
        <f t="shared" si="3052"/>
        <v>0.34251158643433932</v>
      </c>
      <c r="DF1037" s="189">
        <f>INDEX('State Tax Lookup'!$D$7:$Z$91,MATCH(Calculation!$C1037,'State Tax Lookup'!$B$7:$B$91,0),MATCH($H1037,'State Tax Lookup'!$D$6:$Z$6,0))</f>
        <v>0.40849999999999997</v>
      </c>
      <c r="DG1037" s="189">
        <v>0.375</v>
      </c>
      <c r="DH1037" s="190">
        <f t="shared" si="3055"/>
        <v>22.445778266619712</v>
      </c>
      <c r="DI1037" s="190">
        <v>22.23454920288351</v>
      </c>
      <c r="DJ1037" s="177"/>
      <c r="DK1037" s="189">
        <f>VLOOKUP($H1037,RoR!$E:$F,2,FALSE)</f>
        <v>3.8866666666666674E-2</v>
      </c>
      <c r="DL1037" s="191">
        <f>HLOOKUP($H1037,'GDP-PI'!$D$8:$CQ$11,3,FALSE)</f>
        <v>9.5709475431029478E-3</v>
      </c>
      <c r="DM1037" s="189">
        <f>VLOOKUP(H1037,'HW Dx Data'!$E:$F,2,FALSE)</f>
        <v>675.61463308665782</v>
      </c>
      <c r="DN1037" s="183">
        <f>VLOOKUP(H1037,'ECI - Input Price'!$G$17:$H$37,2,FALSE)</f>
        <v>123.75</v>
      </c>
      <c r="DO1037" s="177">
        <f t="shared" ref="DO1037" si="3101">LN(DN1037/DN1036)</f>
        <v>2.0821327813585516E-2</v>
      </c>
      <c r="DP1037" s="183">
        <f>HLOOKUP(H1037,'GDP-PI'!$8:$9,2,FALSE)</f>
        <v>104.639</v>
      </c>
      <c r="DQ1037" s="177">
        <f t="shared" ref="DQ1037" si="3102">LN(DP1037/DP1036)</f>
        <v>9.5254361854427965E-3</v>
      </c>
    </row>
    <row r="1038" spans="1:121" s="167" customFormat="1" ht="21" x14ac:dyDescent="0.35">
      <c r="A1038" s="167" t="s">
        <v>102</v>
      </c>
      <c r="B1038" s="167" t="s">
        <v>102</v>
      </c>
      <c r="C1038" s="167">
        <v>4063023</v>
      </c>
      <c r="D1038" s="168" t="s">
        <v>145</v>
      </c>
      <c r="E1038" s="168" t="s">
        <v>126</v>
      </c>
      <c r="F1038" s="198"/>
      <c r="G1038" s="167" t="s">
        <v>22</v>
      </c>
      <c r="H1038" s="169">
        <v>2016</v>
      </c>
      <c r="I1038" s="170"/>
      <c r="J1038" s="166">
        <f>IFERROR(INDEX('Labor Expenditures'!$F$7:$X$91,MATCH($C1038,'Labor Expenditures'!$D$7:$D$91,0),MATCH($G1038,'Labor Expenditures'!$F$5:$X$5,0)),"NA")</f>
        <v>29360.481672562935</v>
      </c>
      <c r="K1038" s="166">
        <f t="shared" si="3061"/>
        <v>232.28229171331435</v>
      </c>
      <c r="L1038" s="172">
        <f t="shared" si="3068"/>
        <v>7.9381911128580743E-2</v>
      </c>
      <c r="M1038" s="172">
        <f t="shared" si="3072"/>
        <v>1.1662295623733865E-3</v>
      </c>
      <c r="N1038" s="196"/>
      <c r="O1038" s="172"/>
      <c r="P1038" s="166">
        <f>IFERROR(INDEX('Non-Labor Expenditures'!$F$7:$AB$91,MATCH($C1038,'Non-Labor Expenditures'!$D$7:$D$91,0),MATCH($G1038,'Non-Labor Expenditures'!$F$5:$AB$5,0)),"NA")</f>
        <v>42519.461243417507</v>
      </c>
      <c r="Q1038" s="166">
        <f t="shared" si="3062"/>
        <v>402.12852049838756</v>
      </c>
      <c r="R1038" s="172">
        <f t="shared" si="3073"/>
        <v>9.014090102533337E-2</v>
      </c>
      <c r="S1038" s="172">
        <f t="shared" si="3078"/>
        <v>1.32429393623994E-3</v>
      </c>
      <c r="T1038" s="172"/>
      <c r="U1038" s="172"/>
      <c r="V1038" s="166">
        <f t="shared" si="3042"/>
        <v>102916.38235931926</v>
      </c>
      <c r="W1038" s="170"/>
      <c r="X1038" s="174">
        <v>4884.0976009667447</v>
      </c>
      <c r="Y1038" s="175">
        <v>5.2602379078682399E-2</v>
      </c>
      <c r="Z1038" s="175">
        <f t="shared" si="3079"/>
        <v>7.7280136822812674E-4</v>
      </c>
      <c r="AA1038" s="175"/>
      <c r="AB1038" s="175"/>
      <c r="AC1038" s="170">
        <f t="shared" si="3053"/>
        <v>174796.32527529972</v>
      </c>
      <c r="AD1038" s="175">
        <f t="shared" si="3074"/>
        <v>7.457879876167145E-2</v>
      </c>
      <c r="AE1038" s="170"/>
      <c r="AF1038" s="170"/>
      <c r="AG1038" s="121">
        <f t="shared" si="3075"/>
        <v>465.75217433379714</v>
      </c>
      <c r="AH1038" s="119">
        <f>+AZ1038/$BB$54</f>
        <v>1.0072653571379715E-2</v>
      </c>
      <c r="AI1038" s="119">
        <f>+AZ1038/$BC$54</f>
        <v>4.284685638752659E-2</v>
      </c>
      <c r="AJ1038" s="176">
        <f t="shared" si="3080"/>
        <v>4.6913603021811898</v>
      </c>
      <c r="AK1038" s="176">
        <f t="shared" si="3081"/>
        <v>19.956016525858455</v>
      </c>
      <c r="AL1038" s="120">
        <f t="shared" si="3063"/>
        <v>0.16796967342603417</v>
      </c>
      <c r="AM1038" s="120">
        <f t="shared" si="3064"/>
        <v>0.24325145952839941</v>
      </c>
      <c r="AN1038" s="120">
        <f t="shared" si="3065"/>
        <v>0.58877886704556637</v>
      </c>
      <c r="AO1038" s="120">
        <f t="shared" si="3069"/>
        <v>6.6056987763205038E-2</v>
      </c>
      <c r="AP1038" s="173">
        <f t="shared" si="3085"/>
        <v>154.93068192756044</v>
      </c>
      <c r="AQ1038" s="175">
        <f t="shared" si="3086"/>
        <v>6.6056987763204983E-2</v>
      </c>
      <c r="AR1038" s="177">
        <f>+AC1038/$AE$54</f>
        <v>1.469137673549278E-2</v>
      </c>
      <c r="AS1038" s="177">
        <f t="shared" si="3082"/>
        <v>9.7046809324108092E-4</v>
      </c>
      <c r="AT1038" s="177"/>
      <c r="AU1038" s="177"/>
      <c r="AV1038" s="177"/>
      <c r="AW1038" s="190"/>
      <c r="AX1038" s="120"/>
      <c r="AY1038" s="120"/>
      <c r="AZ1038" s="118">
        <f>IFERROR(INDEX('Total Customers'!$F$7:$AB$91,MATCH($C1038,'Total Customers'!$D$7:$D$91,0),MATCH($G1038,'Total Customers'!$F$5:$AB$5,0)),"NA")</f>
        <v>375299</v>
      </c>
      <c r="BA1038" s="119">
        <f t="shared" si="3043"/>
        <v>1.5020356134885646E-2</v>
      </c>
      <c r="BB1038" s="119"/>
      <c r="BC1038" s="121">
        <v>8759079</v>
      </c>
      <c r="BD1038" s="119"/>
      <c r="BE1038" s="119"/>
      <c r="BF1038" s="119"/>
      <c r="BG1038" s="173"/>
      <c r="BH1038" s="173"/>
      <c r="BI1038" s="173"/>
      <c r="BJ1038" s="173"/>
      <c r="BK1038" s="173"/>
      <c r="BL1038" s="173"/>
      <c r="BM1038" s="173"/>
      <c r="BN1038" s="173"/>
      <c r="BO1038" s="173"/>
      <c r="BP1038" s="173"/>
      <c r="BQ1038" s="118"/>
      <c r="BR1038" s="118"/>
      <c r="BS1038" s="118">
        <f>INDEX('Dist. Plant Gas Additions'!$F$7:$AE$91,MATCH($C1038,'Dist. Plant Gas Additions'!$D$7:$D$91,0),MATCH(Calculation!$G1038,'Dist. Plant Gas Additions'!$F$5:$AE$5,0))</f>
        <v>184744</v>
      </c>
      <c r="BT1038" s="118">
        <f>INDEX('Gen. Plant Additions'!$F$7:$AE$91,MATCH($C1038,'Gen. Plant Additions'!$D$7:$D$91,0),MATCH(Calculation!$G1038,'Gen. Plant Additions'!$F$5:$AE$5,0))</f>
        <v>7798</v>
      </c>
      <c r="BU1038" s="118"/>
      <c r="BV1038" s="118"/>
      <c r="BW1038" s="118">
        <f>INDEX('Dist Plant Depreciation'!$E$7:$AD$94,MATCH($C1038,'Dist Plant Depreciation'!$D$7:$D$94,0),MATCH(Calculation!$G1038,'Dist Plant Depreciation'!$E$5:$AD$5,0))</f>
        <v>343925</v>
      </c>
      <c r="BX1038" s="118">
        <f>INDEX('Gen. Plant Depreciation'!$E$7:$AD$94,MATCH($C1038,'Gen. Plant Depreciation'!$D$7:$D$94,0),MATCH(Calculation!$G1038,'Gen. Plant Depreciation'!$E$5:$AD$5,0))</f>
        <v>41434</v>
      </c>
      <c r="BY1038" s="118"/>
      <c r="BZ1038" s="118"/>
      <c r="CA1038" s="118"/>
      <c r="CB1038" s="118"/>
      <c r="CC1038" s="118"/>
      <c r="CD1038" s="183"/>
      <c r="CE1038" s="118">
        <f>INDEX('Gross Dx Plant'!$E$7:$AD$91,MATCH($C1038,'Gross Dx Plant'!$D$7:$D$91,0),MATCH(Calculation!$G1038,'Gross Dx Plant'!$E$5:$AD$5,0))</f>
        <v>1872273</v>
      </c>
      <c r="CF1038" s="118">
        <f>INDEX('Gross Gen Plant'!$E$7:$AD$91,MATCH($C1038,'Gross Gen Plant'!$D$7:$D$91,0),MATCH(Calculation!$G1038,'Gross Gen Plant'!$E$5:$AD$5,0))</f>
        <v>169620</v>
      </c>
      <c r="CG1038" s="118">
        <f t="shared" si="3018"/>
        <v>1656534</v>
      </c>
      <c r="CH1038" s="118"/>
      <c r="CI1038" s="121">
        <v>2016</v>
      </c>
      <c r="CJ1038" s="118"/>
      <c r="CK1038" s="118"/>
      <c r="CL1038" s="118"/>
      <c r="CM1038" s="183"/>
      <c r="CN1038" s="118">
        <f t="shared" si="3044"/>
        <v>192542</v>
      </c>
      <c r="CO1038" s="118">
        <f t="shared" si="3045"/>
        <v>286.75279848512088</v>
      </c>
      <c r="CP1038" s="186">
        <v>0.88</v>
      </c>
      <c r="CQ1038" s="118">
        <f>+CQ1020*CP1038+CO1021*CP1037+CO1022*CP1036+CO1023*CP1035+CO1024*CP1034+CO1025*CP1033+CO1026*CP1032+CO1027*CP1031+CO1028*CP1030+CO1029*CP1029+CO1030*CP1028+CO1031*CP1027+CO1032*CP1026+CO1033*CP1025+CO1034*CP1024+CO1035*CP1023+CO1036*CP1022+CO1037*CP1021+CO1038</f>
        <v>4884.0976009667447</v>
      </c>
      <c r="CR1038" s="119">
        <f t="shared" si="3046"/>
        <v>5.2602379078682399E-2</v>
      </c>
      <c r="CS1038" s="119"/>
      <c r="CT1038" s="177">
        <f t="shared" si="3047"/>
        <v>7.8720923030540964E-3</v>
      </c>
      <c r="CU1038" s="177">
        <f t="shared" si="3056"/>
        <v>7.7911312731097568E-3</v>
      </c>
      <c r="CV1038" s="119">
        <f>VLOOKUP($H1038,RoR!$E:$F,2,FALSE)</f>
        <v>3.6658333333333334E-2</v>
      </c>
      <c r="CW1038" s="177">
        <v>1.0483662879041455E-2</v>
      </c>
      <c r="CX1038" s="177">
        <f t="shared" si="3054"/>
        <v>2.6174670454291879E-2</v>
      </c>
      <c r="CY1038" s="177">
        <f t="shared" si="3057"/>
        <v>2.3110810335423868E-2</v>
      </c>
      <c r="CZ1038" s="177">
        <f t="shared" si="3058"/>
        <v>4.301363574220729E-3</v>
      </c>
      <c r="DA1038" s="187">
        <f t="shared" si="3048"/>
        <v>0.84681249999999997</v>
      </c>
      <c r="DB1038" s="188">
        <f t="shared" si="3049"/>
        <v>1.3989193348138562</v>
      </c>
      <c r="DC1038" s="188">
        <f t="shared" si="3050"/>
        <v>0.29302682427824522</v>
      </c>
      <c r="DD1038" s="188">
        <f t="shared" si="3051"/>
        <v>0.76309497491941802</v>
      </c>
      <c r="DE1038" s="188">
        <f t="shared" si="3052"/>
        <v>0.31280857135128509</v>
      </c>
      <c r="DF1038" s="189">
        <f>INDEX('State Tax Lookup'!$D$7:$Z$91,MATCH(Calculation!$C1038,'State Tax Lookup'!$B$7:$B$91,0),MATCH($H1038,'State Tax Lookup'!$D$6:$Z$6,0))</f>
        <v>0.40849999999999997</v>
      </c>
      <c r="DG1038" s="189">
        <v>0.375</v>
      </c>
      <c r="DH1038" s="190">
        <f t="shared" si="3055"/>
        <v>22.209823166357648</v>
      </c>
      <c r="DI1038" s="190">
        <v>21.949806960009219</v>
      </c>
      <c r="DJ1038" s="177"/>
      <c r="DK1038" s="189">
        <f>VLOOKUP($H1038,RoR!$E:$F,2,FALSE)</f>
        <v>3.6658333333333334E-2</v>
      </c>
      <c r="DL1038" s="191">
        <f>HLOOKUP($H1038,'GDP-PI'!$D$8:$CQ$11,3,FALSE)</f>
        <v>1.0483662879041455E-2</v>
      </c>
      <c r="DM1038" s="189">
        <f>VLOOKUP(H1038,'HW Dx Data'!$E:$F,2,FALSE)</f>
        <v>671.45639385971219</v>
      </c>
      <c r="DN1038" s="183">
        <f>VLOOKUP(H1038,'ECI - Input Price'!$G$17:$H$37,2,FALSE)</f>
        <v>126.4</v>
      </c>
      <c r="DO1038" s="177">
        <f t="shared" ref="DO1038" si="3103">LN(DN1038/DN1037)</f>
        <v>2.11880802639575E-2</v>
      </c>
      <c r="DP1038" s="183">
        <f>HLOOKUP(H1038,'GDP-PI'!$8:$9,2,FALSE)</f>
        <v>105.736</v>
      </c>
      <c r="DQ1038" s="177">
        <f t="shared" ref="DQ1038" si="3104">LN(DP1038/DP1037)</f>
        <v>1.0429090367205095E-2</v>
      </c>
    </row>
    <row r="1039" spans="1:121" s="167" customFormat="1" ht="21" x14ac:dyDescent="0.35">
      <c r="A1039" s="167" t="s">
        <v>102</v>
      </c>
      <c r="B1039" s="167" t="s">
        <v>102</v>
      </c>
      <c r="C1039" s="167">
        <v>4063023</v>
      </c>
      <c r="D1039" s="168" t="s">
        <v>145</v>
      </c>
      <c r="E1039" s="168" t="s">
        <v>126</v>
      </c>
      <c r="F1039" s="198"/>
      <c r="G1039" s="167" t="s">
        <v>23</v>
      </c>
      <c r="H1039" s="169">
        <v>2017</v>
      </c>
      <c r="I1039" s="170"/>
      <c r="J1039" s="166">
        <f>IFERROR(INDEX('Labor Expenditures'!$F$7:$X$91,MATCH($C1039,'Labor Expenditures'!$D$7:$D$91,0),MATCH($G1039,'Labor Expenditures'!$F$5:$X$5,0)),"NA")</f>
        <v>31446.956585819382</v>
      </c>
      <c r="K1039" s="166">
        <f t="shared" si="3061"/>
        <v>242.83364158933887</v>
      </c>
      <c r="L1039" s="172">
        <f t="shared" si="3068"/>
        <v>4.4423199757864629E-2</v>
      </c>
      <c r="M1039" s="172">
        <f t="shared" si="3072"/>
        <v>6.5752675165357019E-4</v>
      </c>
      <c r="N1039" s="196"/>
      <c r="O1039" s="172"/>
      <c r="P1039" s="166">
        <f>IFERROR(INDEX('Non-Labor Expenditures'!$F$7:$AB$91,MATCH($C1039,'Non-Labor Expenditures'!$D$7:$D$91,0),MATCH($G1039,'Non-Labor Expenditures'!$F$5:$AB$5,0)),"NA")</f>
        <v>45541.066617571647</v>
      </c>
      <c r="Q1039" s="166">
        <f t="shared" si="3062"/>
        <v>422.65098808894254</v>
      </c>
      <c r="R1039" s="172">
        <f t="shared" si="3073"/>
        <v>4.9775010956954552E-2</v>
      </c>
      <c r="S1039" s="172">
        <f t="shared" si="3078"/>
        <v>7.3674119483599322E-4</v>
      </c>
      <c r="T1039" s="172"/>
      <c r="U1039" s="172"/>
      <c r="V1039" s="166">
        <f t="shared" si="3042"/>
        <v>98369.982150005453</v>
      </c>
      <c r="W1039" s="170"/>
      <c r="X1039" s="174">
        <v>5133.3545042103469</v>
      </c>
      <c r="Y1039" s="175">
        <v>4.9774805073080922E-2</v>
      </c>
      <c r="Z1039" s="175">
        <f t="shared" si="3079"/>
        <v>7.3673814746085182E-4</v>
      </c>
      <c r="AA1039" s="175"/>
      <c r="AB1039" s="175"/>
      <c r="AC1039" s="170">
        <f t="shared" si="3053"/>
        <v>175358.00535339647</v>
      </c>
      <c r="AD1039" s="175">
        <f t="shared" si="3074"/>
        <v>3.2081885655654593E-3</v>
      </c>
      <c r="AE1039" s="170"/>
      <c r="AF1039" s="170"/>
      <c r="AG1039" s="121">
        <f t="shared" si="3075"/>
        <v>460.54371184541691</v>
      </c>
      <c r="AH1039" s="119">
        <f>+AZ1039/$BB$55</f>
        <v>1.0142521852820479E-2</v>
      </c>
      <c r="AI1039" s="119">
        <f>+AZ1039/$BC$56</f>
        <v>4.2727840746122139E-2</v>
      </c>
      <c r="AJ1039" s="176">
        <f t="shared" si="3080"/>
        <v>4.6710746615711987</v>
      </c>
      <c r="AK1039" s="176">
        <f t="shared" si="3081"/>
        <v>19.678038376358938</v>
      </c>
      <c r="AL1039" s="120">
        <f t="shared" si="3063"/>
        <v>0.17933003128340097</v>
      </c>
      <c r="AM1039" s="120">
        <f t="shared" si="3064"/>
        <v>0.25970337952803119</v>
      </c>
      <c r="AN1039" s="120">
        <f t="shared" si="3065"/>
        <v>0.5609665891885679</v>
      </c>
      <c r="AO1039" s="120">
        <f t="shared" si="3069"/>
        <v>4.8845551375378153E-2</v>
      </c>
      <c r="AP1039" s="173">
        <f t="shared" si="3085"/>
        <v>162.68622650993564</v>
      </c>
      <c r="AQ1039" s="175">
        <f t="shared" si="3086"/>
        <v>4.8845551375378111E-2</v>
      </c>
      <c r="AR1039" s="177">
        <f>+AC1039/$AE$55</f>
        <v>1.4801427074986027E-2</v>
      </c>
      <c r="AS1039" s="177">
        <f t="shared" si="3082"/>
        <v>7.2298386662014258E-4</v>
      </c>
      <c r="AT1039" s="177"/>
      <c r="AU1039" s="177"/>
      <c r="AV1039" s="177"/>
      <c r="AW1039" s="190"/>
      <c r="AX1039" s="120"/>
      <c r="AY1039" s="120"/>
      <c r="AZ1039" s="118">
        <f>IFERROR(INDEX('Total Customers'!$F$7:$AB$91,MATCH($C1039,'Total Customers'!$D$7:$D$91,0),MATCH($G1039,'Total Customers'!$F$5:$AB$5,0)),"NA")</f>
        <v>380763</v>
      </c>
      <c r="BA1039" s="119">
        <f t="shared" si="3043"/>
        <v>1.4454092728563163E-2</v>
      </c>
      <c r="BB1039" s="119"/>
      <c r="BC1039" s="121">
        <v>8824403</v>
      </c>
      <c r="BD1039" s="119"/>
      <c r="BE1039" s="119"/>
      <c r="BF1039" s="119"/>
      <c r="BG1039" s="173"/>
      <c r="BH1039" s="173"/>
      <c r="BI1039" s="173"/>
      <c r="BJ1039" s="173"/>
      <c r="BK1039" s="173"/>
      <c r="BL1039" s="173"/>
      <c r="BM1039" s="173"/>
      <c r="BN1039" s="173"/>
      <c r="BO1039" s="173"/>
      <c r="BP1039" s="173"/>
      <c r="BQ1039" s="118"/>
      <c r="BR1039" s="118"/>
      <c r="BS1039" s="118">
        <f>INDEX('Dist. Plant Gas Additions'!$F$7:$AE$91,MATCH($C1039,'Dist. Plant Gas Additions'!$D$7:$D$91,0),MATCH(Calculation!$G1039,'Dist. Plant Gas Additions'!$F$5:$AE$5,0))</f>
        <v>196188</v>
      </c>
      <c r="BT1039" s="118">
        <f>INDEX('Gen. Plant Additions'!$F$7:$AE$91,MATCH($C1039,'Gen. Plant Additions'!$D$7:$D$91,0),MATCH(Calculation!$G1039,'Gen. Plant Additions'!$F$5:$AE$5,0))</f>
        <v>9373</v>
      </c>
      <c r="BU1039" s="118"/>
      <c r="BV1039" s="118"/>
      <c r="BW1039" s="118">
        <f>INDEX('Dist Plant Depreciation'!$E$7:$AD$94,MATCH($C1039,'Dist Plant Depreciation'!$D$7:$D$94,0),MATCH(Calculation!$G1039,'Dist Plant Depreciation'!$E$5:$AD$5,0))</f>
        <v>353341</v>
      </c>
      <c r="BX1039" s="118">
        <f>INDEX('Gen. Plant Depreciation'!$E$7:$AD$94,MATCH($C1039,'Gen. Plant Depreciation'!$D$7:$D$94,0),MATCH(Calculation!$G1039,'Gen. Plant Depreciation'!$E$5:$AD$5,0))</f>
        <v>53152</v>
      </c>
      <c r="BY1039" s="118"/>
      <c r="BZ1039" s="118"/>
      <c r="CA1039" s="118"/>
      <c r="CB1039" s="118"/>
      <c r="CC1039" s="118"/>
      <c r="CD1039" s="183"/>
      <c r="CE1039" s="118">
        <f>INDEX('Gross Dx Plant'!$E$7:$AD$91,MATCH($C1039,'Gross Dx Plant'!$D$7:$D$91,0),MATCH(Calculation!$G1039,'Gross Dx Plant'!$E$5:$AD$5,0))</f>
        <v>2044991</v>
      </c>
      <c r="CF1039" s="118">
        <f>INDEX('Gross Gen Plant'!$E$7:$AD$91,MATCH($C1039,'Gross Gen Plant'!$D$7:$D$91,0),MATCH(Calculation!$G1039,'Gross Gen Plant'!$E$5:$AD$5,0))</f>
        <v>175755</v>
      </c>
      <c r="CG1039" s="118">
        <f t="shared" si="3018"/>
        <v>1814253</v>
      </c>
      <c r="CH1039" s="118"/>
      <c r="CI1039" s="121">
        <v>2017</v>
      </c>
      <c r="CJ1039" s="118"/>
      <c r="CK1039" s="118"/>
      <c r="CL1039" s="118"/>
      <c r="CM1039" s="183"/>
      <c r="CN1039" s="118">
        <f t="shared" si="3044"/>
        <v>205561</v>
      </c>
      <c r="CO1039" s="118">
        <f t="shared" si="3045"/>
        <v>288.53558756971188</v>
      </c>
      <c r="CP1039" s="186">
        <v>0.87074829931972786</v>
      </c>
      <c r="CQ1039" s="118">
        <f>+CQ1020*CP1039+CO1021*CP1038+CO1022*CP1037+CO1023*CP1036+CO1024*CP1035+CO1025*CP1034+CO1026*CP1033+CO1027*CP1032+CO1028*CP1031+CO1029*CP1030+CO1030*CP1029+CO1031*CP1028+CO1032*CP1027+CO1033*CP1026+CO1034*CP1025+CO1035*CP1024+CO1036*CP1023+CO1037*CP1022+CO1038*CP1021+CO1039</f>
        <v>5133.3545042103469</v>
      </c>
      <c r="CR1039" s="119">
        <f t="shared" si="3046"/>
        <v>4.9774805073080922E-2</v>
      </c>
      <c r="CS1039" s="119"/>
      <c r="CT1039" s="177">
        <f t="shared" si="3047"/>
        <v>8.0421579450695169E-3</v>
      </c>
      <c r="CU1039" s="177">
        <f t="shared" si="3056"/>
        <v>7.8869420928065585E-3</v>
      </c>
      <c r="CV1039" s="119">
        <f>VLOOKUP($H1039,RoR!$E:$F,2,FALSE)</f>
        <v>3.7433333333333339E-2</v>
      </c>
      <c r="CW1039" s="177">
        <v>1.9056896421275615E-2</v>
      </c>
      <c r="CX1039" s="177">
        <f t="shared" si="3054"/>
        <v>1.8376436912057724E-2</v>
      </c>
      <c r="CY1039" s="177">
        <f t="shared" si="3057"/>
        <v>2.3014999515727066E-2</v>
      </c>
      <c r="CZ1039" s="177">
        <f t="shared" si="3058"/>
        <v>1.3976271617800498E-2</v>
      </c>
      <c r="DA1039" s="187">
        <f t="shared" si="3048"/>
        <v>0.89931249999999996</v>
      </c>
      <c r="DB1039" s="188">
        <f t="shared" si="3049"/>
        <v>1.3699568463593395</v>
      </c>
      <c r="DC1039" s="188">
        <f t="shared" si="3050"/>
        <v>0.30714603739982199</v>
      </c>
      <c r="DD1039" s="188">
        <f t="shared" si="3051"/>
        <v>0.77007188472689425</v>
      </c>
      <c r="DE1039" s="188">
        <f t="shared" si="3052"/>
        <v>0.32402839633793828</v>
      </c>
      <c r="DF1039" s="189">
        <f>INDEX('State Tax Lookup'!$D$7:$Z$91,MATCH(Calculation!$C1039,'State Tax Lookup'!$B$7:$B$91,0),MATCH($H1039,'State Tax Lookup'!$D$6:$Z$6,0))</f>
        <v>0.26849999999999996</v>
      </c>
      <c r="DG1039" s="189">
        <v>0.375</v>
      </c>
      <c r="DH1039" s="190">
        <f t="shared" si="3055"/>
        <v>20.1408714949788</v>
      </c>
      <c r="DI1039" s="190">
        <v>19.875806292823967</v>
      </c>
      <c r="DJ1039" s="177"/>
      <c r="DK1039" s="189">
        <f>VLOOKUP($H1039,RoR!$E:$F,2,FALSE)</f>
        <v>3.7433333333333339E-2</v>
      </c>
      <c r="DL1039" s="191">
        <f>HLOOKUP($H1039,'GDP-PI'!$D$8:$CQ$11,3,FALSE)</f>
        <v>1.9056896421275615E-2</v>
      </c>
      <c r="DM1039" s="189">
        <f>VLOOKUP(H1039,'HW Dx Data'!$E:$F,2,FALSE)</f>
        <v>712.42858370229726</v>
      </c>
      <c r="DN1039" s="183">
        <f>VLOOKUP(H1039,'ECI - Input Price'!$G$17:$H$37,2,FALSE)</f>
        <v>129.5</v>
      </c>
      <c r="DO1039" s="177">
        <f t="shared" ref="DO1039" si="3105">LN(DN1039/DN1038)</f>
        <v>2.4229399426835413E-2</v>
      </c>
      <c r="DP1039" s="183">
        <f>HLOOKUP(H1039,'GDP-PI'!$8:$9,2,FALSE)</f>
        <v>107.751</v>
      </c>
      <c r="DQ1039" s="177">
        <f t="shared" ref="DQ1039" si="3106">LN(DP1039/DP1038)</f>
        <v>1.8877588227745139E-2</v>
      </c>
    </row>
    <row r="1040" spans="1:121" s="167" customFormat="1" ht="21" x14ac:dyDescent="0.35">
      <c r="A1040" s="167" t="s">
        <v>102</v>
      </c>
      <c r="B1040" s="167" t="s">
        <v>102</v>
      </c>
      <c r="C1040" s="167">
        <v>4063023</v>
      </c>
      <c r="D1040" s="168" t="s">
        <v>145</v>
      </c>
      <c r="E1040" s="168" t="s">
        <v>126</v>
      </c>
      <c r="F1040" s="198"/>
      <c r="G1040" s="167" t="s">
        <v>24</v>
      </c>
      <c r="H1040" s="169">
        <v>2018</v>
      </c>
      <c r="I1040" s="170"/>
      <c r="J1040" s="166">
        <f>IFERROR(INDEX('Labor Expenditures'!$F$7:$X$91,MATCH($C1040,'Labor Expenditures'!$D$7:$D$91,0),MATCH($G1040,'Labor Expenditures'!$F$5:$X$5,0)),"NA")</f>
        <v>34009.76470657553</v>
      </c>
      <c r="K1040" s="166">
        <f t="shared" si="3061"/>
        <v>255.23275577167377</v>
      </c>
      <c r="L1040" s="172">
        <f t="shared" si="3068"/>
        <v>4.9799290191098591E-2</v>
      </c>
      <c r="M1040" s="172">
        <f t="shared" si="3072"/>
        <v>7.420192375938592E-4</v>
      </c>
      <c r="N1040" s="196"/>
      <c r="O1040" s="172"/>
      <c r="P1040" s="166">
        <f>IFERROR(INDEX('Non-Labor Expenditures'!$F$7:$AB$91,MATCH($C1040,'Non-Labor Expenditures'!$D$7:$D$91,0),MATCH($G1040,'Non-Labor Expenditures'!$F$5:$AB$5,0)),"NA")</f>
        <v>49252.491442956496</v>
      </c>
      <c r="Q1040" s="166">
        <f t="shared" si="3062"/>
        <v>446.44306161016385</v>
      </c>
      <c r="R1040" s="172">
        <f t="shared" si="3073"/>
        <v>5.4765119380951605E-2</v>
      </c>
      <c r="S1040" s="172">
        <f t="shared" si="3078"/>
        <v>8.1601107111872132E-4</v>
      </c>
      <c r="T1040" s="172"/>
      <c r="U1040" s="172"/>
      <c r="V1040" s="166">
        <f t="shared" si="3042"/>
        <v>108683.31189369477</v>
      </c>
      <c r="W1040" s="170"/>
      <c r="X1040" s="174">
        <v>5471.0846583373068</v>
      </c>
      <c r="Y1040" s="175">
        <v>6.3717544037404442E-2</v>
      </c>
      <c r="Z1040" s="175">
        <f t="shared" si="3079"/>
        <v>9.4940396271830853E-4</v>
      </c>
      <c r="AA1040" s="175"/>
      <c r="AB1040" s="175"/>
      <c r="AC1040" s="170">
        <f t="shared" si="3053"/>
        <v>191945.56804322678</v>
      </c>
      <c r="AD1040" s="175">
        <f t="shared" si="3074"/>
        <v>9.0382202945756052E-2</v>
      </c>
      <c r="AE1040" s="170"/>
      <c r="AF1040" s="170"/>
      <c r="AG1040" s="121">
        <f t="shared" si="3075"/>
        <v>489.67829738337321</v>
      </c>
      <c r="AH1040" s="119">
        <f>+AZ1040/$BB$56</f>
        <v>1.0350696270308116E-2</v>
      </c>
      <c r="AI1040" s="119">
        <f>+AZ1040/$BC$57</f>
        <v>4.3730337229072117E-2</v>
      </c>
      <c r="AJ1040" s="176">
        <f t="shared" si="3080"/>
        <v>5.0685113263769095</v>
      </c>
      <c r="AK1040" s="176">
        <f t="shared" si="3081"/>
        <v>21.413797078332774</v>
      </c>
      <c r="AL1040" s="120">
        <f t="shared" si="3063"/>
        <v>0.17718442292408865</v>
      </c>
      <c r="AM1040" s="120">
        <f t="shared" si="3064"/>
        <v>0.25659613787938396</v>
      </c>
      <c r="AN1040" s="120">
        <f t="shared" si="3065"/>
        <v>0.56621943919652751</v>
      </c>
      <c r="AO1040" s="120">
        <f t="shared" si="3069"/>
        <v>5.8925448435759517E-2</v>
      </c>
      <c r="AP1040" s="173">
        <f t="shared" si="3085"/>
        <v>172.56065594480552</v>
      </c>
      <c r="AQ1040" s="175">
        <f t="shared" si="3086"/>
        <v>5.8925448435759427E-2</v>
      </c>
      <c r="AR1040" s="177">
        <f>+AC1040/$AE$56</f>
        <v>1.4900197065991353E-2</v>
      </c>
      <c r="AS1040" s="177">
        <f t="shared" si="3082"/>
        <v>8.7800079389472739E-4</v>
      </c>
      <c r="AT1040" s="177"/>
      <c r="AU1040" s="177"/>
      <c r="AV1040" s="177"/>
      <c r="AW1040" s="190"/>
      <c r="AX1040" s="120"/>
      <c r="AY1040" s="120"/>
      <c r="AZ1040" s="118">
        <f>IFERROR(INDEX('Total Customers'!$F$7:$AB$91,MATCH($C1040,'Total Customers'!$D$7:$D$91,0),MATCH($G1040,'Total Customers'!$F$5:$AB$5,0)),"NA")</f>
        <v>391983</v>
      </c>
      <c r="BA1040" s="119">
        <f t="shared" si="3043"/>
        <v>2.9041337172183244E-2</v>
      </c>
      <c r="BB1040" s="119"/>
      <c r="BC1040" s="121">
        <v>8911356</v>
      </c>
      <c r="BD1040" s="119"/>
      <c r="BE1040" s="119"/>
      <c r="BF1040" s="119"/>
      <c r="BG1040" s="173"/>
      <c r="BH1040" s="173"/>
      <c r="BI1040" s="173"/>
      <c r="BJ1040" s="173"/>
      <c r="BK1040" s="173"/>
      <c r="BL1040" s="173"/>
      <c r="BM1040" s="173"/>
      <c r="BN1040" s="173"/>
      <c r="BO1040" s="173"/>
      <c r="BP1040" s="173"/>
      <c r="BQ1040" s="118"/>
      <c r="BR1040" s="118"/>
      <c r="BS1040" s="118">
        <f>INDEX('Dist. Plant Gas Additions'!$F$7:$AE$91,MATCH($C1040,'Dist. Plant Gas Additions'!$D$7:$D$91,0),MATCH(Calculation!$G1040,'Dist. Plant Gas Additions'!$F$5:$AE$5,0))</f>
        <v>209117</v>
      </c>
      <c r="BT1040" s="118">
        <f>INDEX('Gen. Plant Additions'!$F$7:$AE$91,MATCH($C1040,'Gen. Plant Additions'!$D$7:$D$91,0),MATCH(Calculation!$G1040,'Gen. Plant Additions'!$F$5:$AE$5,0))</f>
        <v>77791</v>
      </c>
      <c r="BU1040" s="118"/>
      <c r="BV1040" s="118"/>
      <c r="BW1040" s="118">
        <f>INDEX('Dist Plant Depreciation'!$E$7:$AD$94,MATCH($C1040,'Dist Plant Depreciation'!$D$7:$D$94,0),MATCH(Calculation!$G1040,'Dist Plant Depreciation'!$E$5:$AD$5,0))</f>
        <v>369649</v>
      </c>
      <c r="BX1040" s="118">
        <f>INDEX('Gen. Plant Depreciation'!$E$7:$AD$94,MATCH($C1040,'Gen. Plant Depreciation'!$D$7:$D$94,0),MATCH(Calculation!$G1040,'Gen. Plant Depreciation'!$E$5:$AD$5,0))</f>
        <v>56557</v>
      </c>
      <c r="BY1040" s="118"/>
      <c r="BZ1040" s="118"/>
      <c r="CA1040" s="118"/>
      <c r="CB1040" s="118"/>
      <c r="CC1040" s="118"/>
      <c r="CD1040" s="183"/>
      <c r="CE1040" s="118">
        <f>INDEX('Gross Dx Plant'!$E$7:$AD$91,MATCH($C1040,'Gross Dx Plant'!$D$7:$D$91,0),MATCH(Calculation!$G1040,'Gross Dx Plant'!$E$5:$AD$5,0))</f>
        <v>2213398</v>
      </c>
      <c r="CF1040" s="118">
        <f>INDEX('Gross Gen Plant'!$E$7:$AD$91,MATCH($C1040,'Gross Gen Plant'!$D$7:$D$91,0),MATCH(Calculation!$G1040,'Gross Gen Plant'!$E$5:$AD$5,0))</f>
        <v>241254</v>
      </c>
      <c r="CG1040" s="118">
        <f t="shared" si="3018"/>
        <v>2028446</v>
      </c>
      <c r="CH1040" s="118"/>
      <c r="CI1040" s="121">
        <v>2018</v>
      </c>
      <c r="CJ1040" s="118"/>
      <c r="CK1040" s="118"/>
      <c r="CL1040" s="118"/>
      <c r="CM1040" s="183"/>
      <c r="CN1040" s="118">
        <f t="shared" si="3044"/>
        <v>286908</v>
      </c>
      <c r="CO1040" s="118">
        <f t="shared" si="3045"/>
        <v>379.94179669849228</v>
      </c>
      <c r="CP1040" s="186">
        <v>0.86111111111111116</v>
      </c>
      <c r="CQ1040" s="118">
        <f>+CQ1020*CP1040++CO1021*CP1039+CO1022*CP1038+CO1023*CP1037+CO1024*CP1036+CO1025*CP1035+CO1026*CP1034+CO1027*CP1033+CO1028*CP1032+CO1029*CP1031+CO1030*CP1030+CO1031*CP1029+CO1032*CP1028+CO1033*CP1027+CO1034*CP1026+CO1035*CP1025+CO1036*CP1024+CO1037*CP1023+CO1038*CP1022+CO1039*CP1021+CO1040</f>
        <v>5471.0846583373068</v>
      </c>
      <c r="CR1040" s="119">
        <f t="shared" si="3046"/>
        <v>6.3717544037404442E-2</v>
      </c>
      <c r="CS1040" s="119"/>
      <c r="CT1040" s="177">
        <f t="shared" si="3047"/>
        <v>8.2230133408691501E-3</v>
      </c>
      <c r="CU1040" s="177">
        <f t="shared" si="3056"/>
        <v>8.0457545296642539E-3</v>
      </c>
      <c r="CV1040" s="119">
        <f>VLOOKUP($H1040,RoR!$E:$F,2,FALSE)</f>
        <v>3.9299999999999995E-2</v>
      </c>
      <c r="CW1040" s="177">
        <v>2.386056741932796E-2</v>
      </c>
      <c r="CX1040" s="177">
        <f t="shared" si="3054"/>
        <v>1.5439432580672034E-2</v>
      </c>
      <c r="CY1040" s="177">
        <f t="shared" si="3057"/>
        <v>2.2856187078869369E-2</v>
      </c>
      <c r="CZ1040" s="177">
        <f t="shared" si="3058"/>
        <v>3.8270792163076606E-2</v>
      </c>
      <c r="DA1040" s="187">
        <f t="shared" si="3048"/>
        <v>0.89931249999999996</v>
      </c>
      <c r="DB1040" s="188">
        <f t="shared" si="3049"/>
        <v>1.3048868010700074</v>
      </c>
      <c r="DC1040" s="188">
        <f t="shared" si="3050"/>
        <v>0.33886768447837151</v>
      </c>
      <c r="DD1040" s="188">
        <f t="shared" si="3051"/>
        <v>0.78602506232557801</v>
      </c>
      <c r="DE1040" s="188">
        <f t="shared" si="3052"/>
        <v>0.34756768162358759</v>
      </c>
      <c r="DF1040" s="189">
        <f>INDEX('State Tax Lookup'!$D$7:$Z$91,MATCH(Calculation!$C1040,'State Tax Lookup'!$B$7:$B$91,0),MATCH($H1040,'State Tax Lookup'!$D$6:$Z$6,0))</f>
        <v>0.26849999999999996</v>
      </c>
      <c r="DG1040" s="189">
        <v>0.375</v>
      </c>
      <c r="DH1040" s="190">
        <f t="shared" si="3055"/>
        <v>21.171986428085837</v>
      </c>
      <c r="DI1040" s="190">
        <v>20.887135932783146</v>
      </c>
      <c r="DJ1040" s="177"/>
      <c r="DK1040" s="189">
        <f>VLOOKUP($H1040,RoR!$E:$F,2,FALSE)</f>
        <v>3.9299999999999995E-2</v>
      </c>
      <c r="DL1040" s="191">
        <f>HLOOKUP($H1040,'GDP-PI'!$D$8:$CQ$11,3,FALSE)</f>
        <v>2.386056741932796E-2</v>
      </c>
      <c r="DM1040" s="189">
        <f>VLOOKUP(H1040,'HW Dx Data'!$E:$F,2,FALSE)</f>
        <v>755.13671434174842</v>
      </c>
      <c r="DN1040" s="183">
        <f>VLOOKUP(H1040,'ECI - Input Price'!$G$17:$H$37,2,FALSE)</f>
        <v>133.25</v>
      </c>
      <c r="DO1040" s="177">
        <f t="shared" ref="DO1040" si="3107">LN(DN1040/DN1039)</f>
        <v>2.8546181906361531E-2</v>
      </c>
      <c r="DP1040" s="183">
        <f>HLOOKUP(H1040,'GDP-PI'!$8:$9,2,FALSE)</f>
        <v>110.322</v>
      </c>
      <c r="DQ1040" s="177">
        <f t="shared" ref="DQ1040" si="3108">LN(DP1040/DP1039)</f>
        <v>2.3580352716508712E-2</v>
      </c>
    </row>
    <row r="1041" spans="1:121" s="167" customFormat="1" ht="21" x14ac:dyDescent="0.35">
      <c r="A1041" s="167" t="s">
        <v>102</v>
      </c>
      <c r="B1041" s="167" t="s">
        <v>102</v>
      </c>
      <c r="C1041" s="167">
        <v>4063023</v>
      </c>
      <c r="D1041" s="168" t="s">
        <v>145</v>
      </c>
      <c r="E1041" s="168" t="s">
        <v>126</v>
      </c>
      <c r="F1041" s="198"/>
      <c r="G1041" s="167" t="s">
        <v>25</v>
      </c>
      <c r="H1041" s="169">
        <v>2019</v>
      </c>
      <c r="I1041" s="170"/>
      <c r="J1041" s="166">
        <f>IFERROR(INDEX('Labor Expenditures'!$F$7:$X$91,MATCH($C1041,'Labor Expenditures'!$D$7:$D$91,0),MATCH($G1041,'Labor Expenditures'!$F$5:$X$5,0)),"NA")</f>
        <v>32510.614303611354</v>
      </c>
      <c r="K1041" s="166">
        <f t="shared" si="3061"/>
        <v>237.56386045751813</v>
      </c>
      <c r="L1041" s="172">
        <f t="shared" si="3068"/>
        <v>-7.1739423103113778E-2</v>
      </c>
      <c r="M1041" s="172">
        <f t="shared" si="3072"/>
        <v>-1.0656366945294841E-3</v>
      </c>
      <c r="N1041" s="196"/>
      <c r="O1041" s="172"/>
      <c r="P1041" s="166">
        <f>IFERROR(INDEX('Non-Labor Expenditures'!$F$7:$AB$91,MATCH($C1041,'Non-Labor Expenditures'!$D$7:$D$91,0),MATCH($G1041,'Non-Labor Expenditures'!$F$5:$AB$5,0)),"NA")</f>
        <v>47081.441656792522</v>
      </c>
      <c r="Q1041" s="166">
        <f t="shared" si="3062"/>
        <v>419.17984345156185</v>
      </c>
      <c r="R1041" s="172">
        <f t="shared" si="3073"/>
        <v>-6.3011822113781576E-2</v>
      </c>
      <c r="S1041" s="172">
        <f t="shared" si="3078"/>
        <v>-9.359945609974604E-4</v>
      </c>
      <c r="T1041" s="172"/>
      <c r="U1041" s="172"/>
      <c r="V1041" s="166">
        <f t="shared" si="3042"/>
        <v>117750.4309653801</v>
      </c>
      <c r="W1041" s="170"/>
      <c r="X1041" s="174">
        <v>5752.1111447745643</v>
      </c>
      <c r="Y1041" s="175">
        <v>5.0090054059903522E-2</v>
      </c>
      <c r="Z1041" s="175">
        <f t="shared" si="3079"/>
        <v>7.4405114131565885E-4</v>
      </c>
      <c r="AA1041" s="175"/>
      <c r="AB1041" s="175"/>
      <c r="AC1041" s="170">
        <f t="shared" si="3053"/>
        <v>197342.48692578397</v>
      </c>
      <c r="AD1041" s="175">
        <f t="shared" si="3074"/>
        <v>2.772889952904449E-2</v>
      </c>
      <c r="AE1041" s="170"/>
      <c r="AF1041" s="170"/>
      <c r="AG1041" s="121">
        <f t="shared" si="3075"/>
        <v>501.2241839418877</v>
      </c>
      <c r="AH1041" s="119">
        <f>+AZ1041/$BB$57</f>
        <v>1.0311532576052728E-2</v>
      </c>
      <c r="AI1041" s="119">
        <f>+AZ1041/$BC$58</f>
        <v>4.345585531175071E-2</v>
      </c>
      <c r="AJ1041" s="176">
        <f t="shared" si="3080"/>
        <v>5.1683895006222196</v>
      </c>
      <c r="AK1041" s="176">
        <f t="shared" si="3081"/>
        <v>21.781125616128996</v>
      </c>
      <c r="AL1041" s="120">
        <f t="shared" si="3063"/>
        <v>0.16474209284611813</v>
      </c>
      <c r="AM1041" s="120">
        <f t="shared" si="3064"/>
        <v>0.23857732001978257</v>
      </c>
      <c r="AN1041" s="120">
        <f t="shared" si="3065"/>
        <v>0.59668058713409933</v>
      </c>
      <c r="AO1041" s="120">
        <f t="shared" si="3069"/>
        <v>1.259166177771779E-3</v>
      </c>
      <c r="AP1041" s="173">
        <f t="shared" si="3085"/>
        <v>172.77807534123397</v>
      </c>
      <c r="AQ1041" s="175">
        <f t="shared" si="3086"/>
        <v>1.2591661777716732E-3</v>
      </c>
      <c r="AR1041" s="177">
        <f>+AC1041/$AE$57</f>
        <v>1.4854269081559303E-2</v>
      </c>
      <c r="AS1041" s="177">
        <f t="shared" si="3082"/>
        <v>1.8703993223018971E-5</v>
      </c>
      <c r="AT1041" s="177"/>
      <c r="AU1041" s="177"/>
      <c r="AV1041" s="177"/>
      <c r="AW1041" s="190"/>
      <c r="AX1041" s="120"/>
      <c r="AY1041" s="120"/>
      <c r="AZ1041" s="118">
        <f>IFERROR(INDEX('Total Customers'!$F$7:$AB$91,MATCH($C1041,'Total Customers'!$D$7:$D$91,0),MATCH($G1041,'Total Customers'!$F$5:$AB$5,0)),"NA")</f>
        <v>393721</v>
      </c>
      <c r="BA1041" s="119">
        <f t="shared" si="3043"/>
        <v>4.4240651307060688E-3</v>
      </c>
      <c r="BB1041" s="119"/>
      <c r="BC1041" s="121">
        <v>8963640</v>
      </c>
      <c r="BD1041" s="119"/>
      <c r="BE1041" s="119"/>
      <c r="BF1041" s="119"/>
      <c r="BG1041" s="173"/>
      <c r="BH1041" s="173"/>
      <c r="BI1041" s="173"/>
      <c r="BJ1041" s="173"/>
      <c r="BK1041" s="173"/>
      <c r="BL1041" s="173"/>
      <c r="BM1041" s="173"/>
      <c r="BN1041" s="173"/>
      <c r="BO1041" s="173"/>
      <c r="BP1041" s="173"/>
      <c r="BQ1041" s="118"/>
      <c r="BR1041" s="118"/>
      <c r="BS1041" s="118">
        <f>INDEX('Dist. Plant Gas Additions'!$F$7:$AE$91,MATCH($C1041,'Dist. Plant Gas Additions'!$D$7:$D$91,0),MATCH(Calculation!$G1041,'Dist. Plant Gas Additions'!$F$5:$AE$5,0))</f>
        <v>245163</v>
      </c>
      <c r="BT1041" s="118">
        <f>INDEX('Gen. Plant Additions'!$F$7:$AE$91,MATCH($C1041,'Gen. Plant Additions'!$D$7:$D$91,0),MATCH(Calculation!$G1041,'Gen. Plant Additions'!$F$5:$AE$5,0))</f>
        <v>7597</v>
      </c>
      <c r="BU1041" s="118"/>
      <c r="BV1041" s="118"/>
      <c r="BW1041" s="118">
        <f>INDEX('Dist Plant Depreciation'!$E$7:$AD$94,MATCH($C1041,'Dist Plant Depreciation'!$D$7:$D$94,0),MATCH(Calculation!$G1041,'Dist Plant Depreciation'!$E$5:$AD$5,0))</f>
        <v>392979</v>
      </c>
      <c r="BX1041" s="118">
        <f>INDEX('Gen. Plant Depreciation'!$E$7:$AD$94,MATCH($C1041,'Gen. Plant Depreciation'!$D$7:$D$94,0),MATCH(Calculation!$G1041,'Gen. Plant Depreciation'!$E$5:$AD$5,0))</f>
        <v>64475</v>
      </c>
      <c r="BY1041" s="118"/>
      <c r="BZ1041" s="118"/>
      <c r="CA1041" s="118"/>
      <c r="CB1041" s="118"/>
      <c r="CC1041" s="118"/>
      <c r="CD1041" s="183"/>
      <c r="CE1041" s="118">
        <f>INDEX('Gross Dx Plant'!$E$7:$AD$91,MATCH($C1041,'Gross Dx Plant'!$D$7:$D$91,0),MATCH(Calculation!$G1041,'Gross Dx Plant'!$E$5:$AD$5,0))</f>
        <v>2441342</v>
      </c>
      <c r="CF1041" s="118">
        <f>INDEX('Gross Gen Plant'!$E$7:$AD$91,MATCH($C1041,'Gross Gen Plant'!$D$7:$D$91,0),MATCH(Calculation!$G1041,'Gross Gen Plant'!$E$5:$AD$5,0))</f>
        <v>238379</v>
      </c>
      <c r="CG1041" s="118">
        <f t="shared" si="3018"/>
        <v>2222267</v>
      </c>
      <c r="CH1041" s="118"/>
      <c r="CI1041" s="121">
        <v>2019</v>
      </c>
      <c r="CJ1041" s="118"/>
      <c r="CK1041" s="118"/>
      <c r="CL1041" s="118"/>
      <c r="CM1041" s="183"/>
      <c r="CN1041" s="118">
        <f t="shared" si="3044"/>
        <v>252760</v>
      </c>
      <c r="CO1041" s="118">
        <f t="shared" si="3045"/>
        <v>326.75780102358254</v>
      </c>
      <c r="CP1041" s="186">
        <v>0.85106382978723405</v>
      </c>
      <c r="CQ1041" s="118">
        <f>CQ1020*CP1041+CO1021*CP1040+CO1022*CP1039+CO1023*CP1038+CO1024*CP1037+CO1025*CP1036+CO1026*CP1035+CO1027*CP1034+CO1028*CP1033+CO1029*CP1032+CO1030*CP1031+CO1031*CP1030+CO1032*CP1029+CO1033*CP1028+CO1034*CP1027+CO1035*CP1026+CO1036*CP1025+CO1037*CP1024+CO1038*CP1023+CO1039*CP1022+CO1040*CP1021+CO1041</f>
        <v>5752.1111447745643</v>
      </c>
      <c r="CR1041" s="119">
        <f t="shared" si="3046"/>
        <v>5.0090054059903522E-2</v>
      </c>
      <c r="CS1041" s="119"/>
      <c r="CT1041" s="177">
        <f t="shared" si="3047"/>
        <v>8.3587291080637442E-3</v>
      </c>
      <c r="CU1041" s="177">
        <f t="shared" si="3056"/>
        <v>8.2079667980008032E-3</v>
      </c>
      <c r="CV1041" s="119">
        <f>VLOOKUP($H1041,RoR!$E:$F,2,FALSE)</f>
        <v>3.3875000000000009E-2</v>
      </c>
      <c r="CW1041" s="177">
        <v>1.8092492884465461E-2</v>
      </c>
      <c r="CX1041" s="177">
        <f t="shared" si="3054"/>
        <v>1.5782507115534548E-2</v>
      </c>
      <c r="CY1041" s="177">
        <f t="shared" si="3057"/>
        <v>2.269397481053282E-2</v>
      </c>
      <c r="CZ1041" s="177">
        <f t="shared" si="3058"/>
        <v>4.8445665544254078E-2</v>
      </c>
      <c r="DA1041" s="187">
        <f t="shared" si="3048"/>
        <v>0.89931249999999996</v>
      </c>
      <c r="DB1041" s="188">
        <f t="shared" si="3049"/>
        <v>1.513861292459078</v>
      </c>
      <c r="DC1041" s="188">
        <f t="shared" si="3050"/>
        <v>0.23699261992619944</v>
      </c>
      <c r="DD1041" s="188">
        <f t="shared" si="3051"/>
        <v>0.73619765810468829</v>
      </c>
      <c r="DE1041" s="188">
        <f t="shared" si="3052"/>
        <v>0.26412854465362851</v>
      </c>
      <c r="DF1041" s="189">
        <f>INDEX('State Tax Lookup'!$D$7:$Z$91,MATCH(Calculation!$C1041,'State Tax Lookup'!$B$7:$B$91,0),MATCH($H1041,'State Tax Lookup'!$D$6:$Z$6,0))</f>
        <v>0.26849999999999996</v>
      </c>
      <c r="DG1041" s="189">
        <v>0.375</v>
      </c>
      <c r="DH1041" s="190">
        <f t="shared" si="3055"/>
        <v>21.522319305723396</v>
      </c>
      <c r="DI1041" s="190">
        <v>21.26577533543826</v>
      </c>
      <c r="DJ1041" s="177"/>
      <c r="DK1041" s="189">
        <f>VLOOKUP($H1041,RoR!$E:$F,2,FALSE)</f>
        <v>3.3875000000000009E-2</v>
      </c>
      <c r="DL1041" s="191">
        <f>HLOOKUP($H1041,'GDP-PI'!$D$8:$CQ$11,3,FALSE)</f>
        <v>1.8092492884465461E-2</v>
      </c>
      <c r="DM1041" s="189">
        <f>VLOOKUP(H1041,'HW Dx Data'!$E:$F,2,FALSE)</f>
        <v>773.53929793938721</v>
      </c>
      <c r="DN1041" s="183">
        <f>VLOOKUP(H1041,'ECI - Input Price'!$G$17:$H$37,2,FALSE)</f>
        <v>136.85</v>
      </c>
      <c r="DO1041" s="177">
        <f t="shared" ref="DO1041" si="3109">LN(DN1041/DN1040)</f>
        <v>2.6658372440734168E-2</v>
      </c>
      <c r="DP1041" s="183">
        <f>HLOOKUP(H1041,'GDP-PI'!$8:$9,2,FALSE)</f>
        <v>112.318</v>
      </c>
      <c r="DQ1041" s="177">
        <f t="shared" ref="DQ1041" si="3110">LN(DP1041/DP1040)</f>
        <v>1.7930771451401852E-2</v>
      </c>
    </row>
    <row r="1042" spans="1:121" s="167" customFormat="1" ht="21" x14ac:dyDescent="0.35">
      <c r="A1042" s="167" t="s">
        <v>102</v>
      </c>
      <c r="B1042" s="167" t="s">
        <v>102</v>
      </c>
      <c r="C1042" s="167">
        <v>4063023</v>
      </c>
      <c r="D1042" s="167" t="s">
        <v>145</v>
      </c>
      <c r="E1042" s="167" t="s">
        <v>126</v>
      </c>
      <c r="G1042" s="168" t="s">
        <v>26</v>
      </c>
      <c r="H1042" s="169">
        <v>2020</v>
      </c>
      <c r="I1042" s="170"/>
      <c r="J1042" s="166">
        <v>32511</v>
      </c>
      <c r="K1042" s="166">
        <f t="shared" si="3061"/>
        <v>231.47739409042364</v>
      </c>
      <c r="L1042" s="172">
        <f t="shared" si="3068"/>
        <v>-2.5954254427363644E-2</v>
      </c>
      <c r="M1042" s="172">
        <f t="shared" si="3072"/>
        <v>-3.9566092646799243E-4</v>
      </c>
      <c r="N1042" s="196"/>
      <c r="O1042" s="172"/>
      <c r="P1042" s="166">
        <v>47081</v>
      </c>
      <c r="Q1042" s="166">
        <f t="shared" si="3062"/>
        <v>414.36152891580048</v>
      </c>
      <c r="R1042" s="172">
        <f t="shared" si="3073"/>
        <v>-1.1561197473539304E-2</v>
      </c>
      <c r="S1042" s="172">
        <f t="shared" si="3078"/>
        <v>-1.7624525167007926E-4</v>
      </c>
      <c r="T1042" s="172"/>
      <c r="U1042" s="172"/>
      <c r="V1042" s="166">
        <f t="shared" si="3042"/>
        <v>129207.5572162129</v>
      </c>
      <c r="W1042" s="170"/>
      <c r="X1042" s="174">
        <v>6013.8370741259223</v>
      </c>
      <c r="Y1042" s="175">
        <v>4.4496050062488635E-2</v>
      </c>
      <c r="Z1042" s="175">
        <f t="shared" si="3079"/>
        <v>6.7832225507233432E-4</v>
      </c>
      <c r="AA1042" s="175"/>
      <c r="AB1042" s="175"/>
      <c r="AC1042" s="170">
        <f t="shared" si="3053"/>
        <v>208799.55721621291</v>
      </c>
      <c r="AD1042" s="175">
        <f t="shared" si="3074"/>
        <v>5.6434003805920542E-2</v>
      </c>
      <c r="AE1042" s="170"/>
      <c r="AF1042" s="170"/>
      <c r="AG1042" s="121">
        <f t="shared" si="3075"/>
        <v>530.32364851306613</v>
      </c>
      <c r="AH1042" s="119">
        <f>+AZ1042/$BB$58</f>
        <v>1.0239036103771113E-2</v>
      </c>
      <c r="AI1042" s="119">
        <f>+AZ1042/$BC$59</f>
        <v>4.3199199129347214E-2</v>
      </c>
      <c r="AJ1042" s="176">
        <f t="shared" si="3080"/>
        <v>5.4300029838089063</v>
      </c>
      <c r="AK1042" s="176">
        <f t="shared" si="3081"/>
        <v>22.909556895117884</v>
      </c>
      <c r="AL1042" s="120">
        <f t="shared" si="3063"/>
        <v>0.15570435317702666</v>
      </c>
      <c r="AM1042" s="120">
        <f t="shared" si="3064"/>
        <v>0.22548419463958636</v>
      </c>
      <c r="AN1042" s="120">
        <f t="shared" si="3065"/>
        <v>0.61881145218338696</v>
      </c>
      <c r="AO1042" s="120">
        <f t="shared" si="3069"/>
        <v>2.0201269615375703E-2</v>
      </c>
      <c r="AP1042" s="173">
        <f t="shared" si="3085"/>
        <v>176.30390503877879</v>
      </c>
      <c r="AQ1042" s="175">
        <f t="shared" si="3086"/>
        <v>2.0201269615375706E-2</v>
      </c>
      <c r="AR1042" s="177">
        <f>+AC1042/$AE$58</f>
        <v>1.5244549889703092E-2</v>
      </c>
      <c r="AS1042" s="177">
        <f t="shared" si="3082"/>
        <v>3.0795926248693812E-4</v>
      </c>
      <c r="AT1042" s="177"/>
      <c r="AU1042" s="177"/>
      <c r="AV1042" s="177"/>
      <c r="AW1042" s="190"/>
      <c r="AX1042" s="120"/>
      <c r="AY1042" s="120"/>
      <c r="AZ1042" s="118">
        <v>393721</v>
      </c>
      <c r="BA1042" s="119">
        <f t="shared" si="3043"/>
        <v>0</v>
      </c>
      <c r="BB1042" s="119"/>
      <c r="BC1042" s="121">
        <v>9060252</v>
      </c>
      <c r="BD1042" s="119"/>
      <c r="BE1042" s="119"/>
      <c r="BF1042" s="119"/>
      <c r="BG1042" s="173"/>
      <c r="BH1042" s="173"/>
      <c r="BI1042" s="173"/>
      <c r="BJ1042" s="173"/>
      <c r="BK1042" s="173"/>
      <c r="BL1042" s="173"/>
      <c r="BM1042" s="173"/>
      <c r="BN1042" s="173"/>
      <c r="BO1042" s="173"/>
      <c r="BP1042" s="173"/>
      <c r="BQ1042" s="118"/>
      <c r="BR1042" s="118"/>
      <c r="BS1042" s="118" t="str">
        <f>INDEX('Dist. Plant Gas Additions'!$F$7:$AE$91,MATCH($C1042,'Dist. Plant Gas Additions'!$D$7:$D$91,0),MATCH(Calculation!$G1042,'Dist. Plant Gas Additions'!$F$5:$AE$5,0))</f>
        <v>NA</v>
      </c>
      <c r="BT1042" s="118" t="str">
        <f>INDEX('Gen. Plant Additions'!$F$7:$AE$91,MATCH($C1042,'Gen. Plant Additions'!$D$7:$D$91,0),MATCH(Calculation!$G1042,'Gen. Plant Additions'!$F$5:$AE$5,0))</f>
        <v>NA</v>
      </c>
      <c r="BU1042" s="118"/>
      <c r="BV1042" s="118"/>
      <c r="BW1042" s="118" t="str">
        <f>INDEX('Dist Plant Depreciation'!$E$7:$AD$94,MATCH($C1042,'Dist Plant Depreciation'!$D$7:$D$94,0),MATCH(Calculation!$G1042,'Dist Plant Depreciation'!$E$5:$AD$5,0))</f>
        <v>NA</v>
      </c>
      <c r="BX1042" s="118" t="str">
        <f>INDEX('Gen. Plant Depreciation'!$E$7:$AD$94,MATCH($C1042,'Gen. Plant Depreciation'!$D$7:$D$94,0),MATCH(Calculation!$G1042,'Gen. Plant Depreciation'!$E$5:$AD$5,0))</f>
        <v>NA</v>
      </c>
      <c r="BY1042" s="118"/>
      <c r="BZ1042" s="118"/>
      <c r="CA1042" s="118"/>
      <c r="CB1042" s="118"/>
      <c r="CC1042" s="118"/>
      <c r="CD1042" s="183"/>
      <c r="CE1042" s="118" t="str">
        <f>INDEX('Gross Dx Plant'!$E$7:$AD$91,MATCH($C1042,'Gross Dx Plant'!$D$7:$D$91,0),MATCH(Calculation!$G1042,'Gross Dx Plant'!$E$5:$AD$5,0))</f>
        <v>NA</v>
      </c>
      <c r="CF1042" s="118" t="str">
        <f>INDEX('Gross Gen Plant'!$E$7:$AD$91,MATCH($C1042,'Gross Gen Plant'!$D$7:$D$91,0),MATCH(Calculation!$G1042,'Gross Gen Plant'!$E$5:$AD$5,0))</f>
        <v>NA</v>
      </c>
      <c r="CG1042" s="118" t="str">
        <f t="shared" si="3018"/>
        <v>NA</v>
      </c>
      <c r="CH1042" s="118"/>
      <c r="CI1042" s="121">
        <v>2020</v>
      </c>
      <c r="CJ1042" s="118"/>
      <c r="CK1042" s="118"/>
      <c r="CL1042" s="118"/>
      <c r="CM1042" s="183"/>
      <c r="CN1042" s="118">
        <v>252760</v>
      </c>
      <c r="CO1042" s="118">
        <f t="shared" si="3045"/>
        <v>310.86725721560998</v>
      </c>
      <c r="CP1042" s="186">
        <v>0.84057971014492749</v>
      </c>
      <c r="CQ1042" s="118">
        <f>CQ1020*CP1042+CO1021*CP1041+CO1022*CP1040+CO1023*CP1039+CO1024*CP1038+CO1025*CP1037+CO1026*CP1036+CO1027*CP1035+CO1028*CP1034+CO1029*CP1033+CO1030*CP1032+CO1031*CP1031+CO1032*CP1030+CO1033*CP1029+CO1034*CP1028+CO1035*CP1027+CO1036*CP1026+CO1037*CP1025+CO1038*CP1024+CO1039*CP1023+CO1040*CP1022+CO1041*CP1021+CO1042</f>
        <v>6013.8370741259223</v>
      </c>
      <c r="CR1042" s="119">
        <f t="shared" si="3046"/>
        <v>4.4496050062488635E-2</v>
      </c>
      <c r="CS1042" s="119"/>
      <c r="CT1042" s="177">
        <f t="shared" si="3047"/>
        <v>8.5431812125003597E-3</v>
      </c>
      <c r="CU1042" s="177">
        <f t="shared" si="3056"/>
        <v>8.3749745538110841E-3</v>
      </c>
      <c r="CV1042" s="119">
        <f>VLOOKUP($H1042,RoR!$E:$F,2,FALSE)</f>
        <v>2.4766666666666666E-2</v>
      </c>
      <c r="CW1042" s="177">
        <v>1.1618796630994188E-2</v>
      </c>
      <c r="CX1042" s="177">
        <f t="shared" si="3054"/>
        <v>1.3147870035672478E-2</v>
      </c>
      <c r="CY1042" s="177">
        <f t="shared" si="3057"/>
        <v>2.2526967054722541E-2</v>
      </c>
      <c r="CZ1042" s="177">
        <f t="shared" si="3058"/>
        <v>4.5144642961987357E-2</v>
      </c>
      <c r="DA1042" s="187">
        <f t="shared" si="3048"/>
        <v>0.89931249999999996</v>
      </c>
      <c r="DB1042" s="188">
        <f t="shared" si="3049"/>
        <v>2.0706077233668081</v>
      </c>
      <c r="DC1042" s="188">
        <f t="shared" si="3050"/>
        <v>-3.4421265141318998E-2</v>
      </c>
      <c r="DD1042" s="188">
        <f t="shared" si="3051"/>
        <v>0.62416226176410472</v>
      </c>
      <c r="DE1042" s="188">
        <f t="shared" si="3052"/>
        <v>-4.4485877841158712E-2</v>
      </c>
      <c r="DF1042" s="189">
        <f>INDEX('State Tax Lookup'!$D$7:$Z$91,MATCH(Calculation!$C1042,'State Tax Lookup'!$B$7:$B$91,0),MATCH($H1042,'State Tax Lookup'!$D$6:$Z$6,0))</f>
        <v>0.26849999999999996</v>
      </c>
      <c r="DG1042" s="189">
        <v>0.375</v>
      </c>
      <c r="DH1042" s="190">
        <f t="shared" si="3055"/>
        <v>22.462632234356239</v>
      </c>
      <c r="DI1042" s="190">
        <v>22.215499421049021</v>
      </c>
      <c r="DJ1042" s="177"/>
      <c r="DK1042" s="189">
        <f>VLOOKUP($H1042,RoR!$E:$F,2,FALSE)</f>
        <v>2.4766666666666666E-2</v>
      </c>
      <c r="DL1042" s="191">
        <f>HLOOKUP($H1042,'GDP-PI'!$D$8:$CQ$11,3,FALSE)</f>
        <v>1.1618796630994188E-2</v>
      </c>
      <c r="DM1042" s="189">
        <f>VLOOKUP(H1042,'HW Dx Data'!$E:$F,2,FALSE)</f>
        <v>813.080162458833</v>
      </c>
      <c r="DN1042" s="183">
        <f>VLOOKUP(H1042,'ECI - Input Price'!$G$17:$H$37,2,FALSE)</f>
        <v>140.44999999999999</v>
      </c>
      <c r="DO1042" s="177">
        <f t="shared" ref="DO1042" si="3111">LN(DN1042/DN1041)</f>
        <v>2.5966118063564539E-2</v>
      </c>
      <c r="DP1042" s="183">
        <f>HLOOKUP(H1042,'GDP-PI'!$8:$9,2,FALSE)</f>
        <v>113.623</v>
      </c>
      <c r="DQ1042" s="177">
        <f t="shared" ref="DQ1042" si="3112">LN(DP1042/DP1041)</f>
        <v>1.1551816731392881E-2</v>
      </c>
    </row>
    <row r="1043" spans="1:121" s="167" customFormat="1" ht="21" x14ac:dyDescent="0.35">
      <c r="A1043" s="167" t="s">
        <v>102</v>
      </c>
      <c r="B1043" s="167" t="s">
        <v>102</v>
      </c>
      <c r="C1043" s="167">
        <v>4063023</v>
      </c>
      <c r="D1043" s="167" t="s">
        <v>145</v>
      </c>
      <c r="E1043" s="167" t="s">
        <v>126</v>
      </c>
      <c r="G1043" s="168" t="s">
        <v>462</v>
      </c>
      <c r="H1043" s="169">
        <v>2021</v>
      </c>
      <c r="I1043" s="170"/>
      <c r="J1043" s="166">
        <f>IFERROR(INDEX('Labor Expenditures'!$E$7:$X$91,MATCH($C1043,'Labor Expenditures'!$D$7:$D$91,0),MATCH($G1043,'Labor Expenditures'!$E$5:$X$5,0)),"NA")</f>
        <v>34574.510450574562</v>
      </c>
      <c r="K1043" s="166">
        <f t="shared" si="3061"/>
        <v>237.66633751898647</v>
      </c>
      <c r="L1043" s="171">
        <f t="shared" si="3068"/>
        <v>2.6385527791274566E-2</v>
      </c>
      <c r="M1043" s="172">
        <f t="shared" si="3072"/>
        <v>3.7637701491858878E-4</v>
      </c>
      <c r="N1043" s="196"/>
      <c r="O1043" s="172"/>
      <c r="P1043" s="166">
        <f>IFERROR(INDEX('Non-Labor Expenditures'!$E$7:$AB$91,MATCH($C1043,'Non-Labor Expenditures'!$D$7:$D$91,0),MATCH($G1043,'Non-Labor Expenditures'!$E$5:$AB$5,0)),"NA")</f>
        <v>48737.562924303907</v>
      </c>
      <c r="Q1043" s="166">
        <f t="shared" si="3062"/>
        <v>411.32216156894174</v>
      </c>
      <c r="R1043" s="172">
        <f t="shared" si="3073"/>
        <v>-7.3620954605146914E-3</v>
      </c>
      <c r="S1043" s="172">
        <f t="shared" si="3078"/>
        <v>-1.050167931031696E-4</v>
      </c>
      <c r="T1043" s="172"/>
      <c r="U1043" s="172"/>
      <c r="V1043" s="166">
        <f t="shared" si="3042"/>
        <v>127067.23197791989</v>
      </c>
      <c r="W1043" s="170"/>
      <c r="X1043" s="174">
        <v>6152.8674143905164</v>
      </c>
      <c r="Y1043" s="175"/>
      <c r="Z1043" s="175">
        <f t="shared" si="3079"/>
        <v>0</v>
      </c>
      <c r="AA1043" s="175"/>
      <c r="AB1043" s="175"/>
      <c r="AC1043" s="170">
        <f t="shared" si="3053"/>
        <v>210379.30535279837</v>
      </c>
      <c r="AD1043" s="175">
        <f t="shared" si="3074"/>
        <v>7.537382042442111E-3</v>
      </c>
      <c r="AE1043" s="118"/>
      <c r="AF1043" s="119"/>
      <c r="AG1043" s="121">
        <f t="shared" si="3075"/>
        <v>515.33620262935096</v>
      </c>
      <c r="AH1043" s="119">
        <f>+AZ1043/$BB$59</f>
        <v>1.0474014042931155E-2</v>
      </c>
      <c r="AI1043" s="119">
        <f>+AZ1043/$BC$44</f>
        <v>4.9499010412643922E-2</v>
      </c>
      <c r="AJ1043" s="176">
        <f t="shared" si="3080"/>
        <v>5.3976386231706375</v>
      </c>
      <c r="AK1043" s="176">
        <f t="shared" si="3081"/>
        <v>25.508632059962622</v>
      </c>
      <c r="AL1043" s="120">
        <f t="shared" si="3063"/>
        <v>0.16434368576602332</v>
      </c>
      <c r="AM1043" s="120">
        <f t="shared" si="3064"/>
        <v>0.23166519559788831</v>
      </c>
      <c r="AN1043" s="120">
        <f t="shared" si="3065"/>
        <v>0.60399111863608834</v>
      </c>
      <c r="AO1043" s="120">
        <f t="shared" si="3069"/>
        <v>2.5395294877151998E-3</v>
      </c>
      <c r="AP1043" s="173">
        <f t="shared" si="3085"/>
        <v>176.75220299643485</v>
      </c>
      <c r="AQ1043" s="175">
        <f t="shared" si="3086"/>
        <v>2.5395294877150918E-3</v>
      </c>
      <c r="AR1043" s="177">
        <f>+AC1043/$AE$59</f>
        <v>1.4264524776459198E-2</v>
      </c>
      <c r="AS1043" s="177">
        <f t="shared" si="3082"/>
        <v>3.6225181298060663E-5</v>
      </c>
      <c r="AT1043" s="177"/>
      <c r="AU1043" s="177"/>
      <c r="AV1043" s="177"/>
      <c r="AW1043" s="190"/>
      <c r="AX1043" s="120"/>
      <c r="AY1043" s="120"/>
      <c r="AZ1043" s="118">
        <f>INDEX('Total Customers'!$E$7:$E$91,MATCH(Calculation!$C1043,'Total Customers'!$D$7:$D$91,0))</f>
        <v>408237</v>
      </c>
      <c r="BA1043" s="119">
        <f t="shared" si="3043"/>
        <v>3.620535147641598E-2</v>
      </c>
      <c r="BB1043" s="118"/>
      <c r="BC1043" s="121"/>
      <c r="BD1043" s="118"/>
      <c r="BE1043" s="119"/>
      <c r="BF1043" s="119"/>
      <c r="BG1043" s="173"/>
      <c r="BH1043" s="173"/>
      <c r="BI1043" s="173"/>
      <c r="BJ1043" s="173"/>
      <c r="BK1043" s="173"/>
      <c r="BL1043" s="173"/>
      <c r="BM1043" s="173"/>
      <c r="BN1043" s="173"/>
      <c r="BO1043" s="173"/>
      <c r="BP1043" s="173"/>
      <c r="BQ1043" s="118"/>
      <c r="BR1043" s="118"/>
      <c r="BS1043" s="118">
        <f>INDEX('Dist. Plant Gas Additions'!$E$7:$AE$91,MATCH($C1043,'Dist. Plant Gas Additions'!$D$7:$D$91,0),MATCH(Calculation!$G1043,'Dist. Plant Gas Additions'!$E$5:$AE$5,0))</f>
        <v>239351.49900000001</v>
      </c>
      <c r="BT1043" s="118">
        <f>INDEX('Gen. Plant Additions'!$E$7:$AE$91,MATCH($C1043,'Gen. Plant Additions'!$D$7:$D$91,0),MATCH(Calculation!$G1043,'Gen. Plant Additions'!$E$5:$AE$5,0))</f>
        <v>4295.9070000000002</v>
      </c>
      <c r="BU1043" s="118"/>
      <c r="BV1043" s="118"/>
      <c r="BW1043" s="118"/>
      <c r="BX1043" s="118"/>
      <c r="BY1043" s="183"/>
      <c r="BZ1043" s="183"/>
      <c r="CA1043" s="178"/>
      <c r="CB1043" s="184"/>
      <c r="CC1043" s="185"/>
      <c r="CD1043" s="185"/>
      <c r="CE1043" s="118"/>
      <c r="CF1043" s="118"/>
      <c r="CG1043" s="118"/>
      <c r="CH1043" s="118"/>
      <c r="CI1043" s="121">
        <v>2021</v>
      </c>
      <c r="CJ1043" s="118"/>
      <c r="CK1043" s="118"/>
      <c r="CL1043" s="118"/>
      <c r="CM1043" s="183"/>
      <c r="CN1043" s="118">
        <f t="shared" ref="CN1043" si="3113">+BT1043+BS1043</f>
        <v>243647.40600000002</v>
      </c>
      <c r="CO1043" s="118">
        <f t="shared" si="3045"/>
        <v>261.13776056265374</v>
      </c>
      <c r="CP1043" s="186">
        <f>+(51-23)/(51-23*0.75)</f>
        <v>0.82962962962962961</v>
      </c>
      <c r="CQ1043" s="118">
        <f>CQ1020*CP1043+CO1021*CP1042+CO1022*CP1041+CO1023*CP1040+CO1024*CP1039+CO1025*CP1038+CO1026*CP1037+CO1027*CP1036+CO1028*CP1035+CO1029*CP1034+CO1030*CP1033+CO1031*CP1032+CO1032*CP1031+CO1033*CP1030+CO1034*CP1029+CO1025*CP1028+CO1036*CP1027+CO1037*CP1026+CO1038*CP1025+CO1039*CP1024+CO1040*CP1023+CO1041*CP1022+CO1043+CO1042*CP1021</f>
        <v>6152.8674143905164</v>
      </c>
      <c r="CR1043" s="119"/>
      <c r="CS1043" s="118"/>
      <c r="CT1043" s="177">
        <f t="shared" si="3047"/>
        <v>2.0304411109409261E-2</v>
      </c>
      <c r="CU1043" s="177">
        <f t="shared" si="3056"/>
        <v>1.2402107143324454E-2</v>
      </c>
      <c r="CV1043" s="119">
        <f>VLOOKUP($H1043,RoR!$E:$F,2,FALSE)</f>
        <v>2.7033333333333336E-2</v>
      </c>
      <c r="CW1043" s="177"/>
      <c r="CX1043" s="177"/>
      <c r="CY1043" s="177">
        <f t="shared" si="3057"/>
        <v>1.849983446520917E-2</v>
      </c>
      <c r="CZ1043" s="177">
        <f t="shared" si="3058"/>
        <v>7.433422950153494E-2</v>
      </c>
      <c r="DA1043" s="187">
        <f t="shared" si="3048"/>
        <v>0.89931249999999996</v>
      </c>
      <c r="DB1043" s="188">
        <f t="shared" si="3049"/>
        <v>1.8969932656739068</v>
      </c>
      <c r="DC1043" s="188">
        <f t="shared" si="3050"/>
        <v>5.0215782983970621E-2</v>
      </c>
      <c r="DD1043" s="188">
        <f t="shared" si="3051"/>
        <v>0.655952481704143</v>
      </c>
      <c r="DE1043" s="188">
        <f t="shared" si="3052"/>
        <v>6.2485378865697057E-2</v>
      </c>
      <c r="DF1043" s="189">
        <f>DF1042</f>
        <v>0.26849999999999996</v>
      </c>
      <c r="DG1043" s="189">
        <v>0.375</v>
      </c>
      <c r="DH1043" s="190">
        <f t="shared" si="3055"/>
        <v>21.12914440675771</v>
      </c>
      <c r="DI1043" s="190"/>
      <c r="DJ1043" s="177">
        <f t="shared" ref="DJ1043" si="3114">LN(DH1043/DH1042)</f>
        <v>-6.1199800049573268E-2</v>
      </c>
      <c r="DK1043" s="189">
        <f>VLOOKUP($H1043,RoR!$E:$F,2,FALSE)</f>
        <v>2.7033333333333336E-2</v>
      </c>
      <c r="DL1043" s="191">
        <f>HLOOKUP($H1043,'GDP-PI'!$D$8:$CR$11,3,FALSE)</f>
        <v>4.2834637353352578E-2</v>
      </c>
      <c r="DM1043" s="189">
        <f>VLOOKUP(H1043,'HW Dx Data'!$E:$F,2,FALSE)</f>
        <v>933.02249921662576</v>
      </c>
      <c r="DN1043" s="183">
        <f>VLOOKUP(H1043,'ECI - Input Price'!$G$17:$H$37,2,FALSE)</f>
        <v>145.47500000000002</v>
      </c>
      <c r="DO1043" s="177">
        <f t="shared" ref="DO1043" si="3115">LN(DN1043/DN1042)</f>
        <v>3.5152696992481205E-2</v>
      </c>
      <c r="DP1043" s="183">
        <f>HLOOKUP(H1043,'GDP-PI'!$8:$9,2,FALSE)</f>
        <v>118.49</v>
      </c>
      <c r="DQ1043" s="177">
        <f t="shared" ref="DQ1043" si="3116">LN(DP1043/DP1042)</f>
        <v>4.194261824609434E-2</v>
      </c>
    </row>
    <row r="1044" spans="1:121" s="167" customFormat="1" ht="21" x14ac:dyDescent="0.35">
      <c r="A1044" s="167" t="s">
        <v>103</v>
      </c>
      <c r="B1044" s="167" t="s">
        <v>103</v>
      </c>
      <c r="C1044" s="167">
        <v>4057146</v>
      </c>
      <c r="D1044" s="168" t="s">
        <v>146</v>
      </c>
      <c r="E1044" s="168"/>
      <c r="F1044" s="198"/>
      <c r="G1044" s="167" t="s">
        <v>4</v>
      </c>
      <c r="H1044" s="169">
        <v>1998</v>
      </c>
      <c r="I1044" s="170"/>
      <c r="J1044" s="166"/>
      <c r="K1044" s="166"/>
      <c r="L1044" s="166"/>
      <c r="M1044" s="166"/>
      <c r="N1044" s="196"/>
      <c r="O1044" s="166"/>
      <c r="P1044" s="172"/>
      <c r="Q1044" s="172"/>
      <c r="R1044" s="172"/>
      <c r="S1044" s="166"/>
      <c r="T1044" s="172"/>
      <c r="U1044" s="172"/>
      <c r="V1044" s="166">
        <f t="shared" ref="V1044:V1067" si="3117">+CQ1043*DH1044</f>
        <v>0</v>
      </c>
      <c r="W1044" s="170"/>
      <c r="X1044" s="174">
        <v>11467.576030575954</v>
      </c>
      <c r="Y1044" s="175"/>
      <c r="Z1044" s="166"/>
      <c r="AA1044" s="175"/>
      <c r="AB1044" s="175"/>
      <c r="AC1044" s="170">
        <f t="shared" si="3053"/>
        <v>0</v>
      </c>
      <c r="AD1044" s="170"/>
      <c r="AE1044" s="170"/>
      <c r="AF1044" s="119"/>
      <c r="AG1044" s="174">
        <f>+(AG1066+AG1065+AG1064)/3</f>
        <v>269.6293680810175</v>
      </c>
      <c r="AH1044" s="175"/>
      <c r="AI1044" s="175"/>
      <c r="AJ1044" s="174"/>
      <c r="AK1044" s="174"/>
      <c r="AL1044" s="120"/>
      <c r="AM1044" s="120"/>
      <c r="AN1044" s="120"/>
      <c r="AO1044" s="120"/>
      <c r="AP1044" s="120"/>
      <c r="AQ1044" s="175">
        <f>AVERAGE(AQ1053:AQ1067)</f>
        <v>2.589563307956429E-2</v>
      </c>
      <c r="AR1044" s="120"/>
      <c r="AS1044" s="120"/>
      <c r="AT1044" s="120"/>
      <c r="AU1044" s="120"/>
      <c r="AV1044" s="120"/>
      <c r="AW1044" s="120"/>
      <c r="AX1044" s="120"/>
      <c r="AY1044" s="120"/>
      <c r="AZ1044" s="118">
        <f>IFERROR(INDEX('Total Customers'!$F$7:$AB$91,MATCH($C1044,'Total Customers'!$D$7:$D$91,0),MATCH($G1044,'Total Customers'!$F$5:$AB$5,0)),"NA")</f>
        <v>4864772</v>
      </c>
      <c r="BA1044" s="119"/>
      <c r="BB1044" s="119"/>
      <c r="BC1044" s="121"/>
      <c r="BD1044" s="119"/>
      <c r="BE1044" s="119"/>
      <c r="BF1044" s="119"/>
      <c r="BG1044" s="173"/>
      <c r="BH1044" s="173"/>
      <c r="BI1044" s="173"/>
      <c r="BJ1044" s="173"/>
      <c r="BK1044" s="173"/>
      <c r="BL1044" s="173"/>
      <c r="BM1044" s="173"/>
      <c r="BN1044" s="173"/>
      <c r="BO1044" s="173"/>
      <c r="BP1044" s="173"/>
      <c r="BQ1044" s="118">
        <f>INDEX('Gross Dx Plant'!$E$7:$AD$91,MATCH($C1044,'Gross Dx Plant'!$D$7:$D$91,0),MATCH(Calculation!$G1044,'Gross Dx Plant'!$E$5:$AD$5,0))</f>
        <v>4200349</v>
      </c>
      <c r="BR1044" s="118">
        <f>INDEX('Gross Gen Plant'!$E$7:$AD$91,MATCH($C1044,'Gross Gen Plant'!$D$7:$D$91,0),MATCH(Calculation!$G1044,'Gross Gen Plant'!$E$5:$AD$5,0))</f>
        <v>438322</v>
      </c>
      <c r="BS1044" s="118">
        <f>INDEX('Dist. Plant Gas Additions'!$F$7:$AE$91,MATCH($C1044,'Dist. Plant Gas Additions'!$D$7:$D$91,0),MATCH(Calculation!$G1044,'Dist. Plant Gas Additions'!$F$5:$AE$5,0))</f>
        <v>95686</v>
      </c>
      <c r="BT1044" s="118">
        <f>INDEX('Gen. Plant Additions'!$F$7:$AE$91,MATCH($C1044,'Gen. Plant Additions'!$D$7:$D$91,0),MATCH(Calculation!$G1044,'Gen. Plant Additions'!$F$5:$AE$5,0))</f>
        <v>33419</v>
      </c>
      <c r="BU1044" s="118" t="e">
        <f>INDEX('Dist Plant Depreciation'!$E$7:$AA$94,MATCH($C1044,'Dist Plant Depreciation'!$D$7:$D$94,0),MATCH(#REF!,'Dist Plant Depreciation'!$E$5:$AA$5,0))</f>
        <v>#REF!</v>
      </c>
      <c r="BV1044" s="118" t="e">
        <f>INDEX('Gen. Plant Depreciation'!$E$7:$AA$94,MATCH($C1044,'Gen. Plant Depreciation'!$D$7:$D$94,0),MATCH(#REF!,'Gen. Plant Depreciation'!$E$5:$AA$5,0))</f>
        <v>#REF!</v>
      </c>
      <c r="BW1044" s="118">
        <f>INDEX('Dist Plant Depreciation'!$E$7:$AD$94,MATCH($C1044,'Dist Plant Depreciation'!$D$7:$D$94,0),MATCH(Calculation!$G1044,'Dist Plant Depreciation'!$E$5:$AD$5,0))</f>
        <v>2198338</v>
      </c>
      <c r="BX1044" s="118">
        <f>INDEX('Gen. Plant Depreciation'!$E$7:$AD$94,MATCH($C1044,'Gen. Plant Depreciation'!$D$7:$D$94,0),MATCH(Calculation!$G1044,'Gen. Plant Depreciation'!$E$5:$AD$5,0))</f>
        <v>127100</v>
      </c>
      <c r="BY1044" s="118"/>
      <c r="BZ1044" s="118"/>
      <c r="CA1044" s="118"/>
      <c r="CB1044" s="118"/>
      <c r="CC1044" s="118"/>
      <c r="CD1044" s="183"/>
      <c r="CE1044" s="118">
        <f>INDEX('Gross Dx Plant'!$E$7:$AD$91,MATCH($C1044,'Gross Dx Plant'!$D$7:$D$91,0),MATCH(Calculation!$G1044,'Gross Dx Plant'!$E$5:$AD$5,0))</f>
        <v>4200349</v>
      </c>
      <c r="CF1044" s="118">
        <f>INDEX('Gross Gen Plant'!$E$7:$AD$91,MATCH($C1044,'Gross Gen Plant'!$D$7:$D$91,0),MATCH(Calculation!$G1044,'Gross Gen Plant'!$E$5:$AD$5,0))</f>
        <v>438322</v>
      </c>
      <c r="CG1044" s="118">
        <f t="shared" si="3018"/>
        <v>2313233</v>
      </c>
      <c r="CH1044" s="118"/>
      <c r="CI1044" s="121">
        <v>1998</v>
      </c>
      <c r="CJ1044" s="118">
        <f>BQ1044+BR1044</f>
        <v>4638671</v>
      </c>
      <c r="CK1044" s="118">
        <f>2198338+127100</f>
        <v>2325438</v>
      </c>
      <c r="CL1044" s="118">
        <f>+CJ1044-CK1044</f>
        <v>2313233</v>
      </c>
      <c r="CM1044" s="118">
        <f>CL1044/$CD$36</f>
        <v>11467.576030575954</v>
      </c>
      <c r="CN1044" s="183"/>
      <c r="CO1044" s="183"/>
      <c r="CP1044" s="186">
        <v>1</v>
      </c>
      <c r="CQ1044" s="118">
        <f>+CM1044</f>
        <v>11467.576030575954</v>
      </c>
      <c r="CR1044" s="119"/>
      <c r="CS1044" s="119"/>
      <c r="CT1044" s="177"/>
      <c r="CU1044" s="177"/>
      <c r="CV1044" s="119" t="e">
        <f>VLOOKUP($H1044,RoR!$E:$F,2,FALSE)</f>
        <v>#N/A</v>
      </c>
      <c r="CW1044" s="177">
        <v>1.1028127770464469E-2</v>
      </c>
      <c r="CX1044" s="177"/>
      <c r="CY1044" s="177"/>
      <c r="CZ1044" s="177"/>
      <c r="DA1044" s="187"/>
      <c r="DB1044" s="190" t="e">
        <f>2/(DK1044*39)</f>
        <v>#N/A</v>
      </c>
      <c r="DC1044" s="188" t="e">
        <f>+(DK1044*40-(1+DK1044))/(DK1044*40)</f>
        <v>#N/A</v>
      </c>
      <c r="DD1044" s="188" t="e">
        <f>+(1-(1/(1+DK1044)^40))</f>
        <v>#N/A</v>
      </c>
      <c r="DE1044" s="188" t="e">
        <f>+DD1044*DC1044*DB1044</f>
        <v>#N/A</v>
      </c>
      <c r="DF1044" s="189">
        <f>INDEX('State Tax Lookup'!$D$7:$Z$91,MATCH(Calculation!$C1044,'State Tax Lookup'!$B$7:$B$91,0),MATCH($H1044,'State Tax Lookup'!$D$6:$Z$6,0))</f>
        <v>0.40745999999999999</v>
      </c>
      <c r="DG1044" s="189">
        <v>0.375</v>
      </c>
      <c r="DH1044" s="183"/>
      <c r="DI1044" s="183"/>
      <c r="DJ1044" s="177"/>
      <c r="DK1044" s="189" t="e">
        <f>VLOOKUP($H1044,RoR!$E:$F,2,FALSE)</f>
        <v>#N/A</v>
      </c>
      <c r="DL1044" s="191">
        <f>HLOOKUP($H1044,'GDP-PI'!$D$8:$CQ$11,3,FALSE)</f>
        <v>1.1028127770464469E-2</v>
      </c>
      <c r="DM1044" s="189">
        <f>VLOOKUP(H1044,'HW Dx Data'!$E:$F,2,FALSE)</f>
        <v>329.24564746449528</v>
      </c>
      <c r="DN1044" s="183" t="e">
        <f>VLOOKUP(H1044,'ECI - Input Price'!$G$17:$H$37,2,FALSE)</f>
        <v>#N/A</v>
      </c>
      <c r="DO1044" s="177"/>
      <c r="DP1044" s="183">
        <f>HLOOKUP(H1044,'GDP-PI'!$8:$9,2,FALSE)</f>
        <v>75.266999999999996</v>
      </c>
    </row>
    <row r="1045" spans="1:121" s="167" customFormat="1" ht="21" x14ac:dyDescent="0.35">
      <c r="A1045" s="167" t="s">
        <v>103</v>
      </c>
      <c r="B1045" s="167" t="s">
        <v>103</v>
      </c>
      <c r="C1045" s="167">
        <v>4057146</v>
      </c>
      <c r="D1045" s="168" t="s">
        <v>146</v>
      </c>
      <c r="E1045" s="168"/>
      <c r="F1045" s="198"/>
      <c r="G1045" s="167" t="s">
        <v>5</v>
      </c>
      <c r="H1045" s="169">
        <v>1999</v>
      </c>
      <c r="I1045" s="170"/>
      <c r="J1045" s="166"/>
      <c r="K1045" s="170"/>
      <c r="L1045" s="170"/>
      <c r="M1045" s="166"/>
      <c r="N1045" s="173"/>
      <c r="O1045" s="170"/>
      <c r="P1045" s="177"/>
      <c r="Q1045" s="177"/>
      <c r="R1045" s="177"/>
      <c r="S1045" s="195"/>
      <c r="T1045" s="177"/>
      <c r="U1045" s="177"/>
      <c r="V1045" s="166">
        <f t="shared" si="3117"/>
        <v>0</v>
      </c>
      <c r="W1045" s="170"/>
      <c r="X1045" s="174">
        <v>11793.814260509635</v>
      </c>
      <c r="Y1045" s="175">
        <v>2.8051601252882707E-2</v>
      </c>
      <c r="Z1045" s="175"/>
      <c r="AA1045" s="175"/>
      <c r="AB1045" s="175"/>
      <c r="AC1045" s="170">
        <f t="shared" si="3053"/>
        <v>0</v>
      </c>
      <c r="AD1045" s="175"/>
      <c r="AE1045" s="170"/>
      <c r="AF1045" s="119"/>
      <c r="AG1045" s="174"/>
      <c r="AH1045" s="175"/>
      <c r="AI1045" s="175"/>
      <c r="AJ1045" s="174"/>
      <c r="AK1045" s="174"/>
      <c r="AL1045" s="120"/>
      <c r="AM1045" s="120"/>
      <c r="AN1045" s="120"/>
      <c r="AO1045" s="120"/>
      <c r="AP1045" s="120"/>
      <c r="AQ1045" s="175"/>
      <c r="AR1045" s="120"/>
      <c r="AS1045" s="120"/>
      <c r="AT1045" s="120"/>
      <c r="AU1045" s="120"/>
      <c r="AV1045" s="120"/>
      <c r="AW1045" s="120"/>
      <c r="AX1045" s="120"/>
      <c r="AY1045" s="120"/>
      <c r="AZ1045" s="118">
        <f>IFERROR(INDEX('Total Customers'!$F$7:$AB$91,MATCH($C1045,'Total Customers'!$D$7:$D$91,0),MATCH($G1045,'Total Customers'!$F$5:$AB$5,0)),"NA")</f>
        <v>4939388</v>
      </c>
      <c r="BA1045" s="119">
        <f t="shared" ref="BA1045:BA1067" si="3118">LN(AZ1045/AZ1044)</f>
        <v>1.5221587710669594E-2</v>
      </c>
      <c r="BB1045" s="119"/>
      <c r="BC1045" s="121"/>
      <c r="BD1045" s="119"/>
      <c r="BE1045" s="119"/>
      <c r="BF1045" s="119"/>
      <c r="BG1045" s="173"/>
      <c r="BH1045" s="173"/>
      <c r="BI1045" s="173"/>
      <c r="BJ1045" s="173"/>
      <c r="BK1045" s="173"/>
      <c r="BL1045" s="173"/>
      <c r="BM1045" s="173"/>
      <c r="BN1045" s="173"/>
      <c r="BO1045" s="173"/>
      <c r="BP1045" s="173"/>
      <c r="BQ1045" s="118"/>
      <c r="BR1045" s="118"/>
      <c r="BS1045" s="118">
        <f>INDEX('Dist. Plant Gas Additions'!$F$7:$AE$91,MATCH($C1045,'Dist. Plant Gas Additions'!$D$7:$D$91,0),MATCH(Calculation!$G1045,'Dist. Plant Gas Additions'!$F$5:$AE$5,0))</f>
        <v>97757</v>
      </c>
      <c r="BT1045" s="118">
        <f>INDEX('Gen. Plant Additions'!$F$7:$AE$91,MATCH($C1045,'Gen. Plant Additions'!$D$7:$D$91,0),MATCH(Calculation!$G1045,'Gen. Plant Additions'!$F$5:$AE$5,0))</f>
        <v>30770</v>
      </c>
      <c r="BU1045" s="118"/>
      <c r="BV1045" s="118"/>
      <c r="BW1045" s="118">
        <f>INDEX('Dist Plant Depreciation'!$E$7:$AD$94,MATCH($C1045,'Dist Plant Depreciation'!$D$7:$D$94,0),MATCH(Calculation!$G1045,'Dist Plant Depreciation'!$E$5:$AD$5,0))</f>
        <v>2359644</v>
      </c>
      <c r="BX1045" s="118">
        <f>INDEX('Gen. Plant Depreciation'!$E$7:$AD$94,MATCH($C1045,'Gen. Plant Depreciation'!$D$7:$D$94,0),MATCH(Calculation!$G1045,'Gen. Plant Depreciation'!$E$5:$AD$5,0))</f>
        <v>152975</v>
      </c>
      <c r="BY1045" s="118"/>
      <c r="BZ1045" s="118"/>
      <c r="CA1045" s="118"/>
      <c r="CB1045" s="118"/>
      <c r="CC1045" s="118"/>
      <c r="CD1045" s="183"/>
      <c r="CE1045" s="118">
        <f>INDEX('Gross Dx Plant'!$E$7:$AD$91,MATCH($C1045,'Gross Dx Plant'!$D$7:$D$91,0),MATCH(Calculation!$G1045,'Gross Dx Plant'!$E$5:$AD$5,0))</f>
        <v>4285877</v>
      </c>
      <c r="CF1045" s="118">
        <f>INDEX('Gross Gen Plant'!$E$7:$AD$91,MATCH($C1045,'Gross Gen Plant'!$D$7:$D$91,0),MATCH(Calculation!$G1045,'Gross Gen Plant'!$E$5:$AD$5,0))</f>
        <v>452814</v>
      </c>
      <c r="CG1045" s="118">
        <f t="shared" si="3018"/>
        <v>2226072</v>
      </c>
      <c r="CH1045" s="118"/>
      <c r="CI1045" s="121">
        <v>1999</v>
      </c>
      <c r="CJ1045" s="118"/>
      <c r="CK1045" s="118"/>
      <c r="CL1045" s="118"/>
      <c r="CM1045" s="183"/>
      <c r="CN1045" s="118">
        <f t="shared" ref="CN1045:CN1065" si="3119">+BT1045+BS1045</f>
        <v>128527</v>
      </c>
      <c r="CO1045" s="118">
        <f t="shared" ref="CO1045:CO1067" si="3120">+CN1045/$DM1045</f>
        <v>383.2908470012228</v>
      </c>
      <c r="CP1045" s="186">
        <v>0.99502487562189057</v>
      </c>
      <c r="CQ1045" s="118">
        <f>+CQ1044*CP1045+CO1045</f>
        <v>11793.814260509635</v>
      </c>
      <c r="CR1045" s="119">
        <f t="shared" ref="CR1045:CR1066" si="3121">LN(CQ1045/CQ1044)</f>
        <v>2.8051601252882707E-2</v>
      </c>
      <c r="CS1045" s="119"/>
      <c r="CT1045" s="177">
        <f t="shared" ref="CT1045:CT1067" si="3122">+(CQ1044-CQ1045+CO1045)/CQ1044</f>
        <v>4.9751243781094752E-3</v>
      </c>
      <c r="CU1045" s="177"/>
      <c r="CV1045" s="119">
        <f>VLOOKUP($H1045,RoR!$E:$F,2,FALSE)</f>
        <v>7.0416666666666669E-2</v>
      </c>
      <c r="CW1045" s="177">
        <v>1.4335631817396832E-2</v>
      </c>
      <c r="CX1045" s="177">
        <f>+CV1045-CW1045</f>
        <v>5.6081034849269837E-2</v>
      </c>
      <c r="CY1045" s="177"/>
      <c r="CZ1045" s="177"/>
      <c r="DA1045" s="187">
        <f t="shared" ref="DA1045:DA1067" si="3123">1-DF1045*DG1045</f>
        <v>0.84720249999999997</v>
      </c>
      <c r="DB1045" s="188">
        <f t="shared" ref="DB1045:DB1067" si="3124">2/(DK1045*39)</f>
        <v>0.72826581702321336</v>
      </c>
      <c r="DC1045" s="188">
        <f t="shared" ref="DC1045:DC1067" si="3125">+(DK1045*40-(1+DK1045))/(DK1045*40)</f>
        <v>0.61997041420118348</v>
      </c>
      <c r="DD1045" s="188">
        <f t="shared" ref="DD1045:DD1067" si="3126">+(1-(1/(1+DK1045)^40))</f>
        <v>0.93425155319585029</v>
      </c>
      <c r="DE1045" s="188">
        <f t="shared" ref="DE1045:DE1067" si="3127">+DD1045*DC1045*DB1045</f>
        <v>0.42181762214141483</v>
      </c>
      <c r="DF1045" s="189">
        <f>INDEX('State Tax Lookup'!$D$7:$Z$91,MATCH(Calculation!$C1045,'State Tax Lookup'!$B$7:$B$91,0),MATCH($H1045,'State Tax Lookup'!$D$6:$Z$6,0))</f>
        <v>0.40745999999999999</v>
      </c>
      <c r="DG1045" s="189">
        <v>0.375</v>
      </c>
      <c r="DH1045" s="190"/>
      <c r="DI1045" s="190"/>
      <c r="DJ1045" s="177"/>
      <c r="DK1045" s="189">
        <f>VLOOKUP($H1045,RoR!$E:$F,2,FALSE)</f>
        <v>7.0416666666666669E-2</v>
      </c>
      <c r="DL1045" s="191">
        <f>HLOOKUP($H1045,'GDP-PI'!$D$8:$CQ$11,3,FALSE)</f>
        <v>1.4335631817396832E-2</v>
      </c>
      <c r="DM1045" s="189">
        <f>VLOOKUP(H1045,'HW Dx Data'!$E:$F,2,FALSE)</f>
        <v>335.32499146683239</v>
      </c>
      <c r="DN1045" s="183" t="e">
        <f>VLOOKUP(H1045,'ECI - Input Price'!$G$17:$H$37,2,FALSE)</f>
        <v>#N/A</v>
      </c>
      <c r="DO1045" s="177"/>
      <c r="DP1045" s="183">
        <f>HLOOKUP(H1045,'GDP-PI'!$8:$9,2,FALSE)</f>
        <v>76.346000000000004</v>
      </c>
    </row>
    <row r="1046" spans="1:121" s="167" customFormat="1" ht="21" x14ac:dyDescent="0.35">
      <c r="A1046" s="167" t="s">
        <v>103</v>
      </c>
      <c r="B1046" s="167" t="s">
        <v>103</v>
      </c>
      <c r="C1046" s="167">
        <v>4057146</v>
      </c>
      <c r="D1046" s="168" t="s">
        <v>146</v>
      </c>
      <c r="E1046" s="168"/>
      <c r="F1046" s="198"/>
      <c r="G1046" s="167" t="s">
        <v>6</v>
      </c>
      <c r="H1046" s="169">
        <v>2000</v>
      </c>
      <c r="I1046" s="170"/>
      <c r="J1046" s="166"/>
      <c r="K1046" s="166"/>
      <c r="L1046" s="166"/>
      <c r="M1046" s="166"/>
      <c r="N1046" s="196"/>
      <c r="O1046" s="166"/>
      <c r="P1046" s="166"/>
      <c r="Q1046" s="166"/>
      <c r="R1046" s="166"/>
      <c r="S1046" s="166"/>
      <c r="T1046" s="166"/>
      <c r="U1046" s="166"/>
      <c r="V1046" s="166">
        <f t="shared" si="3117"/>
        <v>0</v>
      </c>
      <c r="W1046" s="170"/>
      <c r="X1046" s="174">
        <v>12172.205784994709</v>
      </c>
      <c r="Y1046" s="175">
        <v>3.1579959504218914E-2</v>
      </c>
      <c r="Z1046" s="175"/>
      <c r="AA1046" s="175"/>
      <c r="AB1046" s="175"/>
      <c r="AC1046" s="170">
        <f t="shared" si="3053"/>
        <v>0</v>
      </c>
      <c r="AD1046" s="175"/>
      <c r="AE1046" s="170"/>
      <c r="AF1046" s="170"/>
      <c r="AG1046" s="174"/>
      <c r="AH1046" s="175"/>
      <c r="AI1046" s="175"/>
      <c r="AJ1046" s="174"/>
      <c r="AK1046" s="174"/>
      <c r="AL1046" s="120"/>
      <c r="AM1046" s="120"/>
      <c r="AN1046" s="120"/>
      <c r="AO1046" s="120"/>
      <c r="AP1046" s="120"/>
      <c r="AQ1046" s="175"/>
      <c r="AR1046" s="120"/>
      <c r="AS1046" s="120"/>
      <c r="AT1046" s="120"/>
      <c r="AU1046" s="120"/>
      <c r="AV1046" s="120"/>
      <c r="AW1046" s="120"/>
      <c r="AX1046" s="120"/>
      <c r="AY1046" s="120"/>
      <c r="AZ1046" s="118">
        <f>IFERROR(INDEX('Total Customers'!$F$7:$AB$91,MATCH($C1046,'Total Customers'!$D$7:$D$91,0),MATCH($G1046,'Total Customers'!$F$5:$AB$5,0)),"NA")</f>
        <v>5008662</v>
      </c>
      <c r="BA1046" s="119">
        <f t="shared" si="3118"/>
        <v>1.3927376674498768E-2</v>
      </c>
      <c r="BB1046" s="119"/>
      <c r="BC1046" s="121"/>
      <c r="BD1046" s="119"/>
      <c r="BE1046" s="119"/>
      <c r="BF1046" s="119"/>
      <c r="BG1046" s="173"/>
      <c r="BH1046" s="173"/>
      <c r="BI1046" s="173"/>
      <c r="BJ1046" s="173"/>
      <c r="BK1046" s="173"/>
      <c r="BL1046" s="173"/>
      <c r="BM1046" s="173"/>
      <c r="BN1046" s="173"/>
      <c r="BO1046" s="173"/>
      <c r="BP1046" s="173"/>
      <c r="BQ1046" s="118"/>
      <c r="BR1046" s="118"/>
      <c r="BS1046" s="118">
        <f>INDEX('Dist. Plant Gas Additions'!$F$7:$AE$91,MATCH($C1046,'Dist. Plant Gas Additions'!$D$7:$D$91,0),MATCH(Calculation!$G1046,'Dist. Plant Gas Additions'!$F$5:$AE$5,0))</f>
        <v>124796</v>
      </c>
      <c r="BT1046" s="118">
        <f>INDEX('Gen. Plant Additions'!$F$7:$AE$91,MATCH($C1046,'Gen. Plant Additions'!$D$7:$D$91,0),MATCH(Calculation!$G1046,'Gen. Plant Additions'!$F$5:$AE$5,0))</f>
        <v>27360</v>
      </c>
      <c r="BU1046" s="118"/>
      <c r="BV1046" s="118"/>
      <c r="BW1046" s="118">
        <f>INDEX('Dist Plant Depreciation'!$E$7:$AD$94,MATCH($C1046,'Dist Plant Depreciation'!$D$7:$D$94,0),MATCH(Calculation!$G1046,'Dist Plant Depreciation'!$E$5:$AD$5,0))</f>
        <v>2508327</v>
      </c>
      <c r="BX1046" s="118">
        <f>INDEX('Gen. Plant Depreciation'!$E$7:$AD$94,MATCH($C1046,'Gen. Plant Depreciation'!$D$7:$D$94,0),MATCH(Calculation!$G1046,'Gen. Plant Depreciation'!$E$5:$AD$5,0))</f>
        <v>184022</v>
      </c>
      <c r="BY1046" s="118"/>
      <c r="BZ1046" s="118"/>
      <c r="CA1046" s="118"/>
      <c r="CB1046" s="118"/>
      <c r="CC1046" s="118"/>
      <c r="CD1046" s="183"/>
      <c r="CE1046" s="118">
        <f>INDEX('Gross Dx Plant'!$E$7:$AD$91,MATCH($C1046,'Gross Dx Plant'!$D$7:$D$91,0),MATCH(Calculation!$G1046,'Gross Dx Plant'!$E$5:$AD$5,0))</f>
        <v>4387857</v>
      </c>
      <c r="CF1046" s="118">
        <f>INDEX('Gross Gen Plant'!$E$7:$AD$91,MATCH($C1046,'Gross Gen Plant'!$D$7:$D$91,0),MATCH(Calculation!$G1046,'Gross Gen Plant'!$E$5:$AD$5,0))</f>
        <v>467557</v>
      </c>
      <c r="CG1046" s="118">
        <f t="shared" si="3018"/>
        <v>2163065</v>
      </c>
      <c r="CH1046" s="118"/>
      <c r="CI1046" s="121">
        <v>2000</v>
      </c>
      <c r="CJ1046" s="118"/>
      <c r="CK1046" s="118"/>
      <c r="CL1046" s="118"/>
      <c r="CM1046" s="183"/>
      <c r="CN1046" s="118">
        <f t="shared" si="3119"/>
        <v>152156</v>
      </c>
      <c r="CO1046" s="118">
        <f t="shared" si="3120"/>
        <v>439.07992837330272</v>
      </c>
      <c r="CP1046" s="186">
        <v>0.98989898989898994</v>
      </c>
      <c r="CQ1046" s="118">
        <f>+CQ1044*CP1046+CO1045*CP1045+CO1046</f>
        <v>12172.205784994709</v>
      </c>
      <c r="CR1046" s="119">
        <f t="shared" si="3121"/>
        <v>3.1579959504218914E-2</v>
      </c>
      <c r="CS1046" s="119"/>
      <c r="CT1046" s="177">
        <f t="shared" si="3122"/>
        <v>5.1457825727710023E-3</v>
      </c>
      <c r="CU1046" s="177"/>
      <c r="CV1046" s="119">
        <f>VLOOKUP($H1046,RoR!$E:$F,2,FALSE)</f>
        <v>7.6225000000000001E-2</v>
      </c>
      <c r="CW1046" s="177">
        <v>2.2568307442433211E-2</v>
      </c>
      <c r="CX1046" s="177">
        <f t="shared" ref="CX1046:CX1066" si="3128">+CV1046-CW1046</f>
        <v>5.365669255756679E-2</v>
      </c>
      <c r="CY1046" s="177"/>
      <c r="CZ1046" s="177"/>
      <c r="DA1046" s="187">
        <f t="shared" si="3123"/>
        <v>0.84720249999999997</v>
      </c>
      <c r="DB1046" s="188">
        <f t="shared" si="3124"/>
        <v>0.67277207323124022</v>
      </c>
      <c r="DC1046" s="188">
        <f t="shared" si="3125"/>
        <v>0.6470236142997704</v>
      </c>
      <c r="DD1046" s="188">
        <f t="shared" si="3126"/>
        <v>0.94704866037543145</v>
      </c>
      <c r="DE1046" s="188">
        <f t="shared" si="3127"/>
        <v>0.41224973107878493</v>
      </c>
      <c r="DF1046" s="189">
        <f>INDEX('State Tax Lookup'!$D$7:$Z$91,MATCH(Calculation!$C1046,'State Tax Lookup'!$B$7:$B$91,0),MATCH($H1046,'State Tax Lookup'!$D$6:$Z$6,0))</f>
        <v>0.40745999999999999</v>
      </c>
      <c r="DG1046" s="189">
        <v>0.375</v>
      </c>
      <c r="DH1046" s="190"/>
      <c r="DI1046" s="190"/>
      <c r="DJ1046" s="177"/>
      <c r="DK1046" s="189">
        <f>VLOOKUP($H1046,RoR!$E:$F,2,FALSE)</f>
        <v>7.6225000000000001E-2</v>
      </c>
      <c r="DL1046" s="191">
        <f>HLOOKUP($H1046,'GDP-PI'!$D$8:$CQ$11,3,FALSE)</f>
        <v>2.2568307442433211E-2</v>
      </c>
      <c r="DM1046" s="189">
        <f>VLOOKUP(H1046,'HW Dx Data'!$E:$F,2,FALSE)</f>
        <v>346.53371782150339</v>
      </c>
      <c r="DN1046" s="183" t="e">
        <f>VLOOKUP(H1046,'ECI - Input Price'!$G$17:$H$37,2,FALSE)</f>
        <v>#N/A</v>
      </c>
      <c r="DO1046" s="177"/>
      <c r="DP1046" s="183">
        <f>HLOOKUP(H1046,'GDP-PI'!$8:$9,2,FALSE)</f>
        <v>78.069000000000003</v>
      </c>
    </row>
    <row r="1047" spans="1:121" s="167" customFormat="1" ht="21" x14ac:dyDescent="0.35">
      <c r="A1047" s="167" t="s">
        <v>103</v>
      </c>
      <c r="B1047" s="167" t="s">
        <v>103</v>
      </c>
      <c r="C1047" s="167">
        <v>4057146</v>
      </c>
      <c r="D1047" s="168" t="s">
        <v>146</v>
      </c>
      <c r="E1047" s="168"/>
      <c r="F1047" s="198"/>
      <c r="G1047" s="167" t="s">
        <v>7</v>
      </c>
      <c r="H1047" s="169">
        <v>2001</v>
      </c>
      <c r="I1047" s="170"/>
      <c r="J1047" s="166"/>
      <c r="K1047" s="166"/>
      <c r="L1047" s="166"/>
      <c r="M1047" s="166"/>
      <c r="N1047" s="196"/>
      <c r="O1047" s="166"/>
      <c r="P1047" s="166"/>
      <c r="Q1047" s="166"/>
      <c r="R1047" s="166"/>
      <c r="S1047" s="166"/>
      <c r="T1047" s="166"/>
      <c r="U1047" s="166"/>
      <c r="V1047" s="166">
        <f t="shared" si="3117"/>
        <v>158379.39893790815</v>
      </c>
      <c r="W1047" s="170"/>
      <c r="X1047" s="174">
        <v>12548.386680572978</v>
      </c>
      <c r="Y1047" s="175">
        <v>3.0436967649634404E-2</v>
      </c>
      <c r="Z1047" s="175"/>
      <c r="AA1047" s="175"/>
      <c r="AB1047" s="175"/>
      <c r="AC1047" s="170">
        <f t="shared" si="3053"/>
        <v>158379.39893790815</v>
      </c>
      <c r="AD1047" s="175"/>
      <c r="AE1047" s="170"/>
      <c r="AF1047" s="170"/>
      <c r="AG1047" s="174"/>
      <c r="AH1047" s="175"/>
      <c r="AI1047" s="175"/>
      <c r="AJ1047" s="174"/>
      <c r="AK1047" s="174"/>
      <c r="AL1047" s="120"/>
      <c r="AM1047" s="120"/>
      <c r="AN1047" s="120"/>
      <c r="AO1047" s="120"/>
      <c r="AP1047" s="120"/>
      <c r="AQ1047" s="175"/>
      <c r="AR1047" s="120"/>
      <c r="AS1047" s="120"/>
      <c r="AT1047" s="120"/>
      <c r="AU1047" s="120"/>
      <c r="AV1047" s="120"/>
      <c r="AW1047" s="120"/>
      <c r="AX1047" s="120"/>
      <c r="AY1047" s="120"/>
      <c r="AZ1047" s="118">
        <f>IFERROR(INDEX('Total Customers'!$F$7:$AB$91,MATCH($C1047,'Total Customers'!$D$7:$D$91,0),MATCH($G1047,'Total Customers'!$F$5:$AB$5,0)),"NA")</f>
        <v>5064323</v>
      </c>
      <c r="BA1047" s="119">
        <f t="shared" si="3118"/>
        <v>1.1051652818019481E-2</v>
      </c>
      <c r="BB1047" s="119"/>
      <c r="BC1047" s="121"/>
      <c r="BD1047" s="119"/>
      <c r="BE1047" s="119"/>
      <c r="BF1047" s="119"/>
      <c r="BG1047" s="173"/>
      <c r="BH1047" s="173"/>
      <c r="BI1047" s="173"/>
      <c r="BJ1047" s="173"/>
      <c r="BK1047" s="173"/>
      <c r="BL1047" s="173"/>
      <c r="BM1047" s="173"/>
      <c r="BN1047" s="173"/>
      <c r="BO1047" s="173"/>
      <c r="BP1047" s="173"/>
      <c r="BQ1047" s="118"/>
      <c r="BR1047" s="118"/>
      <c r="BS1047" s="118">
        <f>INDEX('Dist. Plant Gas Additions'!$F$7:$AE$91,MATCH($C1047,'Dist. Plant Gas Additions'!$D$7:$D$91,0),MATCH(Calculation!$G1047,'Dist. Plant Gas Additions'!$F$5:$AE$5,0))</f>
        <v>133617</v>
      </c>
      <c r="BT1047" s="118">
        <f>INDEX('Gen. Plant Additions'!$F$7:$AE$91,MATCH($C1047,'Gen. Plant Additions'!$D$7:$D$91,0),MATCH(Calculation!$G1047,'Gen. Plant Additions'!$F$5:$AE$5,0))</f>
        <v>21453</v>
      </c>
      <c r="BU1047" s="118"/>
      <c r="BV1047" s="118"/>
      <c r="BW1047" s="118">
        <f>INDEX('Dist Plant Depreciation'!$E$7:$AD$94,MATCH($C1047,'Dist Plant Depreciation'!$D$7:$D$94,0),MATCH(Calculation!$G1047,'Dist Plant Depreciation'!$E$5:$AD$5,0))</f>
        <v>2664859</v>
      </c>
      <c r="BX1047" s="118">
        <f>INDEX('Gen. Plant Depreciation'!$E$7:$AD$94,MATCH($C1047,'Gen. Plant Depreciation'!$D$7:$D$94,0),MATCH(Calculation!$G1047,'Gen. Plant Depreciation'!$E$5:$AD$5,0))</f>
        <v>203946</v>
      </c>
      <c r="BY1047" s="118"/>
      <c r="BZ1047" s="118"/>
      <c r="CA1047" s="118"/>
      <c r="CB1047" s="118"/>
      <c r="CC1047" s="118"/>
      <c r="CD1047" s="183"/>
      <c r="CE1047" s="118">
        <f>INDEX('Gross Dx Plant'!$E$7:$AD$91,MATCH($C1047,'Gross Dx Plant'!$D$7:$D$91,0),MATCH(Calculation!$G1047,'Gross Dx Plant'!$E$5:$AD$5,0))</f>
        <v>4505409</v>
      </c>
      <c r="CF1047" s="118">
        <f>INDEX('Gross Gen Plant'!$E$7:$AD$91,MATCH($C1047,'Gross Gen Plant'!$D$7:$D$91,0),MATCH(Calculation!$G1047,'Gross Gen Plant'!$E$5:$AD$5,0))</f>
        <v>468236</v>
      </c>
      <c r="CG1047" s="118">
        <f t="shared" si="3018"/>
        <v>2104840</v>
      </c>
      <c r="CH1047" s="118"/>
      <c r="CI1047" s="121">
        <v>2001</v>
      </c>
      <c r="CJ1047" s="118"/>
      <c r="CK1047" s="118"/>
      <c r="CL1047" s="118"/>
      <c r="CM1047" s="183"/>
      <c r="CN1047" s="118">
        <f t="shared" si="3119"/>
        <v>155070</v>
      </c>
      <c r="CO1047" s="118">
        <f t="shared" si="3120"/>
        <v>438.73574596392604</v>
      </c>
      <c r="CP1047" s="186">
        <v>0.98461538461538467</v>
      </c>
      <c r="CQ1047" s="118">
        <f>+CQ1044*CP1047+CO1045*CP1046+CO1046*CP1044+CO1047</f>
        <v>12548.386680572978</v>
      </c>
      <c r="CR1047" s="119">
        <f t="shared" si="3121"/>
        <v>3.0436967649634404E-2</v>
      </c>
      <c r="CS1047" s="119"/>
      <c r="CT1047" s="177">
        <f t="shared" si="3122"/>
        <v>5.1391548492198168E-3</v>
      </c>
      <c r="CU1047" s="177">
        <f>+(CT1047+CT1046+CT1045)/3</f>
        <v>5.0866872667000981E-3</v>
      </c>
      <c r="CV1047" s="119">
        <f>VLOOKUP($H1047,RoR!$E:$F,2,FALSE)</f>
        <v>7.0824999999999999E-2</v>
      </c>
      <c r="CW1047" s="177">
        <v>2.2454495382290052E-2</v>
      </c>
      <c r="CX1047" s="177">
        <f t="shared" si="3128"/>
        <v>4.8370504617709947E-2</v>
      </c>
      <c r="CY1047" s="177">
        <f>+$CX$35-CU1047</f>
        <v>2.5815254341833526E-2</v>
      </c>
      <c r="CZ1047" s="177">
        <f>+((DM1045/DM1044-1)+(DM1046/DM1045-1)+(DM1047/DM1046-1))/3</f>
        <v>2.3947275901631187E-2</v>
      </c>
      <c r="DA1047" s="187">
        <f t="shared" si="3123"/>
        <v>0.84720249999999997</v>
      </c>
      <c r="DB1047" s="188">
        <f t="shared" si="3124"/>
        <v>0.72406708481540816</v>
      </c>
      <c r="DC1047" s="188">
        <f t="shared" si="3125"/>
        <v>0.62201729615248857</v>
      </c>
      <c r="DD1047" s="188">
        <f t="shared" si="3126"/>
        <v>0.9352469954311422</v>
      </c>
      <c r="DE1047" s="188">
        <f t="shared" si="3127"/>
        <v>0.42121864641655071</v>
      </c>
      <c r="DF1047" s="189">
        <f>INDEX('State Tax Lookup'!$D$7:$Z$91,MATCH(Calculation!$C1047,'State Tax Lookup'!$B$7:$B$91,0),MATCH($H1047,'State Tax Lookup'!$D$6:$Z$6,0))</f>
        <v>0.40745999999999999</v>
      </c>
      <c r="DG1047" s="189">
        <v>0.375</v>
      </c>
      <c r="DH1047" s="190">
        <f t="shared" ref="DH1047:DH1067" si="3129">+(DM1047*CY1047-CZ1047)*DA1047/(1-DF1047)</f>
        <v>13.011561070808581</v>
      </c>
      <c r="DI1047" s="190"/>
      <c r="DJ1047" s="177"/>
      <c r="DK1047" s="189">
        <f>VLOOKUP($H1047,RoR!$E:$F,2,FALSE)</f>
        <v>7.0824999999999999E-2</v>
      </c>
      <c r="DL1047" s="191">
        <f>HLOOKUP($H1047,'GDP-PI'!$D$8:$CQ$11,3,FALSE)</f>
        <v>2.2454495382290052E-2</v>
      </c>
      <c r="DM1047" s="189">
        <f>VLOOKUP(H1047,'HW Dx Data'!$E:$F,2,FALSE)</f>
        <v>353.44738017483138</v>
      </c>
      <c r="DN1047" s="183">
        <f>VLOOKUP(H1047,'ECI - Input Price'!$G$17:$H$37,2,FALSE)</f>
        <v>86.2</v>
      </c>
      <c r="DO1047" s="177"/>
      <c r="DP1047" s="183">
        <f>HLOOKUP(H1047,'GDP-PI'!$8:$9,2,FALSE)</f>
        <v>79.822000000000003</v>
      </c>
    </row>
    <row r="1048" spans="1:121" s="167" customFormat="1" ht="21" x14ac:dyDescent="0.35">
      <c r="A1048" s="167" t="s">
        <v>103</v>
      </c>
      <c r="B1048" s="167" t="s">
        <v>103</v>
      </c>
      <c r="C1048" s="167">
        <v>4057146</v>
      </c>
      <c r="D1048" s="168" t="s">
        <v>146</v>
      </c>
      <c r="E1048" s="168"/>
      <c r="F1048" s="198"/>
      <c r="G1048" s="167" t="s">
        <v>8</v>
      </c>
      <c r="H1048" s="169">
        <v>2002</v>
      </c>
      <c r="I1048" s="170"/>
      <c r="J1048" s="166"/>
      <c r="K1048" s="166"/>
      <c r="L1048" s="166"/>
      <c r="M1048" s="166"/>
      <c r="N1048" s="196"/>
      <c r="O1048" s="166"/>
      <c r="P1048" s="166"/>
      <c r="Q1048" s="166"/>
      <c r="R1048" s="166"/>
      <c r="S1048" s="166"/>
      <c r="T1048" s="166"/>
      <c r="U1048" s="166"/>
      <c r="V1048" s="166">
        <f t="shared" si="3117"/>
        <v>165412.44937134944</v>
      </c>
      <c r="W1048" s="170"/>
      <c r="X1048" s="174">
        <v>13032.464166635671</v>
      </c>
      <c r="Y1048" s="175">
        <v>3.7851382151956998E-2</v>
      </c>
      <c r="Z1048" s="175"/>
      <c r="AA1048" s="175"/>
      <c r="AB1048" s="175"/>
      <c r="AC1048" s="170">
        <f t="shared" si="3053"/>
        <v>165412.44937134944</v>
      </c>
      <c r="AD1048" s="175"/>
      <c r="AE1048" s="170"/>
      <c r="AF1048" s="170"/>
      <c r="AG1048" s="174"/>
      <c r="AH1048" s="175"/>
      <c r="AI1048" s="175"/>
      <c r="AJ1048" s="174"/>
      <c r="AK1048" s="174"/>
      <c r="AL1048" s="120"/>
      <c r="AM1048" s="120"/>
      <c r="AN1048" s="120"/>
      <c r="AO1048" s="120"/>
      <c r="AP1048" s="120"/>
      <c r="AQ1048" s="175"/>
      <c r="AR1048" s="120"/>
      <c r="AS1048" s="120"/>
      <c r="AT1048" s="120"/>
      <c r="AU1048" s="120"/>
      <c r="AV1048" s="120"/>
      <c r="AW1048" s="120"/>
      <c r="AX1048" s="120"/>
      <c r="AY1048" s="120"/>
      <c r="AZ1048" s="118">
        <f>IFERROR(INDEX('Total Customers'!$F$7:$AB$91,MATCH($C1048,'Total Customers'!$D$7:$D$91,0),MATCH($G1048,'Total Customers'!$F$5:$AB$5,0)),"NA")</f>
        <v>5143877</v>
      </c>
      <c r="BA1048" s="119">
        <f t="shared" si="3118"/>
        <v>1.5586608918314796E-2</v>
      </c>
      <c r="BB1048" s="119"/>
      <c r="BC1048" s="121"/>
      <c r="BD1048" s="119"/>
      <c r="BE1048" s="119"/>
      <c r="BF1048" s="119"/>
      <c r="BG1048" s="173"/>
      <c r="BH1048" s="173"/>
      <c r="BI1048" s="173"/>
      <c r="BJ1048" s="173"/>
      <c r="BK1048" s="173"/>
      <c r="BL1048" s="173"/>
      <c r="BM1048" s="173"/>
      <c r="BN1048" s="173"/>
      <c r="BO1048" s="173"/>
      <c r="BP1048" s="173"/>
      <c r="BQ1048" s="118"/>
      <c r="BR1048" s="118"/>
      <c r="BS1048" s="118">
        <f>INDEX('Dist. Plant Gas Additions'!$F$7:$AE$91,MATCH($C1048,'Dist. Plant Gas Additions'!$D$7:$D$91,0),MATCH(Calculation!$G1048,'Dist. Plant Gas Additions'!$F$5:$AE$5,0))</f>
        <v>172199</v>
      </c>
      <c r="BT1048" s="118">
        <f>INDEX('Gen. Plant Additions'!$F$7:$AE$91,MATCH($C1048,'Gen. Plant Additions'!$D$7:$D$91,0),MATCH(Calculation!$G1048,'Gen. Plant Additions'!$F$5:$AE$5,0))</f>
        <v>28423</v>
      </c>
      <c r="BU1048" s="118"/>
      <c r="BV1048" s="118"/>
      <c r="BW1048" s="118">
        <f>INDEX('Dist Plant Depreciation'!$E$7:$AD$94,MATCH($C1048,'Dist Plant Depreciation'!$D$7:$D$94,0),MATCH(Calculation!$G1048,'Dist Plant Depreciation'!$E$5:$AD$5,0))</f>
        <v>2817573</v>
      </c>
      <c r="BX1048" s="118">
        <f>INDEX('Gen. Plant Depreciation'!$E$7:$AD$94,MATCH($C1048,'Gen. Plant Depreciation'!$D$7:$D$94,0),MATCH(Calculation!$G1048,'Gen. Plant Depreciation'!$E$5:$AD$5,0))</f>
        <v>222865</v>
      </c>
      <c r="BY1048" s="118"/>
      <c r="BZ1048" s="118"/>
      <c r="CA1048" s="118"/>
      <c r="CB1048" s="118"/>
      <c r="CC1048" s="118"/>
      <c r="CD1048" s="183"/>
      <c r="CE1048" s="118">
        <f>INDEX('Gross Dx Plant'!$E$7:$AD$91,MATCH($C1048,'Gross Dx Plant'!$D$7:$D$91,0),MATCH(Calculation!$G1048,'Gross Dx Plant'!$E$5:$AD$5,0))</f>
        <v>4654819</v>
      </c>
      <c r="CF1048" s="118">
        <f>INDEX('Gross Gen Plant'!$E$7:$AD$91,MATCH($C1048,'Gross Gen Plant'!$D$7:$D$91,0),MATCH(Calculation!$G1048,'Gross Gen Plant'!$E$5:$AD$5,0))</f>
        <v>474075</v>
      </c>
      <c r="CG1048" s="118">
        <f t="shared" si="3018"/>
        <v>2088456</v>
      </c>
      <c r="CH1048" s="118"/>
      <c r="CI1048" s="121">
        <v>2002</v>
      </c>
      <c r="CJ1048" s="118"/>
      <c r="CK1048" s="118"/>
      <c r="CL1048" s="118"/>
      <c r="CM1048" s="183"/>
      <c r="CN1048" s="118">
        <f t="shared" si="3119"/>
        <v>200622</v>
      </c>
      <c r="CO1048" s="118">
        <f t="shared" si="3120"/>
        <v>555.20414665010037</v>
      </c>
      <c r="CP1048" s="186">
        <v>0.97916666666666663</v>
      </c>
      <c r="CQ1048" s="118">
        <f>+CQ1044*CP1048+CO1045*CP1047+CO1046*CP1046+CO1047*CP1045+CO1048</f>
        <v>13032.464166635671</v>
      </c>
      <c r="CR1048" s="119">
        <f t="shared" si="3121"/>
        <v>3.7851382151956998E-2</v>
      </c>
      <c r="CS1048" s="119"/>
      <c r="CT1048" s="177">
        <f t="shared" si="3122"/>
        <v>5.6681916486940138E-3</v>
      </c>
      <c r="CU1048" s="177">
        <f t="shared" ref="CU1048:CU1067" si="3130">+(CT1048+CT1047+CT1046)/3</f>
        <v>5.3177096902282776E-3</v>
      </c>
      <c r="CV1048" s="119">
        <f>VLOOKUP($H1048,RoR!$E:$F,2,FALSE)</f>
        <v>6.4916666666666664E-2</v>
      </c>
      <c r="CW1048" s="177">
        <v>1.5246423291824351E-2</v>
      </c>
      <c r="CX1048" s="177">
        <f t="shared" si="3128"/>
        <v>4.9670243374842313E-2</v>
      </c>
      <c r="CY1048" s="177">
        <f t="shared" ref="CY1048:CY1067" si="3131">+$CX$35-CU1048</f>
        <v>2.5584231918305347E-2</v>
      </c>
      <c r="CZ1048" s="177">
        <f t="shared" ref="CZ1048:CZ1067" si="3132">+((DM1046/DM1045-1)+(DM1047/DM1046-1)+(DM1048/DM1047-1))/3</f>
        <v>2.5243621214759093E-2</v>
      </c>
      <c r="DA1048" s="187">
        <f t="shared" si="3123"/>
        <v>0.84720249999999997</v>
      </c>
      <c r="DB1048" s="188">
        <f t="shared" si="3124"/>
        <v>0.78996741384417901</v>
      </c>
      <c r="DC1048" s="188">
        <f t="shared" si="3125"/>
        <v>0.58989088575096271</v>
      </c>
      <c r="DD1048" s="188">
        <f t="shared" si="3126"/>
        <v>0.91920675783645744</v>
      </c>
      <c r="DE1048" s="188">
        <f t="shared" si="3127"/>
        <v>0.42834536472275586</v>
      </c>
      <c r="DF1048" s="189">
        <f>INDEX('State Tax Lookup'!$D$7:$Z$91,MATCH(Calculation!$C1048,'State Tax Lookup'!$B$7:$B$91,0),MATCH($H1048,'State Tax Lookup'!$D$6:$Z$6,0))</f>
        <v>0.40745999999999999</v>
      </c>
      <c r="DG1048" s="189">
        <v>0.375</v>
      </c>
      <c r="DH1048" s="190">
        <f t="shared" si="3129"/>
        <v>13.181969410253819</v>
      </c>
      <c r="DI1048" s="190"/>
      <c r="DJ1048" s="177"/>
      <c r="DK1048" s="189">
        <f>VLOOKUP($H1048,RoR!$E:$F,2,FALSE)</f>
        <v>6.4916666666666664E-2</v>
      </c>
      <c r="DL1048" s="191">
        <f>HLOOKUP($H1048,'GDP-PI'!$D$8:$CQ$11,3,FALSE)</f>
        <v>1.5246423291824351E-2</v>
      </c>
      <c r="DM1048" s="189">
        <f>VLOOKUP(H1048,'HW Dx Data'!$E:$F,2,FALSE)</f>
        <v>361.34816573413599</v>
      </c>
      <c r="DN1048" s="183">
        <f>VLOOKUP(H1048,'ECI - Input Price'!$G$17:$H$37,2,FALSE)</f>
        <v>89.275000000000006</v>
      </c>
      <c r="DO1048" s="177">
        <f>LN(DN1048/DN1047)</f>
        <v>3.5051315810864674E-2</v>
      </c>
      <c r="DP1048" s="183">
        <f>HLOOKUP(H1048,'GDP-PI'!$8:$9,2,FALSE)</f>
        <v>81.039000000000001</v>
      </c>
      <c r="DQ1048" s="177">
        <f>LN(DP1048/DP1047)</f>
        <v>1.513136459537477E-2</v>
      </c>
    </row>
    <row r="1049" spans="1:121" s="167" customFormat="1" ht="21" x14ac:dyDescent="0.35">
      <c r="A1049" s="167" t="s">
        <v>103</v>
      </c>
      <c r="B1049" s="167" t="s">
        <v>103</v>
      </c>
      <c r="C1049" s="167">
        <v>4057146</v>
      </c>
      <c r="D1049" s="168" t="s">
        <v>146</v>
      </c>
      <c r="E1049" s="168"/>
      <c r="F1049" s="198"/>
      <c r="G1049" s="167" t="s">
        <v>9</v>
      </c>
      <c r="H1049" s="169">
        <v>2003</v>
      </c>
      <c r="I1049" s="170"/>
      <c r="J1049" s="166"/>
      <c r="K1049" s="166"/>
      <c r="L1049" s="166"/>
      <c r="M1049" s="172"/>
      <c r="N1049" s="196"/>
      <c r="O1049" s="172"/>
      <c r="P1049" s="166"/>
      <c r="Q1049" s="166"/>
      <c r="R1049" s="166"/>
      <c r="S1049" s="166"/>
      <c r="T1049" s="166"/>
      <c r="U1049" s="166"/>
      <c r="V1049" s="166">
        <f t="shared" si="3117"/>
        <v>174423.61023054612</v>
      </c>
      <c r="W1049" s="170"/>
      <c r="X1049" s="174">
        <v>13688.336180002032</v>
      </c>
      <c r="Y1049" s="175">
        <v>4.9100608369608036E-2</v>
      </c>
      <c r="Z1049" s="175"/>
      <c r="AA1049" s="175"/>
      <c r="AB1049" s="175"/>
      <c r="AC1049" s="170">
        <f t="shared" si="3053"/>
        <v>174423.61023054612</v>
      </c>
      <c r="AD1049" s="175"/>
      <c r="AE1049" s="170"/>
      <c r="AF1049" s="170"/>
      <c r="AG1049" s="174"/>
      <c r="AH1049" s="175"/>
      <c r="AI1049" s="175"/>
      <c r="AJ1049" s="174"/>
      <c r="AK1049" s="174"/>
      <c r="AL1049" s="120"/>
      <c r="AM1049" s="120"/>
      <c r="AN1049" s="120"/>
      <c r="AO1049" s="120"/>
      <c r="AP1049" s="120"/>
      <c r="AQ1049" s="175"/>
      <c r="AR1049" s="120"/>
      <c r="AS1049" s="120"/>
      <c r="AT1049" s="120"/>
      <c r="AU1049" s="120"/>
      <c r="AV1049" s="120"/>
      <c r="AW1049" s="120"/>
      <c r="AX1049" s="120"/>
      <c r="AY1049" s="120"/>
      <c r="AZ1049" s="118">
        <f>IFERROR(INDEX('Total Customers'!$F$7:$AB$91,MATCH($C1049,'Total Customers'!$D$7:$D$91,0),MATCH($G1049,'Total Customers'!$F$5:$AB$5,0)),"NA")</f>
        <v>5198353</v>
      </c>
      <c r="BA1049" s="119">
        <f t="shared" si="3118"/>
        <v>1.0534769351962398E-2</v>
      </c>
      <c r="BB1049" s="119"/>
      <c r="BC1049" s="121"/>
      <c r="BD1049" s="119"/>
      <c r="BE1049" s="119"/>
      <c r="BF1049" s="119"/>
      <c r="BG1049" s="173"/>
      <c r="BH1049" s="173"/>
      <c r="BI1049" s="173"/>
      <c r="BJ1049" s="173"/>
      <c r="BK1049" s="173"/>
      <c r="BL1049" s="173"/>
      <c r="BM1049" s="173"/>
      <c r="BN1049" s="173"/>
      <c r="BO1049" s="173"/>
      <c r="BP1049" s="173"/>
      <c r="BQ1049" s="118"/>
      <c r="BR1049" s="118"/>
      <c r="BS1049" s="118">
        <f>INDEX('Dist. Plant Gas Additions'!$F$7:$AE$91,MATCH($C1049,'Dist. Plant Gas Additions'!$D$7:$D$91,0),MATCH(Calculation!$G1049,'Dist. Plant Gas Additions'!$F$5:$AE$5,0))</f>
        <v>212920</v>
      </c>
      <c r="BT1049" s="118">
        <f>INDEX('Gen. Plant Additions'!$F$7:$AE$91,MATCH($C1049,'Gen. Plant Additions'!$D$7:$D$91,0),MATCH(Calculation!$G1049,'Gen. Plant Additions'!$F$5:$AE$5,0))</f>
        <v>56531</v>
      </c>
      <c r="BU1049" s="118"/>
      <c r="BV1049" s="118"/>
      <c r="BW1049" s="118">
        <f>INDEX('Dist Plant Depreciation'!$E$7:$AD$94,MATCH($C1049,'Dist Plant Depreciation'!$D$7:$D$94,0),MATCH(Calculation!$G1049,'Dist Plant Depreciation'!$E$5:$AD$5,0))</f>
        <v>2967760</v>
      </c>
      <c r="BX1049" s="118">
        <f>INDEX('Gen. Plant Depreciation'!$E$7:$AD$94,MATCH($C1049,'Gen. Plant Depreciation'!$D$7:$D$94,0),MATCH(Calculation!$G1049,'Gen. Plant Depreciation'!$E$5:$AD$5,0))</f>
        <v>268886</v>
      </c>
      <c r="BY1049" s="118"/>
      <c r="BZ1049" s="118"/>
      <c r="CA1049" s="118"/>
      <c r="CB1049" s="118"/>
      <c r="CC1049" s="118"/>
      <c r="CD1049" s="183"/>
      <c r="CE1049" s="118">
        <f>INDEX('Gross Dx Plant'!$E$7:$AD$91,MATCH($C1049,'Gross Dx Plant'!$D$7:$D$91,0),MATCH(Calculation!$G1049,'Gross Dx Plant'!$E$5:$AD$5,0))</f>
        <v>4839568</v>
      </c>
      <c r="CF1049" s="118">
        <f>INDEX('Gross Gen Plant'!$E$7:$AD$91,MATCH($C1049,'Gross Gen Plant'!$D$7:$D$91,0),MATCH(Calculation!$G1049,'Gross Gen Plant'!$E$5:$AD$5,0))</f>
        <v>573443</v>
      </c>
      <c r="CG1049" s="118">
        <f t="shared" si="3018"/>
        <v>2176365</v>
      </c>
      <c r="CH1049" s="118"/>
      <c r="CI1049" s="121">
        <v>2003</v>
      </c>
      <c r="CJ1049" s="118"/>
      <c r="CK1049" s="118"/>
      <c r="CL1049" s="118"/>
      <c r="CM1049" s="183"/>
      <c r="CN1049" s="118">
        <f t="shared" si="3119"/>
        <v>269451</v>
      </c>
      <c r="CO1049" s="118">
        <f t="shared" si="3120"/>
        <v>729.75869438824338</v>
      </c>
      <c r="CP1049" s="186">
        <v>0.97354497354497349</v>
      </c>
      <c r="CQ1049" s="118">
        <f>+CQ1044*CP1049+CO1045*CP1048+CO1046*CP1047+CO1047*CP1046+CO1048*CP1045+CO1049</f>
        <v>13688.336180002032</v>
      </c>
      <c r="CR1049" s="119">
        <f t="shared" si="3121"/>
        <v>4.9100608369608036E-2</v>
      </c>
      <c r="CS1049" s="119"/>
      <c r="CT1049" s="177">
        <f t="shared" si="3122"/>
        <v>5.6694328929013452E-3</v>
      </c>
      <c r="CU1049" s="177">
        <f t="shared" si="3130"/>
        <v>5.4922597969383922E-3</v>
      </c>
      <c r="CV1049" s="119">
        <f>VLOOKUP($H1049,RoR!$E:$F,2,FALSE)</f>
        <v>5.6666666666666671E-2</v>
      </c>
      <c r="CW1049" s="177">
        <v>1.8855119140166909E-2</v>
      </c>
      <c r="CX1049" s="177">
        <f t="shared" si="3128"/>
        <v>3.7811547526499761E-2</v>
      </c>
      <c r="CY1049" s="177">
        <f t="shared" si="3131"/>
        <v>2.5409681811595232E-2</v>
      </c>
      <c r="CZ1049" s="177">
        <f t="shared" si="3132"/>
        <v>2.1375012817671957E-2</v>
      </c>
      <c r="DA1049" s="187">
        <f t="shared" si="3123"/>
        <v>0.84720249999999997</v>
      </c>
      <c r="DB1049" s="188">
        <f t="shared" si="3124"/>
        <v>0.90497737556561086</v>
      </c>
      <c r="DC1049" s="188">
        <f t="shared" si="3125"/>
        <v>0.5338235294117647</v>
      </c>
      <c r="DD1049" s="188">
        <f t="shared" si="3126"/>
        <v>0.88972433127405692</v>
      </c>
      <c r="DE1049" s="188">
        <f t="shared" si="3127"/>
        <v>0.42982423775949252</v>
      </c>
      <c r="DF1049" s="189">
        <f>INDEX('State Tax Lookup'!$D$7:$Z$91,MATCH(Calculation!$C1049,'State Tax Lookup'!$B$7:$B$91,0),MATCH($H1049,'State Tax Lookup'!$D$6:$Z$6,0))</f>
        <v>0.40745999999999999</v>
      </c>
      <c r="DG1049" s="189">
        <v>0.375</v>
      </c>
      <c r="DH1049" s="190">
        <f t="shared" si="3129"/>
        <v>13.38377823259909</v>
      </c>
      <c r="DI1049" s="190"/>
      <c r="DJ1049" s="177"/>
      <c r="DK1049" s="189">
        <f>VLOOKUP($H1049,RoR!$E:$F,2,FALSE)</f>
        <v>5.6666666666666671E-2</v>
      </c>
      <c r="DL1049" s="191">
        <f>HLOOKUP($H1049,'GDP-PI'!$D$8:$CQ$11,3,FALSE)</f>
        <v>1.8855119140166909E-2</v>
      </c>
      <c r="DM1049" s="189">
        <f>VLOOKUP(H1049,'HW Dx Data'!$E:$F,2,FALSE)</f>
        <v>369.23301095560191</v>
      </c>
      <c r="DN1049" s="183">
        <f>VLOOKUP(H1049,'ECI - Input Price'!$G$17:$H$37,2,FALSE)</f>
        <v>92.625</v>
      </c>
      <c r="DO1049" s="177">
        <f t="shared" ref="DO1049" si="3133">LN(DN1049/DN1048)</f>
        <v>3.6837590135738785E-2</v>
      </c>
      <c r="DP1049" s="183">
        <f>HLOOKUP(H1049,'GDP-PI'!$8:$9,2,FALSE)</f>
        <v>82.566999999999993</v>
      </c>
      <c r="DQ1049" s="177">
        <f t="shared" ref="DQ1049" si="3134">LN(DP1049/DP1048)</f>
        <v>1.8679564681853753E-2</v>
      </c>
    </row>
    <row r="1050" spans="1:121" s="167" customFormat="1" ht="21" x14ac:dyDescent="0.35">
      <c r="A1050" s="167" t="s">
        <v>103</v>
      </c>
      <c r="B1050" s="167" t="s">
        <v>103</v>
      </c>
      <c r="C1050" s="167">
        <v>4057146</v>
      </c>
      <c r="D1050" s="168" t="s">
        <v>146</v>
      </c>
      <c r="E1050" s="168"/>
      <c r="F1050" s="198"/>
      <c r="G1050" s="167" t="s">
        <v>10</v>
      </c>
      <c r="H1050" s="169">
        <v>2004</v>
      </c>
      <c r="I1050" s="170"/>
      <c r="J1050" s="166">
        <f>IFERROR(INDEX('Labor Expenditures'!$F$7:$X$91,MATCH($C1050,'Labor Expenditures'!$D$7:$D$91,0),MATCH($G1050,'Labor Expenditures'!$F$5:$X$5,0)),"NA")</f>
        <v>272951.65671141096</v>
      </c>
      <c r="K1050" s="166">
        <f t="shared" ref="K1050:K1067" si="3135">+J1050/DN1050</f>
        <v>2838.0728537708446</v>
      </c>
      <c r="L1050" s="172"/>
      <c r="M1050" s="172"/>
      <c r="N1050" s="196"/>
      <c r="O1050" s="172"/>
      <c r="P1050" s="166">
        <f>IFERROR(INDEX('Non-Labor Expenditures'!$F$7:$AB$91,MATCH($C1050,'Non-Labor Expenditures'!$D$7:$D$91,0),MATCH($G1050,'Non-Labor Expenditures'!$F$5:$AB$5,0)),"NA")</f>
        <v>395284.97925539478</v>
      </c>
      <c r="Q1050" s="166">
        <f t="shared" ref="Q1050:Q1067" si="3136">+P1050/DP1050</f>
        <v>4662.589106317615</v>
      </c>
      <c r="R1050" s="166"/>
      <c r="S1050" s="166"/>
      <c r="T1050" s="166"/>
      <c r="U1050" s="166"/>
      <c r="V1050" s="166">
        <f t="shared" si="3117"/>
        <v>203342.25811253165</v>
      </c>
      <c r="W1050" s="170"/>
      <c r="X1050" s="174">
        <v>14249.648376237126</v>
      </c>
      <c r="Y1050" s="175">
        <v>4.0188134571279073E-2</v>
      </c>
      <c r="Z1050" s="175"/>
      <c r="AA1050" s="175"/>
      <c r="AB1050" s="175"/>
      <c r="AC1050" s="170">
        <f t="shared" si="3053"/>
        <v>871578.89407933736</v>
      </c>
      <c r="AD1050" s="175"/>
      <c r="AE1050" s="170"/>
      <c r="AF1050" s="170"/>
      <c r="AG1050" s="174"/>
      <c r="AH1050" s="175"/>
      <c r="AI1050" s="175"/>
      <c r="AJ1050" s="174"/>
      <c r="AK1050" s="174"/>
      <c r="AL1050" s="120">
        <f t="shared" ref="AL1050:AL1067" si="3137">+J1050/AC1050</f>
        <v>0.31316919049506603</v>
      </c>
      <c r="AM1050" s="120">
        <f t="shared" ref="AM1050:AM1067" si="3138">+P1050/AC1050</f>
        <v>0.45352747977329189</v>
      </c>
      <c r="AN1050" s="120">
        <f t="shared" ref="AN1050:AN1067" si="3139">+V1050/AC1050</f>
        <v>0.23330332973164214</v>
      </c>
      <c r="AO1050" s="120"/>
      <c r="AP1050" s="120"/>
      <c r="AQ1050" s="175"/>
      <c r="AR1050" s="120"/>
      <c r="AS1050" s="120"/>
      <c r="AT1050" s="120"/>
      <c r="AU1050" s="120"/>
      <c r="AV1050" s="120"/>
      <c r="AW1050" s="120"/>
      <c r="AX1050" s="120"/>
      <c r="AY1050" s="120"/>
      <c r="AZ1050" s="118">
        <f>IFERROR(INDEX('Total Customers'!$F$7:$AB$91,MATCH($C1050,'Total Customers'!$D$7:$D$91,0),MATCH($G1050,'Total Customers'!$F$5:$AB$5,0)),"NA")</f>
        <v>5266356</v>
      </c>
      <c r="BA1050" s="119">
        <f t="shared" si="3118"/>
        <v>1.2996817634850517E-2</v>
      </c>
      <c r="BB1050" s="119"/>
      <c r="BC1050" s="121"/>
      <c r="BD1050" s="119"/>
      <c r="BE1050" s="119"/>
      <c r="BF1050" s="119"/>
      <c r="BG1050" s="173"/>
      <c r="BH1050" s="173"/>
      <c r="BI1050" s="173"/>
      <c r="BJ1050" s="173"/>
      <c r="BK1050" s="173"/>
      <c r="BL1050" s="173"/>
      <c r="BM1050" s="173"/>
      <c r="BN1050" s="173"/>
      <c r="BO1050" s="173"/>
      <c r="BP1050" s="173"/>
      <c r="BQ1050" s="118"/>
      <c r="BR1050" s="118"/>
      <c r="BS1050" s="118">
        <f>INDEX('Dist. Plant Gas Additions'!$F$7:$AE$91,MATCH($C1050,'Dist. Plant Gas Additions'!$D$7:$D$91,0),MATCH(Calculation!$G1050,'Dist. Plant Gas Additions'!$F$5:$AE$5,0))</f>
        <v>238031</v>
      </c>
      <c r="BT1050" s="118">
        <f>INDEX('Gen. Plant Additions'!$F$7:$AE$91,MATCH($C1050,'Gen. Plant Additions'!$D$7:$D$91,0),MATCH(Calculation!$G1050,'Gen. Plant Additions'!$F$5:$AE$5,0))</f>
        <v>27995</v>
      </c>
      <c r="BU1050" s="118"/>
      <c r="BV1050" s="118"/>
      <c r="BW1050" s="118">
        <f>INDEX('Dist Plant Depreciation'!$E$7:$AD$94,MATCH($C1050,'Dist Plant Depreciation'!$D$7:$D$94,0),MATCH(Calculation!$G1050,'Dist Plant Depreciation'!$E$5:$AD$5,0))</f>
        <v>3085745</v>
      </c>
      <c r="BX1050" s="118">
        <f>INDEX('Gen. Plant Depreciation'!$E$7:$AD$94,MATCH($C1050,'Gen. Plant Depreciation'!$D$7:$D$94,0),MATCH(Calculation!$G1050,'Gen. Plant Depreciation'!$E$5:$AD$5,0))</f>
        <v>306755</v>
      </c>
      <c r="BY1050" s="118"/>
      <c r="BZ1050" s="118"/>
      <c r="CA1050" s="118"/>
      <c r="CB1050" s="118"/>
      <c r="CC1050" s="118"/>
      <c r="CD1050" s="183"/>
      <c r="CE1050" s="118">
        <f>INDEX('Gross Dx Plant'!$E$7:$AD$91,MATCH($C1050,'Gross Dx Plant'!$D$7:$D$91,0),MATCH(Calculation!$G1050,'Gross Dx Plant'!$E$5:$AD$5,0))</f>
        <v>5043640</v>
      </c>
      <c r="CF1050" s="118">
        <f>INDEX('Gross Gen Plant'!$E$7:$AD$91,MATCH($C1050,'Gross Gen Plant'!$D$7:$D$91,0),MATCH(Calculation!$G1050,'Gross Gen Plant'!$E$5:$AD$5,0))</f>
        <v>586912</v>
      </c>
      <c r="CG1050" s="118">
        <f t="shared" si="3018"/>
        <v>2238052</v>
      </c>
      <c r="CH1050" s="118"/>
      <c r="CI1050" s="121">
        <v>2004</v>
      </c>
      <c r="CJ1050" s="118"/>
      <c r="CK1050" s="118"/>
      <c r="CL1050" s="118"/>
      <c r="CM1050" s="183"/>
      <c r="CN1050" s="118">
        <f t="shared" si="3119"/>
        <v>266026</v>
      </c>
      <c r="CO1050" s="118">
        <f t="shared" si="3120"/>
        <v>641.20080239863432</v>
      </c>
      <c r="CP1050" s="186">
        <v>0.967741935483871</v>
      </c>
      <c r="CQ1050" s="118">
        <f>+CQ1044*CP1050+CO1045*CP1049+CO1046*CP1048+CO1047*CP1047+CO1048*CP1046+CO1049*CP1045+CO1050</f>
        <v>14249.648376237126</v>
      </c>
      <c r="CR1050" s="119">
        <f t="shared" si="3121"/>
        <v>4.0188134571279073E-2</v>
      </c>
      <c r="CS1050" s="119"/>
      <c r="CT1050" s="177">
        <f t="shared" si="3122"/>
        <v>5.8362539546810161E-3</v>
      </c>
      <c r="CU1050" s="177">
        <f t="shared" si="3130"/>
        <v>5.7246261654254581E-3</v>
      </c>
      <c r="CV1050" s="119">
        <f>VLOOKUP($H1050,RoR!$E:$F,2,FALSE)</f>
        <v>5.6283333333333331E-2</v>
      </c>
      <c r="CW1050" s="177">
        <v>2.6778252812867276E-2</v>
      </c>
      <c r="CX1050" s="177">
        <f t="shared" si="3128"/>
        <v>2.9505080520466055E-2</v>
      </c>
      <c r="CY1050" s="177">
        <f t="shared" si="3131"/>
        <v>2.5177315443108167E-2</v>
      </c>
      <c r="CZ1050" s="177">
        <f t="shared" si="3132"/>
        <v>5.5940039414565046E-2</v>
      </c>
      <c r="DA1050" s="187">
        <f t="shared" si="3123"/>
        <v>0.84720249999999997</v>
      </c>
      <c r="DB1050" s="188">
        <f t="shared" si="3124"/>
        <v>0.91114097628755619</v>
      </c>
      <c r="DC1050" s="188">
        <f t="shared" si="3125"/>
        <v>0.53081877405981637</v>
      </c>
      <c r="DD1050" s="188">
        <f t="shared" si="3126"/>
        <v>0.88811215519385678</v>
      </c>
      <c r="DE1050" s="188">
        <f t="shared" si="3127"/>
        <v>0.42953609753547711</v>
      </c>
      <c r="DF1050" s="189">
        <f>INDEX('State Tax Lookup'!$D$7:$Z$91,MATCH(Calculation!$C1050,'State Tax Lookup'!$B$7:$B$91,0),MATCH($H1050,'State Tax Lookup'!$D$6:$Z$6,0))</f>
        <v>0.40745999999999999</v>
      </c>
      <c r="DG1050" s="189">
        <v>0.375</v>
      </c>
      <c r="DH1050" s="190">
        <f t="shared" si="3129"/>
        <v>14.855147874699661</v>
      </c>
      <c r="DI1050" s="190"/>
      <c r="DJ1050" s="177"/>
      <c r="DK1050" s="189">
        <f>VLOOKUP($H1050,RoR!$E:$F,2,FALSE)</f>
        <v>5.6283333333333331E-2</v>
      </c>
      <c r="DL1050" s="191">
        <f>HLOOKUP($H1050,'GDP-PI'!$D$8:$CQ$11,3,FALSE)</f>
        <v>2.6778252812867276E-2</v>
      </c>
      <c r="DM1050" s="189">
        <f>VLOOKUP(H1050,'HW Dx Data'!$E:$F,2,FALSE)</f>
        <v>414.88719135228365</v>
      </c>
      <c r="DN1050" s="183">
        <f>VLOOKUP(H1050,'ECI - Input Price'!$G$17:$H$37,2,FALSE)</f>
        <v>96.174999999999997</v>
      </c>
      <c r="DO1050" s="177">
        <f t="shared" ref="DO1050" si="3140">LN(DN1050/DN1049)</f>
        <v>3.7610365022107912E-2</v>
      </c>
      <c r="DP1050" s="183">
        <f>HLOOKUP(H1050,'GDP-PI'!$8:$9,2,FALSE)</f>
        <v>84.778000000000006</v>
      </c>
      <c r="DQ1050" s="177">
        <f t="shared" ref="DQ1050" si="3141">LN(DP1050/DP1049)</f>
        <v>2.6425990216022755E-2</v>
      </c>
    </row>
    <row r="1051" spans="1:121" s="167" customFormat="1" ht="21" x14ac:dyDescent="0.35">
      <c r="A1051" s="167" t="s">
        <v>103</v>
      </c>
      <c r="B1051" s="167" t="s">
        <v>103</v>
      </c>
      <c r="C1051" s="167">
        <v>4057146</v>
      </c>
      <c r="D1051" s="168" t="s">
        <v>146</v>
      </c>
      <c r="E1051" s="168"/>
      <c r="F1051" s="198"/>
      <c r="G1051" s="167" t="s">
        <v>11</v>
      </c>
      <c r="H1051" s="169">
        <v>2005</v>
      </c>
      <c r="I1051" s="170"/>
      <c r="J1051" s="166">
        <f>IFERROR(INDEX('Labor Expenditures'!$F$7:$X$91,MATCH($C1051,'Labor Expenditures'!$D$7:$D$91,0),MATCH($G1051,'Labor Expenditures'!$F$5:$X$5,0)),"NA")</f>
        <v>280114.03470691532</v>
      </c>
      <c r="K1051" s="166">
        <f t="shared" si="3135"/>
        <v>2825.1541574071134</v>
      </c>
      <c r="L1051" s="172">
        <f t="shared" ref="L1051:L1067" si="3142">LN(K1051/K1050)</f>
        <v>-4.5623171193729497E-3</v>
      </c>
      <c r="M1051" s="172"/>
      <c r="N1051" s="196"/>
      <c r="O1051" s="172"/>
      <c r="P1051" s="166">
        <f>IFERROR(INDEX('Non-Labor Expenditures'!$F$7:$AB$91,MATCH($C1051,'Non-Labor Expenditures'!$D$7:$D$91,0),MATCH($G1051,'Non-Labor Expenditures'!$F$5:$AB$5,0)),"NA")</f>
        <v>405657.44034056639</v>
      </c>
      <c r="Q1051" s="166">
        <f t="shared" si="3136"/>
        <v>4641.0177713520243</v>
      </c>
      <c r="R1051" s="172">
        <f>LN(Q1051/Q1050)</f>
        <v>-4.6372066026603882E-3</v>
      </c>
      <c r="S1051" s="172"/>
      <c r="T1051" s="172"/>
      <c r="U1051" s="172"/>
      <c r="V1051" s="166">
        <f t="shared" si="3117"/>
        <v>237709.08210958171</v>
      </c>
      <c r="W1051" s="170"/>
      <c r="X1051" s="174">
        <v>14991.655118246415</v>
      </c>
      <c r="Y1051" s="175">
        <v>5.07614897871125E-2</v>
      </c>
      <c r="Z1051" s="175"/>
      <c r="AA1051" s="175"/>
      <c r="AB1051" s="175"/>
      <c r="AC1051" s="170">
        <f t="shared" si="3053"/>
        <v>923480.55715706339</v>
      </c>
      <c r="AD1051" s="175">
        <f>LN(AC1051/AC1050)</f>
        <v>5.7843358355357456E-2</v>
      </c>
      <c r="AE1051" s="170"/>
      <c r="AF1051" s="170"/>
      <c r="AG1051" s="121"/>
      <c r="AH1051" s="119"/>
      <c r="AI1051" s="119"/>
      <c r="AJ1051" s="121"/>
      <c r="AK1051" s="121"/>
      <c r="AL1051" s="120">
        <f t="shared" si="3137"/>
        <v>0.30332423626681099</v>
      </c>
      <c r="AM1051" s="120">
        <f t="shared" si="3138"/>
        <v>0.43927014726696961</v>
      </c>
      <c r="AN1051" s="120">
        <f t="shared" si="3139"/>
        <v>0.25740561646621946</v>
      </c>
      <c r="AO1051" s="120">
        <f t="shared" ref="AO1051:AO1067" si="3143">+(((AL1051+AL1050)/2)*L1051+((AM1050+AM1051)/2)*R1051+((AN1050+AN1051)/2)*Y1051)</f>
        <v>8.978195797510127E-3</v>
      </c>
      <c r="AP1051" s="173">
        <v>100</v>
      </c>
      <c r="AQ1051" s="175"/>
      <c r="AR1051" s="120"/>
      <c r="AS1051" s="120"/>
      <c r="AT1051" s="120"/>
      <c r="AU1051" s="120"/>
      <c r="AV1051" s="120"/>
      <c r="AW1051" s="120"/>
      <c r="AX1051" s="120"/>
      <c r="AY1051" s="120"/>
      <c r="AZ1051" s="118">
        <f>IFERROR(INDEX('Total Customers'!$F$7:$AB$91,MATCH($C1051,'Total Customers'!$D$7:$D$91,0),MATCH($G1051,'Total Customers'!$F$5:$AB$5,0)),"NA")</f>
        <v>5328609</v>
      </c>
      <c r="BA1051" s="119">
        <f t="shared" si="3118"/>
        <v>1.1751566224719042E-2</v>
      </c>
      <c r="BB1051" s="119"/>
      <c r="BC1051" s="121"/>
      <c r="BD1051" s="119"/>
      <c r="BE1051" s="119"/>
      <c r="BF1051" s="119"/>
      <c r="BG1051" s="173"/>
      <c r="BH1051" s="173"/>
      <c r="BI1051" s="173"/>
      <c r="BJ1051" s="173"/>
      <c r="BK1051" s="173"/>
      <c r="BL1051" s="173"/>
      <c r="BM1051" s="173"/>
      <c r="BN1051" s="173"/>
      <c r="BO1051" s="173"/>
      <c r="BP1051" s="173"/>
      <c r="BQ1051" s="118"/>
      <c r="BR1051" s="118"/>
      <c r="BS1051" s="118">
        <f>INDEX('Dist. Plant Gas Additions'!$F$7:$AE$91,MATCH($C1051,'Dist. Plant Gas Additions'!$D$7:$D$91,0),MATCH(Calculation!$G1051,'Dist. Plant Gas Additions'!$F$5:$AE$5,0))</f>
        <v>333799</v>
      </c>
      <c r="BT1051" s="118">
        <f>INDEX('Gen. Plant Additions'!$F$7:$AE$91,MATCH($C1051,'Gen. Plant Additions'!$D$7:$D$91,0),MATCH(Calculation!$G1051,'Gen. Plant Additions'!$F$5:$AE$5,0))</f>
        <v>54554</v>
      </c>
      <c r="BU1051" s="118"/>
      <c r="BV1051" s="118"/>
      <c r="BW1051" s="118">
        <f>INDEX('Dist Plant Depreciation'!$E$7:$AD$94,MATCH($C1051,'Dist Plant Depreciation'!$D$7:$D$94,0),MATCH(Calculation!$G1051,'Dist Plant Depreciation'!$E$5:$AD$5,0))</f>
        <v>2018755</v>
      </c>
      <c r="BX1051" s="118">
        <f>INDEX('Gen. Plant Depreciation'!$E$7:$AD$94,MATCH($C1051,'Gen. Plant Depreciation'!$D$7:$D$94,0),MATCH(Calculation!$G1051,'Gen. Plant Depreciation'!$E$5:$AD$5,0))</f>
        <v>303875</v>
      </c>
      <c r="BY1051" s="118"/>
      <c r="BZ1051" s="118"/>
      <c r="CA1051" s="118"/>
      <c r="CB1051" s="118"/>
      <c r="CC1051" s="118"/>
      <c r="CD1051" s="183"/>
      <c r="CE1051" s="118">
        <f>INDEX('Gross Dx Plant'!$E$7:$AD$91,MATCH($C1051,'Gross Dx Plant'!$D$7:$D$91,0),MATCH(Calculation!$G1051,'Gross Dx Plant'!$E$5:$AD$5,0))</f>
        <v>5319299</v>
      </c>
      <c r="CF1051" s="118">
        <f>INDEX('Gross Gen Plant'!$E$7:$AD$91,MATCH($C1051,'Gross Gen Plant'!$D$7:$D$91,0),MATCH(Calculation!$G1051,'Gross Gen Plant'!$E$5:$AD$5,0))</f>
        <v>585016</v>
      </c>
      <c r="CG1051" s="118">
        <f t="shared" si="3018"/>
        <v>3581685</v>
      </c>
      <c r="CH1051" s="118"/>
      <c r="CI1051" s="121">
        <v>2005</v>
      </c>
      <c r="CJ1051" s="118"/>
      <c r="CK1051" s="118"/>
      <c r="CL1051" s="118"/>
      <c r="CM1051" s="183"/>
      <c r="CN1051" s="118">
        <f t="shared" si="3119"/>
        <v>388353</v>
      </c>
      <c r="CO1051" s="118">
        <f t="shared" si="3120"/>
        <v>827.68274812769232</v>
      </c>
      <c r="CP1051" s="186">
        <v>0.96174863387978138</v>
      </c>
      <c r="CQ1051" s="118">
        <f>+CQ1044*CP1051+CO1045*CP1050+CO1046*CP1049+CO1047*CP1048+CO1048*CP1047+CO1049*CP1046+CO1050*CP1045+CO1051</f>
        <v>14991.655118246415</v>
      </c>
      <c r="CR1051" s="119">
        <f t="shared" si="3121"/>
        <v>5.07614897871125E-2</v>
      </c>
      <c r="CS1051" s="119"/>
      <c r="CT1051" s="177">
        <f t="shared" si="3122"/>
        <v>6.0124996670989743E-3</v>
      </c>
      <c r="CU1051" s="177">
        <f t="shared" si="3130"/>
        <v>5.8393955048937794E-3</v>
      </c>
      <c r="CV1051" s="119">
        <f>VLOOKUP($H1051,RoR!$E:$F,2,FALSE)</f>
        <v>5.2350000000000001E-2</v>
      </c>
      <c r="CW1051" s="177">
        <v>3.1010403642454332E-2</v>
      </c>
      <c r="CX1051" s="177">
        <f t="shared" si="3128"/>
        <v>2.1339596357545669E-2</v>
      </c>
      <c r="CY1051" s="177">
        <f t="shared" si="3131"/>
        <v>2.5062546103639845E-2</v>
      </c>
      <c r="CZ1051" s="177">
        <f t="shared" si="3132"/>
        <v>9.2129610649277341E-2</v>
      </c>
      <c r="DA1051" s="187">
        <f t="shared" si="3123"/>
        <v>0.84720249999999997</v>
      </c>
      <c r="DB1051" s="188">
        <f t="shared" si="3124"/>
        <v>0.97959983346802826</v>
      </c>
      <c r="DC1051" s="188">
        <f t="shared" si="3125"/>
        <v>0.49744508118433622</v>
      </c>
      <c r="DD1051" s="188">
        <f t="shared" si="3126"/>
        <v>0.87010519444335932</v>
      </c>
      <c r="DE1051" s="188">
        <f t="shared" si="3127"/>
        <v>0.42399975420741998</v>
      </c>
      <c r="DF1051" s="189">
        <f>INDEX('State Tax Lookup'!$D$7:$Z$91,MATCH(Calculation!$C1051,'State Tax Lookup'!$B$7:$B$91,0),MATCH($H1051,'State Tax Lookup'!$D$6:$Z$6,0))</f>
        <v>0.40745999999999999</v>
      </c>
      <c r="DG1051" s="189">
        <v>0.375</v>
      </c>
      <c r="DH1051" s="190">
        <f t="shared" si="3129"/>
        <v>16.681750723476661</v>
      </c>
      <c r="DI1051" s="190"/>
      <c r="DJ1051" s="177"/>
      <c r="DK1051" s="189">
        <f>VLOOKUP($H1051,RoR!$E:$F,2,FALSE)</f>
        <v>5.2350000000000001E-2</v>
      </c>
      <c r="DL1051" s="191">
        <f>HLOOKUP($H1051,'GDP-PI'!$D$8:$CQ$11,3,FALSE)</f>
        <v>3.1010403642454332E-2</v>
      </c>
      <c r="DM1051" s="189">
        <f>VLOOKUP(H1051,'HW Dx Data'!$E:$F,2,FALSE)</f>
        <v>469.20514034936258</v>
      </c>
      <c r="DN1051" s="183">
        <f>VLOOKUP(H1051,'ECI - Input Price'!$G$17:$H$37,2,FALSE)</f>
        <v>99.15</v>
      </c>
      <c r="DO1051" s="177">
        <f t="shared" ref="DO1051" si="3144">LN(DN1051/DN1050)</f>
        <v>3.046440632744625E-2</v>
      </c>
      <c r="DP1051" s="183">
        <f>HLOOKUP(H1051,'GDP-PI'!$8:$9,2,FALSE)</f>
        <v>87.406999999999996</v>
      </c>
      <c r="DQ1051" s="177">
        <f t="shared" ref="DQ1051" si="3145">LN(DP1051/DP1050)</f>
        <v>3.0539295810733648E-2</v>
      </c>
    </row>
    <row r="1052" spans="1:121" s="167" customFormat="1" ht="21" x14ac:dyDescent="0.35">
      <c r="A1052" s="167" t="s">
        <v>103</v>
      </c>
      <c r="B1052" s="167" t="s">
        <v>103</v>
      </c>
      <c r="C1052" s="167">
        <v>4057146</v>
      </c>
      <c r="D1052" s="168" t="s">
        <v>146</v>
      </c>
      <c r="E1052" s="168"/>
      <c r="F1052" s="198"/>
      <c r="G1052" s="167" t="s">
        <v>12</v>
      </c>
      <c r="H1052" s="169">
        <v>2006</v>
      </c>
      <c r="I1052" s="170"/>
      <c r="J1052" s="166">
        <f>IFERROR(INDEX('Labor Expenditures'!$F$7:$X$91,MATCH($C1052,'Labor Expenditures'!$D$7:$D$91,0),MATCH($G1052,'Labor Expenditures'!$F$5:$X$5,0)),"NA")</f>
        <v>291385.33278508368</v>
      </c>
      <c r="K1052" s="166">
        <f t="shared" si="3135"/>
        <v>2855.3192825583897</v>
      </c>
      <c r="L1052" s="172">
        <f t="shared" si="3142"/>
        <v>1.0620737521930039E-2</v>
      </c>
      <c r="M1052" s="172">
        <f t="shared" ref="M1052:M1067" si="3146">+L1052*AR1052</f>
        <v>1.2786954054553605E-3</v>
      </c>
      <c r="N1052" s="196"/>
      <c r="O1052" s="172"/>
      <c r="P1052" s="166">
        <f>IFERROR(INDEX('Non-Labor Expenditures'!$F$7:$AB$91,MATCH($C1052,'Non-Labor Expenditures'!$D$7:$D$91,0),MATCH($G1052,'Non-Labor Expenditures'!$F$5:$AB$5,0)),"NA")</f>
        <v>421980.38514584652</v>
      </c>
      <c r="Q1052" s="166">
        <f t="shared" si="3136"/>
        <v>4684.8189837894015</v>
      </c>
      <c r="R1052" s="172">
        <f t="shared" ref="R1052:R1067" si="3147">LN(Q1052/Q1051)</f>
        <v>9.3935880865243949E-3</v>
      </c>
      <c r="S1052" s="172">
        <f>+R1052*AR1052</f>
        <v>1.1309513960002446E-3</v>
      </c>
      <c r="T1052" s="172"/>
      <c r="U1052" s="172"/>
      <c r="V1052" s="166">
        <f t="shared" si="3117"/>
        <v>244329.69565220404</v>
      </c>
      <c r="W1052" s="170"/>
      <c r="X1052" s="174">
        <v>15642.158486715804</v>
      </c>
      <c r="Y1052" s="175">
        <v>4.2476015408598251E-2</v>
      </c>
      <c r="Z1052" s="175">
        <f>+Y1052*AR1052</f>
        <v>5.1139467134816794E-3</v>
      </c>
      <c r="AA1052" s="175"/>
      <c r="AB1052" s="175"/>
      <c r="AC1052" s="170">
        <f t="shared" si="3053"/>
        <v>957695.4135831343</v>
      </c>
      <c r="AD1052" s="175">
        <f t="shared" ref="AD1052:AD1067" si="3148">LN(AC1052/AC1051)</f>
        <v>3.6380041537604282E-2</v>
      </c>
      <c r="AE1052" s="170"/>
      <c r="AF1052" s="170"/>
      <c r="AG1052" s="121">
        <f t="shared" ref="AG1052:AG1067" si="3149">+(AC1052*1000)/AZ1052</f>
        <v>177.60869958228918</v>
      </c>
      <c r="AH1052" s="119">
        <f>+AZ1052/$BB$44</f>
        <v>0.15338516125330617</v>
      </c>
      <c r="AI1052" s="119"/>
      <c r="AJ1052" s="176">
        <f>+AH1052*AG1052</f>
        <v>27.24253902541944</v>
      </c>
      <c r="AK1052" s="176">
        <f>+AI1052*AG1052</f>
        <v>0</v>
      </c>
      <c r="AL1052" s="120">
        <f t="shared" si="3137"/>
        <v>0.30425679047045945</v>
      </c>
      <c r="AM1052" s="120">
        <f t="shared" si="3138"/>
        <v>0.44062065993095184</v>
      </c>
      <c r="AN1052" s="120">
        <f t="shared" si="3139"/>
        <v>0.25512254959858865</v>
      </c>
      <c r="AO1052" s="120">
        <f t="shared" si="3143"/>
        <v>1.8244222345663714E-2</v>
      </c>
      <c r="AP1052" s="173">
        <f>+AP1051*EXP(AO1052)</f>
        <v>101.8411664906566</v>
      </c>
      <c r="AQ1052" s="175">
        <f>LN(AP1052/AP1051)</f>
        <v>1.8244222345663696E-2</v>
      </c>
      <c r="AR1052" s="177">
        <f>+AC1052/$AE$44</f>
        <v>0.12039610270144321</v>
      </c>
      <c r="AS1052" s="177">
        <f>+AR1052*AQ1052</f>
        <v>2.1965332672364917E-3</v>
      </c>
      <c r="AT1052" s="177"/>
      <c r="AU1052" s="177"/>
      <c r="AV1052" s="177"/>
      <c r="AW1052" s="190"/>
      <c r="AX1052" s="120"/>
      <c r="AY1052" s="120"/>
      <c r="AZ1052" s="118">
        <f>IFERROR(INDEX('Total Customers'!$F$7:$AB$91,MATCH($C1052,'Total Customers'!$D$7:$D$91,0),MATCH($G1052,'Total Customers'!$F$5:$AB$5,0)),"NA")</f>
        <v>5392165</v>
      </c>
      <c r="BA1052" s="119">
        <f t="shared" si="3118"/>
        <v>1.1856745524079414E-2</v>
      </c>
      <c r="BB1052" s="119"/>
      <c r="BC1052" s="121"/>
      <c r="BD1052" s="119"/>
      <c r="BE1052" s="119"/>
      <c r="BF1052" s="119"/>
      <c r="BG1052" s="173"/>
      <c r="BH1052" s="173"/>
      <c r="BI1052" s="173"/>
      <c r="BJ1052" s="173"/>
      <c r="BK1052" s="173"/>
      <c r="BL1052" s="173"/>
      <c r="BM1052" s="173"/>
      <c r="BN1052" s="173"/>
      <c r="BO1052" s="173"/>
      <c r="BP1052" s="173"/>
      <c r="BQ1052" s="118"/>
      <c r="BR1052" s="118"/>
      <c r="BS1052" s="118">
        <f>INDEX('Dist. Plant Gas Additions'!$F$7:$AE$91,MATCH($C1052,'Dist. Plant Gas Additions'!$D$7:$D$91,0),MATCH(Calculation!$G1052,'Dist. Plant Gas Additions'!$F$5:$AE$5,0))</f>
        <v>305454</v>
      </c>
      <c r="BT1052" s="118">
        <f>INDEX('Gen. Plant Additions'!$F$7:$AE$91,MATCH($C1052,'Gen. Plant Additions'!$D$7:$D$91,0),MATCH(Calculation!$G1052,'Gen. Plant Additions'!$F$5:$AE$5,0))</f>
        <v>37188</v>
      </c>
      <c r="BU1052" s="118"/>
      <c r="BV1052" s="118"/>
      <c r="BW1052" s="118">
        <f>INDEX('Dist Plant Depreciation'!$E$7:$AD$94,MATCH($C1052,'Dist Plant Depreciation'!$D$7:$D$94,0),MATCH(Calculation!$G1052,'Dist Plant Depreciation'!$E$5:$AD$5,0))</f>
        <v>2095799</v>
      </c>
      <c r="BX1052" s="118">
        <f>INDEX('Gen. Plant Depreciation'!$E$7:$AD$94,MATCH($C1052,'Gen. Plant Depreciation'!$D$7:$D$94,0),MATCH(Calculation!$G1052,'Gen. Plant Depreciation'!$E$5:$AD$5,0))</f>
        <v>329561</v>
      </c>
      <c r="BY1052" s="118"/>
      <c r="BZ1052" s="118"/>
      <c r="CA1052" s="118"/>
      <c r="CB1052" s="118"/>
      <c r="CC1052" s="118"/>
      <c r="CD1052" s="183"/>
      <c r="CE1052" s="118">
        <f>INDEX('Gross Dx Plant'!$E$7:$AD$91,MATCH($C1052,'Gross Dx Plant'!$D$7:$D$91,0),MATCH(Calculation!$G1052,'Gross Dx Plant'!$E$5:$AD$5,0))</f>
        <v>5589938</v>
      </c>
      <c r="CF1052" s="118">
        <f>INDEX('Gross Gen Plant'!$E$7:$AD$91,MATCH($C1052,'Gross Gen Plant'!$D$7:$D$91,0),MATCH(Calculation!$G1052,'Gross Gen Plant'!$E$5:$AD$5,0))</f>
        <v>593851</v>
      </c>
      <c r="CG1052" s="118">
        <f t="shared" si="3018"/>
        <v>3758429</v>
      </c>
      <c r="CH1052" s="119" t="e">
        <f>SUM(#REF!)/15</f>
        <v>#REF!</v>
      </c>
      <c r="CI1052" s="121">
        <v>2006</v>
      </c>
      <c r="CJ1052" s="118"/>
      <c r="CK1052" s="118"/>
      <c r="CL1052" s="118"/>
      <c r="CM1052" s="183"/>
      <c r="CN1052" s="118">
        <f t="shared" si="3119"/>
        <v>342642</v>
      </c>
      <c r="CO1052" s="118">
        <f t="shared" si="3120"/>
        <v>743.12003227402772</v>
      </c>
      <c r="CP1052" s="186">
        <v>0.9555555555555556</v>
      </c>
      <c r="CQ1052" s="118">
        <f>+CQ1044*CP1052+CO1045*CP1051+CO1046*CP1050+CO1047*CP1049+CO1048*CP1048+CO1049*CP1047+CO1050*CP1046+CO1051*CP1045+CO1052</f>
        <v>15642.158486715804</v>
      </c>
      <c r="CR1052" s="119">
        <f t="shared" si="3121"/>
        <v>4.2476015408598251E-2</v>
      </c>
      <c r="CS1052" s="119"/>
      <c r="CT1052" s="177">
        <f t="shared" si="3122"/>
        <v>6.1778811661639321E-3</v>
      </c>
      <c r="CU1052" s="177">
        <f t="shared" si="3130"/>
        <v>6.008878262647975E-3</v>
      </c>
      <c r="CV1052" s="119">
        <f>VLOOKUP($H1052,RoR!$E:$F,2,FALSE)</f>
        <v>5.5874999999999994E-2</v>
      </c>
      <c r="CW1052" s="177">
        <v>3.0512430354548314E-2</v>
      </c>
      <c r="CX1052" s="177">
        <f t="shared" si="3128"/>
        <v>2.536256964545168E-2</v>
      </c>
      <c r="CY1052" s="177">
        <f t="shared" si="3131"/>
        <v>2.489306334588565E-2</v>
      </c>
      <c r="CZ1052" s="177">
        <f t="shared" si="3132"/>
        <v>7.9087823893859641E-2</v>
      </c>
      <c r="DA1052" s="187">
        <f t="shared" si="3123"/>
        <v>0.84720249999999997</v>
      </c>
      <c r="DB1052" s="188">
        <f t="shared" si="3124"/>
        <v>0.91779957551769631</v>
      </c>
      <c r="DC1052" s="188">
        <f t="shared" si="3125"/>
        <v>0.52757270693512304</v>
      </c>
      <c r="DD1052" s="188">
        <f t="shared" si="3126"/>
        <v>0.88636824549024895</v>
      </c>
      <c r="DE1052" s="188">
        <f t="shared" si="3127"/>
        <v>0.42918482841932087</v>
      </c>
      <c r="DF1052" s="189">
        <f>INDEX('State Tax Lookup'!$D$7:$Z$91,MATCH(Calculation!$C1052,'State Tax Lookup'!$B$7:$B$91,0),MATCH($H1052,'State Tax Lookup'!$D$6:$Z$6,0))</f>
        <v>0.40745999999999999</v>
      </c>
      <c r="DG1052" s="189">
        <v>0.375</v>
      </c>
      <c r="DH1052" s="190">
        <f t="shared" si="3129"/>
        <v>16.297713209452716</v>
      </c>
      <c r="DI1052" s="190">
        <v>15.840463661990835</v>
      </c>
      <c r="DJ1052" s="177"/>
      <c r="DK1052" s="189">
        <f>VLOOKUP($H1052,RoR!$E:$F,2,FALSE)</f>
        <v>5.5874999999999994E-2</v>
      </c>
      <c r="DL1052" s="191">
        <f>HLOOKUP($H1052,'GDP-PI'!$D$8:$CQ$11,3,FALSE)</f>
        <v>3.0512430354548314E-2</v>
      </c>
      <c r="DM1052" s="189">
        <f>VLOOKUP(H1052,'HW Dx Data'!$E:$F,2,FALSE)</f>
        <v>461.08567272971823</v>
      </c>
      <c r="DN1052" s="183">
        <f>VLOOKUP(H1052,'ECI - Input Price'!$G$17:$H$37,2,FALSE)</f>
        <v>102.05</v>
      </c>
      <c r="DO1052" s="177">
        <f t="shared" ref="DO1052" si="3150">LN(DN1052/DN1051)</f>
        <v>2.8829034290048662E-2</v>
      </c>
      <c r="DP1052" s="183">
        <f>HLOOKUP(H1052,'GDP-PI'!$8:$9,2,FALSE)</f>
        <v>90.073999999999998</v>
      </c>
      <c r="DQ1052" s="177">
        <f t="shared" ref="DQ1052" si="3151">LN(DP1052/DP1051)</f>
        <v>3.005618372545445E-2</v>
      </c>
    </row>
    <row r="1053" spans="1:121" s="167" customFormat="1" ht="21" x14ac:dyDescent="0.35">
      <c r="A1053" s="167" t="s">
        <v>103</v>
      </c>
      <c r="B1053" s="167" t="s">
        <v>103</v>
      </c>
      <c r="C1053" s="167">
        <v>4057146</v>
      </c>
      <c r="D1053" s="168" t="s">
        <v>146</v>
      </c>
      <c r="E1053" s="168"/>
      <c r="F1053" s="198"/>
      <c r="G1053" s="167" t="s">
        <v>13</v>
      </c>
      <c r="H1053" s="169">
        <v>2007</v>
      </c>
      <c r="I1053" s="170"/>
      <c r="J1053" s="166">
        <f>IFERROR(INDEX('Labor Expenditures'!$F$7:$X$91,MATCH($C1053,'Labor Expenditures'!$D$7:$D$91,0),MATCH($G1053,'Labor Expenditures'!$F$5:$X$5,0)),"NA")</f>
        <v>305008.39263993909</v>
      </c>
      <c r="K1053" s="166">
        <f t="shared" si="3135"/>
        <v>2898.6304836297368</v>
      </c>
      <c r="L1053" s="172">
        <f t="shared" si="3142"/>
        <v>1.505470879928545E-2</v>
      </c>
      <c r="M1053" s="172">
        <f t="shared" si="3146"/>
        <v>1.8287418803045392E-3</v>
      </c>
      <c r="N1053" s="196"/>
      <c r="O1053" s="172"/>
      <c r="P1053" s="166">
        <f>IFERROR(INDEX('Non-Labor Expenditures'!$F$7:$AB$91,MATCH($C1053,'Non-Labor Expenditures'!$D$7:$D$91,0),MATCH($G1053,'Non-Labor Expenditures'!$F$5:$AB$5,0)),"NA")</f>
        <v>441709.1202522798</v>
      </c>
      <c r="Q1053" s="166">
        <f t="shared" si="3136"/>
        <v>4775.3369829864405</v>
      </c>
      <c r="R1053" s="172">
        <f t="shared" si="3147"/>
        <v>1.9137266250028252E-2</v>
      </c>
      <c r="S1053" s="172">
        <f t="shared" ref="S1053:S1067" si="3152">+R1053*AR1053</f>
        <v>2.3246627173304306E-3</v>
      </c>
      <c r="T1053" s="172"/>
      <c r="U1053" s="172"/>
      <c r="V1053" s="166">
        <f t="shared" si="3117"/>
        <v>273894.36783278664</v>
      </c>
      <c r="W1053" s="170"/>
      <c r="X1053" s="174">
        <v>16205.293731573367</v>
      </c>
      <c r="Y1053" s="175">
        <v>3.5368226159252107E-2</v>
      </c>
      <c r="Z1053" s="175">
        <f t="shared" ref="Z1053:Z1067" si="3153">+Y1053*AR1053</f>
        <v>4.2962874454653549E-3</v>
      </c>
      <c r="AA1053" s="175"/>
      <c r="AB1053" s="175"/>
      <c r="AC1053" s="170">
        <f t="shared" si="3053"/>
        <v>1020611.8807250055</v>
      </c>
      <c r="AD1053" s="175">
        <f t="shared" si="3148"/>
        <v>6.3627821959215E-2</v>
      </c>
      <c r="AE1053" s="170"/>
      <c r="AF1053" s="170"/>
      <c r="AG1053" s="121">
        <f t="shared" si="3149"/>
        <v>187.40591816905587</v>
      </c>
      <c r="AH1053" s="119">
        <f>+AZ1053/$BB$45</f>
        <v>0.15375490391373428</v>
      </c>
      <c r="AI1053" s="119"/>
      <c r="AJ1053" s="176">
        <f t="shared" ref="AJ1053:AJ1067" si="3154">+AH1053*AG1053</f>
        <v>28.814578940948333</v>
      </c>
      <c r="AK1053" s="176">
        <f t="shared" ref="AK1053:AK1067" si="3155">+AI1053*AG1053</f>
        <v>0</v>
      </c>
      <c r="AL1053" s="120">
        <f t="shared" si="3137"/>
        <v>0.29884856173070634</v>
      </c>
      <c r="AM1053" s="120">
        <f t="shared" si="3138"/>
        <v>0.43278853459799599</v>
      </c>
      <c r="AN1053" s="120">
        <f t="shared" si="3139"/>
        <v>0.26836290367129773</v>
      </c>
      <c r="AO1053" s="120">
        <f t="shared" si="3143"/>
        <v>2.2154495827965089E-2</v>
      </c>
      <c r="AP1053" s="173">
        <f>+AP1052*EXP(AO1053)</f>
        <v>104.12258471064257</v>
      </c>
      <c r="AQ1053" s="175">
        <f>LN(AP1053/AP1052)</f>
        <v>2.2154495827965078E-2</v>
      </c>
      <c r="AR1053" s="177">
        <f>+AC1053/$AE$45</f>
        <v>0.12147308225525676</v>
      </c>
      <c r="AS1053" s="177">
        <f t="shared" ref="AS1053:AS1067" si="3156">+AR1053*AQ1053</f>
        <v>2.6911748940341446E-3</v>
      </c>
      <c r="AT1053" s="177"/>
      <c r="AU1053" s="177"/>
      <c r="AV1053" s="177"/>
      <c r="AW1053" s="190"/>
      <c r="AX1053" s="120"/>
      <c r="AY1053" s="120"/>
      <c r="AZ1053" s="118">
        <f>IFERROR(INDEX('Total Customers'!$F$7:$AB$91,MATCH($C1053,'Total Customers'!$D$7:$D$91,0),MATCH($G1053,'Total Customers'!$F$5:$AB$5,0)),"NA")</f>
        <v>5445996</v>
      </c>
      <c r="BA1053" s="119">
        <f t="shared" si="3118"/>
        <v>9.9336857352572781E-3</v>
      </c>
      <c r="BB1053" s="119"/>
      <c r="BC1053" s="121"/>
      <c r="BD1053" s="119"/>
      <c r="BE1053" s="119"/>
      <c r="BF1053" s="119"/>
      <c r="BG1053" s="173"/>
      <c r="BH1053" s="173"/>
      <c r="BI1053" s="173"/>
      <c r="BJ1053" s="173"/>
      <c r="BK1053" s="173"/>
      <c r="BL1053" s="173"/>
      <c r="BM1053" s="173"/>
      <c r="BN1053" s="173"/>
      <c r="BO1053" s="173"/>
      <c r="BP1053" s="173"/>
      <c r="BQ1053" s="118"/>
      <c r="BR1053" s="118"/>
      <c r="BS1053" s="118">
        <f>INDEX('Dist. Plant Gas Additions'!$F$7:$AE$91,MATCH($C1053,'Dist. Plant Gas Additions'!$D$7:$D$91,0),MATCH(Calculation!$G1053,'Dist. Plant Gas Additions'!$F$5:$AE$5,0))</f>
        <v>284009</v>
      </c>
      <c r="BT1053" s="118">
        <f>INDEX('Gen. Plant Additions'!$F$7:$AE$91,MATCH($C1053,'Gen. Plant Additions'!$D$7:$D$91,0),MATCH(Calculation!$G1053,'Gen. Plant Additions'!$F$5:$AE$5,0))</f>
        <v>45950</v>
      </c>
      <c r="BU1053" s="118"/>
      <c r="BV1053" s="118"/>
      <c r="BW1053" s="118">
        <f>INDEX('Dist Plant Depreciation'!$E$7:$AD$94,MATCH($C1053,'Dist Plant Depreciation'!$D$7:$D$94,0),MATCH(Calculation!$G1053,'Dist Plant Depreciation'!$E$5:$AD$5,0))</f>
        <v>2159445</v>
      </c>
      <c r="BX1053" s="118">
        <f>INDEX('Gen. Plant Depreciation'!$E$7:$AD$94,MATCH($C1053,'Gen. Plant Depreciation'!$D$7:$D$94,0),MATCH(Calculation!$G1053,'Gen. Plant Depreciation'!$E$5:$AD$5,0))</f>
        <v>310010</v>
      </c>
      <c r="BY1053" s="118"/>
      <c r="BZ1053" s="118"/>
      <c r="CA1053" s="118"/>
      <c r="CB1053" s="118"/>
      <c r="CC1053" s="118"/>
      <c r="CD1053" s="183"/>
      <c r="CE1053" s="118">
        <f>INDEX('Gross Dx Plant'!$E$7:$AD$91,MATCH($C1053,'Gross Dx Plant'!$D$7:$D$91,0),MATCH(Calculation!$G1053,'Gross Dx Plant'!$E$5:$AD$5,0))</f>
        <v>5820039</v>
      </c>
      <c r="CF1053" s="118">
        <f>INDEX('Gross Gen Plant'!$E$7:$AD$91,MATCH($C1053,'Gross Gen Plant'!$D$7:$D$91,0),MATCH(Calculation!$G1053,'Gross Gen Plant'!$E$5:$AD$5,0))</f>
        <v>566448</v>
      </c>
      <c r="CG1053" s="118">
        <f t="shared" si="3018"/>
        <v>3917032</v>
      </c>
      <c r="CH1053" s="118"/>
      <c r="CI1053" s="121">
        <v>2007</v>
      </c>
      <c r="CJ1053" s="118"/>
      <c r="CK1053" s="118"/>
      <c r="CL1053" s="118"/>
      <c r="CM1053" s="183"/>
      <c r="CN1053" s="118">
        <f t="shared" si="3119"/>
        <v>329959</v>
      </c>
      <c r="CO1053" s="118">
        <f t="shared" si="3120"/>
        <v>662.53858460899369</v>
      </c>
      <c r="CP1053" s="186">
        <v>0.94915254237288138</v>
      </c>
      <c r="CQ1053" s="118">
        <f>+CQ1044*CP1053+CO1045*CP1052+CO1046*CP1051+CO1047*CP1050+CO1048*CP1049+CO1049*CP1048+CO1050*CP1047+CO1051*CP1046+CO1052*CP1045+CO1053</f>
        <v>16205.293731573367</v>
      </c>
      <c r="CR1053" s="119">
        <f t="shared" si="3121"/>
        <v>3.5368226159252107E-2</v>
      </c>
      <c r="CS1053" s="119"/>
      <c r="CT1053" s="177">
        <f t="shared" si="3122"/>
        <v>6.3548352253206646E-3</v>
      </c>
      <c r="CU1053" s="177">
        <f t="shared" si="3130"/>
        <v>6.1817386861945239E-3</v>
      </c>
      <c r="CV1053" s="119">
        <f>VLOOKUP($H1053,RoR!$E:$F,2,FALSE)</f>
        <v>5.5558333333333321E-2</v>
      </c>
      <c r="CW1053" s="177">
        <v>2.691120634145272E-2</v>
      </c>
      <c r="CX1053" s="177">
        <f t="shared" si="3128"/>
        <v>2.86471269918806E-2</v>
      </c>
      <c r="CY1053" s="177">
        <f t="shared" si="3131"/>
        <v>2.4720202922339101E-2</v>
      </c>
      <c r="CZ1053" s="177">
        <f t="shared" si="3132"/>
        <v>6.4575155250632399E-2</v>
      </c>
      <c r="DA1053" s="187">
        <f t="shared" si="3123"/>
        <v>0.84720249999999997</v>
      </c>
      <c r="DB1053" s="188">
        <f t="shared" si="3124"/>
        <v>0.92303077153834634</v>
      </c>
      <c r="DC1053" s="188">
        <f t="shared" si="3125"/>
        <v>0.52502249887505614</v>
      </c>
      <c r="DD1053" s="188">
        <f t="shared" si="3126"/>
        <v>0.88499666072084604</v>
      </c>
      <c r="DE1053" s="188">
        <f t="shared" si="3127"/>
        <v>0.42887993290280618</v>
      </c>
      <c r="DF1053" s="189">
        <f>INDEX('State Tax Lookup'!$D$7:$Z$91,MATCH(Calculation!$C1053,'State Tax Lookup'!$B$7:$B$91,0),MATCH($H1053,'State Tax Lookup'!$D$6:$Z$6,0))</f>
        <v>0.40745999999999999</v>
      </c>
      <c r="DG1053" s="189">
        <v>0.375</v>
      </c>
      <c r="DH1053" s="190">
        <f t="shared" si="3129"/>
        <v>17.510011042618771</v>
      </c>
      <c r="DI1053" s="190">
        <v>17.274978296677098</v>
      </c>
      <c r="DJ1053" s="177"/>
      <c r="DK1053" s="189">
        <f>VLOOKUP($H1053,RoR!$E:$F,2,FALSE)</f>
        <v>5.5558333333333321E-2</v>
      </c>
      <c r="DL1053" s="191">
        <f>HLOOKUP($H1053,'GDP-PI'!$D$8:$CQ$11,3,FALSE)</f>
        <v>2.691120634145272E-2</v>
      </c>
      <c r="DM1053" s="189">
        <f>VLOOKUP(H1053,'HW Dx Data'!$E:$F,2,FALSE)</f>
        <v>498.0223154772637</v>
      </c>
      <c r="DN1053" s="183">
        <f>VLOOKUP(H1053,'ECI - Input Price'!$G$17:$H$37,2,FALSE)</f>
        <v>105.22500000000001</v>
      </c>
      <c r="DO1053" s="177">
        <f t="shared" ref="DO1053" si="3157">LN(DN1053/DN1052)</f>
        <v>3.0638025400780679E-2</v>
      </c>
      <c r="DP1053" s="183">
        <f>HLOOKUP(H1053,'GDP-PI'!$8:$9,2,FALSE)</f>
        <v>92.498000000000005</v>
      </c>
      <c r="DQ1053" s="177">
        <f t="shared" ref="DQ1053" si="3158">LN(DP1053/DP1052)</f>
        <v>2.6555467950038037E-2</v>
      </c>
    </row>
    <row r="1054" spans="1:121" s="167" customFormat="1" ht="21" x14ac:dyDescent="0.35">
      <c r="A1054" s="167" t="s">
        <v>103</v>
      </c>
      <c r="B1054" s="167" t="s">
        <v>103</v>
      </c>
      <c r="C1054" s="167">
        <v>4057146</v>
      </c>
      <c r="D1054" s="168" t="s">
        <v>146</v>
      </c>
      <c r="E1054" s="168"/>
      <c r="F1054" s="198"/>
      <c r="G1054" s="167" t="s">
        <v>14</v>
      </c>
      <c r="H1054" s="169">
        <v>2008</v>
      </c>
      <c r="I1054" s="170"/>
      <c r="J1054" s="166">
        <f>IFERROR(INDEX('Labor Expenditures'!$F$7:$X$91,MATCH($C1054,'Labor Expenditures'!$D$7:$D$91,0),MATCH($G1054,'Labor Expenditures'!$F$5:$X$5,0)),"NA")</f>
        <v>283641.88649414602</v>
      </c>
      <c r="K1054" s="166">
        <f t="shared" si="3135"/>
        <v>2620.8536520595612</v>
      </c>
      <c r="L1054" s="172">
        <f t="shared" si="3142"/>
        <v>-0.10073829232293464</v>
      </c>
      <c r="M1054" s="172">
        <f t="shared" si="3146"/>
        <v>-1.1404791574415514E-2</v>
      </c>
      <c r="N1054" s="196"/>
      <c r="O1054" s="172"/>
      <c r="P1054" s="166">
        <f>IFERROR(INDEX('Non-Labor Expenditures'!$F$7:$AB$91,MATCH($C1054,'Non-Labor Expenditures'!$D$7:$D$91,0),MATCH($G1054,'Non-Labor Expenditures'!$F$5:$AB$5,0)),"NA")</f>
        <v>410766.42864030035</v>
      </c>
      <c r="Q1054" s="166">
        <f t="shared" si="3136"/>
        <v>4357.6172095423526</v>
      </c>
      <c r="R1054" s="172">
        <f t="shared" si="3147"/>
        <v>-9.1539147399557111E-2</v>
      </c>
      <c r="S1054" s="172">
        <f t="shared" si="3152"/>
        <v>-1.036333724662483E-2</v>
      </c>
      <c r="T1054" s="172"/>
      <c r="U1054" s="172"/>
      <c r="V1054" s="166">
        <f t="shared" si="3117"/>
        <v>322467.73537615745</v>
      </c>
      <c r="W1054" s="170"/>
      <c r="X1054" s="174">
        <v>16611.598118635491</v>
      </c>
      <c r="Y1054" s="175">
        <v>2.4763170830077202E-2</v>
      </c>
      <c r="Z1054" s="175">
        <f t="shared" si="3153"/>
        <v>2.8034900684372577E-3</v>
      </c>
      <c r="AA1054" s="175"/>
      <c r="AB1054" s="175"/>
      <c r="AC1054" s="170">
        <f t="shared" si="3053"/>
        <v>1016876.0505106038</v>
      </c>
      <c r="AD1054" s="175">
        <f t="shared" si="3148"/>
        <v>-3.667098433937227E-3</v>
      </c>
      <c r="AE1054" s="170"/>
      <c r="AF1054" s="170"/>
      <c r="AG1054" s="121">
        <f t="shared" si="3149"/>
        <v>185.98892792217066</v>
      </c>
      <c r="AH1054" s="119">
        <f>+AZ1054/$BB$46</f>
        <v>0.15353619888346837</v>
      </c>
      <c r="AI1054" s="119"/>
      <c r="AJ1054" s="176">
        <f t="shared" si="3154"/>
        <v>28.556033027581456</v>
      </c>
      <c r="AK1054" s="176">
        <f t="shared" si="3155"/>
        <v>0</v>
      </c>
      <c r="AL1054" s="120">
        <f t="shared" si="3137"/>
        <v>0.27893457255849519</v>
      </c>
      <c r="AM1054" s="120">
        <f t="shared" si="3138"/>
        <v>0.40394935885651184</v>
      </c>
      <c r="AN1054" s="120">
        <f t="shared" si="3139"/>
        <v>0.31711606858499303</v>
      </c>
      <c r="AO1054" s="120">
        <f t="shared" si="3143"/>
        <v>-6.0150421918806755E-2</v>
      </c>
      <c r="AP1054" s="173">
        <f t="shared" ref="AP1054:AP1067" si="3159">+AP1053*EXP(AO1054)</f>
        <v>98.044208318394894</v>
      </c>
      <c r="AQ1054" s="175">
        <f t="shared" ref="AQ1054:AQ1067" si="3160">LN(AP1054/AP1053)</f>
        <v>-6.0150421918806783E-2</v>
      </c>
      <c r="AR1054" s="177">
        <f>+AC1054/$AE$46</f>
        <v>0.1132120796514538</v>
      </c>
      <c r="AS1054" s="177">
        <f t="shared" si="3156"/>
        <v>-6.8097543573405065E-3</v>
      </c>
      <c r="AT1054" s="177"/>
      <c r="AU1054" s="177"/>
      <c r="AV1054" s="177"/>
      <c r="AW1054" s="190"/>
      <c r="AX1054" s="120"/>
      <c r="AY1054" s="120"/>
      <c r="AZ1054" s="118">
        <f>IFERROR(INDEX('Total Customers'!$F$7:$AB$91,MATCH($C1054,'Total Customers'!$D$7:$D$91,0),MATCH($G1054,'Total Customers'!$F$5:$AB$5,0)),"NA")</f>
        <v>5467401</v>
      </c>
      <c r="BA1054" s="119">
        <f t="shared" si="3118"/>
        <v>3.9227066416943155E-3</v>
      </c>
      <c r="BB1054" s="119"/>
      <c r="BC1054" s="121"/>
      <c r="BD1054" s="119"/>
      <c r="BE1054" s="119"/>
      <c r="BF1054" s="119"/>
      <c r="BG1054" s="173"/>
      <c r="BH1054" s="173"/>
      <c r="BI1054" s="173"/>
      <c r="BJ1054" s="173"/>
      <c r="BK1054" s="173"/>
      <c r="BL1054" s="173"/>
      <c r="BM1054" s="173"/>
      <c r="BN1054" s="173"/>
      <c r="BO1054" s="173"/>
      <c r="BP1054" s="173"/>
      <c r="BQ1054" s="118"/>
      <c r="BR1054" s="118"/>
      <c r="BS1054" s="118">
        <f>INDEX('Dist. Plant Gas Additions'!$F$7:$AE$91,MATCH($C1054,'Dist. Plant Gas Additions'!$D$7:$D$91,0),MATCH(Calculation!$G1054,'Dist. Plant Gas Additions'!$F$5:$AE$5,0))</f>
        <v>243215</v>
      </c>
      <c r="BT1054" s="118">
        <f>INDEX('Gen. Plant Additions'!$F$7:$AE$91,MATCH($C1054,'Gen. Plant Additions'!$D$7:$D$91,0),MATCH(Calculation!$G1054,'Gen. Plant Additions'!$F$5:$AE$5,0))</f>
        <v>48771</v>
      </c>
      <c r="BU1054" s="118"/>
      <c r="BV1054" s="118"/>
      <c r="BW1054" s="118">
        <f>INDEX('Dist Plant Depreciation'!$E$7:$AD$94,MATCH($C1054,'Dist Plant Depreciation'!$D$7:$D$94,0),MATCH(Calculation!$G1054,'Dist Plant Depreciation'!$E$5:$AD$5,0))</f>
        <v>2197951</v>
      </c>
      <c r="BX1054" s="118">
        <f>INDEX('Gen. Plant Depreciation'!$E$7:$AD$94,MATCH($C1054,'Gen. Plant Depreciation'!$D$7:$D$94,0),MATCH(Calculation!$G1054,'Gen. Plant Depreciation'!$E$5:$AD$5,0))</f>
        <v>345452</v>
      </c>
      <c r="BY1054" s="118"/>
      <c r="BZ1054" s="118"/>
      <c r="CA1054" s="118"/>
      <c r="CB1054" s="118"/>
      <c r="CC1054" s="118"/>
      <c r="CD1054" s="183"/>
      <c r="CE1054" s="118">
        <f>INDEX('Gross Dx Plant'!$E$7:$AD$91,MATCH($C1054,'Gross Dx Plant'!$D$7:$D$91,0),MATCH(Calculation!$G1054,'Gross Dx Plant'!$E$5:$AD$5,0))</f>
        <v>6023217</v>
      </c>
      <c r="CF1054" s="118">
        <f>INDEX('Gross Gen Plant'!$E$7:$AD$91,MATCH($C1054,'Gross Gen Plant'!$D$7:$D$91,0),MATCH(Calculation!$G1054,'Gross Gen Plant'!$E$5:$AD$5,0))</f>
        <v>588518</v>
      </c>
      <c r="CG1054" s="118">
        <f t="shared" si="3018"/>
        <v>4068332</v>
      </c>
      <c r="CH1054" s="118"/>
      <c r="CI1054" s="121">
        <v>2008</v>
      </c>
      <c r="CJ1054" s="118"/>
      <c r="CK1054" s="118"/>
      <c r="CL1054" s="118"/>
      <c r="CM1054" s="183"/>
      <c r="CN1054" s="118">
        <f t="shared" si="3119"/>
        <v>291986</v>
      </c>
      <c r="CO1054" s="118">
        <f t="shared" si="3120"/>
        <v>512.36292457303807</v>
      </c>
      <c r="CP1054" s="186">
        <v>0.94252873563218387</v>
      </c>
      <c r="CQ1054" s="118">
        <f>+CQ1044*CP1054+CO1045*CP1053+CO1046*CP1052+CO1047*CP1051+CO1048*CP1050+CO1049*CP1049+CO1050*CP1048+CO1051*CP1047+CO1052*CP1046+CO1053*CP1045+CO1054</f>
        <v>16611.598118635491</v>
      </c>
      <c r="CR1054" s="119">
        <f t="shared" si="3121"/>
        <v>2.4763170830077202E-2</v>
      </c>
      <c r="CS1054" s="119"/>
      <c r="CT1054" s="177">
        <f t="shared" si="3122"/>
        <v>6.5446846732729229E-3</v>
      </c>
      <c r="CU1054" s="177">
        <f t="shared" si="3130"/>
        <v>6.3591336882525065E-3</v>
      </c>
      <c r="CV1054" s="119">
        <f>VLOOKUP($H1054,RoR!$E:$F,2,FALSE)</f>
        <v>5.6316666666666668E-2</v>
      </c>
      <c r="CW1054" s="177">
        <v>1.9092304698479889E-2</v>
      </c>
      <c r="CX1054" s="177">
        <f t="shared" si="3128"/>
        <v>3.7224361968186778E-2</v>
      </c>
      <c r="CY1054" s="177">
        <f t="shared" si="3131"/>
        <v>2.4542807920281118E-2</v>
      </c>
      <c r="CZ1054" s="177">
        <f t="shared" si="3132"/>
        <v>6.9030581091053131E-2</v>
      </c>
      <c r="DA1054" s="187">
        <f t="shared" si="3123"/>
        <v>0.84720249999999997</v>
      </c>
      <c r="DB1054" s="188">
        <f t="shared" si="3124"/>
        <v>0.91060168006009956</v>
      </c>
      <c r="DC1054" s="188">
        <f t="shared" si="3125"/>
        <v>0.53108168097070152</v>
      </c>
      <c r="DD1054" s="188">
        <f t="shared" si="3126"/>
        <v>0.88825329850328805</v>
      </c>
      <c r="DE1054" s="188">
        <f t="shared" si="3127"/>
        <v>0.4295627335323573</v>
      </c>
      <c r="DF1054" s="189">
        <f>INDEX('State Tax Lookup'!$D$7:$Z$91,MATCH(Calculation!$C1054,'State Tax Lookup'!$B$7:$B$91,0),MATCH($H1054,'State Tax Lookup'!$D$6:$Z$6,0))</f>
        <v>0.40745999999999999</v>
      </c>
      <c r="DG1054" s="189">
        <v>0.375</v>
      </c>
      <c r="DH1054" s="190">
        <f t="shared" si="3129"/>
        <v>19.898913325334039</v>
      </c>
      <c r="DI1054" s="190">
        <v>19.635275201559963</v>
      </c>
      <c r="DJ1054" s="177"/>
      <c r="DK1054" s="189">
        <f>VLOOKUP($H1054,RoR!$E:$F,2,FALSE)</f>
        <v>5.6316666666666668E-2</v>
      </c>
      <c r="DL1054" s="191">
        <f>HLOOKUP($H1054,'GDP-PI'!$D$8:$CQ$11,3,FALSE)</f>
        <v>1.9092304698479889E-2</v>
      </c>
      <c r="DM1054" s="189">
        <f>VLOOKUP(H1054,'HW Dx Data'!$E:$F,2,FALSE)</f>
        <v>569.88120333515076</v>
      </c>
      <c r="DN1054" s="183">
        <f>VLOOKUP(H1054,'ECI - Input Price'!$G$17:$H$37,2,FALSE)</f>
        <v>108.22499999999999</v>
      </c>
      <c r="DO1054" s="177">
        <f t="shared" ref="DO1054" si="3161">LN(DN1054/DN1053)</f>
        <v>2.8111478671409691E-2</v>
      </c>
      <c r="DP1054" s="183">
        <f>HLOOKUP(H1054,'GDP-PI'!$8:$9,2,FALSE)</f>
        <v>94.263999999999996</v>
      </c>
      <c r="DQ1054" s="177">
        <f t="shared" ref="DQ1054" si="3162">LN(DP1054/DP1053)</f>
        <v>1.8912333748032254E-2</v>
      </c>
    </row>
    <row r="1055" spans="1:121" s="167" customFormat="1" ht="21" x14ac:dyDescent="0.35">
      <c r="A1055" s="167" t="s">
        <v>103</v>
      </c>
      <c r="B1055" s="167" t="s">
        <v>103</v>
      </c>
      <c r="C1055" s="167">
        <v>4057146</v>
      </c>
      <c r="D1055" s="168" t="s">
        <v>146</v>
      </c>
      <c r="E1055" s="168"/>
      <c r="F1055" s="198"/>
      <c r="G1055" s="167" t="s">
        <v>15</v>
      </c>
      <c r="H1055" s="169">
        <v>2009</v>
      </c>
      <c r="I1055" s="170"/>
      <c r="J1055" s="166">
        <f>IFERROR(INDEX('Labor Expenditures'!$F$7:$X$91,MATCH($C1055,'Labor Expenditures'!$D$7:$D$91,0),MATCH($G1055,'Labor Expenditures'!$F$5:$X$5,0)),"NA")</f>
        <v>339606.26198429655</v>
      </c>
      <c r="K1055" s="166">
        <f t="shared" si="3135"/>
        <v>3093.6575903830249</v>
      </c>
      <c r="L1055" s="172">
        <f t="shared" si="3142"/>
        <v>0.16585399101204878</v>
      </c>
      <c r="M1055" s="172">
        <f t="shared" si="3146"/>
        <v>2.0332062931079555E-2</v>
      </c>
      <c r="N1055" s="196"/>
      <c r="O1055" s="172"/>
      <c r="P1055" s="166">
        <f>IFERROR(INDEX('Non-Labor Expenditures'!$F$7:$AB$91,MATCH($C1055,'Non-Labor Expenditures'!$D$7:$D$91,0),MATCH($G1055,'Non-Labor Expenditures'!$F$5:$AB$5,0)),"NA")</f>
        <v>491813.29705353925</v>
      </c>
      <c r="Q1055" s="166">
        <f t="shared" si="3136"/>
        <v>5177.0365693695649</v>
      </c>
      <c r="R1055" s="172">
        <f t="shared" si="3147"/>
        <v>0.17230740531347602</v>
      </c>
      <c r="S1055" s="172">
        <f t="shared" si="3152"/>
        <v>2.1123187853044293E-2</v>
      </c>
      <c r="T1055" s="172"/>
      <c r="U1055" s="172"/>
      <c r="V1055" s="166">
        <f t="shared" si="3117"/>
        <v>317113.36415634886</v>
      </c>
      <c r="W1055" s="170"/>
      <c r="X1055" s="174">
        <v>17080.357266694209</v>
      </c>
      <c r="Y1055" s="175">
        <v>2.7827972151942961E-2</v>
      </c>
      <c r="Z1055" s="175">
        <f t="shared" si="3153"/>
        <v>3.4114348264102368E-3</v>
      </c>
      <c r="AA1055" s="175"/>
      <c r="AB1055" s="175"/>
      <c r="AC1055" s="170">
        <f t="shared" si="3053"/>
        <v>1148532.9231941847</v>
      </c>
      <c r="AD1055" s="175">
        <f t="shared" si="3148"/>
        <v>0.12175017692336897</v>
      </c>
      <c r="AE1055" s="170"/>
      <c r="AF1055" s="170"/>
      <c r="AG1055" s="121">
        <f t="shared" si="3149"/>
        <v>209.01577831790249</v>
      </c>
      <c r="AH1055" s="119">
        <f>+AZ1055/$BB$47</f>
        <v>0.15408740916304159</v>
      </c>
      <c r="AI1055" s="119"/>
      <c r="AJ1055" s="176">
        <f t="shared" si="3154"/>
        <v>32.206699755202237</v>
      </c>
      <c r="AK1055" s="176">
        <f t="shared" si="3155"/>
        <v>0</v>
      </c>
      <c r="AL1055" s="120">
        <f t="shared" si="3137"/>
        <v>0.29568700655077229</v>
      </c>
      <c r="AM1055" s="120">
        <f t="shared" si="3138"/>
        <v>0.42821001220039684</v>
      </c>
      <c r="AN1055" s="120">
        <f t="shared" si="3139"/>
        <v>0.27610298124883087</v>
      </c>
      <c r="AO1055" s="120">
        <f t="shared" si="3143"/>
        <v>0.12759929372490272</v>
      </c>
      <c r="AP1055" s="173">
        <f t="shared" si="3159"/>
        <v>111.38779662853527</v>
      </c>
      <c r="AQ1055" s="175">
        <f t="shared" si="3160"/>
        <v>0.12759929372490281</v>
      </c>
      <c r="AR1055" s="177">
        <f>+AC1055/$AE$47</f>
        <v>0.12259013368935145</v>
      </c>
      <c r="AS1055" s="177">
        <f t="shared" si="3156"/>
        <v>1.5642414476402661E-2</v>
      </c>
      <c r="AT1055" s="177"/>
      <c r="AU1055" s="177"/>
      <c r="AV1055" s="177"/>
      <c r="AW1055" s="190"/>
      <c r="AX1055" s="120"/>
      <c r="AY1055" s="120"/>
      <c r="AZ1055" s="118">
        <f>IFERROR(INDEX('Total Customers'!$F$7:$AB$91,MATCH($C1055,'Total Customers'!$D$7:$D$91,0),MATCH($G1055,'Total Customers'!$F$5:$AB$5,0)),"NA")</f>
        <v>5494958</v>
      </c>
      <c r="BA1055" s="119">
        <f t="shared" si="3118"/>
        <v>5.0275781053051071E-3</v>
      </c>
      <c r="BB1055" s="119"/>
      <c r="BC1055" s="121"/>
      <c r="BD1055" s="119"/>
      <c r="BE1055" s="119"/>
      <c r="BF1055" s="119"/>
      <c r="BG1055" s="173"/>
      <c r="BH1055" s="173"/>
      <c r="BI1055" s="173"/>
      <c r="BJ1055" s="173"/>
      <c r="BK1055" s="173"/>
      <c r="BL1055" s="173"/>
      <c r="BM1055" s="173"/>
      <c r="BN1055" s="173"/>
      <c r="BO1055" s="173"/>
      <c r="BP1055" s="173"/>
      <c r="BQ1055" s="118"/>
      <c r="BR1055" s="118"/>
      <c r="BS1055" s="118">
        <f>INDEX('Dist. Plant Gas Additions'!$F$7:$AE$91,MATCH($C1055,'Dist. Plant Gas Additions'!$D$7:$D$91,0),MATCH(Calculation!$G1055,'Dist. Plant Gas Additions'!$F$5:$AE$5,0))</f>
        <v>250929</v>
      </c>
      <c r="BT1055" s="118">
        <f>INDEX('Gen. Plant Additions'!$F$7:$AE$91,MATCH($C1055,'Gen. Plant Additions'!$D$7:$D$91,0),MATCH(Calculation!$G1055,'Gen. Plant Additions'!$F$5:$AE$5,0))</f>
        <v>69167</v>
      </c>
      <c r="BU1055" s="118"/>
      <c r="BV1055" s="118"/>
      <c r="BW1055" s="118">
        <f>INDEX('Dist Plant Depreciation'!$E$7:$AD$94,MATCH($C1055,'Dist Plant Depreciation'!$D$7:$D$94,0),MATCH(Calculation!$G1055,'Dist Plant Depreciation'!$E$5:$AD$5,0))</f>
        <v>2368859</v>
      </c>
      <c r="BX1055" s="118">
        <f>INDEX('Gen. Plant Depreciation'!$E$7:$AD$94,MATCH($C1055,'Gen. Plant Depreciation'!$D$7:$D$94,0),MATCH(Calculation!$G1055,'Gen. Plant Depreciation'!$E$5:$AD$5,0))</f>
        <v>382593</v>
      </c>
      <c r="BY1055" s="118"/>
      <c r="BZ1055" s="118"/>
      <c r="CA1055" s="118"/>
      <c r="CB1055" s="118"/>
      <c r="CC1055" s="118"/>
      <c r="CD1055" s="183"/>
      <c r="CE1055" s="118">
        <f>INDEX('Gross Dx Plant'!$E$7:$AD$91,MATCH($C1055,'Gross Dx Plant'!$D$7:$D$91,0),MATCH(Calculation!$G1055,'Gross Dx Plant'!$E$5:$AD$5,0))</f>
        <v>6249766</v>
      </c>
      <c r="CF1055" s="118">
        <f>INDEX('Gross Gen Plant'!$E$7:$AD$91,MATCH($C1055,'Gross Gen Plant'!$D$7:$D$91,0),MATCH(Calculation!$G1055,'Gross Gen Plant'!$E$5:$AD$5,0))</f>
        <v>626622</v>
      </c>
      <c r="CG1055" s="118">
        <f t="shared" si="3018"/>
        <v>4124936</v>
      </c>
      <c r="CH1055" s="118"/>
      <c r="CI1055" s="121">
        <v>2009</v>
      </c>
      <c r="CJ1055" s="118"/>
      <c r="CK1055" s="118"/>
      <c r="CL1055" s="118"/>
      <c r="CM1055" s="183"/>
      <c r="CN1055" s="118">
        <f t="shared" si="3119"/>
        <v>320096</v>
      </c>
      <c r="CO1055" s="118">
        <f t="shared" si="3120"/>
        <v>580.99907434852116</v>
      </c>
      <c r="CP1055" s="186">
        <v>0.93567251461988299</v>
      </c>
      <c r="CQ1055" s="118">
        <f>+CQ1044*CP1055+CO1045*CP1054+CO1046*CP1053+CO1047*CP1052+CO1048*CP1051+CO1049*CP1050+CO1050*CP1049+CO1051*CP1048+CO1052*CP1047+CO1053*CP1046+CO1054*CP1045+CO1055</f>
        <v>17080.357266694209</v>
      </c>
      <c r="CR1055" s="119">
        <f t="shared" si="3121"/>
        <v>2.7827972151942961E-2</v>
      </c>
      <c r="CS1055" s="119"/>
      <c r="CT1055" s="177">
        <f t="shared" si="3122"/>
        <v>6.756720544779396E-3</v>
      </c>
      <c r="CU1055" s="177">
        <f t="shared" si="3130"/>
        <v>6.5520801477909939E-3</v>
      </c>
      <c r="CV1055" s="119">
        <f>VLOOKUP($H1055,RoR!$E:$F,2,FALSE)</f>
        <v>5.3133333333333324E-2</v>
      </c>
      <c r="CW1055" s="177">
        <v>7.7972502758210105E-3</v>
      </c>
      <c r="CX1055" s="177">
        <f t="shared" si="3128"/>
        <v>4.5336083057512314E-2</v>
      </c>
      <c r="CY1055" s="177">
        <f t="shared" si="3131"/>
        <v>2.4349861460742632E-2</v>
      </c>
      <c r="CZ1055" s="177">
        <f t="shared" si="3132"/>
        <v>6.3720160300892073E-2</v>
      </c>
      <c r="DA1055" s="187">
        <f t="shared" si="3123"/>
        <v>0.84720249999999997</v>
      </c>
      <c r="DB1055" s="188">
        <f t="shared" si="3124"/>
        <v>0.96515780330083989</v>
      </c>
      <c r="DC1055" s="188">
        <f t="shared" si="3125"/>
        <v>0.50448557089084056</v>
      </c>
      <c r="DD1055" s="188">
        <f t="shared" si="3126"/>
        <v>0.87391435735465484</v>
      </c>
      <c r="DE1055" s="188">
        <f t="shared" si="3127"/>
        <v>0.42551605393279146</v>
      </c>
      <c r="DF1055" s="189">
        <f>INDEX('State Tax Lookup'!$D$7:$Z$91,MATCH(Calculation!$C1055,'State Tax Lookup'!$B$7:$B$91,0),MATCH($H1055,'State Tax Lookup'!$D$6:$Z$6,0))</f>
        <v>0.40745999999999999</v>
      </c>
      <c r="DG1055" s="189">
        <v>0.375</v>
      </c>
      <c r="DH1055" s="190">
        <f t="shared" si="3129"/>
        <v>19.089876957750359</v>
      </c>
      <c r="DI1055" s="190">
        <v>18.756622731490218</v>
      </c>
      <c r="DJ1055" s="177"/>
      <c r="DK1055" s="189">
        <f>VLOOKUP($H1055,RoR!$E:$F,2,FALSE)</f>
        <v>5.3133333333333324E-2</v>
      </c>
      <c r="DL1055" s="191">
        <f>HLOOKUP($H1055,'GDP-PI'!$D$8:$CQ$11,3,FALSE)</f>
        <v>7.7972502758210105E-3</v>
      </c>
      <c r="DM1055" s="189">
        <f>VLOOKUP(H1055,'HW Dx Data'!$E:$F,2,FALSE)</f>
        <v>550.94063679692806</v>
      </c>
      <c r="DN1055" s="183">
        <f>VLOOKUP(H1055,'ECI - Input Price'!$G$17:$H$37,2,FALSE)</f>
        <v>109.77499999999999</v>
      </c>
      <c r="DO1055" s="177">
        <f t="shared" ref="DO1055" si="3163">LN(DN1055/DN1054)</f>
        <v>1.4220423119736749E-2</v>
      </c>
      <c r="DP1055" s="183">
        <f>HLOOKUP(H1055,'GDP-PI'!$8:$9,2,FALSE)</f>
        <v>94.998999999999995</v>
      </c>
      <c r="DQ1055" s="177">
        <f t="shared" ref="DQ1055" si="3164">LN(DP1055/DP1054)</f>
        <v>7.7670088183096342E-3</v>
      </c>
    </row>
    <row r="1056" spans="1:121" s="167" customFormat="1" ht="21" x14ac:dyDescent="0.35">
      <c r="A1056" s="167" t="s">
        <v>103</v>
      </c>
      <c r="B1056" s="167" t="s">
        <v>103</v>
      </c>
      <c r="C1056" s="167">
        <v>4057146</v>
      </c>
      <c r="D1056" s="168" t="s">
        <v>146</v>
      </c>
      <c r="E1056" s="168"/>
      <c r="F1056" s="198"/>
      <c r="G1056" s="167" t="s">
        <v>16</v>
      </c>
      <c r="H1056" s="169">
        <v>2010</v>
      </c>
      <c r="I1056" s="170"/>
      <c r="J1056" s="166">
        <f>IFERROR(INDEX('Labor Expenditures'!$F$7:$X$91,MATCH($C1056,'Labor Expenditures'!$D$7:$D$91,0),MATCH($G1056,'Labor Expenditures'!$F$5:$X$5,0)),"NA")</f>
        <v>319774.51322437549</v>
      </c>
      <c r="K1056" s="166">
        <f t="shared" si="3135"/>
        <v>2858.3196712793342</v>
      </c>
      <c r="L1056" s="172">
        <f t="shared" si="3142"/>
        <v>-7.9120152468444518E-2</v>
      </c>
      <c r="M1056" s="172">
        <f t="shared" si="3146"/>
        <v>-9.1022450720082641E-3</v>
      </c>
      <c r="N1056" s="196"/>
      <c r="O1056" s="172"/>
      <c r="P1056" s="166">
        <f>IFERROR(INDEX('Non-Labor Expenditures'!$F$7:$AB$91,MATCH($C1056,'Non-Labor Expenditures'!$D$7:$D$91,0),MATCH($G1056,'Non-Labor Expenditures'!$F$5:$AB$5,0)),"NA")</f>
        <v>463093.22078944131</v>
      </c>
      <c r="Q1056" s="166">
        <f t="shared" si="3136"/>
        <v>4818.4168058084188</v>
      </c>
      <c r="R1056" s="172">
        <f t="shared" si="3147"/>
        <v>-7.1787391128356831E-2</v>
      </c>
      <c r="S1056" s="172">
        <f t="shared" si="3152"/>
        <v>-8.2586598577526968E-3</v>
      </c>
      <c r="T1056" s="172"/>
      <c r="U1056" s="172"/>
      <c r="V1056" s="166">
        <f t="shared" si="3117"/>
        <v>334336.20509312797</v>
      </c>
      <c r="W1056" s="170"/>
      <c r="X1056" s="174">
        <v>17721.254910113905</v>
      </c>
      <c r="Y1056" s="175">
        <v>3.6835656129164139E-2</v>
      </c>
      <c r="Z1056" s="175">
        <f t="shared" si="3153"/>
        <v>4.2376962002139444E-3</v>
      </c>
      <c r="AA1056" s="175"/>
      <c r="AB1056" s="175"/>
      <c r="AC1056" s="170">
        <f t="shared" si="3053"/>
        <v>1117203.9391069447</v>
      </c>
      <c r="AD1056" s="175">
        <f t="shared" si="3148"/>
        <v>-2.7656328034295779E-2</v>
      </c>
      <c r="AE1056" s="170"/>
      <c r="AF1056" s="170"/>
      <c r="AG1056" s="121">
        <f t="shared" si="3149"/>
        <v>202.50695532572107</v>
      </c>
      <c r="AH1056" s="119">
        <f>+AZ1056/$BB$48</f>
        <v>0.15385012092791761</v>
      </c>
      <c r="AI1056" s="119"/>
      <c r="AJ1056" s="176">
        <f t="shared" si="3154"/>
        <v>31.155719565606596</v>
      </c>
      <c r="AK1056" s="176">
        <f t="shared" si="3155"/>
        <v>0</v>
      </c>
      <c r="AL1056" s="120">
        <f t="shared" si="3137"/>
        <v>0.28622752035764615</v>
      </c>
      <c r="AM1056" s="120">
        <f t="shared" si="3138"/>
        <v>0.41451090940443913</v>
      </c>
      <c r="AN1056" s="120">
        <f t="shared" si="3139"/>
        <v>0.29926157023791472</v>
      </c>
      <c r="AO1056" s="120">
        <f t="shared" si="3143"/>
        <v>-4.2671985868208008E-2</v>
      </c>
      <c r="AP1056" s="173">
        <f t="shared" si="3159"/>
        <v>106.73464383513669</v>
      </c>
      <c r="AQ1056" s="175">
        <f t="shared" si="3160"/>
        <v>-4.2671985868207966E-2</v>
      </c>
      <c r="AR1056" s="177">
        <f>+AC1056/$AE$48</f>
        <v>0.11504332067153827</v>
      </c>
      <c r="AS1056" s="177">
        <f t="shared" si="3156"/>
        <v>-4.909126953927599E-3</v>
      </c>
      <c r="AT1056" s="177"/>
      <c r="AU1056" s="177"/>
      <c r="AV1056" s="177"/>
      <c r="AW1056" s="190"/>
      <c r="AX1056" s="120"/>
      <c r="AY1056" s="120"/>
      <c r="AZ1056" s="118">
        <f>IFERROR(INDEX('Total Customers'!$F$7:$AB$91,MATCH($C1056,'Total Customers'!$D$7:$D$91,0),MATCH($G1056,'Total Customers'!$F$5:$AB$5,0)),"NA")</f>
        <v>5516867</v>
      </c>
      <c r="BA1056" s="119">
        <f t="shared" si="3118"/>
        <v>3.9791821807409486E-3</v>
      </c>
      <c r="BB1056" s="119"/>
      <c r="BC1056" s="121"/>
      <c r="BD1056" s="119"/>
      <c r="BE1056" s="119"/>
      <c r="BF1056" s="119"/>
      <c r="BG1056" s="173"/>
      <c r="BH1056" s="173"/>
      <c r="BI1056" s="173"/>
      <c r="BJ1056" s="173"/>
      <c r="BK1056" s="173"/>
      <c r="BL1056" s="173"/>
      <c r="BM1056" s="173"/>
      <c r="BN1056" s="173"/>
      <c r="BO1056" s="173"/>
      <c r="BP1056" s="173"/>
      <c r="BQ1056" s="118"/>
      <c r="BR1056" s="118"/>
      <c r="BS1056" s="118">
        <f>INDEX('Dist. Plant Gas Additions'!$F$7:$AE$91,MATCH($C1056,'Dist. Plant Gas Additions'!$D$7:$D$91,0),MATCH(Calculation!$G1056,'Dist. Plant Gas Additions'!$F$5:$AE$5,0))</f>
        <v>264309</v>
      </c>
      <c r="BT1056" s="118">
        <f>INDEX('Gen. Plant Additions'!$F$7:$AE$91,MATCH($C1056,'Gen. Plant Additions'!$D$7:$D$91,0),MATCH(Calculation!$G1056,'Gen. Plant Additions'!$F$5:$AE$5,0))</f>
        <v>168082</v>
      </c>
      <c r="BU1056" s="118"/>
      <c r="BV1056" s="118"/>
      <c r="BW1056" s="118">
        <f>INDEX('Dist Plant Depreciation'!$E$7:$AD$94,MATCH($C1056,'Dist Plant Depreciation'!$D$7:$D$94,0),MATCH(Calculation!$G1056,'Dist Plant Depreciation'!$E$5:$AD$5,0))</f>
        <v>2473715</v>
      </c>
      <c r="BX1056" s="118">
        <f>INDEX('Gen. Plant Depreciation'!$E$7:$AD$94,MATCH($C1056,'Gen. Plant Depreciation'!$D$7:$D$94,0),MATCH(Calculation!$G1056,'Gen. Plant Depreciation'!$E$5:$AD$5,0))</f>
        <v>425482</v>
      </c>
      <c r="BY1056" s="118"/>
      <c r="BZ1056" s="118"/>
      <c r="CA1056" s="118"/>
      <c r="CB1056" s="118"/>
      <c r="CC1056" s="118"/>
      <c r="CD1056" s="183"/>
      <c r="CE1056" s="118">
        <f>INDEX('Gross Dx Plant'!$E$7:$AD$91,MATCH($C1056,'Gross Dx Plant'!$D$7:$D$91,0),MATCH(Calculation!$G1056,'Gross Dx Plant'!$E$5:$AD$5,0))</f>
        <v>6473956</v>
      </c>
      <c r="CF1056" s="118">
        <f>INDEX('Gross Gen Plant'!$E$7:$AD$91,MATCH($C1056,'Gross Gen Plant'!$D$7:$D$91,0),MATCH(Calculation!$G1056,'Gross Gen Plant'!$E$5:$AD$5,0))</f>
        <v>763570</v>
      </c>
      <c r="CG1056" s="118">
        <f t="shared" si="3018"/>
        <v>4338329</v>
      </c>
      <c r="CH1056" s="118"/>
      <c r="CI1056" s="121">
        <v>2010</v>
      </c>
      <c r="CJ1056" s="118"/>
      <c r="CK1056" s="118"/>
      <c r="CL1056" s="118"/>
      <c r="CM1056" s="183"/>
      <c r="CN1056" s="118">
        <f t="shared" si="3119"/>
        <v>432391</v>
      </c>
      <c r="CO1056" s="118">
        <f t="shared" si="3120"/>
        <v>759.92790376905782</v>
      </c>
      <c r="CP1056" s="186">
        <v>0.9285714285714286</v>
      </c>
      <c r="CQ1056" s="118">
        <f>+CQ1044*CP1056+CO1045*CP1055+CO1046*CP1054+CO1047*CP1053+CO1048*CP1052+CO1049*CP1051+CO1050*CP1050+CO1051*CP1049+CO1052*CP1048+CO1053*CP1047+CO1054*CP1046+CO1055*CP1045+CO1056</f>
        <v>17721.254910113905</v>
      </c>
      <c r="CR1056" s="119">
        <f t="shared" si="3121"/>
        <v>3.6835656129164139E-2</v>
      </c>
      <c r="CS1056" s="119"/>
      <c r="CT1056" s="177">
        <f t="shared" si="3122"/>
        <v>6.9688390289976455E-3</v>
      </c>
      <c r="CU1056" s="177">
        <f t="shared" si="3130"/>
        <v>6.7567480823499879E-3</v>
      </c>
      <c r="CV1056" s="119">
        <f>VLOOKUP($H1056,RoR!$E:$F,2,FALSE)</f>
        <v>4.9433333333333322E-2</v>
      </c>
      <c r="CW1056" s="177">
        <v>1.1684333519300205E-2</v>
      </c>
      <c r="CX1056" s="177">
        <f t="shared" si="3128"/>
        <v>3.7748999814033117E-2</v>
      </c>
      <c r="CY1056" s="177">
        <f t="shared" si="3131"/>
        <v>2.4145193526183637E-2</v>
      </c>
      <c r="CZ1056" s="177">
        <f t="shared" si="3132"/>
        <v>4.7937530248493419E-2</v>
      </c>
      <c r="DA1056" s="187">
        <f t="shared" si="3123"/>
        <v>0.84720249999999997</v>
      </c>
      <c r="DB1056" s="188">
        <f t="shared" si="3124"/>
        <v>1.037398205301105</v>
      </c>
      <c r="DC1056" s="188">
        <f t="shared" si="3125"/>
        <v>0.46926837491571133</v>
      </c>
      <c r="DD1056" s="188">
        <f t="shared" si="3126"/>
        <v>0.8548537519972772</v>
      </c>
      <c r="DE1056" s="188">
        <f t="shared" si="3127"/>
        <v>0.41615833911547367</v>
      </c>
      <c r="DF1056" s="189">
        <f>INDEX('State Tax Lookup'!$D$7:$Z$91,MATCH(Calculation!$C1056,'State Tax Lookup'!$B$7:$B$91,0),MATCH($H1056,'State Tax Lookup'!$D$6:$Z$6,0))</f>
        <v>0.40745999999999999</v>
      </c>
      <c r="DG1056" s="189">
        <v>0.375</v>
      </c>
      <c r="DH1056" s="190">
        <f t="shared" si="3129"/>
        <v>19.574309826941725</v>
      </c>
      <c r="DI1056" s="190">
        <v>19.256794673047967</v>
      </c>
      <c r="DJ1056" s="177"/>
      <c r="DK1056" s="189">
        <f>VLOOKUP($H1056,RoR!$E:$F,2,FALSE)</f>
        <v>4.9433333333333322E-2</v>
      </c>
      <c r="DL1056" s="191">
        <f>HLOOKUP($H1056,'GDP-PI'!$D$8:$CQ$11,3,FALSE)</f>
        <v>1.1684333519300205E-2</v>
      </c>
      <c r="DM1056" s="189">
        <f>VLOOKUP(H1056,'HW Dx Data'!$E:$F,2,FALSE)</f>
        <v>568.98950262971744</v>
      </c>
      <c r="DN1056" s="183">
        <f>VLOOKUP(H1056,'ECI - Input Price'!$G$17:$H$37,2,FALSE)</f>
        <v>111.875</v>
      </c>
      <c r="DO1056" s="177">
        <f t="shared" ref="DO1056" si="3165">LN(DN1056/DN1055)</f>
        <v>1.8949360147238387E-2</v>
      </c>
      <c r="DP1056" s="183">
        <f>HLOOKUP(H1056,'GDP-PI'!$8:$9,2,FALSE)</f>
        <v>96.108999999999995</v>
      </c>
      <c r="DQ1056" s="177">
        <f t="shared" ref="DQ1056" si="3166">LN(DP1056/DP1055)</f>
        <v>1.1616598807150427E-2</v>
      </c>
    </row>
    <row r="1057" spans="1:121" s="167" customFormat="1" ht="21" x14ac:dyDescent="0.35">
      <c r="A1057" s="167" t="s">
        <v>103</v>
      </c>
      <c r="B1057" s="167" t="s">
        <v>103</v>
      </c>
      <c r="C1057" s="167">
        <v>4057146</v>
      </c>
      <c r="D1057" s="168" t="s">
        <v>146</v>
      </c>
      <c r="E1057" s="168"/>
      <c r="F1057" s="198"/>
      <c r="G1057" s="167" t="s">
        <v>17</v>
      </c>
      <c r="H1057" s="169">
        <v>2011</v>
      </c>
      <c r="I1057" s="170"/>
      <c r="J1057" s="166">
        <f>IFERROR(INDEX('Labor Expenditures'!$F$7:$X$91,MATCH($C1057,'Labor Expenditures'!$D$7:$D$91,0),MATCH($G1057,'Labor Expenditures'!$F$5:$X$5,0)),"NA")</f>
        <v>340529.74706638954</v>
      </c>
      <c r="K1057" s="166">
        <f t="shared" si="3135"/>
        <v>2979.262878971037</v>
      </c>
      <c r="L1057" s="172">
        <f t="shared" si="3142"/>
        <v>4.1441989224647612E-2</v>
      </c>
      <c r="M1057" s="172">
        <f t="shared" si="3146"/>
        <v>4.8923671859540906E-3</v>
      </c>
      <c r="N1057" s="196"/>
      <c r="O1057" s="172"/>
      <c r="P1057" s="166">
        <f>IFERROR(INDEX('Non-Labor Expenditures'!$F$7:$AB$91,MATCH($C1057,'Non-Labor Expenditures'!$D$7:$D$91,0),MATCH($G1057,'Non-Labor Expenditures'!$F$5:$AB$5,0)),"NA")</f>
        <v>493150.67593563092</v>
      </c>
      <c r="Q1057" s="166">
        <f t="shared" si="3136"/>
        <v>5026.4052912552079</v>
      </c>
      <c r="R1057" s="172">
        <f t="shared" si="3147"/>
        <v>4.2259664217543985E-2</v>
      </c>
      <c r="S1057" s="172">
        <f t="shared" si="3152"/>
        <v>4.9888964882116721E-3</v>
      </c>
      <c r="T1057" s="172"/>
      <c r="U1057" s="172"/>
      <c r="V1057" s="166">
        <f t="shared" si="3117"/>
        <v>370328.44080761034</v>
      </c>
      <c r="W1057" s="170"/>
      <c r="X1057" s="174">
        <v>18672.004328881005</v>
      </c>
      <c r="Y1057" s="175">
        <v>5.2260545857688676E-2</v>
      </c>
      <c r="Z1057" s="175">
        <f t="shared" si="3153"/>
        <v>6.1695344373609538E-3</v>
      </c>
      <c r="AA1057" s="175"/>
      <c r="AB1057" s="175"/>
      <c r="AC1057" s="170">
        <f t="shared" si="3053"/>
        <v>1204008.8638096307</v>
      </c>
      <c r="AD1057" s="175">
        <f t="shared" si="3148"/>
        <v>7.482762787053493E-2</v>
      </c>
      <c r="AE1057" s="170"/>
      <c r="AF1057" s="170"/>
      <c r="AG1057" s="121">
        <f t="shared" si="3149"/>
        <v>216.96202846643945</v>
      </c>
      <c r="AH1057" s="119">
        <f>+AZ1057/$BB$49</f>
        <v>0.15400501368680736</v>
      </c>
      <c r="AI1057" s="119"/>
      <c r="AJ1057" s="176">
        <f t="shared" si="3154"/>
        <v>33.413240163491494</v>
      </c>
      <c r="AK1057" s="176">
        <f t="shared" si="3155"/>
        <v>0</v>
      </c>
      <c r="AL1057" s="120">
        <f t="shared" si="3137"/>
        <v>0.28282993365091341</v>
      </c>
      <c r="AM1057" s="120">
        <f t="shared" si="3138"/>
        <v>0.40959056927142723</v>
      </c>
      <c r="AN1057" s="120">
        <f t="shared" si="3139"/>
        <v>0.30757949707765941</v>
      </c>
      <c r="AO1057" s="120">
        <f t="shared" si="3143"/>
        <v>4.5061485037013016E-2</v>
      </c>
      <c r="AP1057" s="173">
        <f t="shared" si="3159"/>
        <v>111.65427592522997</v>
      </c>
      <c r="AQ1057" s="175">
        <f t="shared" si="3160"/>
        <v>4.5061485037013106E-2</v>
      </c>
      <c r="AR1057" s="177">
        <f>+AC1057/$AE$49</f>
        <v>0.11805338685442146</v>
      </c>
      <c r="AS1057" s="177">
        <f t="shared" si="3156"/>
        <v>5.3196609253092324E-3</v>
      </c>
      <c r="AT1057" s="177"/>
      <c r="AU1057" s="177"/>
      <c r="AV1057" s="177"/>
      <c r="AW1057" s="190"/>
      <c r="AX1057" s="120"/>
      <c r="AY1057" s="120"/>
      <c r="AZ1057" s="118">
        <f>IFERROR(INDEX('Total Customers'!$F$7:$AB$91,MATCH($C1057,'Total Customers'!$D$7:$D$91,0),MATCH($G1057,'Total Customers'!$F$5:$AB$5,0)),"NA")</f>
        <v>5549399</v>
      </c>
      <c r="BA1057" s="119">
        <f t="shared" si="3118"/>
        <v>5.8795069114414107E-3</v>
      </c>
      <c r="BB1057" s="119"/>
      <c r="BC1057" s="121"/>
      <c r="BD1057" s="119"/>
      <c r="BE1057" s="119"/>
      <c r="BF1057" s="119"/>
      <c r="BG1057" s="173"/>
      <c r="BH1057" s="173"/>
      <c r="BI1057" s="173"/>
      <c r="BJ1057" s="173"/>
      <c r="BK1057" s="173"/>
      <c r="BL1057" s="173"/>
      <c r="BM1057" s="173"/>
      <c r="BN1057" s="173"/>
      <c r="BO1057" s="173"/>
      <c r="BP1057" s="173"/>
      <c r="BQ1057" s="118"/>
      <c r="BR1057" s="118"/>
      <c r="BS1057" s="118">
        <f>INDEX('Dist. Plant Gas Additions'!$F$7:$AE$91,MATCH($C1057,'Dist. Plant Gas Additions'!$D$7:$D$91,0),MATCH(Calculation!$G1057,'Dist. Plant Gas Additions'!$F$5:$AE$5,0))</f>
        <v>499476</v>
      </c>
      <c r="BT1057" s="118">
        <f>INDEX('Gen. Plant Additions'!$F$7:$AE$91,MATCH($C1057,'Gen. Plant Additions'!$D$7:$D$91,0),MATCH(Calculation!$G1057,'Gen. Plant Additions'!$F$5:$AE$5,0))</f>
        <v>159691</v>
      </c>
      <c r="BU1057" s="118"/>
      <c r="BV1057" s="118"/>
      <c r="BW1057" s="118">
        <f>INDEX('Dist Plant Depreciation'!$E$7:$AD$94,MATCH($C1057,'Dist Plant Depreciation'!$D$7:$D$94,0),MATCH(Calculation!$G1057,'Dist Plant Depreciation'!$E$5:$AD$5,0))</f>
        <v>2637203</v>
      </c>
      <c r="BX1057" s="118">
        <f>INDEX('Gen. Plant Depreciation'!$E$7:$AD$94,MATCH($C1057,'Gen. Plant Depreciation'!$D$7:$D$94,0),MATCH(Calculation!$G1057,'Gen. Plant Depreciation'!$E$5:$AD$5,0))</f>
        <v>399254</v>
      </c>
      <c r="BY1057" s="118"/>
      <c r="BZ1057" s="118"/>
      <c r="CA1057" s="118"/>
      <c r="CB1057" s="118"/>
      <c r="CC1057" s="118"/>
      <c r="CD1057" s="183"/>
      <c r="CE1057" s="118">
        <f>INDEX('Gross Dx Plant'!$E$7:$AD$91,MATCH($C1057,'Gross Dx Plant'!$D$7:$D$91,0),MATCH(Calculation!$G1057,'Gross Dx Plant'!$E$5:$AD$5,0))</f>
        <v>6931522</v>
      </c>
      <c r="CF1057" s="118">
        <f>INDEX('Gross Gen Plant'!$E$7:$AD$91,MATCH($C1057,'Gross Gen Plant'!$D$7:$D$91,0),MATCH(Calculation!$G1057,'Gross Gen Plant'!$E$5:$AD$5,0))</f>
        <v>813496</v>
      </c>
      <c r="CG1057" s="118">
        <f t="shared" si="3018"/>
        <v>4708561</v>
      </c>
      <c r="CH1057" s="118"/>
      <c r="CI1057" s="121">
        <v>2011</v>
      </c>
      <c r="CJ1057" s="118"/>
      <c r="CK1057" s="118"/>
      <c r="CL1057" s="118"/>
      <c r="CM1057" s="183"/>
      <c r="CN1057" s="118">
        <f t="shared" si="3119"/>
        <v>659167</v>
      </c>
      <c r="CO1057" s="118">
        <f t="shared" si="3120"/>
        <v>1077.7551358676089</v>
      </c>
      <c r="CP1057" s="186">
        <v>0.92121212121212126</v>
      </c>
      <c r="CQ1057" s="118">
        <f>+CQ1044*CP1057+CO1045*CP1056+CO1046*CP1055+CO1047*CP1054+CO1048*CP1053+CO1049*CP1052+CO1050*CP1051+CO1051*CP1050+CO1052*CP1049+CO1053*CP1048+CO1054*CP1047+CO1055*CP1046+CO1056*CP1045+CO1057</f>
        <v>18672.004328881005</v>
      </c>
      <c r="CR1057" s="119">
        <f t="shared" si="3121"/>
        <v>5.2260545857688676E-2</v>
      </c>
      <c r="CS1057" s="119"/>
      <c r="CT1057" s="177">
        <f t="shared" si="3122"/>
        <v>7.1668579761822639E-3</v>
      </c>
      <c r="CU1057" s="177">
        <f t="shared" si="3130"/>
        <v>6.9641391833197676E-3</v>
      </c>
      <c r="CV1057" s="119">
        <f>VLOOKUP($H1057,RoR!$E:$F,2,FALSE)</f>
        <v>4.6391666666666664E-2</v>
      </c>
      <c r="CW1057" s="177">
        <v>2.0840920205183799E-2</v>
      </c>
      <c r="CX1057" s="177">
        <f t="shared" si="3128"/>
        <v>2.5550746461482865E-2</v>
      </c>
      <c r="CY1057" s="177">
        <f t="shared" si="3131"/>
        <v>2.3937802425213858E-2</v>
      </c>
      <c r="CZ1057" s="177">
        <f t="shared" si="3132"/>
        <v>2.4810540821321614E-2</v>
      </c>
      <c r="DA1057" s="187">
        <f t="shared" si="3123"/>
        <v>0.84720249999999997</v>
      </c>
      <c r="DB1057" s="188">
        <f t="shared" si="3124"/>
        <v>1.1054151524782025</v>
      </c>
      <c r="DC1057" s="188">
        <f t="shared" si="3125"/>
        <v>0.43611011316687626</v>
      </c>
      <c r="DD1057" s="188">
        <f t="shared" si="3126"/>
        <v>0.83698442246886229</v>
      </c>
      <c r="DE1057" s="188">
        <f t="shared" si="3127"/>
        <v>0.40349573304423936</v>
      </c>
      <c r="DF1057" s="189">
        <f>INDEX('State Tax Lookup'!$D$7:$Z$91,MATCH(Calculation!$C1057,'State Tax Lookup'!$B$7:$B$91,0),MATCH($H1057,'State Tax Lookup'!$D$6:$Z$6,0))</f>
        <v>0.40745999999999999</v>
      </c>
      <c r="DG1057" s="189">
        <v>0.375</v>
      </c>
      <c r="DH1057" s="190">
        <f t="shared" si="3129"/>
        <v>20.897416277007327</v>
      </c>
      <c r="DI1057" s="190">
        <v>20.571082762867526</v>
      </c>
      <c r="DJ1057" s="177"/>
      <c r="DK1057" s="189">
        <f>VLOOKUP($H1057,RoR!$E:$F,2,FALSE)</f>
        <v>4.6391666666666664E-2</v>
      </c>
      <c r="DL1057" s="191">
        <f>HLOOKUP($H1057,'GDP-PI'!$D$8:$CQ$11,3,FALSE)</f>
        <v>2.0840920205183799E-2</v>
      </c>
      <c r="DM1057" s="189">
        <f>VLOOKUP(H1057,'HW Dx Data'!$E:$F,2,FALSE)</f>
        <v>611.61109612283201</v>
      </c>
      <c r="DN1057" s="183">
        <f>VLOOKUP(H1057,'ECI - Input Price'!$G$17:$H$37,2,FALSE)</f>
        <v>114.3</v>
      </c>
      <c r="DO1057" s="177">
        <f t="shared" ref="DO1057" si="3167">LN(DN1057/DN1056)</f>
        <v>2.1444394205745516E-2</v>
      </c>
      <c r="DP1057" s="183">
        <f>HLOOKUP(H1057,'GDP-PI'!$8:$9,2,FALSE)</f>
        <v>98.111999999999995</v>
      </c>
      <c r="DQ1057" s="177">
        <f t="shared" ref="DQ1057" si="3168">LN(DP1057/DP1056)</f>
        <v>2.0626719212849295E-2</v>
      </c>
    </row>
    <row r="1058" spans="1:121" s="167" customFormat="1" ht="21" x14ac:dyDescent="0.35">
      <c r="A1058" s="167" t="s">
        <v>103</v>
      </c>
      <c r="B1058" s="167" t="s">
        <v>103</v>
      </c>
      <c r="C1058" s="167">
        <v>4057146</v>
      </c>
      <c r="D1058" s="168" t="s">
        <v>146</v>
      </c>
      <c r="E1058" s="168"/>
      <c r="F1058" s="198"/>
      <c r="G1058" s="167" t="s">
        <v>18</v>
      </c>
      <c r="H1058" s="169">
        <v>2012</v>
      </c>
      <c r="I1058" s="170"/>
      <c r="J1058" s="166">
        <f>IFERROR(INDEX('Labor Expenditures'!$F$7:$X$91,MATCH($C1058,'Labor Expenditures'!$D$7:$D$91,0),MATCH($G1058,'Labor Expenditures'!$F$5:$X$5,0)),"NA")</f>
        <v>332448.70543668472</v>
      </c>
      <c r="K1058" s="166">
        <f t="shared" si="3135"/>
        <v>2853.6369565380664</v>
      </c>
      <c r="L1058" s="172">
        <f t="shared" si="3142"/>
        <v>-4.3081608043714761E-2</v>
      </c>
      <c r="M1058" s="172">
        <f t="shared" si="3146"/>
        <v>-4.9835064608748248E-3</v>
      </c>
      <c r="N1058" s="196"/>
      <c r="O1058" s="172"/>
      <c r="P1058" s="166">
        <f>IFERROR(INDEX('Non-Labor Expenditures'!$F$7:$AB$91,MATCH($C1058,'Non-Labor Expenditures'!$D$7:$D$91,0),MATCH($G1058,'Non-Labor Expenditures'!$F$5:$AB$5,0)),"NA")</f>
        <v>481447.81832543825</v>
      </c>
      <c r="Q1058" s="166">
        <f t="shared" si="3136"/>
        <v>4814.4781832543822</v>
      </c>
      <c r="R1058" s="172">
        <f t="shared" si="3147"/>
        <v>-4.3077408577467002E-2</v>
      </c>
      <c r="S1058" s="172">
        <f t="shared" si="3152"/>
        <v>-4.9830206835761526E-3</v>
      </c>
      <c r="T1058" s="172"/>
      <c r="U1058" s="172"/>
      <c r="V1058" s="166">
        <f t="shared" si="3117"/>
        <v>422266.17860225745</v>
      </c>
      <c r="W1058" s="170"/>
      <c r="X1058" s="174">
        <v>19422.077899915847</v>
      </c>
      <c r="Y1058" s="175">
        <v>3.9385147692969073E-2</v>
      </c>
      <c r="Z1058" s="175">
        <f t="shared" si="3153"/>
        <v>4.5559148533002728E-3</v>
      </c>
      <c r="AA1058" s="175"/>
      <c r="AB1058" s="175"/>
      <c r="AC1058" s="170">
        <f t="shared" si="3053"/>
        <v>1236162.7023643805</v>
      </c>
      <c r="AD1058" s="175">
        <f t="shared" si="3148"/>
        <v>2.6355277761686717E-2</v>
      </c>
      <c r="AE1058" s="170"/>
      <c r="AF1058" s="170"/>
      <c r="AG1058" s="121">
        <f t="shared" si="3149"/>
        <v>221.6702379744267</v>
      </c>
      <c r="AH1058" s="119">
        <f>+AZ1058/$BB$50</f>
        <v>0.15401471878360387</v>
      </c>
      <c r="AI1058" s="119"/>
      <c r="AJ1058" s="176">
        <f t="shared" si="3154"/>
        <v>34.140479364325877</v>
      </c>
      <c r="AK1058" s="176">
        <f t="shared" si="3155"/>
        <v>0</v>
      </c>
      <c r="AL1058" s="120">
        <f t="shared" si="3137"/>
        <v>0.26893604280473565</v>
      </c>
      <c r="AM1058" s="120">
        <f t="shared" si="3138"/>
        <v>0.38946962030530763</v>
      </c>
      <c r="AN1058" s="120">
        <f t="shared" si="3139"/>
        <v>0.34159433688995672</v>
      </c>
      <c r="AO1058" s="120">
        <f t="shared" si="3143"/>
        <v>-1.631230023233976E-2</v>
      </c>
      <c r="AP1058" s="173">
        <f t="shared" si="3159"/>
        <v>109.84771251550912</v>
      </c>
      <c r="AQ1058" s="175">
        <f t="shared" si="3160"/>
        <v>-1.6312300232339677E-2</v>
      </c>
      <c r="AR1058" s="177">
        <f>+AC1058/$AE$50</f>
        <v>0.11567596213720895</v>
      </c>
      <c r="AS1058" s="177">
        <f t="shared" si="3156"/>
        <v>-1.8869410240469093E-3</v>
      </c>
      <c r="AT1058" s="177"/>
      <c r="AU1058" s="177"/>
      <c r="AV1058" s="177"/>
      <c r="AW1058" s="190"/>
      <c r="AX1058" s="120"/>
      <c r="AY1058" s="120"/>
      <c r="AZ1058" s="118">
        <f>IFERROR(INDEX('Total Customers'!$F$7:$AB$91,MATCH($C1058,'Total Customers'!$D$7:$D$91,0),MATCH($G1058,'Total Customers'!$F$5:$AB$5,0)),"NA")</f>
        <v>5576584</v>
      </c>
      <c r="BA1058" s="119">
        <f t="shared" si="3118"/>
        <v>4.8867689442425857E-3</v>
      </c>
      <c r="BB1058" s="119"/>
      <c r="BC1058" s="121"/>
      <c r="BD1058" s="119"/>
      <c r="BE1058" s="119"/>
      <c r="BF1058" s="119"/>
      <c r="BG1058" s="173"/>
      <c r="BH1058" s="173"/>
      <c r="BI1058" s="173"/>
      <c r="BJ1058" s="173"/>
      <c r="BK1058" s="173"/>
      <c r="BL1058" s="173"/>
      <c r="BM1058" s="173"/>
      <c r="BN1058" s="173"/>
      <c r="BO1058" s="173"/>
      <c r="BP1058" s="173"/>
      <c r="BQ1058" s="118"/>
      <c r="BR1058" s="118"/>
      <c r="BS1058" s="118">
        <f>INDEX('Dist. Plant Gas Additions'!$F$7:$AE$91,MATCH($C1058,'Dist. Plant Gas Additions'!$D$7:$D$91,0),MATCH(Calculation!$G1058,'Dist. Plant Gas Additions'!$F$5:$AE$5,0))</f>
        <v>338643</v>
      </c>
      <c r="BT1058" s="118">
        <f>INDEX('Gen. Plant Additions'!$F$7:$AE$91,MATCH($C1058,'Gen. Plant Additions'!$D$7:$D$91,0),MATCH(Calculation!$G1058,'Gen. Plant Additions'!$F$5:$AE$5,0))</f>
        <v>254673</v>
      </c>
      <c r="BU1058" s="118"/>
      <c r="BV1058" s="118"/>
      <c r="BW1058" s="118">
        <f>INDEX('Dist Plant Depreciation'!$E$7:$AD$94,MATCH($C1058,'Dist Plant Depreciation'!$D$7:$D$94,0),MATCH(Calculation!$G1058,'Dist Plant Depreciation'!$E$5:$AD$5,0))</f>
        <v>2807443</v>
      </c>
      <c r="BX1058" s="118">
        <f>INDEX('Gen. Plant Depreciation'!$E$7:$AD$94,MATCH($C1058,'Gen. Plant Depreciation'!$D$7:$D$94,0),MATCH(Calculation!$G1058,'Gen. Plant Depreciation'!$E$5:$AD$5,0))</f>
        <v>460539</v>
      </c>
      <c r="BY1058" s="118"/>
      <c r="BZ1058" s="118"/>
      <c r="CA1058" s="118"/>
      <c r="CB1058" s="118"/>
      <c r="CC1058" s="118"/>
      <c r="CD1058" s="183"/>
      <c r="CE1058" s="118">
        <f>INDEX('Gross Dx Plant'!$E$7:$AD$91,MATCH($C1058,'Gross Dx Plant'!$D$7:$D$91,0),MATCH(Calculation!$G1058,'Gross Dx Plant'!$E$5:$AD$5,0))</f>
        <v>7248972</v>
      </c>
      <c r="CF1058" s="118">
        <f>INDEX('Gross Gen Plant'!$E$7:$AD$91,MATCH($C1058,'Gross Gen Plant'!$D$7:$D$91,0),MATCH(Calculation!$G1058,'Gross Gen Plant'!$E$5:$AD$5,0))</f>
        <v>1023721</v>
      </c>
      <c r="CG1058" s="118">
        <f t="shared" si="3018"/>
        <v>5004711</v>
      </c>
      <c r="CH1058" s="118"/>
      <c r="CI1058" s="121">
        <v>2012</v>
      </c>
      <c r="CJ1058" s="118"/>
      <c r="CK1058" s="118"/>
      <c r="CL1058" s="118"/>
      <c r="CM1058" s="183"/>
      <c r="CN1058" s="118">
        <f t="shared" si="3119"/>
        <v>593316</v>
      </c>
      <c r="CO1058" s="118">
        <f t="shared" si="3120"/>
        <v>886.976919916371</v>
      </c>
      <c r="CP1058" s="186">
        <v>0.9135802469135802</v>
      </c>
      <c r="CQ1058" s="118">
        <f>+CQ1044*CP1058+CO1045*CP1057+CO1046*CP1056+CO1047*CP1055+CO1048*CP1054+CO1049*CP1053+CO1050*CP1052+CO1051*CP1051+CO1052*CP1050+CO1053*CP1049+CO1054*CP1048+CO1055*CP1047+CO1056*CP1046+CO1057*CP1045+CO1058</f>
        <v>19422.077899915847</v>
      </c>
      <c r="CR1058" s="119">
        <f t="shared" si="3121"/>
        <v>3.9385147692969073E-2</v>
      </c>
      <c r="CS1058" s="119"/>
      <c r="CT1058" s="177">
        <f t="shared" si="3122"/>
        <v>7.332011415066641E-3</v>
      </c>
      <c r="CU1058" s="177">
        <f t="shared" si="3130"/>
        <v>7.1559028067488505E-3</v>
      </c>
      <c r="CV1058" s="119">
        <f>VLOOKUP($H1058,RoR!$E:$F,2,FALSE)</f>
        <v>3.6733333333333333E-2</v>
      </c>
      <c r="CW1058" s="177">
        <v>1.924331376386168E-2</v>
      </c>
      <c r="CX1058" s="177">
        <f t="shared" si="3128"/>
        <v>1.7490019569471653E-2</v>
      </c>
      <c r="CY1058" s="177">
        <f t="shared" si="3131"/>
        <v>2.3746038801784775E-2</v>
      </c>
      <c r="CZ1058" s="177">
        <f t="shared" si="3132"/>
        <v>6.7122682943869583E-2</v>
      </c>
      <c r="DA1058" s="187">
        <f t="shared" si="3123"/>
        <v>0.84720249999999997</v>
      </c>
      <c r="DB1058" s="188">
        <f t="shared" si="3124"/>
        <v>1.3960631020522127</v>
      </c>
      <c r="DC1058" s="188">
        <f t="shared" si="3125"/>
        <v>0.29441923774954631</v>
      </c>
      <c r="DD1058" s="188">
        <f t="shared" si="3126"/>
        <v>0.76377954189366437</v>
      </c>
      <c r="DE1058" s="188">
        <f t="shared" si="3127"/>
        <v>0.31393465103033691</v>
      </c>
      <c r="DF1058" s="189">
        <f>INDEX('State Tax Lookup'!$D$7:$Z$91,MATCH(Calculation!$C1058,'State Tax Lookup'!$B$7:$B$91,0),MATCH($H1058,'State Tax Lookup'!$D$6:$Z$6,0))</f>
        <v>0.40745999999999999</v>
      </c>
      <c r="DG1058" s="189">
        <v>0.375</v>
      </c>
      <c r="DH1058" s="190">
        <f t="shared" si="3129"/>
        <v>22.614935770399079</v>
      </c>
      <c r="DI1058" s="190">
        <v>22.33524102338593</v>
      </c>
      <c r="DJ1058" s="177"/>
      <c r="DK1058" s="189">
        <f>VLOOKUP($H1058,RoR!$E:$F,2,FALSE)</f>
        <v>3.6733333333333333E-2</v>
      </c>
      <c r="DL1058" s="191">
        <f>HLOOKUP($H1058,'GDP-PI'!$D$8:$CQ$11,3,FALSE)</f>
        <v>1.924331376386168E-2</v>
      </c>
      <c r="DM1058" s="189">
        <f>VLOOKUP(H1058,'HW Dx Data'!$E:$F,2,FALSE)</f>
        <v>668.91932211262167</v>
      </c>
      <c r="DN1058" s="183">
        <f>VLOOKUP(H1058,'ECI - Input Price'!$G$17:$H$37,2,FALSE)</f>
        <v>116.5</v>
      </c>
      <c r="DO1058" s="177">
        <f t="shared" ref="DO1058" si="3169">LN(DN1058/DN1057)</f>
        <v>1.9064702204990347E-2</v>
      </c>
      <c r="DP1058" s="183">
        <f>HLOOKUP(H1058,'GDP-PI'!$8:$9,2,FALSE)</f>
        <v>100</v>
      </c>
      <c r="DQ1058" s="177">
        <f t="shared" ref="DQ1058" si="3170">LN(DP1058/DP1057)</f>
        <v>1.9060502738742411E-2</v>
      </c>
    </row>
    <row r="1059" spans="1:121" s="167" customFormat="1" ht="21" x14ac:dyDescent="0.35">
      <c r="A1059" s="167" t="s">
        <v>103</v>
      </c>
      <c r="B1059" s="167" t="s">
        <v>103</v>
      </c>
      <c r="C1059" s="167">
        <v>4057146</v>
      </c>
      <c r="D1059" s="168" t="s">
        <v>146</v>
      </c>
      <c r="E1059" s="168"/>
      <c r="F1059" s="198"/>
      <c r="G1059" s="167" t="s">
        <v>19</v>
      </c>
      <c r="H1059" s="169">
        <v>2013</v>
      </c>
      <c r="I1059" s="170"/>
      <c r="J1059" s="166">
        <f>IFERROR(INDEX('Labor Expenditures'!$F$7:$X$91,MATCH($C1059,'Labor Expenditures'!$D$7:$D$91,0),MATCH($G1059,'Labor Expenditures'!$F$5:$X$5,0)),"NA")</f>
        <v>342855.63172203489</v>
      </c>
      <c r="K1059" s="166">
        <f t="shared" si="3135"/>
        <v>2887.8132804551265</v>
      </c>
      <c r="L1059" s="172">
        <f t="shared" si="3142"/>
        <v>1.190525953236973E-2</v>
      </c>
      <c r="M1059" s="172">
        <f t="shared" si="3146"/>
        <v>1.3659217439431102E-3</v>
      </c>
      <c r="N1059" s="196"/>
      <c r="O1059" s="172"/>
      <c r="P1059" s="166">
        <f>IFERROR(INDEX('Non-Labor Expenditures'!$F$7:$AB$91,MATCH($C1059,'Non-Labor Expenditures'!$D$7:$D$91,0),MATCH($G1059,'Non-Labor Expenditures'!$F$5:$AB$5,0)),"NA")</f>
        <v>496518.9913323361</v>
      </c>
      <c r="Q1059" s="166">
        <f t="shared" si="3136"/>
        <v>4878.6907267382912</v>
      </c>
      <c r="R1059" s="172">
        <f t="shared" si="3147"/>
        <v>1.324922394528957E-2</v>
      </c>
      <c r="S1059" s="172">
        <f t="shared" si="3152"/>
        <v>1.5201183164497108E-3</v>
      </c>
      <c r="T1059" s="172"/>
      <c r="U1059" s="172"/>
      <c r="V1059" s="166">
        <f t="shared" si="3117"/>
        <v>432421.60376702657</v>
      </c>
      <c r="W1059" s="170"/>
      <c r="X1059" s="174">
        <v>20185.587540694563</v>
      </c>
      <c r="Y1059" s="175">
        <v>3.8558406593730242E-2</v>
      </c>
      <c r="Z1059" s="175">
        <f t="shared" si="3153"/>
        <v>4.4239074196555607E-3</v>
      </c>
      <c r="AA1059" s="175"/>
      <c r="AB1059" s="175"/>
      <c r="AC1059" s="170">
        <f t="shared" si="3053"/>
        <v>1271796.2268213974</v>
      </c>
      <c r="AD1059" s="175">
        <f t="shared" si="3148"/>
        <v>2.841826645556304E-2</v>
      </c>
      <c r="AE1059" s="170"/>
      <c r="AF1059" s="170"/>
      <c r="AG1059" s="121">
        <f t="shared" si="3149"/>
        <v>226.84940009435692</v>
      </c>
      <c r="AH1059" s="119">
        <f>+AZ1059/$BB$51</f>
        <v>0.1538467692511091</v>
      </c>
      <c r="AI1059" s="119"/>
      <c r="AJ1059" s="176">
        <f t="shared" si="3154"/>
        <v>34.900047311069059</v>
      </c>
      <c r="AK1059" s="176">
        <f t="shared" si="3155"/>
        <v>0</v>
      </c>
      <c r="AL1059" s="120">
        <f t="shared" si="3137"/>
        <v>0.26958377803882511</v>
      </c>
      <c r="AM1059" s="120">
        <f t="shared" si="3138"/>
        <v>0.39040766190452292</v>
      </c>
      <c r="AN1059" s="120">
        <f t="shared" si="3139"/>
        <v>0.34000856005665203</v>
      </c>
      <c r="AO1059" s="120">
        <f t="shared" si="3143"/>
        <v>2.1512754314120718E-2</v>
      </c>
      <c r="AP1059" s="173">
        <f t="shared" si="3159"/>
        <v>112.23644131034909</v>
      </c>
      <c r="AQ1059" s="175">
        <f t="shared" si="3160"/>
        <v>2.1512754314120742E-2</v>
      </c>
      <c r="AR1059" s="177">
        <f>+AC1059/$AE$51</f>
        <v>0.11473263058476349</v>
      </c>
      <c r="AS1059" s="177">
        <f t="shared" si="3156"/>
        <v>2.4682148935827922E-3</v>
      </c>
      <c r="AT1059" s="177"/>
      <c r="AU1059" s="177"/>
      <c r="AV1059" s="177"/>
      <c r="AW1059" s="190"/>
      <c r="AX1059" s="120"/>
      <c r="AY1059" s="120"/>
      <c r="AZ1059" s="118">
        <f>IFERROR(INDEX('Total Customers'!$F$7:$AB$91,MATCH($C1059,'Total Customers'!$D$7:$D$91,0),MATCH($G1059,'Total Customers'!$F$5:$AB$5,0)),"NA")</f>
        <v>5606346</v>
      </c>
      <c r="BA1059" s="119">
        <f t="shared" si="3118"/>
        <v>5.3227678734814798E-3</v>
      </c>
      <c r="BB1059" s="119"/>
      <c r="BC1059" s="121"/>
      <c r="BD1059" s="119"/>
      <c r="BE1059" s="119"/>
      <c r="BF1059" s="119"/>
      <c r="BG1059" s="173"/>
      <c r="BH1059" s="173"/>
      <c r="BI1059" s="173"/>
      <c r="BJ1059" s="173"/>
      <c r="BK1059" s="173"/>
      <c r="BL1059" s="173"/>
      <c r="BM1059" s="173"/>
      <c r="BN1059" s="173"/>
      <c r="BO1059" s="173"/>
      <c r="BP1059" s="173"/>
      <c r="BQ1059" s="118"/>
      <c r="BR1059" s="118"/>
      <c r="BS1059" s="118">
        <f>INDEX('Dist. Plant Gas Additions'!$F$7:$AE$91,MATCH($C1059,'Dist. Plant Gas Additions'!$D$7:$D$91,0),MATCH(Calculation!$G1059,'Dist. Plant Gas Additions'!$F$5:$AE$5,0))</f>
        <v>368615</v>
      </c>
      <c r="BT1059" s="118">
        <f>INDEX('Gen. Plant Additions'!$F$7:$AE$91,MATCH($C1059,'Gen. Plant Additions'!$D$7:$D$91,0),MATCH(Calculation!$G1059,'Gen. Plant Additions'!$F$5:$AE$5,0))</f>
        <v>234790</v>
      </c>
      <c r="BU1059" s="118"/>
      <c r="BV1059" s="118"/>
      <c r="BW1059" s="118">
        <f>INDEX('Dist Plant Depreciation'!$E$7:$AD$94,MATCH($C1059,'Dist Plant Depreciation'!$D$7:$D$94,0),MATCH(Calculation!$G1059,'Dist Plant Depreciation'!$E$5:$AD$5,0))</f>
        <v>2811114</v>
      </c>
      <c r="BX1059" s="118">
        <f>INDEX('Gen. Plant Depreciation'!$E$7:$AD$94,MATCH($C1059,'Gen. Plant Depreciation'!$D$7:$D$94,0),MATCH(Calculation!$G1059,'Gen. Plant Depreciation'!$E$5:$AD$5,0))</f>
        <v>570350</v>
      </c>
      <c r="BY1059" s="118"/>
      <c r="BZ1059" s="118"/>
      <c r="CA1059" s="118"/>
      <c r="CB1059" s="118"/>
      <c r="CC1059" s="118"/>
      <c r="CD1059" s="183"/>
      <c r="CE1059" s="118">
        <f>INDEX('Gross Dx Plant'!$E$7:$AD$91,MATCH($C1059,'Gross Dx Plant'!$D$7:$D$91,0),MATCH(Calculation!$G1059,'Gross Dx Plant'!$E$5:$AD$5,0))</f>
        <v>7548301</v>
      </c>
      <c r="CF1059" s="118">
        <f>INDEX('Gross Gen Plant'!$E$7:$AD$91,MATCH($C1059,'Gross Gen Plant'!$D$7:$D$91,0),MATCH(Calculation!$G1059,'Gross Gen Plant'!$E$5:$AD$5,0))</f>
        <v>1223656</v>
      </c>
      <c r="CG1059" s="118">
        <f t="shared" si="3018"/>
        <v>5390493</v>
      </c>
      <c r="CH1059" s="118"/>
      <c r="CI1059" s="121">
        <v>2013</v>
      </c>
      <c r="CJ1059" s="118"/>
      <c r="CK1059" s="118"/>
      <c r="CL1059" s="118"/>
      <c r="CM1059" s="183"/>
      <c r="CN1059" s="118">
        <f t="shared" si="3119"/>
        <v>603405</v>
      </c>
      <c r="CO1059" s="118">
        <f t="shared" si="3120"/>
        <v>909.77225879018351</v>
      </c>
      <c r="CP1059" s="186">
        <v>0.90566037735849059</v>
      </c>
      <c r="CQ1059" s="118">
        <f>+CQ1044*CP1059+CO1045*CP1058+CO1046*CP1057+CO1047*CP1056+CO1048*CP1055+CO1049*CP1054+CO1050*CP1053+CO1051*CP1052+CO1052*CP1051+CO1053*CP1050+CO1054*CP1049+CO1055*CP1048+CO1056*CP1047+CO1057*CP1046+CO1058*CP1045+CO1059</f>
        <v>20185.587540694563</v>
      </c>
      <c r="CR1059" s="119">
        <f t="shared" si="3121"/>
        <v>3.8558406593730242E-2</v>
      </c>
      <c r="CS1059" s="119"/>
      <c r="CT1059" s="177">
        <f t="shared" si="3122"/>
        <v>7.5307399530150374E-3</v>
      </c>
      <c r="CU1059" s="177">
        <f t="shared" si="3130"/>
        <v>7.3432031147546472E-3</v>
      </c>
      <c r="CV1059" s="119">
        <f>VLOOKUP($H1059,RoR!$E:$F,2,FALSE)</f>
        <v>4.2350000000000006E-2</v>
      </c>
      <c r="CW1059" s="177">
        <v>1.7730000000000024E-2</v>
      </c>
      <c r="CX1059" s="177">
        <f t="shared" si="3128"/>
        <v>2.4619999999999982E-2</v>
      </c>
      <c r="CY1059" s="177">
        <f t="shared" si="3131"/>
        <v>2.3558738493778979E-2</v>
      </c>
      <c r="CZ1059" s="177">
        <f t="shared" si="3132"/>
        <v>5.3376742735721204E-2</v>
      </c>
      <c r="DA1059" s="187">
        <f t="shared" si="3123"/>
        <v>0.84720249999999997</v>
      </c>
      <c r="DB1059" s="188">
        <f t="shared" si="3124"/>
        <v>1.2109103018193925</v>
      </c>
      <c r="DC1059" s="188">
        <f t="shared" si="3125"/>
        <v>0.38468122786304604</v>
      </c>
      <c r="DD1059" s="188">
        <f t="shared" si="3126"/>
        <v>0.80969194503422559</v>
      </c>
      <c r="DE1059" s="188">
        <f t="shared" si="3127"/>
        <v>0.37716621754800816</v>
      </c>
      <c r="DF1059" s="189">
        <f>INDEX('State Tax Lookup'!$D$7:$Z$91,MATCH(Calculation!$C1059,'State Tax Lookup'!$B$7:$B$91,0),MATCH($H1059,'State Tax Lookup'!$D$6:$Z$6,0))</f>
        <v>0.40745999999999999</v>
      </c>
      <c r="DG1059" s="189">
        <v>0.375</v>
      </c>
      <c r="DH1059" s="190">
        <f t="shared" si="3129"/>
        <v>22.264435659013611</v>
      </c>
      <c r="DI1059" s="190">
        <v>21.973706202186484</v>
      </c>
      <c r="DJ1059" s="177"/>
      <c r="DK1059" s="189">
        <f>VLOOKUP($H1059,RoR!$E:$F,2,FALSE)</f>
        <v>4.2350000000000006E-2</v>
      </c>
      <c r="DL1059" s="191">
        <f>HLOOKUP($H1059,'GDP-PI'!$D$8:$CQ$11,3,FALSE)</f>
        <v>1.7730000000000024E-2</v>
      </c>
      <c r="DM1059" s="189">
        <f>VLOOKUP(H1059,'HW Dx Data'!$E:$F,2,FALSE)</f>
        <v>663.24840548821396</v>
      </c>
      <c r="DN1059" s="183">
        <f>VLOOKUP(H1059,'ECI - Input Price'!$G$17:$H$37,2,FALSE)</f>
        <v>118.72499999999999</v>
      </c>
      <c r="DO1059" s="177">
        <f t="shared" ref="DO1059" si="3171">LN(DN1059/DN1058)</f>
        <v>1.8918621429430321E-2</v>
      </c>
      <c r="DP1059" s="183">
        <f>HLOOKUP(H1059,'GDP-PI'!$8:$9,2,FALSE)</f>
        <v>101.773</v>
      </c>
      <c r="DQ1059" s="177">
        <f t="shared" ref="DQ1059" si="3172">LN(DP1059/DP1058)</f>
        <v>1.7574657016510519E-2</v>
      </c>
    </row>
    <row r="1060" spans="1:121" s="167" customFormat="1" ht="21" x14ac:dyDescent="0.35">
      <c r="A1060" s="167" t="s">
        <v>103</v>
      </c>
      <c r="B1060" s="167" t="s">
        <v>103</v>
      </c>
      <c r="C1060" s="167">
        <v>4057146</v>
      </c>
      <c r="D1060" s="168" t="s">
        <v>146</v>
      </c>
      <c r="E1060" s="168"/>
      <c r="F1060" s="198"/>
      <c r="G1060" s="167" t="s">
        <v>20</v>
      </c>
      <c r="H1060" s="169">
        <v>2014</v>
      </c>
      <c r="I1060" s="170"/>
      <c r="J1060" s="166">
        <f>IFERROR(INDEX('Labor Expenditures'!$F$7:$X$91,MATCH($C1060,'Labor Expenditures'!$D$7:$D$91,0),MATCH($G1060,'Labor Expenditures'!$F$5:$X$5,0)),"NA")</f>
        <v>325151.92945943767</v>
      </c>
      <c r="K1060" s="166">
        <f t="shared" si="3135"/>
        <v>2682.7716952098817</v>
      </c>
      <c r="L1060" s="172">
        <f t="shared" si="3142"/>
        <v>-7.3649090636613609E-2</v>
      </c>
      <c r="M1060" s="172">
        <f t="shared" si="3146"/>
        <v>-8.1322872842456116E-3</v>
      </c>
      <c r="N1060" s="196"/>
      <c r="O1060" s="172"/>
      <c r="P1060" s="166">
        <f>IFERROR(INDEX('Non-Labor Expenditures'!$F$7:$AB$91,MATCH($C1060,'Non-Labor Expenditures'!$D$7:$D$91,0),MATCH($G1060,'Non-Labor Expenditures'!$F$5:$AB$5,0)),"NA")</f>
        <v>470880.72386062267</v>
      </c>
      <c r="Q1060" s="166">
        <f t="shared" si="3136"/>
        <v>4543.1196644439551</v>
      </c>
      <c r="R1060" s="172">
        <f t="shared" si="3147"/>
        <v>-7.1262963334841362E-2</v>
      </c>
      <c r="S1060" s="172">
        <f t="shared" si="3152"/>
        <v>-7.8688125753651333E-3</v>
      </c>
      <c r="T1060" s="172"/>
      <c r="U1060" s="172"/>
      <c r="V1060" s="166">
        <f t="shared" si="3117"/>
        <v>460518.45955775672</v>
      </c>
      <c r="W1060" s="170"/>
      <c r="X1060" s="174">
        <v>20985.243312652434</v>
      </c>
      <c r="Y1060" s="175">
        <v>3.885062964800326E-2</v>
      </c>
      <c r="Z1060" s="175">
        <f t="shared" si="3153"/>
        <v>4.2898626275003201E-3</v>
      </c>
      <c r="AA1060" s="175"/>
      <c r="AB1060" s="175"/>
      <c r="AC1060" s="170">
        <f t="shared" si="3053"/>
        <v>1256551.1128778171</v>
      </c>
      <c r="AD1060" s="175">
        <f t="shared" si="3148"/>
        <v>-1.2059497098124766E-2</v>
      </c>
      <c r="AE1060" s="170"/>
      <c r="AF1060" s="170"/>
      <c r="AG1060" s="121">
        <f t="shared" si="3149"/>
        <v>222.84688175635165</v>
      </c>
      <c r="AH1060" s="119">
        <f>+AZ1060/$BB$52</f>
        <v>0.15390207472064721</v>
      </c>
      <c r="AI1060" s="119"/>
      <c r="AJ1060" s="176">
        <f t="shared" si="3154"/>
        <v>34.296597447329262</v>
      </c>
      <c r="AK1060" s="176">
        <f t="shared" si="3155"/>
        <v>0</v>
      </c>
      <c r="AL1060" s="120">
        <f t="shared" si="3137"/>
        <v>0.25876538258340975</v>
      </c>
      <c r="AM1060" s="120">
        <f t="shared" si="3138"/>
        <v>0.37474060468753057</v>
      </c>
      <c r="AN1060" s="120">
        <f t="shared" si="3139"/>
        <v>0.36649401272905963</v>
      </c>
      <c r="AO1060" s="120">
        <f t="shared" si="3143"/>
        <v>-3.2995549142826736E-2</v>
      </c>
      <c r="AP1060" s="173">
        <f t="shared" si="3159"/>
        <v>108.59356809219999</v>
      </c>
      <c r="AQ1060" s="175">
        <f t="shared" si="3160"/>
        <v>-3.299554914282668E-2</v>
      </c>
      <c r="AR1060" s="177">
        <f>+AC1060/$AE$52</f>
        <v>0.11041938486885756</v>
      </c>
      <c r="AS1060" s="177">
        <f t="shared" si="3156"/>
        <v>-3.6433482397610823E-3</v>
      </c>
      <c r="AT1060" s="177"/>
      <c r="AU1060" s="177"/>
      <c r="AV1060" s="177"/>
      <c r="AW1060" s="190"/>
      <c r="AX1060" s="120"/>
      <c r="AY1060" s="120"/>
      <c r="AZ1060" s="118">
        <f>IFERROR(INDEX('Total Customers'!$F$7:$AB$91,MATCH($C1060,'Total Customers'!$D$7:$D$91,0),MATCH($G1060,'Total Customers'!$F$5:$AB$5,0)),"NA")</f>
        <v>5638630</v>
      </c>
      <c r="BA1060" s="119">
        <f t="shared" si="3118"/>
        <v>5.7419577774918198E-3</v>
      </c>
      <c r="BB1060" s="119"/>
      <c r="BC1060" s="121"/>
      <c r="BD1060" s="119"/>
      <c r="BE1060" s="119"/>
      <c r="BF1060" s="119"/>
      <c r="BG1060" s="173"/>
      <c r="BH1060" s="173"/>
      <c r="BI1060" s="173"/>
      <c r="BJ1060" s="173"/>
      <c r="BK1060" s="173"/>
      <c r="BL1060" s="173"/>
      <c r="BM1060" s="173"/>
      <c r="BN1060" s="173"/>
      <c r="BO1060" s="173"/>
      <c r="BP1060" s="173"/>
      <c r="BQ1060" s="118"/>
      <c r="BR1060" s="118"/>
      <c r="BS1060" s="118">
        <f>INDEX('Dist. Plant Gas Additions'!$F$7:$AE$91,MATCH($C1060,'Dist. Plant Gas Additions'!$D$7:$D$91,0),MATCH(Calculation!$G1060,'Dist. Plant Gas Additions'!$F$5:$AE$5,0))</f>
        <v>537091</v>
      </c>
      <c r="BT1060" s="118">
        <f>INDEX('Gen. Plant Additions'!$F$7:$AE$91,MATCH($C1060,'Gen. Plant Additions'!$D$7:$D$91,0),MATCH(Calculation!$G1060,'Gen. Plant Additions'!$F$5:$AE$5,0))</f>
        <v>117124</v>
      </c>
      <c r="BU1060" s="118"/>
      <c r="BV1060" s="118"/>
      <c r="BW1060" s="118">
        <f>INDEX('Dist Plant Depreciation'!$E$7:$AD$94,MATCH($C1060,'Dist Plant Depreciation'!$D$7:$D$94,0),MATCH(Calculation!$G1060,'Dist Plant Depreciation'!$E$5:$AD$5,0))</f>
        <v>2958030</v>
      </c>
      <c r="BX1060" s="118">
        <f>INDEX('Gen. Plant Depreciation'!$E$7:$AD$94,MATCH($C1060,'Gen. Plant Depreciation'!$D$7:$D$94,0),MATCH(Calculation!$G1060,'Gen. Plant Depreciation'!$E$5:$AD$5,0))</f>
        <v>675741</v>
      </c>
      <c r="BY1060" s="118"/>
      <c r="BZ1060" s="118"/>
      <c r="CA1060" s="118"/>
      <c r="CB1060" s="118"/>
      <c r="CC1060" s="118"/>
      <c r="CD1060" s="183"/>
      <c r="CE1060" s="118">
        <f>INDEX('Gross Dx Plant'!$E$7:$AD$91,MATCH($C1060,'Gross Dx Plant'!$D$7:$D$91,0),MATCH(Calculation!$G1060,'Gross Dx Plant'!$E$5:$AD$5,0))</f>
        <v>8054732</v>
      </c>
      <c r="CF1060" s="118">
        <f>INDEX('Gross Gen Plant'!$E$7:$AD$91,MATCH($C1060,'Gross Gen Plant'!$D$7:$D$91,0),MATCH(Calculation!$G1060,'Gross Gen Plant'!$E$5:$AD$5,0))</f>
        <v>1294842</v>
      </c>
      <c r="CG1060" s="118">
        <f t="shared" si="3018"/>
        <v>5715803</v>
      </c>
      <c r="CH1060" s="118"/>
      <c r="CI1060" s="121">
        <v>2014</v>
      </c>
      <c r="CJ1060" s="118"/>
      <c r="CK1060" s="118"/>
      <c r="CL1060" s="118"/>
      <c r="CM1060" s="183"/>
      <c r="CN1060" s="118">
        <f t="shared" si="3119"/>
        <v>654215</v>
      </c>
      <c r="CO1060" s="118">
        <f t="shared" si="3120"/>
        <v>955.79911356640946</v>
      </c>
      <c r="CP1060" s="186">
        <v>0.89743589743589747</v>
      </c>
      <c r="CQ1060" s="118">
        <f>+CQ1044*CP1060+CO1045*CP1059+CO1046*CP1058+CO1047*CP1057+CO1048*CP1056+CO1049*CP1055+CO1050*CP1054+CO1051*CP1053+CO1052*CP1052+CO1053*CP1051+CO1054*CP1050+CO1055*CP1049+CO1056*CP1048+CO1057*CP1047+CO1058*CP1046+CO1059*CP1045+CO1060</f>
        <v>20985.243312652434</v>
      </c>
      <c r="CR1060" s="119">
        <f t="shared" si="3121"/>
        <v>3.885062964800326E-2</v>
      </c>
      <c r="CS1060" s="119"/>
      <c r="CT1060" s="177">
        <f t="shared" si="3122"/>
        <v>7.735387503274343E-3</v>
      </c>
      <c r="CU1060" s="177">
        <f t="shared" si="3130"/>
        <v>7.5327129571186738E-3</v>
      </c>
      <c r="CV1060" s="119">
        <f>VLOOKUP($H1060,RoR!$E:$F,2,FALSE)</f>
        <v>4.1625000000000002E-2</v>
      </c>
      <c r="CW1060" s="177">
        <v>1.841352814597208E-2</v>
      </c>
      <c r="CX1060" s="177">
        <f t="shared" si="3128"/>
        <v>2.3211471854027922E-2</v>
      </c>
      <c r="CY1060" s="177">
        <f t="shared" si="3131"/>
        <v>2.3369228651414952E-2</v>
      </c>
      <c r="CZ1060" s="177">
        <f t="shared" si="3132"/>
        <v>3.9072621432650924E-2</v>
      </c>
      <c r="DA1060" s="187">
        <f t="shared" si="3123"/>
        <v>0.84720249999999997</v>
      </c>
      <c r="DB1060" s="188">
        <f t="shared" si="3124"/>
        <v>1.2320012320012319</v>
      </c>
      <c r="DC1060" s="188">
        <f t="shared" si="3125"/>
        <v>0.37439939939939942</v>
      </c>
      <c r="DD1060" s="188">
        <f t="shared" si="3126"/>
        <v>0.80432100613819935</v>
      </c>
      <c r="DE1060" s="188">
        <f t="shared" si="3127"/>
        <v>0.37100152660040037</v>
      </c>
      <c r="DF1060" s="189">
        <f>INDEX('State Tax Lookup'!$D$7:$Z$91,MATCH(Calculation!$C1060,'State Tax Lookup'!$B$7:$B$91,0),MATCH($H1060,'State Tax Lookup'!$D$6:$Z$6,0))</f>
        <v>0.40745999999999999</v>
      </c>
      <c r="DG1060" s="189">
        <v>0.375</v>
      </c>
      <c r="DH1060" s="190">
        <f t="shared" si="3129"/>
        <v>22.814221217457355</v>
      </c>
      <c r="DI1060" s="190">
        <v>22.487419439023189</v>
      </c>
      <c r="DJ1060" s="177"/>
      <c r="DK1060" s="189">
        <f>VLOOKUP($H1060,RoR!$E:$F,2,FALSE)</f>
        <v>4.1625000000000002E-2</v>
      </c>
      <c r="DL1060" s="191">
        <f>HLOOKUP($H1060,'GDP-PI'!$D$8:$CQ$11,3,FALSE)</f>
        <v>1.841352814597208E-2</v>
      </c>
      <c r="DM1060" s="189">
        <f>VLOOKUP(H1060,'HW Dx Data'!$E:$F,2,FALSE)</f>
        <v>684.46914285042885</v>
      </c>
      <c r="DN1060" s="183">
        <f>VLOOKUP(H1060,'ECI - Input Price'!$G$17:$H$37,2,FALSE)</f>
        <v>121.2</v>
      </c>
      <c r="DO1060" s="177">
        <f t="shared" ref="DO1060" si="3173">LN(DN1060/DN1059)</f>
        <v>2.0632179200028689E-2</v>
      </c>
      <c r="DP1060" s="183">
        <f>HLOOKUP(H1060,'GDP-PI'!$8:$9,2,FALSE)</f>
        <v>103.64700000000001</v>
      </c>
      <c r="DQ1060" s="177">
        <f t="shared" ref="DQ1060" si="3174">LN(DP1060/DP1059)</f>
        <v>1.8246051898256087E-2</v>
      </c>
    </row>
    <row r="1061" spans="1:121" s="167" customFormat="1" ht="21" x14ac:dyDescent="0.35">
      <c r="A1061" s="167" t="s">
        <v>103</v>
      </c>
      <c r="B1061" s="167" t="s">
        <v>103</v>
      </c>
      <c r="C1061" s="167">
        <v>4057146</v>
      </c>
      <c r="D1061" s="168" t="s">
        <v>146</v>
      </c>
      <c r="E1061" s="168"/>
      <c r="F1061" s="198"/>
      <c r="G1061" s="167" t="s">
        <v>21</v>
      </c>
      <c r="H1061" s="169">
        <v>2015</v>
      </c>
      <c r="I1061" s="170"/>
      <c r="J1061" s="166">
        <f>IFERROR(INDEX('Labor Expenditures'!$F$7:$X$91,MATCH($C1061,'Labor Expenditures'!$D$7:$D$91,0),MATCH($G1061,'Labor Expenditures'!$F$5:$X$5,0)),"NA")</f>
        <v>329477.68537948874</v>
      </c>
      <c r="K1061" s="166">
        <f t="shared" si="3135"/>
        <v>2662.4459424605152</v>
      </c>
      <c r="L1061" s="172">
        <f t="shared" si="3142"/>
        <v>-7.6052471935995963E-3</v>
      </c>
      <c r="M1061" s="172">
        <f t="shared" si="3146"/>
        <v>-8.4431248254209358E-4</v>
      </c>
      <c r="N1061" s="196"/>
      <c r="O1061" s="172"/>
      <c r="P1061" s="166">
        <f>IFERROR(INDEX('Non-Labor Expenditures'!$F$7:$AB$91,MATCH($C1061,'Non-Labor Expenditures'!$D$7:$D$91,0),MATCH($G1061,'Non-Labor Expenditures'!$F$5:$AB$5,0)),"NA")</f>
        <v>477145.22637261578</v>
      </c>
      <c r="Q1061" s="166">
        <f t="shared" si="3136"/>
        <v>4559.9176824378656</v>
      </c>
      <c r="R1061" s="172">
        <f t="shared" si="3147"/>
        <v>3.690644434543343E-3</v>
      </c>
      <c r="S1061" s="172">
        <f t="shared" si="3152"/>
        <v>4.0972463950045626E-4</v>
      </c>
      <c r="T1061" s="172"/>
      <c r="U1061" s="172"/>
      <c r="V1061" s="166">
        <f t="shared" si="3117"/>
        <v>469489.57169816323</v>
      </c>
      <c r="W1061" s="170"/>
      <c r="X1061" s="174">
        <v>22146.856408188247</v>
      </c>
      <c r="Y1061" s="175">
        <v>5.387607222127163E-2</v>
      </c>
      <c r="Z1061" s="175">
        <f t="shared" si="3153"/>
        <v>5.9811652571978005E-3</v>
      </c>
      <c r="AA1061" s="175"/>
      <c r="AB1061" s="175"/>
      <c r="AC1061" s="170">
        <f t="shared" si="3053"/>
        <v>1276112.4834502677</v>
      </c>
      <c r="AD1061" s="175">
        <f t="shared" si="3148"/>
        <v>1.5447578264739364E-2</v>
      </c>
      <c r="AE1061" s="170"/>
      <c r="AF1061" s="170"/>
      <c r="AG1061" s="121">
        <f t="shared" si="3149"/>
        <v>225.16793620373639</v>
      </c>
      <c r="AH1061" s="119">
        <f>+AZ1061/$BB$53</f>
        <v>0.15343258510881833</v>
      </c>
      <c r="AI1061" s="119"/>
      <c r="AJ1061" s="176">
        <f t="shared" si="3154"/>
        <v>34.548098535356758</v>
      </c>
      <c r="AK1061" s="176">
        <f t="shared" si="3155"/>
        <v>0</v>
      </c>
      <c r="AL1061" s="120">
        <f t="shared" si="3137"/>
        <v>0.25818859203435496</v>
      </c>
      <c r="AM1061" s="120">
        <f t="shared" si="3138"/>
        <v>0.37390530424288493</v>
      </c>
      <c r="AN1061" s="120">
        <f t="shared" si="3139"/>
        <v>0.36790610372276017</v>
      </c>
      <c r="AO1061" s="120">
        <f t="shared" si="3143"/>
        <v>1.9199008402912155E-2</v>
      </c>
      <c r="AP1061" s="173">
        <f t="shared" si="3159"/>
        <v>110.69859951702232</v>
      </c>
      <c r="AQ1061" s="175">
        <f t="shared" si="3160"/>
        <v>1.9199008402912259E-2</v>
      </c>
      <c r="AR1061" s="177">
        <f>+AC1061/$AE$53</f>
        <v>0.11101709925387407</v>
      </c>
      <c r="AS1061" s="177">
        <f t="shared" si="3156"/>
        <v>2.1314182214420725E-3</v>
      </c>
      <c r="AT1061" s="177"/>
      <c r="AU1061" s="177"/>
      <c r="AV1061" s="177"/>
      <c r="AW1061" s="190"/>
      <c r="AX1061" s="120"/>
      <c r="AY1061" s="120"/>
      <c r="AZ1061" s="118">
        <f>IFERROR(INDEX('Total Customers'!$F$7:$AB$91,MATCH($C1061,'Total Customers'!$D$7:$D$91,0),MATCH($G1061,'Total Customers'!$F$5:$AB$5,0)),"NA")</f>
        <v>5667381</v>
      </c>
      <c r="BA1061" s="119">
        <f t="shared" si="3118"/>
        <v>5.0859780652192455E-3</v>
      </c>
      <c r="BB1061" s="119"/>
      <c r="BC1061" s="121"/>
      <c r="BD1061" s="119"/>
      <c r="BE1061" s="119"/>
      <c r="BF1061" s="119"/>
      <c r="BG1061" s="173"/>
      <c r="BH1061" s="173"/>
      <c r="BI1061" s="173"/>
      <c r="BJ1061" s="173"/>
      <c r="BK1061" s="173"/>
      <c r="BL1061" s="173"/>
      <c r="BM1061" s="173"/>
      <c r="BN1061" s="173"/>
      <c r="BO1061" s="173"/>
      <c r="BP1061" s="173"/>
      <c r="BQ1061" s="118"/>
      <c r="BR1061" s="118"/>
      <c r="BS1061" s="118">
        <f>INDEX('Dist. Plant Gas Additions'!$F$7:$AE$91,MATCH($C1061,'Dist. Plant Gas Additions'!$D$7:$D$91,0),MATCH(Calculation!$G1061,'Dist. Plant Gas Additions'!$F$5:$AE$5,0))</f>
        <v>692498</v>
      </c>
      <c r="BT1061" s="118">
        <f>INDEX('Gen. Plant Additions'!$F$7:$AE$91,MATCH($C1061,'Gen. Plant Additions'!$D$7:$D$91,0),MATCH(Calculation!$G1061,'Gen. Plant Additions'!$F$5:$AE$5,0))</f>
        <v>204924</v>
      </c>
      <c r="BU1061" s="118"/>
      <c r="BV1061" s="118"/>
      <c r="BW1061" s="118">
        <f>INDEX('Dist Plant Depreciation'!$E$7:$AD$94,MATCH($C1061,'Dist Plant Depreciation'!$D$7:$D$94,0),MATCH(Calculation!$G1061,'Dist Plant Depreciation'!$E$5:$AD$5,0))</f>
        <v>3090323</v>
      </c>
      <c r="BX1061" s="118">
        <f>INDEX('Gen. Plant Depreciation'!$E$7:$AD$94,MATCH($C1061,'Gen. Plant Depreciation'!$D$7:$D$94,0),MATCH(Calculation!$G1061,'Gen. Plant Depreciation'!$E$5:$AD$5,0))</f>
        <v>766104</v>
      </c>
      <c r="BY1061" s="118"/>
      <c r="BZ1061" s="118"/>
      <c r="CA1061" s="118"/>
      <c r="CB1061" s="118"/>
      <c r="CC1061" s="118"/>
      <c r="CD1061" s="183"/>
      <c r="CE1061" s="118">
        <f>INDEX('Gross Dx Plant'!$E$7:$AD$91,MATCH($C1061,'Gross Dx Plant'!$D$7:$D$91,0),MATCH(Calculation!$G1061,'Gross Dx Plant'!$E$5:$AD$5,0))</f>
        <v>8744904</v>
      </c>
      <c r="CF1061" s="118">
        <f>INDEX('Gross Gen Plant'!$E$7:$AD$91,MATCH($C1061,'Gross Gen Plant'!$D$7:$D$91,0),MATCH(Calculation!$G1061,'Gross Gen Plant'!$E$5:$AD$5,0))</f>
        <v>1437730</v>
      </c>
      <c r="CG1061" s="118">
        <f t="shared" si="3018"/>
        <v>6326207</v>
      </c>
      <c r="CH1061" s="118"/>
      <c r="CI1061" s="121">
        <v>2015</v>
      </c>
      <c r="CJ1061" s="118"/>
      <c r="CK1061" s="118"/>
      <c r="CL1061" s="118"/>
      <c r="CM1061" s="183"/>
      <c r="CN1061" s="118">
        <f t="shared" si="3119"/>
        <v>897422</v>
      </c>
      <c r="CO1061" s="118">
        <f t="shared" si="3120"/>
        <v>1328.3045630613096</v>
      </c>
      <c r="CP1061" s="186">
        <v>0.88888888888888884</v>
      </c>
      <c r="CQ1061" s="118">
        <f>+CQ1044*CP1061+CO1045*CP1060+CO1046*CP1059+CO1047*CP1058+CO1048*CP1057+CO1049*CP1056+CO1050*CP1055+CO1051*CP1054+CO1052*CP1053+CO1053*CP1052+CO1054*CP1051+CO1055*CP1050+CO1056*CP1049+CO1057*CP1048+CO1058*CP1047+CO1059*CP1046+CO1060*CP1045+CO1061</f>
        <v>22146.856408188247</v>
      </c>
      <c r="CR1061" s="119">
        <f t="shared" si="3121"/>
        <v>5.387607222127163E-2</v>
      </c>
      <c r="CS1061" s="119"/>
      <c r="CT1061" s="177">
        <f t="shared" si="3122"/>
        <v>7.9432706612934476E-3</v>
      </c>
      <c r="CU1061" s="177">
        <f t="shared" si="3130"/>
        <v>7.7364660391942763E-3</v>
      </c>
      <c r="CV1061" s="119">
        <f>VLOOKUP($H1061,RoR!$E:$F,2,FALSE)</f>
        <v>3.8866666666666674E-2</v>
      </c>
      <c r="CW1061" s="177">
        <v>9.5709475431029478E-3</v>
      </c>
      <c r="CX1061" s="177">
        <f t="shared" si="3128"/>
        <v>2.9295719123563727E-2</v>
      </c>
      <c r="CY1061" s="177">
        <f t="shared" si="3131"/>
        <v>2.3165475569339348E-2</v>
      </c>
      <c r="CZ1061" s="177">
        <f t="shared" si="3132"/>
        <v>3.5270373279175926E-3</v>
      </c>
      <c r="DA1061" s="187">
        <f t="shared" si="3123"/>
        <v>0.84720249999999997</v>
      </c>
      <c r="DB1061" s="188">
        <f t="shared" si="3124"/>
        <v>1.3194352816994324</v>
      </c>
      <c r="DC1061" s="188">
        <f t="shared" si="3125"/>
        <v>0.33177530017152673</v>
      </c>
      <c r="DD1061" s="188">
        <f t="shared" si="3126"/>
        <v>0.78242572977668579</v>
      </c>
      <c r="DE1061" s="188">
        <f t="shared" si="3127"/>
        <v>0.34251158643433932</v>
      </c>
      <c r="DF1061" s="189">
        <f>INDEX('State Tax Lookup'!$D$7:$Z$91,MATCH(Calculation!$C1061,'State Tax Lookup'!$B$7:$B$91,0),MATCH($H1061,'State Tax Lookup'!$D$6:$Z$6,0))</f>
        <v>0.40745999999999999</v>
      </c>
      <c r="DG1061" s="189">
        <v>0.375</v>
      </c>
      <c r="DH1061" s="190">
        <f t="shared" si="3129"/>
        <v>22.372367320377855</v>
      </c>
      <c r="DI1061" s="190">
        <v>22.018241478598778</v>
      </c>
      <c r="DJ1061" s="177"/>
      <c r="DK1061" s="189">
        <f>VLOOKUP($H1061,RoR!$E:$F,2,FALSE)</f>
        <v>3.8866666666666674E-2</v>
      </c>
      <c r="DL1061" s="191">
        <f>HLOOKUP($H1061,'GDP-PI'!$D$8:$CQ$11,3,FALSE)</f>
        <v>9.5709475431029478E-3</v>
      </c>
      <c r="DM1061" s="189">
        <f>VLOOKUP(H1061,'HW Dx Data'!$E:$F,2,FALSE)</f>
        <v>675.61463308665782</v>
      </c>
      <c r="DN1061" s="183">
        <f>VLOOKUP(H1061,'ECI - Input Price'!$G$17:$H$37,2,FALSE)</f>
        <v>123.75</v>
      </c>
      <c r="DO1061" s="177">
        <f t="shared" ref="DO1061" si="3175">LN(DN1061/DN1060)</f>
        <v>2.0821327813585516E-2</v>
      </c>
      <c r="DP1061" s="183">
        <f>HLOOKUP(H1061,'GDP-PI'!$8:$9,2,FALSE)</f>
        <v>104.639</v>
      </c>
      <c r="DQ1061" s="177">
        <f t="shared" ref="DQ1061" si="3176">LN(DP1061/DP1060)</f>
        <v>9.5254361854427965E-3</v>
      </c>
    </row>
    <row r="1062" spans="1:121" s="167" customFormat="1" ht="21" x14ac:dyDescent="0.35">
      <c r="A1062" s="167" t="s">
        <v>103</v>
      </c>
      <c r="B1062" s="167" t="s">
        <v>103</v>
      </c>
      <c r="C1062" s="167">
        <v>4057146</v>
      </c>
      <c r="D1062" s="168" t="s">
        <v>146</v>
      </c>
      <c r="E1062" s="168"/>
      <c r="F1062" s="198"/>
      <c r="G1062" s="167" t="s">
        <v>22</v>
      </c>
      <c r="H1062" s="169">
        <v>2016</v>
      </c>
      <c r="I1062" s="170"/>
      <c r="J1062" s="166">
        <f>IFERROR(INDEX('Labor Expenditures'!$F$7:$X$91,MATCH($C1062,'Labor Expenditures'!$D$7:$D$91,0),MATCH($G1062,'Labor Expenditures'!$F$5:$X$5,0)),"NA")</f>
        <v>333336.84980707971</v>
      </c>
      <c r="K1062" s="166">
        <f t="shared" si="3135"/>
        <v>2637.1586218914531</v>
      </c>
      <c r="L1062" s="172">
        <f t="shared" si="3142"/>
        <v>-9.5431695613491536E-3</v>
      </c>
      <c r="M1062" s="172">
        <f t="shared" si="3146"/>
        <v>-1.0462313001054137E-3</v>
      </c>
      <c r="N1062" s="196"/>
      <c r="O1062" s="172"/>
      <c r="P1062" s="166">
        <f>IFERROR(INDEX('Non-Labor Expenditures'!$F$7:$AB$91,MATCH($C1062,'Non-Labor Expenditures'!$D$7:$D$91,0),MATCH($G1062,'Non-Labor Expenditures'!$F$5:$AB$5,0)),"NA")</f>
        <v>482734.01725625683</v>
      </c>
      <c r="Q1062" s="166">
        <f t="shared" si="3136"/>
        <v>4565.4650947289174</v>
      </c>
      <c r="R1062" s="172">
        <f t="shared" si="3147"/>
        <v>1.2158203354033729E-3</v>
      </c>
      <c r="S1062" s="172">
        <f t="shared" si="3152"/>
        <v>1.3329211872704477E-4</v>
      </c>
      <c r="T1062" s="172"/>
      <c r="U1062" s="172"/>
      <c r="V1062" s="166">
        <f t="shared" si="3117"/>
        <v>488311.35484164039</v>
      </c>
      <c r="W1062" s="170"/>
      <c r="X1062" s="174">
        <v>23321.376648173467</v>
      </c>
      <c r="Y1062" s="175">
        <v>5.1674829142211595E-2</v>
      </c>
      <c r="Z1062" s="175">
        <f t="shared" si="3153"/>
        <v>5.6651852750416766E-3</v>
      </c>
      <c r="AA1062" s="175"/>
      <c r="AB1062" s="175"/>
      <c r="AC1062" s="170">
        <f t="shared" si="3053"/>
        <v>1304382.221904977</v>
      </c>
      <c r="AD1062" s="175">
        <f t="shared" si="3148"/>
        <v>2.1911201300942568E-2</v>
      </c>
      <c r="AE1062" s="170"/>
      <c r="AF1062" s="170"/>
      <c r="AG1062" s="121">
        <f t="shared" si="3149"/>
        <v>228.78343607534191</v>
      </c>
      <c r="AH1062" s="119">
        <f>+AZ1062/$BB$54</f>
        <v>0.15301950154252253</v>
      </c>
      <c r="AI1062" s="119"/>
      <c r="AJ1062" s="176">
        <f t="shared" si="3154"/>
        <v>35.008327349434389</v>
      </c>
      <c r="AK1062" s="176">
        <f t="shared" si="3155"/>
        <v>0</v>
      </c>
      <c r="AL1062" s="120">
        <f t="shared" si="3137"/>
        <v>0.25555151259288089</v>
      </c>
      <c r="AM1062" s="120">
        <f t="shared" si="3138"/>
        <v>0.3700863206731313</v>
      </c>
      <c r="AN1062" s="120">
        <f t="shared" si="3139"/>
        <v>0.37436216673398776</v>
      </c>
      <c r="AO1062" s="120">
        <f t="shared" si="3143"/>
        <v>1.7179218635778537E-2</v>
      </c>
      <c r="AP1062" s="173">
        <f t="shared" si="3159"/>
        <v>112.61674389742298</v>
      </c>
      <c r="AQ1062" s="175">
        <f t="shared" si="3160"/>
        <v>1.7179218635778589E-2</v>
      </c>
      <c r="AR1062" s="177">
        <f>+AC1062/$AE$54</f>
        <v>0.10963142731349564</v>
      </c>
      <c r="AS1062" s="177">
        <f t="shared" si="3156"/>
        <v>1.88338225917101E-3</v>
      </c>
      <c r="AT1062" s="177"/>
      <c r="AU1062" s="177"/>
      <c r="AV1062" s="177"/>
      <c r="AW1062" s="190"/>
      <c r="AX1062" s="120"/>
      <c r="AY1062" s="120"/>
      <c r="AZ1062" s="118">
        <f>IFERROR(INDEX('Total Customers'!$F$7:$AB$91,MATCH($C1062,'Total Customers'!$D$7:$D$91,0),MATCH($G1062,'Total Customers'!$F$5:$AB$5,0)),"NA")</f>
        <v>5701384</v>
      </c>
      <c r="BA1062" s="119">
        <f t="shared" si="3118"/>
        <v>5.9818461183052656E-3</v>
      </c>
      <c r="BB1062" s="119"/>
      <c r="BC1062" s="121"/>
      <c r="BD1062" s="119"/>
      <c r="BE1062" s="119"/>
      <c r="BF1062" s="119"/>
      <c r="BG1062" s="173"/>
      <c r="BH1062" s="173"/>
      <c r="BI1062" s="173"/>
      <c r="BJ1062" s="173"/>
      <c r="BK1062" s="173"/>
      <c r="BL1062" s="173"/>
      <c r="BM1062" s="173"/>
      <c r="BN1062" s="173"/>
      <c r="BO1062" s="173"/>
      <c r="BP1062" s="173"/>
      <c r="BQ1062" s="118"/>
      <c r="BR1062" s="118"/>
      <c r="BS1062" s="118">
        <f>INDEX('Dist. Plant Gas Additions'!$F$7:$AE$91,MATCH($C1062,'Dist. Plant Gas Additions'!$D$7:$D$91,0),MATCH(Calculation!$G1062,'Dist. Plant Gas Additions'!$F$5:$AE$5,0))</f>
        <v>736668</v>
      </c>
      <c r="BT1062" s="118">
        <f>INDEX('Gen. Plant Additions'!$F$7:$AE$91,MATCH($C1062,'Gen. Plant Additions'!$D$7:$D$91,0),MATCH(Calculation!$G1062,'Gen. Plant Additions'!$F$5:$AE$5,0))</f>
        <v>172543</v>
      </c>
      <c r="BU1062" s="118"/>
      <c r="BV1062" s="118"/>
      <c r="BW1062" s="118">
        <f>INDEX('Dist Plant Depreciation'!$E$7:$AD$94,MATCH($C1062,'Dist Plant Depreciation'!$D$7:$D$94,0),MATCH(Calculation!$G1062,'Dist Plant Depreciation'!$E$5:$AD$5,0))</f>
        <v>3198494</v>
      </c>
      <c r="BX1062" s="118">
        <f>INDEX('Gen. Plant Depreciation'!$E$7:$AD$94,MATCH($C1062,'Gen. Plant Depreciation'!$D$7:$D$94,0),MATCH(Calculation!$G1062,'Gen. Plant Depreciation'!$E$5:$AD$5,0))</f>
        <v>876767</v>
      </c>
      <c r="BY1062" s="118"/>
      <c r="BZ1062" s="118"/>
      <c r="CA1062" s="118"/>
      <c r="CB1062" s="118"/>
      <c r="CC1062" s="118"/>
      <c r="CD1062" s="183"/>
      <c r="CE1062" s="118">
        <f>INDEX('Gross Dx Plant'!$E$7:$AD$91,MATCH($C1062,'Gross Dx Plant'!$D$7:$D$91,0),MATCH(Calculation!$G1062,'Gross Dx Plant'!$E$5:$AD$5,0))</f>
        <v>9452970</v>
      </c>
      <c r="CF1062" s="118">
        <f>INDEX('Gross Gen Plant'!$E$7:$AD$91,MATCH($C1062,'Gross Gen Plant'!$D$7:$D$91,0),MATCH(Calculation!$G1062,'Gross Gen Plant'!$E$5:$AD$5,0))</f>
        <v>1553853</v>
      </c>
      <c r="CG1062" s="118">
        <f t="shared" si="3018"/>
        <v>6931562</v>
      </c>
      <c r="CH1062" s="118"/>
      <c r="CI1062" s="121">
        <v>2016</v>
      </c>
      <c r="CJ1062" s="118"/>
      <c r="CK1062" s="118"/>
      <c r="CL1062" s="118"/>
      <c r="CM1062" s="183"/>
      <c r="CN1062" s="118">
        <f t="shared" si="3119"/>
        <v>909211</v>
      </c>
      <c r="CO1062" s="118">
        <f t="shared" si="3120"/>
        <v>1354.0879323132367</v>
      </c>
      <c r="CP1062" s="186">
        <v>0.88</v>
      </c>
      <c r="CQ1062" s="118">
        <f>+CQ1044*CP1062+CO1045*CP1061+CO1046*CP1060+CO1047*CP1059+CO1048*CP1058+CO1049*CP1057+CO1050*CP1056+CO1051*CP1055+CO1052*CP1054+CO1053*CP1053+CO1054*CP1052+CO1055*CP1051+CO1056*CP1050+CO1057*CP1049+CO1058*CP1048+CO1059*CP1047+CO1060*CP1046+CO1061*CP1045+CO1062</f>
        <v>23321.376648173467</v>
      </c>
      <c r="CR1062" s="119">
        <f t="shared" si="3121"/>
        <v>5.1674829142211595E-2</v>
      </c>
      <c r="CS1062" s="119"/>
      <c r="CT1062" s="177">
        <f t="shared" si="3122"/>
        <v>8.1080442758289396E-3</v>
      </c>
      <c r="CU1062" s="177">
        <f t="shared" si="3130"/>
        <v>7.928900813465577E-3</v>
      </c>
      <c r="CV1062" s="119">
        <f>VLOOKUP($H1062,RoR!$E:$F,2,FALSE)</f>
        <v>3.6658333333333334E-2</v>
      </c>
      <c r="CW1062" s="177">
        <v>1.0483662879041455E-2</v>
      </c>
      <c r="CX1062" s="177">
        <f t="shared" si="3128"/>
        <v>2.6174670454291879E-2</v>
      </c>
      <c r="CY1062" s="177">
        <f t="shared" si="3131"/>
        <v>2.2973040795068046E-2</v>
      </c>
      <c r="CZ1062" s="177">
        <f t="shared" si="3132"/>
        <v>4.301363574220729E-3</v>
      </c>
      <c r="DA1062" s="187">
        <f t="shared" si="3123"/>
        <v>0.84720249999999997</v>
      </c>
      <c r="DB1062" s="188">
        <f t="shared" si="3124"/>
        <v>1.3989193348138562</v>
      </c>
      <c r="DC1062" s="188">
        <f t="shared" si="3125"/>
        <v>0.29302682427824522</v>
      </c>
      <c r="DD1062" s="188">
        <f t="shared" si="3126"/>
        <v>0.76309497491941802</v>
      </c>
      <c r="DE1062" s="188">
        <f t="shared" si="3127"/>
        <v>0.31280857135128509</v>
      </c>
      <c r="DF1062" s="189">
        <f>INDEX('State Tax Lookup'!$D$7:$Z$91,MATCH(Calculation!$C1062,'State Tax Lookup'!$B$7:$B$91,0),MATCH($H1062,'State Tax Lookup'!$D$6:$Z$6,0))</f>
        <v>0.40745999999999999</v>
      </c>
      <c r="DG1062" s="189">
        <v>0.375</v>
      </c>
      <c r="DH1062" s="190">
        <f t="shared" si="3129"/>
        <v>22.048788588393045</v>
      </c>
      <c r="DI1062" s="190">
        <v>21.698134845070339</v>
      </c>
      <c r="DJ1062" s="177"/>
      <c r="DK1062" s="189">
        <f>VLOOKUP($H1062,RoR!$E:$F,2,FALSE)</f>
        <v>3.6658333333333334E-2</v>
      </c>
      <c r="DL1062" s="191">
        <f>HLOOKUP($H1062,'GDP-PI'!$D$8:$CQ$11,3,FALSE)</f>
        <v>1.0483662879041455E-2</v>
      </c>
      <c r="DM1062" s="189">
        <f>VLOOKUP(H1062,'HW Dx Data'!$E:$F,2,FALSE)</f>
        <v>671.45639385971219</v>
      </c>
      <c r="DN1062" s="183">
        <f>VLOOKUP(H1062,'ECI - Input Price'!$G$17:$H$37,2,FALSE)</f>
        <v>126.4</v>
      </c>
      <c r="DO1062" s="177">
        <f t="shared" ref="DO1062" si="3177">LN(DN1062/DN1061)</f>
        <v>2.11880802639575E-2</v>
      </c>
      <c r="DP1062" s="183">
        <f>HLOOKUP(H1062,'GDP-PI'!$8:$9,2,FALSE)</f>
        <v>105.736</v>
      </c>
      <c r="DQ1062" s="177">
        <f t="shared" ref="DQ1062" si="3178">LN(DP1062/DP1061)</f>
        <v>1.0429090367205095E-2</v>
      </c>
    </row>
    <row r="1063" spans="1:121" s="167" customFormat="1" ht="21" x14ac:dyDescent="0.35">
      <c r="A1063" s="167" t="s">
        <v>103</v>
      </c>
      <c r="B1063" s="167" t="s">
        <v>103</v>
      </c>
      <c r="C1063" s="167">
        <v>4057146</v>
      </c>
      <c r="D1063" s="168" t="s">
        <v>146</v>
      </c>
      <c r="E1063" s="168"/>
      <c r="F1063" s="198"/>
      <c r="G1063" s="167" t="s">
        <v>23</v>
      </c>
      <c r="H1063" s="169">
        <v>2017</v>
      </c>
      <c r="I1063" s="170"/>
      <c r="J1063" s="166">
        <f>IFERROR(INDEX('Labor Expenditures'!$F$7:$X$91,MATCH($C1063,'Labor Expenditures'!$D$7:$D$91,0),MATCH($G1063,'Labor Expenditures'!$F$5:$X$5,0)),"NA")</f>
        <v>353436.48538048775</v>
      </c>
      <c r="K1063" s="166">
        <f t="shared" si="3135"/>
        <v>2729.2392693473957</v>
      </c>
      <c r="L1063" s="172">
        <f t="shared" si="3142"/>
        <v>3.4320856481525053E-2</v>
      </c>
      <c r="M1063" s="172">
        <f t="shared" si="3146"/>
        <v>3.8527758348814271E-3</v>
      </c>
      <c r="N1063" s="196"/>
      <c r="O1063" s="172"/>
      <c r="P1063" s="166">
        <f>IFERROR(INDEX('Non-Labor Expenditures'!$F$7:$AB$91,MATCH($C1063,'Non-Labor Expenditures'!$D$7:$D$91,0),MATCH($G1063,'Non-Labor Expenditures'!$F$5:$AB$5,0)),"NA")</f>
        <v>511842.04366063885</v>
      </c>
      <c r="Q1063" s="166">
        <f t="shared" si="3136"/>
        <v>4750.2301014435025</v>
      </c>
      <c r="R1063" s="172">
        <f t="shared" si="3147"/>
        <v>3.9672667680614865E-2</v>
      </c>
      <c r="S1063" s="172">
        <f t="shared" si="3152"/>
        <v>4.4535571374051683E-3</v>
      </c>
      <c r="T1063" s="172"/>
      <c r="U1063" s="172"/>
      <c r="V1063" s="166">
        <f t="shared" si="3117"/>
        <v>464678.56756518513</v>
      </c>
      <c r="W1063" s="170"/>
      <c r="X1063" s="174">
        <v>24437.60590302795</v>
      </c>
      <c r="Y1063" s="175">
        <v>4.6752778683477138E-2</v>
      </c>
      <c r="Z1063" s="175">
        <f t="shared" si="3153"/>
        <v>5.2483531703884853E-3</v>
      </c>
      <c r="AA1063" s="175"/>
      <c r="AB1063" s="175"/>
      <c r="AC1063" s="170">
        <f t="shared" si="3053"/>
        <v>1329957.0966063119</v>
      </c>
      <c r="AD1063" s="175">
        <f t="shared" si="3148"/>
        <v>1.9417148010143829E-2</v>
      </c>
      <c r="AE1063" s="170"/>
      <c r="AF1063" s="170"/>
      <c r="AG1063" s="121">
        <f t="shared" si="3149"/>
        <v>231.5367584480673</v>
      </c>
      <c r="AH1063" s="119">
        <f>+AZ1063/$BB$55</f>
        <v>0.15300615251755159</v>
      </c>
      <c r="AI1063" s="119"/>
      <c r="AJ1063" s="176">
        <f t="shared" si="3154"/>
        <v>35.426548576524489</v>
      </c>
      <c r="AK1063" s="176">
        <f t="shared" si="3155"/>
        <v>0</v>
      </c>
      <c r="AL1063" s="120">
        <f t="shared" si="3137"/>
        <v>0.26575029095476943</v>
      </c>
      <c r="AM1063" s="120">
        <f t="shared" si="3138"/>
        <v>0.38485605661018712</v>
      </c>
      <c r="AN1063" s="120">
        <f t="shared" si="3139"/>
        <v>0.34939365243504339</v>
      </c>
      <c r="AO1063" s="120">
        <f t="shared" si="3143"/>
        <v>4.0839849034790973E-2</v>
      </c>
      <c r="AP1063" s="173">
        <f t="shared" si="3159"/>
        <v>117.31120274235852</v>
      </c>
      <c r="AQ1063" s="175">
        <f t="shared" si="3160"/>
        <v>4.0839849034790973E-2</v>
      </c>
      <c r="AR1063" s="177">
        <f>+AC1063/$AE$55</f>
        <v>0.11225756667685084</v>
      </c>
      <c r="AS1063" s="177">
        <f t="shared" si="3156"/>
        <v>4.5845820760955702E-3</v>
      </c>
      <c r="AT1063" s="177"/>
      <c r="AU1063" s="177"/>
      <c r="AV1063" s="177"/>
      <c r="AW1063" s="190"/>
      <c r="AX1063" s="120"/>
      <c r="AY1063" s="120"/>
      <c r="AZ1063" s="118">
        <f>IFERROR(INDEX('Total Customers'!$F$7:$AB$91,MATCH($C1063,'Total Customers'!$D$7:$D$91,0),MATCH($G1063,'Total Customers'!$F$5:$AB$5,0)),"NA")</f>
        <v>5744043</v>
      </c>
      <c r="BA1063" s="119">
        <f t="shared" si="3118"/>
        <v>7.454365405130745E-3</v>
      </c>
      <c r="BB1063" s="119"/>
      <c r="BC1063" s="121"/>
      <c r="BD1063" s="119"/>
      <c r="BE1063" s="119"/>
      <c r="BF1063" s="119"/>
      <c r="BG1063" s="173"/>
      <c r="BH1063" s="173"/>
      <c r="BI1063" s="173"/>
      <c r="BJ1063" s="173"/>
      <c r="BK1063" s="173"/>
      <c r="BL1063" s="173"/>
      <c r="BM1063" s="173"/>
      <c r="BN1063" s="173"/>
      <c r="BO1063" s="173"/>
      <c r="BP1063" s="173"/>
      <c r="BQ1063" s="118"/>
      <c r="BR1063" s="118"/>
      <c r="BS1063" s="118">
        <f>INDEX('Dist. Plant Gas Additions'!$F$7:$AE$91,MATCH($C1063,'Dist. Plant Gas Additions'!$D$7:$D$91,0),MATCH(Calculation!$G1063,'Dist. Plant Gas Additions'!$F$5:$AE$5,0))</f>
        <v>720721</v>
      </c>
      <c r="BT1063" s="118">
        <f>INDEX('Gen. Plant Additions'!$F$7:$AE$91,MATCH($C1063,'Gen. Plant Additions'!$D$7:$D$91,0),MATCH(Calculation!$G1063,'Gen. Plant Additions'!$F$5:$AE$5,0))</f>
        <v>212108</v>
      </c>
      <c r="BU1063" s="118"/>
      <c r="BV1063" s="118"/>
      <c r="BW1063" s="118">
        <f>INDEX('Dist Plant Depreciation'!$E$7:$AD$94,MATCH($C1063,'Dist Plant Depreciation'!$D$7:$D$94,0),MATCH(Calculation!$G1063,'Dist Plant Depreciation'!$E$5:$AD$5,0))</f>
        <v>3344614</v>
      </c>
      <c r="BX1063" s="118">
        <f>INDEX('Gen. Plant Depreciation'!$E$7:$AD$94,MATCH($C1063,'Gen. Plant Depreciation'!$D$7:$D$94,0),MATCH(Calculation!$G1063,'Gen. Plant Depreciation'!$E$5:$AD$5,0))</f>
        <v>964742</v>
      </c>
      <c r="BY1063" s="118"/>
      <c r="BZ1063" s="118"/>
      <c r="CA1063" s="118"/>
      <c r="CB1063" s="118"/>
      <c r="CC1063" s="118"/>
      <c r="CD1063" s="183"/>
      <c r="CE1063" s="118">
        <f>INDEX('Gross Dx Plant'!$E$7:$AD$91,MATCH($C1063,'Gross Dx Plant'!$D$7:$D$91,0),MATCH(Calculation!$G1063,'Gross Dx Plant'!$E$5:$AD$5,0))</f>
        <v>10180779</v>
      </c>
      <c r="CF1063" s="118">
        <f>INDEX('Gross Gen Plant'!$E$7:$AD$91,MATCH($C1063,'Gross Gen Plant'!$D$7:$D$91,0),MATCH(Calculation!$G1063,'Gross Gen Plant'!$E$5:$AD$5,0))</f>
        <v>1695119</v>
      </c>
      <c r="CG1063" s="118">
        <f t="shared" si="3018"/>
        <v>7566542</v>
      </c>
      <c r="CH1063" s="118"/>
      <c r="CI1063" s="121">
        <v>2017</v>
      </c>
      <c r="CJ1063" s="118"/>
      <c r="CK1063" s="118"/>
      <c r="CL1063" s="118"/>
      <c r="CM1063" s="183"/>
      <c r="CN1063" s="118">
        <f t="shared" si="3119"/>
        <v>932829</v>
      </c>
      <c r="CO1063" s="118">
        <f t="shared" si="3120"/>
        <v>1309.3649263093037</v>
      </c>
      <c r="CP1063" s="186">
        <v>0.87074829931972786</v>
      </c>
      <c r="CQ1063" s="118">
        <f>+CQ1044*CP1063+CO1045*CP1062+CO1046*CP1061+CO1047*CP1060+CO1048*CP1059+CO1049*CP1058+CO1050*CP1057+CO1051*CP1056+CO1052*CP1055+CO1053*CP1054+CO1054*CP1053+CO1055*CP1052+CO1056*CP1051+CO1057*CP1050+CO1058*CP1049+CO1059*CP1048+CO1060*CP1047+CO1061*CP1046+CO1062*CP1045+CO1063</f>
        <v>24437.60590302795</v>
      </c>
      <c r="CR1063" s="119">
        <f t="shared" si="3121"/>
        <v>4.6752778683477138E-2</v>
      </c>
      <c r="CS1063" s="119"/>
      <c r="CT1063" s="177">
        <f t="shared" si="3122"/>
        <v>8.281486739332225E-3</v>
      </c>
      <c r="CU1063" s="177">
        <f t="shared" si="3130"/>
        <v>8.1109338921515357E-3</v>
      </c>
      <c r="CV1063" s="119">
        <f>VLOOKUP($H1063,RoR!$E:$F,2,FALSE)</f>
        <v>3.7433333333333339E-2</v>
      </c>
      <c r="CW1063" s="177">
        <v>1.9056896421275615E-2</v>
      </c>
      <c r="CX1063" s="177">
        <f t="shared" si="3128"/>
        <v>1.8376436912057724E-2</v>
      </c>
      <c r="CY1063" s="177">
        <f t="shared" si="3131"/>
        <v>2.2791007716382088E-2</v>
      </c>
      <c r="CZ1063" s="177">
        <f t="shared" si="3132"/>
        <v>1.3976271617800498E-2</v>
      </c>
      <c r="DA1063" s="187">
        <f t="shared" si="3123"/>
        <v>0.89970250000000007</v>
      </c>
      <c r="DB1063" s="188">
        <f t="shared" si="3124"/>
        <v>1.3699568463593395</v>
      </c>
      <c r="DC1063" s="188">
        <f t="shared" si="3125"/>
        <v>0.30714603739982199</v>
      </c>
      <c r="DD1063" s="188">
        <f t="shared" si="3126"/>
        <v>0.77007188472689425</v>
      </c>
      <c r="DE1063" s="188">
        <f t="shared" si="3127"/>
        <v>0.32402839633793828</v>
      </c>
      <c r="DF1063" s="189">
        <f>INDEX('State Tax Lookup'!$D$7:$Z$91,MATCH(Calculation!$C1063,'State Tax Lookup'!$B$7:$B$91,0),MATCH($H1063,'State Tax Lookup'!$D$6:$Z$6,0))</f>
        <v>0.26745999999999998</v>
      </c>
      <c r="DG1063" s="189">
        <v>0.375</v>
      </c>
      <c r="DH1063" s="190">
        <f t="shared" si="3129"/>
        <v>19.925005910900154</v>
      </c>
      <c r="DI1063" s="190">
        <v>19.649593415726624</v>
      </c>
      <c r="DJ1063" s="177"/>
      <c r="DK1063" s="189">
        <f>VLOOKUP($H1063,RoR!$E:$F,2,FALSE)</f>
        <v>3.7433333333333339E-2</v>
      </c>
      <c r="DL1063" s="191">
        <f>HLOOKUP($H1063,'GDP-PI'!$D$8:$CQ$11,3,FALSE)</f>
        <v>1.9056896421275615E-2</v>
      </c>
      <c r="DM1063" s="189">
        <f>VLOOKUP(H1063,'HW Dx Data'!$E:$F,2,FALSE)</f>
        <v>712.42858370229726</v>
      </c>
      <c r="DN1063" s="183">
        <f>VLOOKUP(H1063,'ECI - Input Price'!$G$17:$H$37,2,FALSE)</f>
        <v>129.5</v>
      </c>
      <c r="DO1063" s="177">
        <f t="shared" ref="DO1063" si="3179">LN(DN1063/DN1062)</f>
        <v>2.4229399426835413E-2</v>
      </c>
      <c r="DP1063" s="183">
        <f>HLOOKUP(H1063,'GDP-PI'!$8:$9,2,FALSE)</f>
        <v>107.751</v>
      </c>
      <c r="DQ1063" s="177">
        <f t="shared" ref="DQ1063" si="3180">LN(DP1063/DP1062)</f>
        <v>1.8877588227745139E-2</v>
      </c>
    </row>
    <row r="1064" spans="1:121" s="167" customFormat="1" ht="21" x14ac:dyDescent="0.35">
      <c r="A1064" s="167" t="s">
        <v>103</v>
      </c>
      <c r="B1064" s="167" t="s">
        <v>103</v>
      </c>
      <c r="C1064" s="167">
        <v>4057146</v>
      </c>
      <c r="D1064" s="168" t="s">
        <v>146</v>
      </c>
      <c r="E1064" s="168"/>
      <c r="F1064" s="198"/>
      <c r="G1064" s="167" t="s">
        <v>24</v>
      </c>
      <c r="H1064" s="169">
        <v>2018</v>
      </c>
      <c r="I1064" s="170"/>
      <c r="J1064" s="166">
        <f>IFERROR(INDEX('Labor Expenditures'!$F$7:$X$91,MATCH($C1064,'Labor Expenditures'!$D$7:$D$91,0),MATCH($G1064,'Labor Expenditures'!$F$5:$X$5,0)),"NA")</f>
        <v>365021.44782177889</v>
      </c>
      <c r="K1064" s="166">
        <f t="shared" si="3135"/>
        <v>2739.3729667675716</v>
      </c>
      <c r="L1064" s="172">
        <f t="shared" si="3142"/>
        <v>3.7061355173377041E-3</v>
      </c>
      <c r="M1064" s="172">
        <f t="shared" si="3146"/>
        <v>4.0422431378281013E-4</v>
      </c>
      <c r="N1064" s="196"/>
      <c r="O1064" s="172"/>
      <c r="P1064" s="166">
        <f>IFERROR(INDEX('Non-Labor Expenditures'!$F$7:$AB$91,MATCH($C1064,'Non-Labor Expenditures'!$D$7:$D$91,0),MATCH($G1064,'Non-Labor Expenditures'!$F$5:$AB$5,0)),"NA")</f>
        <v>528619.23304814287</v>
      </c>
      <c r="Q1064" s="166">
        <f t="shared" si="3136"/>
        <v>4791.6030623823253</v>
      </c>
      <c r="R1064" s="172">
        <f t="shared" si="3147"/>
        <v>8.6719647071906592E-3</v>
      </c>
      <c r="S1064" s="172">
        <f t="shared" si="3152"/>
        <v>9.4584209522672919E-4</v>
      </c>
      <c r="T1064" s="172"/>
      <c r="U1064" s="172"/>
      <c r="V1064" s="166">
        <f t="shared" si="3117"/>
        <v>511394.54760072305</v>
      </c>
      <c r="W1064" s="170"/>
      <c r="X1064" s="174">
        <v>25222.738318619908</v>
      </c>
      <c r="Y1064" s="175">
        <v>3.1622730543617847E-2</v>
      </c>
      <c r="Z1064" s="175">
        <f t="shared" si="3153"/>
        <v>3.449058053634004E-3</v>
      </c>
      <c r="AA1064" s="175"/>
      <c r="AB1064" s="175"/>
      <c r="AC1064" s="170">
        <f t="shared" si="3053"/>
        <v>1405035.2284706449</v>
      </c>
      <c r="AD1064" s="175">
        <f t="shared" si="3148"/>
        <v>5.4915692593344848E-2</v>
      </c>
      <c r="AE1064" s="170"/>
      <c r="AF1064" s="170"/>
      <c r="AG1064" s="121">
        <f t="shared" si="3149"/>
        <v>243.20871466303109</v>
      </c>
      <c r="AH1064" s="119">
        <f>+AZ1064/$BB$56</f>
        <v>0.15254936822894494</v>
      </c>
      <c r="AI1064" s="119"/>
      <c r="AJ1064" s="176">
        <f t="shared" si="3154"/>
        <v>37.101335769619126</v>
      </c>
      <c r="AK1064" s="176">
        <f t="shared" si="3155"/>
        <v>0</v>
      </c>
      <c r="AL1064" s="120">
        <f t="shared" si="3137"/>
        <v>0.25979522820868917</v>
      </c>
      <c r="AM1064" s="120">
        <f t="shared" si="3138"/>
        <v>0.37623201350156549</v>
      </c>
      <c r="AN1064" s="120">
        <f t="shared" si="3139"/>
        <v>0.36397275828974524</v>
      </c>
      <c r="AO1064" s="120">
        <f t="shared" si="3143"/>
        <v>1.5553232791420075E-2</v>
      </c>
      <c r="AP1064" s="173">
        <f t="shared" si="3159"/>
        <v>119.15003400490566</v>
      </c>
      <c r="AQ1064" s="175">
        <f t="shared" si="3160"/>
        <v>1.555323279142006E-2</v>
      </c>
      <c r="AR1064" s="177">
        <f>+AC1064/$AE$56</f>
        <v>0.10906895117348109</v>
      </c>
      <c r="AS1064" s="177">
        <f t="shared" si="3156"/>
        <v>1.6963747879171795E-3</v>
      </c>
      <c r="AT1064" s="177"/>
      <c r="AU1064" s="177"/>
      <c r="AV1064" s="177"/>
      <c r="AW1064" s="190"/>
      <c r="AX1064" s="120"/>
      <c r="AY1064" s="120"/>
      <c r="AZ1064" s="118">
        <f>IFERROR(INDEX('Total Customers'!$F$7:$AB$91,MATCH($C1064,'Total Customers'!$D$7:$D$91,0),MATCH($G1064,'Total Customers'!$F$5:$AB$5,0)),"NA")</f>
        <v>5777076</v>
      </c>
      <c r="BA1064" s="119">
        <f t="shared" si="3118"/>
        <v>5.7343545393703718E-3</v>
      </c>
      <c r="BB1064" s="119"/>
      <c r="BC1064" s="121"/>
      <c r="BD1064" s="119"/>
      <c r="BE1064" s="119"/>
      <c r="BF1064" s="119"/>
      <c r="BG1064" s="173"/>
      <c r="BH1064" s="173"/>
      <c r="BI1064" s="173"/>
      <c r="BJ1064" s="173"/>
      <c r="BK1064" s="173"/>
      <c r="BL1064" s="173"/>
      <c r="BM1064" s="173"/>
      <c r="BN1064" s="173"/>
      <c r="BO1064" s="173"/>
      <c r="BP1064" s="173"/>
      <c r="BQ1064" s="118"/>
      <c r="BR1064" s="118"/>
      <c r="BS1064" s="118">
        <f>INDEX('Dist. Plant Gas Additions'!$F$7:$AE$91,MATCH($C1064,'Dist. Plant Gas Additions'!$D$7:$D$91,0),MATCH(Calculation!$G1064,'Dist. Plant Gas Additions'!$F$5:$AE$5,0))</f>
        <v>588006</v>
      </c>
      <c r="BT1064" s="118">
        <f>INDEX('Gen. Plant Additions'!$F$7:$AE$91,MATCH($C1064,'Gen. Plant Additions'!$D$7:$D$91,0),MATCH(Calculation!$G1064,'Gen. Plant Additions'!$F$5:$AE$5,0))</f>
        <v>161255</v>
      </c>
      <c r="BU1064" s="118"/>
      <c r="BV1064" s="118"/>
      <c r="BW1064" s="118">
        <f>INDEX('Dist Plant Depreciation'!$E$7:$AD$94,MATCH($C1064,'Dist Plant Depreciation'!$D$7:$D$94,0),MATCH(Calculation!$G1064,'Dist Plant Depreciation'!$E$5:$AD$5,0))</f>
        <v>3482276</v>
      </c>
      <c r="BX1064" s="118">
        <f>INDEX('Gen. Plant Depreciation'!$E$7:$AD$94,MATCH($C1064,'Gen. Plant Depreciation'!$D$7:$D$94,0),MATCH(Calculation!$G1064,'Gen. Plant Depreciation'!$E$5:$AD$5,0))</f>
        <v>1102814</v>
      </c>
      <c r="BY1064" s="118"/>
      <c r="BZ1064" s="118"/>
      <c r="CA1064" s="118"/>
      <c r="CB1064" s="118"/>
      <c r="CC1064" s="118"/>
      <c r="CD1064" s="183"/>
      <c r="CE1064" s="118">
        <f>INDEX('Gross Dx Plant'!$E$7:$AD$91,MATCH($C1064,'Gross Dx Plant'!$D$7:$D$91,0),MATCH(Calculation!$G1064,'Gross Dx Plant'!$E$5:$AD$5,0))</f>
        <v>10767621</v>
      </c>
      <c r="CF1064" s="118">
        <f>INDEX('Gross Gen Plant'!$E$7:$AD$91,MATCH($C1064,'Gross Gen Plant'!$D$7:$D$91,0),MATCH(Calculation!$G1064,'Gross Gen Plant'!$E$5:$AD$5,0))</f>
        <v>1824625</v>
      </c>
      <c r="CG1064" s="118">
        <f t="shared" si="3018"/>
        <v>8007156</v>
      </c>
      <c r="CH1064" s="118"/>
      <c r="CI1064" s="121">
        <v>2018</v>
      </c>
      <c r="CJ1064" s="118"/>
      <c r="CK1064" s="118"/>
      <c r="CL1064" s="118"/>
      <c r="CM1064" s="183"/>
      <c r="CN1064" s="118">
        <f t="shared" si="3119"/>
        <v>749261</v>
      </c>
      <c r="CO1064" s="118">
        <f t="shared" si="3120"/>
        <v>992.21900586985726</v>
      </c>
      <c r="CP1064" s="186">
        <v>0.86111111111111116</v>
      </c>
      <c r="CQ1064" s="118">
        <f>+CQ1044*CP1064++CO1045*CP1063+CO1046*CP1062+CO1047*CP1061+CO1048*CP1060+CO1049*CP1059+CO1050*CP1058+CO1051*CP1057+CO1052*CP1056+CO1053*CP1055+CO1054*CP1054+CO1055*CP1053+CO1056*CP1052+CO1057*CP1051+CO1058*CP1050+CO1059*CP1049+CO1060*CP1048+CO1061*CP1047+CO1062*CP1046+CO1063*CP1045+CO1064</f>
        <v>25222.738318619908</v>
      </c>
      <c r="CR1064" s="119">
        <f t="shared" si="3121"/>
        <v>3.1622730543617847E-2</v>
      </c>
      <c r="CS1064" s="119"/>
      <c r="CT1064" s="177">
        <f t="shared" si="3122"/>
        <v>8.4740948479016392E-3</v>
      </c>
      <c r="CU1064" s="177">
        <f t="shared" si="3130"/>
        <v>8.2878752876876013E-3</v>
      </c>
      <c r="CV1064" s="119">
        <f>VLOOKUP($H1064,RoR!$E:$F,2,FALSE)</f>
        <v>3.9299999999999995E-2</v>
      </c>
      <c r="CW1064" s="177">
        <v>2.386056741932796E-2</v>
      </c>
      <c r="CX1064" s="177">
        <f t="shared" si="3128"/>
        <v>1.5439432580672034E-2</v>
      </c>
      <c r="CY1064" s="177">
        <f t="shared" si="3131"/>
        <v>2.2614066320846025E-2</v>
      </c>
      <c r="CZ1064" s="177">
        <f t="shared" si="3132"/>
        <v>3.8270792163076606E-2</v>
      </c>
      <c r="DA1064" s="187">
        <f t="shared" si="3123"/>
        <v>0.89970250000000007</v>
      </c>
      <c r="DB1064" s="188">
        <f t="shared" si="3124"/>
        <v>1.3048868010700074</v>
      </c>
      <c r="DC1064" s="188">
        <f t="shared" si="3125"/>
        <v>0.33886768447837151</v>
      </c>
      <c r="DD1064" s="188">
        <f t="shared" si="3126"/>
        <v>0.78602506232557801</v>
      </c>
      <c r="DE1064" s="188">
        <f t="shared" si="3127"/>
        <v>0.34756768162358759</v>
      </c>
      <c r="DF1064" s="189">
        <f>INDEX('State Tax Lookup'!$D$7:$Z$91,MATCH(Calculation!$C1064,'State Tax Lookup'!$B$7:$B$91,0),MATCH($H1064,'State Tax Lookup'!$D$6:$Z$6,0))</f>
        <v>0.26745999999999998</v>
      </c>
      <c r="DG1064" s="189">
        <v>0.375</v>
      </c>
      <c r="DH1064" s="190">
        <f t="shared" si="3129"/>
        <v>20.926540416029809</v>
      </c>
      <c r="DI1064" s="190">
        <v>20.636722626584088</v>
      </c>
      <c r="DJ1064" s="177"/>
      <c r="DK1064" s="189">
        <f>VLOOKUP($H1064,RoR!$E:$F,2,FALSE)</f>
        <v>3.9299999999999995E-2</v>
      </c>
      <c r="DL1064" s="191">
        <f>HLOOKUP($H1064,'GDP-PI'!$D$8:$CQ$11,3,FALSE)</f>
        <v>2.386056741932796E-2</v>
      </c>
      <c r="DM1064" s="189">
        <f>VLOOKUP(H1064,'HW Dx Data'!$E:$F,2,FALSE)</f>
        <v>755.13671434174842</v>
      </c>
      <c r="DN1064" s="183">
        <f>VLOOKUP(H1064,'ECI - Input Price'!$G$17:$H$37,2,FALSE)</f>
        <v>133.25</v>
      </c>
      <c r="DO1064" s="177">
        <f t="shared" ref="DO1064" si="3181">LN(DN1064/DN1063)</f>
        <v>2.8546181906361531E-2</v>
      </c>
      <c r="DP1064" s="183">
        <f>HLOOKUP(H1064,'GDP-PI'!$8:$9,2,FALSE)</f>
        <v>110.322</v>
      </c>
      <c r="DQ1064" s="177">
        <f t="shared" ref="DQ1064" si="3182">LN(DP1064/DP1063)</f>
        <v>2.3580352716508712E-2</v>
      </c>
    </row>
    <row r="1065" spans="1:121" s="167" customFormat="1" ht="21" x14ac:dyDescent="0.35">
      <c r="A1065" s="167" t="s">
        <v>103</v>
      </c>
      <c r="B1065" s="167" t="s">
        <v>103</v>
      </c>
      <c r="C1065" s="167">
        <v>4057146</v>
      </c>
      <c r="D1065" s="168" t="s">
        <v>146</v>
      </c>
      <c r="E1065" s="168"/>
      <c r="F1065" s="198"/>
      <c r="G1065" s="167" t="s">
        <v>25</v>
      </c>
      <c r="H1065" s="169">
        <v>2019</v>
      </c>
      <c r="I1065" s="170"/>
      <c r="J1065" s="166">
        <f>IFERROR(INDEX('Labor Expenditures'!$F$7:$X$91,MATCH($C1065,'Labor Expenditures'!$D$7:$D$91,0),MATCH($G1065,'Labor Expenditures'!$F$5:$X$5,0)),"NA")</f>
        <v>390454.18876962253</v>
      </c>
      <c r="K1065" s="166">
        <f t="shared" si="3135"/>
        <v>2853.1544667126236</v>
      </c>
      <c r="L1065" s="172">
        <f t="shared" si="3142"/>
        <v>4.0696162655126662E-2</v>
      </c>
      <c r="M1065" s="172">
        <f t="shared" si="3146"/>
        <v>4.568451115403091E-3</v>
      </c>
      <c r="N1065" s="196"/>
      <c r="O1065" s="172"/>
      <c r="P1065" s="166">
        <f>IFERROR(INDEX('Non-Labor Expenditures'!$F$7:$AB$91,MATCH($C1065,'Non-Labor Expenditures'!$D$7:$D$91,0),MATCH($G1065,'Non-Labor Expenditures'!$F$5:$AB$5,0)),"NA")</f>
        <v>565450.59212139202</v>
      </c>
      <c r="Q1065" s="166">
        <f t="shared" si="3136"/>
        <v>5034.371980638829</v>
      </c>
      <c r="R1065" s="172">
        <f t="shared" si="3147"/>
        <v>4.9423763644458836E-2</v>
      </c>
      <c r="S1065" s="172">
        <f t="shared" si="3152"/>
        <v>5.5481901343468068E-3</v>
      </c>
      <c r="T1065" s="172"/>
      <c r="U1065" s="172"/>
      <c r="V1065" s="166">
        <f t="shared" si="3117"/>
        <v>535463.25871951971</v>
      </c>
      <c r="W1065" s="170"/>
      <c r="X1065" s="174">
        <v>25955.284025264853</v>
      </c>
      <c r="Y1065" s="175">
        <v>2.8629310300199756E-2</v>
      </c>
      <c r="Z1065" s="175">
        <f t="shared" si="3153"/>
        <v>3.2138559520351342E-3</v>
      </c>
      <c r="AA1065" s="175"/>
      <c r="AB1065" s="175"/>
      <c r="AC1065" s="170">
        <f t="shared" si="3053"/>
        <v>1491368.0396105342</v>
      </c>
      <c r="AD1065" s="175">
        <f t="shared" si="3148"/>
        <v>5.9631469991536193E-2</v>
      </c>
      <c r="AE1065" s="170"/>
      <c r="AF1065" s="170"/>
      <c r="AG1065" s="121">
        <f t="shared" si="3149"/>
        <v>256.59114602395363</v>
      </c>
      <c r="AH1065" s="119">
        <f>+AZ1065/$BB$57</f>
        <v>0.15222213329279827</v>
      </c>
      <c r="AI1065" s="119"/>
      <c r="AJ1065" s="176">
        <f t="shared" si="3154"/>
        <v>39.058851631810136</v>
      </c>
      <c r="AK1065" s="176">
        <f t="shared" si="3155"/>
        <v>0</v>
      </c>
      <c r="AL1065" s="120">
        <f t="shared" si="3137"/>
        <v>0.26180941149281189</v>
      </c>
      <c r="AM1065" s="120">
        <f t="shared" si="3138"/>
        <v>0.37914892709452025</v>
      </c>
      <c r="AN1065" s="120">
        <f t="shared" si="3139"/>
        <v>0.35904166141266791</v>
      </c>
      <c r="AO1065" s="120">
        <f t="shared" si="3143"/>
        <v>3.9630240250845106E-2</v>
      </c>
      <c r="AP1065" s="173">
        <f t="shared" si="3159"/>
        <v>123.96679273195575</v>
      </c>
      <c r="AQ1065" s="175">
        <f t="shared" si="3160"/>
        <v>3.9630240250845099E-2</v>
      </c>
      <c r="AR1065" s="177">
        <f>+AC1065/$AE$57</f>
        <v>0.11225754020391857</v>
      </c>
      <c r="AS1065" s="177">
        <f t="shared" si="3156"/>
        <v>4.4487932882501958E-3</v>
      </c>
      <c r="AT1065" s="177"/>
      <c r="AU1065" s="177"/>
      <c r="AV1065" s="177"/>
      <c r="AW1065" s="190"/>
      <c r="AX1065" s="120"/>
      <c r="AY1065" s="120"/>
      <c r="AZ1065" s="118">
        <f>IFERROR(INDEX('Total Customers'!$F$7:$AB$91,MATCH($C1065,'Total Customers'!$D$7:$D$91,0),MATCH($G1065,'Total Customers'!$F$5:$AB$5,0)),"NA")</f>
        <v>5812235</v>
      </c>
      <c r="BA1065" s="119">
        <f t="shared" si="3118"/>
        <v>6.0675061466093951E-3</v>
      </c>
      <c r="BB1065" s="119"/>
      <c r="BC1065" s="121"/>
      <c r="BD1065" s="119"/>
      <c r="BE1065" s="119"/>
      <c r="BF1065" s="119"/>
      <c r="BG1065" s="173"/>
      <c r="BH1065" s="173"/>
      <c r="BI1065" s="173"/>
      <c r="BJ1065" s="173"/>
      <c r="BK1065" s="173"/>
      <c r="BL1065" s="173"/>
      <c r="BM1065" s="173"/>
      <c r="BN1065" s="173"/>
      <c r="BO1065" s="173"/>
      <c r="BP1065" s="173"/>
      <c r="BQ1065" s="118"/>
      <c r="BR1065" s="118"/>
      <c r="BS1065" s="118">
        <f>INDEX('Dist. Plant Gas Additions'!$F$7:$AE$91,MATCH($C1065,'Dist. Plant Gas Additions'!$D$7:$D$91,0),MATCH(Calculation!$G1065,'Dist. Plant Gas Additions'!$F$5:$AE$5,0))</f>
        <v>590467</v>
      </c>
      <c r="BT1065" s="118">
        <f>INDEX('Gen. Plant Additions'!$F$7:$AE$91,MATCH($C1065,'Gen. Plant Additions'!$D$7:$D$91,0),MATCH(Calculation!$G1065,'Gen. Plant Additions'!$F$5:$AE$5,0))</f>
        <v>146442</v>
      </c>
      <c r="BU1065" s="118"/>
      <c r="BV1065" s="118"/>
      <c r="BW1065" s="118">
        <f>INDEX('Dist Plant Depreciation'!$E$7:$AD$94,MATCH($C1065,'Dist Plant Depreciation'!$D$7:$D$94,0),MATCH(Calculation!$G1065,'Dist Plant Depreciation'!$E$5:$AD$5,0))</f>
        <v>3677301</v>
      </c>
      <c r="BX1065" s="118">
        <f>INDEX('Gen. Plant Depreciation'!$E$7:$AD$94,MATCH($C1065,'Gen. Plant Depreciation'!$D$7:$D$94,0),MATCH(Calculation!$G1065,'Gen. Plant Depreciation'!$E$5:$AD$5,0))</f>
        <v>1213595</v>
      </c>
      <c r="BY1065" s="118"/>
      <c r="BZ1065" s="118"/>
      <c r="CA1065" s="118"/>
      <c r="CB1065" s="118"/>
      <c r="CC1065" s="118"/>
      <c r="CD1065" s="183"/>
      <c r="CE1065" s="118">
        <f>INDEX('Gross Dx Plant'!$E$7:$AD$91,MATCH($C1065,'Gross Dx Plant'!$D$7:$D$91,0),MATCH(Calculation!$G1065,'Gross Dx Plant'!$E$5:$AD$5,0))</f>
        <v>11397559</v>
      </c>
      <c r="CF1065" s="118">
        <f>INDEX('Gross Gen Plant'!$E$7:$AD$91,MATCH($C1065,'Gross Gen Plant'!$D$7:$D$91,0),MATCH(Calculation!$G1065,'Gross Gen Plant'!$E$5:$AD$5,0))</f>
        <v>1905330</v>
      </c>
      <c r="CG1065" s="118">
        <f t="shared" si="3018"/>
        <v>8411993</v>
      </c>
      <c r="CH1065" s="118"/>
      <c r="CI1065" s="121">
        <v>2019</v>
      </c>
      <c r="CJ1065" s="118"/>
      <c r="CK1065" s="118"/>
      <c r="CL1065" s="118"/>
      <c r="CM1065" s="183"/>
      <c r="CN1065" s="118">
        <f t="shared" si="3119"/>
        <v>736909</v>
      </c>
      <c r="CO1065" s="118">
        <f t="shared" si="3120"/>
        <v>952.64584742240527</v>
      </c>
      <c r="CP1065" s="186">
        <v>0.85106382978723405</v>
      </c>
      <c r="CQ1065" s="118">
        <f>CQ1044*CP1065+CO1045*CP1064+CO1046*CP1063+CO1047*CP1062+CO1048*CP1061+CO1049*CP1060+CO1050*CP1059+CO1051*CP1058+CO1052*CP1057+CO1053*CP1056+CO1054*CP1055+CO1055*CP1054+CO1056*CP1053+CO1057*CP1052+CO1058*CP1051+CO1059*CP1050+CO1060*CP1049+CO1061*CP1048+CO1062*CP1047+CO1063*CP1046+CO1064*CP1045+CO1065</f>
        <v>25955.284025264853</v>
      </c>
      <c r="CR1065" s="119">
        <f t="shared" si="3121"/>
        <v>2.8629310300199756E-2</v>
      </c>
      <c r="CS1065" s="119"/>
      <c r="CT1065" s="177">
        <f t="shared" si="3122"/>
        <v>8.7262587430872972E-3</v>
      </c>
      <c r="CU1065" s="177">
        <f t="shared" si="3130"/>
        <v>8.4939467767737205E-3</v>
      </c>
      <c r="CV1065" s="119">
        <f>VLOOKUP($H1065,RoR!$E:$F,2,FALSE)</f>
        <v>3.3875000000000009E-2</v>
      </c>
      <c r="CW1065" s="177">
        <v>1.8092492884465461E-2</v>
      </c>
      <c r="CX1065" s="177">
        <f t="shared" si="3128"/>
        <v>1.5782507115534548E-2</v>
      </c>
      <c r="CY1065" s="177">
        <f t="shared" si="3131"/>
        <v>2.2407994831759905E-2</v>
      </c>
      <c r="CZ1065" s="177">
        <f t="shared" si="3132"/>
        <v>4.8445665544254078E-2</v>
      </c>
      <c r="DA1065" s="187">
        <f t="shared" si="3123"/>
        <v>0.89970250000000007</v>
      </c>
      <c r="DB1065" s="188">
        <f t="shared" si="3124"/>
        <v>1.513861292459078</v>
      </c>
      <c r="DC1065" s="188">
        <f t="shared" si="3125"/>
        <v>0.23699261992619944</v>
      </c>
      <c r="DD1065" s="188">
        <f t="shared" si="3126"/>
        <v>0.73619765810468829</v>
      </c>
      <c r="DE1065" s="188">
        <f t="shared" si="3127"/>
        <v>0.26412854465362851</v>
      </c>
      <c r="DF1065" s="189">
        <f>INDEX('State Tax Lookup'!$D$7:$Z$91,MATCH(Calculation!$C1065,'State Tax Lookup'!$B$7:$B$91,0),MATCH($H1065,'State Tax Lookup'!$D$6:$Z$6,0))</f>
        <v>0.26745999999999998</v>
      </c>
      <c r="DG1065" s="189">
        <v>0.375</v>
      </c>
      <c r="DH1065" s="190">
        <f t="shared" si="3129"/>
        <v>21.229386435184576</v>
      </c>
      <c r="DI1065" s="190">
        <v>20.899939045960576</v>
      </c>
      <c r="DJ1065" s="177"/>
      <c r="DK1065" s="189">
        <f>VLOOKUP($H1065,RoR!$E:$F,2,FALSE)</f>
        <v>3.3875000000000009E-2</v>
      </c>
      <c r="DL1065" s="191">
        <f>HLOOKUP($H1065,'GDP-PI'!$D$8:$CQ$11,3,FALSE)</f>
        <v>1.8092492884465461E-2</v>
      </c>
      <c r="DM1065" s="189">
        <f>VLOOKUP(H1065,'HW Dx Data'!$E:$F,2,FALSE)</f>
        <v>773.53929793938721</v>
      </c>
      <c r="DN1065" s="183">
        <f>VLOOKUP(H1065,'ECI - Input Price'!$G$17:$H$37,2,FALSE)</f>
        <v>136.85</v>
      </c>
      <c r="DO1065" s="177">
        <f t="shared" ref="DO1065" si="3183">LN(DN1065/DN1064)</f>
        <v>2.6658372440734168E-2</v>
      </c>
      <c r="DP1065" s="183">
        <f>HLOOKUP(H1065,'GDP-PI'!$8:$9,2,FALSE)</f>
        <v>112.318</v>
      </c>
      <c r="DQ1065" s="177">
        <f t="shared" ref="DQ1065" si="3184">LN(DP1065/DP1064)</f>
        <v>1.7930771451401852E-2</v>
      </c>
    </row>
    <row r="1066" spans="1:121" s="167" customFormat="1" ht="21" x14ac:dyDescent="0.35">
      <c r="A1066" s="167" t="s">
        <v>103</v>
      </c>
      <c r="B1066" s="167" t="s">
        <v>103</v>
      </c>
      <c r="C1066" s="167">
        <v>4057146</v>
      </c>
      <c r="D1066" s="167" t="s">
        <v>146</v>
      </c>
      <c r="G1066" s="168" t="s">
        <v>26</v>
      </c>
      <c r="H1066" s="169">
        <v>2020</v>
      </c>
      <c r="I1066" s="170"/>
      <c r="J1066" s="166">
        <v>499454</v>
      </c>
      <c r="K1066" s="166">
        <f t="shared" si="3135"/>
        <v>3556.098255606978</v>
      </c>
      <c r="L1066" s="172">
        <f t="shared" si="3142"/>
        <v>0.22023873558467272</v>
      </c>
      <c r="M1066" s="172">
        <f t="shared" si="3146"/>
        <v>2.8887129581200464E-2</v>
      </c>
      <c r="N1066" s="196"/>
      <c r="O1066" s="172"/>
      <c r="P1066" s="166">
        <v>723302</v>
      </c>
      <c r="Q1066" s="166">
        <f t="shared" si="3136"/>
        <v>6365.8062188113317</v>
      </c>
      <c r="R1066" s="172">
        <f t="shared" si="3147"/>
        <v>0.23465210073917844</v>
      </c>
      <c r="S1066" s="172">
        <f t="shared" si="3152"/>
        <v>3.0777626935419484E-2</v>
      </c>
      <c r="T1066" s="172"/>
      <c r="U1066" s="172"/>
      <c r="V1066" s="166">
        <f t="shared" si="3117"/>
        <v>573737.5072851018</v>
      </c>
      <c r="W1066" s="170"/>
      <c r="X1066" s="174">
        <v>26628.046922826896</v>
      </c>
      <c r="Y1066" s="175">
        <v>2.5589843690292591E-2</v>
      </c>
      <c r="Z1066" s="175">
        <f t="shared" si="3153"/>
        <v>3.3564355910495527E-3</v>
      </c>
      <c r="AA1066" s="175"/>
      <c r="AB1066" s="175"/>
      <c r="AC1066" s="170">
        <f t="shared" si="3053"/>
        <v>1796493.5072851018</v>
      </c>
      <c r="AD1066" s="175">
        <f t="shared" si="3148"/>
        <v>0.18614286736617977</v>
      </c>
      <c r="AE1066" s="170"/>
      <c r="AF1066" s="170"/>
      <c r="AG1066" s="121">
        <f t="shared" si="3149"/>
        <v>309.08824355606782</v>
      </c>
      <c r="AH1066" s="119">
        <f>+AZ1066/$BB$58</f>
        <v>0.15115191724241811</v>
      </c>
      <c r="AI1066" s="119"/>
      <c r="AJ1066" s="176">
        <f t="shared" si="3154"/>
        <v>46.719280610591134</v>
      </c>
      <c r="AK1066" s="176">
        <f t="shared" si="3155"/>
        <v>0</v>
      </c>
      <c r="AL1066" s="120">
        <f t="shared" si="3137"/>
        <v>0.27801603399880093</v>
      </c>
      <c r="AM1066" s="120">
        <f t="shared" si="3138"/>
        <v>0.40261876653986295</v>
      </c>
      <c r="AN1066" s="120">
        <f t="shared" si="3139"/>
        <v>0.31936519946133612</v>
      </c>
      <c r="AO1066" s="120">
        <f t="shared" si="3143"/>
        <v>0.15984711534051191</v>
      </c>
      <c r="AP1066" s="173">
        <f t="shared" si="3159"/>
        <v>145.45413950636029</v>
      </c>
      <c r="AQ1066" s="175">
        <f t="shared" si="3160"/>
        <v>0.15984711534051183</v>
      </c>
      <c r="AR1066" s="177">
        <f>+AC1066/$AE$58</f>
        <v>0.13116280160487279</v>
      </c>
      <c r="AS1066" s="177">
        <f t="shared" si="3156"/>
        <v>2.096599547651877E-2</v>
      </c>
      <c r="AT1066" s="177"/>
      <c r="AU1066" s="177"/>
      <c r="AV1066" s="177"/>
      <c r="AW1066" s="190"/>
      <c r="AX1066" s="120"/>
      <c r="AY1066" s="120"/>
      <c r="AZ1066" s="118">
        <v>5812235</v>
      </c>
      <c r="BA1066" s="119">
        <f t="shared" si="3118"/>
        <v>0</v>
      </c>
      <c r="BB1066" s="119"/>
      <c r="BC1066" s="121"/>
      <c r="BD1066" s="119"/>
      <c r="BE1066" s="119"/>
      <c r="BF1066" s="119"/>
      <c r="BG1066" s="173"/>
      <c r="BH1066" s="173"/>
      <c r="BI1066" s="173"/>
      <c r="BJ1066" s="173"/>
      <c r="BK1066" s="173"/>
      <c r="BL1066" s="173"/>
      <c r="BM1066" s="173"/>
      <c r="BN1066" s="173"/>
      <c r="BO1066" s="173"/>
      <c r="BP1066" s="173"/>
      <c r="BQ1066" s="118"/>
      <c r="BR1066" s="118"/>
      <c r="BS1066" s="118" t="str">
        <f>INDEX('Dist. Plant Gas Additions'!$F$7:$AE$91,MATCH($C1066,'Dist. Plant Gas Additions'!$D$7:$D$91,0),MATCH(Calculation!$G1066,'Dist. Plant Gas Additions'!$F$5:$AE$5,0))</f>
        <v>NA</v>
      </c>
      <c r="BT1066" s="118" t="str">
        <f>INDEX('Gen. Plant Additions'!$F$7:$AE$91,MATCH($C1066,'Gen. Plant Additions'!$D$7:$D$91,0),MATCH(Calculation!$G1066,'Gen. Plant Additions'!$F$5:$AE$5,0))</f>
        <v>NA</v>
      </c>
      <c r="BU1066" s="118"/>
      <c r="BV1066" s="118"/>
      <c r="BW1066" s="118" t="str">
        <f>INDEX('Dist Plant Depreciation'!$E$7:$AD$94,MATCH($C1066,'Dist Plant Depreciation'!$D$7:$D$94,0),MATCH(Calculation!$G1066,'Dist Plant Depreciation'!$E$5:$AD$5,0))</f>
        <v>NA</v>
      </c>
      <c r="BX1066" s="118" t="str">
        <f>INDEX('Gen. Plant Depreciation'!$E$7:$AD$94,MATCH($C1066,'Gen. Plant Depreciation'!$D$7:$D$94,0),MATCH(Calculation!$G1066,'Gen. Plant Depreciation'!$E$5:$AD$5,0))</f>
        <v>NA</v>
      </c>
      <c r="BY1066" s="118"/>
      <c r="BZ1066" s="118"/>
      <c r="CA1066" s="118"/>
      <c r="CB1066" s="118"/>
      <c r="CC1066" s="118"/>
      <c r="CD1066" s="183"/>
      <c r="CE1066" s="118" t="str">
        <f>INDEX('Gross Dx Plant'!$E$7:$AD$91,MATCH($C1066,'Gross Dx Plant'!$D$7:$D$91,0),MATCH(Calculation!$G1066,'Gross Dx Plant'!$E$5:$AD$5,0))</f>
        <v>NA</v>
      </c>
      <c r="CF1066" s="118" t="str">
        <f>INDEX('Gross Gen Plant'!$E$7:$AD$91,MATCH($C1066,'Gross Gen Plant'!$D$7:$D$91,0),MATCH(Calculation!$G1066,'Gross Gen Plant'!$E$5:$AD$5,0))</f>
        <v>NA</v>
      </c>
      <c r="CG1066" s="118" t="str">
        <f t="shared" si="3018"/>
        <v>NA</v>
      </c>
      <c r="CH1066" s="118"/>
      <c r="CI1066" s="121">
        <v>2020</v>
      </c>
      <c r="CJ1066" s="118"/>
      <c r="CK1066" s="118"/>
      <c r="CL1066" s="118"/>
      <c r="CM1066" s="183"/>
      <c r="CN1066" s="118">
        <v>736909</v>
      </c>
      <c r="CO1066" s="118">
        <f t="shared" si="3120"/>
        <v>906.31777040472366</v>
      </c>
      <c r="CP1066" s="186">
        <v>0.84057971014492749</v>
      </c>
      <c r="CQ1066" s="118">
        <f>CQ1044*CP1066+CO1045*CP1065+CO1046*CP1064+CO1047*CP1063+CO1048*CP1062+CO1049*CP1061+CO1050*CP1060+CO1051*CP1059+CO1052*CP1058+CO1053*CP1057+CO1054*CP1056+CO1055*CP1055+CO1056*CP1054+CO1057*CP1053+CO1058*CP1052+CO1059*CP1051+CO1060*CP1050+CO1061*CP1049+CO1062*CP1048+CO1063*CP1047+CO1064*CP1046+CO1065*CP1045+CO1066</f>
        <v>26628.046922826896</v>
      </c>
      <c r="CR1066" s="119">
        <f t="shared" si="3121"/>
        <v>2.5589843690292591E-2</v>
      </c>
      <c r="CS1066" s="119"/>
      <c r="CT1066" s="177">
        <f t="shared" si="3122"/>
        <v>8.9983555030774751E-3</v>
      </c>
      <c r="CU1066" s="177">
        <f t="shared" si="3130"/>
        <v>8.7329030313554705E-3</v>
      </c>
      <c r="CV1066" s="119">
        <f>VLOOKUP($H1066,RoR!$E:$F,2,FALSE)</f>
        <v>2.4766666666666666E-2</v>
      </c>
      <c r="CW1066" s="177">
        <v>1.1618796630994188E-2</v>
      </c>
      <c r="CX1066" s="177">
        <f t="shared" si="3128"/>
        <v>1.3147870035672478E-2</v>
      </c>
      <c r="CY1066" s="177">
        <f t="shared" si="3131"/>
        <v>2.2169038577178155E-2</v>
      </c>
      <c r="CZ1066" s="177">
        <f t="shared" si="3132"/>
        <v>4.5144642961987357E-2</v>
      </c>
      <c r="DA1066" s="187">
        <f t="shared" si="3123"/>
        <v>0.89931249999999996</v>
      </c>
      <c r="DB1066" s="188">
        <f t="shared" si="3124"/>
        <v>2.0706077233668081</v>
      </c>
      <c r="DC1066" s="188">
        <f t="shared" si="3125"/>
        <v>-3.4421265141318998E-2</v>
      </c>
      <c r="DD1066" s="188">
        <f t="shared" si="3126"/>
        <v>0.62416226176410472</v>
      </c>
      <c r="DE1066" s="188">
        <f t="shared" si="3127"/>
        <v>-4.4485877841158712E-2</v>
      </c>
      <c r="DF1066" s="189">
        <v>0.26849999999999996</v>
      </c>
      <c r="DG1066" s="189">
        <v>0.375</v>
      </c>
      <c r="DH1066" s="190">
        <f t="shared" si="3129"/>
        <v>22.104844112922294</v>
      </c>
      <c r="DI1066" s="190">
        <v>21.765400614372467</v>
      </c>
      <c r="DJ1066" s="177"/>
      <c r="DK1066" s="189">
        <f>VLOOKUP($H1066,RoR!$E:$F,2,FALSE)</f>
        <v>2.4766666666666666E-2</v>
      </c>
      <c r="DL1066" s="191">
        <f>HLOOKUP($H1066,'GDP-PI'!$D$8:$CQ$11,3,FALSE)</f>
        <v>1.1618796630994188E-2</v>
      </c>
      <c r="DM1066" s="189">
        <f>VLOOKUP(H1066,'HW Dx Data'!$E:$F,2,FALSE)</f>
        <v>813.080162458833</v>
      </c>
      <c r="DN1066" s="183">
        <f>VLOOKUP(H1066,'ECI - Input Price'!$G$17:$H$37,2,FALSE)</f>
        <v>140.44999999999999</v>
      </c>
      <c r="DO1066" s="177">
        <f t="shared" ref="DO1066" si="3185">LN(DN1066/DN1065)</f>
        <v>2.5966118063564539E-2</v>
      </c>
      <c r="DP1066" s="183">
        <f>HLOOKUP(H1066,'GDP-PI'!$8:$9,2,FALSE)</f>
        <v>113.623</v>
      </c>
      <c r="DQ1066" s="177">
        <f t="shared" ref="DQ1066" si="3186">LN(DP1066/DP1065)</f>
        <v>1.1551816731392881E-2</v>
      </c>
    </row>
    <row r="1067" spans="1:121" s="167" customFormat="1" ht="21" x14ac:dyDescent="0.35">
      <c r="A1067" s="167" t="s">
        <v>103</v>
      </c>
      <c r="B1067" s="167" t="s">
        <v>103</v>
      </c>
      <c r="C1067" s="167">
        <v>4057146</v>
      </c>
      <c r="D1067" s="167" t="s">
        <v>146</v>
      </c>
      <c r="G1067" s="168" t="s">
        <v>462</v>
      </c>
      <c r="H1067" s="169">
        <v>2021</v>
      </c>
      <c r="I1067" s="170"/>
      <c r="J1067" s="166">
        <v>552931</v>
      </c>
      <c r="K1067" s="166">
        <f t="shared" si="3135"/>
        <v>3800.8661282007211</v>
      </c>
      <c r="L1067" s="171">
        <f t="shared" si="3142"/>
        <v>6.6565021028939284E-2</v>
      </c>
      <c r="M1067" s="172">
        <f t="shared" si="3146"/>
        <v>8.7241258044013816E-3</v>
      </c>
      <c r="N1067" s="196"/>
      <c r="O1067" s="172"/>
      <c r="P1067" s="166">
        <v>779432</v>
      </c>
      <c r="Q1067" s="166">
        <f t="shared" si="3136"/>
        <v>6578.0403409570426</v>
      </c>
      <c r="R1067" s="172">
        <f t="shared" si="3147"/>
        <v>3.2795992083400179E-2</v>
      </c>
      <c r="S1067" s="172">
        <f t="shared" si="3152"/>
        <v>4.2982989623235488E-3</v>
      </c>
      <c r="T1067" s="172"/>
      <c r="U1067" s="172"/>
      <c r="V1067" s="166">
        <f t="shared" si="3117"/>
        <v>600591.16135074594</v>
      </c>
      <c r="W1067" s="170"/>
      <c r="X1067" s="174">
        <v>27302.497888456684</v>
      </c>
      <c r="Y1067" s="175"/>
      <c r="Z1067" s="175">
        <f t="shared" si="3153"/>
        <v>0</v>
      </c>
      <c r="AA1067" s="175"/>
      <c r="AB1067" s="175"/>
      <c r="AC1067" s="170">
        <f t="shared" si="3053"/>
        <v>1932954.1613507459</v>
      </c>
      <c r="AD1067" s="175">
        <f t="shared" si="3148"/>
        <v>7.3212772736604301E-2</v>
      </c>
      <c r="AE1067" s="118"/>
      <c r="AF1067" s="119"/>
      <c r="AG1067" s="121">
        <f t="shared" si="3149"/>
        <v>317.04061748294055</v>
      </c>
      <c r="AH1067" s="119">
        <f>+AZ1067/$BB$59</f>
        <v>0.15642545899041366</v>
      </c>
      <c r="AI1067" s="119"/>
      <c r="AJ1067" s="176">
        <f t="shared" si="3154"/>
        <v>49.593224108373143</v>
      </c>
      <c r="AK1067" s="176">
        <f t="shared" si="3155"/>
        <v>0</v>
      </c>
      <c r="AL1067" s="120">
        <f t="shared" si="3137"/>
        <v>0.28605489517330951</v>
      </c>
      <c r="AM1067" s="120">
        <f t="shared" si="3138"/>
        <v>0.40323356631247476</v>
      </c>
      <c r="AN1067" s="120">
        <f t="shared" si="3139"/>
        <v>0.31071153851421579</v>
      </c>
      <c r="AO1067" s="120">
        <f t="shared" si="3143"/>
        <v>3.1988059995384843E-2</v>
      </c>
      <c r="AP1067" s="173">
        <f t="shared" si="3159"/>
        <v>150.18215207311565</v>
      </c>
      <c r="AQ1067" s="175">
        <f t="shared" si="3160"/>
        <v>3.1988059995384913E-2</v>
      </c>
      <c r="AR1067" s="177">
        <f>+AC1067/$AE$59</f>
        <v>0.13106171483981879</v>
      </c>
      <c r="AS1067" s="177">
        <f t="shared" si="3156"/>
        <v>4.1924099973941528E-3</v>
      </c>
      <c r="AT1067" s="177"/>
      <c r="AU1067" s="177"/>
      <c r="AV1067" s="177"/>
      <c r="AW1067" s="190"/>
      <c r="AX1067" s="120"/>
      <c r="AY1067" s="120"/>
      <c r="AZ1067" s="118">
        <f>INDEX('Total Customers'!$E$7:$E$91,MATCH(Calculation!$C1067,'Total Customers'!$D$7:$D$91,0))</f>
        <v>6096866</v>
      </c>
      <c r="BA1067" s="119">
        <f t="shared" si="3118"/>
        <v>4.7809690185874838E-2</v>
      </c>
      <c r="BB1067" s="118"/>
      <c r="BC1067" s="121"/>
      <c r="BD1067" s="118"/>
      <c r="BE1067" s="119"/>
      <c r="BF1067" s="119"/>
      <c r="BG1067" s="173"/>
      <c r="BH1067" s="173"/>
      <c r="BI1067" s="173"/>
      <c r="BJ1067" s="173"/>
      <c r="BK1067" s="173"/>
      <c r="BL1067" s="173"/>
      <c r="BM1067" s="173"/>
      <c r="BN1067" s="173"/>
      <c r="BO1067" s="173"/>
      <c r="BP1067" s="173"/>
      <c r="BQ1067" s="118"/>
      <c r="BR1067" s="118"/>
      <c r="BS1067" s="118">
        <f>INDEX('Dist. Plant Gas Additions'!$E$7:$AE$91,MATCH($C1067,'Dist. Plant Gas Additions'!$D$7:$D$91,0),MATCH(Calculation!$G1067,'Dist. Plant Gas Additions'!$E$5:$AE$5,0))</f>
        <v>773734.55299999996</v>
      </c>
      <c r="BT1067" s="118">
        <f>INDEX('Gen. Plant Additions'!$E$7:$AE$91,MATCH($C1067,'Gen. Plant Additions'!$D$7:$D$91,0),MATCH(Calculation!$G1067,'Gen. Plant Additions'!$E$5:$AE$5,0))</f>
        <v>246919.97399999999</v>
      </c>
      <c r="BU1067" s="118"/>
      <c r="BV1067" s="118"/>
      <c r="BW1067" s="118"/>
      <c r="BX1067" s="118"/>
      <c r="BY1067" s="183"/>
      <c r="BZ1067" s="183"/>
      <c r="CA1067" s="178"/>
      <c r="CB1067" s="184"/>
      <c r="CC1067" s="185"/>
      <c r="CD1067" s="185"/>
      <c r="CE1067" s="118"/>
      <c r="CF1067" s="118"/>
      <c r="CG1067" s="118"/>
      <c r="CH1067" s="118"/>
      <c r="CI1067" s="121">
        <v>2021</v>
      </c>
      <c r="CJ1067" s="118"/>
      <c r="CK1067" s="118"/>
      <c r="CL1067" s="118"/>
      <c r="CM1067" s="183"/>
      <c r="CN1067" s="118">
        <f t="shared" ref="CN1067" si="3187">+BT1067+BS1067</f>
        <v>1020654.527</v>
      </c>
      <c r="CO1067" s="118">
        <f t="shared" si="3120"/>
        <v>1093.922738044314</v>
      </c>
      <c r="CP1067" s="186">
        <f>+(51-23)/(51-23*0.75)</f>
        <v>0.82962962962962961</v>
      </c>
      <c r="CQ1067" s="118">
        <f>CQ1044*CP1067+CO1045*CP1066+CO1046*CP1065+CO1047*CP1064+CO1048*CP1063+CO1049*CP1062+CO1050*CP1061+CO1051*CP1060+CO1052*CP1059+CO1053*CP1058+CO1054*CP1057+CO1055*CP1056+CO1056*CP1055+CO1057*CP1054+CO1058*CP1053+CO1049*CP1052+CO1060*CP1051+CO1061*CP1050+CO1062*CP1049+CO1063*CP1048+CO1064*CP1047+CO1065*CP1046+CO1067+CO1066*CP1045</f>
        <v>27302.497888456684</v>
      </c>
      <c r="CR1067" s="119"/>
      <c r="CS1067" s="118"/>
      <c r="CT1067" s="177">
        <f t="shared" si="3122"/>
        <v>1.5753005604588036E-2</v>
      </c>
      <c r="CU1067" s="177">
        <f t="shared" si="3130"/>
        <v>1.1159206616917603E-2</v>
      </c>
      <c r="CV1067" s="119">
        <f>VLOOKUP($H1067,RoR!$E:$F,2,FALSE)</f>
        <v>2.7033333333333336E-2</v>
      </c>
      <c r="CW1067" s="177"/>
      <c r="CX1067" s="177"/>
      <c r="CY1067" s="177">
        <f t="shared" si="3131"/>
        <v>1.9742734991616023E-2</v>
      </c>
      <c r="CZ1067" s="177">
        <f t="shared" si="3132"/>
        <v>7.433422950153494E-2</v>
      </c>
      <c r="DA1067" s="187">
        <f t="shared" si="3123"/>
        <v>0.89931249999999996</v>
      </c>
      <c r="DB1067" s="188">
        <f t="shared" si="3124"/>
        <v>1.8969932656739068</v>
      </c>
      <c r="DC1067" s="188">
        <f t="shared" si="3125"/>
        <v>5.0215782983970621E-2</v>
      </c>
      <c r="DD1067" s="188">
        <f t="shared" si="3126"/>
        <v>0.655952481704143</v>
      </c>
      <c r="DE1067" s="188">
        <f t="shared" si="3127"/>
        <v>6.2485378865697057E-2</v>
      </c>
      <c r="DF1067" s="189">
        <f>DF1066</f>
        <v>0.26849999999999996</v>
      </c>
      <c r="DG1067" s="189">
        <v>0.375</v>
      </c>
      <c r="DH1067" s="190">
        <f t="shared" si="3129"/>
        <v>22.554833371421211</v>
      </c>
      <c r="DI1067" s="190"/>
      <c r="DJ1067" s="177">
        <f t="shared" ref="DJ1067" si="3188">LN(DH1067/DH1066)</f>
        <v>2.0152608042253231E-2</v>
      </c>
      <c r="DK1067" s="189">
        <f>VLOOKUP($H1067,RoR!$E:$F,2,FALSE)</f>
        <v>2.7033333333333336E-2</v>
      </c>
      <c r="DL1067" s="191">
        <f>HLOOKUP($H1067,'GDP-PI'!$D$8:$CR$11,3,FALSE)</f>
        <v>4.2834637353352578E-2</v>
      </c>
      <c r="DM1067" s="189">
        <f>VLOOKUP(H1067,'HW Dx Data'!$E:$F,2,FALSE)</f>
        <v>933.02249921662576</v>
      </c>
      <c r="DN1067" s="183">
        <f>VLOOKUP(H1067,'ECI - Input Price'!$G$17:$H$37,2,FALSE)</f>
        <v>145.47500000000002</v>
      </c>
      <c r="DO1067" s="177">
        <f t="shared" ref="DO1067" si="3189">LN(DN1067/DN1066)</f>
        <v>3.5152696992481205E-2</v>
      </c>
      <c r="DP1067" s="183">
        <f>HLOOKUP(H1067,'GDP-PI'!$8:$9,2,FALSE)</f>
        <v>118.49</v>
      </c>
      <c r="DQ1067" s="177">
        <f t="shared" ref="DQ1067" si="3190">LN(DP1067/DP1066)</f>
        <v>4.194261824609434E-2</v>
      </c>
    </row>
    <row r="1068" spans="1:121" s="167" customFormat="1" ht="21" x14ac:dyDescent="0.35">
      <c r="A1068" s="167" t="s">
        <v>104</v>
      </c>
      <c r="B1068" s="167" t="s">
        <v>105</v>
      </c>
      <c r="C1068" s="167">
        <v>4063060</v>
      </c>
      <c r="D1068" s="168" t="s">
        <v>140</v>
      </c>
      <c r="E1068" s="168" t="s">
        <v>126</v>
      </c>
      <c r="F1068" s="198"/>
      <c r="G1068" s="167" t="s">
        <v>4</v>
      </c>
      <c r="H1068" s="169">
        <v>1998</v>
      </c>
      <c r="I1068" s="170"/>
      <c r="J1068" s="166"/>
      <c r="K1068" s="166"/>
      <c r="L1068" s="166"/>
      <c r="M1068" s="166"/>
      <c r="N1068" s="196"/>
      <c r="O1068" s="166"/>
      <c r="P1068" s="172"/>
      <c r="Q1068" s="172"/>
      <c r="R1068" s="172"/>
      <c r="S1068" s="166"/>
      <c r="T1068" s="172"/>
      <c r="U1068" s="172"/>
      <c r="V1068" s="166"/>
      <c r="W1068" s="170"/>
      <c r="X1068" s="174">
        <v>1304.554492673321</v>
      </c>
      <c r="Y1068" s="175"/>
      <c r="Z1068" s="166"/>
      <c r="AA1068" s="175"/>
      <c r="AB1068" s="175"/>
      <c r="AC1068" s="170">
        <f t="shared" si="3053"/>
        <v>0</v>
      </c>
      <c r="AD1068" s="170"/>
      <c r="AE1068" s="170"/>
      <c r="AF1068" s="119"/>
      <c r="AG1068" s="174"/>
      <c r="AH1068" s="175"/>
      <c r="AI1068" s="175"/>
      <c r="AJ1068" s="174"/>
      <c r="AK1068" s="174"/>
      <c r="AL1068" s="120"/>
      <c r="AM1068" s="120"/>
      <c r="AN1068" s="120"/>
      <c r="AO1068" s="120"/>
      <c r="AP1068" s="120"/>
      <c r="AQ1068" s="175">
        <f>AVERAGE(AQ1077:AQ1091)</f>
        <v>9.5672009453129994E-3</v>
      </c>
      <c r="AR1068" s="120"/>
      <c r="AS1068" s="120"/>
      <c r="AT1068" s="120"/>
      <c r="AU1068" s="120"/>
      <c r="AV1068" s="120"/>
      <c r="AW1068" s="120"/>
      <c r="AX1068" s="120"/>
      <c r="AY1068" s="120"/>
      <c r="AZ1068" s="118">
        <f>IFERROR(INDEX('Total Customers'!$F$7:$AB$91,MATCH($C1068,'Total Customers'!$D$7:$D$91,0),MATCH($G1068,'Total Customers'!$F$5:$AB$5,0)),"NA")</f>
        <v>157317</v>
      </c>
      <c r="BA1068" s="119"/>
      <c r="BB1068" s="119"/>
      <c r="BC1068" s="121"/>
      <c r="BD1068" s="119"/>
      <c r="BE1068" s="119"/>
      <c r="BF1068" s="119"/>
      <c r="BG1068" s="173"/>
      <c r="BH1068" s="173"/>
      <c r="BI1068" s="173"/>
      <c r="BJ1068" s="173"/>
      <c r="BK1068" s="173"/>
      <c r="BL1068" s="173"/>
      <c r="BM1068" s="173"/>
      <c r="BN1068" s="173"/>
      <c r="BO1068" s="173"/>
      <c r="BP1068" s="173"/>
      <c r="BQ1068" s="118">
        <f>INDEX('Gross Dx Plant'!$E$7:$AD$91,MATCH($C1068,'Gross Dx Plant'!$D$7:$D$91,0),MATCH(Calculation!$G1068,'Gross Dx Plant'!$E$5:$AD$5,0))</f>
        <v>369400</v>
      </c>
      <c r="BR1068" s="118">
        <f>INDEX('Gross Gen Plant'!$E$7:$AD$91,MATCH($C1068,'Gross Gen Plant'!$D$7:$D$91,0),MATCH(Calculation!$G1068,'Gross Gen Plant'!$E$5:$AD$5,0))</f>
        <v>27404</v>
      </c>
      <c r="BS1068" s="118">
        <f>INDEX('Dist. Plant Gas Additions'!$F$7:$AE$91,MATCH($C1068,'Dist. Plant Gas Additions'!$D$7:$D$91,0),MATCH(Calculation!$G1068,'Dist. Plant Gas Additions'!$F$5:$AE$5,0))</f>
        <v>17352</v>
      </c>
      <c r="BT1068" s="118">
        <f>INDEX('Gen. Plant Additions'!$F$7:$AE$91,MATCH($C1068,'Gen. Plant Additions'!$D$7:$D$91,0),MATCH(Calculation!$G1068,'Gen. Plant Additions'!$F$5:$AE$5,0))</f>
        <v>3041</v>
      </c>
      <c r="BU1068" s="118" t="e">
        <f>INDEX('Dist Plant Depreciation'!$E$7:$AA$94,MATCH($C1068,'Dist Plant Depreciation'!$D$7:$D$94,0),MATCH(#REF!,'Dist Plant Depreciation'!$E$5:$AA$5,0))</f>
        <v>#REF!</v>
      </c>
      <c r="BV1068" s="118" t="e">
        <f>INDEX('Gen. Plant Depreciation'!$E$7:$AA$94,MATCH($C1068,'Gen. Plant Depreciation'!$D$7:$D$94,0),MATCH(#REF!,'Gen. Plant Depreciation'!$E$5:$AA$5,0))</f>
        <v>#REF!</v>
      </c>
      <c r="BW1068" s="118">
        <f>INDEX('Dist Plant Depreciation'!$E$7:$AD$94,MATCH($C1068,'Dist Plant Depreciation'!$D$7:$D$94,0),MATCH(Calculation!$G1068,'Dist Plant Depreciation'!$E$5:$AD$5,0))</f>
        <v>124149</v>
      </c>
      <c r="BX1068" s="118">
        <f>INDEX('Gen. Plant Depreciation'!$E$7:$AD$94,MATCH($C1068,'Gen. Plant Depreciation'!$D$7:$D$94,0),MATCH(Calculation!$G1068,'Gen. Plant Depreciation'!$E$5:$AD$5,0))</f>
        <v>9501</v>
      </c>
      <c r="BY1068" s="118"/>
      <c r="BZ1068" s="118"/>
      <c r="CA1068" s="118"/>
      <c r="CB1068" s="118"/>
      <c r="CC1068" s="118"/>
      <c r="CD1068" s="183"/>
      <c r="CE1068" s="118">
        <f>INDEX('Gross Dx Plant'!$E$7:$AD$91,MATCH($C1068,'Gross Dx Plant'!$D$7:$D$91,0),MATCH(Calculation!$G1068,'Gross Dx Plant'!$E$5:$AD$5,0))</f>
        <v>369400</v>
      </c>
      <c r="CF1068" s="118">
        <f>INDEX('Gross Gen Plant'!$E$7:$AD$91,MATCH($C1068,'Gross Gen Plant'!$D$7:$D$91,0),MATCH(Calculation!$G1068,'Gross Gen Plant'!$E$5:$AD$5,0))</f>
        <v>27404</v>
      </c>
      <c r="CG1068" s="118">
        <f t="shared" si="3018"/>
        <v>263154</v>
      </c>
      <c r="CH1068" s="118"/>
      <c r="CI1068" s="121">
        <v>1998</v>
      </c>
      <c r="CJ1068" s="118">
        <f>BQ1068+BR1068</f>
        <v>396804</v>
      </c>
      <c r="CK1068" s="118">
        <f>124149+9501</f>
        <v>133650</v>
      </c>
      <c r="CL1068" s="118">
        <f>+CJ1068-CK1068</f>
        <v>263154</v>
      </c>
      <c r="CM1068" s="118">
        <f>CL1068/$CD$36</f>
        <v>1304.554492673321</v>
      </c>
      <c r="CN1068" s="183"/>
      <c r="CO1068" s="183"/>
      <c r="CP1068" s="186">
        <v>1</v>
      </c>
      <c r="CQ1068" s="118">
        <f>+CM1068</f>
        <v>1304.554492673321</v>
      </c>
      <c r="CR1068" s="119"/>
      <c r="CS1068" s="119"/>
      <c r="CT1068" s="177"/>
      <c r="CU1068" s="177"/>
      <c r="CV1068" s="119" t="e">
        <f>VLOOKUP($H1068,RoR!$E:$F,2,FALSE)</f>
        <v>#N/A</v>
      </c>
      <c r="CW1068" s="177">
        <v>1.1028127770464469E-2</v>
      </c>
      <c r="CX1068" s="177"/>
      <c r="CY1068" s="177"/>
      <c r="CZ1068" s="177"/>
      <c r="DA1068" s="187"/>
      <c r="DB1068" s="190" t="e">
        <f>2/(DK1068*39)</f>
        <v>#N/A</v>
      </c>
      <c r="DC1068" s="188" t="e">
        <f>+(DK1068*40-(1+DK1068))/(DK1068*40)</f>
        <v>#N/A</v>
      </c>
      <c r="DD1068" s="188" t="e">
        <f>+(1-(1/(1+DK1068)^40))</f>
        <v>#N/A</v>
      </c>
      <c r="DE1068" s="188" t="e">
        <f>+DD1068*DC1068*DB1068</f>
        <v>#N/A</v>
      </c>
      <c r="DF1068" s="189">
        <f>INDEX('State Tax Lookup'!$D$7:$Z$91,MATCH(Calculation!$C1068,'State Tax Lookup'!$B$7:$B$91,0),MATCH($H1068,'State Tax Lookup'!$D$6:$Z$6,0))</f>
        <v>0.40200000000000002</v>
      </c>
      <c r="DG1068" s="189">
        <v>0.375</v>
      </c>
      <c r="DH1068" s="183"/>
      <c r="DI1068" s="183"/>
      <c r="DJ1068" s="177"/>
      <c r="DK1068" s="189" t="e">
        <f>VLOOKUP($H1068,RoR!$E:$F,2,FALSE)</f>
        <v>#N/A</v>
      </c>
      <c r="DL1068" s="191">
        <f>HLOOKUP($H1068,'GDP-PI'!$D$8:$CQ$11,3,FALSE)</f>
        <v>1.1028127770464469E-2</v>
      </c>
      <c r="DM1068" s="189">
        <f>VLOOKUP(H1068,'HW Dx Data'!$E:$F,2,FALSE)</f>
        <v>329.24564746449528</v>
      </c>
      <c r="DN1068" s="183" t="e">
        <f>VLOOKUP(H1068,'ECI - Input Price'!$G$17:$H$37,2,FALSE)</f>
        <v>#N/A</v>
      </c>
      <c r="DO1068" s="177"/>
      <c r="DP1068" s="183">
        <f>HLOOKUP(H1068,'GDP-PI'!$8:$9,2,FALSE)</f>
        <v>75.266999999999996</v>
      </c>
    </row>
    <row r="1069" spans="1:121" s="167" customFormat="1" ht="21" x14ac:dyDescent="0.35">
      <c r="A1069" s="167" t="s">
        <v>104</v>
      </c>
      <c r="B1069" s="167" t="s">
        <v>105</v>
      </c>
      <c r="C1069" s="167">
        <v>4063060</v>
      </c>
      <c r="D1069" s="168" t="s">
        <v>140</v>
      </c>
      <c r="E1069" s="168" t="s">
        <v>126</v>
      </c>
      <c r="F1069" s="198"/>
      <c r="G1069" s="167" t="s">
        <v>5</v>
      </c>
      <c r="H1069" s="169">
        <v>1999</v>
      </c>
      <c r="I1069" s="170"/>
      <c r="J1069" s="166"/>
      <c r="K1069" s="170"/>
      <c r="L1069" s="170"/>
      <c r="M1069" s="166"/>
      <c r="N1069" s="173"/>
      <c r="O1069" s="170"/>
      <c r="P1069" s="177"/>
      <c r="Q1069" s="177"/>
      <c r="R1069" s="177"/>
      <c r="S1069" s="195"/>
      <c r="T1069" s="177"/>
      <c r="U1069" s="177"/>
      <c r="V1069" s="166">
        <f t="shared" ref="V1069:V1091" si="3191">+CQ1068*DH1069</f>
        <v>0</v>
      </c>
      <c r="W1069" s="170"/>
      <c r="X1069" s="174">
        <v>1317.6272827273499</v>
      </c>
      <c r="Y1069" s="175">
        <v>9.9710084828256822E-3</v>
      </c>
      <c r="Z1069" s="175"/>
      <c r="AA1069" s="175"/>
      <c r="AB1069" s="175"/>
      <c r="AC1069" s="170">
        <f t="shared" si="3053"/>
        <v>0</v>
      </c>
      <c r="AD1069" s="175"/>
      <c r="AE1069" s="170"/>
      <c r="AF1069" s="119"/>
      <c r="AG1069" s="174"/>
      <c r="AH1069" s="175"/>
      <c r="AI1069" s="175"/>
      <c r="AJ1069" s="174"/>
      <c r="AK1069" s="174"/>
      <c r="AL1069" s="120"/>
      <c r="AM1069" s="120"/>
      <c r="AN1069" s="120"/>
      <c r="AO1069" s="120"/>
      <c r="AP1069" s="120"/>
      <c r="AQ1069" s="175"/>
      <c r="AR1069" s="120"/>
      <c r="AS1069" s="120"/>
      <c r="AT1069" s="120"/>
      <c r="AU1069" s="120"/>
      <c r="AV1069" s="120"/>
      <c r="AW1069" s="120"/>
      <c r="AX1069" s="120"/>
      <c r="AY1069" s="120"/>
      <c r="AZ1069" s="118">
        <f>IFERROR(INDEX('Total Customers'!$F$7:$AB$91,MATCH($C1069,'Total Customers'!$D$7:$D$91,0),MATCH($G1069,'Total Customers'!$F$5:$AB$5,0)),"NA")</f>
        <v>160630</v>
      </c>
      <c r="BA1069" s="119">
        <f t="shared" ref="BA1069:BA1091" si="3192">LN(AZ1069/AZ1068)</f>
        <v>2.084070560055163E-2</v>
      </c>
      <c r="BB1069" s="119"/>
      <c r="BC1069" s="121"/>
      <c r="BD1069" s="119"/>
      <c r="BE1069" s="119"/>
      <c r="BF1069" s="119"/>
      <c r="BG1069" s="173"/>
      <c r="BH1069" s="173"/>
      <c r="BI1069" s="173"/>
      <c r="BJ1069" s="173"/>
      <c r="BK1069" s="173"/>
      <c r="BL1069" s="173"/>
      <c r="BM1069" s="173"/>
      <c r="BN1069" s="173"/>
      <c r="BO1069" s="173"/>
      <c r="BP1069" s="173"/>
      <c r="BQ1069" s="118"/>
      <c r="BR1069" s="118"/>
      <c r="BS1069" s="118" t="str">
        <f>INDEX('Dist. Plant Gas Additions'!$F$7:$AE$91,MATCH($C1069,'Dist. Plant Gas Additions'!$D$7:$D$91,0),MATCH(Calculation!$G1069,'Dist. Plant Gas Additions'!$F$5:$AE$5,0))</f>
        <v>NA</v>
      </c>
      <c r="BT1069" s="118" t="str">
        <f>INDEX('Gen. Plant Additions'!$F$7:$AE$91,MATCH($C1069,'Gen. Plant Additions'!$D$7:$D$91,0),MATCH(Calculation!$G1069,'Gen. Plant Additions'!$F$5:$AE$5,0))</f>
        <v>NA</v>
      </c>
      <c r="BU1069" s="118"/>
      <c r="BV1069" s="118"/>
      <c r="BW1069" s="118" t="str">
        <f>INDEX('Dist Plant Depreciation'!$E$7:$AD$94,MATCH($C1069,'Dist Plant Depreciation'!$D$7:$D$94,0),MATCH(Calculation!$G1069,'Dist Plant Depreciation'!$E$5:$AD$5,0))</f>
        <v>NA</v>
      </c>
      <c r="BX1069" s="118" t="str">
        <f>INDEX('Gen. Plant Depreciation'!$E$7:$AD$94,MATCH($C1069,'Gen. Plant Depreciation'!$D$7:$D$94,0),MATCH(Calculation!$G1069,'Gen. Plant Depreciation'!$E$5:$AD$5,0))</f>
        <v>NA</v>
      </c>
      <c r="BY1069" s="118"/>
      <c r="BZ1069" s="118"/>
      <c r="CA1069" s="118"/>
      <c r="CB1069" s="118"/>
      <c r="CC1069" s="118"/>
      <c r="CD1069" s="183"/>
      <c r="CE1069" s="118" t="str">
        <f>INDEX('Gross Dx Plant'!$E$7:$AD$91,MATCH($C1069,'Gross Dx Plant'!$D$7:$D$91,0),MATCH(Calculation!$G1069,'Gross Dx Plant'!$E$5:$AD$5,0))</f>
        <v>NA</v>
      </c>
      <c r="CF1069" s="118" t="str">
        <f>INDEX('Gross Gen Plant'!$E$7:$AD$91,MATCH($C1069,'Gross Gen Plant'!$D$7:$D$91,0),MATCH(Calculation!$G1069,'Gross Gen Plant'!$E$5:$AD$5,0))</f>
        <v>NA</v>
      </c>
      <c r="CG1069" s="118" t="str">
        <f t="shared" si="3018"/>
        <v>NA</v>
      </c>
      <c r="CH1069" s="118"/>
      <c r="CI1069" s="121">
        <v>1999</v>
      </c>
      <c r="CJ1069" s="118"/>
      <c r="CK1069" s="118"/>
      <c r="CL1069" s="118"/>
      <c r="CM1069" s="183"/>
      <c r="CN1069" s="118">
        <v>6560</v>
      </c>
      <c r="CO1069" s="118">
        <f t="shared" ref="CO1069:CO1091" si="3193">+CN1069/$DM1069</f>
        <v>19.563110913100139</v>
      </c>
      <c r="CP1069" s="186">
        <v>0.99502487562189057</v>
      </c>
      <c r="CQ1069" s="118">
        <f>+CQ1068*CP1069+CO1069</f>
        <v>1317.6272827273499</v>
      </c>
      <c r="CR1069" s="119">
        <f t="shared" ref="CR1069:CR1090" si="3194">LN(CQ1069/CQ1068)</f>
        <v>9.9710084828256822E-3</v>
      </c>
      <c r="CS1069" s="119"/>
      <c r="CT1069" s="177">
        <f t="shared" ref="CT1069:CT1091" si="3195">+(CQ1068-CQ1069+CO1069)/CQ1068</f>
        <v>4.975124378109424E-3</v>
      </c>
      <c r="CU1069" s="177"/>
      <c r="CV1069" s="119">
        <f>VLOOKUP($H1069,RoR!$E:$F,2,FALSE)</f>
        <v>7.0416666666666669E-2</v>
      </c>
      <c r="CW1069" s="177">
        <v>1.4335631817396832E-2</v>
      </c>
      <c r="CX1069" s="177">
        <f>+CV1069-CW1069</f>
        <v>5.6081034849269837E-2</v>
      </c>
      <c r="CY1069" s="177"/>
      <c r="CZ1069" s="177"/>
      <c r="DA1069" s="187">
        <f t="shared" ref="DA1069:DA1091" si="3196">1-DF1069*DG1069</f>
        <v>0.84925000000000006</v>
      </c>
      <c r="DB1069" s="188">
        <f t="shared" ref="DB1069:DB1091" si="3197">2/(DK1069*39)</f>
        <v>0.72826581702321336</v>
      </c>
      <c r="DC1069" s="188">
        <f t="shared" ref="DC1069:DC1091" si="3198">+(DK1069*40-(1+DK1069))/(DK1069*40)</f>
        <v>0.61997041420118348</v>
      </c>
      <c r="DD1069" s="188">
        <f t="shared" ref="DD1069:DD1091" si="3199">+(1-(1/(1+DK1069)^40))</f>
        <v>0.93425155319585029</v>
      </c>
      <c r="DE1069" s="188">
        <f t="shared" ref="DE1069:DE1091" si="3200">+DD1069*DC1069*DB1069</f>
        <v>0.42181762214141483</v>
      </c>
      <c r="DF1069" s="189">
        <f>INDEX('State Tax Lookup'!$D$7:$Z$91,MATCH(Calculation!$C1069,'State Tax Lookup'!$B$7:$B$91,0),MATCH($H1069,'State Tax Lookup'!$D$6:$Z$6,0))</f>
        <v>0.40200000000000002</v>
      </c>
      <c r="DG1069" s="189">
        <v>0.375</v>
      </c>
      <c r="DH1069" s="190"/>
      <c r="DI1069" s="190"/>
      <c r="DJ1069" s="177"/>
      <c r="DK1069" s="189">
        <f>VLOOKUP($H1069,RoR!$E:$F,2,FALSE)</f>
        <v>7.0416666666666669E-2</v>
      </c>
      <c r="DL1069" s="191">
        <f>HLOOKUP($H1069,'GDP-PI'!$D$8:$CQ$11,3,FALSE)</f>
        <v>1.4335631817396832E-2</v>
      </c>
      <c r="DM1069" s="189">
        <f>VLOOKUP(H1069,'HW Dx Data'!$E:$F,2,FALSE)</f>
        <v>335.32499146683239</v>
      </c>
      <c r="DN1069" s="183" t="e">
        <f>VLOOKUP(H1069,'ECI - Input Price'!$G$17:$H$37,2,FALSE)</f>
        <v>#N/A</v>
      </c>
      <c r="DO1069" s="177"/>
      <c r="DP1069" s="183">
        <f>HLOOKUP(H1069,'GDP-PI'!$8:$9,2,FALSE)</f>
        <v>76.346000000000004</v>
      </c>
    </row>
    <row r="1070" spans="1:121" s="167" customFormat="1" ht="21" x14ac:dyDescent="0.35">
      <c r="A1070" s="167" t="s">
        <v>104</v>
      </c>
      <c r="B1070" s="167" t="s">
        <v>105</v>
      </c>
      <c r="C1070" s="167">
        <v>4063060</v>
      </c>
      <c r="D1070" s="168" t="s">
        <v>140</v>
      </c>
      <c r="E1070" s="168" t="s">
        <v>126</v>
      </c>
      <c r="F1070" s="198"/>
      <c r="G1070" s="167" t="s">
        <v>6</v>
      </c>
      <c r="H1070" s="169">
        <v>2000</v>
      </c>
      <c r="I1070" s="170"/>
      <c r="J1070" s="166"/>
      <c r="K1070" s="166"/>
      <c r="L1070" s="166"/>
      <c r="M1070" s="166"/>
      <c r="N1070" s="196"/>
      <c r="O1070" s="166"/>
      <c r="P1070" s="166"/>
      <c r="Q1070" s="166"/>
      <c r="R1070" s="166"/>
      <c r="S1070" s="166"/>
      <c r="T1070" s="166"/>
      <c r="U1070" s="166"/>
      <c r="V1070" s="166">
        <f t="shared" si="3191"/>
        <v>0</v>
      </c>
      <c r="W1070" s="170"/>
      <c r="X1070" s="174">
        <v>1329.7732933948048</v>
      </c>
      <c r="Y1070" s="175">
        <v>9.1758655625142176E-3</v>
      </c>
      <c r="Z1070" s="175"/>
      <c r="AA1070" s="175"/>
      <c r="AB1070" s="175"/>
      <c r="AC1070" s="170">
        <f t="shared" si="3053"/>
        <v>0</v>
      </c>
      <c r="AD1070" s="175"/>
      <c r="AE1070" s="170"/>
      <c r="AF1070" s="170"/>
      <c r="AG1070" s="174"/>
      <c r="AH1070" s="175"/>
      <c r="AI1070" s="175"/>
      <c r="AJ1070" s="174"/>
      <c r="AK1070" s="174"/>
      <c r="AL1070" s="120"/>
      <c r="AM1070" s="120"/>
      <c r="AN1070" s="120"/>
      <c r="AO1070" s="120"/>
      <c r="AP1070" s="120"/>
      <c r="AQ1070" s="175"/>
      <c r="AR1070" s="120"/>
      <c r="AS1070" s="120"/>
      <c r="AT1070" s="120"/>
      <c r="AU1070" s="120"/>
      <c r="AV1070" s="120"/>
      <c r="AW1070" s="120"/>
      <c r="AX1070" s="120"/>
      <c r="AY1070" s="120"/>
      <c r="AZ1070" s="118">
        <f>IFERROR(INDEX('Total Customers'!$F$7:$AB$91,MATCH($C1070,'Total Customers'!$D$7:$D$91,0),MATCH($G1070,'Total Customers'!$F$5:$AB$5,0)),"NA")</f>
        <v>166295</v>
      </c>
      <c r="BA1070" s="119">
        <f t="shared" si="3192"/>
        <v>3.4659736031691438E-2</v>
      </c>
      <c r="BB1070" s="119"/>
      <c r="BC1070" s="121"/>
      <c r="BD1070" s="119"/>
      <c r="BE1070" s="119"/>
      <c r="BF1070" s="119"/>
      <c r="BG1070" s="173"/>
      <c r="BH1070" s="173"/>
      <c r="BI1070" s="173"/>
      <c r="BJ1070" s="173"/>
      <c r="BK1070" s="173"/>
      <c r="BL1070" s="173"/>
      <c r="BM1070" s="173"/>
      <c r="BN1070" s="173"/>
      <c r="BO1070" s="173"/>
      <c r="BP1070" s="173"/>
      <c r="BQ1070" s="118"/>
      <c r="BR1070" s="118"/>
      <c r="BS1070" s="118">
        <f>INDEX('Dist. Plant Gas Additions'!$F$7:$AE$91,MATCH($C1070,'Dist. Plant Gas Additions'!$D$7:$D$91,0),MATCH(Calculation!$G1070,'Dist. Plant Gas Additions'!$F$5:$AE$5,0))</f>
        <v>6183</v>
      </c>
      <c r="BT1070" s="118">
        <f>INDEX('Gen. Plant Additions'!$F$7:$AE$91,MATCH($C1070,'Gen. Plant Additions'!$D$7:$D$91,0),MATCH(Calculation!$G1070,'Gen. Plant Additions'!$F$5:$AE$5,0))</f>
        <v>377</v>
      </c>
      <c r="BU1070" s="118"/>
      <c r="BV1070" s="118"/>
      <c r="BW1070" s="118">
        <f>INDEX('Dist Plant Depreciation'!$E$7:$AD$94,MATCH($C1070,'Dist Plant Depreciation'!$D$7:$D$94,0),MATCH(Calculation!$G1070,'Dist Plant Depreciation'!$E$5:$AD$5,0))</f>
        <v>146272</v>
      </c>
      <c r="BX1070" s="118">
        <f>INDEX('Gen. Plant Depreciation'!$E$7:$AD$94,MATCH($C1070,'Gen. Plant Depreciation'!$D$7:$D$94,0),MATCH(Calculation!$G1070,'Gen. Plant Depreciation'!$E$5:$AD$5,0))</f>
        <v>11305</v>
      </c>
      <c r="BY1070" s="118"/>
      <c r="BZ1070" s="118"/>
      <c r="CA1070" s="118"/>
      <c r="CB1070" s="118"/>
      <c r="CC1070" s="118"/>
      <c r="CD1070" s="183"/>
      <c r="CE1070" s="118">
        <f>INDEX('Gross Dx Plant'!$E$7:$AD$91,MATCH($C1070,'Gross Dx Plant'!$D$7:$D$91,0),MATCH(Calculation!$G1070,'Gross Dx Plant'!$E$5:$AD$5,0))</f>
        <v>400459</v>
      </c>
      <c r="CF1070" s="118">
        <f>INDEX('Gross Gen Plant'!$E$7:$AD$91,MATCH($C1070,'Gross Gen Plant'!$D$7:$D$91,0),MATCH(Calculation!$G1070,'Gross Gen Plant'!$E$5:$AD$5,0))</f>
        <v>30879</v>
      </c>
      <c r="CG1070" s="118">
        <f t="shared" si="3018"/>
        <v>273761</v>
      </c>
      <c r="CH1070" s="118"/>
      <c r="CI1070" s="121">
        <v>2000</v>
      </c>
      <c r="CJ1070" s="118"/>
      <c r="CK1070" s="118"/>
      <c r="CL1070" s="118"/>
      <c r="CM1070" s="183"/>
      <c r="CN1070" s="118">
        <f t="shared" ref="CN1070:CN1091" si="3201">+BT1070+BS1070</f>
        <v>6560</v>
      </c>
      <c r="CO1070" s="118">
        <f t="shared" si="3193"/>
        <v>18.930336826210375</v>
      </c>
      <c r="CP1070" s="186">
        <v>0.98989898989898994</v>
      </c>
      <c r="CQ1070" s="118">
        <f>+CQ1068*CP1070+CO1069*CP1069+CO1070</f>
        <v>1329.7732933948048</v>
      </c>
      <c r="CR1070" s="119">
        <f t="shared" si="3194"/>
        <v>9.1758655625142176E-3</v>
      </c>
      <c r="CS1070" s="119"/>
      <c r="CT1070" s="177">
        <f t="shared" si="3195"/>
        <v>5.148896237722576E-3</v>
      </c>
      <c r="CU1070" s="177"/>
      <c r="CV1070" s="119">
        <f>VLOOKUP($H1070,RoR!$E:$F,2,FALSE)</f>
        <v>7.6225000000000001E-2</v>
      </c>
      <c r="CW1070" s="177">
        <v>2.2568307442433211E-2</v>
      </c>
      <c r="CX1070" s="177">
        <f t="shared" ref="CX1070:CX1090" si="3202">+CV1070-CW1070</f>
        <v>5.365669255756679E-2</v>
      </c>
      <c r="CY1070" s="177"/>
      <c r="CZ1070" s="177"/>
      <c r="DA1070" s="187">
        <f t="shared" si="3196"/>
        <v>0.84925000000000006</v>
      </c>
      <c r="DB1070" s="188">
        <f t="shared" si="3197"/>
        <v>0.67277207323124022</v>
      </c>
      <c r="DC1070" s="188">
        <f t="shared" si="3198"/>
        <v>0.6470236142997704</v>
      </c>
      <c r="DD1070" s="188">
        <f t="shared" si="3199"/>
        <v>0.94704866037543145</v>
      </c>
      <c r="DE1070" s="188">
        <f t="shared" si="3200"/>
        <v>0.41224973107878493</v>
      </c>
      <c r="DF1070" s="189">
        <f>INDEX('State Tax Lookup'!$D$7:$Z$91,MATCH(Calculation!$C1070,'State Tax Lookup'!$B$7:$B$91,0),MATCH($H1070,'State Tax Lookup'!$D$6:$Z$6,0))</f>
        <v>0.40200000000000002</v>
      </c>
      <c r="DG1070" s="189">
        <v>0.375</v>
      </c>
      <c r="DH1070" s="190"/>
      <c r="DI1070" s="190"/>
      <c r="DJ1070" s="177"/>
      <c r="DK1070" s="189">
        <f>VLOOKUP($H1070,RoR!$E:$F,2,FALSE)</f>
        <v>7.6225000000000001E-2</v>
      </c>
      <c r="DL1070" s="191">
        <f>HLOOKUP($H1070,'GDP-PI'!$D$8:$CQ$11,3,FALSE)</f>
        <v>2.2568307442433211E-2</v>
      </c>
      <c r="DM1070" s="189">
        <f>VLOOKUP(H1070,'HW Dx Data'!$E:$F,2,FALSE)</f>
        <v>346.53371782150339</v>
      </c>
      <c r="DN1070" s="183" t="e">
        <f>VLOOKUP(H1070,'ECI - Input Price'!$G$17:$H$37,2,FALSE)</f>
        <v>#N/A</v>
      </c>
      <c r="DO1070" s="177"/>
      <c r="DP1070" s="183">
        <f>HLOOKUP(H1070,'GDP-PI'!$8:$9,2,FALSE)</f>
        <v>78.069000000000003</v>
      </c>
    </row>
    <row r="1071" spans="1:121" s="167" customFormat="1" ht="21" x14ac:dyDescent="0.35">
      <c r="A1071" s="167" t="s">
        <v>104</v>
      </c>
      <c r="B1071" s="167" t="s">
        <v>105</v>
      </c>
      <c r="C1071" s="167">
        <v>4063060</v>
      </c>
      <c r="D1071" s="168" t="s">
        <v>140</v>
      </c>
      <c r="E1071" s="168" t="s">
        <v>126</v>
      </c>
      <c r="F1071" s="198"/>
      <c r="G1071" s="167" t="s">
        <v>7</v>
      </c>
      <c r="H1071" s="169">
        <v>2001</v>
      </c>
      <c r="I1071" s="170"/>
      <c r="J1071" s="166"/>
      <c r="K1071" s="166"/>
      <c r="L1071" s="166"/>
      <c r="M1071" s="166"/>
      <c r="N1071" s="196"/>
      <c r="O1071" s="166"/>
      <c r="P1071" s="166"/>
      <c r="Q1071" s="166"/>
      <c r="R1071" s="166"/>
      <c r="S1071" s="166"/>
      <c r="T1071" s="166"/>
      <c r="U1071" s="166"/>
      <c r="V1071" s="166">
        <f t="shared" si="3191"/>
        <v>17158.566209451434</v>
      </c>
      <c r="W1071" s="170"/>
      <c r="X1071" s="174">
        <v>1417.3063573144834</v>
      </c>
      <c r="Y1071" s="175">
        <v>6.374966708124187E-2</v>
      </c>
      <c r="Z1071" s="175"/>
      <c r="AA1071" s="175"/>
      <c r="AB1071" s="175"/>
      <c r="AC1071" s="170">
        <f t="shared" si="3053"/>
        <v>17158.566209451434</v>
      </c>
      <c r="AD1071" s="175"/>
      <c r="AE1071" s="170"/>
      <c r="AF1071" s="170"/>
      <c r="AG1071" s="174"/>
      <c r="AH1071" s="175"/>
      <c r="AI1071" s="175"/>
      <c r="AJ1071" s="174"/>
      <c r="AK1071" s="174"/>
      <c r="AL1071" s="120"/>
      <c r="AM1071" s="120"/>
      <c r="AN1071" s="120"/>
      <c r="AO1071" s="120"/>
      <c r="AP1071" s="120"/>
      <c r="AQ1071" s="175"/>
      <c r="AR1071" s="120"/>
      <c r="AS1071" s="120"/>
      <c r="AT1071" s="120"/>
      <c r="AU1071" s="120"/>
      <c r="AV1071" s="120"/>
      <c r="AW1071" s="120"/>
      <c r="AX1071" s="120"/>
      <c r="AY1071" s="120"/>
      <c r="AZ1071" s="118">
        <f>IFERROR(INDEX('Total Customers'!$F$7:$AB$91,MATCH($C1071,'Total Customers'!$D$7:$D$91,0),MATCH($G1071,'Total Customers'!$F$5:$AB$5,0)),"NA")</f>
        <v>166886</v>
      </c>
      <c r="BA1071" s="119">
        <f t="shared" si="3192"/>
        <v>3.5476249836743738E-3</v>
      </c>
      <c r="BB1071" s="119"/>
      <c r="BC1071" s="121"/>
      <c r="BD1071" s="119"/>
      <c r="BE1071" s="119"/>
      <c r="BF1071" s="119"/>
      <c r="BG1071" s="173"/>
      <c r="BH1071" s="173"/>
      <c r="BI1071" s="173"/>
      <c r="BJ1071" s="173"/>
      <c r="BK1071" s="173"/>
      <c r="BL1071" s="173"/>
      <c r="BM1071" s="173"/>
      <c r="BN1071" s="173"/>
      <c r="BO1071" s="173"/>
      <c r="BP1071" s="173"/>
      <c r="BQ1071" s="118"/>
      <c r="BR1071" s="118"/>
      <c r="BS1071" s="118">
        <f>INDEX('Dist. Plant Gas Additions'!$F$7:$AE$91,MATCH($C1071,'Dist. Plant Gas Additions'!$D$7:$D$91,0),MATCH(Calculation!$G1071,'Dist. Plant Gas Additions'!$F$5:$AE$5,0))</f>
        <v>24279</v>
      </c>
      <c r="BT1071" s="118">
        <f>INDEX('Gen. Plant Additions'!$F$7:$AE$91,MATCH($C1071,'Gen. Plant Additions'!$D$7:$D$91,0),MATCH(Calculation!$G1071,'Gen. Plant Additions'!$F$5:$AE$5,0))</f>
        <v>9131</v>
      </c>
      <c r="BU1071" s="118"/>
      <c r="BV1071" s="118"/>
      <c r="BW1071" s="118">
        <f>INDEX('Dist Plant Depreciation'!$E$7:$AD$94,MATCH($C1071,'Dist Plant Depreciation'!$D$7:$D$94,0),MATCH(Calculation!$G1071,'Dist Plant Depreciation'!$E$5:$AD$5,0))</f>
        <v>155339</v>
      </c>
      <c r="BX1071" s="118">
        <f>INDEX('Gen. Plant Depreciation'!$E$7:$AD$94,MATCH($C1071,'Gen. Plant Depreciation'!$D$7:$D$94,0),MATCH(Calculation!$G1071,'Gen. Plant Depreciation'!$E$5:$AD$5,0))</f>
        <v>10655</v>
      </c>
      <c r="BY1071" s="118"/>
      <c r="BZ1071" s="118"/>
      <c r="CA1071" s="118"/>
      <c r="CB1071" s="118"/>
      <c r="CC1071" s="118"/>
      <c r="CD1071" s="183"/>
      <c r="CE1071" s="118">
        <f>INDEX('Gross Dx Plant'!$E$7:$AD$91,MATCH($C1071,'Gross Dx Plant'!$D$7:$D$91,0),MATCH(Calculation!$G1071,'Gross Dx Plant'!$E$5:$AD$5,0))</f>
        <v>422761</v>
      </c>
      <c r="CF1071" s="118">
        <f>INDEX('Gross Gen Plant'!$E$7:$AD$91,MATCH($C1071,'Gross Gen Plant'!$D$7:$D$91,0),MATCH(Calculation!$G1071,'Gross Gen Plant'!$E$5:$AD$5,0))</f>
        <v>35928</v>
      </c>
      <c r="CG1071" s="118">
        <f t="shared" si="3018"/>
        <v>292695</v>
      </c>
      <c r="CH1071" s="118"/>
      <c r="CI1071" s="121">
        <v>2001</v>
      </c>
      <c r="CJ1071" s="118"/>
      <c r="CK1071" s="118"/>
      <c r="CL1071" s="118"/>
      <c r="CM1071" s="183"/>
      <c r="CN1071" s="118">
        <f t="shared" si="3201"/>
        <v>33410</v>
      </c>
      <c r="CO1071" s="118">
        <f t="shared" si="3193"/>
        <v>94.526093200843277</v>
      </c>
      <c r="CP1071" s="186">
        <v>0.98461538461538467</v>
      </c>
      <c r="CQ1071" s="118">
        <f>+CQ1068*CP1071+CO1069*CP1070+CO1070*CP1068+CO1071</f>
        <v>1417.3063573144834</v>
      </c>
      <c r="CR1071" s="119">
        <f t="shared" si="3194"/>
        <v>6.374966708124187E-2</v>
      </c>
      <c r="CS1071" s="119"/>
      <c r="CT1071" s="177">
        <f t="shared" si="3195"/>
        <v>5.2588131495046112E-3</v>
      </c>
      <c r="CU1071" s="177">
        <f>+(CT1071+CT1070+CT1069)/3</f>
        <v>5.1276112551122037E-3</v>
      </c>
      <c r="CV1071" s="119">
        <f>VLOOKUP($H1071,RoR!$E:$F,2,FALSE)</f>
        <v>7.0824999999999999E-2</v>
      </c>
      <c r="CW1071" s="177">
        <v>2.2454495382290052E-2</v>
      </c>
      <c r="CX1071" s="177">
        <f t="shared" si="3202"/>
        <v>4.8370504617709947E-2</v>
      </c>
      <c r="CY1071" s="177">
        <f>+$CX$35-CU1071</f>
        <v>2.5774330353421422E-2</v>
      </c>
      <c r="CZ1071" s="177">
        <f>+((DM1069/DM1068-1)+(DM1070/DM1069-1)+(DM1071/DM1070-1))/3</f>
        <v>2.3947275901631187E-2</v>
      </c>
      <c r="DA1071" s="187">
        <f t="shared" si="3196"/>
        <v>0.84925000000000006</v>
      </c>
      <c r="DB1071" s="188">
        <f t="shared" si="3197"/>
        <v>0.72406708481540816</v>
      </c>
      <c r="DC1071" s="188">
        <f t="shared" si="3198"/>
        <v>0.62201729615248857</v>
      </c>
      <c r="DD1071" s="188">
        <f t="shared" si="3199"/>
        <v>0.9352469954311422</v>
      </c>
      <c r="DE1071" s="188">
        <f t="shared" si="3200"/>
        <v>0.42121864641655071</v>
      </c>
      <c r="DF1071" s="189">
        <f>INDEX('State Tax Lookup'!$D$7:$Z$91,MATCH(Calculation!$C1071,'State Tax Lookup'!$B$7:$B$91,0),MATCH($H1071,'State Tax Lookup'!$D$6:$Z$6,0))</f>
        <v>0.40200000000000002</v>
      </c>
      <c r="DG1071" s="189">
        <v>0.375</v>
      </c>
      <c r="DH1071" s="190">
        <f t="shared" ref="DH1071:DH1091" si="3203">+(DM1071*CY1071-CZ1071)*DA1071/(1-DF1071)</f>
        <v>12.903377060346118</v>
      </c>
      <c r="DI1071" s="190"/>
      <c r="DJ1071" s="177"/>
      <c r="DK1071" s="189">
        <f>VLOOKUP($H1071,RoR!$E:$F,2,FALSE)</f>
        <v>7.0824999999999999E-2</v>
      </c>
      <c r="DL1071" s="191">
        <f>HLOOKUP($H1071,'GDP-PI'!$D$8:$CQ$11,3,FALSE)</f>
        <v>2.2454495382290052E-2</v>
      </c>
      <c r="DM1071" s="189">
        <f>VLOOKUP(H1071,'HW Dx Data'!$E:$F,2,FALSE)</f>
        <v>353.44738017483138</v>
      </c>
      <c r="DN1071" s="183">
        <f>VLOOKUP(H1071,'ECI - Input Price'!$G$17:$H$37,2,FALSE)</f>
        <v>86.2</v>
      </c>
      <c r="DO1071" s="177"/>
      <c r="DP1071" s="183">
        <f>HLOOKUP(H1071,'GDP-PI'!$8:$9,2,FALSE)</f>
        <v>79.822000000000003</v>
      </c>
    </row>
    <row r="1072" spans="1:121" s="167" customFormat="1" ht="21" x14ac:dyDescent="0.35">
      <c r="A1072" s="167" t="s">
        <v>104</v>
      </c>
      <c r="B1072" s="167" t="s">
        <v>105</v>
      </c>
      <c r="C1072" s="167">
        <v>4063060</v>
      </c>
      <c r="D1072" s="168" t="s">
        <v>140</v>
      </c>
      <c r="E1072" s="168" t="s">
        <v>126</v>
      </c>
      <c r="F1072" s="198"/>
      <c r="G1072" s="167" t="s">
        <v>8</v>
      </c>
      <c r="H1072" s="169">
        <v>2002</v>
      </c>
      <c r="I1072" s="170"/>
      <c r="J1072" s="166"/>
      <c r="K1072" s="166"/>
      <c r="L1072" s="166"/>
      <c r="M1072" s="166"/>
      <c r="N1072" s="196"/>
      <c r="O1072" s="166"/>
      <c r="P1072" s="166"/>
      <c r="Q1072" s="166"/>
      <c r="R1072" s="166"/>
      <c r="S1072" s="166"/>
      <c r="T1072" s="166"/>
      <c r="U1072" s="166"/>
      <c r="V1072" s="166">
        <f t="shared" si="3191"/>
        <v>18554.745693544883</v>
      </c>
      <c r="W1072" s="170"/>
      <c r="X1072" s="174">
        <v>1478.7626069036603</v>
      </c>
      <c r="Y1072" s="175">
        <v>4.2447522961274735E-2</v>
      </c>
      <c r="Z1072" s="175"/>
      <c r="AA1072" s="175"/>
      <c r="AB1072" s="175"/>
      <c r="AC1072" s="170">
        <f t="shared" si="3053"/>
        <v>18554.745693544883</v>
      </c>
      <c r="AD1072" s="175"/>
      <c r="AE1072" s="170"/>
      <c r="AF1072" s="170"/>
      <c r="AG1072" s="174"/>
      <c r="AH1072" s="175"/>
      <c r="AI1072" s="175"/>
      <c r="AJ1072" s="174"/>
      <c r="AK1072" s="174"/>
      <c r="AL1072" s="120"/>
      <c r="AM1072" s="120"/>
      <c r="AN1072" s="120"/>
      <c r="AO1072" s="120"/>
      <c r="AP1072" s="120"/>
      <c r="AQ1072" s="175"/>
      <c r="AR1072" s="120"/>
      <c r="AS1072" s="120"/>
      <c r="AT1072" s="120"/>
      <c r="AU1072" s="120"/>
      <c r="AV1072" s="120"/>
      <c r="AW1072" s="120"/>
      <c r="AX1072" s="120"/>
      <c r="AY1072" s="120"/>
      <c r="AZ1072" s="118">
        <f>IFERROR(INDEX('Total Customers'!$F$7:$AB$91,MATCH($C1072,'Total Customers'!$D$7:$D$91,0),MATCH($G1072,'Total Customers'!$F$5:$AB$5,0)),"NA")</f>
        <v>169319</v>
      </c>
      <c r="BA1072" s="119">
        <f t="shared" si="3192"/>
        <v>1.4473565073393615E-2</v>
      </c>
      <c r="BB1072" s="119"/>
      <c r="BC1072" s="121"/>
      <c r="BD1072" s="119"/>
      <c r="BE1072" s="119"/>
      <c r="BF1072" s="119"/>
      <c r="BG1072" s="173"/>
      <c r="BH1072" s="173"/>
      <c r="BI1072" s="173"/>
      <c r="BJ1072" s="173"/>
      <c r="BK1072" s="173"/>
      <c r="BL1072" s="173"/>
      <c r="BM1072" s="173"/>
      <c r="BN1072" s="173"/>
      <c r="BO1072" s="173"/>
      <c r="BP1072" s="173"/>
      <c r="BQ1072" s="118"/>
      <c r="BR1072" s="118"/>
      <c r="BS1072" s="118">
        <f>INDEX('Dist. Plant Gas Additions'!$F$7:$AE$91,MATCH($C1072,'Dist. Plant Gas Additions'!$D$7:$D$91,0),MATCH(Calculation!$G1072,'Dist. Plant Gas Additions'!$F$5:$AE$5,0))</f>
        <v>21583</v>
      </c>
      <c r="BT1072" s="118">
        <f>INDEX('Gen. Plant Additions'!$F$7:$AE$91,MATCH($C1072,'Gen. Plant Additions'!$D$7:$D$91,0),MATCH(Calculation!$G1072,'Gen. Plant Additions'!$F$5:$AE$5,0))</f>
        <v>3469</v>
      </c>
      <c r="BU1072" s="118"/>
      <c r="BV1072" s="118"/>
      <c r="BW1072" s="118">
        <f>INDEX('Dist Plant Depreciation'!$E$7:$AD$94,MATCH($C1072,'Dist Plant Depreciation'!$D$7:$D$94,0),MATCH(Calculation!$G1072,'Dist Plant Depreciation'!$E$5:$AD$5,0))</f>
        <v>164620</v>
      </c>
      <c r="BX1072" s="118">
        <f>INDEX('Gen. Plant Depreciation'!$E$7:$AD$94,MATCH($C1072,'Gen. Plant Depreciation'!$D$7:$D$94,0),MATCH(Calculation!$G1072,'Gen. Plant Depreciation'!$E$5:$AD$5,0))</f>
        <v>14310</v>
      </c>
      <c r="BY1072" s="118"/>
      <c r="BZ1072" s="118"/>
      <c r="CA1072" s="118"/>
      <c r="CB1072" s="118"/>
      <c r="CC1072" s="118"/>
      <c r="CD1072" s="183"/>
      <c r="CE1072" s="118">
        <f>INDEX('Gross Dx Plant'!$E$7:$AD$91,MATCH($C1072,'Gross Dx Plant'!$D$7:$D$91,0),MATCH(Calculation!$G1072,'Gross Dx Plant'!$E$5:$AD$5,0))</f>
        <v>440903</v>
      </c>
      <c r="CF1072" s="118">
        <f>INDEX('Gross Gen Plant'!$E$7:$AD$91,MATCH($C1072,'Gross Gen Plant'!$D$7:$D$91,0),MATCH(Calculation!$G1072,'Gross Gen Plant'!$E$5:$AD$5,0))</f>
        <v>38845</v>
      </c>
      <c r="CG1072" s="118">
        <f t="shared" si="3018"/>
        <v>300818</v>
      </c>
      <c r="CH1072" s="118"/>
      <c r="CI1072" s="121">
        <v>2002</v>
      </c>
      <c r="CJ1072" s="118"/>
      <c r="CK1072" s="118"/>
      <c r="CL1072" s="118"/>
      <c r="CM1072" s="183"/>
      <c r="CN1072" s="118">
        <f t="shared" si="3201"/>
        <v>25052</v>
      </c>
      <c r="CO1072" s="118">
        <f t="shared" si="3193"/>
        <v>69.32925741881904</v>
      </c>
      <c r="CP1072" s="186">
        <v>0.97916666666666663</v>
      </c>
      <c r="CQ1072" s="118">
        <f>+CQ1068*CP1072+CO1069*CP1071+CO1070*CP1070+CO1071*CP1069+CO1072</f>
        <v>1478.7626069036603</v>
      </c>
      <c r="CR1072" s="119">
        <f t="shared" si="3194"/>
        <v>4.2447522961274735E-2</v>
      </c>
      <c r="CS1072" s="119"/>
      <c r="CT1072" s="177">
        <f t="shared" si="3195"/>
        <v>5.5549089926894583E-3</v>
      </c>
      <c r="CU1072" s="177">
        <f t="shared" ref="CU1072:CU1091" si="3204">+(CT1072+CT1071+CT1070)/3</f>
        <v>5.3208727933055479E-3</v>
      </c>
      <c r="CV1072" s="119">
        <f>VLOOKUP($H1072,RoR!$E:$F,2,FALSE)</f>
        <v>6.4916666666666664E-2</v>
      </c>
      <c r="CW1072" s="177">
        <v>1.5246423291824351E-2</v>
      </c>
      <c r="CX1072" s="177">
        <f t="shared" si="3202"/>
        <v>4.9670243374842313E-2</v>
      </c>
      <c r="CY1072" s="177">
        <f t="shared" ref="CY1072:CY1091" si="3205">+$CX$35-CU1072</f>
        <v>2.5581068815228078E-2</v>
      </c>
      <c r="CZ1072" s="177">
        <f t="shared" ref="CZ1072:CZ1091" si="3206">+((DM1070/DM1069-1)+(DM1071/DM1070-1)+(DM1072/DM1071-1))/3</f>
        <v>2.5243621214759093E-2</v>
      </c>
      <c r="DA1072" s="187">
        <f t="shared" si="3196"/>
        <v>0.84925000000000006</v>
      </c>
      <c r="DB1072" s="188">
        <f t="shared" si="3197"/>
        <v>0.78996741384417901</v>
      </c>
      <c r="DC1072" s="188">
        <f t="shared" si="3198"/>
        <v>0.58989088575096271</v>
      </c>
      <c r="DD1072" s="188">
        <f t="shared" si="3199"/>
        <v>0.91920675783645744</v>
      </c>
      <c r="DE1072" s="188">
        <f t="shared" si="3200"/>
        <v>0.42834536472275586</v>
      </c>
      <c r="DF1072" s="189">
        <f>INDEX('State Tax Lookup'!$D$7:$Z$91,MATCH(Calculation!$C1072,'State Tax Lookup'!$B$7:$B$91,0),MATCH($H1072,'State Tax Lookup'!$D$6:$Z$6,0))</f>
        <v>0.40200000000000002</v>
      </c>
      <c r="DG1072" s="189">
        <v>0.375</v>
      </c>
      <c r="DH1072" s="190">
        <f t="shared" si="3203"/>
        <v>13.091556104145665</v>
      </c>
      <c r="DI1072" s="190"/>
      <c r="DJ1072" s="177"/>
      <c r="DK1072" s="189">
        <f>VLOOKUP($H1072,RoR!$E:$F,2,FALSE)</f>
        <v>6.4916666666666664E-2</v>
      </c>
      <c r="DL1072" s="191">
        <f>HLOOKUP($H1072,'GDP-PI'!$D$8:$CQ$11,3,FALSE)</f>
        <v>1.5246423291824351E-2</v>
      </c>
      <c r="DM1072" s="189">
        <f>VLOOKUP(H1072,'HW Dx Data'!$E:$F,2,FALSE)</f>
        <v>361.34816573413599</v>
      </c>
      <c r="DN1072" s="183">
        <f>VLOOKUP(H1072,'ECI - Input Price'!$G$17:$H$37,2,FALSE)</f>
        <v>89.275000000000006</v>
      </c>
      <c r="DO1072" s="177">
        <f>LN(DN1072/DN1071)</f>
        <v>3.5051315810864674E-2</v>
      </c>
      <c r="DP1072" s="183">
        <f>HLOOKUP(H1072,'GDP-PI'!$8:$9,2,FALSE)</f>
        <v>81.039000000000001</v>
      </c>
      <c r="DQ1072" s="177">
        <f>LN(DP1072/DP1071)</f>
        <v>1.513136459537477E-2</v>
      </c>
    </row>
    <row r="1073" spans="1:121" s="167" customFormat="1" ht="21" x14ac:dyDescent="0.35">
      <c r="A1073" s="167" t="s">
        <v>104</v>
      </c>
      <c r="B1073" s="167" t="s">
        <v>105</v>
      </c>
      <c r="C1073" s="167">
        <v>4063060</v>
      </c>
      <c r="D1073" s="168" t="s">
        <v>140</v>
      </c>
      <c r="E1073" s="168" t="s">
        <v>126</v>
      </c>
      <c r="F1073" s="198"/>
      <c r="G1073" s="167" t="s">
        <v>9</v>
      </c>
      <c r="H1073" s="169">
        <v>2003</v>
      </c>
      <c r="I1073" s="170"/>
      <c r="J1073" s="166"/>
      <c r="K1073" s="166"/>
      <c r="L1073" s="166"/>
      <c r="M1073" s="172"/>
      <c r="N1073" s="196"/>
      <c r="O1073" s="172"/>
      <c r="P1073" s="166"/>
      <c r="Q1073" s="166"/>
      <c r="R1073" s="166"/>
      <c r="S1073" s="166"/>
      <c r="T1073" s="166"/>
      <c r="U1073" s="166"/>
      <c r="V1073" s="166">
        <f t="shared" si="3191"/>
        <v>19658.898357421604</v>
      </c>
      <c r="W1073" s="170"/>
      <c r="X1073" s="174">
        <v>1530.0542487285893</v>
      </c>
      <c r="Y1073" s="175">
        <v>3.4097529808366923E-2</v>
      </c>
      <c r="Z1073" s="175"/>
      <c r="AA1073" s="175"/>
      <c r="AB1073" s="175"/>
      <c r="AC1073" s="170">
        <f t="shared" si="3053"/>
        <v>19658.898357421604</v>
      </c>
      <c r="AD1073" s="175"/>
      <c r="AE1073" s="170"/>
      <c r="AF1073" s="170"/>
      <c r="AG1073" s="174"/>
      <c r="AH1073" s="175"/>
      <c r="AI1073" s="175"/>
      <c r="AJ1073" s="174"/>
      <c r="AK1073" s="174"/>
      <c r="AL1073" s="120"/>
      <c r="AM1073" s="120"/>
      <c r="AN1073" s="120"/>
      <c r="AO1073" s="120"/>
      <c r="AP1073" s="120"/>
      <c r="AQ1073" s="175"/>
      <c r="AR1073" s="120"/>
      <c r="AS1073" s="120"/>
      <c r="AT1073" s="120"/>
      <c r="AU1073" s="120"/>
      <c r="AV1073" s="120"/>
      <c r="AW1073" s="120"/>
      <c r="AX1073" s="120"/>
      <c r="AY1073" s="120"/>
      <c r="AZ1073" s="118">
        <f>IFERROR(INDEX('Total Customers'!$F$7:$AB$91,MATCH($C1073,'Total Customers'!$D$7:$D$91,0),MATCH($G1073,'Total Customers'!$F$5:$AB$5,0)),"NA")</f>
        <v>170057</v>
      </c>
      <c r="BA1073" s="119">
        <f t="shared" si="3192"/>
        <v>4.3491653109638713E-3</v>
      </c>
      <c r="BB1073" s="119"/>
      <c r="BC1073" s="121"/>
      <c r="BD1073" s="119"/>
      <c r="BE1073" s="119"/>
      <c r="BF1073" s="119"/>
      <c r="BG1073" s="173"/>
      <c r="BH1073" s="173"/>
      <c r="BI1073" s="173"/>
      <c r="BJ1073" s="173"/>
      <c r="BK1073" s="173"/>
      <c r="BL1073" s="173"/>
      <c r="BM1073" s="173"/>
      <c r="BN1073" s="173"/>
      <c r="BO1073" s="173"/>
      <c r="BP1073" s="173"/>
      <c r="BQ1073" s="118"/>
      <c r="BR1073" s="118"/>
      <c r="BS1073" s="118">
        <f>INDEX('Dist. Plant Gas Additions'!$F$7:$AE$91,MATCH($C1073,'Dist. Plant Gas Additions'!$D$7:$D$91,0),MATCH(Calculation!$G1073,'Dist. Plant Gas Additions'!$F$5:$AE$5,0))</f>
        <v>21551</v>
      </c>
      <c r="BT1073" s="118">
        <f>INDEX('Gen. Plant Additions'!$F$7:$AE$91,MATCH($C1073,'Gen. Plant Additions'!$D$7:$D$91,0),MATCH(Calculation!$G1073,'Gen. Plant Additions'!$F$5:$AE$5,0))</f>
        <v>478</v>
      </c>
      <c r="BU1073" s="118"/>
      <c r="BV1073" s="118"/>
      <c r="BW1073" s="118">
        <f>INDEX('Dist Plant Depreciation'!$E$7:$AD$94,MATCH($C1073,'Dist Plant Depreciation'!$D$7:$D$94,0),MATCH(Calculation!$G1073,'Dist Plant Depreciation'!$E$5:$AD$5,0))</f>
        <v>174494</v>
      </c>
      <c r="BX1073" s="118">
        <f>INDEX('Gen. Plant Depreciation'!$E$7:$AD$94,MATCH($C1073,'Gen. Plant Depreciation'!$D$7:$D$94,0),MATCH(Calculation!$G1073,'Gen. Plant Depreciation'!$E$5:$AD$5,0))</f>
        <v>18049</v>
      </c>
      <c r="BY1073" s="118"/>
      <c r="BZ1073" s="118"/>
      <c r="CA1073" s="118"/>
      <c r="CB1073" s="118"/>
      <c r="CC1073" s="118"/>
      <c r="CD1073" s="183"/>
      <c r="CE1073" s="118">
        <f>INDEX('Gross Dx Plant'!$E$7:$AD$91,MATCH($C1073,'Gross Dx Plant'!$D$7:$D$91,0),MATCH(Calculation!$G1073,'Gross Dx Plant'!$E$5:$AD$5,0))</f>
        <v>459576</v>
      </c>
      <c r="CF1073" s="118">
        <f>INDEX('Gross Gen Plant'!$E$7:$AD$91,MATCH($C1073,'Gross Gen Plant'!$D$7:$D$91,0),MATCH(Calculation!$G1073,'Gross Gen Plant'!$E$5:$AD$5,0))</f>
        <v>38933</v>
      </c>
      <c r="CG1073" s="118">
        <f t="shared" si="3018"/>
        <v>305966</v>
      </c>
      <c r="CH1073" s="118"/>
      <c r="CI1073" s="121">
        <v>2003</v>
      </c>
      <c r="CJ1073" s="118"/>
      <c r="CK1073" s="118"/>
      <c r="CL1073" s="118"/>
      <c r="CM1073" s="183"/>
      <c r="CN1073" s="118">
        <f t="shared" si="3201"/>
        <v>22029</v>
      </c>
      <c r="CO1073" s="118">
        <f t="shared" si="3193"/>
        <v>59.661512774785074</v>
      </c>
      <c r="CP1073" s="186">
        <v>0.97354497354497349</v>
      </c>
      <c r="CQ1073" s="118">
        <f>+CQ1068*CP1073+CO1069*CP1072+CO1070*CP1071+CO1071*CP1070+CO1072*CP1069+CO1073</f>
        <v>1530.0542487285893</v>
      </c>
      <c r="CR1073" s="119">
        <f t="shared" si="3194"/>
        <v>3.4097529808366923E-2</v>
      </c>
      <c r="CS1073" s="119"/>
      <c r="CT1073" s="177">
        <f t="shared" si="3195"/>
        <v>5.6600504440543781E-3</v>
      </c>
      <c r="CU1073" s="177">
        <f t="shared" si="3204"/>
        <v>5.491257528749482E-3</v>
      </c>
      <c r="CV1073" s="119">
        <f>VLOOKUP($H1073,RoR!$E:$F,2,FALSE)</f>
        <v>5.6666666666666671E-2</v>
      </c>
      <c r="CW1073" s="177">
        <v>1.8855119140166909E-2</v>
      </c>
      <c r="CX1073" s="177">
        <f t="shared" si="3202"/>
        <v>3.7811547526499761E-2</v>
      </c>
      <c r="CY1073" s="177">
        <f t="shared" si="3205"/>
        <v>2.5410684079784144E-2</v>
      </c>
      <c r="CZ1073" s="177">
        <f t="shared" si="3206"/>
        <v>2.1375012817671957E-2</v>
      </c>
      <c r="DA1073" s="187">
        <f t="shared" si="3196"/>
        <v>0.84925000000000006</v>
      </c>
      <c r="DB1073" s="188">
        <f t="shared" si="3197"/>
        <v>0.90497737556561086</v>
      </c>
      <c r="DC1073" s="188">
        <f t="shared" si="3198"/>
        <v>0.5338235294117647</v>
      </c>
      <c r="DD1073" s="188">
        <f t="shared" si="3199"/>
        <v>0.88972433127405692</v>
      </c>
      <c r="DE1073" s="188">
        <f t="shared" si="3200"/>
        <v>0.42982423775949252</v>
      </c>
      <c r="DF1073" s="189">
        <f>INDEX('State Tax Lookup'!$D$7:$Z$91,MATCH(Calculation!$C1073,'State Tax Lookup'!$B$7:$B$91,0),MATCH($H1073,'State Tax Lookup'!$D$6:$Z$6,0))</f>
        <v>0.40200000000000002</v>
      </c>
      <c r="DG1073" s="189">
        <v>0.375</v>
      </c>
      <c r="DH1073" s="190">
        <f t="shared" si="3203"/>
        <v>13.294154359626946</v>
      </c>
      <c r="DI1073" s="190"/>
      <c r="DJ1073" s="177"/>
      <c r="DK1073" s="189">
        <f>VLOOKUP($H1073,RoR!$E:$F,2,FALSE)</f>
        <v>5.6666666666666671E-2</v>
      </c>
      <c r="DL1073" s="191">
        <f>HLOOKUP($H1073,'GDP-PI'!$D$8:$CQ$11,3,FALSE)</f>
        <v>1.8855119140166909E-2</v>
      </c>
      <c r="DM1073" s="189">
        <f>VLOOKUP(H1073,'HW Dx Data'!$E:$F,2,FALSE)</f>
        <v>369.23301095560191</v>
      </c>
      <c r="DN1073" s="183">
        <f>VLOOKUP(H1073,'ECI - Input Price'!$G$17:$H$37,2,FALSE)</f>
        <v>92.625</v>
      </c>
      <c r="DO1073" s="177">
        <f t="shared" ref="DO1073" si="3207">LN(DN1073/DN1072)</f>
        <v>3.6837590135738785E-2</v>
      </c>
      <c r="DP1073" s="183">
        <f>HLOOKUP(H1073,'GDP-PI'!$8:$9,2,FALSE)</f>
        <v>82.566999999999993</v>
      </c>
      <c r="DQ1073" s="177">
        <f t="shared" ref="DQ1073" si="3208">LN(DP1073/DP1072)</f>
        <v>1.8679564681853753E-2</v>
      </c>
    </row>
    <row r="1074" spans="1:121" s="167" customFormat="1" ht="21" x14ac:dyDescent="0.35">
      <c r="A1074" s="167" t="s">
        <v>104</v>
      </c>
      <c r="B1074" s="167" t="s">
        <v>105</v>
      </c>
      <c r="C1074" s="167">
        <v>4063060</v>
      </c>
      <c r="D1074" s="168" t="s">
        <v>140</v>
      </c>
      <c r="E1074" s="168" t="s">
        <v>126</v>
      </c>
      <c r="F1074" s="198"/>
      <c r="G1074" s="167" t="s">
        <v>10</v>
      </c>
      <c r="H1074" s="169">
        <v>2004</v>
      </c>
      <c r="I1074" s="170"/>
      <c r="J1074" s="166">
        <f>IFERROR(INDEX('Labor Expenditures'!$F$7:$X$91,MATCH($C1074,'Labor Expenditures'!$D$7:$D$91,0),MATCH($G1074,'Labor Expenditures'!$F$5:$X$5,0)),"NA")</f>
        <v>16337.957017161254</v>
      </c>
      <c r="K1074" s="166">
        <f t="shared" ref="K1074:K1091" si="3209">+J1074/DN1074</f>
        <v>169.87737995488698</v>
      </c>
      <c r="L1074" s="172"/>
      <c r="M1074" s="172"/>
      <c r="N1074" s="196"/>
      <c r="O1074" s="172"/>
      <c r="P1074" s="166">
        <f>IFERROR(INDEX('Non-Labor Expenditures'!$F$7:$AB$91,MATCH($C1074,'Non-Labor Expenditures'!$D$7:$D$91,0),MATCH($G1074,'Non-Labor Expenditures'!$F$5:$AB$5,0)),"NA")</f>
        <v>23660.413270296627</v>
      </c>
      <c r="Q1074" s="166">
        <f t="shared" ref="Q1074:Q1091" si="3210">+P1074/DP1074</f>
        <v>279.08671200425374</v>
      </c>
      <c r="R1074" s="166"/>
      <c r="S1074" s="166"/>
      <c r="T1074" s="166"/>
      <c r="U1074" s="166"/>
      <c r="V1074" s="166">
        <f t="shared" si="3191"/>
        <v>22611.894447360242</v>
      </c>
      <c r="W1074" s="170"/>
      <c r="X1074" s="174">
        <v>1570.1396636979371</v>
      </c>
      <c r="Y1074" s="175">
        <v>2.5861381711972463E-2</v>
      </c>
      <c r="Z1074" s="175"/>
      <c r="AA1074" s="175"/>
      <c r="AB1074" s="175"/>
      <c r="AC1074" s="170">
        <f t="shared" si="3053"/>
        <v>62610.26473481812</v>
      </c>
      <c r="AD1074" s="175"/>
      <c r="AE1074" s="170"/>
      <c r="AF1074" s="170"/>
      <c r="AG1074" s="174"/>
      <c r="AH1074" s="175"/>
      <c r="AI1074" s="175"/>
      <c r="AJ1074" s="174"/>
      <c r="AK1074" s="174"/>
      <c r="AL1074" s="120">
        <f t="shared" ref="AL1074:AL1091" si="3211">+J1074/AC1074</f>
        <v>0.26094694035170835</v>
      </c>
      <c r="AM1074" s="120">
        <f t="shared" ref="AM1074:AM1091" si="3212">+P1074/AC1074</f>
        <v>0.37789990779481342</v>
      </c>
      <c r="AN1074" s="120">
        <f t="shared" ref="AN1074:AN1091" si="3213">+V1074/AC1074</f>
        <v>0.36115315185347824</v>
      </c>
      <c r="AO1074" s="120"/>
      <c r="AP1074" s="120"/>
      <c r="AQ1074" s="175"/>
      <c r="AR1074" s="120"/>
      <c r="AS1074" s="120"/>
      <c r="AT1074" s="120"/>
      <c r="AU1074" s="120"/>
      <c r="AV1074" s="120"/>
      <c r="AW1074" s="120"/>
      <c r="AX1074" s="120"/>
      <c r="AY1074" s="120"/>
      <c r="AZ1074" s="118">
        <f>IFERROR(INDEX('Total Customers'!$F$7:$AB$91,MATCH($C1074,'Total Customers'!$D$7:$D$91,0),MATCH($G1074,'Total Customers'!$F$5:$AB$5,0)),"NA")</f>
        <v>170817</v>
      </c>
      <c r="BA1074" s="119">
        <f t="shared" si="3192"/>
        <v>4.4591330480541081E-3</v>
      </c>
      <c r="BB1074" s="119"/>
      <c r="BC1074" s="121"/>
      <c r="BD1074" s="119"/>
      <c r="BE1074" s="119"/>
      <c r="BF1074" s="119"/>
      <c r="BG1074" s="173"/>
      <c r="BH1074" s="173"/>
      <c r="BI1074" s="173"/>
      <c r="BJ1074" s="173"/>
      <c r="BK1074" s="173"/>
      <c r="BL1074" s="173"/>
      <c r="BM1074" s="173"/>
      <c r="BN1074" s="173"/>
      <c r="BO1074" s="173"/>
      <c r="BP1074" s="173"/>
      <c r="BQ1074" s="118"/>
      <c r="BR1074" s="118"/>
      <c r="BS1074" s="118">
        <f>INDEX('Dist. Plant Gas Additions'!$F$7:$AE$91,MATCH($C1074,'Dist. Plant Gas Additions'!$D$7:$D$91,0),MATCH(Calculation!$G1074,'Dist. Plant Gas Additions'!$F$5:$AE$5,0))</f>
        <v>18949</v>
      </c>
      <c r="BT1074" s="118">
        <f>INDEX('Gen. Plant Additions'!$F$7:$AE$91,MATCH($C1074,'Gen. Plant Additions'!$D$7:$D$91,0),MATCH(Calculation!$G1074,'Gen. Plant Additions'!$F$5:$AE$5,0))</f>
        <v>1389</v>
      </c>
      <c r="BU1074" s="118"/>
      <c r="BV1074" s="118"/>
      <c r="BW1074" s="118">
        <f>INDEX('Dist Plant Depreciation'!$E$7:$AD$94,MATCH($C1074,'Dist Plant Depreciation'!$D$7:$D$94,0),MATCH(Calculation!$G1074,'Dist Plant Depreciation'!$E$5:$AD$5,0))</f>
        <v>187598</v>
      </c>
      <c r="BX1074" s="118">
        <f>INDEX('Gen. Plant Depreciation'!$E$7:$AD$94,MATCH($C1074,'Gen. Plant Depreciation'!$D$7:$D$94,0),MATCH(Calculation!$G1074,'Gen. Plant Depreciation'!$E$5:$AD$5,0))</f>
        <v>21304</v>
      </c>
      <c r="BY1074" s="118"/>
      <c r="BZ1074" s="118"/>
      <c r="CA1074" s="118"/>
      <c r="CB1074" s="118"/>
      <c r="CC1074" s="118"/>
      <c r="CD1074" s="183"/>
      <c r="CE1074" s="118">
        <f>INDEX('Gross Dx Plant'!$E$7:$AD$91,MATCH($C1074,'Gross Dx Plant'!$D$7:$D$91,0),MATCH(Calculation!$G1074,'Gross Dx Plant'!$E$5:$AD$5,0))</f>
        <v>474888</v>
      </c>
      <c r="CF1074" s="118">
        <f>INDEX('Gross Gen Plant'!$E$7:$AD$91,MATCH($C1074,'Gross Gen Plant'!$D$7:$D$91,0),MATCH(Calculation!$G1074,'Gross Gen Plant'!$E$5:$AD$5,0))</f>
        <v>39392</v>
      </c>
      <c r="CG1074" s="118">
        <f t="shared" si="3018"/>
        <v>305378</v>
      </c>
      <c r="CH1074" s="118"/>
      <c r="CI1074" s="121">
        <v>2004</v>
      </c>
      <c r="CJ1074" s="118"/>
      <c r="CK1074" s="118"/>
      <c r="CL1074" s="118"/>
      <c r="CM1074" s="183"/>
      <c r="CN1074" s="118">
        <f t="shared" si="3201"/>
        <v>20338</v>
      </c>
      <c r="CO1074" s="118">
        <f t="shared" si="3193"/>
        <v>49.0205540781105</v>
      </c>
      <c r="CP1074" s="186">
        <v>0.967741935483871</v>
      </c>
      <c r="CQ1074" s="118">
        <f>+CQ1068*CP1074+CO1069*CP1073+CO1070*CP1072+CO1071*CP1071+CO1072*CP1070+CO1073*CP1069+CO1074</f>
        <v>1570.1396636979371</v>
      </c>
      <c r="CR1074" s="119">
        <f t="shared" si="3194"/>
        <v>2.5861381711972463E-2</v>
      </c>
      <c r="CS1074" s="119"/>
      <c r="CT1074" s="177">
        <f t="shared" si="3195"/>
        <v>5.8397531435159626E-3</v>
      </c>
      <c r="CU1074" s="177">
        <f t="shared" si="3204"/>
        <v>5.684904193419933E-3</v>
      </c>
      <c r="CV1074" s="119">
        <f>VLOOKUP($H1074,RoR!$E:$F,2,FALSE)</f>
        <v>5.6283333333333331E-2</v>
      </c>
      <c r="CW1074" s="177">
        <v>2.6778252812867276E-2</v>
      </c>
      <c r="CX1074" s="177">
        <f t="shared" si="3202"/>
        <v>2.9505080520466055E-2</v>
      </c>
      <c r="CY1074" s="177">
        <f t="shared" si="3205"/>
        <v>2.5217037415113691E-2</v>
      </c>
      <c r="CZ1074" s="177">
        <f t="shared" si="3206"/>
        <v>5.5940039414565046E-2</v>
      </c>
      <c r="DA1074" s="187">
        <f t="shared" si="3196"/>
        <v>0.84925000000000006</v>
      </c>
      <c r="DB1074" s="188">
        <f t="shared" si="3197"/>
        <v>0.91114097628755619</v>
      </c>
      <c r="DC1074" s="188">
        <f t="shared" si="3198"/>
        <v>0.53081877405981637</v>
      </c>
      <c r="DD1074" s="188">
        <f t="shared" si="3199"/>
        <v>0.88811215519385678</v>
      </c>
      <c r="DE1074" s="188">
        <f t="shared" si="3200"/>
        <v>0.42953609753547711</v>
      </c>
      <c r="DF1074" s="189">
        <f>INDEX('State Tax Lookup'!$D$7:$Z$91,MATCH(Calculation!$C1074,'State Tax Lookup'!$B$7:$B$91,0),MATCH($H1074,'State Tax Lookup'!$D$6:$Z$6,0))</f>
        <v>0.40200000000000002</v>
      </c>
      <c r="DG1074" s="189">
        <v>0.375</v>
      </c>
      <c r="DH1074" s="190">
        <f t="shared" si="3203"/>
        <v>14.778491982326623</v>
      </c>
      <c r="DI1074" s="190"/>
      <c r="DJ1074" s="177"/>
      <c r="DK1074" s="189">
        <f>VLOOKUP($H1074,RoR!$E:$F,2,FALSE)</f>
        <v>5.6283333333333331E-2</v>
      </c>
      <c r="DL1074" s="191">
        <f>HLOOKUP($H1074,'GDP-PI'!$D$8:$CQ$11,3,FALSE)</f>
        <v>2.6778252812867276E-2</v>
      </c>
      <c r="DM1074" s="189">
        <f>VLOOKUP(H1074,'HW Dx Data'!$E:$F,2,FALSE)</f>
        <v>414.88719135228365</v>
      </c>
      <c r="DN1074" s="183">
        <f>VLOOKUP(H1074,'ECI - Input Price'!$G$17:$H$37,2,FALSE)</f>
        <v>96.174999999999997</v>
      </c>
      <c r="DO1074" s="177">
        <f t="shared" ref="DO1074" si="3214">LN(DN1074/DN1073)</f>
        <v>3.7610365022107912E-2</v>
      </c>
      <c r="DP1074" s="183">
        <f>HLOOKUP(H1074,'GDP-PI'!$8:$9,2,FALSE)</f>
        <v>84.778000000000006</v>
      </c>
      <c r="DQ1074" s="177">
        <f t="shared" ref="DQ1074" si="3215">LN(DP1074/DP1073)</f>
        <v>2.6425990216022755E-2</v>
      </c>
    </row>
    <row r="1075" spans="1:121" s="167" customFormat="1" ht="21" x14ac:dyDescent="0.35">
      <c r="A1075" s="167" t="s">
        <v>104</v>
      </c>
      <c r="B1075" s="167" t="s">
        <v>105</v>
      </c>
      <c r="C1075" s="167">
        <v>4063060</v>
      </c>
      <c r="D1075" s="168" t="s">
        <v>140</v>
      </c>
      <c r="E1075" s="168" t="s">
        <v>126</v>
      </c>
      <c r="F1075" s="198"/>
      <c r="G1075" s="167" t="s">
        <v>11</v>
      </c>
      <c r="H1075" s="169">
        <v>2005</v>
      </c>
      <c r="I1075" s="170"/>
      <c r="J1075" s="166">
        <f>IFERROR(INDEX('Labor Expenditures'!$F$7:$X$91,MATCH($C1075,'Labor Expenditures'!$D$7:$D$91,0),MATCH($G1075,'Labor Expenditures'!$F$5:$X$5,0)),"NA")</f>
        <v>16966.167671511615</v>
      </c>
      <c r="K1075" s="166">
        <f t="shared" si="3209"/>
        <v>171.11616411005159</v>
      </c>
      <c r="L1075" s="172">
        <f t="shared" ref="L1075:L1091" si="3216">LN(K1075/K1074)</f>
        <v>7.2657657394323829E-3</v>
      </c>
      <c r="M1075" s="172"/>
      <c r="N1075" s="196"/>
      <c r="O1075" s="172"/>
      <c r="P1075" s="166">
        <f>IFERROR(INDEX('Non-Labor Expenditures'!$F$7:$AB$91,MATCH($C1075,'Non-Labor Expenditures'!$D$7:$D$91,0),MATCH($G1075,'Non-Labor Expenditures'!$F$5:$AB$5,0)),"NA")</f>
        <v>24570.179631361247</v>
      </c>
      <c r="Q1075" s="166">
        <f t="shared" si="3210"/>
        <v>281.10082294737549</v>
      </c>
      <c r="R1075" s="172">
        <f>LN(Q1075/Q1074)</f>
        <v>7.1908762561449071E-3</v>
      </c>
      <c r="S1075" s="172"/>
      <c r="T1075" s="172"/>
      <c r="U1075" s="172"/>
      <c r="V1075" s="166">
        <f t="shared" si="3191"/>
        <v>26011.834271759391</v>
      </c>
      <c r="W1075" s="170"/>
      <c r="X1075" s="174">
        <v>1605.5630170489383</v>
      </c>
      <c r="Y1075" s="175">
        <v>2.2309911335244015E-2</v>
      </c>
      <c r="Z1075" s="175"/>
      <c r="AA1075" s="175"/>
      <c r="AB1075" s="175"/>
      <c r="AC1075" s="170">
        <f t="shared" si="3053"/>
        <v>67548.181574632254</v>
      </c>
      <c r="AD1075" s="175">
        <f>LN(AC1075/AC1074)</f>
        <v>7.5911906285768369E-2</v>
      </c>
      <c r="AE1075" s="170"/>
      <c r="AF1075" s="170"/>
      <c r="AG1075" s="121"/>
      <c r="AH1075" s="119"/>
      <c r="AI1075" s="119"/>
      <c r="AJ1075" s="121"/>
      <c r="AK1075" s="121"/>
      <c r="AL1075" s="120">
        <f t="shared" si="3211"/>
        <v>0.25117134578620937</v>
      </c>
      <c r="AM1075" s="120">
        <f t="shared" si="3212"/>
        <v>0.36374302103475997</v>
      </c>
      <c r="AN1075" s="120">
        <f t="shared" si="3213"/>
        <v>0.38508563317903061</v>
      </c>
      <c r="AO1075" s="120">
        <f t="shared" ref="AO1075:AO1091" si="3217">+(((AL1075+AL1074)/2)*L1075+((AM1074+AM1075)/2)*R1075+((AN1074+AN1075)/2)*Y1075)</f>
        <v>1.2851257577205774E-2</v>
      </c>
      <c r="AP1075" s="173">
        <v>100</v>
      </c>
      <c r="AQ1075" s="175"/>
      <c r="AR1075" s="120"/>
      <c r="AS1075" s="120"/>
      <c r="AT1075" s="120"/>
      <c r="AU1075" s="120"/>
      <c r="AV1075" s="120"/>
      <c r="AW1075" s="120"/>
      <c r="AX1075" s="120"/>
      <c r="AY1075" s="120"/>
      <c r="AZ1075" s="118">
        <f>IFERROR(INDEX('Total Customers'!$F$7:$AB$91,MATCH($C1075,'Total Customers'!$D$7:$D$91,0),MATCH($G1075,'Total Customers'!$F$5:$AB$5,0)),"NA")</f>
        <v>173639</v>
      </c>
      <c r="BA1075" s="119">
        <f t="shared" si="3192"/>
        <v>1.6385623355662095E-2</v>
      </c>
      <c r="BB1075" s="119"/>
      <c r="BC1075" s="121"/>
      <c r="BD1075" s="119"/>
      <c r="BE1075" s="119"/>
      <c r="BF1075" s="119"/>
      <c r="BG1075" s="173"/>
      <c r="BH1075" s="173"/>
      <c r="BI1075" s="173"/>
      <c r="BJ1075" s="173"/>
      <c r="BK1075" s="173"/>
      <c r="BL1075" s="173"/>
      <c r="BM1075" s="173"/>
      <c r="BN1075" s="173"/>
      <c r="BO1075" s="173"/>
      <c r="BP1075" s="173"/>
      <c r="BQ1075" s="118"/>
      <c r="BR1075" s="118"/>
      <c r="BS1075" s="118">
        <f>INDEX('Dist. Plant Gas Additions'!$F$7:$AE$91,MATCH($C1075,'Dist. Plant Gas Additions'!$D$7:$D$91,0),MATCH(Calculation!$G1075,'Dist. Plant Gas Additions'!$F$5:$AE$5,0))</f>
        <v>20007</v>
      </c>
      <c r="BT1075" s="118">
        <f>INDEX('Gen. Plant Additions'!$F$7:$AE$91,MATCH($C1075,'Gen. Plant Additions'!$D$7:$D$91,0),MATCH(Calculation!$G1075,'Gen. Plant Additions'!$F$5:$AE$5,0))</f>
        <v>1057</v>
      </c>
      <c r="BU1075" s="118"/>
      <c r="BV1075" s="118"/>
      <c r="BW1075" s="118">
        <f>INDEX('Dist Plant Depreciation'!$E$7:$AD$94,MATCH($C1075,'Dist Plant Depreciation'!$D$7:$D$94,0),MATCH(Calculation!$G1075,'Dist Plant Depreciation'!$E$5:$AD$5,0))</f>
        <v>186923</v>
      </c>
      <c r="BX1075" s="118">
        <f>INDEX('Gen. Plant Depreciation'!$E$7:$AD$94,MATCH($C1075,'Gen. Plant Depreciation'!$D$7:$D$94,0),MATCH(Calculation!$G1075,'Gen. Plant Depreciation'!$E$5:$AD$5,0))</f>
        <v>24623</v>
      </c>
      <c r="BY1075" s="118"/>
      <c r="BZ1075" s="118"/>
      <c r="CA1075" s="118"/>
      <c r="CB1075" s="118"/>
      <c r="CC1075" s="118"/>
      <c r="CD1075" s="183"/>
      <c r="CE1075" s="118">
        <f>INDEX('Gross Dx Plant'!$E$7:$AD$91,MATCH($C1075,'Gross Dx Plant'!$D$7:$D$91,0),MATCH(Calculation!$G1075,'Gross Dx Plant'!$E$5:$AD$5,0))</f>
        <v>500465</v>
      </c>
      <c r="CF1075" s="118">
        <f>INDEX('Gross Gen Plant'!$E$7:$AD$91,MATCH($C1075,'Gross Gen Plant'!$D$7:$D$91,0),MATCH(Calculation!$G1075,'Gross Gen Plant'!$E$5:$AD$5,0))</f>
        <v>40402</v>
      </c>
      <c r="CG1075" s="118">
        <f t="shared" si="3018"/>
        <v>329321</v>
      </c>
      <c r="CH1075" s="118"/>
      <c r="CI1075" s="121">
        <v>2005</v>
      </c>
      <c r="CJ1075" s="118"/>
      <c r="CK1075" s="118"/>
      <c r="CL1075" s="118"/>
      <c r="CM1075" s="183"/>
      <c r="CN1075" s="118">
        <f t="shared" si="3201"/>
        <v>21064</v>
      </c>
      <c r="CO1075" s="118">
        <f t="shared" si="3193"/>
        <v>44.892943807725736</v>
      </c>
      <c r="CP1075" s="186">
        <v>0.96174863387978138</v>
      </c>
      <c r="CQ1075" s="118">
        <f>+CQ1068*CP1075+CO1069*CP1074+CO1070*CP1073+CO1071*CP1072+CO1072*CP1071+CO1073*CP1070+CO1074*CP1069+CO1075</f>
        <v>1605.5630170489383</v>
      </c>
      <c r="CR1075" s="119">
        <f t="shared" si="3194"/>
        <v>2.2309911335244015E-2</v>
      </c>
      <c r="CS1075" s="119"/>
      <c r="CT1075" s="177">
        <f t="shared" si="3195"/>
        <v>6.0310497694339472E-3</v>
      </c>
      <c r="CU1075" s="177">
        <f t="shared" si="3204"/>
        <v>5.8436177856680954E-3</v>
      </c>
      <c r="CV1075" s="119">
        <f>VLOOKUP($H1075,RoR!$E:$F,2,FALSE)</f>
        <v>5.2350000000000001E-2</v>
      </c>
      <c r="CW1075" s="177">
        <v>3.1010403642454332E-2</v>
      </c>
      <c r="CX1075" s="177">
        <f t="shared" si="3202"/>
        <v>2.1339596357545669E-2</v>
      </c>
      <c r="CY1075" s="177">
        <f t="shared" si="3205"/>
        <v>2.505832382286553E-2</v>
      </c>
      <c r="CZ1075" s="177">
        <f t="shared" si="3206"/>
        <v>9.2129610649277341E-2</v>
      </c>
      <c r="DA1075" s="187">
        <f t="shared" si="3196"/>
        <v>0.84925000000000006</v>
      </c>
      <c r="DB1075" s="188">
        <f t="shared" si="3197"/>
        <v>0.97959983346802826</v>
      </c>
      <c r="DC1075" s="188">
        <f t="shared" si="3198"/>
        <v>0.49744508118433622</v>
      </c>
      <c r="DD1075" s="188">
        <f t="shared" si="3199"/>
        <v>0.87010519444335932</v>
      </c>
      <c r="DE1075" s="188">
        <f t="shared" si="3200"/>
        <v>0.42399975420741998</v>
      </c>
      <c r="DF1075" s="189">
        <f>INDEX('State Tax Lookup'!$D$7:$Z$91,MATCH(Calculation!$C1075,'State Tax Lookup'!$B$7:$B$91,0),MATCH($H1075,'State Tax Lookup'!$D$6:$Z$6,0))</f>
        <v>0.40200000000000002</v>
      </c>
      <c r="DG1075" s="189">
        <v>0.375</v>
      </c>
      <c r="DH1075" s="190">
        <f t="shared" si="3203"/>
        <v>16.566573581420933</v>
      </c>
      <c r="DI1075" s="190"/>
      <c r="DJ1075" s="177"/>
      <c r="DK1075" s="189">
        <f>VLOOKUP($H1075,RoR!$E:$F,2,FALSE)</f>
        <v>5.2350000000000001E-2</v>
      </c>
      <c r="DL1075" s="191">
        <f>HLOOKUP($H1075,'GDP-PI'!$D$8:$CQ$11,3,FALSE)</f>
        <v>3.1010403642454332E-2</v>
      </c>
      <c r="DM1075" s="189">
        <f>VLOOKUP(H1075,'HW Dx Data'!$E:$F,2,FALSE)</f>
        <v>469.20514034936258</v>
      </c>
      <c r="DN1075" s="183">
        <f>VLOOKUP(H1075,'ECI - Input Price'!$G$17:$H$37,2,FALSE)</f>
        <v>99.15</v>
      </c>
      <c r="DO1075" s="177">
        <f t="shared" ref="DO1075" si="3218">LN(DN1075/DN1074)</f>
        <v>3.046440632744625E-2</v>
      </c>
      <c r="DP1075" s="183">
        <f>HLOOKUP(H1075,'GDP-PI'!$8:$9,2,FALSE)</f>
        <v>87.406999999999996</v>
      </c>
      <c r="DQ1075" s="177">
        <f t="shared" ref="DQ1075" si="3219">LN(DP1075/DP1074)</f>
        <v>3.0539295810733648E-2</v>
      </c>
    </row>
    <row r="1076" spans="1:121" s="167" customFormat="1" ht="21" x14ac:dyDescent="0.35">
      <c r="A1076" s="167" t="s">
        <v>104</v>
      </c>
      <c r="B1076" s="167" t="s">
        <v>105</v>
      </c>
      <c r="C1076" s="167">
        <v>4063060</v>
      </c>
      <c r="D1076" s="168" t="s">
        <v>140</v>
      </c>
      <c r="E1076" s="168" t="s">
        <v>126</v>
      </c>
      <c r="F1076" s="198"/>
      <c r="G1076" s="167" t="s">
        <v>12</v>
      </c>
      <c r="H1076" s="169">
        <v>2006</v>
      </c>
      <c r="I1076" s="170"/>
      <c r="J1076" s="166">
        <f>IFERROR(INDEX('Labor Expenditures'!$F$7:$X$91,MATCH($C1076,'Labor Expenditures'!$D$7:$D$91,0),MATCH($G1076,'Labor Expenditures'!$F$5:$X$5,0)),"NA")</f>
        <v>17332.909498127203</v>
      </c>
      <c r="K1076" s="166">
        <f t="shared" si="3209"/>
        <v>169.84722683123178</v>
      </c>
      <c r="L1076" s="172">
        <f t="shared" si="3216"/>
        <v>-7.4432808392046954E-3</v>
      </c>
      <c r="M1076" s="172">
        <f t="shared" ref="M1076:M1091" si="3220">+L1076*AR1076</f>
        <v>-6.4002250537508425E-5</v>
      </c>
      <c r="N1076" s="196"/>
      <c r="O1076" s="172"/>
      <c r="P1076" s="166">
        <f>IFERROR(INDEX('Non-Labor Expenditures'!$F$7:$AB$91,MATCH($C1076,'Non-Labor Expenditures'!$D$7:$D$91,0),MATCH($G1076,'Non-Labor Expenditures'!$F$5:$AB$5,0)),"NA")</f>
        <v>25101.290294225266</v>
      </c>
      <c r="Q1076" s="166">
        <f t="shared" si="3210"/>
        <v>278.67409345899222</v>
      </c>
      <c r="R1076" s="172">
        <f t="shared" ref="R1076:R1091" si="3221">LN(Q1076/Q1075)</f>
        <v>-8.6704302746102926E-3</v>
      </c>
      <c r="S1076" s="172">
        <f>+R1076*AR1076</f>
        <v>-7.4554092837762547E-5</v>
      </c>
      <c r="T1076" s="172"/>
      <c r="U1076" s="172"/>
      <c r="V1076" s="166">
        <f t="shared" si="3191"/>
        <v>25964.180711029334</v>
      </c>
      <c r="W1076" s="170"/>
      <c r="X1076" s="174">
        <v>1646.7499276707292</v>
      </c>
      <c r="Y1076" s="175">
        <v>2.5329120107889E-2</v>
      </c>
      <c r="Z1076" s="175">
        <f>+Y1076*AR1076</f>
        <v>2.1779652361108128E-4</v>
      </c>
      <c r="AA1076" s="175"/>
      <c r="AB1076" s="175"/>
      <c r="AC1076" s="170">
        <f t="shared" si="3053"/>
        <v>68398.380503381806</v>
      </c>
      <c r="AD1076" s="175">
        <f t="shared" ref="AD1076:AD1091" si="3222">LN(AC1076/AC1075)</f>
        <v>1.2508003147757284E-2</v>
      </c>
      <c r="AE1076" s="170"/>
      <c r="AF1076" s="170"/>
      <c r="AG1076" s="121">
        <f t="shared" ref="AG1076:AG1091" si="3223">+(AC1076*1000)/AZ1076</f>
        <v>392.73300702447062</v>
      </c>
      <c r="AH1076" s="119">
        <f>+AZ1076/$BB$44</f>
        <v>4.9541435923930004E-3</v>
      </c>
      <c r="AI1076" s="119">
        <f>+AZ1076/$BC$44</f>
        <v>2.1117016961877698E-2</v>
      </c>
      <c r="AJ1076" s="176">
        <f>+AH1076*AG1076</f>
        <v>1.9456557102715164</v>
      </c>
      <c r="AK1076" s="176">
        <f>+AI1076*AG1076</f>
        <v>8.2933495708249794</v>
      </c>
      <c r="AL1076" s="120">
        <f t="shared" si="3211"/>
        <v>0.25341110959886276</v>
      </c>
      <c r="AM1076" s="120">
        <f t="shared" si="3212"/>
        <v>0.36698661736565807</v>
      </c>
      <c r="AN1076" s="120">
        <f t="shared" si="3213"/>
        <v>0.37960227303547917</v>
      </c>
      <c r="AO1076" s="120">
        <f t="shared" si="3217"/>
        <v>4.6386912601244475E-3</v>
      </c>
      <c r="AP1076" s="173">
        <f>+AP1075*EXP(AO1076)</f>
        <v>100.46494666432105</v>
      </c>
      <c r="AQ1076" s="175">
        <f>LN(AP1076/AP1075)</f>
        <v>4.6386912601244423E-3</v>
      </c>
      <c r="AR1076" s="177">
        <f>+AC1076/$AE$44</f>
        <v>8.5986612516889774E-3</v>
      </c>
      <c r="AS1076" s="177">
        <f>+AR1076*AQ1076</f>
        <v>3.9886534796980359E-5</v>
      </c>
      <c r="AT1076" s="177"/>
      <c r="AU1076" s="177"/>
      <c r="AV1076" s="177"/>
      <c r="AW1076" s="190"/>
      <c r="AX1076" s="120"/>
      <c r="AY1076" s="120"/>
      <c r="AZ1076" s="118">
        <f>IFERROR(INDEX('Total Customers'!$F$7:$AB$91,MATCH($C1076,'Total Customers'!$D$7:$D$91,0),MATCH($G1076,'Total Customers'!$F$5:$AB$5,0)),"NA")</f>
        <v>174160</v>
      </c>
      <c r="BA1076" s="119">
        <f t="shared" si="3192"/>
        <v>2.9959855531780078E-3</v>
      </c>
      <c r="BB1076" s="119"/>
      <c r="BC1076" s="121">
        <v>8247377</v>
      </c>
      <c r="BD1076" s="119"/>
      <c r="BE1076" s="119"/>
      <c r="BF1076" s="119"/>
      <c r="BG1076" s="173"/>
      <c r="BH1076" s="173"/>
      <c r="BI1076" s="173"/>
      <c r="BJ1076" s="173"/>
      <c r="BK1076" s="173"/>
      <c r="BL1076" s="173"/>
      <c r="BM1076" s="173"/>
      <c r="BN1076" s="173"/>
      <c r="BO1076" s="173"/>
      <c r="BP1076" s="173"/>
      <c r="BQ1076" s="118"/>
      <c r="BR1076" s="118"/>
      <c r="BS1076" s="118">
        <f>INDEX('Dist. Plant Gas Additions'!$F$7:$AE$91,MATCH($C1076,'Dist. Plant Gas Additions'!$D$7:$D$91,0),MATCH(Calculation!$G1076,'Dist. Plant Gas Additions'!$F$5:$AE$5,0))</f>
        <v>21924</v>
      </c>
      <c r="BT1076" s="118">
        <f>INDEX('Gen. Plant Additions'!$F$7:$AE$91,MATCH($C1076,'Gen. Plant Additions'!$D$7:$D$91,0),MATCH(Calculation!$G1076,'Gen. Plant Additions'!$F$5:$AE$5,0))</f>
        <v>1680</v>
      </c>
      <c r="BU1076" s="118"/>
      <c r="BV1076" s="118"/>
      <c r="BW1076" s="118">
        <f>INDEX('Dist Plant Depreciation'!$E$7:$AD$94,MATCH($C1076,'Dist Plant Depreciation'!$D$7:$D$94,0),MATCH(Calculation!$G1076,'Dist Plant Depreciation'!$E$5:$AD$5,0))</f>
        <v>196343</v>
      </c>
      <c r="BX1076" s="118">
        <f>INDEX('Gen. Plant Depreciation'!$E$7:$AD$94,MATCH($C1076,'Gen. Plant Depreciation'!$D$7:$D$94,0),MATCH(Calculation!$G1076,'Gen. Plant Depreciation'!$E$5:$AD$5,0))</f>
        <v>27386</v>
      </c>
      <c r="BY1076" s="118"/>
      <c r="BZ1076" s="118"/>
      <c r="CA1076" s="118"/>
      <c r="CB1076" s="118"/>
      <c r="CC1076" s="118"/>
      <c r="CD1076" s="183"/>
      <c r="CE1076" s="118">
        <f>INDEX('Gross Dx Plant'!$E$7:$AD$91,MATCH($C1076,'Gross Dx Plant'!$D$7:$D$91,0),MATCH(Calculation!$G1076,'Gross Dx Plant'!$E$5:$AD$5,0))</f>
        <v>519714</v>
      </c>
      <c r="CF1076" s="118">
        <f>INDEX('Gross Gen Plant'!$E$7:$AD$91,MATCH($C1076,'Gross Gen Plant'!$D$7:$D$91,0),MATCH(Calculation!$G1076,'Gross Gen Plant'!$E$5:$AD$5,0))</f>
        <v>41605</v>
      </c>
      <c r="CG1076" s="118">
        <f t="shared" ref="CG1076:CG1118" si="3224">IF(OR(BW1076="NA",BX1076="NA"),"NA",(SUM(CE1076:CF1076)-SUM(BW1076:BX1076)))</f>
        <v>337590</v>
      </c>
      <c r="CH1076" s="119" t="e">
        <f>SUM(#REF!)/15</f>
        <v>#REF!</v>
      </c>
      <c r="CI1076" s="121">
        <v>2006</v>
      </c>
      <c r="CJ1076" s="118"/>
      <c r="CK1076" s="118"/>
      <c r="CL1076" s="118"/>
      <c r="CM1076" s="183"/>
      <c r="CN1076" s="118">
        <f t="shared" si="3201"/>
        <v>23604</v>
      </c>
      <c r="CO1076" s="118">
        <f t="shared" si="3193"/>
        <v>51.192221741047945</v>
      </c>
      <c r="CP1076" s="186">
        <v>0.9555555555555556</v>
      </c>
      <c r="CQ1076" s="118">
        <f>+CQ1068*CP1076+CO1069*CP1075+CO1070*CP1074+CO1071*CP1073+CO1072*CP1072+CO1073*CP1071+CO1074*CP1070+CO1075*CP1069+CO1076</f>
        <v>1646.7499276707292</v>
      </c>
      <c r="CR1076" s="119">
        <f t="shared" si="3194"/>
        <v>2.5329120107889E-2</v>
      </c>
      <c r="CS1076" s="119"/>
      <c r="CT1076" s="177">
        <f t="shared" si="3195"/>
        <v>6.2316527056328064E-3</v>
      </c>
      <c r="CU1076" s="177">
        <f t="shared" si="3204"/>
        <v>6.0341518728609057E-3</v>
      </c>
      <c r="CV1076" s="119">
        <f>VLOOKUP($H1076,RoR!$E:$F,2,FALSE)</f>
        <v>5.5874999999999994E-2</v>
      </c>
      <c r="CW1076" s="177">
        <v>3.0512430354548314E-2</v>
      </c>
      <c r="CX1076" s="177">
        <f t="shared" si="3202"/>
        <v>2.536256964545168E-2</v>
      </c>
      <c r="CY1076" s="177">
        <f t="shared" si="3205"/>
        <v>2.4867789735672718E-2</v>
      </c>
      <c r="CZ1076" s="177">
        <f t="shared" si="3206"/>
        <v>7.9087823893859641E-2</v>
      </c>
      <c r="DA1076" s="187">
        <f t="shared" si="3196"/>
        <v>0.84925000000000006</v>
      </c>
      <c r="DB1076" s="188">
        <f t="shared" si="3197"/>
        <v>0.91779957551769631</v>
      </c>
      <c r="DC1076" s="188">
        <f t="shared" si="3198"/>
        <v>0.52757270693512304</v>
      </c>
      <c r="DD1076" s="188">
        <f t="shared" si="3199"/>
        <v>0.88636824549024895</v>
      </c>
      <c r="DE1076" s="188">
        <f t="shared" si="3200"/>
        <v>0.42918482841932087</v>
      </c>
      <c r="DF1076" s="189">
        <f>INDEX('State Tax Lookup'!$D$7:$Z$91,MATCH(Calculation!$C1076,'State Tax Lookup'!$B$7:$B$91,0),MATCH($H1076,'State Tax Lookup'!$D$6:$Z$6,0))</f>
        <v>0.40200000000000002</v>
      </c>
      <c r="DG1076" s="189">
        <v>0.375</v>
      </c>
      <c r="DH1076" s="190">
        <f t="shared" si="3203"/>
        <v>16.171386881314753</v>
      </c>
      <c r="DI1076" s="190">
        <v>15.699294542310691</v>
      </c>
      <c r="DJ1076" s="177"/>
      <c r="DK1076" s="189">
        <f>VLOOKUP($H1076,RoR!$E:$F,2,FALSE)</f>
        <v>5.5874999999999994E-2</v>
      </c>
      <c r="DL1076" s="191">
        <f>HLOOKUP($H1076,'GDP-PI'!$D$8:$CQ$11,3,FALSE)</f>
        <v>3.0512430354548314E-2</v>
      </c>
      <c r="DM1076" s="189">
        <f>VLOOKUP(H1076,'HW Dx Data'!$E:$F,2,FALSE)</f>
        <v>461.08567272971823</v>
      </c>
      <c r="DN1076" s="183">
        <f>VLOOKUP(H1076,'ECI - Input Price'!$G$17:$H$37,2,FALSE)</f>
        <v>102.05</v>
      </c>
      <c r="DO1076" s="177">
        <f t="shared" ref="DO1076" si="3225">LN(DN1076/DN1075)</f>
        <v>2.8829034290048662E-2</v>
      </c>
      <c r="DP1076" s="183">
        <f>HLOOKUP(H1076,'GDP-PI'!$8:$9,2,FALSE)</f>
        <v>90.073999999999998</v>
      </c>
      <c r="DQ1076" s="177">
        <f t="shared" ref="DQ1076" si="3226">LN(DP1076/DP1075)</f>
        <v>3.005618372545445E-2</v>
      </c>
    </row>
    <row r="1077" spans="1:121" s="167" customFormat="1" ht="21" x14ac:dyDescent="0.35">
      <c r="A1077" s="167" t="s">
        <v>104</v>
      </c>
      <c r="B1077" s="167" t="s">
        <v>105</v>
      </c>
      <c r="C1077" s="167">
        <v>4063060</v>
      </c>
      <c r="D1077" s="168" t="s">
        <v>140</v>
      </c>
      <c r="E1077" s="168" t="s">
        <v>126</v>
      </c>
      <c r="F1077" s="198"/>
      <c r="G1077" s="167" t="s">
        <v>13</v>
      </c>
      <c r="H1077" s="169">
        <v>2007</v>
      </c>
      <c r="I1077" s="170"/>
      <c r="J1077" s="166">
        <f>IFERROR(INDEX('Labor Expenditures'!$F$7:$X$91,MATCH($C1077,'Labor Expenditures'!$D$7:$D$91,0),MATCH($G1077,'Labor Expenditures'!$F$5:$X$5,0)),"NA")</f>
        <v>18421.396064993696</v>
      </c>
      <c r="K1077" s="166">
        <f t="shared" si="3209"/>
        <v>175.06672430500066</v>
      </c>
      <c r="L1077" s="172">
        <f t="shared" si="3216"/>
        <v>3.0267815687440018E-2</v>
      </c>
      <c r="M1077" s="172">
        <f t="shared" si="3220"/>
        <v>2.6543249033722131E-4</v>
      </c>
      <c r="N1077" s="196"/>
      <c r="O1077" s="172"/>
      <c r="P1077" s="166">
        <f>IFERROR(INDEX('Non-Labor Expenditures'!$F$7:$AB$91,MATCH($C1077,'Non-Labor Expenditures'!$D$7:$D$91,0),MATCH($G1077,'Non-Labor Expenditures'!$F$5:$AB$5,0)),"NA")</f>
        <v>26677.622144295365</v>
      </c>
      <c r="Q1077" s="166">
        <f t="shared" si="3210"/>
        <v>288.41296184020587</v>
      </c>
      <c r="R1077" s="172">
        <f t="shared" si="3221"/>
        <v>3.4350373138182733E-2</v>
      </c>
      <c r="S1077" s="172">
        <f t="shared" ref="S1077:S1091" si="3227">+R1077*AR1077</f>
        <v>3.0123432692449398E-4</v>
      </c>
      <c r="T1077" s="172"/>
      <c r="U1077" s="172"/>
      <c r="V1077" s="166">
        <f t="shared" si="3191"/>
        <v>28581.652261991738</v>
      </c>
      <c r="W1077" s="170"/>
      <c r="X1077" s="174">
        <v>1685.1327878274133</v>
      </c>
      <c r="Y1077" s="175">
        <v>2.304076191537251E-2</v>
      </c>
      <c r="Z1077" s="175">
        <f t="shared" ref="Z1077:Z1091" si="3228">+Y1077*AR1077</f>
        <v>2.0205510954667729E-4</v>
      </c>
      <c r="AA1077" s="175"/>
      <c r="AB1077" s="175"/>
      <c r="AC1077" s="170">
        <f t="shared" si="3053"/>
        <v>73680.670471280799</v>
      </c>
      <c r="AD1077" s="175">
        <f t="shared" si="3222"/>
        <v>7.4391344181671801E-2</v>
      </c>
      <c r="AE1077" s="170"/>
      <c r="AF1077" s="170"/>
      <c r="AG1077" s="121">
        <f t="shared" si="3223"/>
        <v>422.03080700216969</v>
      </c>
      <c r="AH1077" s="119">
        <f>+AZ1077/$BB$45</f>
        <v>4.9290255914038886E-3</v>
      </c>
      <c r="AI1077" s="119">
        <f>+AZ1077/$BC$45</f>
        <v>2.1322811607623431E-2</v>
      </c>
      <c r="AJ1077" s="176">
        <f t="shared" ref="AJ1077:AJ1091" si="3229">+AH1077*AG1077</f>
        <v>2.0802006480745296</v>
      </c>
      <c r="AK1077" s="176">
        <f t="shared" ref="AK1077:AK1091" si="3230">+AI1077*AG1077</f>
        <v>8.9988833903205485</v>
      </c>
      <c r="AL1077" s="120">
        <f t="shared" si="3211"/>
        <v>0.25001667258407989</v>
      </c>
      <c r="AM1077" s="120">
        <f t="shared" si="3212"/>
        <v>0.36207083857487088</v>
      </c>
      <c r="AN1077" s="120">
        <f t="shared" si="3213"/>
        <v>0.38791248884104923</v>
      </c>
      <c r="AO1077" s="120">
        <f t="shared" si="3217"/>
        <v>2.8982589934356158E-2</v>
      </c>
      <c r="AP1077" s="173">
        <f>+AP1076*EXP(AO1077)</f>
        <v>103.41928642664499</v>
      </c>
      <c r="AQ1077" s="175">
        <f>LN(AP1077/AP1076)</f>
        <v>2.8982589934356075E-2</v>
      </c>
      <c r="AR1077" s="177">
        <f>+AC1077/$AE$45</f>
        <v>8.7694630190101753E-3</v>
      </c>
      <c r="AS1077" s="177">
        <f t="shared" ref="AS1077:AS1091" si="3231">+AR1077*AQ1077</f>
        <v>2.5416175062447212E-4</v>
      </c>
      <c r="AT1077" s="177"/>
      <c r="AU1077" s="177"/>
      <c r="AV1077" s="177"/>
      <c r="AW1077" s="190"/>
      <c r="AX1077" s="120"/>
      <c r="AY1077" s="120"/>
      <c r="AZ1077" s="118">
        <f>IFERROR(INDEX('Total Customers'!$F$7:$AB$91,MATCH($C1077,'Total Customers'!$D$7:$D$91,0),MATCH($G1077,'Total Customers'!$F$5:$AB$5,0)),"NA")</f>
        <v>174586</v>
      </c>
      <c r="BA1077" s="119">
        <f t="shared" si="3192"/>
        <v>2.4430399882996098E-3</v>
      </c>
      <c r="BB1077" s="119"/>
      <c r="BC1077" s="121">
        <v>8187757</v>
      </c>
      <c r="BD1077" s="119"/>
      <c r="BE1077" s="119"/>
      <c r="BF1077" s="119"/>
      <c r="BG1077" s="173"/>
      <c r="BH1077" s="173"/>
      <c r="BI1077" s="173"/>
      <c r="BJ1077" s="173"/>
      <c r="BK1077" s="173"/>
      <c r="BL1077" s="173"/>
      <c r="BM1077" s="173"/>
      <c r="BN1077" s="173"/>
      <c r="BO1077" s="173"/>
      <c r="BP1077" s="173"/>
      <c r="BQ1077" s="118"/>
      <c r="BR1077" s="118"/>
      <c r="BS1077" s="118">
        <f>INDEX('Dist. Plant Gas Additions'!$F$7:$AE$91,MATCH($C1077,'Dist. Plant Gas Additions'!$D$7:$D$91,0),MATCH(Calculation!$G1077,'Dist. Plant Gas Additions'!$F$5:$AE$5,0))</f>
        <v>21336</v>
      </c>
      <c r="BT1077" s="118">
        <f>INDEX('Gen. Plant Additions'!$F$7:$AE$91,MATCH($C1077,'Gen. Plant Additions'!$D$7:$D$91,0),MATCH(Calculation!$G1077,'Gen. Plant Additions'!$F$5:$AE$5,0))</f>
        <v>3056</v>
      </c>
      <c r="BU1077" s="118"/>
      <c r="BV1077" s="118"/>
      <c r="BW1077" s="118">
        <f>INDEX('Dist Plant Depreciation'!$E$7:$AD$94,MATCH($C1077,'Dist Plant Depreciation'!$D$7:$D$94,0),MATCH(Calculation!$G1077,'Dist Plant Depreciation'!$E$5:$AD$5,0))</f>
        <v>204864</v>
      </c>
      <c r="BX1077" s="118">
        <f>INDEX('Gen. Plant Depreciation'!$E$7:$AD$94,MATCH($C1077,'Gen. Plant Depreciation'!$D$7:$D$94,0),MATCH(Calculation!$G1077,'Gen. Plant Depreciation'!$E$5:$AD$5,0))</f>
        <v>14818</v>
      </c>
      <c r="BY1077" s="118"/>
      <c r="BZ1077" s="118"/>
      <c r="CA1077" s="118"/>
      <c r="CB1077" s="118"/>
      <c r="CC1077" s="118"/>
      <c r="CD1077" s="183"/>
      <c r="CE1077" s="118">
        <f>INDEX('Gross Dx Plant'!$E$7:$AD$91,MATCH($C1077,'Gross Dx Plant'!$D$7:$D$91,0),MATCH(Calculation!$G1077,'Gross Dx Plant'!$E$5:$AD$5,0))</f>
        <v>537067</v>
      </c>
      <c r="CF1077" s="118">
        <f>INDEX('Gross Gen Plant'!$E$7:$AD$91,MATCH($C1077,'Gross Gen Plant'!$D$7:$D$91,0),MATCH(Calculation!$G1077,'Gross Gen Plant'!$E$5:$AD$5,0))</f>
        <v>29568</v>
      </c>
      <c r="CG1077" s="118">
        <f t="shared" si="3224"/>
        <v>346953</v>
      </c>
      <c r="CH1077" s="118"/>
      <c r="CI1077" s="121">
        <v>2007</v>
      </c>
      <c r="CJ1077" s="118"/>
      <c r="CK1077" s="118"/>
      <c r="CL1077" s="118"/>
      <c r="CM1077" s="183"/>
      <c r="CN1077" s="118">
        <f t="shared" si="3201"/>
        <v>24392</v>
      </c>
      <c r="CO1077" s="118">
        <f t="shared" si="3193"/>
        <v>48.977724977292851</v>
      </c>
      <c r="CP1077" s="186">
        <v>0.94915254237288138</v>
      </c>
      <c r="CQ1077" s="118">
        <f>+CQ1068*CP1077+CO1069*CP1076+CO1070*CP1075+CO1071*CP1074+CO1072*CP1073+CO1073*CP1072+CO1074*CP1071+CO1075*CP1070+CO1076*CP1069+CO1077</f>
        <v>1685.1327878274133</v>
      </c>
      <c r="CR1077" s="119">
        <f t="shared" si="3194"/>
        <v>2.304076191537251E-2</v>
      </c>
      <c r="CS1077" s="119"/>
      <c r="CT1077" s="177">
        <f t="shared" si="3195"/>
        <v>6.433803118846876E-3</v>
      </c>
      <c r="CU1077" s="177">
        <f t="shared" si="3204"/>
        <v>6.2321685313045426E-3</v>
      </c>
      <c r="CV1077" s="119">
        <f>VLOOKUP($H1077,RoR!$E:$F,2,FALSE)</f>
        <v>5.5558333333333321E-2</v>
      </c>
      <c r="CW1077" s="177">
        <v>2.691120634145272E-2</v>
      </c>
      <c r="CX1077" s="177">
        <f t="shared" si="3202"/>
        <v>2.86471269918806E-2</v>
      </c>
      <c r="CY1077" s="177">
        <f t="shared" si="3205"/>
        <v>2.4669773077229083E-2</v>
      </c>
      <c r="CZ1077" s="177">
        <f t="shared" si="3206"/>
        <v>6.4575155250632399E-2</v>
      </c>
      <c r="DA1077" s="187">
        <f t="shared" si="3196"/>
        <v>0.84925000000000006</v>
      </c>
      <c r="DB1077" s="188">
        <f t="shared" si="3197"/>
        <v>0.92303077153834634</v>
      </c>
      <c r="DC1077" s="188">
        <f t="shared" si="3198"/>
        <v>0.52502249887505614</v>
      </c>
      <c r="DD1077" s="188">
        <f t="shared" si="3199"/>
        <v>0.88499666072084604</v>
      </c>
      <c r="DE1077" s="188">
        <f t="shared" si="3200"/>
        <v>0.42887993290280618</v>
      </c>
      <c r="DF1077" s="189">
        <f>INDEX('State Tax Lookup'!$D$7:$Z$91,MATCH(Calculation!$C1077,'State Tax Lookup'!$B$7:$B$91,0),MATCH($H1077,'State Tax Lookup'!$D$6:$Z$6,0))</f>
        <v>0.40200000000000002</v>
      </c>
      <c r="DG1077" s="189">
        <v>0.375</v>
      </c>
      <c r="DH1077" s="190">
        <f t="shared" si="3203"/>
        <v>17.356401103608668</v>
      </c>
      <c r="DI1077" s="190">
        <v>17.102884211770863</v>
      </c>
      <c r="DJ1077" s="177"/>
      <c r="DK1077" s="189">
        <f>VLOOKUP($H1077,RoR!$E:$F,2,FALSE)</f>
        <v>5.5558333333333321E-2</v>
      </c>
      <c r="DL1077" s="191">
        <f>HLOOKUP($H1077,'GDP-PI'!$D$8:$CQ$11,3,FALSE)</f>
        <v>2.691120634145272E-2</v>
      </c>
      <c r="DM1077" s="189">
        <f>VLOOKUP(H1077,'HW Dx Data'!$E:$F,2,FALSE)</f>
        <v>498.0223154772637</v>
      </c>
      <c r="DN1077" s="183">
        <f>VLOOKUP(H1077,'ECI - Input Price'!$G$17:$H$37,2,FALSE)</f>
        <v>105.22500000000001</v>
      </c>
      <c r="DO1077" s="177">
        <f t="shared" ref="DO1077" si="3232">LN(DN1077/DN1076)</f>
        <v>3.0638025400780679E-2</v>
      </c>
      <c r="DP1077" s="183">
        <f>HLOOKUP(H1077,'GDP-PI'!$8:$9,2,FALSE)</f>
        <v>92.498000000000005</v>
      </c>
      <c r="DQ1077" s="177">
        <f t="shared" ref="DQ1077" si="3233">LN(DP1077/DP1076)</f>
        <v>2.6555467950038037E-2</v>
      </c>
    </row>
    <row r="1078" spans="1:121" s="167" customFormat="1" ht="21" x14ac:dyDescent="0.35">
      <c r="A1078" s="167" t="s">
        <v>104</v>
      </c>
      <c r="B1078" s="167" t="s">
        <v>105</v>
      </c>
      <c r="C1078" s="167">
        <v>4063060</v>
      </c>
      <c r="D1078" s="168" t="s">
        <v>140</v>
      </c>
      <c r="E1078" s="168" t="s">
        <v>126</v>
      </c>
      <c r="F1078" s="198"/>
      <c r="G1078" s="167" t="s">
        <v>14</v>
      </c>
      <c r="H1078" s="169">
        <v>2008</v>
      </c>
      <c r="I1078" s="170"/>
      <c r="J1078" s="166">
        <f>IFERROR(INDEX('Labor Expenditures'!$F$7:$X$91,MATCH($C1078,'Labor Expenditures'!$D$7:$D$91,0),MATCH($G1078,'Labor Expenditures'!$F$5:$X$5,0)),"NA")</f>
        <v>18740.557178305695</v>
      </c>
      <c r="K1078" s="166">
        <f t="shared" si="3209"/>
        <v>173.16292149046612</v>
      </c>
      <c r="L1078" s="172">
        <f t="shared" si="3216"/>
        <v>-1.0934288941193309E-2</v>
      </c>
      <c r="M1078" s="172">
        <f t="shared" si="3220"/>
        <v>-9.6268905660205678E-5</v>
      </c>
      <c r="N1078" s="196"/>
      <c r="O1078" s="172"/>
      <c r="P1078" s="166">
        <f>IFERROR(INDEX('Non-Labor Expenditures'!$F$7:$AB$91,MATCH($C1078,'Non-Labor Expenditures'!$D$7:$D$91,0),MATCH($G1078,'Non-Labor Expenditures'!$F$5:$AB$5,0)),"NA")</f>
        <v>27139.827047444385</v>
      </c>
      <c r="Q1078" s="166">
        <f t="shared" si="3210"/>
        <v>287.9129577298267</v>
      </c>
      <c r="R1078" s="172">
        <f t="shared" si="3221"/>
        <v>-1.7351440178157939E-3</v>
      </c>
      <c r="S1078" s="172">
        <f t="shared" si="3227"/>
        <v>-1.5276751570802098E-5</v>
      </c>
      <c r="T1078" s="172"/>
      <c r="U1078" s="172"/>
      <c r="V1078" s="166">
        <f t="shared" si="3191"/>
        <v>33200.35851550239</v>
      </c>
      <c r="W1078" s="170"/>
      <c r="X1078" s="174">
        <v>1735.1859193341413</v>
      </c>
      <c r="Y1078" s="175">
        <v>2.9270199243860973E-2</v>
      </c>
      <c r="Z1078" s="175">
        <f t="shared" si="3228"/>
        <v>2.5770400478873341E-4</v>
      </c>
      <c r="AA1078" s="175"/>
      <c r="AB1078" s="175"/>
      <c r="AC1078" s="170">
        <f t="shared" si="3053"/>
        <v>79080.74274125247</v>
      </c>
      <c r="AD1078" s="175">
        <f t="shared" si="3222"/>
        <v>7.0728898856416172E-2</v>
      </c>
      <c r="AE1078" s="170"/>
      <c r="AF1078" s="170"/>
      <c r="AG1078" s="121">
        <f t="shared" si="3223"/>
        <v>451.82799353947155</v>
      </c>
      <c r="AH1078" s="119">
        <f>+AZ1078/$BB$46</f>
        <v>4.9150445839586613E-3</v>
      </c>
      <c r="AI1078" s="119">
        <f>+AZ1078/$BC$46</f>
        <v>2.1230195095721102E-2</v>
      </c>
      <c r="AJ1078" s="176">
        <f t="shared" si="3229"/>
        <v>2.2207547325270887</v>
      </c>
      <c r="AK1078" s="176">
        <f t="shared" si="3230"/>
        <v>9.5923964525511938</v>
      </c>
      <c r="AL1078" s="120">
        <f t="shared" si="3211"/>
        <v>0.23698003494509015</v>
      </c>
      <c r="AM1078" s="120">
        <f t="shared" si="3212"/>
        <v>0.34319135236557274</v>
      </c>
      <c r="AN1078" s="120">
        <f t="shared" si="3213"/>
        <v>0.41982861268933713</v>
      </c>
      <c r="AO1078" s="120">
        <f t="shared" si="3217"/>
        <v>8.5470243970572086E-3</v>
      </c>
      <c r="AP1078" s="173">
        <f t="shared" ref="AP1078:AP1091" si="3234">+AP1077*EXP(AO1078)</f>
        <v>104.30700184946666</v>
      </c>
      <c r="AQ1078" s="175">
        <f t="shared" ref="AQ1078:AQ1091" si="3235">LN(AP1078/AP1077)</f>
        <v>8.5470243970570993E-3</v>
      </c>
      <c r="AR1078" s="177">
        <f>+AC1078/$AE$46</f>
        <v>8.8043133099882584E-3</v>
      </c>
      <c r="AS1078" s="177">
        <f t="shared" si="3231"/>
        <v>7.5250680659804195E-5</v>
      </c>
      <c r="AT1078" s="177"/>
      <c r="AU1078" s="177"/>
      <c r="AV1078" s="177"/>
      <c r="AW1078" s="190"/>
      <c r="AX1078" s="120"/>
      <c r="AY1078" s="120"/>
      <c r="AZ1078" s="118">
        <f>IFERROR(INDEX('Total Customers'!$F$7:$AB$91,MATCH($C1078,'Total Customers'!$D$7:$D$91,0),MATCH($G1078,'Total Customers'!$F$5:$AB$5,0)),"NA")</f>
        <v>175024</v>
      </c>
      <c r="BA1078" s="119">
        <f t="shared" si="3192"/>
        <v>2.505650462843421E-3</v>
      </c>
      <c r="BB1078" s="119"/>
      <c r="BC1078" s="121">
        <v>8244107</v>
      </c>
      <c r="BD1078" s="119"/>
      <c r="BE1078" s="119"/>
      <c r="BF1078" s="119"/>
      <c r="BG1078" s="173"/>
      <c r="BH1078" s="173"/>
      <c r="BI1078" s="173"/>
      <c r="BJ1078" s="173"/>
      <c r="BK1078" s="173"/>
      <c r="BL1078" s="173"/>
      <c r="BM1078" s="173"/>
      <c r="BN1078" s="173"/>
      <c r="BO1078" s="173"/>
      <c r="BP1078" s="173"/>
      <c r="BQ1078" s="118"/>
      <c r="BR1078" s="118"/>
      <c r="BS1078" s="118">
        <f>INDEX('Dist. Plant Gas Additions'!$F$7:$AE$91,MATCH($C1078,'Dist. Plant Gas Additions'!$D$7:$D$91,0),MATCH(Calculation!$G1078,'Dist. Plant Gas Additions'!$F$5:$AE$5,0))</f>
        <v>20247</v>
      </c>
      <c r="BT1078" s="118">
        <f>INDEX('Gen. Plant Additions'!$F$7:$AE$91,MATCH($C1078,'Gen. Plant Additions'!$D$7:$D$91,0),MATCH(Calculation!$G1078,'Gen. Plant Additions'!$F$5:$AE$5,0))</f>
        <v>14659</v>
      </c>
      <c r="BU1078" s="118"/>
      <c r="BV1078" s="118"/>
      <c r="BW1078" s="118">
        <f>INDEX('Dist Plant Depreciation'!$E$7:$AD$94,MATCH($C1078,'Dist Plant Depreciation'!$D$7:$D$94,0),MATCH(Calculation!$G1078,'Dist Plant Depreciation'!$E$5:$AD$5,0))</f>
        <v>213241</v>
      </c>
      <c r="BX1078" s="118">
        <f>INDEX('Gen. Plant Depreciation'!$E$7:$AD$94,MATCH($C1078,'Gen. Plant Depreciation'!$D$7:$D$94,0),MATCH(Calculation!$G1078,'Gen. Plant Depreciation'!$E$5:$AD$5,0))</f>
        <v>13566</v>
      </c>
      <c r="BY1078" s="118"/>
      <c r="BZ1078" s="118"/>
      <c r="CA1078" s="118"/>
      <c r="CB1078" s="118"/>
      <c r="CC1078" s="118"/>
      <c r="CD1078" s="183"/>
      <c r="CE1078" s="118">
        <f>INDEX('Gross Dx Plant'!$E$7:$AD$91,MATCH($C1078,'Gross Dx Plant'!$D$7:$D$91,0),MATCH(Calculation!$G1078,'Gross Dx Plant'!$E$5:$AD$5,0))</f>
        <v>550034</v>
      </c>
      <c r="CF1078" s="118">
        <f>INDEX('Gross Gen Plant'!$E$7:$AD$91,MATCH($C1078,'Gross Gen Plant'!$D$7:$D$91,0),MATCH(Calculation!$G1078,'Gross Gen Plant'!$E$5:$AD$5,0))</f>
        <v>40760</v>
      </c>
      <c r="CG1078" s="118">
        <f t="shared" si="3224"/>
        <v>363987</v>
      </c>
      <c r="CH1078" s="118"/>
      <c r="CI1078" s="121">
        <v>2008</v>
      </c>
      <c r="CJ1078" s="118"/>
      <c r="CK1078" s="118"/>
      <c r="CL1078" s="118"/>
      <c r="CM1078" s="183"/>
      <c r="CN1078" s="118">
        <f t="shared" si="3201"/>
        <v>34906</v>
      </c>
      <c r="CO1078" s="118">
        <f t="shared" si="3193"/>
        <v>61.25136220622381</v>
      </c>
      <c r="CP1078" s="186">
        <v>0.94252873563218387</v>
      </c>
      <c r="CQ1078" s="118">
        <f>+CQ1068*CP1078+CO1069*CP1077+CO1070*CP1076+CO1071*CP1075+CO1072*CP1074+CO1073*CP1073+CO1074*CP1072+CO1075*CP1071+CO1076*CP1070+CO1077*CP1069+CO1078</f>
        <v>1735.1859193341413</v>
      </c>
      <c r="CR1078" s="119">
        <f t="shared" si="3194"/>
        <v>2.9270199243860973E-2</v>
      </c>
      <c r="CS1078" s="119"/>
      <c r="CT1078" s="177">
        <f t="shared" si="3195"/>
        <v>6.6453105537951545E-3</v>
      </c>
      <c r="CU1078" s="177">
        <f t="shared" si="3204"/>
        <v>6.4369221260916114E-3</v>
      </c>
      <c r="CV1078" s="119">
        <f>VLOOKUP($H1078,RoR!$E:$F,2,FALSE)</f>
        <v>5.6316666666666668E-2</v>
      </c>
      <c r="CW1078" s="177">
        <v>1.9092304698479889E-2</v>
      </c>
      <c r="CX1078" s="177">
        <f t="shared" si="3202"/>
        <v>3.7224361968186778E-2</v>
      </c>
      <c r="CY1078" s="177">
        <f t="shared" si="3205"/>
        <v>2.4465019482442014E-2</v>
      </c>
      <c r="CZ1078" s="177">
        <f t="shared" si="3206"/>
        <v>6.9030581091053131E-2</v>
      </c>
      <c r="DA1078" s="187">
        <f t="shared" si="3196"/>
        <v>0.84925000000000006</v>
      </c>
      <c r="DB1078" s="188">
        <f t="shared" si="3197"/>
        <v>0.91060168006009956</v>
      </c>
      <c r="DC1078" s="188">
        <f t="shared" si="3198"/>
        <v>0.53108168097070152</v>
      </c>
      <c r="DD1078" s="188">
        <f t="shared" si="3199"/>
        <v>0.88825329850328805</v>
      </c>
      <c r="DE1078" s="188">
        <f t="shared" si="3200"/>
        <v>0.4295627335323573</v>
      </c>
      <c r="DF1078" s="189">
        <f>INDEX('State Tax Lookup'!$D$7:$Z$91,MATCH(Calculation!$C1078,'State Tax Lookup'!$B$7:$B$91,0),MATCH($H1078,'State Tax Lookup'!$D$6:$Z$6,0))</f>
        <v>0.40200000000000002</v>
      </c>
      <c r="DG1078" s="189">
        <v>0.375</v>
      </c>
      <c r="DH1078" s="190">
        <f t="shared" si="3203"/>
        <v>19.701924237262354</v>
      </c>
      <c r="DI1078" s="190">
        <v>19.421820548239626</v>
      </c>
      <c r="DJ1078" s="177"/>
      <c r="DK1078" s="189">
        <f>VLOOKUP($H1078,RoR!$E:$F,2,FALSE)</f>
        <v>5.6316666666666668E-2</v>
      </c>
      <c r="DL1078" s="191">
        <f>HLOOKUP($H1078,'GDP-PI'!$D$8:$CQ$11,3,FALSE)</f>
        <v>1.9092304698479889E-2</v>
      </c>
      <c r="DM1078" s="189">
        <f>VLOOKUP(H1078,'HW Dx Data'!$E:$F,2,FALSE)</f>
        <v>569.88120333515076</v>
      </c>
      <c r="DN1078" s="183">
        <f>VLOOKUP(H1078,'ECI - Input Price'!$G$17:$H$37,2,FALSE)</f>
        <v>108.22499999999999</v>
      </c>
      <c r="DO1078" s="177">
        <f t="shared" ref="DO1078" si="3236">LN(DN1078/DN1077)</f>
        <v>2.8111478671409691E-2</v>
      </c>
      <c r="DP1078" s="183">
        <f>HLOOKUP(H1078,'GDP-PI'!$8:$9,2,FALSE)</f>
        <v>94.263999999999996</v>
      </c>
      <c r="DQ1078" s="177">
        <f t="shared" ref="DQ1078" si="3237">LN(DP1078/DP1077)</f>
        <v>1.8912333748032254E-2</v>
      </c>
    </row>
    <row r="1079" spans="1:121" s="167" customFormat="1" ht="21" x14ac:dyDescent="0.35">
      <c r="A1079" s="167" t="s">
        <v>104</v>
      </c>
      <c r="B1079" s="167" t="s">
        <v>105</v>
      </c>
      <c r="C1079" s="167">
        <v>4063060</v>
      </c>
      <c r="D1079" s="168" t="s">
        <v>140</v>
      </c>
      <c r="E1079" s="168" t="s">
        <v>126</v>
      </c>
      <c r="F1079" s="198"/>
      <c r="G1079" s="167" t="s">
        <v>15</v>
      </c>
      <c r="H1079" s="169">
        <v>2009</v>
      </c>
      <c r="I1079" s="170"/>
      <c r="J1079" s="166">
        <f>IFERROR(INDEX('Labor Expenditures'!$F$7:$X$91,MATCH($C1079,'Labor Expenditures'!$D$7:$D$91,0),MATCH($G1079,'Labor Expenditures'!$F$5:$X$5,0)),"NA")</f>
        <v>21985.0094955288</v>
      </c>
      <c r="K1079" s="166">
        <f t="shared" si="3209"/>
        <v>200.27337276728582</v>
      </c>
      <c r="L1079" s="172">
        <f t="shared" si="3216"/>
        <v>0.14545040302069617</v>
      </c>
      <c r="M1079" s="172">
        <f t="shared" si="3220"/>
        <v>1.3444599210729244E-3</v>
      </c>
      <c r="N1079" s="196"/>
      <c r="O1079" s="172"/>
      <c r="P1079" s="166">
        <f>IFERROR(INDEX('Non-Labor Expenditures'!$F$7:$AB$91,MATCH($C1079,'Non-Labor Expenditures'!$D$7:$D$91,0),MATCH($G1079,'Non-Labor Expenditures'!$F$5:$AB$5,0)),"NA")</f>
        <v>31838.399982887706</v>
      </c>
      <c r="Q1079" s="166">
        <f t="shared" si="3210"/>
        <v>335.1445802891368</v>
      </c>
      <c r="R1079" s="172">
        <f t="shared" si="3221"/>
        <v>0.1519038173221233</v>
      </c>
      <c r="S1079" s="172">
        <f t="shared" si="3227"/>
        <v>1.4041115734723547E-3</v>
      </c>
      <c r="T1079" s="172"/>
      <c r="U1079" s="172"/>
      <c r="V1079" s="166">
        <f t="shared" si="3191"/>
        <v>32777.182667681816</v>
      </c>
      <c r="W1079" s="170"/>
      <c r="X1079" s="174">
        <v>1760.6769286756651</v>
      </c>
      <c r="Y1079" s="175">
        <v>1.4583787893556641E-2</v>
      </c>
      <c r="Z1079" s="175">
        <f t="shared" si="3228"/>
        <v>1.3480415257100046E-4</v>
      </c>
      <c r="AA1079" s="175"/>
      <c r="AB1079" s="175"/>
      <c r="AC1079" s="170">
        <f t="shared" si="3053"/>
        <v>86600.592146098323</v>
      </c>
      <c r="AD1079" s="175">
        <f t="shared" si="3222"/>
        <v>9.0837262724625056E-2</v>
      </c>
      <c r="AE1079" s="170"/>
      <c r="AF1079" s="170"/>
      <c r="AG1079" s="121">
        <f t="shared" si="3223"/>
        <v>492.83287130718367</v>
      </c>
      <c r="AH1079" s="119">
        <f>+AZ1079/$BB$47</f>
        <v>4.9274697892376373E-3</v>
      </c>
      <c r="AI1079" s="119">
        <f>+AZ1079/$BC$47</f>
        <v>2.1077601366085739E-2</v>
      </c>
      <c r="AJ1079" s="176">
        <f t="shared" si="3229"/>
        <v>2.4284190845093878</v>
      </c>
      <c r="AK1079" s="176">
        <f t="shared" si="3230"/>
        <v>10.387734801516253</v>
      </c>
      <c r="AL1079" s="120">
        <f t="shared" si="3211"/>
        <v>0.25386673405695998</v>
      </c>
      <c r="AM1079" s="120">
        <f t="shared" si="3212"/>
        <v>0.3676464466798931</v>
      </c>
      <c r="AN1079" s="120">
        <f t="shared" si="3213"/>
        <v>0.37848681926314692</v>
      </c>
      <c r="AO1079" s="120">
        <f t="shared" si="3217"/>
        <v>9.5507649238182737E-2</v>
      </c>
      <c r="AP1079" s="173">
        <f t="shared" si="3234"/>
        <v>114.76036146067462</v>
      </c>
      <c r="AQ1079" s="175">
        <f t="shared" si="3235"/>
        <v>9.5507649238182682E-2</v>
      </c>
      <c r="AR1079" s="177">
        <f>+AC1079/$AE$47</f>
        <v>9.2434252030337855E-3</v>
      </c>
      <c r="AS1079" s="177">
        <f t="shared" si="3231"/>
        <v>8.8281781205072835E-4</v>
      </c>
      <c r="AT1079" s="177"/>
      <c r="AU1079" s="177"/>
      <c r="AV1079" s="177"/>
      <c r="AW1079" s="190"/>
      <c r="AX1079" s="120"/>
      <c r="AY1079" s="120"/>
      <c r="AZ1079" s="118">
        <f>IFERROR(INDEX('Total Customers'!$F$7:$AB$91,MATCH($C1079,'Total Customers'!$D$7:$D$91,0),MATCH($G1079,'Total Customers'!$F$5:$AB$5,0)),"NA")</f>
        <v>175720</v>
      </c>
      <c r="BA1079" s="119">
        <f t="shared" si="3192"/>
        <v>3.9687117301437933E-3</v>
      </c>
      <c r="BB1079" s="119"/>
      <c r="BC1079" s="121">
        <v>8336812</v>
      </c>
      <c r="BD1079" s="119"/>
      <c r="BE1079" s="119"/>
      <c r="BF1079" s="119"/>
      <c r="BG1079" s="173"/>
      <c r="BH1079" s="173"/>
      <c r="BI1079" s="173"/>
      <c r="BJ1079" s="173"/>
      <c r="BK1079" s="173"/>
      <c r="BL1079" s="173"/>
      <c r="BM1079" s="173"/>
      <c r="BN1079" s="173"/>
      <c r="BO1079" s="173"/>
      <c r="BP1079" s="173"/>
      <c r="BQ1079" s="118"/>
      <c r="BR1079" s="118"/>
      <c r="BS1079" s="118">
        <f>INDEX('Dist. Plant Gas Additions'!$F$7:$AE$91,MATCH($C1079,'Dist. Plant Gas Additions'!$D$7:$D$91,0),MATCH(Calculation!$G1079,'Dist. Plant Gas Additions'!$F$5:$AE$5,0))</f>
        <v>20092</v>
      </c>
      <c r="BT1079" s="118">
        <f>INDEX('Gen. Plant Additions'!$F$7:$AE$91,MATCH($C1079,'Gen. Plant Additions'!$D$7:$D$91,0),MATCH(Calculation!$G1079,'Gen. Plant Additions'!$F$5:$AE$5,0))</f>
        <v>502</v>
      </c>
      <c r="BU1079" s="118"/>
      <c r="BV1079" s="118"/>
      <c r="BW1079" s="118">
        <f>INDEX('Dist Plant Depreciation'!$E$7:$AD$94,MATCH($C1079,'Dist Plant Depreciation'!$D$7:$D$94,0),MATCH(Calculation!$G1079,'Dist Plant Depreciation'!$E$5:$AD$5,0))</f>
        <v>234072</v>
      </c>
      <c r="BX1079" s="118">
        <f>INDEX('Gen. Plant Depreciation'!$E$7:$AD$94,MATCH($C1079,'Gen. Plant Depreciation'!$D$7:$D$94,0),MATCH(Calculation!$G1079,'Gen. Plant Depreciation'!$E$5:$AD$5,0))</f>
        <v>15445</v>
      </c>
      <c r="BY1079" s="118"/>
      <c r="BZ1079" s="118"/>
      <c r="CA1079" s="118"/>
      <c r="CB1079" s="118"/>
      <c r="CC1079" s="118"/>
      <c r="CD1079" s="183"/>
      <c r="CE1079" s="118">
        <f>INDEX('Gross Dx Plant'!$E$7:$AD$91,MATCH($C1079,'Gross Dx Plant'!$D$7:$D$91,0),MATCH(Calculation!$G1079,'Gross Dx Plant'!$E$5:$AD$5,0))</f>
        <v>566309</v>
      </c>
      <c r="CF1079" s="118">
        <f>INDEX('Gross Gen Plant'!$E$7:$AD$91,MATCH($C1079,'Gross Gen Plant'!$D$7:$D$91,0),MATCH(Calculation!$G1079,'Gross Gen Plant'!$E$5:$AD$5,0))</f>
        <v>40501</v>
      </c>
      <c r="CG1079" s="118">
        <f t="shared" si="3224"/>
        <v>357293</v>
      </c>
      <c r="CH1079" s="118"/>
      <c r="CI1079" s="121">
        <v>2009</v>
      </c>
      <c r="CJ1079" s="118"/>
      <c r="CK1079" s="118"/>
      <c r="CL1079" s="118"/>
      <c r="CM1079" s="183"/>
      <c r="CN1079" s="118">
        <f t="shared" si="3201"/>
        <v>20594</v>
      </c>
      <c r="CO1079" s="118">
        <f t="shared" si="3193"/>
        <v>37.37970776621215</v>
      </c>
      <c r="CP1079" s="186">
        <v>0.93567251461988299</v>
      </c>
      <c r="CQ1079" s="118">
        <f>+CQ1068*CP1079+CO1069*CP1078+CO1070*CP1077+CO1071*CP1076+CO1072*CP1075+CO1073*CP1074+CO1074*CP1073+CO1075*CP1072+CO1076*CP1071+CO1077*CP1070+CO1078*CP1069+CO1079</f>
        <v>1760.6769286756651</v>
      </c>
      <c r="CR1079" s="119">
        <f t="shared" si="3194"/>
        <v>1.4583787893556641E-2</v>
      </c>
      <c r="CS1079" s="119"/>
      <c r="CT1079" s="177">
        <f t="shared" si="3195"/>
        <v>6.8515415508042842E-3</v>
      </c>
      <c r="CU1079" s="177">
        <f t="shared" si="3204"/>
        <v>6.6435517411487718E-3</v>
      </c>
      <c r="CV1079" s="119">
        <f>VLOOKUP($H1079,RoR!$E:$F,2,FALSE)</f>
        <v>5.3133333333333324E-2</v>
      </c>
      <c r="CW1079" s="177">
        <v>7.7972502758210105E-3</v>
      </c>
      <c r="CX1079" s="177">
        <f t="shared" si="3202"/>
        <v>4.5336083057512314E-2</v>
      </c>
      <c r="CY1079" s="177">
        <f t="shared" si="3205"/>
        <v>2.4258389867384853E-2</v>
      </c>
      <c r="CZ1079" s="177">
        <f t="shared" si="3206"/>
        <v>6.3720160300892073E-2</v>
      </c>
      <c r="DA1079" s="187">
        <f t="shared" si="3196"/>
        <v>0.84925000000000006</v>
      </c>
      <c r="DB1079" s="188">
        <f t="shared" si="3197"/>
        <v>0.96515780330083989</v>
      </c>
      <c r="DC1079" s="188">
        <f t="shared" si="3198"/>
        <v>0.50448557089084056</v>
      </c>
      <c r="DD1079" s="188">
        <f t="shared" si="3199"/>
        <v>0.87391435735465484</v>
      </c>
      <c r="DE1079" s="188">
        <f t="shared" si="3200"/>
        <v>0.42551605393279146</v>
      </c>
      <c r="DF1079" s="189">
        <f>INDEX('State Tax Lookup'!$D$7:$Z$91,MATCH(Calculation!$C1079,'State Tax Lookup'!$B$7:$B$91,0),MATCH($H1079,'State Tax Lookup'!$D$6:$Z$6,0))</f>
        <v>0.40200000000000002</v>
      </c>
      <c r="DG1079" s="189">
        <v>0.375</v>
      </c>
      <c r="DH1079" s="190">
        <f t="shared" si="3203"/>
        <v>18.889723748023325</v>
      </c>
      <c r="DI1079" s="190">
        <v>18.556575582730147</v>
      </c>
      <c r="DJ1079" s="177"/>
      <c r="DK1079" s="189">
        <f>VLOOKUP($H1079,RoR!$E:$F,2,FALSE)</f>
        <v>5.3133333333333324E-2</v>
      </c>
      <c r="DL1079" s="191">
        <f>HLOOKUP($H1079,'GDP-PI'!$D$8:$CQ$11,3,FALSE)</f>
        <v>7.7972502758210105E-3</v>
      </c>
      <c r="DM1079" s="189">
        <f>VLOOKUP(H1079,'HW Dx Data'!$E:$F,2,FALSE)</f>
        <v>550.94063679692806</v>
      </c>
      <c r="DN1079" s="183">
        <f>VLOOKUP(H1079,'ECI - Input Price'!$G$17:$H$37,2,FALSE)</f>
        <v>109.77499999999999</v>
      </c>
      <c r="DO1079" s="177">
        <f t="shared" ref="DO1079" si="3238">LN(DN1079/DN1078)</f>
        <v>1.4220423119736749E-2</v>
      </c>
      <c r="DP1079" s="183">
        <f>HLOOKUP(H1079,'GDP-PI'!$8:$9,2,FALSE)</f>
        <v>94.998999999999995</v>
      </c>
      <c r="DQ1079" s="177">
        <f t="shared" ref="DQ1079" si="3239">LN(DP1079/DP1078)</f>
        <v>7.7670088183096342E-3</v>
      </c>
    </row>
    <row r="1080" spans="1:121" s="167" customFormat="1" ht="21" x14ac:dyDescent="0.35">
      <c r="A1080" s="167" t="s">
        <v>104</v>
      </c>
      <c r="B1080" s="167" t="s">
        <v>105</v>
      </c>
      <c r="C1080" s="167">
        <v>4063060</v>
      </c>
      <c r="D1080" s="168" t="s">
        <v>140</v>
      </c>
      <c r="E1080" s="168" t="s">
        <v>126</v>
      </c>
      <c r="F1080" s="198"/>
      <c r="G1080" s="167" t="s">
        <v>16</v>
      </c>
      <c r="H1080" s="169">
        <v>2010</v>
      </c>
      <c r="I1080" s="170"/>
      <c r="J1080" s="166">
        <f>IFERROR(INDEX('Labor Expenditures'!$F$7:$X$91,MATCH($C1080,'Labor Expenditures'!$D$7:$D$91,0),MATCH($G1080,'Labor Expenditures'!$F$5:$X$5,0)),"NA")</f>
        <v>19376.118294045609</v>
      </c>
      <c r="K1080" s="166">
        <f t="shared" si="3209"/>
        <v>173.19435346632946</v>
      </c>
      <c r="L1080" s="172">
        <f t="shared" si="3216"/>
        <v>-0.1452689027132259</v>
      </c>
      <c r="M1080" s="172">
        <f t="shared" si="3220"/>
        <v>-1.2193994564462895E-3</v>
      </c>
      <c r="N1080" s="196"/>
      <c r="O1080" s="172"/>
      <c r="P1080" s="166">
        <f>IFERROR(INDEX('Non-Labor Expenditures'!$F$7:$AB$91,MATCH($C1080,'Non-Labor Expenditures'!$D$7:$D$91,0),MATCH($G1080,'Non-Labor Expenditures'!$F$5:$AB$5,0)),"NA")</f>
        <v>28060.238249477898</v>
      </c>
      <c r="Q1080" s="166">
        <f t="shared" si="3210"/>
        <v>291.96264917414499</v>
      </c>
      <c r="R1080" s="172">
        <f t="shared" si="3221"/>
        <v>-0.13793614137313759</v>
      </c>
      <c r="S1080" s="172">
        <f t="shared" si="3227"/>
        <v>-1.1578476375411415E-3</v>
      </c>
      <c r="T1080" s="172"/>
      <c r="U1080" s="172"/>
      <c r="V1080" s="166">
        <f t="shared" si="3191"/>
        <v>34079.930581904984</v>
      </c>
      <c r="W1080" s="170"/>
      <c r="X1080" s="174">
        <v>1782.5355952655013</v>
      </c>
      <c r="Y1080" s="175">
        <v>1.2338488731320303E-2</v>
      </c>
      <c r="Z1080" s="175">
        <f t="shared" si="3228"/>
        <v>1.0357031801941762E-4</v>
      </c>
      <c r="AA1080" s="175"/>
      <c r="AB1080" s="175"/>
      <c r="AC1080" s="170">
        <f t="shared" si="3053"/>
        <v>81516.287125428498</v>
      </c>
      <c r="AD1080" s="175">
        <f t="shared" si="3222"/>
        <v>-6.0503810948917609E-2</v>
      </c>
      <c r="AE1080" s="170"/>
      <c r="AF1080" s="170"/>
      <c r="AG1080" s="121">
        <f t="shared" si="3223"/>
        <v>464.23690786270731</v>
      </c>
      <c r="AH1080" s="119">
        <f>+AZ1080/$BB$48</f>
        <v>4.896773917873117E-3</v>
      </c>
      <c r="AI1080" s="119">
        <f>+AZ1080/$BC$48</f>
        <v>2.0895249933925875E-2</v>
      </c>
      <c r="AJ1080" s="176">
        <f t="shared" si="3229"/>
        <v>2.2732631821361706</v>
      </c>
      <c r="AK1080" s="176">
        <f t="shared" si="3230"/>
        <v>9.7003462183441869</v>
      </c>
      <c r="AL1080" s="120">
        <f t="shared" si="3211"/>
        <v>0.23769628104174717</v>
      </c>
      <c r="AM1080" s="120">
        <f t="shared" si="3212"/>
        <v>0.34422861048984998</v>
      </c>
      <c r="AN1080" s="120">
        <f t="shared" si="3213"/>
        <v>0.41807510846840279</v>
      </c>
      <c r="AO1080" s="120">
        <f t="shared" si="3217"/>
        <v>-7.9886873987227838E-2</v>
      </c>
      <c r="AP1080" s="173">
        <f t="shared" si="3234"/>
        <v>105.949150508625</v>
      </c>
      <c r="AQ1080" s="175">
        <f t="shared" si="3235"/>
        <v>-7.9886873987227797E-2</v>
      </c>
      <c r="AR1080" s="177">
        <f>+AC1080/$AE$48</f>
        <v>8.3940845815672991E-3</v>
      </c>
      <c r="AS1080" s="177">
        <f t="shared" si="3231"/>
        <v>-6.7057717720579854E-4</v>
      </c>
      <c r="AT1080" s="177"/>
      <c r="AU1080" s="177"/>
      <c r="AV1080" s="177"/>
      <c r="AW1080" s="190"/>
      <c r="AX1080" s="120"/>
      <c r="AY1080" s="120"/>
      <c r="AZ1080" s="118">
        <f>IFERROR(INDEX('Total Customers'!$F$7:$AB$91,MATCH($C1080,'Total Customers'!$D$7:$D$91,0),MATCH($G1080,'Total Customers'!$F$5:$AB$5,0)),"NA")</f>
        <v>175592</v>
      </c>
      <c r="BA1080" s="119">
        <f t="shared" si="3192"/>
        <v>-7.2869703092402229E-4</v>
      </c>
      <c r="BB1080" s="119"/>
      <c r="BC1080" s="121">
        <v>8403441</v>
      </c>
      <c r="BD1080" s="119"/>
      <c r="BE1080" s="119"/>
      <c r="BF1080" s="119"/>
      <c r="BG1080" s="173"/>
      <c r="BH1080" s="173"/>
      <c r="BI1080" s="173"/>
      <c r="BJ1080" s="173"/>
      <c r="BK1080" s="173"/>
      <c r="BL1080" s="173"/>
      <c r="BM1080" s="173"/>
      <c r="BN1080" s="173"/>
      <c r="BO1080" s="173"/>
      <c r="BP1080" s="173"/>
      <c r="BQ1080" s="118"/>
      <c r="BR1080" s="118"/>
      <c r="BS1080" s="118">
        <f>INDEX('Dist. Plant Gas Additions'!$F$7:$AE$91,MATCH($C1080,'Dist. Plant Gas Additions'!$D$7:$D$91,0),MATCH(Calculation!$G1080,'Dist. Plant Gas Additions'!$F$5:$AE$5,0))</f>
        <v>19771</v>
      </c>
      <c r="BT1080" s="118">
        <f>INDEX('Gen. Plant Additions'!$F$7:$AE$91,MATCH($C1080,'Gen. Plant Additions'!$D$7:$D$91,0),MATCH(Calculation!$G1080,'Gen. Plant Additions'!$F$5:$AE$5,0))</f>
        <v>-227</v>
      </c>
      <c r="BU1080" s="118"/>
      <c r="BV1080" s="118"/>
      <c r="BW1080" s="118">
        <f>INDEX('Dist Plant Depreciation'!$E$7:$AD$94,MATCH($C1080,'Dist Plant Depreciation'!$D$7:$D$94,0),MATCH(Calculation!$G1080,'Dist Plant Depreciation'!$E$5:$AD$5,0))</f>
        <v>243628</v>
      </c>
      <c r="BX1080" s="118">
        <f>INDEX('Gen. Plant Depreciation'!$E$7:$AD$94,MATCH($C1080,'Gen. Plant Depreciation'!$D$7:$D$94,0),MATCH(Calculation!$G1080,'Gen. Plant Depreciation'!$E$5:$AD$5,0))</f>
        <v>15098</v>
      </c>
      <c r="BY1080" s="118"/>
      <c r="BZ1080" s="118"/>
      <c r="CA1080" s="118"/>
      <c r="CB1080" s="118"/>
      <c r="CC1080" s="118"/>
      <c r="CD1080" s="183"/>
      <c r="CE1080" s="118">
        <f>INDEX('Gross Dx Plant'!$E$7:$AD$91,MATCH($C1080,'Gross Dx Plant'!$D$7:$D$91,0),MATCH(Calculation!$G1080,'Gross Dx Plant'!$E$5:$AD$5,0))</f>
        <v>580989</v>
      </c>
      <c r="CF1080" s="118">
        <f>INDEX('Gross Gen Plant'!$E$7:$AD$91,MATCH($C1080,'Gross Gen Plant'!$D$7:$D$91,0),MATCH(Calculation!$G1080,'Gross Gen Plant'!$E$5:$AD$5,0))</f>
        <v>27365</v>
      </c>
      <c r="CG1080" s="118">
        <f t="shared" si="3224"/>
        <v>349628</v>
      </c>
      <c r="CH1080" s="118"/>
      <c r="CI1080" s="121">
        <v>2010</v>
      </c>
      <c r="CJ1080" s="118"/>
      <c r="CK1080" s="118"/>
      <c r="CL1080" s="118"/>
      <c r="CM1080" s="183"/>
      <c r="CN1080" s="118">
        <f t="shared" si="3201"/>
        <v>19544</v>
      </c>
      <c r="CO1080" s="118">
        <f t="shared" si="3193"/>
        <v>34.34861260123931</v>
      </c>
      <c r="CP1080" s="186">
        <v>0.9285714285714286</v>
      </c>
      <c r="CQ1080" s="118">
        <f>+CQ1068*CP1080+CO1069*CP1079+CO1070*CP1078+CO1071*CP1077+CO1072*CP1076+CO1073*CP1075+CO1074*CP1074+CO1075*CP1073+CO1076*CP1072+CO1077*CP1071+CO1078*CP1070+CO1079*CP1069+CO1080</f>
        <v>1782.5355952655013</v>
      </c>
      <c r="CR1080" s="119">
        <f t="shared" si="3194"/>
        <v>1.2338488731320303E-2</v>
      </c>
      <c r="CS1080" s="119"/>
      <c r="CT1080" s="177">
        <f t="shared" si="3195"/>
        <v>7.0938318143338452E-3</v>
      </c>
      <c r="CU1080" s="177">
        <f t="shared" si="3204"/>
        <v>6.8635613063110943E-3</v>
      </c>
      <c r="CV1080" s="119">
        <f>VLOOKUP($H1080,RoR!$E:$F,2,FALSE)</f>
        <v>4.9433333333333322E-2</v>
      </c>
      <c r="CW1080" s="177">
        <v>1.1684333519300205E-2</v>
      </c>
      <c r="CX1080" s="177">
        <f t="shared" si="3202"/>
        <v>3.7748999814033117E-2</v>
      </c>
      <c r="CY1080" s="177">
        <f t="shared" si="3205"/>
        <v>2.403838030222253E-2</v>
      </c>
      <c r="CZ1080" s="177">
        <f t="shared" si="3206"/>
        <v>4.7937530248493419E-2</v>
      </c>
      <c r="DA1080" s="187">
        <f t="shared" si="3196"/>
        <v>0.84925000000000006</v>
      </c>
      <c r="DB1080" s="188">
        <f t="shared" si="3197"/>
        <v>1.037398205301105</v>
      </c>
      <c r="DC1080" s="188">
        <f t="shared" si="3198"/>
        <v>0.46926837491571133</v>
      </c>
      <c r="DD1080" s="188">
        <f t="shared" si="3199"/>
        <v>0.8548537519972772</v>
      </c>
      <c r="DE1080" s="188">
        <f t="shared" si="3200"/>
        <v>0.41615833911547367</v>
      </c>
      <c r="DF1080" s="189">
        <f>INDEX('State Tax Lookup'!$D$7:$Z$91,MATCH(Calculation!$C1080,'State Tax Lookup'!$B$7:$B$91,0),MATCH($H1080,'State Tax Lookup'!$D$6:$Z$6,0))</f>
        <v>0.40200000000000002</v>
      </c>
      <c r="DG1080" s="189">
        <v>0.375</v>
      </c>
      <c r="DH1080" s="190">
        <f t="shared" si="3203"/>
        <v>19.356152186045293</v>
      </c>
      <c r="DI1080" s="190">
        <v>19.026688437875286</v>
      </c>
      <c r="DJ1080" s="177"/>
      <c r="DK1080" s="189">
        <f>VLOOKUP($H1080,RoR!$E:$F,2,FALSE)</f>
        <v>4.9433333333333322E-2</v>
      </c>
      <c r="DL1080" s="191">
        <f>HLOOKUP($H1080,'GDP-PI'!$D$8:$CQ$11,3,FALSE)</f>
        <v>1.1684333519300205E-2</v>
      </c>
      <c r="DM1080" s="189">
        <f>VLOOKUP(H1080,'HW Dx Data'!$E:$F,2,FALSE)</f>
        <v>568.98950262971744</v>
      </c>
      <c r="DN1080" s="183">
        <f>VLOOKUP(H1080,'ECI - Input Price'!$G$17:$H$37,2,FALSE)</f>
        <v>111.875</v>
      </c>
      <c r="DO1080" s="177">
        <f t="shared" ref="DO1080" si="3240">LN(DN1080/DN1079)</f>
        <v>1.8949360147238387E-2</v>
      </c>
      <c r="DP1080" s="183">
        <f>HLOOKUP(H1080,'GDP-PI'!$8:$9,2,FALSE)</f>
        <v>96.108999999999995</v>
      </c>
      <c r="DQ1080" s="177">
        <f t="shared" ref="DQ1080" si="3241">LN(DP1080/DP1079)</f>
        <v>1.1616598807150427E-2</v>
      </c>
    </row>
    <row r="1081" spans="1:121" s="167" customFormat="1" ht="21" x14ac:dyDescent="0.35">
      <c r="A1081" s="167" t="s">
        <v>104</v>
      </c>
      <c r="B1081" s="167" t="s">
        <v>105</v>
      </c>
      <c r="C1081" s="167">
        <v>4063060</v>
      </c>
      <c r="D1081" s="168" t="s">
        <v>140</v>
      </c>
      <c r="E1081" s="168" t="s">
        <v>126</v>
      </c>
      <c r="F1081" s="198"/>
      <c r="G1081" s="167" t="s">
        <v>17</v>
      </c>
      <c r="H1081" s="169">
        <v>2011</v>
      </c>
      <c r="I1081" s="170"/>
      <c r="J1081" s="166">
        <f>IFERROR(INDEX('Labor Expenditures'!$F$7:$X$91,MATCH($C1081,'Labor Expenditures'!$D$7:$D$91,0),MATCH($G1081,'Labor Expenditures'!$F$5:$X$5,0)),"NA")</f>
        <v>20628.136247997336</v>
      </c>
      <c r="K1081" s="166">
        <f t="shared" si="3209"/>
        <v>180.47363296585596</v>
      </c>
      <c r="L1081" s="172">
        <f t="shared" si="3216"/>
        <v>4.1170294987811822E-2</v>
      </c>
      <c r="M1081" s="172">
        <f t="shared" si="3220"/>
        <v>3.5237824612873998E-4</v>
      </c>
      <c r="N1081" s="196"/>
      <c r="O1081" s="172"/>
      <c r="P1081" s="166">
        <f>IFERROR(INDEX('Non-Labor Expenditures'!$F$7:$AB$91,MATCH($C1081,'Non-Labor Expenditures'!$D$7:$D$91,0),MATCH($G1081,'Non-Labor Expenditures'!$F$5:$AB$5,0)),"NA")</f>
        <v>29873.394091497375</v>
      </c>
      <c r="Q1081" s="166">
        <f t="shared" si="3210"/>
        <v>304.48257187191552</v>
      </c>
      <c r="R1081" s="172">
        <f t="shared" si="3221"/>
        <v>4.1987969980707945E-2</v>
      </c>
      <c r="S1081" s="172">
        <f t="shared" si="3227"/>
        <v>3.5937675998406614E-4</v>
      </c>
      <c r="T1081" s="172"/>
      <c r="U1081" s="172"/>
      <c r="V1081" s="166">
        <f t="shared" si="3191"/>
        <v>36790.851540826363</v>
      </c>
      <c r="W1081" s="170"/>
      <c r="X1081" s="174">
        <v>1810.0097302681097</v>
      </c>
      <c r="Y1081" s="175">
        <v>1.5295378701680037E-2</v>
      </c>
      <c r="Z1081" s="175">
        <f t="shared" si="3228"/>
        <v>1.3091377466128179E-4</v>
      </c>
      <c r="AA1081" s="175"/>
      <c r="AB1081" s="175"/>
      <c r="AC1081" s="170">
        <f t="shared" si="3053"/>
        <v>87292.381880321074</v>
      </c>
      <c r="AD1081" s="175">
        <f t="shared" si="3222"/>
        <v>6.8460353042250829E-2</v>
      </c>
      <c r="AE1081" s="170"/>
      <c r="AF1081" s="170"/>
      <c r="AG1081" s="121">
        <f t="shared" si="3223"/>
        <v>492.45669827947279</v>
      </c>
      <c r="AH1081" s="119">
        <f>+AZ1081/$BB$49</f>
        <v>4.9192308430353968E-3</v>
      </c>
      <c r="AI1081" s="119">
        <f>+AZ1081/$BC$49</f>
        <v>2.1007625054797786E-2</v>
      </c>
      <c r="AJ1081" s="176">
        <f t="shared" si="3229"/>
        <v>2.4225081790357588</v>
      </c>
      <c r="AK1081" s="176">
        <f t="shared" si="3230"/>
        <v>10.345345673178846</v>
      </c>
      <c r="AL1081" s="120">
        <f t="shared" si="3211"/>
        <v>0.23631084183587478</v>
      </c>
      <c r="AM1081" s="120">
        <f t="shared" si="3212"/>
        <v>0.3422222357553969</v>
      </c>
      <c r="AN1081" s="120">
        <f t="shared" si="3213"/>
        <v>0.4214669224087283</v>
      </c>
      <c r="AO1081" s="120">
        <f t="shared" si="3217"/>
        <v>3.0589401949407964E-2</v>
      </c>
      <c r="AP1081" s="173">
        <f t="shared" si="3234"/>
        <v>109.24014989644388</v>
      </c>
      <c r="AQ1081" s="175">
        <f t="shared" si="3235"/>
        <v>3.0589401949408061E-2</v>
      </c>
      <c r="AR1081" s="177">
        <f>+AC1081/$AE$49</f>
        <v>8.5590410812713177E-3</v>
      </c>
      <c r="AS1081" s="177">
        <f t="shared" si="3231"/>
        <v>2.6181594793650451E-4</v>
      </c>
      <c r="AT1081" s="177"/>
      <c r="AU1081" s="177"/>
      <c r="AV1081" s="177"/>
      <c r="AW1081" s="190"/>
      <c r="AX1081" s="120"/>
      <c r="AY1081" s="120"/>
      <c r="AZ1081" s="118">
        <f>IFERROR(INDEX('Total Customers'!$F$7:$AB$91,MATCH($C1081,'Total Customers'!$D$7:$D$91,0),MATCH($G1081,'Total Customers'!$F$5:$AB$5,0)),"NA")</f>
        <v>177259</v>
      </c>
      <c r="BA1081" s="119">
        <f t="shared" si="3192"/>
        <v>9.4488177870174477E-3</v>
      </c>
      <c r="BB1081" s="119"/>
      <c r="BC1081" s="121">
        <v>8437841</v>
      </c>
      <c r="BD1081" s="119"/>
      <c r="BE1081" s="119"/>
      <c r="BF1081" s="119"/>
      <c r="BG1081" s="173"/>
      <c r="BH1081" s="173"/>
      <c r="BI1081" s="173"/>
      <c r="BJ1081" s="173"/>
      <c r="BK1081" s="173"/>
      <c r="BL1081" s="173"/>
      <c r="BM1081" s="173"/>
      <c r="BN1081" s="173"/>
      <c r="BO1081" s="173"/>
      <c r="BP1081" s="173"/>
      <c r="BQ1081" s="118"/>
      <c r="BR1081" s="118"/>
      <c r="BS1081" s="118">
        <f>INDEX('Dist. Plant Gas Additions'!$F$7:$AE$91,MATCH($C1081,'Dist. Plant Gas Additions'!$D$7:$D$91,0),MATCH(Calculation!$G1081,'Dist. Plant Gas Additions'!$F$5:$AE$5,0))</f>
        <v>23801</v>
      </c>
      <c r="BT1081" s="118">
        <f>INDEX('Gen. Plant Additions'!$F$7:$AE$91,MATCH($C1081,'Gen. Plant Additions'!$D$7:$D$91,0),MATCH(Calculation!$G1081,'Gen. Plant Additions'!$F$5:$AE$5,0))</f>
        <v>1017</v>
      </c>
      <c r="BU1081" s="118"/>
      <c r="BV1081" s="118"/>
      <c r="BW1081" s="118">
        <f>INDEX('Dist Plant Depreciation'!$E$7:$AD$94,MATCH($C1081,'Dist Plant Depreciation'!$D$7:$D$94,0),MATCH(Calculation!$G1081,'Dist Plant Depreciation'!$E$5:$AD$5,0))</f>
        <v>252807</v>
      </c>
      <c r="BX1081" s="118">
        <f>INDEX('Gen. Plant Depreciation'!$E$7:$AD$94,MATCH($C1081,'Gen. Plant Depreciation'!$D$7:$D$94,0),MATCH(Calculation!$G1081,'Gen. Plant Depreciation'!$E$5:$AD$5,0))</f>
        <v>6858</v>
      </c>
      <c r="BY1081" s="118"/>
      <c r="BZ1081" s="118"/>
      <c r="CA1081" s="118"/>
      <c r="CB1081" s="118"/>
      <c r="CC1081" s="118"/>
      <c r="CD1081" s="183"/>
      <c r="CE1081" s="118">
        <f>INDEX('Gross Dx Plant'!$E$7:$AD$91,MATCH($C1081,'Gross Dx Plant'!$D$7:$D$91,0),MATCH(Calculation!$G1081,'Gross Dx Plant'!$E$5:$AD$5,0))</f>
        <v>599382</v>
      </c>
      <c r="CF1081" s="118">
        <f>INDEX('Gross Gen Plant'!$E$7:$AD$91,MATCH($C1081,'Gross Gen Plant'!$D$7:$D$91,0),MATCH(Calculation!$G1081,'Gross Gen Plant'!$E$5:$AD$5,0))</f>
        <v>27508</v>
      </c>
      <c r="CG1081" s="118">
        <f t="shared" si="3224"/>
        <v>367225</v>
      </c>
      <c r="CH1081" s="118"/>
      <c r="CI1081" s="121">
        <v>2011</v>
      </c>
      <c r="CJ1081" s="118"/>
      <c r="CK1081" s="118"/>
      <c r="CL1081" s="118"/>
      <c r="CM1081" s="183"/>
      <c r="CN1081" s="118">
        <f t="shared" si="3201"/>
        <v>24818</v>
      </c>
      <c r="CO1081" s="118">
        <f t="shared" si="3193"/>
        <v>40.57807348056307</v>
      </c>
      <c r="CP1081" s="186">
        <v>0.92121212121212126</v>
      </c>
      <c r="CQ1081" s="118">
        <f>+CQ1068*CP1081+CO1069*CP1080+CO1070*CP1079+CO1071*CP1078+CO1072*CP1077+CO1073*CP1076+CO1074*CP1075+CO1075*CP1074+CO1076*CP1073+CO1077*CP1072+CO1078*CP1071+CO1079*CP1070+CO1080*CP1069+CO1081</f>
        <v>1810.0097302681097</v>
      </c>
      <c r="CR1081" s="119">
        <f t="shared" si="3194"/>
        <v>1.5295378701680037E-2</v>
      </c>
      <c r="CS1081" s="119"/>
      <c r="CT1081" s="177">
        <f t="shared" si="3195"/>
        <v>7.3512913362063486E-3</v>
      </c>
      <c r="CU1081" s="177">
        <f t="shared" si="3204"/>
        <v>7.0988882337814927E-3</v>
      </c>
      <c r="CV1081" s="119">
        <f>VLOOKUP($H1081,RoR!$E:$F,2,FALSE)</f>
        <v>4.6391666666666664E-2</v>
      </c>
      <c r="CW1081" s="177">
        <v>2.0840920205183799E-2</v>
      </c>
      <c r="CX1081" s="177">
        <f t="shared" si="3202"/>
        <v>2.5550746461482865E-2</v>
      </c>
      <c r="CY1081" s="177">
        <f t="shared" si="3205"/>
        <v>2.3803053374752133E-2</v>
      </c>
      <c r="CZ1081" s="177">
        <f t="shared" si="3206"/>
        <v>2.4810540821321614E-2</v>
      </c>
      <c r="DA1081" s="187">
        <f t="shared" si="3196"/>
        <v>0.84925000000000006</v>
      </c>
      <c r="DB1081" s="188">
        <f t="shared" si="3197"/>
        <v>1.1054151524782025</v>
      </c>
      <c r="DC1081" s="188">
        <f t="shared" si="3198"/>
        <v>0.43611011316687626</v>
      </c>
      <c r="DD1081" s="188">
        <f t="shared" si="3199"/>
        <v>0.83698442246886229</v>
      </c>
      <c r="DE1081" s="188">
        <f t="shared" si="3200"/>
        <v>0.40349573304423936</v>
      </c>
      <c r="DF1081" s="189">
        <f>INDEX('State Tax Lookup'!$D$7:$Z$91,MATCH(Calculation!$C1081,'State Tax Lookup'!$B$7:$B$91,0),MATCH($H1081,'State Tax Lookup'!$D$6:$Z$6,0))</f>
        <v>0.40200000000000002</v>
      </c>
      <c r="DG1081" s="189">
        <v>0.375</v>
      </c>
      <c r="DH1081" s="190">
        <f t="shared" si="3203"/>
        <v>20.639616756346747</v>
      </c>
      <c r="DI1081" s="190">
        <v>20.273386110367095</v>
      </c>
      <c r="DJ1081" s="177"/>
      <c r="DK1081" s="189">
        <f>VLOOKUP($H1081,RoR!$E:$F,2,FALSE)</f>
        <v>4.6391666666666664E-2</v>
      </c>
      <c r="DL1081" s="191">
        <f>HLOOKUP($H1081,'GDP-PI'!$D$8:$CQ$11,3,FALSE)</f>
        <v>2.0840920205183799E-2</v>
      </c>
      <c r="DM1081" s="189">
        <f>VLOOKUP(H1081,'HW Dx Data'!$E:$F,2,FALSE)</f>
        <v>611.61109612283201</v>
      </c>
      <c r="DN1081" s="183">
        <f>VLOOKUP(H1081,'ECI - Input Price'!$G$17:$H$37,2,FALSE)</f>
        <v>114.3</v>
      </c>
      <c r="DO1081" s="177">
        <f t="shared" ref="DO1081" si="3242">LN(DN1081/DN1080)</f>
        <v>2.1444394205745516E-2</v>
      </c>
      <c r="DP1081" s="183">
        <f>HLOOKUP(H1081,'GDP-PI'!$8:$9,2,FALSE)</f>
        <v>98.111999999999995</v>
      </c>
      <c r="DQ1081" s="177">
        <f t="shared" ref="DQ1081" si="3243">LN(DP1081/DP1080)</f>
        <v>2.0626719212849295E-2</v>
      </c>
    </row>
    <row r="1082" spans="1:121" s="167" customFormat="1" ht="21" x14ac:dyDescent="0.35">
      <c r="A1082" s="167" t="s">
        <v>104</v>
      </c>
      <c r="B1082" s="167" t="s">
        <v>105</v>
      </c>
      <c r="C1082" s="167">
        <v>4063060</v>
      </c>
      <c r="D1082" s="168" t="s">
        <v>140</v>
      </c>
      <c r="E1082" s="168" t="s">
        <v>126</v>
      </c>
      <c r="F1082" s="198"/>
      <c r="G1082" s="167" t="s">
        <v>18</v>
      </c>
      <c r="H1082" s="169">
        <v>2012</v>
      </c>
      <c r="I1082" s="170"/>
      <c r="J1082" s="166">
        <f>IFERROR(INDEX('Labor Expenditures'!$F$7:$X$91,MATCH($C1082,'Labor Expenditures'!$D$7:$D$91,0),MATCH($G1082,'Labor Expenditures'!$F$5:$X$5,0)),"NA")</f>
        <v>22392.395419090866</v>
      </c>
      <c r="K1082" s="166">
        <f t="shared" si="3209"/>
        <v>192.20940273897739</v>
      </c>
      <c r="L1082" s="172">
        <f t="shared" si="3216"/>
        <v>6.3000727627316816E-2</v>
      </c>
      <c r="M1082" s="172">
        <f t="shared" si="3220"/>
        <v>5.6089021602406515E-4</v>
      </c>
      <c r="N1082" s="196"/>
      <c r="O1082" s="172"/>
      <c r="P1082" s="166">
        <f>IFERROR(INDEX('Non-Labor Expenditures'!$F$7:$AB$91,MATCH($C1082,'Non-Labor Expenditures'!$D$7:$D$91,0),MATCH($G1082,'Non-Labor Expenditures'!$F$5:$AB$5,0)),"NA")</f>
        <v>32428.370889400398</v>
      </c>
      <c r="Q1082" s="166">
        <f t="shared" si="3210"/>
        <v>324.28370889400395</v>
      </c>
      <c r="R1082" s="172">
        <f t="shared" si="3221"/>
        <v>6.3004927093564478E-2</v>
      </c>
      <c r="S1082" s="172">
        <f t="shared" si="3227"/>
        <v>5.60927603521314E-4</v>
      </c>
      <c r="T1082" s="172"/>
      <c r="U1082" s="172"/>
      <c r="V1082" s="166">
        <f t="shared" si="3191"/>
        <v>40319.598959856383</v>
      </c>
      <c r="W1082" s="170"/>
      <c r="X1082" s="174">
        <v>1857.1866003144576</v>
      </c>
      <c r="Y1082" s="175">
        <v>2.5730541042289931E-2</v>
      </c>
      <c r="Z1082" s="175">
        <f t="shared" si="3228"/>
        <v>2.2907685779439195E-4</v>
      </c>
      <c r="AA1082" s="175"/>
      <c r="AB1082" s="175"/>
      <c r="AC1082" s="170">
        <f t="shared" si="3053"/>
        <v>95140.365268347639</v>
      </c>
      <c r="AD1082" s="175">
        <f t="shared" si="3222"/>
        <v>8.6090134915759189E-2</v>
      </c>
      <c r="AE1082" s="170"/>
      <c r="AF1082" s="170"/>
      <c r="AG1082" s="121">
        <f t="shared" si="3223"/>
        <v>526.48382354142643</v>
      </c>
      <c r="AH1082" s="119">
        <f>+AZ1082/$BB$50</f>
        <v>4.9908413137265163E-3</v>
      </c>
      <c r="AI1082" s="119">
        <f>+AZ1082/$BC$50</f>
        <v>2.1297285397224679E-2</v>
      </c>
      <c r="AJ1082" s="176">
        <f t="shared" si="3229"/>
        <v>2.6275972175392521</v>
      </c>
      <c r="AK1082" s="176">
        <f t="shared" si="3230"/>
        <v>11.212676246983836</v>
      </c>
      <c r="AL1082" s="120">
        <f t="shared" si="3211"/>
        <v>0.23536167173556793</v>
      </c>
      <c r="AM1082" s="120">
        <f t="shared" si="3212"/>
        <v>0.34084766016963181</v>
      </c>
      <c r="AN1082" s="120">
        <f t="shared" si="3213"/>
        <v>0.42379066809480032</v>
      </c>
      <c r="AO1082" s="120">
        <f t="shared" si="3217"/>
        <v>4.7250707836564806E-2</v>
      </c>
      <c r="AP1082" s="173">
        <f t="shared" si="3234"/>
        <v>114.52571427675799</v>
      </c>
      <c r="AQ1082" s="175">
        <f t="shared" si="3235"/>
        <v>4.7250707836564813E-2</v>
      </c>
      <c r="AR1082" s="177">
        <f>+AC1082/$AE$50</f>
        <v>8.9029164764894853E-3</v>
      </c>
      <c r="AS1082" s="177">
        <f t="shared" si="3231"/>
        <v>4.2066910532394372E-4</v>
      </c>
      <c r="AT1082" s="177"/>
      <c r="AU1082" s="177"/>
      <c r="AV1082" s="177"/>
      <c r="AW1082" s="190"/>
      <c r="AX1082" s="120"/>
      <c r="AY1082" s="120"/>
      <c r="AZ1082" s="118">
        <f>IFERROR(INDEX('Total Customers'!$F$7:$AB$91,MATCH($C1082,'Total Customers'!$D$7:$D$91,0),MATCH($G1082,'Total Customers'!$F$5:$AB$5,0)),"NA")</f>
        <v>180709</v>
      </c>
      <c r="BA1082" s="119">
        <f t="shared" si="3192"/>
        <v>1.9276062803016813E-2</v>
      </c>
      <c r="BB1082" s="119"/>
      <c r="BC1082" s="121">
        <v>8485072</v>
      </c>
      <c r="BD1082" s="119"/>
      <c r="BE1082" s="119"/>
      <c r="BF1082" s="119"/>
      <c r="BG1082" s="173"/>
      <c r="BH1082" s="173"/>
      <c r="BI1082" s="173"/>
      <c r="BJ1082" s="173"/>
      <c r="BK1082" s="173"/>
      <c r="BL1082" s="173"/>
      <c r="BM1082" s="173"/>
      <c r="BN1082" s="173"/>
      <c r="BO1082" s="173"/>
      <c r="BP1082" s="173"/>
      <c r="BQ1082" s="118"/>
      <c r="BR1082" s="118"/>
      <c r="BS1082" s="118">
        <f>INDEX('Dist. Plant Gas Additions'!$F$7:$AE$91,MATCH($C1082,'Dist. Plant Gas Additions'!$D$7:$D$91,0),MATCH(Calculation!$G1082,'Dist. Plant Gas Additions'!$F$5:$AE$5,0))</f>
        <v>36182</v>
      </c>
      <c r="BT1082" s="118">
        <f>INDEX('Gen. Plant Additions'!$F$7:$AE$91,MATCH($C1082,'Gen. Plant Additions'!$D$7:$D$91,0),MATCH(Calculation!$G1082,'Gen. Plant Additions'!$F$5:$AE$5,0))</f>
        <v>4592</v>
      </c>
      <c r="BU1082" s="118"/>
      <c r="BV1082" s="118"/>
      <c r="BW1082" s="118">
        <f>INDEX('Dist Plant Depreciation'!$E$7:$AD$94,MATCH($C1082,'Dist Plant Depreciation'!$D$7:$D$94,0),MATCH(Calculation!$G1082,'Dist Plant Depreciation'!$E$5:$AD$5,0))</f>
        <v>268871</v>
      </c>
      <c r="BX1082" s="118">
        <f>INDEX('Gen. Plant Depreciation'!$E$7:$AD$94,MATCH($C1082,'Gen. Plant Depreciation'!$D$7:$D$94,0),MATCH(Calculation!$G1082,'Gen. Plant Depreciation'!$E$5:$AD$5,0))</f>
        <v>5458</v>
      </c>
      <c r="BY1082" s="118"/>
      <c r="BZ1082" s="118"/>
      <c r="CA1082" s="118"/>
      <c r="CB1082" s="118"/>
      <c r="CC1082" s="118"/>
      <c r="CD1082" s="183"/>
      <c r="CE1082" s="118">
        <f>INDEX('Gross Dx Plant'!$E$7:$AD$91,MATCH($C1082,'Gross Dx Plant'!$D$7:$D$91,0),MATCH(Calculation!$G1082,'Gross Dx Plant'!$E$5:$AD$5,0))</f>
        <v>633105</v>
      </c>
      <c r="CF1082" s="118">
        <f>INDEX('Gross Gen Plant'!$E$7:$AD$91,MATCH($C1082,'Gross Gen Plant'!$D$7:$D$91,0),MATCH(Calculation!$G1082,'Gross Gen Plant'!$E$5:$AD$5,0))</f>
        <v>30760</v>
      </c>
      <c r="CG1082" s="118">
        <f t="shared" si="3224"/>
        <v>389536</v>
      </c>
      <c r="CH1082" s="118"/>
      <c r="CI1082" s="121">
        <v>2012</v>
      </c>
      <c r="CJ1082" s="118"/>
      <c r="CK1082" s="118"/>
      <c r="CL1082" s="118"/>
      <c r="CM1082" s="183"/>
      <c r="CN1082" s="118">
        <f t="shared" si="3201"/>
        <v>40774</v>
      </c>
      <c r="CO1082" s="118">
        <f t="shared" si="3193"/>
        <v>60.955033966166617</v>
      </c>
      <c r="CP1082" s="186">
        <v>0.9135802469135802</v>
      </c>
      <c r="CQ1082" s="118">
        <f>+CQ1068*CP1082+CO1069*CP1081+CO1070*CP1080+CO1071*CP1079+CO1072*CP1078+CO1073*CP1077+CO1074*CP1076+CO1075*CP1075+CO1076*CP1074+CO1077*CP1073+CO1078*CP1072+CO1079*CP1071+CO1080*CP1070+CO1081*CP1069+CO1082</f>
        <v>1857.1866003144576</v>
      </c>
      <c r="CR1082" s="119">
        <f t="shared" si="3194"/>
        <v>2.5730541042289931E-2</v>
      </c>
      <c r="CS1082" s="119"/>
      <c r="CT1082" s="177">
        <f t="shared" si="3195"/>
        <v>7.6122043375854414E-3</v>
      </c>
      <c r="CU1082" s="177">
        <f t="shared" si="3204"/>
        <v>7.3524424960418784E-3</v>
      </c>
      <c r="CV1082" s="119">
        <f>VLOOKUP($H1082,RoR!$E:$F,2,FALSE)</f>
        <v>3.6733333333333333E-2</v>
      </c>
      <c r="CW1082" s="177">
        <v>1.924331376386168E-2</v>
      </c>
      <c r="CX1082" s="177">
        <f t="shared" si="3202"/>
        <v>1.7490019569471653E-2</v>
      </c>
      <c r="CY1082" s="177">
        <f t="shared" si="3205"/>
        <v>2.3549499112491747E-2</v>
      </c>
      <c r="CZ1082" s="177">
        <f t="shared" si="3206"/>
        <v>6.7122682943869583E-2</v>
      </c>
      <c r="DA1082" s="187">
        <f t="shared" si="3196"/>
        <v>0.84925000000000006</v>
      </c>
      <c r="DB1082" s="188">
        <f t="shared" si="3197"/>
        <v>1.3960631020522127</v>
      </c>
      <c r="DC1082" s="188">
        <f t="shared" si="3198"/>
        <v>0.29441923774954631</v>
      </c>
      <c r="DD1082" s="188">
        <f t="shared" si="3199"/>
        <v>0.76377954189366437</v>
      </c>
      <c r="DE1082" s="188">
        <f t="shared" si="3200"/>
        <v>0.31393465103033691</v>
      </c>
      <c r="DF1082" s="189">
        <f>INDEX('State Tax Lookup'!$D$7:$Z$91,MATCH(Calculation!$C1082,'State Tax Lookup'!$B$7:$B$91,0),MATCH($H1082,'State Tax Lookup'!$D$6:$Z$6,0))</f>
        <v>0.40200000000000002</v>
      </c>
      <c r="DG1082" s="189">
        <v>0.375</v>
      </c>
      <c r="DH1082" s="190">
        <f t="shared" si="3203"/>
        <v>22.275901773126932</v>
      </c>
      <c r="DI1082" s="190">
        <v>21.919991589727374</v>
      </c>
      <c r="DJ1082" s="177"/>
      <c r="DK1082" s="189">
        <f>VLOOKUP($H1082,RoR!$E:$F,2,FALSE)</f>
        <v>3.6733333333333333E-2</v>
      </c>
      <c r="DL1082" s="191">
        <f>HLOOKUP($H1082,'GDP-PI'!$D$8:$CQ$11,3,FALSE)</f>
        <v>1.924331376386168E-2</v>
      </c>
      <c r="DM1082" s="189">
        <f>VLOOKUP(H1082,'HW Dx Data'!$E:$F,2,FALSE)</f>
        <v>668.91932211262167</v>
      </c>
      <c r="DN1082" s="183">
        <f>VLOOKUP(H1082,'ECI - Input Price'!$G$17:$H$37,2,FALSE)</f>
        <v>116.5</v>
      </c>
      <c r="DO1082" s="177">
        <f t="shared" ref="DO1082" si="3244">LN(DN1082/DN1081)</f>
        <v>1.9064702204990347E-2</v>
      </c>
      <c r="DP1082" s="183">
        <f>HLOOKUP(H1082,'GDP-PI'!$8:$9,2,FALSE)</f>
        <v>100</v>
      </c>
      <c r="DQ1082" s="177">
        <f t="shared" ref="DQ1082" si="3245">LN(DP1082/DP1081)</f>
        <v>1.9060502738742411E-2</v>
      </c>
    </row>
    <row r="1083" spans="1:121" s="167" customFormat="1" ht="21" x14ac:dyDescent="0.35">
      <c r="A1083" s="167" t="s">
        <v>104</v>
      </c>
      <c r="B1083" s="167" t="s">
        <v>105</v>
      </c>
      <c r="C1083" s="167">
        <v>4063060</v>
      </c>
      <c r="D1083" s="168" t="s">
        <v>140</v>
      </c>
      <c r="E1083" s="168" t="s">
        <v>126</v>
      </c>
      <c r="F1083" s="198"/>
      <c r="G1083" s="167" t="s">
        <v>19</v>
      </c>
      <c r="H1083" s="169">
        <v>2013</v>
      </c>
      <c r="I1083" s="170"/>
      <c r="J1083" s="166">
        <f>IFERROR(INDEX('Labor Expenditures'!$F$7:$X$91,MATCH($C1083,'Labor Expenditures'!$D$7:$D$91,0),MATCH($G1083,'Labor Expenditures'!$F$5:$X$5,0)),"NA")</f>
        <v>22354.797738245295</v>
      </c>
      <c r="K1083" s="166">
        <f t="shared" si="3209"/>
        <v>188.29056844173761</v>
      </c>
      <c r="L1083" s="172">
        <f t="shared" si="3216"/>
        <v>-2.0599070505244864E-2</v>
      </c>
      <c r="M1083" s="172">
        <f t="shared" si="3220"/>
        <v>-1.7717103275327164E-4</v>
      </c>
      <c r="N1083" s="196"/>
      <c r="O1083" s="172"/>
      <c r="P1083" s="166">
        <f>IFERROR(INDEX('Non-Labor Expenditures'!$F$7:$AB$91,MATCH($C1083,'Non-Labor Expenditures'!$D$7:$D$91,0),MATCH($G1083,'Non-Labor Expenditures'!$F$5:$AB$5,0)),"NA")</f>
        <v>32373.922425257879</v>
      </c>
      <c r="Q1083" s="166">
        <f t="shared" si="3210"/>
        <v>318.09932325133269</v>
      </c>
      <c r="R1083" s="172">
        <f t="shared" si="3221"/>
        <v>-1.9255106092324979E-2</v>
      </c>
      <c r="S1083" s="172">
        <f t="shared" si="3227"/>
        <v>-1.6561169744442683E-4</v>
      </c>
      <c r="T1083" s="172"/>
      <c r="U1083" s="172"/>
      <c r="V1083" s="166">
        <f t="shared" si="3191"/>
        <v>40611.395322671975</v>
      </c>
      <c r="W1083" s="170"/>
      <c r="X1083" s="174">
        <v>1915.3350739310081</v>
      </c>
      <c r="Y1083" s="175">
        <v>3.0829818514371197E-2</v>
      </c>
      <c r="Z1083" s="175">
        <f t="shared" si="3228"/>
        <v>2.6516491530024746E-4</v>
      </c>
      <c r="AA1083" s="175"/>
      <c r="AB1083" s="175"/>
      <c r="AC1083" s="170">
        <f t="shared" si="3053"/>
        <v>95340.115486175142</v>
      </c>
      <c r="AD1083" s="175">
        <f t="shared" si="3222"/>
        <v>2.0973308158187725E-3</v>
      </c>
      <c r="AE1083" s="170"/>
      <c r="AF1083" s="170"/>
      <c r="AG1083" s="121">
        <f t="shared" si="3223"/>
        <v>516.82702787509834</v>
      </c>
      <c r="AH1083" s="119">
        <f>+AZ1083/$BB$51</f>
        <v>5.0621958076241813E-3</v>
      </c>
      <c r="AI1083" s="119">
        <f>+AZ1083/$BC$51</f>
        <v>2.1613791152841368E-2</v>
      </c>
      <c r="AJ1083" s="176">
        <f t="shared" si="3229"/>
        <v>2.6162796137761886</v>
      </c>
      <c r="AK1083" s="176">
        <f t="shared" si="3230"/>
        <v>11.1705914426361</v>
      </c>
      <c r="AL1083" s="120">
        <f t="shared" si="3211"/>
        <v>0.23447420452817541</v>
      </c>
      <c r="AM1083" s="120">
        <f t="shared" si="3212"/>
        <v>0.33956244189731744</v>
      </c>
      <c r="AN1083" s="120">
        <f t="shared" si="3213"/>
        <v>0.42596335357450726</v>
      </c>
      <c r="AO1083" s="120">
        <f t="shared" si="3217"/>
        <v>1.7091056136413381E-3</v>
      </c>
      <c r="AP1083" s="173">
        <f t="shared" si="3234"/>
        <v>114.72161818047853</v>
      </c>
      <c r="AQ1083" s="175">
        <f t="shared" si="3235"/>
        <v>1.7091056136413689E-3</v>
      </c>
      <c r="AR1083" s="177">
        <f>+AC1083/$AE$51</f>
        <v>8.6009236537231606E-3</v>
      </c>
      <c r="AS1083" s="177">
        <f t="shared" si="3231"/>
        <v>1.4699886899079086E-5</v>
      </c>
      <c r="AT1083" s="177"/>
      <c r="AU1083" s="177"/>
      <c r="AV1083" s="177"/>
      <c r="AW1083" s="190"/>
      <c r="AX1083" s="120"/>
      <c r="AY1083" s="120"/>
      <c r="AZ1083" s="118">
        <f>IFERROR(INDEX('Total Customers'!$F$7:$AB$91,MATCH($C1083,'Total Customers'!$D$7:$D$91,0),MATCH($G1083,'Total Customers'!$F$5:$AB$5,0)),"NA")</f>
        <v>184472</v>
      </c>
      <c r="BA1083" s="119">
        <f t="shared" si="3192"/>
        <v>2.0609687779333433E-2</v>
      </c>
      <c r="BB1083" s="119"/>
      <c r="BC1083" s="121">
        <v>8534921</v>
      </c>
      <c r="BD1083" s="119"/>
      <c r="BE1083" s="119"/>
      <c r="BF1083" s="119"/>
      <c r="BG1083" s="173"/>
      <c r="BH1083" s="173"/>
      <c r="BI1083" s="173"/>
      <c r="BJ1083" s="173"/>
      <c r="BK1083" s="173"/>
      <c r="BL1083" s="173"/>
      <c r="BM1083" s="173"/>
      <c r="BN1083" s="173"/>
      <c r="BO1083" s="173"/>
      <c r="BP1083" s="173"/>
      <c r="BQ1083" s="118"/>
      <c r="BR1083" s="118"/>
      <c r="BS1083" s="118">
        <f>INDEX('Dist. Plant Gas Additions'!$F$7:$AE$91,MATCH($C1083,'Dist. Plant Gas Additions'!$D$7:$D$91,0),MATCH(Calculation!$G1083,'Dist. Plant Gas Additions'!$F$5:$AE$5,0))</f>
        <v>46418</v>
      </c>
      <c r="BT1083" s="118">
        <f>INDEX('Gen. Plant Additions'!$F$7:$AE$91,MATCH($C1083,'Gen. Plant Additions'!$D$7:$D$91,0),MATCH(Calculation!$G1083,'Gen. Plant Additions'!$F$5:$AE$5,0))</f>
        <v>1823</v>
      </c>
      <c r="BU1083" s="118"/>
      <c r="BV1083" s="118"/>
      <c r="BW1083" s="118">
        <f>INDEX('Dist Plant Depreciation'!$E$7:$AD$94,MATCH($C1083,'Dist Plant Depreciation'!$D$7:$D$94,0),MATCH(Calculation!$G1083,'Dist Plant Depreciation'!$E$5:$AD$5,0))</f>
        <v>259052</v>
      </c>
      <c r="BX1083" s="118">
        <f>INDEX('Gen. Plant Depreciation'!$E$7:$AD$94,MATCH($C1083,'Gen. Plant Depreciation'!$D$7:$D$94,0),MATCH(Calculation!$G1083,'Gen. Plant Depreciation'!$E$5:$AD$5,0))</f>
        <v>6199</v>
      </c>
      <c r="BY1083" s="118"/>
      <c r="BZ1083" s="118"/>
      <c r="CA1083" s="118"/>
      <c r="CB1083" s="118"/>
      <c r="CC1083" s="118"/>
      <c r="CD1083" s="183"/>
      <c r="CE1083" s="118">
        <f>INDEX('Gross Dx Plant'!$E$7:$AD$91,MATCH($C1083,'Gross Dx Plant'!$D$7:$D$91,0),MATCH(Calculation!$G1083,'Gross Dx Plant'!$E$5:$AD$5,0))</f>
        <v>651616</v>
      </c>
      <c r="CF1083" s="118">
        <f>INDEX('Gross Gen Plant'!$E$7:$AD$91,MATCH($C1083,'Gross Gen Plant'!$D$7:$D$91,0),MATCH(Calculation!$G1083,'Gross Gen Plant'!$E$5:$AD$5,0))</f>
        <v>31729</v>
      </c>
      <c r="CG1083" s="118">
        <f t="shared" si="3224"/>
        <v>418094</v>
      </c>
      <c r="CH1083" s="118"/>
      <c r="CI1083" s="121">
        <v>2013</v>
      </c>
      <c r="CJ1083" s="118"/>
      <c r="CK1083" s="118"/>
      <c r="CL1083" s="118"/>
      <c r="CM1083" s="183"/>
      <c r="CN1083" s="118">
        <f t="shared" si="3201"/>
        <v>48241</v>
      </c>
      <c r="CO1083" s="118">
        <f t="shared" si="3193"/>
        <v>72.734437958414745</v>
      </c>
      <c r="CP1083" s="186">
        <v>0.90566037735849059</v>
      </c>
      <c r="CQ1083" s="118">
        <f>+CQ1068*CP1083+CO1069*CP1082+CO1070*CP1081+CO1071*CP1080+CO1072*CP1079+CO1073*CP1078+CO1074*CP1077+CO1075*CP1076+CO1076*CP1075+CO1077*CP1074+CO1078*CP1073+CO1079*CP1072+CO1080*CP1071+CO1081*CP1070+CO1082*CP1069+CO1083</f>
        <v>1915.3350739310081</v>
      </c>
      <c r="CR1083" s="119">
        <f t="shared" si="3194"/>
        <v>3.0829818514371197E-2</v>
      </c>
      <c r="CS1083" s="119"/>
      <c r="CT1083" s="177">
        <f t="shared" si="3195"/>
        <v>7.8537958110372653E-3</v>
      </c>
      <c r="CU1083" s="177">
        <f t="shared" si="3204"/>
        <v>7.6057638282763518E-3</v>
      </c>
      <c r="CV1083" s="119">
        <f>VLOOKUP($H1083,RoR!$E:$F,2,FALSE)</f>
        <v>4.2350000000000006E-2</v>
      </c>
      <c r="CW1083" s="177">
        <v>1.7730000000000024E-2</v>
      </c>
      <c r="CX1083" s="177">
        <f t="shared" si="3202"/>
        <v>2.4619999999999982E-2</v>
      </c>
      <c r="CY1083" s="177">
        <f t="shared" si="3205"/>
        <v>2.3296177780257273E-2</v>
      </c>
      <c r="CZ1083" s="177">
        <f t="shared" si="3206"/>
        <v>5.3376742735721204E-2</v>
      </c>
      <c r="DA1083" s="187">
        <f t="shared" si="3196"/>
        <v>0.84925000000000006</v>
      </c>
      <c r="DB1083" s="188">
        <f t="shared" si="3197"/>
        <v>1.2109103018193925</v>
      </c>
      <c r="DC1083" s="188">
        <f t="shared" si="3198"/>
        <v>0.38468122786304604</v>
      </c>
      <c r="DD1083" s="188">
        <f t="shared" si="3199"/>
        <v>0.80969194503422559</v>
      </c>
      <c r="DE1083" s="188">
        <f t="shared" si="3200"/>
        <v>0.37716621754800816</v>
      </c>
      <c r="DF1083" s="189">
        <f>INDEX('State Tax Lookup'!$D$7:$Z$91,MATCH(Calculation!$C1083,'State Tax Lookup'!$B$7:$B$91,0),MATCH($H1083,'State Tax Lookup'!$D$6:$Z$6,0))</f>
        <v>0.40200000000000002</v>
      </c>
      <c r="DG1083" s="189">
        <v>0.375</v>
      </c>
      <c r="DH1083" s="190">
        <f t="shared" si="3203"/>
        <v>21.867159345106025</v>
      </c>
      <c r="DI1083" s="190">
        <v>21.523300471654419</v>
      </c>
      <c r="DJ1083" s="177"/>
      <c r="DK1083" s="189">
        <f>VLOOKUP($H1083,RoR!$E:$F,2,FALSE)</f>
        <v>4.2350000000000006E-2</v>
      </c>
      <c r="DL1083" s="191">
        <f>HLOOKUP($H1083,'GDP-PI'!$D$8:$CQ$11,3,FALSE)</f>
        <v>1.7730000000000024E-2</v>
      </c>
      <c r="DM1083" s="189">
        <f>VLOOKUP(H1083,'HW Dx Data'!$E:$F,2,FALSE)</f>
        <v>663.24840548821396</v>
      </c>
      <c r="DN1083" s="183">
        <f>VLOOKUP(H1083,'ECI - Input Price'!$G$17:$H$37,2,FALSE)</f>
        <v>118.72499999999999</v>
      </c>
      <c r="DO1083" s="177">
        <f t="shared" ref="DO1083" si="3246">LN(DN1083/DN1082)</f>
        <v>1.8918621429430321E-2</v>
      </c>
      <c r="DP1083" s="183">
        <f>HLOOKUP(H1083,'GDP-PI'!$8:$9,2,FALSE)</f>
        <v>101.773</v>
      </c>
      <c r="DQ1083" s="177">
        <f t="shared" ref="DQ1083" si="3247">LN(DP1083/DP1082)</f>
        <v>1.7574657016510519E-2</v>
      </c>
    </row>
    <row r="1084" spans="1:121" s="167" customFormat="1" ht="21" x14ac:dyDescent="0.35">
      <c r="A1084" s="167" t="s">
        <v>104</v>
      </c>
      <c r="B1084" s="167" t="s">
        <v>105</v>
      </c>
      <c r="C1084" s="167">
        <v>4063060</v>
      </c>
      <c r="D1084" s="168" t="s">
        <v>140</v>
      </c>
      <c r="E1084" s="168" t="s">
        <v>126</v>
      </c>
      <c r="F1084" s="198"/>
      <c r="G1084" s="167" t="s">
        <v>20</v>
      </c>
      <c r="H1084" s="169">
        <v>2014</v>
      </c>
      <c r="I1084" s="170"/>
      <c r="J1084" s="166">
        <f>IFERROR(INDEX('Labor Expenditures'!$F$7:$X$91,MATCH($C1084,'Labor Expenditures'!$D$7:$D$91,0),MATCH($G1084,'Labor Expenditures'!$F$5:$X$5,0)),"NA")</f>
        <v>24481.773885588635</v>
      </c>
      <c r="K1084" s="166">
        <f t="shared" si="3209"/>
        <v>201.99483403951018</v>
      </c>
      <c r="L1084" s="172">
        <f t="shared" si="3216"/>
        <v>7.0255776539229056E-2</v>
      </c>
      <c r="M1084" s="172">
        <f t="shared" si="3220"/>
        <v>6.3432378443678376E-4</v>
      </c>
      <c r="N1084" s="196"/>
      <c r="O1084" s="172"/>
      <c r="P1084" s="166">
        <f>IFERROR(INDEX('Non-Labor Expenditures'!$F$7:$AB$91,MATCH($C1084,'Non-Labor Expenditures'!$D$7:$D$91,0),MATCH($G1084,'Non-Labor Expenditures'!$F$5:$AB$5,0)),"NA")</f>
        <v>35454.181150956916</v>
      </c>
      <c r="Q1084" s="166">
        <f t="shared" si="3210"/>
        <v>342.06664110834771</v>
      </c>
      <c r="R1084" s="172">
        <f t="shared" si="3221"/>
        <v>7.2641903841001595E-2</v>
      </c>
      <c r="S1084" s="172">
        <f t="shared" si="3227"/>
        <v>6.5586759726992696E-4</v>
      </c>
      <c r="T1084" s="172"/>
      <c r="U1084" s="172"/>
      <c r="V1084" s="166">
        <f t="shared" si="3191"/>
        <v>42809.777584776333</v>
      </c>
      <c r="W1084" s="170"/>
      <c r="X1084" s="174">
        <v>1973.8602167199347</v>
      </c>
      <c r="Y1084" s="175">
        <v>3.0098545646692735E-2</v>
      </c>
      <c r="Z1084" s="175">
        <f t="shared" si="3228"/>
        <v>2.7175307599073797E-4</v>
      </c>
      <c r="AA1084" s="175"/>
      <c r="AB1084" s="175"/>
      <c r="AC1084" s="170">
        <f t="shared" si="3053"/>
        <v>102745.73262132189</v>
      </c>
      <c r="AD1084" s="175">
        <f t="shared" si="3222"/>
        <v>7.4806659763228922E-2</v>
      </c>
      <c r="AE1084" s="170"/>
      <c r="AF1084" s="170"/>
      <c r="AG1084" s="121">
        <f t="shared" si="3223"/>
        <v>548.40426476788264</v>
      </c>
      <c r="AH1084" s="119">
        <f>+AZ1084/$BB$52</f>
        <v>5.1136835201480027E-3</v>
      </c>
      <c r="AI1084" s="119">
        <f>+AZ1084/$BC$52</f>
        <v>2.17859720173391E-2</v>
      </c>
      <c r="AJ1084" s="176">
        <f t="shared" si="3229"/>
        <v>2.8043658511224034</v>
      </c>
      <c r="AK1084" s="176">
        <f t="shared" si="3230"/>
        <v>11.947519966422513</v>
      </c>
      <c r="AL1084" s="120">
        <f t="shared" si="3211"/>
        <v>0.23827533524743347</v>
      </c>
      <c r="AM1084" s="120">
        <f t="shared" si="3212"/>
        <v>0.34506718913209083</v>
      </c>
      <c r="AN1084" s="120">
        <f t="shared" si="3213"/>
        <v>0.41665747562047561</v>
      </c>
      <c r="AO1084" s="120">
        <f t="shared" si="3217"/>
        <v>5.4153923669908247E-2</v>
      </c>
      <c r="AP1084" s="173">
        <f t="shared" si="3234"/>
        <v>121.10554109856882</v>
      </c>
      <c r="AQ1084" s="175">
        <f t="shared" si="3235"/>
        <v>5.4153923669908288E-2</v>
      </c>
      <c r="AR1084" s="177">
        <f>+AC1084/$AE$52</f>
        <v>9.0287776419721629E-3</v>
      </c>
      <c r="AS1084" s="177">
        <f t="shared" si="3231"/>
        <v>4.8894373525593506E-4</v>
      </c>
      <c r="AT1084" s="177"/>
      <c r="AU1084" s="177"/>
      <c r="AV1084" s="177"/>
      <c r="AW1084" s="190"/>
      <c r="AX1084" s="120"/>
      <c r="AY1084" s="120"/>
      <c r="AZ1084" s="118">
        <f>IFERROR(INDEX('Total Customers'!$F$7:$AB$91,MATCH($C1084,'Total Customers'!$D$7:$D$91,0),MATCH($G1084,'Total Customers'!$F$5:$AB$5,0)),"NA")</f>
        <v>187354</v>
      </c>
      <c r="BA1084" s="119">
        <f t="shared" si="3192"/>
        <v>1.5502184979421461E-2</v>
      </c>
      <c r="BB1084" s="119"/>
      <c r="BC1084" s="121">
        <v>8599754</v>
      </c>
      <c r="BD1084" s="119"/>
      <c r="BE1084" s="119"/>
      <c r="BF1084" s="119"/>
      <c r="BG1084" s="173"/>
      <c r="BH1084" s="173"/>
      <c r="BI1084" s="173"/>
      <c r="BJ1084" s="173"/>
      <c r="BK1084" s="173"/>
      <c r="BL1084" s="173"/>
      <c r="BM1084" s="173"/>
      <c r="BN1084" s="173"/>
      <c r="BO1084" s="173"/>
      <c r="BP1084" s="173"/>
      <c r="BQ1084" s="118"/>
      <c r="BR1084" s="118"/>
      <c r="BS1084" s="118">
        <f>INDEX('Dist. Plant Gas Additions'!$F$7:$AE$91,MATCH($C1084,'Dist. Plant Gas Additions'!$D$7:$D$91,0),MATCH(Calculation!$G1084,'Dist. Plant Gas Additions'!$F$5:$AE$5,0))</f>
        <v>48986</v>
      </c>
      <c r="BT1084" s="118">
        <f>INDEX('Gen. Plant Additions'!$F$7:$AE$91,MATCH($C1084,'Gen. Plant Additions'!$D$7:$D$91,0),MATCH(Calculation!$G1084,'Gen. Plant Additions'!$F$5:$AE$5,0))</f>
        <v>1675</v>
      </c>
      <c r="BU1084" s="118"/>
      <c r="BV1084" s="118"/>
      <c r="BW1084" s="118">
        <f>INDEX('Dist Plant Depreciation'!$E$7:$AD$94,MATCH($C1084,'Dist Plant Depreciation'!$D$7:$D$94,0),MATCH(Calculation!$G1084,'Dist Plant Depreciation'!$E$5:$AD$5,0))</f>
        <v>275715</v>
      </c>
      <c r="BX1084" s="118">
        <f>INDEX('Gen. Plant Depreciation'!$E$7:$AD$94,MATCH($C1084,'Gen. Plant Depreciation'!$D$7:$D$94,0),MATCH(Calculation!$G1084,'Gen. Plant Depreciation'!$E$5:$AD$5,0))</f>
        <v>5812</v>
      </c>
      <c r="BY1084" s="118"/>
      <c r="BZ1084" s="118"/>
      <c r="CA1084" s="118"/>
      <c r="CB1084" s="118"/>
      <c r="CC1084" s="118"/>
      <c r="CD1084" s="183"/>
      <c r="CE1084" s="118">
        <f>INDEX('Gross Dx Plant'!$E$7:$AD$91,MATCH($C1084,'Gross Dx Plant'!$D$7:$D$91,0),MATCH(Calculation!$G1084,'Gross Dx Plant'!$E$5:$AD$5,0))</f>
        <v>698750</v>
      </c>
      <c r="CF1084" s="118">
        <f>INDEX('Gross Gen Plant'!$E$7:$AD$91,MATCH($C1084,'Gross Gen Plant'!$D$7:$D$91,0),MATCH(Calculation!$G1084,'Gross Gen Plant'!$E$5:$AD$5,0))</f>
        <v>31810</v>
      </c>
      <c r="CG1084" s="118">
        <f t="shared" si="3224"/>
        <v>449033</v>
      </c>
      <c r="CH1084" s="118"/>
      <c r="CI1084" s="121">
        <v>2014</v>
      </c>
      <c r="CJ1084" s="118"/>
      <c r="CK1084" s="118"/>
      <c r="CL1084" s="118"/>
      <c r="CM1084" s="183"/>
      <c r="CN1084" s="118">
        <f t="shared" si="3201"/>
        <v>50661</v>
      </c>
      <c r="CO1084" s="118">
        <f t="shared" si="3193"/>
        <v>74.015023948377632</v>
      </c>
      <c r="CP1084" s="186">
        <v>0.89743589743589747</v>
      </c>
      <c r="CQ1084" s="118">
        <f>+CQ1068*CP1084+CO1069*CP1083+CO1070*CP1082+CO1071*CP1081+CO1072*CP1080+CO1073*CP1079+CO1074*CP1078+CO1075*CP1077+CO1076*CP1076+CO1077*CP1075+CO1078*CP1074+CO1079*CP1073+CO1080*CP1072+CO1081*CP1071+CO1082*CP1070+CO1083*CP1069+CO1084</f>
        <v>1973.8602167199347</v>
      </c>
      <c r="CR1084" s="119">
        <f t="shared" si="3194"/>
        <v>3.0098545646692735E-2</v>
      </c>
      <c r="CS1084" s="119"/>
      <c r="CT1084" s="177">
        <f t="shared" si="3195"/>
        <v>8.0872957271438776E-3</v>
      </c>
      <c r="CU1084" s="177">
        <f t="shared" si="3204"/>
        <v>7.8510986252555287E-3</v>
      </c>
      <c r="CV1084" s="119">
        <f>VLOOKUP($H1084,RoR!$E:$F,2,FALSE)</f>
        <v>4.1625000000000002E-2</v>
      </c>
      <c r="CW1084" s="177">
        <v>1.841352814597208E-2</v>
      </c>
      <c r="CX1084" s="177">
        <f t="shared" si="3202"/>
        <v>2.3211471854027922E-2</v>
      </c>
      <c r="CY1084" s="177">
        <f t="shared" si="3205"/>
        <v>2.3050842983278096E-2</v>
      </c>
      <c r="CZ1084" s="177">
        <f t="shared" si="3206"/>
        <v>3.9072621432650924E-2</v>
      </c>
      <c r="DA1084" s="187">
        <f t="shared" si="3196"/>
        <v>0.84925000000000006</v>
      </c>
      <c r="DB1084" s="188">
        <f t="shared" si="3197"/>
        <v>1.2320012320012319</v>
      </c>
      <c r="DC1084" s="188">
        <f t="shared" si="3198"/>
        <v>0.37439939939939942</v>
      </c>
      <c r="DD1084" s="188">
        <f t="shared" si="3199"/>
        <v>0.80432100613819935</v>
      </c>
      <c r="DE1084" s="188">
        <f t="shared" si="3200"/>
        <v>0.37100152660040037</v>
      </c>
      <c r="DF1084" s="189">
        <f>INDEX('State Tax Lookup'!$D$7:$Z$91,MATCH(Calculation!$C1084,'State Tax Lookup'!$B$7:$B$91,0),MATCH($H1084,'State Tax Lookup'!$D$6:$Z$6,0))</f>
        <v>0.40200000000000002</v>
      </c>
      <c r="DG1084" s="189">
        <v>0.375</v>
      </c>
      <c r="DH1084" s="190">
        <f t="shared" si="3203"/>
        <v>22.351064399877625</v>
      </c>
      <c r="DI1084" s="190">
        <v>21.996470538609774</v>
      </c>
      <c r="DJ1084" s="177"/>
      <c r="DK1084" s="189">
        <f>VLOOKUP($H1084,RoR!$E:$F,2,FALSE)</f>
        <v>4.1625000000000002E-2</v>
      </c>
      <c r="DL1084" s="191">
        <f>HLOOKUP($H1084,'GDP-PI'!$D$8:$CQ$11,3,FALSE)</f>
        <v>1.841352814597208E-2</v>
      </c>
      <c r="DM1084" s="189">
        <f>VLOOKUP(H1084,'HW Dx Data'!$E:$F,2,FALSE)</f>
        <v>684.46914285042885</v>
      </c>
      <c r="DN1084" s="183">
        <f>VLOOKUP(H1084,'ECI - Input Price'!$G$17:$H$37,2,FALSE)</f>
        <v>121.2</v>
      </c>
      <c r="DO1084" s="177">
        <f t="shared" ref="DO1084" si="3248">LN(DN1084/DN1083)</f>
        <v>2.0632179200028689E-2</v>
      </c>
      <c r="DP1084" s="183">
        <f>HLOOKUP(H1084,'GDP-PI'!$8:$9,2,FALSE)</f>
        <v>103.64700000000001</v>
      </c>
      <c r="DQ1084" s="177">
        <f t="shared" ref="DQ1084" si="3249">LN(DP1084/DP1083)</f>
        <v>1.8246051898256087E-2</v>
      </c>
    </row>
    <row r="1085" spans="1:121" s="167" customFormat="1" ht="21" x14ac:dyDescent="0.35">
      <c r="A1085" s="167" t="s">
        <v>104</v>
      </c>
      <c r="B1085" s="167" t="s">
        <v>105</v>
      </c>
      <c r="C1085" s="167">
        <v>4063060</v>
      </c>
      <c r="D1085" s="168" t="s">
        <v>140</v>
      </c>
      <c r="E1085" s="168" t="s">
        <v>126</v>
      </c>
      <c r="F1085" s="198"/>
      <c r="G1085" s="167" t="s">
        <v>21</v>
      </c>
      <c r="H1085" s="169">
        <v>2015</v>
      </c>
      <c r="I1085" s="170"/>
      <c r="J1085" s="166">
        <f>IFERROR(INDEX('Labor Expenditures'!$F$7:$X$91,MATCH($C1085,'Labor Expenditures'!$D$7:$D$91,0),MATCH($G1085,'Labor Expenditures'!$F$5:$X$5,0)),"NA")</f>
        <v>24327.971143364772</v>
      </c>
      <c r="K1085" s="166">
        <f t="shared" si="3209"/>
        <v>196.58966580496786</v>
      </c>
      <c r="L1085" s="172">
        <f t="shared" si="3216"/>
        <v>-2.7123481253751497E-2</v>
      </c>
      <c r="M1085" s="172">
        <f t="shared" si="3220"/>
        <v>-2.4245741301977031E-4</v>
      </c>
      <c r="N1085" s="196"/>
      <c r="O1085" s="172"/>
      <c r="P1085" s="166">
        <f>IFERROR(INDEX('Non-Labor Expenditures'!$F$7:$AB$91,MATCH($C1085,'Non-Labor Expenditures'!$D$7:$D$91,0),MATCH($G1085,'Non-Labor Expenditures'!$F$5:$AB$5,0)),"NA")</f>
        <v>35231.446053827021</v>
      </c>
      <c r="Q1085" s="166">
        <f t="shared" si="3210"/>
        <v>336.69517153094949</v>
      </c>
      <c r="R1085" s="172">
        <f t="shared" si="3221"/>
        <v>-1.582758962560861E-2</v>
      </c>
      <c r="S1085" s="172">
        <f t="shared" si="3227"/>
        <v>-1.4148318200978883E-4</v>
      </c>
      <c r="T1085" s="172"/>
      <c r="U1085" s="172"/>
      <c r="V1085" s="166">
        <f t="shared" si="3191"/>
        <v>43192.307160659402</v>
      </c>
      <c r="W1085" s="170"/>
      <c r="X1085" s="174">
        <v>2071.4787529855853</v>
      </c>
      <c r="Y1085" s="175">
        <v>4.8271599351655835E-2</v>
      </c>
      <c r="Z1085" s="175">
        <f t="shared" si="3228"/>
        <v>4.315009195034845E-4</v>
      </c>
      <c r="AA1085" s="175"/>
      <c r="AB1085" s="175"/>
      <c r="AC1085" s="170">
        <f t="shared" si="3053"/>
        <v>102751.7243578512</v>
      </c>
      <c r="AD1085" s="175">
        <f t="shared" si="3222"/>
        <v>5.8314459157586353E-5</v>
      </c>
      <c r="AE1085" s="170"/>
      <c r="AF1085" s="170"/>
      <c r="AG1085" s="121">
        <f t="shared" si="3223"/>
        <v>540.92381581972245</v>
      </c>
      <c r="AH1085" s="119">
        <f>+AZ1085/$BB$53</f>
        <v>5.1426646870804515E-3</v>
      </c>
      <c r="AI1085" s="119">
        <f>+AZ1085/$BC$53</f>
        <v>2.1937130021114182E-2</v>
      </c>
      <c r="AJ1085" s="176">
        <f t="shared" si="3229"/>
        <v>2.7817898060168966</v>
      </c>
      <c r="AK1085" s="176">
        <f t="shared" si="3230"/>
        <v>11.866316079154473</v>
      </c>
      <c r="AL1085" s="120">
        <f t="shared" si="3211"/>
        <v>0.23676460220402992</v>
      </c>
      <c r="AM1085" s="120">
        <f t="shared" si="3212"/>
        <v>0.34287936551923187</v>
      </c>
      <c r="AN1085" s="120">
        <f t="shared" si="3213"/>
        <v>0.42035603227673818</v>
      </c>
      <c r="AO1085" s="120">
        <f t="shared" si="3217"/>
        <v>8.3153540577589041E-3</v>
      </c>
      <c r="AP1085" s="173">
        <f t="shared" si="3234"/>
        <v>122.11677510875742</v>
      </c>
      <c r="AQ1085" s="175">
        <f t="shared" si="3235"/>
        <v>8.315354057758937E-3</v>
      </c>
      <c r="AR1085" s="177">
        <f>+AC1085/$AE$53</f>
        <v>8.9390226406219735E-3</v>
      </c>
      <c r="AS1085" s="177">
        <f t="shared" si="3231"/>
        <v>7.4331138187094936E-5</v>
      </c>
      <c r="AT1085" s="177"/>
      <c r="AU1085" s="177"/>
      <c r="AV1085" s="177"/>
      <c r="AW1085" s="190"/>
      <c r="AX1085" s="120"/>
      <c r="AY1085" s="120"/>
      <c r="AZ1085" s="118">
        <f>IFERROR(INDEX('Total Customers'!$F$7:$AB$91,MATCH($C1085,'Total Customers'!$D$7:$D$91,0),MATCH($G1085,'Total Customers'!$F$5:$AB$5,0)),"NA")</f>
        <v>189956</v>
      </c>
      <c r="BA1085" s="119">
        <f t="shared" si="3192"/>
        <v>1.3792590969128962E-2</v>
      </c>
      <c r="BB1085" s="119"/>
      <c r="BC1085" s="121">
        <v>8659109</v>
      </c>
      <c r="BD1085" s="119"/>
      <c r="BE1085" s="119"/>
      <c r="BF1085" s="119"/>
      <c r="BG1085" s="173"/>
      <c r="BH1085" s="173"/>
      <c r="BI1085" s="173"/>
      <c r="BJ1085" s="173"/>
      <c r="BK1085" s="173"/>
      <c r="BL1085" s="173"/>
      <c r="BM1085" s="173"/>
      <c r="BN1085" s="173"/>
      <c r="BO1085" s="173"/>
      <c r="BP1085" s="173"/>
      <c r="BQ1085" s="118"/>
      <c r="BR1085" s="118"/>
      <c r="BS1085" s="118">
        <f>INDEX('Dist. Plant Gas Additions'!$F$7:$AE$91,MATCH($C1085,'Dist. Plant Gas Additions'!$D$7:$D$91,0),MATCH(Calculation!$G1085,'Dist. Plant Gas Additions'!$F$5:$AE$5,0))</f>
        <v>60039</v>
      </c>
      <c r="BT1085" s="118">
        <f>INDEX('Gen. Plant Additions'!$F$7:$AE$91,MATCH($C1085,'Gen. Plant Additions'!$D$7:$D$91,0),MATCH(Calculation!$G1085,'Gen. Plant Additions'!$F$5:$AE$5,0))</f>
        <v>17022</v>
      </c>
      <c r="BU1085" s="118"/>
      <c r="BV1085" s="118"/>
      <c r="BW1085" s="118">
        <f>INDEX('Dist Plant Depreciation'!$E$7:$AD$94,MATCH($C1085,'Dist Plant Depreciation'!$D$7:$D$94,0),MATCH(Calculation!$G1085,'Dist Plant Depreciation'!$E$5:$AD$5,0))</f>
        <v>289605</v>
      </c>
      <c r="BX1085" s="118">
        <f>INDEX('Gen. Plant Depreciation'!$E$7:$AD$94,MATCH($C1085,'Gen. Plant Depreciation'!$D$7:$D$94,0),MATCH(Calculation!$G1085,'Gen. Plant Depreciation'!$E$5:$AD$5,0))</f>
        <v>6649</v>
      </c>
      <c r="BY1085" s="118"/>
      <c r="BZ1085" s="118"/>
      <c r="CA1085" s="118"/>
      <c r="CB1085" s="118"/>
      <c r="CC1085" s="118"/>
      <c r="CD1085" s="183"/>
      <c r="CE1085" s="118">
        <f>INDEX('Gross Dx Plant'!$E$7:$AD$91,MATCH($C1085,'Gross Dx Plant'!$D$7:$D$91,0),MATCH(Calculation!$G1085,'Gross Dx Plant'!$E$5:$AD$5,0))</f>
        <v>753459</v>
      </c>
      <c r="CF1085" s="118">
        <f>INDEX('Gross Gen Plant'!$E$7:$AD$91,MATCH($C1085,'Gross Gen Plant'!$D$7:$D$91,0),MATCH(Calculation!$G1085,'Gross Gen Plant'!$E$5:$AD$5,0))</f>
        <v>48086</v>
      </c>
      <c r="CG1085" s="118">
        <f t="shared" si="3224"/>
        <v>505291</v>
      </c>
      <c r="CH1085" s="118"/>
      <c r="CI1085" s="121">
        <v>2015</v>
      </c>
      <c r="CJ1085" s="118"/>
      <c r="CK1085" s="118"/>
      <c r="CL1085" s="118"/>
      <c r="CM1085" s="183"/>
      <c r="CN1085" s="118">
        <f t="shared" si="3201"/>
        <v>77061</v>
      </c>
      <c r="CO1085" s="118">
        <f t="shared" si="3193"/>
        <v>114.06058457901364</v>
      </c>
      <c r="CP1085" s="186">
        <v>0.88888888888888884</v>
      </c>
      <c r="CQ1085" s="118">
        <f>+CQ1068*CP1085+CO1069*CP1084+CO1070*CP1083+CO1071*CP1082+CO1072*CP1081+CO1073*CP1080+CO1074*CP1079+CO1075*CP1078+CO1076*CP1077+CO1077*CP1076+CO1078*CP1075+CO1079*CP1074+CO1080*CP1073+CO1081*CP1072+CO1082*CP1071+CO1083*CP1070+CO1084*CP1069+CO1085</f>
        <v>2071.4787529855853</v>
      </c>
      <c r="CR1085" s="119">
        <f t="shared" si="3194"/>
        <v>4.8271599351655835E-2</v>
      </c>
      <c r="CS1085" s="119"/>
      <c r="CT1085" s="177">
        <f t="shared" si="3195"/>
        <v>8.3298949814620705E-3</v>
      </c>
      <c r="CU1085" s="177">
        <f t="shared" si="3204"/>
        <v>8.0903288398810717E-3</v>
      </c>
      <c r="CV1085" s="119">
        <f>VLOOKUP($H1085,RoR!$E:$F,2,FALSE)</f>
        <v>3.8866666666666674E-2</v>
      </c>
      <c r="CW1085" s="177">
        <v>9.5709475431029478E-3</v>
      </c>
      <c r="CX1085" s="177">
        <f t="shared" si="3202"/>
        <v>2.9295719123563727E-2</v>
      </c>
      <c r="CY1085" s="177">
        <f t="shared" si="3205"/>
        <v>2.2811612768652553E-2</v>
      </c>
      <c r="CZ1085" s="177">
        <f t="shared" si="3206"/>
        <v>3.5270373279175926E-3</v>
      </c>
      <c r="DA1085" s="187">
        <f t="shared" si="3196"/>
        <v>0.84925000000000006</v>
      </c>
      <c r="DB1085" s="188">
        <f t="shared" si="3197"/>
        <v>1.3194352816994324</v>
      </c>
      <c r="DC1085" s="188">
        <f t="shared" si="3198"/>
        <v>0.33177530017152673</v>
      </c>
      <c r="DD1085" s="188">
        <f t="shared" si="3199"/>
        <v>0.78242572977668579</v>
      </c>
      <c r="DE1085" s="188">
        <f t="shared" si="3200"/>
        <v>0.34251158643433932</v>
      </c>
      <c r="DF1085" s="189">
        <f>INDEX('State Tax Lookup'!$D$7:$Z$91,MATCH(Calculation!$C1085,'State Tax Lookup'!$B$7:$B$91,0),MATCH($H1085,'State Tax Lookup'!$D$6:$Z$6,0))</f>
        <v>0.40200000000000002</v>
      </c>
      <c r="DG1085" s="189">
        <v>0.375</v>
      </c>
      <c r="DH1085" s="190">
        <f t="shared" si="3203"/>
        <v>21.882150921727522</v>
      </c>
      <c r="DI1085" s="190">
        <v>21.502561237742331</v>
      </c>
      <c r="DJ1085" s="177"/>
      <c r="DK1085" s="189">
        <f>VLOOKUP($H1085,RoR!$E:$F,2,FALSE)</f>
        <v>3.8866666666666674E-2</v>
      </c>
      <c r="DL1085" s="191">
        <f>HLOOKUP($H1085,'GDP-PI'!$D$8:$CQ$11,3,FALSE)</f>
        <v>9.5709475431029478E-3</v>
      </c>
      <c r="DM1085" s="189">
        <f>VLOOKUP(H1085,'HW Dx Data'!$E:$F,2,FALSE)</f>
        <v>675.61463308665782</v>
      </c>
      <c r="DN1085" s="183">
        <f>VLOOKUP(H1085,'ECI - Input Price'!$G$17:$H$37,2,FALSE)</f>
        <v>123.75</v>
      </c>
      <c r="DO1085" s="177">
        <f t="shared" ref="DO1085" si="3250">LN(DN1085/DN1084)</f>
        <v>2.0821327813585516E-2</v>
      </c>
      <c r="DP1085" s="183">
        <f>HLOOKUP(H1085,'GDP-PI'!$8:$9,2,FALSE)</f>
        <v>104.639</v>
      </c>
      <c r="DQ1085" s="177">
        <f t="shared" ref="DQ1085" si="3251">LN(DP1085/DP1084)</f>
        <v>9.5254361854427965E-3</v>
      </c>
    </row>
    <row r="1086" spans="1:121" s="167" customFormat="1" ht="21" x14ac:dyDescent="0.35">
      <c r="A1086" s="167" t="s">
        <v>104</v>
      </c>
      <c r="B1086" s="167" t="s">
        <v>105</v>
      </c>
      <c r="C1086" s="167">
        <v>4063060</v>
      </c>
      <c r="D1086" s="168" t="s">
        <v>140</v>
      </c>
      <c r="E1086" s="168" t="s">
        <v>126</v>
      </c>
      <c r="F1086" s="198"/>
      <c r="G1086" s="167" t="s">
        <v>22</v>
      </c>
      <c r="H1086" s="169">
        <v>2016</v>
      </c>
      <c r="I1086" s="170"/>
      <c r="J1086" s="166">
        <f>IFERROR(INDEX('Labor Expenditures'!$F$7:$X$91,MATCH($C1086,'Labor Expenditures'!$D$7:$D$91,0),MATCH($G1086,'Labor Expenditures'!$F$5:$X$5,0)),"NA")</f>
        <v>22670.999405857019</v>
      </c>
      <c r="K1086" s="166">
        <f t="shared" si="3209"/>
        <v>179.35917251469161</v>
      </c>
      <c r="L1086" s="172">
        <f t="shared" si="3216"/>
        <v>-9.1728295989708608E-2</v>
      </c>
      <c r="M1086" s="172">
        <f t="shared" si="3220"/>
        <v>-7.7184675782092458E-4</v>
      </c>
      <c r="N1086" s="196"/>
      <c r="O1086" s="172"/>
      <c r="P1086" s="166">
        <f>IFERROR(INDEX('Non-Labor Expenditures'!$F$7:$AB$91,MATCH($C1086,'Non-Labor Expenditures'!$D$7:$D$91,0),MATCH($G1086,'Non-Labor Expenditures'!$F$5:$AB$5,0)),"NA")</f>
        <v>32831.841498284688</v>
      </c>
      <c r="Q1086" s="166">
        <f t="shared" si="3210"/>
        <v>310.50769367372214</v>
      </c>
      <c r="R1086" s="172">
        <f t="shared" si="3221"/>
        <v>-8.096930609295637E-2</v>
      </c>
      <c r="S1086" s="172">
        <f t="shared" si="3227"/>
        <v>-6.8131535331115371E-4</v>
      </c>
      <c r="T1086" s="172"/>
      <c r="U1086" s="172"/>
      <c r="V1086" s="166">
        <f t="shared" si="3191"/>
        <v>44611.792414054122</v>
      </c>
      <c r="W1086" s="170"/>
      <c r="X1086" s="174">
        <v>2137.1413385232622</v>
      </c>
      <c r="Y1086" s="175">
        <v>3.1206387249701477E-2</v>
      </c>
      <c r="Z1086" s="175">
        <f t="shared" si="3228"/>
        <v>2.6258580912359584E-4</v>
      </c>
      <c r="AA1086" s="175"/>
      <c r="AB1086" s="175"/>
      <c r="AC1086" s="170">
        <f t="shared" ref="AC1086:AC1149" si="3252">+J1086+P1086+V1086</f>
        <v>100114.63331819582</v>
      </c>
      <c r="AD1086" s="175">
        <f t="shared" si="3222"/>
        <v>-2.5999772675210541E-2</v>
      </c>
      <c r="AE1086" s="170"/>
      <c r="AF1086" s="170"/>
      <c r="AG1086" s="121">
        <f t="shared" si="3223"/>
        <v>516.54206451547498</v>
      </c>
      <c r="AH1086" s="119">
        <f>+AZ1086/$BB$54</f>
        <v>5.2018563791646185E-3</v>
      </c>
      <c r="AI1086" s="119">
        <f>+AZ1086/$BC$54</f>
        <v>2.2127554734921333E-2</v>
      </c>
      <c r="AJ1086" s="176">
        <f t="shared" si="3229"/>
        <v>2.6869776334066855</v>
      </c>
      <c r="AK1086" s="176">
        <f t="shared" si="3230"/>
        <v>11.429812805455439</v>
      </c>
      <c r="AL1086" s="120">
        <f t="shared" si="3211"/>
        <v>0.22645040644359599</v>
      </c>
      <c r="AM1086" s="120">
        <f t="shared" si="3212"/>
        <v>0.32794248363208567</v>
      </c>
      <c r="AN1086" s="120">
        <f t="shared" si="3213"/>
        <v>0.44560710992431851</v>
      </c>
      <c r="AO1086" s="120">
        <f t="shared" si="3217"/>
        <v>-3.4891160949193201E-2</v>
      </c>
      <c r="AP1086" s="173">
        <f t="shared" si="3234"/>
        <v>117.9294540923017</v>
      </c>
      <c r="AQ1086" s="175">
        <f t="shared" si="3235"/>
        <v>-3.4891160949193242E-2</v>
      </c>
      <c r="AR1086" s="177">
        <f>+AC1086/$AE$54</f>
        <v>8.4144892205075018E-3</v>
      </c>
      <c r="AS1086" s="177">
        <f t="shared" si="3231"/>
        <v>-2.9359129769797885E-4</v>
      </c>
      <c r="AT1086" s="177"/>
      <c r="AU1086" s="177"/>
      <c r="AV1086" s="177"/>
      <c r="AW1086" s="190"/>
      <c r="AX1086" s="120"/>
      <c r="AY1086" s="120"/>
      <c r="AZ1086" s="118">
        <f>IFERROR(INDEX('Total Customers'!$F$7:$AB$91,MATCH($C1086,'Total Customers'!$D$7:$D$91,0),MATCH($G1086,'Total Customers'!$F$5:$AB$5,0)),"NA")</f>
        <v>193817</v>
      </c>
      <c r="BA1086" s="119">
        <f t="shared" si="3192"/>
        <v>2.012194851322608E-2</v>
      </c>
      <c r="BB1086" s="119"/>
      <c r="BC1086" s="121">
        <v>8759079</v>
      </c>
      <c r="BD1086" s="119"/>
      <c r="BE1086" s="119"/>
      <c r="BF1086" s="119"/>
      <c r="BG1086" s="173"/>
      <c r="BH1086" s="173"/>
      <c r="BI1086" s="173"/>
      <c r="BJ1086" s="173"/>
      <c r="BK1086" s="173"/>
      <c r="BL1086" s="173"/>
      <c r="BM1086" s="173"/>
      <c r="BN1086" s="173"/>
      <c r="BO1086" s="173"/>
      <c r="BP1086" s="173"/>
      <c r="BQ1086" s="118"/>
      <c r="BR1086" s="118"/>
      <c r="BS1086" s="118">
        <f>INDEX('Dist. Plant Gas Additions'!$F$7:$AE$91,MATCH($C1086,'Dist. Plant Gas Additions'!$D$7:$D$91,0),MATCH(Calculation!$G1086,'Dist. Plant Gas Additions'!$F$5:$AE$5,0))</f>
        <v>45675</v>
      </c>
      <c r="BT1086" s="118">
        <f>INDEX('Gen. Plant Additions'!$F$7:$AE$91,MATCH($C1086,'Gen. Plant Additions'!$D$7:$D$91,0),MATCH(Calculation!$G1086,'Gen. Plant Additions'!$F$5:$AE$5,0))</f>
        <v>10258</v>
      </c>
      <c r="BU1086" s="118"/>
      <c r="BV1086" s="118"/>
      <c r="BW1086" s="118">
        <f>INDEX('Dist Plant Depreciation'!$E$7:$AD$94,MATCH($C1086,'Dist Plant Depreciation'!$D$7:$D$94,0),MATCH(Calculation!$G1086,'Dist Plant Depreciation'!$E$5:$AD$5,0))</f>
        <v>305546</v>
      </c>
      <c r="BX1086" s="118">
        <f>INDEX('Gen. Plant Depreciation'!$E$7:$AD$94,MATCH($C1086,'Gen. Plant Depreciation'!$D$7:$D$94,0),MATCH(Calculation!$G1086,'Gen. Plant Depreciation'!$E$5:$AD$5,0))</f>
        <v>7264</v>
      </c>
      <c r="BY1086" s="118"/>
      <c r="BZ1086" s="118"/>
      <c r="CA1086" s="118"/>
      <c r="CB1086" s="118"/>
      <c r="CC1086" s="118"/>
      <c r="CD1086" s="183"/>
      <c r="CE1086" s="118">
        <f>INDEX('Gross Dx Plant'!$E$7:$AD$91,MATCH($C1086,'Gross Dx Plant'!$D$7:$D$91,0),MATCH(Calculation!$G1086,'Gross Dx Plant'!$E$5:$AD$5,0))</f>
        <v>816418</v>
      </c>
      <c r="CF1086" s="118">
        <f>INDEX('Gross Gen Plant'!$E$7:$AD$91,MATCH($C1086,'Gross Gen Plant'!$D$7:$D$91,0),MATCH(Calculation!$G1086,'Gross Gen Plant'!$E$5:$AD$5,0))</f>
        <v>40693</v>
      </c>
      <c r="CG1086" s="118">
        <f t="shared" si="3224"/>
        <v>544301</v>
      </c>
      <c r="CH1086" s="118"/>
      <c r="CI1086" s="121">
        <v>2016</v>
      </c>
      <c r="CJ1086" s="118"/>
      <c r="CK1086" s="118"/>
      <c r="CL1086" s="118"/>
      <c r="CM1086" s="183"/>
      <c r="CN1086" s="118">
        <f t="shared" si="3201"/>
        <v>55933</v>
      </c>
      <c r="CO1086" s="118">
        <f t="shared" si="3193"/>
        <v>83.301016285632571</v>
      </c>
      <c r="CP1086" s="186">
        <v>0.88</v>
      </c>
      <c r="CQ1086" s="118">
        <f>+CQ1068*CP1086+CO1069*CP1085+CO1070*CP1084+CO1071*CP1083+CO1072*CP1082+CO1073*CP1081+CO1074*CP1080+CO1075*CP1079+CO1076*CP1078+CO1077*CP1077+CO1078*CP1076+CO1079*CP1075+CO1080*CP1074+CO1081*CP1073+CO1082*CP1072+CO1083*CP1071+CO1084*CP1070+CO1085*CP1069+CO1086</f>
        <v>2137.1413385232622</v>
      </c>
      <c r="CR1086" s="119">
        <f t="shared" si="3194"/>
        <v>3.1206387249701477E-2</v>
      </c>
      <c r="CS1086" s="119"/>
      <c r="CT1086" s="177">
        <f t="shared" si="3195"/>
        <v>8.5148982206714324E-3</v>
      </c>
      <c r="CU1086" s="177">
        <f t="shared" si="3204"/>
        <v>8.3106963097591257E-3</v>
      </c>
      <c r="CV1086" s="119">
        <f>VLOOKUP($H1086,RoR!$E:$F,2,FALSE)</f>
        <v>3.6658333333333334E-2</v>
      </c>
      <c r="CW1086" s="177">
        <v>1.0483662879041455E-2</v>
      </c>
      <c r="CX1086" s="177">
        <f t="shared" si="3202"/>
        <v>2.6174670454291879E-2</v>
      </c>
      <c r="CY1086" s="177">
        <f t="shared" si="3205"/>
        <v>2.2591245298774501E-2</v>
      </c>
      <c r="CZ1086" s="177">
        <f t="shared" si="3206"/>
        <v>4.301363574220729E-3</v>
      </c>
      <c r="DA1086" s="187">
        <f t="shared" si="3196"/>
        <v>0.84925000000000006</v>
      </c>
      <c r="DB1086" s="188">
        <f t="shared" si="3197"/>
        <v>1.3989193348138562</v>
      </c>
      <c r="DC1086" s="188">
        <f t="shared" si="3198"/>
        <v>0.29302682427824522</v>
      </c>
      <c r="DD1086" s="188">
        <f t="shared" si="3199"/>
        <v>0.76309497491941802</v>
      </c>
      <c r="DE1086" s="188">
        <f t="shared" si="3200"/>
        <v>0.31280857135128509</v>
      </c>
      <c r="DF1086" s="189">
        <f>INDEX('State Tax Lookup'!$D$7:$Z$91,MATCH(Calculation!$C1086,'State Tax Lookup'!$B$7:$B$91,0),MATCH($H1086,'State Tax Lookup'!$D$6:$Z$6,0))</f>
        <v>0.40200000000000002</v>
      </c>
      <c r="DG1086" s="189">
        <v>0.375</v>
      </c>
      <c r="DH1086" s="190">
        <f t="shared" si="3203"/>
        <v>21.536205645245428</v>
      </c>
      <c r="DI1086" s="190">
        <v>21.1686074399706</v>
      </c>
      <c r="DJ1086" s="177"/>
      <c r="DK1086" s="189">
        <f>VLOOKUP($H1086,RoR!$E:$F,2,FALSE)</f>
        <v>3.6658333333333334E-2</v>
      </c>
      <c r="DL1086" s="191">
        <f>HLOOKUP($H1086,'GDP-PI'!$D$8:$CQ$11,3,FALSE)</f>
        <v>1.0483662879041455E-2</v>
      </c>
      <c r="DM1086" s="189">
        <f>VLOOKUP(H1086,'HW Dx Data'!$E:$F,2,FALSE)</f>
        <v>671.45639385971219</v>
      </c>
      <c r="DN1086" s="183">
        <f>VLOOKUP(H1086,'ECI - Input Price'!$G$17:$H$37,2,FALSE)</f>
        <v>126.4</v>
      </c>
      <c r="DO1086" s="177">
        <f t="shared" ref="DO1086" si="3253">LN(DN1086/DN1085)</f>
        <v>2.11880802639575E-2</v>
      </c>
      <c r="DP1086" s="183">
        <f>HLOOKUP(H1086,'GDP-PI'!$8:$9,2,FALSE)</f>
        <v>105.736</v>
      </c>
      <c r="DQ1086" s="177">
        <f t="shared" ref="DQ1086" si="3254">LN(DP1086/DP1085)</f>
        <v>1.0429090367205095E-2</v>
      </c>
    </row>
    <row r="1087" spans="1:121" s="167" customFormat="1" ht="21" x14ac:dyDescent="0.35">
      <c r="A1087" s="167" t="s">
        <v>104</v>
      </c>
      <c r="B1087" s="167" t="s">
        <v>105</v>
      </c>
      <c r="C1087" s="167">
        <v>4063060</v>
      </c>
      <c r="D1087" s="168" t="s">
        <v>140</v>
      </c>
      <c r="E1087" s="168" t="s">
        <v>126</v>
      </c>
      <c r="F1087" s="198"/>
      <c r="G1087" s="167" t="s">
        <v>23</v>
      </c>
      <c r="H1087" s="169">
        <v>2017</v>
      </c>
      <c r="I1087" s="170"/>
      <c r="J1087" s="166">
        <f>IFERROR(INDEX('Labor Expenditures'!$F$7:$X$91,MATCH($C1087,'Labor Expenditures'!$D$7:$D$91,0),MATCH($G1087,'Labor Expenditures'!$F$5:$X$5,0)),"NA")</f>
        <v>26472.130414093761</v>
      </c>
      <c r="K1087" s="166">
        <f t="shared" si="3209"/>
        <v>204.41799547562749</v>
      </c>
      <c r="L1087" s="172">
        <f t="shared" si="3216"/>
        <v>0.13077654917273548</v>
      </c>
      <c r="M1087" s="172">
        <f t="shared" si="3220"/>
        <v>1.1742627922142908E-3</v>
      </c>
      <c r="N1087" s="196"/>
      <c r="O1087" s="172"/>
      <c r="P1087" s="166">
        <f>IFERROR(INDEX('Non-Labor Expenditures'!$F$7:$AB$91,MATCH($C1087,'Non-Labor Expenditures'!$D$7:$D$91,0),MATCH($G1087,'Non-Labor Expenditures'!$F$5:$AB$5,0)),"NA")</f>
        <v>38336.589151553228</v>
      </c>
      <c r="Q1087" s="166">
        <f t="shared" si="3210"/>
        <v>355.78870870389346</v>
      </c>
      <c r="R1087" s="172">
        <f t="shared" si="3221"/>
        <v>0.13612836037182582</v>
      </c>
      <c r="S1087" s="172">
        <f t="shared" si="3227"/>
        <v>1.2223175298702506E-3</v>
      </c>
      <c r="T1087" s="172"/>
      <c r="U1087" s="172"/>
      <c r="V1087" s="166">
        <f t="shared" si="3191"/>
        <v>41570.655262793887</v>
      </c>
      <c r="W1087" s="170"/>
      <c r="X1087" s="174">
        <v>2184.6702334050888</v>
      </c>
      <c r="Y1087" s="175">
        <v>2.1995781324079363E-2</v>
      </c>
      <c r="Z1087" s="175">
        <f t="shared" si="3228"/>
        <v>1.9750351082006696E-4</v>
      </c>
      <c r="AA1087" s="175"/>
      <c r="AB1087" s="175"/>
      <c r="AC1087" s="170">
        <f t="shared" si="3252"/>
        <v>106379.37482844086</v>
      </c>
      <c r="AD1087" s="175">
        <f t="shared" si="3222"/>
        <v>6.0695849887836918E-2</v>
      </c>
      <c r="AE1087" s="170"/>
      <c r="AF1087" s="170"/>
      <c r="AG1087" s="121">
        <f t="shared" si="3223"/>
        <v>542.35897884410713</v>
      </c>
      <c r="AH1087" s="119">
        <f>+AZ1087/$BB$55</f>
        <v>5.2247054499936028E-3</v>
      </c>
      <c r="AI1087" s="119">
        <f>+AZ1087/$BC$56</f>
        <v>2.2010342758161609E-2</v>
      </c>
      <c r="AJ1087" s="176">
        <f t="shared" si="3229"/>
        <v>2.8336659126197716</v>
      </c>
      <c r="AK1087" s="176">
        <f t="shared" si="3230"/>
        <v>11.937507022325319</v>
      </c>
      <c r="AL1087" s="120">
        <f t="shared" si="3211"/>
        <v>0.24884645596748095</v>
      </c>
      <c r="AM1087" s="120">
        <f t="shared" si="3212"/>
        <v>0.36037614634772058</v>
      </c>
      <c r="AN1087" s="120">
        <f t="shared" si="3213"/>
        <v>0.39077739768479858</v>
      </c>
      <c r="AO1087" s="120">
        <f t="shared" si="3217"/>
        <v>8.712715037174977E-2</v>
      </c>
      <c r="AP1087" s="173">
        <f t="shared" si="3234"/>
        <v>128.66520869936329</v>
      </c>
      <c r="AQ1087" s="175">
        <f t="shared" si="3235"/>
        <v>8.7127150371749826E-2</v>
      </c>
      <c r="AR1087" s="177">
        <f>+AC1087/$AE$55</f>
        <v>8.9791541346091967E-3</v>
      </c>
      <c r="AS1087" s="177">
        <f t="shared" si="3231"/>
        <v>7.8232811249721466E-4</v>
      </c>
      <c r="AT1087" s="177"/>
      <c r="AU1087" s="177"/>
      <c r="AV1087" s="177"/>
      <c r="AW1087" s="190"/>
      <c r="AX1087" s="120"/>
      <c r="AY1087" s="120"/>
      <c r="AZ1087" s="118">
        <f>IFERROR(INDEX('Total Customers'!$F$7:$AB$91,MATCH($C1087,'Total Customers'!$D$7:$D$91,0),MATCH($G1087,'Total Customers'!$F$5:$AB$5,0)),"NA")</f>
        <v>196142</v>
      </c>
      <c r="BA1087" s="119">
        <f t="shared" si="3192"/>
        <v>1.1924471802593744E-2</v>
      </c>
      <c r="BB1087" s="119"/>
      <c r="BC1087" s="121">
        <v>8824403</v>
      </c>
      <c r="BD1087" s="119"/>
      <c r="BE1087" s="119"/>
      <c r="BF1087" s="119"/>
      <c r="BG1087" s="173"/>
      <c r="BH1087" s="173"/>
      <c r="BI1087" s="173"/>
      <c r="BJ1087" s="173"/>
      <c r="BK1087" s="173"/>
      <c r="BL1087" s="173"/>
      <c r="BM1087" s="173"/>
      <c r="BN1087" s="173"/>
      <c r="BO1087" s="173"/>
      <c r="BP1087" s="173"/>
      <c r="BQ1087" s="118"/>
      <c r="BR1087" s="118"/>
      <c r="BS1087" s="118">
        <f>INDEX('Dist. Plant Gas Additions'!$F$7:$AE$91,MATCH($C1087,'Dist. Plant Gas Additions'!$D$7:$D$91,0),MATCH(Calculation!$G1087,'Dist. Plant Gas Additions'!$F$5:$AE$5,0))</f>
        <v>45219</v>
      </c>
      <c r="BT1087" s="118">
        <f>INDEX('Gen. Plant Additions'!$F$7:$AE$91,MATCH($C1087,'Gen. Plant Additions'!$D$7:$D$91,0),MATCH(Calculation!$G1087,'Gen. Plant Additions'!$F$5:$AE$5,0))</f>
        <v>1990</v>
      </c>
      <c r="BU1087" s="118"/>
      <c r="BV1087" s="118"/>
      <c r="BW1087" s="118">
        <f>INDEX('Dist Plant Depreciation'!$E$7:$AD$94,MATCH($C1087,'Dist Plant Depreciation'!$D$7:$D$94,0),MATCH(Calculation!$G1087,'Dist Plant Depreciation'!$E$5:$AD$5,0))</f>
        <v>316286</v>
      </c>
      <c r="BX1087" s="118">
        <f>INDEX('Gen. Plant Depreciation'!$E$7:$AD$94,MATCH($C1087,'Gen. Plant Depreciation'!$D$7:$D$94,0),MATCH(Calculation!$G1087,'Gen. Plant Depreciation'!$E$5:$AD$5,0))</f>
        <v>9210</v>
      </c>
      <c r="BY1087" s="118"/>
      <c r="BZ1087" s="118"/>
      <c r="CA1087" s="118"/>
      <c r="CB1087" s="118"/>
      <c r="CC1087" s="118"/>
      <c r="CD1087" s="183"/>
      <c r="CE1087" s="118">
        <f>INDEX('Gross Dx Plant'!$E$7:$AD$91,MATCH($C1087,'Gross Dx Plant'!$D$7:$D$91,0),MATCH(Calculation!$G1087,'Gross Dx Plant'!$E$5:$AD$5,0))</f>
        <v>851965</v>
      </c>
      <c r="CF1087" s="118">
        <f>INDEX('Gross Gen Plant'!$E$7:$AD$91,MATCH($C1087,'Gross Gen Plant'!$D$7:$D$91,0),MATCH(Calculation!$G1087,'Gross Gen Plant'!$E$5:$AD$5,0))</f>
        <v>46381</v>
      </c>
      <c r="CG1087" s="118">
        <f t="shared" si="3224"/>
        <v>572850</v>
      </c>
      <c r="CH1087" s="118"/>
      <c r="CI1087" s="121">
        <v>2017</v>
      </c>
      <c r="CJ1087" s="118"/>
      <c r="CK1087" s="118"/>
      <c r="CL1087" s="118"/>
      <c r="CM1087" s="183"/>
      <c r="CN1087" s="118">
        <f t="shared" si="3201"/>
        <v>47209</v>
      </c>
      <c r="CO1087" s="118">
        <f t="shared" si="3193"/>
        <v>66.264887569035608</v>
      </c>
      <c r="CP1087" s="186">
        <v>0.87074829931972786</v>
      </c>
      <c r="CQ1087" s="118">
        <f>+CQ1068*CP1087+CO1069*CP1086+CO1070*CP1085+CO1071*CP1084+CO1072*CP1083+CO1073*CP1082+CO1074*CP1081+CO1075*CP1080+CO1076*CP1079+CO1077*CP1078+CO1078*CP1077+CO1079*CP1076+CO1080*CP1075+CO1081*CP1074+CO1082*CP1073+CO1083*CP1072+CO1084*CP1071+CO1085*CP1070+CO1086*CP1069+CO1087</f>
        <v>2184.6702334050888</v>
      </c>
      <c r="CR1087" s="119">
        <f t="shared" si="3194"/>
        <v>2.1995781324079363E-2</v>
      </c>
      <c r="CS1087" s="119"/>
      <c r="CT1087" s="177">
        <f t="shared" si="3195"/>
        <v>8.7668477276076646E-3</v>
      </c>
      <c r="CU1087" s="177">
        <f t="shared" si="3204"/>
        <v>8.5372136432470547E-3</v>
      </c>
      <c r="CV1087" s="119">
        <f>VLOOKUP($H1087,RoR!$E:$F,2,FALSE)</f>
        <v>3.7433333333333339E-2</v>
      </c>
      <c r="CW1087" s="177">
        <v>1.9056896421275615E-2</v>
      </c>
      <c r="CX1087" s="177">
        <f t="shared" si="3202"/>
        <v>1.8376436912057724E-2</v>
      </c>
      <c r="CY1087" s="177">
        <f t="shared" si="3205"/>
        <v>2.236472796528657E-2</v>
      </c>
      <c r="CZ1087" s="177">
        <f t="shared" si="3206"/>
        <v>1.3976271617800498E-2</v>
      </c>
      <c r="DA1087" s="187">
        <f t="shared" si="3196"/>
        <v>0.90175000000000005</v>
      </c>
      <c r="DB1087" s="188">
        <f t="shared" si="3197"/>
        <v>1.3699568463593395</v>
      </c>
      <c r="DC1087" s="188">
        <f t="shared" si="3198"/>
        <v>0.30714603739982199</v>
      </c>
      <c r="DD1087" s="188">
        <f t="shared" si="3199"/>
        <v>0.77007188472689425</v>
      </c>
      <c r="DE1087" s="188">
        <f t="shared" si="3200"/>
        <v>0.32402839633793828</v>
      </c>
      <c r="DF1087" s="189">
        <f>INDEX('State Tax Lookup'!$D$7:$Z$91,MATCH(Calculation!$C1087,'State Tax Lookup'!$B$7:$B$91,0),MATCH($H1087,'State Tax Lookup'!$D$6:$Z$6,0))</f>
        <v>0.26200000000000001</v>
      </c>
      <c r="DG1087" s="189">
        <v>0.375</v>
      </c>
      <c r="DH1087" s="190">
        <f t="shared" si="3203"/>
        <v>19.451523637420578</v>
      </c>
      <c r="DI1087" s="190">
        <v>19.130492959951034</v>
      </c>
      <c r="DJ1087" s="177"/>
      <c r="DK1087" s="189">
        <f>VLOOKUP($H1087,RoR!$E:$F,2,FALSE)</f>
        <v>3.7433333333333339E-2</v>
      </c>
      <c r="DL1087" s="191">
        <f>HLOOKUP($H1087,'GDP-PI'!$D$8:$CQ$11,3,FALSE)</f>
        <v>1.9056896421275615E-2</v>
      </c>
      <c r="DM1087" s="189">
        <f>VLOOKUP(H1087,'HW Dx Data'!$E:$F,2,FALSE)</f>
        <v>712.42858370229726</v>
      </c>
      <c r="DN1087" s="183">
        <f>VLOOKUP(H1087,'ECI - Input Price'!$G$17:$H$37,2,FALSE)</f>
        <v>129.5</v>
      </c>
      <c r="DO1087" s="177">
        <f t="shared" ref="DO1087" si="3255">LN(DN1087/DN1086)</f>
        <v>2.4229399426835413E-2</v>
      </c>
      <c r="DP1087" s="183">
        <f>HLOOKUP(H1087,'GDP-PI'!$8:$9,2,FALSE)</f>
        <v>107.751</v>
      </c>
      <c r="DQ1087" s="177">
        <f t="shared" ref="DQ1087" si="3256">LN(DP1087/DP1086)</f>
        <v>1.8877588227745139E-2</v>
      </c>
    </row>
    <row r="1088" spans="1:121" s="167" customFormat="1" ht="21" x14ac:dyDescent="0.35">
      <c r="A1088" s="167" t="s">
        <v>104</v>
      </c>
      <c r="B1088" s="167" t="s">
        <v>105</v>
      </c>
      <c r="C1088" s="167">
        <v>4063060</v>
      </c>
      <c r="D1088" s="168" t="s">
        <v>140</v>
      </c>
      <c r="E1088" s="168" t="s">
        <v>126</v>
      </c>
      <c r="F1088" s="198"/>
      <c r="G1088" s="167" t="s">
        <v>24</v>
      </c>
      <c r="H1088" s="169">
        <v>2018</v>
      </c>
      <c r="I1088" s="170"/>
      <c r="J1088" s="166">
        <f>IFERROR(INDEX('Labor Expenditures'!$F$7:$X$91,MATCH($C1088,'Labor Expenditures'!$D$7:$D$91,0),MATCH($G1088,'Labor Expenditures'!$F$5:$X$5,0)),"NA")</f>
        <v>24724.924755787975</v>
      </c>
      <c r="K1088" s="166">
        <f t="shared" si="3209"/>
        <v>185.55290623480656</v>
      </c>
      <c r="L1088" s="172">
        <f t="shared" si="3216"/>
        <v>-9.6826844745466031E-2</v>
      </c>
      <c r="M1088" s="172">
        <f t="shared" si="3220"/>
        <v>-7.8935619785669051E-4</v>
      </c>
      <c r="N1088" s="196"/>
      <c r="O1088" s="172"/>
      <c r="P1088" s="166">
        <f>IFERROR(INDEX('Non-Labor Expenditures'!$F$7:$AB$91,MATCH($C1088,'Non-Labor Expenditures'!$D$7:$D$91,0),MATCH($G1088,'Non-Labor Expenditures'!$F$5:$AB$5,0)),"NA")</f>
        <v>35806.309025323688</v>
      </c>
      <c r="Q1088" s="166">
        <f t="shared" si="3210"/>
        <v>324.56181926835706</v>
      </c>
      <c r="R1088" s="172">
        <f t="shared" si="3221"/>
        <v>-9.1861015555613115E-2</v>
      </c>
      <c r="S1088" s="172">
        <f t="shared" si="3227"/>
        <v>-7.4887353977966362E-4</v>
      </c>
      <c r="T1088" s="172"/>
      <c r="U1088" s="172"/>
      <c r="V1088" s="166">
        <f t="shared" si="3191"/>
        <v>44486.663874902413</v>
      </c>
      <c r="W1088" s="170"/>
      <c r="X1088" s="174">
        <v>2238.330281868457</v>
      </c>
      <c r="Y1088" s="175">
        <v>2.4265283799904877E-2</v>
      </c>
      <c r="Z1088" s="175">
        <f t="shared" si="3228"/>
        <v>1.978165477823582E-4</v>
      </c>
      <c r="AA1088" s="175"/>
      <c r="AB1088" s="175"/>
      <c r="AC1088" s="170">
        <f t="shared" si="3252"/>
        <v>105017.89765601407</v>
      </c>
      <c r="AD1088" s="175">
        <f t="shared" si="3222"/>
        <v>-1.2880923020983304E-2</v>
      </c>
      <c r="AE1088" s="170"/>
      <c r="AF1088" s="170"/>
      <c r="AG1088" s="121">
        <f t="shared" si="3223"/>
        <v>528.66591318275164</v>
      </c>
      <c r="AH1088" s="119">
        <f>+AZ1088/$BB$56</f>
        <v>5.2454692218996644E-3</v>
      </c>
      <c r="AI1088" s="119">
        <f>+AZ1088/$BC$57</f>
        <v>2.2161421029849481E-2</v>
      </c>
      <c r="AJ1088" s="176">
        <f t="shared" si="3229"/>
        <v>2.7731007762676039</v>
      </c>
      <c r="AK1088" s="176">
        <f t="shared" si="3230"/>
        <v>11.715987886172812</v>
      </c>
      <c r="AL1088" s="120">
        <f t="shared" si="3211"/>
        <v>0.23543534300005148</v>
      </c>
      <c r="AM1088" s="120">
        <f t="shared" si="3212"/>
        <v>0.34095434992049817</v>
      </c>
      <c r="AN1088" s="120">
        <f t="shared" si="3213"/>
        <v>0.42361030707945035</v>
      </c>
      <c r="AO1088" s="120">
        <f t="shared" si="3217"/>
        <v>-4.5777530704873663E-2</v>
      </c>
      <c r="AP1088" s="173">
        <f t="shared" si="3234"/>
        <v>122.90801359977638</v>
      </c>
      <c r="AQ1088" s="175">
        <f t="shared" si="3235"/>
        <v>-4.5777530704873677E-2</v>
      </c>
      <c r="AR1088" s="177">
        <f>+AC1088/$AE$56</f>
        <v>8.1522453812443631E-3</v>
      </c>
      <c r="AS1088" s="177">
        <f t="shared" si="3231"/>
        <v>-3.7318966325357842E-4</v>
      </c>
      <c r="AT1088" s="177"/>
      <c r="AU1088" s="177"/>
      <c r="AV1088" s="177"/>
      <c r="AW1088" s="190"/>
      <c r="AX1088" s="120"/>
      <c r="AY1088" s="120"/>
      <c r="AZ1088" s="118">
        <f>IFERROR(INDEX('Total Customers'!$F$7:$AB$91,MATCH($C1088,'Total Customers'!$D$7:$D$91,0),MATCH($G1088,'Total Customers'!$F$5:$AB$5,0)),"NA")</f>
        <v>198647</v>
      </c>
      <c r="BA1088" s="119">
        <f t="shared" si="3192"/>
        <v>1.2690493498097833E-2</v>
      </c>
      <c r="BB1088" s="119"/>
      <c r="BC1088" s="121">
        <v>8911356</v>
      </c>
      <c r="BD1088" s="119"/>
      <c r="BE1088" s="119"/>
      <c r="BF1088" s="119"/>
      <c r="BG1088" s="173"/>
      <c r="BH1088" s="173"/>
      <c r="BI1088" s="173"/>
      <c r="BJ1088" s="173"/>
      <c r="BK1088" s="173"/>
      <c r="BL1088" s="173"/>
      <c r="BM1088" s="173"/>
      <c r="BN1088" s="173"/>
      <c r="BO1088" s="173"/>
      <c r="BP1088" s="173"/>
      <c r="BQ1088" s="118"/>
      <c r="BR1088" s="118"/>
      <c r="BS1088" s="118">
        <f>INDEX('Dist. Plant Gas Additions'!$F$7:$AE$91,MATCH($C1088,'Dist. Plant Gas Additions'!$D$7:$D$91,0),MATCH(Calculation!$G1088,'Dist. Plant Gas Additions'!$F$5:$AE$5,0))</f>
        <v>54189</v>
      </c>
      <c r="BT1088" s="118">
        <f>INDEX('Gen. Plant Additions'!$F$7:$AE$91,MATCH($C1088,'Gen. Plant Additions'!$D$7:$D$91,0),MATCH(Calculation!$G1088,'Gen. Plant Additions'!$F$5:$AE$5,0))</f>
        <v>1285</v>
      </c>
      <c r="BU1088" s="118"/>
      <c r="BV1088" s="118"/>
      <c r="BW1088" s="118">
        <f>INDEX('Dist Plant Depreciation'!$E$7:$AD$94,MATCH($C1088,'Dist Plant Depreciation'!$D$7:$D$94,0),MATCH(Calculation!$G1088,'Dist Plant Depreciation'!$E$5:$AD$5,0))</f>
        <v>325116</v>
      </c>
      <c r="BX1088" s="118">
        <f>INDEX('Gen. Plant Depreciation'!$E$7:$AD$94,MATCH($C1088,'Gen. Plant Depreciation'!$D$7:$D$94,0),MATCH(Calculation!$G1088,'Gen. Plant Depreciation'!$E$5:$AD$5,0))</f>
        <v>12541</v>
      </c>
      <c r="BY1088" s="118"/>
      <c r="BZ1088" s="118"/>
      <c r="CA1088" s="118"/>
      <c r="CB1088" s="118"/>
      <c r="CC1088" s="118"/>
      <c r="CD1088" s="183"/>
      <c r="CE1088" s="118">
        <f>INDEX('Gross Dx Plant'!$E$7:$AD$91,MATCH($C1088,'Gross Dx Plant'!$D$7:$D$91,0),MATCH(Calculation!$G1088,'Gross Dx Plant'!$E$5:$AD$5,0))</f>
        <v>901383</v>
      </c>
      <c r="CF1088" s="118">
        <f>INDEX('Gross Gen Plant'!$E$7:$AD$91,MATCH($C1088,'Gross Gen Plant'!$D$7:$D$91,0),MATCH(Calculation!$G1088,'Gross Gen Plant'!$E$5:$AD$5,0))</f>
        <v>50176</v>
      </c>
      <c r="CG1088" s="118">
        <f t="shared" si="3224"/>
        <v>613902</v>
      </c>
      <c r="CH1088" s="118"/>
      <c r="CI1088" s="121">
        <v>2018</v>
      </c>
      <c r="CJ1088" s="118"/>
      <c r="CK1088" s="118"/>
      <c r="CL1088" s="118"/>
      <c r="CM1088" s="183"/>
      <c r="CN1088" s="118">
        <f t="shared" si="3201"/>
        <v>55474</v>
      </c>
      <c r="CO1088" s="118">
        <f t="shared" si="3193"/>
        <v>73.46219425757441</v>
      </c>
      <c r="CP1088" s="186">
        <v>0.86111111111111116</v>
      </c>
      <c r="CQ1088" s="118">
        <f>+CQ1068*CP1088++CO1069*CP1087+CO1070*CP1086+CO1071*CP1085+CO1072*CP1084+CO1073*CP1083+CO1074*CP1082+CO1075*CP1081+CO1076*CP1080+CO1077*CP1079+CO1078*CP1078+CO1079*CP1077+CO1080*CP1076+CO1081*CP1075+CO1082*CP1074+CO1083*CP1073+CO1084*CP1072+CO1085*CP1071+CO1086*CP1070+CO1087*CP1069+CO1088</f>
        <v>2238.330281868457</v>
      </c>
      <c r="CR1088" s="119">
        <f t="shared" si="3194"/>
        <v>2.4265283799904877E-2</v>
      </c>
      <c r="CS1088" s="119"/>
      <c r="CT1088" s="177">
        <f t="shared" si="3195"/>
        <v>9.064134939643519E-3</v>
      </c>
      <c r="CU1088" s="177">
        <f t="shared" si="3204"/>
        <v>8.7819602959742053E-3</v>
      </c>
      <c r="CV1088" s="119">
        <f>VLOOKUP($H1088,RoR!$E:$F,2,FALSE)</f>
        <v>3.9299999999999995E-2</v>
      </c>
      <c r="CW1088" s="177">
        <v>2.386056741932796E-2</v>
      </c>
      <c r="CX1088" s="177">
        <f t="shared" si="3202"/>
        <v>1.5439432580672034E-2</v>
      </c>
      <c r="CY1088" s="177">
        <f t="shared" si="3205"/>
        <v>2.211998131255942E-2</v>
      </c>
      <c r="CZ1088" s="177">
        <f t="shared" si="3206"/>
        <v>3.8270792163076606E-2</v>
      </c>
      <c r="DA1088" s="187">
        <f t="shared" si="3196"/>
        <v>0.90175000000000005</v>
      </c>
      <c r="DB1088" s="188">
        <f t="shared" si="3197"/>
        <v>1.3048868010700074</v>
      </c>
      <c r="DC1088" s="188">
        <f t="shared" si="3198"/>
        <v>0.33886768447837151</v>
      </c>
      <c r="DD1088" s="188">
        <f t="shared" si="3199"/>
        <v>0.78602506232557801</v>
      </c>
      <c r="DE1088" s="188">
        <f t="shared" si="3200"/>
        <v>0.34756768162358759</v>
      </c>
      <c r="DF1088" s="189">
        <f>INDEX('State Tax Lookup'!$D$7:$Z$91,MATCH(Calculation!$C1088,'State Tax Lookup'!$B$7:$B$91,0),MATCH($H1088,'State Tax Lookup'!$D$6:$Z$6,0))</f>
        <v>0.26200000000000001</v>
      </c>
      <c r="DG1088" s="189">
        <v>0.375</v>
      </c>
      <c r="DH1088" s="190">
        <f t="shared" si="3203"/>
        <v>20.36310249239046</v>
      </c>
      <c r="DI1088" s="190">
        <v>19.991724963749366</v>
      </c>
      <c r="DJ1088" s="177"/>
      <c r="DK1088" s="189">
        <f>VLOOKUP($H1088,RoR!$E:$F,2,FALSE)</f>
        <v>3.9299999999999995E-2</v>
      </c>
      <c r="DL1088" s="191">
        <f>HLOOKUP($H1088,'GDP-PI'!$D$8:$CQ$11,3,FALSE)</f>
        <v>2.386056741932796E-2</v>
      </c>
      <c r="DM1088" s="189">
        <f>VLOOKUP(H1088,'HW Dx Data'!$E:$F,2,FALSE)</f>
        <v>755.13671434174842</v>
      </c>
      <c r="DN1088" s="183">
        <f>VLOOKUP(H1088,'ECI - Input Price'!$G$17:$H$37,2,FALSE)</f>
        <v>133.25</v>
      </c>
      <c r="DO1088" s="177">
        <f t="shared" ref="DO1088" si="3257">LN(DN1088/DN1087)</f>
        <v>2.8546181906361531E-2</v>
      </c>
      <c r="DP1088" s="183">
        <f>HLOOKUP(H1088,'GDP-PI'!$8:$9,2,FALSE)</f>
        <v>110.322</v>
      </c>
      <c r="DQ1088" s="177">
        <f t="shared" ref="DQ1088" si="3258">LN(DP1088/DP1087)</f>
        <v>2.3580352716508712E-2</v>
      </c>
    </row>
    <row r="1089" spans="1:121" s="167" customFormat="1" ht="21" x14ac:dyDescent="0.35">
      <c r="A1089" s="167" t="s">
        <v>104</v>
      </c>
      <c r="B1089" s="167" t="s">
        <v>105</v>
      </c>
      <c r="C1089" s="167">
        <v>4063060</v>
      </c>
      <c r="D1089" s="168" t="s">
        <v>140</v>
      </c>
      <c r="E1089" s="168" t="s">
        <v>126</v>
      </c>
      <c r="F1089" s="198"/>
      <c r="G1089" s="167" t="s">
        <v>25</v>
      </c>
      <c r="H1089" s="169">
        <v>2019</v>
      </c>
      <c r="I1089" s="170"/>
      <c r="J1089" s="166">
        <f>IFERROR(INDEX('Labor Expenditures'!$F$7:$X$91,MATCH($C1089,'Labor Expenditures'!$D$7:$D$91,0),MATCH($G1089,'Labor Expenditures'!$F$5:$X$5,0)),"NA")</f>
        <v>22004.515553041456</v>
      </c>
      <c r="K1089" s="166">
        <f t="shared" si="3209"/>
        <v>160.79295252496499</v>
      </c>
      <c r="L1089" s="172">
        <f t="shared" si="3216"/>
        <v>-0.14322252199281535</v>
      </c>
      <c r="M1089" s="172">
        <f t="shared" si="3220"/>
        <v>-1.0773839017415737E-3</v>
      </c>
      <c r="N1089" s="196"/>
      <c r="O1089" s="172"/>
      <c r="P1089" s="166">
        <f>IFERROR(INDEX('Non-Labor Expenditures'!$F$7:$AB$91,MATCH($C1089,'Non-Labor Expenditures'!$D$7:$D$91,0),MATCH($G1089,'Non-Labor Expenditures'!$F$5:$AB$5,0)),"NA")</f>
        <v>31866.648397395031</v>
      </c>
      <c r="Q1089" s="166">
        <f t="shared" si="3210"/>
        <v>283.7180896863818</v>
      </c>
      <c r="R1089" s="172">
        <f t="shared" si="3221"/>
        <v>-0.13449492100348334</v>
      </c>
      <c r="S1089" s="172">
        <f t="shared" si="3227"/>
        <v>-1.0117309815451129E-3</v>
      </c>
      <c r="T1089" s="172"/>
      <c r="U1089" s="172"/>
      <c r="V1089" s="166">
        <f t="shared" si="3191"/>
        <v>46066.334704732537</v>
      </c>
      <c r="W1089" s="170"/>
      <c r="X1089" s="174">
        <v>2304.0096118533838</v>
      </c>
      <c r="Y1089" s="175">
        <v>2.8920736605592863E-2</v>
      </c>
      <c r="Z1089" s="175">
        <f t="shared" si="3228"/>
        <v>2.1755472262202622E-4</v>
      </c>
      <c r="AA1089" s="175"/>
      <c r="AB1089" s="175"/>
      <c r="AC1089" s="170">
        <f t="shared" si="3252"/>
        <v>99937.498655169024</v>
      </c>
      <c r="AD1089" s="175">
        <f t="shared" si="3222"/>
        <v>-4.9585812361261625E-2</v>
      </c>
      <c r="AE1089" s="170"/>
      <c r="AF1089" s="170"/>
      <c r="AG1089" s="121">
        <f t="shared" si="3223"/>
        <v>498.86685729559389</v>
      </c>
      <c r="AH1089" s="119">
        <f>+AZ1089/$BB$57</f>
        <v>5.2466061231889261E-3</v>
      </c>
      <c r="AI1089" s="119">
        <f>+AZ1089/$BC$58</f>
        <v>2.2110753652326669E-2</v>
      </c>
      <c r="AJ1089" s="176">
        <f t="shared" si="3229"/>
        <v>2.6173579081430791</v>
      </c>
      <c r="AK1089" s="176">
        <f t="shared" si="3230"/>
        <v>11.030322186973279</v>
      </c>
      <c r="AL1089" s="120">
        <f t="shared" si="3211"/>
        <v>0.22018277272445347</v>
      </c>
      <c r="AM1089" s="120">
        <f t="shared" si="3212"/>
        <v>0.31886577937426502</v>
      </c>
      <c r="AN1089" s="120">
        <f t="shared" si="3213"/>
        <v>0.46095144790128151</v>
      </c>
      <c r="AO1089" s="120">
        <f t="shared" si="3217"/>
        <v>-6.4207527119253316E-2</v>
      </c>
      <c r="AP1089" s="173">
        <f t="shared" si="3234"/>
        <v>115.26440826613427</v>
      </c>
      <c r="AQ1089" s="175">
        <f t="shared" si="3235"/>
        <v>-6.4207527119253302E-2</v>
      </c>
      <c r="AR1089" s="177">
        <f>+AC1089/$AE$57</f>
        <v>7.52244749464487E-3</v>
      </c>
      <c r="AS1089" s="177">
        <f t="shared" si="3231"/>
        <v>-4.8299775151556954E-4</v>
      </c>
      <c r="AT1089" s="177"/>
      <c r="AU1089" s="177"/>
      <c r="AV1089" s="177"/>
      <c r="AW1089" s="190"/>
      <c r="AX1089" s="120"/>
      <c r="AY1089" s="120"/>
      <c r="AZ1089" s="118">
        <f>IFERROR(INDEX('Total Customers'!$F$7:$AB$91,MATCH($C1089,'Total Customers'!$D$7:$D$91,0),MATCH($G1089,'Total Customers'!$F$5:$AB$5,0)),"NA")</f>
        <v>200329</v>
      </c>
      <c r="BA1089" s="119">
        <f t="shared" si="3192"/>
        <v>8.4316348090215966E-3</v>
      </c>
      <c r="BB1089" s="119"/>
      <c r="BC1089" s="121">
        <v>8963640</v>
      </c>
      <c r="BD1089" s="119"/>
      <c r="BE1089" s="119"/>
      <c r="BF1089" s="119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18"/>
      <c r="BR1089" s="118"/>
      <c r="BS1089" s="118">
        <f>INDEX('Dist. Plant Gas Additions'!$F$7:$AE$91,MATCH($C1089,'Dist. Plant Gas Additions'!$D$7:$D$91,0),MATCH(Calculation!$G1089,'Dist. Plant Gas Additions'!$F$5:$AE$5,0))</f>
        <v>62806</v>
      </c>
      <c r="BT1089" s="118">
        <f>INDEX('Gen. Plant Additions'!$F$7:$AE$91,MATCH($C1089,'Gen. Plant Additions'!$D$7:$D$91,0),MATCH(Calculation!$G1089,'Gen. Plant Additions'!$F$5:$AE$5,0))</f>
        <v>4212</v>
      </c>
      <c r="BU1089" s="118"/>
      <c r="BV1089" s="118"/>
      <c r="BW1089" s="118">
        <f>INDEX('Dist Plant Depreciation'!$E$7:$AD$94,MATCH($C1089,'Dist Plant Depreciation'!$D$7:$D$94,0),MATCH(Calculation!$G1089,'Dist Plant Depreciation'!$E$5:$AD$5,0))</f>
        <v>344935</v>
      </c>
      <c r="BX1089" s="118">
        <f>INDEX('Gen. Plant Depreciation'!$E$7:$AD$94,MATCH($C1089,'Gen. Plant Depreciation'!$D$7:$D$94,0),MATCH(Calculation!$G1089,'Gen. Plant Depreciation'!$E$5:$AD$5,0))</f>
        <v>15083</v>
      </c>
      <c r="BY1089" s="118"/>
      <c r="BZ1089" s="118"/>
      <c r="CA1089" s="118"/>
      <c r="CB1089" s="118"/>
      <c r="CC1089" s="118"/>
      <c r="CD1089" s="183"/>
      <c r="CE1089" s="118">
        <f>INDEX('Gross Dx Plant'!$E$7:$AD$91,MATCH($C1089,'Gross Dx Plant'!$D$7:$D$91,0),MATCH(Calculation!$G1089,'Gross Dx Plant'!$E$5:$AD$5,0))</f>
        <v>960763</v>
      </c>
      <c r="CF1089" s="118">
        <f>INDEX('Gross Gen Plant'!$E$7:$AD$91,MATCH($C1089,'Gross Gen Plant'!$D$7:$D$91,0),MATCH(Calculation!$G1089,'Gross Gen Plant'!$E$5:$AD$5,0))</f>
        <v>48963</v>
      </c>
      <c r="CG1089" s="118">
        <f t="shared" si="3224"/>
        <v>649708</v>
      </c>
      <c r="CH1089" s="118"/>
      <c r="CI1089" s="121">
        <v>2019</v>
      </c>
      <c r="CJ1089" s="118"/>
      <c r="CK1089" s="118"/>
      <c r="CL1089" s="118"/>
      <c r="CM1089" s="183"/>
      <c r="CN1089" s="118">
        <f t="shared" si="3201"/>
        <v>67018</v>
      </c>
      <c r="CO1089" s="118">
        <f t="shared" si="3193"/>
        <v>86.638132255888806</v>
      </c>
      <c r="CP1089" s="186">
        <v>0.85106382978723405</v>
      </c>
      <c r="CQ1089" s="118">
        <f>CQ1068*CP1089+CO1069*CP1088+CO1070*CP1087+CO1071*CP1086+CO1072*CP1085+CO1073*CP1084+CO1074*CP1083+CO1075*CP1082+CO1076*CP1081+CO1077*CP1080+CO1078*CP1079+CO1079*CP1078+CO1080*CP1077+CO1081*CP1076+CO1082*CP1075+CO1083*CP1074+CO1084*CP1073+CO1085*CP1072+CO1086*CP1071+CO1087*CP1070+CO1088*CP1069+CO1089</f>
        <v>2304.0096118533838</v>
      </c>
      <c r="CR1089" s="119">
        <f t="shared" si="3194"/>
        <v>2.8920736605592863E-2</v>
      </c>
      <c r="CS1089" s="119"/>
      <c r="CT1089" s="177">
        <f t="shared" si="3195"/>
        <v>9.3635878675896143E-3</v>
      </c>
      <c r="CU1089" s="177">
        <f t="shared" si="3204"/>
        <v>9.0648568449469332E-3</v>
      </c>
      <c r="CV1089" s="119">
        <f>VLOOKUP($H1089,RoR!$E:$F,2,FALSE)</f>
        <v>3.3875000000000009E-2</v>
      </c>
      <c r="CW1089" s="177">
        <v>1.8092492884465461E-2</v>
      </c>
      <c r="CX1089" s="177">
        <f t="shared" si="3202"/>
        <v>1.5782507115534548E-2</v>
      </c>
      <c r="CY1089" s="177">
        <f t="shared" si="3205"/>
        <v>2.1837084763586694E-2</v>
      </c>
      <c r="CZ1089" s="177">
        <f t="shared" si="3206"/>
        <v>4.8445665544254078E-2</v>
      </c>
      <c r="DA1089" s="187">
        <f t="shared" si="3196"/>
        <v>0.90175000000000005</v>
      </c>
      <c r="DB1089" s="188">
        <f t="shared" si="3197"/>
        <v>1.513861292459078</v>
      </c>
      <c r="DC1089" s="188">
        <f t="shared" si="3198"/>
        <v>0.23699261992619944</v>
      </c>
      <c r="DD1089" s="188">
        <f t="shared" si="3199"/>
        <v>0.73619765810468829</v>
      </c>
      <c r="DE1089" s="188">
        <f t="shared" si="3200"/>
        <v>0.26412854465362851</v>
      </c>
      <c r="DF1089" s="189">
        <f>INDEX('State Tax Lookup'!$D$7:$Z$91,MATCH(Calculation!$C1089,'State Tax Lookup'!$B$7:$B$91,0),MATCH($H1089,'State Tax Lookup'!$D$6:$Z$6,0))</f>
        <v>0.26200000000000001</v>
      </c>
      <c r="DG1089" s="189">
        <v>0.375</v>
      </c>
      <c r="DH1089" s="190">
        <f t="shared" si="3203"/>
        <v>20.580669027217219</v>
      </c>
      <c r="DI1089" s="190">
        <v>20.196225970734002</v>
      </c>
      <c r="DJ1089" s="177"/>
      <c r="DK1089" s="189">
        <f>VLOOKUP($H1089,RoR!$E:$F,2,FALSE)</f>
        <v>3.3875000000000009E-2</v>
      </c>
      <c r="DL1089" s="191">
        <f>HLOOKUP($H1089,'GDP-PI'!$D$8:$CQ$11,3,FALSE)</f>
        <v>1.8092492884465461E-2</v>
      </c>
      <c r="DM1089" s="189">
        <f>VLOOKUP(H1089,'HW Dx Data'!$E:$F,2,FALSE)</f>
        <v>773.53929793938721</v>
      </c>
      <c r="DN1089" s="183">
        <f>VLOOKUP(H1089,'ECI - Input Price'!$G$17:$H$37,2,FALSE)</f>
        <v>136.85</v>
      </c>
      <c r="DO1089" s="177">
        <f t="shared" ref="DO1089" si="3259">LN(DN1089/DN1088)</f>
        <v>2.6658372440734168E-2</v>
      </c>
      <c r="DP1089" s="183">
        <f>HLOOKUP(H1089,'GDP-PI'!$8:$9,2,FALSE)</f>
        <v>112.318</v>
      </c>
      <c r="DQ1089" s="177">
        <f t="shared" ref="DQ1089" si="3260">LN(DP1089/DP1088)</f>
        <v>1.7930771451401852E-2</v>
      </c>
    </row>
    <row r="1090" spans="1:121" s="167" customFormat="1" ht="21" x14ac:dyDescent="0.35">
      <c r="A1090" s="167" t="s">
        <v>104</v>
      </c>
      <c r="B1090" s="167" t="s">
        <v>105</v>
      </c>
      <c r="C1090" s="167">
        <v>4063060</v>
      </c>
      <c r="D1090" s="167" t="s">
        <v>140</v>
      </c>
      <c r="E1090" s="167" t="s">
        <v>126</v>
      </c>
      <c r="G1090" s="168" t="s">
        <v>26</v>
      </c>
      <c r="H1090" s="169">
        <v>2020</v>
      </c>
      <c r="I1090" s="170"/>
      <c r="J1090" s="166">
        <v>22005</v>
      </c>
      <c r="K1090" s="166">
        <f t="shared" si="3209"/>
        <v>156.67497330010681</v>
      </c>
      <c r="L1090" s="172">
        <f t="shared" si="3216"/>
        <v>-2.5944102508406838E-2</v>
      </c>
      <c r="M1090" s="172">
        <f t="shared" si="3220"/>
        <v>-1.9520377816543245E-4</v>
      </c>
      <c r="N1090" s="196"/>
      <c r="O1090" s="172"/>
      <c r="P1090" s="166">
        <v>31867</v>
      </c>
      <c r="Q1090" s="166">
        <f t="shared" si="3210"/>
        <v>280.46258239969018</v>
      </c>
      <c r="R1090" s="172">
        <f t="shared" si="3221"/>
        <v>-1.1540783231387361E-2</v>
      </c>
      <c r="S1090" s="172">
        <f t="shared" si="3227"/>
        <v>-8.6833009121247892E-5</v>
      </c>
      <c r="T1090" s="172"/>
      <c r="U1090" s="172"/>
      <c r="V1090" s="166">
        <f t="shared" si="3191"/>
        <v>49181.92444255708</v>
      </c>
      <c r="W1090" s="170"/>
      <c r="X1090" s="174">
        <v>2369.2261871296264</v>
      </c>
      <c r="Y1090" s="175">
        <v>2.7912483876085498E-2</v>
      </c>
      <c r="Z1090" s="175">
        <f t="shared" si="3228"/>
        <v>2.1001390619806759E-4</v>
      </c>
      <c r="AA1090" s="175"/>
      <c r="AB1090" s="175"/>
      <c r="AC1090" s="170">
        <f t="shared" si="3252"/>
        <v>103053.92444255708</v>
      </c>
      <c r="AD1090" s="175">
        <f t="shared" si="3222"/>
        <v>3.0707412371086214E-2</v>
      </c>
      <c r="AE1090" s="170"/>
      <c r="AF1090" s="170"/>
      <c r="AG1090" s="121">
        <f t="shared" si="3223"/>
        <v>504.86684095490949</v>
      </c>
      <c r="AH1090" s="119">
        <f>+AZ1090/$BB$58</f>
        <v>5.3083332830554213E-3</v>
      </c>
      <c r="AI1090" s="119">
        <f>+AZ1090/$BC$59</f>
        <v>2.2396224040580722E-2</v>
      </c>
      <c r="AJ1090" s="176">
        <f t="shared" si="3229"/>
        <v>2.6800014553519937</v>
      </c>
      <c r="AK1090" s="176">
        <f t="shared" si="3230"/>
        <v>11.307110880686388</v>
      </c>
      <c r="AL1090" s="120">
        <f t="shared" si="3211"/>
        <v>0.21352898610150192</v>
      </c>
      <c r="AM1090" s="120">
        <f t="shared" si="3212"/>
        <v>0.3092264576276556</v>
      </c>
      <c r="AN1090" s="120">
        <f t="shared" si="3213"/>
        <v>0.47724455627084245</v>
      </c>
      <c r="AO1090" s="120">
        <f t="shared" si="3217"/>
        <v>3.8432210762119508E-3</v>
      </c>
      <c r="AP1090" s="173">
        <f t="shared" si="3234"/>
        <v>115.70824720860433</v>
      </c>
      <c r="AQ1090" s="175">
        <f t="shared" si="3235"/>
        <v>3.843221076211979E-3</v>
      </c>
      <c r="AR1090" s="177">
        <f>+AC1090/$AE$58</f>
        <v>7.5240135249303496E-3</v>
      </c>
      <c r="AS1090" s="177">
        <f t="shared" si="3231"/>
        <v>2.8916447356716303E-5</v>
      </c>
      <c r="AT1090" s="177"/>
      <c r="AU1090" s="177"/>
      <c r="AV1090" s="177"/>
      <c r="AW1090" s="190"/>
      <c r="AX1090" s="120"/>
      <c r="AY1090" s="120"/>
      <c r="AZ1090" s="118">
        <f>IFERROR(INDEX('Total Customers'!$F$7:$AB$91,MATCH($C1090,'Total Customers'!$D$7:$D$91,0),MATCH($G1090,'Total Customers'!$F$5:$AB$5,0)),"NA")</f>
        <v>204121</v>
      </c>
      <c r="BA1090" s="119">
        <f t="shared" si="3192"/>
        <v>1.8751940245231264E-2</v>
      </c>
      <c r="BB1090" s="119"/>
      <c r="BC1090" s="121">
        <v>9060252</v>
      </c>
      <c r="BD1090" s="119"/>
      <c r="BE1090" s="119"/>
      <c r="BF1090" s="119"/>
      <c r="BG1090" s="173"/>
      <c r="BH1090" s="173"/>
      <c r="BI1090" s="173"/>
      <c r="BJ1090" s="173"/>
      <c r="BK1090" s="173"/>
      <c r="BL1090" s="173"/>
      <c r="BM1090" s="173"/>
      <c r="BN1090" s="173"/>
      <c r="BO1090" s="173"/>
      <c r="BP1090" s="173"/>
      <c r="BQ1090" s="118"/>
      <c r="BR1090" s="118"/>
      <c r="BS1090" s="118">
        <f>INDEX('Dist. Plant Gas Additions'!$F$7:$AE$91,MATCH($C1090,'Dist. Plant Gas Additions'!$D$7:$D$91,0),MATCH(Calculation!$G1090,'Dist. Plant Gas Additions'!$F$5:$AE$5,0))</f>
        <v>65744</v>
      </c>
      <c r="BT1090" s="118">
        <f>INDEX('Gen. Plant Additions'!$F$7:$AE$91,MATCH($C1090,'Gen. Plant Additions'!$D$7:$D$91,0),MATCH(Calculation!$G1090,'Gen. Plant Additions'!$F$5:$AE$5,0))</f>
        <v>5366</v>
      </c>
      <c r="BU1090" s="118"/>
      <c r="BV1090" s="118"/>
      <c r="BW1090" s="118">
        <f>INDEX('Dist Plant Depreciation'!$E$7:$AD$94,MATCH($C1090,'Dist Plant Depreciation'!$D$7:$D$94,0),MATCH(Calculation!$G1090,'Dist Plant Depreciation'!$E$5:$AD$5,0))</f>
        <v>361896</v>
      </c>
      <c r="BX1090" s="118">
        <f>INDEX('Gen. Plant Depreciation'!$E$7:$AD$94,MATCH($C1090,'Gen. Plant Depreciation'!$D$7:$D$94,0),MATCH(Calculation!$G1090,'Gen. Plant Depreciation'!$E$5:$AD$5,0))</f>
        <v>18158</v>
      </c>
      <c r="BY1090" s="118"/>
      <c r="BZ1090" s="118"/>
      <c r="CA1090" s="118"/>
      <c r="CB1090" s="118"/>
      <c r="CC1090" s="118"/>
      <c r="CD1090" s="183"/>
      <c r="CE1090" s="118">
        <f>INDEX('Gross Dx Plant'!$E$7:$AD$91,MATCH($C1090,'Gross Dx Plant'!$D$7:$D$91,0),MATCH(Calculation!$G1090,'Gross Dx Plant'!$E$5:$AD$5,0))</f>
        <v>1014627</v>
      </c>
      <c r="CF1090" s="118">
        <f>INDEX('Gross Gen Plant'!$E$7:$AD$91,MATCH($C1090,'Gross Gen Plant'!$D$7:$D$91,0),MATCH(Calculation!$G1090,'Gross Gen Plant'!$E$5:$AD$5,0))</f>
        <v>52823</v>
      </c>
      <c r="CG1090" s="118">
        <f t="shared" si="3224"/>
        <v>687396</v>
      </c>
      <c r="CH1090" s="118"/>
      <c r="CI1090" s="121">
        <v>2020</v>
      </c>
      <c r="CJ1090" s="118"/>
      <c r="CK1090" s="118"/>
      <c r="CL1090" s="118"/>
      <c r="CM1090" s="183"/>
      <c r="CN1090" s="118">
        <f t="shared" si="3201"/>
        <v>71110</v>
      </c>
      <c r="CO1090" s="118">
        <f t="shared" si="3193"/>
        <v>87.45755127631756</v>
      </c>
      <c r="CP1090" s="186">
        <v>0.84057971014492749</v>
      </c>
      <c r="CQ1090" s="118">
        <f>CQ1068*CP1090+CO1069*CP1089+CO1070*CP1088+CO1071*CP1087+CO1072*CP1086+CO1073*CP1085+CO1074*CP1084+CO1075*CP1083+CO1076*CP1082+CO1077*CP1081+CO1078*CP1080+CO1079*CP1079+CO1080*CP1078+CO1081*CP1077+CO1082*CP1076+CO1083*CP1075+CO1084*CP1074+CO1085*CP1073+CO1086*CP1072+CO1087*CP1071+CO1088*CP1070+CO1089*CP1069+CO1090</f>
        <v>2369.2261871296264</v>
      </c>
      <c r="CR1090" s="119">
        <f t="shared" si="3194"/>
        <v>2.7912483876085498E-2</v>
      </c>
      <c r="CS1090" s="119"/>
      <c r="CT1090" s="177">
        <f t="shared" si="3195"/>
        <v>9.6531611177541835E-3</v>
      </c>
      <c r="CU1090" s="177">
        <f t="shared" si="3204"/>
        <v>9.3602946416624384E-3</v>
      </c>
      <c r="CV1090" s="119">
        <f>VLOOKUP($H1090,RoR!$E:$F,2,FALSE)</f>
        <v>2.4766666666666666E-2</v>
      </c>
      <c r="CW1090" s="177">
        <v>1.1618796630994188E-2</v>
      </c>
      <c r="CX1090" s="177">
        <f t="shared" si="3202"/>
        <v>1.3147870035672478E-2</v>
      </c>
      <c r="CY1090" s="177">
        <f t="shared" si="3205"/>
        <v>2.1541646966871185E-2</v>
      </c>
      <c r="CZ1090" s="177">
        <f t="shared" si="3206"/>
        <v>4.5144642961987357E-2</v>
      </c>
      <c r="DA1090" s="187">
        <f t="shared" si="3196"/>
        <v>0.90175000000000005</v>
      </c>
      <c r="DB1090" s="188">
        <f t="shared" si="3197"/>
        <v>2.0706077233668081</v>
      </c>
      <c r="DC1090" s="188">
        <f t="shared" si="3198"/>
        <v>-3.4421265141318998E-2</v>
      </c>
      <c r="DD1090" s="188">
        <f t="shared" si="3199"/>
        <v>0.62416226176410472</v>
      </c>
      <c r="DE1090" s="188">
        <f t="shared" si="3200"/>
        <v>-4.4485877841158712E-2</v>
      </c>
      <c r="DF1090" s="189">
        <f>INDEX('State Tax Lookup'!$D$7:$Z$91,MATCH(Calculation!$C1090,'State Tax Lookup'!$B$7:$B$91,0),MATCH($H1090,'State Tax Lookup'!$D$6:$Z$6,0))</f>
        <v>0.26200000000000001</v>
      </c>
      <c r="DG1090" s="189">
        <v>0.375</v>
      </c>
      <c r="DH1090" s="190">
        <f t="shared" si="3203"/>
        <v>21.346232320183038</v>
      </c>
      <c r="DI1090" s="190">
        <v>20.987426228743317</v>
      </c>
      <c r="DJ1090" s="177"/>
      <c r="DK1090" s="189">
        <f>VLOOKUP($H1090,RoR!$E:$F,2,FALSE)</f>
        <v>2.4766666666666666E-2</v>
      </c>
      <c r="DL1090" s="191">
        <f>HLOOKUP($H1090,'GDP-PI'!$D$8:$CQ$11,3,FALSE)</f>
        <v>1.1618796630994188E-2</v>
      </c>
      <c r="DM1090" s="189">
        <f>VLOOKUP(H1090,'HW Dx Data'!$E:$F,2,FALSE)</f>
        <v>813.080162458833</v>
      </c>
      <c r="DN1090" s="183">
        <f>VLOOKUP(H1090,'ECI - Input Price'!$G$17:$H$37,2,FALSE)</f>
        <v>140.44999999999999</v>
      </c>
      <c r="DO1090" s="177">
        <f t="shared" ref="DO1090" si="3261">LN(DN1090/DN1089)</f>
        <v>2.5966118063564539E-2</v>
      </c>
      <c r="DP1090" s="183">
        <f>HLOOKUP(H1090,'GDP-PI'!$8:$9,2,FALSE)</f>
        <v>113.623</v>
      </c>
      <c r="DQ1090" s="177">
        <f t="shared" ref="DQ1090" si="3262">LN(DP1090/DP1089)</f>
        <v>1.1551816731392881E-2</v>
      </c>
    </row>
    <row r="1091" spans="1:121" s="167" customFormat="1" ht="21" x14ac:dyDescent="0.35">
      <c r="A1091" s="167" t="s">
        <v>104</v>
      </c>
      <c r="B1091" s="167" t="s">
        <v>105</v>
      </c>
      <c r="C1091" s="167">
        <v>4063060</v>
      </c>
      <c r="D1091" s="167" t="s">
        <v>140</v>
      </c>
      <c r="E1091" s="167" t="s">
        <v>126</v>
      </c>
      <c r="G1091" s="168" t="s">
        <v>462</v>
      </c>
      <c r="H1091" s="169">
        <v>2021</v>
      </c>
      <c r="I1091" s="170"/>
      <c r="J1091" s="166">
        <f>IFERROR(INDEX('Labor Expenditures'!$E$7:$X$91,MATCH($C1091,'Labor Expenditures'!$D$7:$D$91,0),MATCH($G1091,'Labor Expenditures'!$E$5:$X$5,0)),"NA")</f>
        <v>23349.998241640002</v>
      </c>
      <c r="K1091" s="166">
        <f t="shared" si="3209"/>
        <v>160.50866638006528</v>
      </c>
      <c r="L1091" s="171">
        <f t="shared" si="3216"/>
        <v>2.4174511554870742E-2</v>
      </c>
      <c r="M1091" s="172">
        <f t="shared" si="3220"/>
        <v>1.7814345253996307E-4</v>
      </c>
      <c r="N1091" s="196"/>
      <c r="O1091" s="172"/>
      <c r="P1091" s="166">
        <f>IFERROR(INDEX('Non-Labor Expenditures'!$E$7:$AB$91,MATCH($C1091,'Non-Labor Expenditures'!$D$7:$D$91,0),MATCH($G1091,'Non-Labor Expenditures'!$E$5:$AB$5,0)),"NA")</f>
        <v>32915.057762311815</v>
      </c>
      <c r="Q1091" s="166">
        <f t="shared" si="3210"/>
        <v>277.78764252098756</v>
      </c>
      <c r="R1091" s="172">
        <f t="shared" si="3221"/>
        <v>-9.5833740201131459E-3</v>
      </c>
      <c r="S1091" s="172">
        <f t="shared" si="3227"/>
        <v>-7.0620468630761934E-5</v>
      </c>
      <c r="T1091" s="172"/>
      <c r="U1091" s="172"/>
      <c r="V1091" s="166">
        <f t="shared" si="3191"/>
        <v>52417.005132406695</v>
      </c>
      <c r="W1091" s="170"/>
      <c r="X1091" s="174">
        <v>2396.9020327835201</v>
      </c>
      <c r="Y1091" s="175"/>
      <c r="Z1091" s="175">
        <f t="shared" si="3228"/>
        <v>0</v>
      </c>
      <c r="AA1091" s="175"/>
      <c r="AB1091" s="175"/>
      <c r="AC1091" s="170">
        <f t="shared" si="3252"/>
        <v>108682.0611363585</v>
      </c>
      <c r="AD1091" s="175">
        <f t="shared" si="3222"/>
        <v>5.3174360055256061E-2</v>
      </c>
      <c r="AE1091" s="118"/>
      <c r="AF1091" s="119"/>
      <c r="AG1091" s="121">
        <f t="shared" si="3223"/>
        <v>525.19902933944718</v>
      </c>
      <c r="AH1091" s="119">
        <f>+AZ1091/$BB$59</f>
        <v>5.3092691156704525E-3</v>
      </c>
      <c r="AI1091" s="119">
        <f>+AZ1091/$BC$44</f>
        <v>2.5091007722819025E-2</v>
      </c>
      <c r="AJ1091" s="176">
        <f t="shared" si="3229"/>
        <v>2.7884229860520269</v>
      </c>
      <c r="AK1091" s="176">
        <f t="shared" si="3230"/>
        <v>13.177772901173125</v>
      </c>
      <c r="AL1091" s="120">
        <f t="shared" si="3211"/>
        <v>0.2148468477455889</v>
      </c>
      <c r="AM1091" s="120">
        <f t="shared" si="3212"/>
        <v>0.30285639983414347</v>
      </c>
      <c r="AN1091" s="120">
        <f t="shared" si="3213"/>
        <v>0.4822967524202677</v>
      </c>
      <c r="AO1091" s="120">
        <f t="shared" si="3217"/>
        <v>2.2449787954039314E-3</v>
      </c>
      <c r="AP1091" s="173">
        <f t="shared" si="3234"/>
        <v>115.96830156908216</v>
      </c>
      <c r="AQ1091" s="175">
        <f t="shared" si="3235"/>
        <v>2.2449787954038707E-3</v>
      </c>
      <c r="AR1091" s="177">
        <f>+AC1091/$AE$59</f>
        <v>7.3690610929456508E-3</v>
      </c>
      <c r="AS1091" s="177">
        <f t="shared" si="3231"/>
        <v>1.6543385895698657E-5</v>
      </c>
      <c r="AT1091" s="177"/>
      <c r="AU1091" s="177"/>
      <c r="AV1091" s="177"/>
      <c r="AW1091" s="190"/>
      <c r="AX1091" s="120"/>
      <c r="AY1091" s="120"/>
      <c r="AZ1091" s="118">
        <f>INDEX('Total Customers'!$E$7:$E$91,MATCH(Calculation!$C1091,'Total Customers'!$D$7:$D$91,0))</f>
        <v>206935</v>
      </c>
      <c r="BA1091" s="119">
        <f t="shared" si="3192"/>
        <v>1.369177902943287E-2</v>
      </c>
      <c r="BB1091" s="118"/>
      <c r="BC1091" s="121"/>
      <c r="BD1091" s="118"/>
      <c r="BE1091" s="119"/>
      <c r="BF1091" s="119"/>
      <c r="BG1091" s="173"/>
      <c r="BH1091" s="173"/>
      <c r="BI1091" s="173"/>
      <c r="BJ1091" s="173"/>
      <c r="BK1091" s="173"/>
      <c r="BL1091" s="173"/>
      <c r="BM1091" s="173"/>
      <c r="BN1091" s="173"/>
      <c r="BO1091" s="173"/>
      <c r="BP1091" s="173"/>
      <c r="BQ1091" s="118"/>
      <c r="BR1091" s="118"/>
      <c r="BS1091" s="118">
        <f>INDEX('Dist. Plant Gas Additions'!$E$7:$AE$91,MATCH($C1091,'Dist. Plant Gas Additions'!$D$7:$D$91,0),MATCH(Calculation!$G1091,'Dist. Plant Gas Additions'!$E$5:$AE$5,0))</f>
        <v>52875</v>
      </c>
      <c r="BT1091" s="118">
        <f>INDEX('Gen. Plant Additions'!$E$7:$AE$91,MATCH($C1091,'Gen. Plant Additions'!$D$7:$D$91,0),MATCH(Calculation!$G1091,'Gen. Plant Additions'!$E$5:$AE$5,0))</f>
        <v>6616</v>
      </c>
      <c r="BU1091" s="118"/>
      <c r="BV1091" s="118"/>
      <c r="BW1091" s="118"/>
      <c r="BX1091" s="118"/>
      <c r="BY1091" s="183"/>
      <c r="BZ1091" s="183"/>
      <c r="CA1091" s="178"/>
      <c r="CB1091" s="184"/>
      <c r="CC1091" s="185"/>
      <c r="CD1091" s="185"/>
      <c r="CE1091" s="118"/>
      <c r="CF1091" s="118"/>
      <c r="CG1091" s="118"/>
      <c r="CH1091" s="118"/>
      <c r="CI1091" s="121">
        <v>2021</v>
      </c>
      <c r="CJ1091" s="118"/>
      <c r="CK1091" s="118"/>
      <c r="CL1091" s="118"/>
      <c r="CM1091" s="183"/>
      <c r="CN1091" s="118">
        <f t="shared" si="3201"/>
        <v>59491</v>
      </c>
      <c r="CO1091" s="118">
        <f t="shared" si="3193"/>
        <v>63.761592083737732</v>
      </c>
      <c r="CP1091" s="186">
        <f>+(51-23)/(51-23*0.75)</f>
        <v>0.82962962962962961</v>
      </c>
      <c r="CQ1091" s="118">
        <f>CQ1068*CP1091+CO1069*CP1090+CO1070*CP1089+CO1071*CP1088+CO1072*CP1087+CO1073*CP1086+CO1074*CP1085+CO1075*CP1084+CO1076*CP1083+CO1077*CP1082+CO1078*CP1081+CO1079*CP1080+CO1080*CP1079+CO1081*CP1078+CO1082*CP1077+CO1073*CP1076+CO1084*CP1075+CO1085*CP1074+CO1086*CP1073+CO1087*CP1072+CO1088*CP1071+CO1089*CP1070+CO1091+CO1090*CP1069</f>
        <v>2396.9020327835201</v>
      </c>
      <c r="CR1091" s="119"/>
      <c r="CS1091" s="118"/>
      <c r="CT1091" s="177">
        <f t="shared" si="3195"/>
        <v>1.5231026326601078E-2</v>
      </c>
      <c r="CU1091" s="177">
        <f t="shared" si="3204"/>
        <v>1.1415925103981628E-2</v>
      </c>
      <c r="CV1091" s="119">
        <f>VLOOKUP($H1091,RoR!$E:$F,2,FALSE)</f>
        <v>2.7033333333333336E-2</v>
      </c>
      <c r="CW1091" s="177"/>
      <c r="CX1091" s="177"/>
      <c r="CY1091" s="177">
        <f t="shared" si="3205"/>
        <v>1.9486016504551999E-2</v>
      </c>
      <c r="CZ1091" s="177">
        <f t="shared" si="3206"/>
        <v>7.433422950153494E-2</v>
      </c>
      <c r="DA1091" s="187">
        <f t="shared" si="3196"/>
        <v>0.90175000000000005</v>
      </c>
      <c r="DB1091" s="188">
        <f t="shared" si="3197"/>
        <v>1.8969932656739068</v>
      </c>
      <c r="DC1091" s="188">
        <f t="shared" si="3198"/>
        <v>5.0215782983970621E-2</v>
      </c>
      <c r="DD1091" s="188">
        <f t="shared" si="3199"/>
        <v>0.655952481704143</v>
      </c>
      <c r="DE1091" s="188">
        <f t="shared" si="3200"/>
        <v>6.2485378865697057E-2</v>
      </c>
      <c r="DF1091" s="189">
        <f>DF1090</f>
        <v>0.26200000000000001</v>
      </c>
      <c r="DG1091" s="189">
        <v>0.375</v>
      </c>
      <c r="DH1091" s="190">
        <f t="shared" si="3203"/>
        <v>22.124103395932465</v>
      </c>
      <c r="DI1091" s="190"/>
      <c r="DJ1091" s="177">
        <f t="shared" ref="DJ1091" si="3263">LN(DH1091/DH1090)</f>
        <v>3.5792413616203687E-2</v>
      </c>
      <c r="DK1091" s="189">
        <f>VLOOKUP($H1091,RoR!$E:$F,2,FALSE)</f>
        <v>2.7033333333333336E-2</v>
      </c>
      <c r="DL1091" s="191">
        <f>HLOOKUP($H1091,'GDP-PI'!$D$8:$CR$11,3,FALSE)</f>
        <v>4.2834637353352578E-2</v>
      </c>
      <c r="DM1091" s="189">
        <f>VLOOKUP(H1091,'HW Dx Data'!$E:$F,2,FALSE)</f>
        <v>933.02249921662576</v>
      </c>
      <c r="DN1091" s="183">
        <f>VLOOKUP(H1091,'ECI - Input Price'!$G$17:$H$37,2,FALSE)</f>
        <v>145.47500000000002</v>
      </c>
      <c r="DO1091" s="177">
        <f t="shared" ref="DO1091" si="3264">LN(DN1091/DN1090)</f>
        <v>3.5152696992481205E-2</v>
      </c>
      <c r="DP1091" s="183">
        <f>HLOOKUP(H1091,'GDP-PI'!$8:$9,2,FALSE)</f>
        <v>118.49</v>
      </c>
      <c r="DQ1091" s="177">
        <f t="shared" ref="DQ1091" si="3265">LN(DP1091/DP1090)</f>
        <v>4.194261824609434E-2</v>
      </c>
    </row>
    <row r="1092" spans="1:121" s="167" customFormat="1" ht="21" x14ac:dyDescent="0.35">
      <c r="A1092" s="167" t="s">
        <v>106</v>
      </c>
      <c r="B1092" s="167" t="s">
        <v>106</v>
      </c>
      <c r="C1092" s="167">
        <v>4057100</v>
      </c>
      <c r="D1092" s="168" t="s">
        <v>150</v>
      </c>
      <c r="E1092" s="168"/>
      <c r="F1092" s="198"/>
      <c r="G1092" s="167" t="s">
        <v>4</v>
      </c>
      <c r="H1092" s="169">
        <v>1998</v>
      </c>
      <c r="I1092" s="170"/>
      <c r="J1092" s="166"/>
      <c r="K1092" s="166"/>
      <c r="L1092" s="166"/>
      <c r="M1092" s="166"/>
      <c r="N1092" s="196"/>
      <c r="O1092" s="166"/>
      <c r="P1092" s="172"/>
      <c r="Q1092" s="172"/>
      <c r="R1092" s="172"/>
      <c r="S1092" s="166"/>
      <c r="T1092" s="172"/>
      <c r="U1092" s="172"/>
      <c r="V1092" s="166"/>
      <c r="W1092" s="170"/>
      <c r="X1092" s="174">
        <v>309.97012685873955</v>
      </c>
      <c r="Y1092" s="175"/>
      <c r="Z1092" s="166"/>
      <c r="AA1092" s="175"/>
      <c r="AB1092" s="175"/>
      <c r="AC1092" s="170">
        <f t="shared" si="3252"/>
        <v>0</v>
      </c>
      <c r="AD1092" s="170"/>
      <c r="AE1092" s="170"/>
      <c r="AF1092" s="119"/>
      <c r="AG1092" s="174"/>
      <c r="AH1092" s="175"/>
      <c r="AI1092" s="175"/>
      <c r="AJ1092" s="174"/>
      <c r="AK1092" s="174"/>
      <c r="AL1092" s="120"/>
      <c r="AM1092" s="120"/>
      <c r="AN1092" s="120"/>
      <c r="AO1092" s="120"/>
      <c r="AP1092" s="120"/>
      <c r="AQ1092" s="175">
        <f>AVERAGE(AQ1101:AQ1115)</f>
        <v>2.4206024442293458E-2</v>
      </c>
      <c r="AR1092" s="120"/>
      <c r="AS1092" s="120"/>
      <c r="AT1092" s="120"/>
      <c r="AU1092" s="120"/>
      <c r="AV1092" s="120"/>
      <c r="AW1092" s="120"/>
      <c r="AX1092" s="120"/>
      <c r="AY1092" s="120"/>
      <c r="AZ1092" s="118">
        <f>IFERROR(INDEX('Total Customers'!$F$7:$AB$91,MATCH($C1092,'Total Customers'!$D$7:$D$91,0),MATCH($G1092,'Total Customers'!$F$5:$AB$5,0)),"NA")</f>
        <v>106897</v>
      </c>
      <c r="BA1092" s="119"/>
      <c r="BB1092" s="119"/>
      <c r="BC1092" s="121"/>
      <c r="BD1092" s="119"/>
      <c r="BE1092" s="119"/>
      <c r="BF1092" s="119"/>
      <c r="BG1092" s="173"/>
      <c r="BH1092" s="173"/>
      <c r="BI1092" s="173"/>
      <c r="BJ1092" s="173"/>
      <c r="BK1092" s="173"/>
      <c r="BL1092" s="173"/>
      <c r="BM1092" s="173"/>
      <c r="BN1092" s="173"/>
      <c r="BO1092" s="173"/>
      <c r="BP1092" s="173"/>
      <c r="BQ1092" s="118">
        <f>INDEX('Gross Dx Plant'!$E$7:$AD$91,MATCH($C1092,'Gross Dx Plant'!$D$7:$D$91,0),MATCH(Calculation!$G1092,'Gross Dx Plant'!$E$5:$AD$5,0))</f>
        <v>100643</v>
      </c>
      <c r="BR1092" s="118">
        <f>INDEX('Gross Gen Plant'!$E$7:$AD$91,MATCH($C1092,'Gross Gen Plant'!$D$7:$D$91,0),MATCH(Calculation!$G1092,'Gross Gen Plant'!$E$5:$AD$5,0))</f>
        <v>5445</v>
      </c>
      <c r="BS1092" s="118">
        <f>INDEX('Dist. Plant Gas Additions'!$F$7:$AE$91,MATCH($C1092,'Dist. Plant Gas Additions'!$D$7:$D$91,0),MATCH(Calculation!$G1092,'Dist. Plant Gas Additions'!$F$5:$AE$5,0))</f>
        <v>4833</v>
      </c>
      <c r="BT1092" s="118">
        <f>INDEX('Gen. Plant Additions'!$F$7:$AE$91,MATCH($C1092,'Gen. Plant Additions'!$D$7:$D$91,0),MATCH(Calculation!$G1092,'Gen. Plant Additions'!$F$5:$AE$5,0))</f>
        <v>279</v>
      </c>
      <c r="BU1092" s="118" t="e">
        <f>INDEX('Dist Plant Depreciation'!$E$7:$AA$94,MATCH($C1092,'Dist Plant Depreciation'!$D$7:$D$94,0),MATCH(#REF!,'Dist Plant Depreciation'!$E$5:$AA$5,0))</f>
        <v>#REF!</v>
      </c>
      <c r="BV1092" s="118" t="e">
        <f>INDEX('Gen. Plant Depreciation'!$E$7:$AA$94,MATCH($C1092,'Gen. Plant Depreciation'!$D$7:$D$94,0),MATCH(#REF!,'Gen. Plant Depreciation'!$E$5:$AA$5,0))</f>
        <v>#REF!</v>
      </c>
      <c r="BW1092" s="118">
        <f>INDEX('Dist Plant Depreciation'!$E$7:$AD$94,MATCH($C1092,'Dist Plant Depreciation'!$D$7:$D$94,0),MATCH(Calculation!$G1092,'Dist Plant Depreciation'!$E$5:$AD$5,0))</f>
        <v>40959</v>
      </c>
      <c r="BX1092" s="118">
        <f>INDEX('Gen. Plant Depreciation'!$E$7:$AD$94,MATCH($C1092,'Gen. Plant Depreciation'!$D$7:$D$94,0),MATCH(Calculation!$G1092,'Gen. Plant Depreciation'!$E$5:$AD$5,0))</f>
        <v>2602</v>
      </c>
      <c r="BY1092" s="118"/>
      <c r="BZ1092" s="118"/>
      <c r="CA1092" s="118"/>
      <c r="CB1092" s="118"/>
      <c r="CC1092" s="118"/>
      <c r="CD1092" s="183"/>
      <c r="CE1092" s="118">
        <f>INDEX('Gross Dx Plant'!$E$7:$AD$91,MATCH($C1092,'Gross Dx Plant'!$D$7:$D$91,0),MATCH(Calculation!$G1092,'Gross Dx Plant'!$E$5:$AD$5,0))</f>
        <v>100643</v>
      </c>
      <c r="CF1092" s="118">
        <f>INDEX('Gross Gen Plant'!$E$7:$AD$91,MATCH($C1092,'Gross Gen Plant'!$D$7:$D$91,0),MATCH(Calculation!$G1092,'Gross Gen Plant'!$E$5:$AD$5,0))</f>
        <v>5445</v>
      </c>
      <c r="CG1092" s="118">
        <f t="shared" si="3224"/>
        <v>62527</v>
      </c>
      <c r="CH1092" s="118"/>
      <c r="CI1092" s="121">
        <v>1998</v>
      </c>
      <c r="CJ1092" s="118">
        <f>BQ1092+BR1092</f>
        <v>106088</v>
      </c>
      <c r="CK1092" s="118">
        <f>40959+2602</f>
        <v>43561</v>
      </c>
      <c r="CL1092" s="118">
        <f>+CJ1092-CK1092</f>
        <v>62527</v>
      </c>
      <c r="CM1092" s="118">
        <f>CL1092/$CD$36</f>
        <v>309.97012685873955</v>
      </c>
      <c r="CN1092" s="183"/>
      <c r="CO1092" s="183"/>
      <c r="CP1092" s="186">
        <v>1</v>
      </c>
      <c r="CQ1092" s="118">
        <f>+CM1092</f>
        <v>309.97012685873955</v>
      </c>
      <c r="CR1092" s="119"/>
      <c r="CS1092" s="119"/>
      <c r="CT1092" s="177"/>
      <c r="CU1092" s="177"/>
      <c r="CV1092" s="119" t="e">
        <f>VLOOKUP($H1092,RoR!$E:$F,2,FALSE)</f>
        <v>#N/A</v>
      </c>
      <c r="CW1092" s="177">
        <v>1.1028127770464469E-2</v>
      </c>
      <c r="CX1092" s="177"/>
      <c r="CY1092" s="177"/>
      <c r="CZ1092" s="177"/>
      <c r="DA1092" s="187"/>
      <c r="DB1092" s="190" t="e">
        <f>2/(DK1092*39)</f>
        <v>#N/A</v>
      </c>
      <c r="DC1092" s="188" t="e">
        <f>+(DK1092*40-(1+DK1092))/(DK1092*40)</f>
        <v>#N/A</v>
      </c>
      <c r="DD1092" s="188" t="e">
        <f>+(1-(1/(1+DK1092)^40))</f>
        <v>#N/A</v>
      </c>
      <c r="DE1092" s="188" t="e">
        <f>+DD1092*DC1092*DB1092</f>
        <v>#N/A</v>
      </c>
      <c r="DF1092" s="189">
        <f>INDEX('State Tax Lookup'!$D$7:$Z$91,MATCH(Calculation!$C1092,'State Tax Lookup'!$B$7:$B$91,0),MATCH($H1092,'State Tax Lookup'!$D$6:$Z$6,0))</f>
        <v>0.35</v>
      </c>
      <c r="DG1092" s="189">
        <v>0.375</v>
      </c>
      <c r="DH1092" s="183"/>
      <c r="DI1092" s="183"/>
      <c r="DJ1092" s="177"/>
      <c r="DK1092" s="189" t="e">
        <f>VLOOKUP($H1092,RoR!$E:$F,2,FALSE)</f>
        <v>#N/A</v>
      </c>
      <c r="DL1092" s="191">
        <f>HLOOKUP($H1092,'GDP-PI'!$D$8:$CQ$11,3,FALSE)</f>
        <v>1.1028127770464469E-2</v>
      </c>
      <c r="DM1092" s="189">
        <f>VLOOKUP(H1092,'HW Dx Data'!$E:$F,2,FALSE)</f>
        <v>329.24564746449528</v>
      </c>
      <c r="DN1092" s="183" t="e">
        <f>VLOOKUP(H1092,'ECI - Input Price'!$G$17:$H$37,2,FALSE)</f>
        <v>#N/A</v>
      </c>
      <c r="DO1092" s="177"/>
      <c r="DP1092" s="183">
        <f>HLOOKUP(H1092,'GDP-PI'!$8:$9,2,FALSE)</f>
        <v>75.266999999999996</v>
      </c>
    </row>
    <row r="1093" spans="1:121" s="167" customFormat="1" ht="21" x14ac:dyDescent="0.35">
      <c r="A1093" s="167" t="s">
        <v>106</v>
      </c>
      <c r="B1093" s="167" t="s">
        <v>106</v>
      </c>
      <c r="C1093" s="167">
        <v>4057100</v>
      </c>
      <c r="D1093" s="168" t="s">
        <v>150</v>
      </c>
      <c r="E1093" s="168"/>
      <c r="F1093" s="198"/>
      <c r="G1093" s="167" t="s">
        <v>5</v>
      </c>
      <c r="H1093" s="169">
        <v>1999</v>
      </c>
      <c r="I1093" s="170"/>
      <c r="J1093" s="166"/>
      <c r="K1093" s="170"/>
      <c r="L1093" s="170"/>
      <c r="M1093" s="166"/>
      <c r="N1093" s="173"/>
      <c r="O1093" s="170"/>
      <c r="P1093" s="177"/>
      <c r="Q1093" s="177"/>
      <c r="R1093" s="177"/>
      <c r="S1093" s="195"/>
      <c r="T1093" s="177"/>
      <c r="U1093" s="177"/>
      <c r="V1093" s="166">
        <f t="shared" ref="V1093:V1115" si="3266">+CQ1092*DH1093</f>
        <v>0</v>
      </c>
      <c r="W1093" s="170"/>
      <c r="X1093" s="174">
        <v>327.97320474796931</v>
      </c>
      <c r="Y1093" s="175">
        <v>5.6455984341562897E-2</v>
      </c>
      <c r="Z1093" s="175"/>
      <c r="AA1093" s="175"/>
      <c r="AB1093" s="175"/>
      <c r="AC1093" s="170">
        <f t="shared" si="3252"/>
        <v>0</v>
      </c>
      <c r="AD1093" s="175"/>
      <c r="AE1093" s="170"/>
      <c r="AF1093" s="119"/>
      <c r="AG1093" s="174"/>
      <c r="AH1093" s="175"/>
      <c r="AI1093" s="175"/>
      <c r="AJ1093" s="174"/>
      <c r="AK1093" s="174"/>
      <c r="AL1093" s="120"/>
      <c r="AM1093" s="120"/>
      <c r="AN1093" s="120"/>
      <c r="AO1093" s="120"/>
      <c r="AP1093" s="120"/>
      <c r="AQ1093" s="175"/>
      <c r="AR1093" s="120"/>
      <c r="AS1093" s="120"/>
      <c r="AT1093" s="120"/>
      <c r="AU1093" s="120"/>
      <c r="AV1093" s="120"/>
      <c r="AW1093" s="120"/>
      <c r="AX1093" s="120"/>
      <c r="AY1093" s="120"/>
      <c r="AZ1093" s="118">
        <f>IFERROR(INDEX('Total Customers'!$F$7:$AB$91,MATCH($C1093,'Total Customers'!$D$7:$D$91,0),MATCH($G1093,'Total Customers'!$F$5:$AB$5,0)),"NA")</f>
        <v>107987</v>
      </c>
      <c r="BA1093" s="119">
        <f t="shared" ref="BA1093:BA1115" si="3267">LN(AZ1093/AZ1092)</f>
        <v>1.0145095482397139E-2</v>
      </c>
      <c r="BB1093" s="119"/>
      <c r="BC1093" s="121"/>
      <c r="BD1093" s="119"/>
      <c r="BE1093" s="119"/>
      <c r="BF1093" s="119"/>
      <c r="BG1093" s="173"/>
      <c r="BH1093" s="173"/>
      <c r="BI1093" s="173"/>
      <c r="BJ1093" s="173"/>
      <c r="BK1093" s="173"/>
      <c r="BL1093" s="173"/>
      <c r="BM1093" s="173"/>
      <c r="BN1093" s="173"/>
      <c r="BO1093" s="173"/>
      <c r="BP1093" s="173"/>
      <c r="BQ1093" s="118"/>
      <c r="BR1093" s="118"/>
      <c r="BS1093" s="118">
        <f>INDEX('Dist. Plant Gas Additions'!$F$7:$AE$91,MATCH($C1093,'Dist. Plant Gas Additions'!$D$7:$D$91,0),MATCH(Calculation!$G1093,'Dist. Plant Gas Additions'!$F$5:$AE$5,0))</f>
        <v>6078</v>
      </c>
      <c r="BT1093" s="118">
        <f>INDEX('Gen. Plant Additions'!$F$7:$AE$91,MATCH($C1093,'Gen. Plant Additions'!$D$7:$D$91,0),MATCH(Calculation!$G1093,'Gen. Plant Additions'!$F$5:$AE$5,0))</f>
        <v>476</v>
      </c>
      <c r="BU1093" s="118"/>
      <c r="BV1093" s="118"/>
      <c r="BW1093" s="118">
        <f>INDEX('Dist Plant Depreciation'!$E$7:$AD$94,MATCH($C1093,'Dist Plant Depreciation'!$D$7:$D$94,0),MATCH(Calculation!$G1093,'Dist Plant Depreciation'!$E$5:$AD$5,0))</f>
        <v>42676</v>
      </c>
      <c r="BX1093" s="118">
        <f>INDEX('Gen. Plant Depreciation'!$E$7:$AD$94,MATCH($C1093,'Gen. Plant Depreciation'!$D$7:$D$94,0),MATCH(Calculation!$G1093,'Gen. Plant Depreciation'!$E$5:$AD$5,0))</f>
        <v>2632</v>
      </c>
      <c r="BY1093" s="118"/>
      <c r="BZ1093" s="118"/>
      <c r="CA1093" s="118"/>
      <c r="CB1093" s="118"/>
      <c r="CC1093" s="118"/>
      <c r="CD1093" s="183"/>
      <c r="CE1093" s="118">
        <f>INDEX('Gross Dx Plant'!$E$7:$AD$91,MATCH($C1093,'Gross Dx Plant'!$D$7:$D$91,0),MATCH(Calculation!$G1093,'Gross Dx Plant'!$E$5:$AD$5,0))</f>
        <v>105469</v>
      </c>
      <c r="CF1093" s="118">
        <f>INDEX('Gross Gen Plant'!$E$7:$AD$91,MATCH($C1093,'Gross Gen Plant'!$D$7:$D$91,0),MATCH(Calculation!$G1093,'Gross Gen Plant'!$E$5:$AD$5,0))</f>
        <v>5531</v>
      </c>
      <c r="CG1093" s="118">
        <f t="shared" si="3224"/>
        <v>65692</v>
      </c>
      <c r="CH1093" s="118"/>
      <c r="CI1093" s="121">
        <v>1999</v>
      </c>
      <c r="CJ1093" s="118"/>
      <c r="CK1093" s="118"/>
      <c r="CL1093" s="118"/>
      <c r="CM1093" s="183"/>
      <c r="CN1093" s="118">
        <f t="shared" ref="CN1093:CN1112" si="3268">+BT1093+BS1093</f>
        <v>6554</v>
      </c>
      <c r="CO1093" s="118">
        <f t="shared" ref="CO1093:CO1115" si="3269">+CN1093/$DM1093</f>
        <v>19.545217823850354</v>
      </c>
      <c r="CP1093" s="186">
        <v>0.99502487562189057</v>
      </c>
      <c r="CQ1093" s="118">
        <f>+CQ1092*CP1093+CO1093</f>
        <v>327.97320474796931</v>
      </c>
      <c r="CR1093" s="119">
        <f t="shared" ref="CR1093:CR1114" si="3270">LN(CQ1093/CQ1092)</f>
        <v>5.6455984341562897E-2</v>
      </c>
      <c r="CS1093" s="119"/>
      <c r="CT1093" s="177">
        <f t="shared" ref="CT1093:CT1115" si="3271">+(CQ1092-CQ1093+CO1093)/CQ1092</f>
        <v>4.9751243781094587E-3</v>
      </c>
      <c r="CU1093" s="177"/>
      <c r="CV1093" s="119">
        <f>VLOOKUP($H1093,RoR!$E:$F,2,FALSE)</f>
        <v>7.0416666666666669E-2</v>
      </c>
      <c r="CW1093" s="177">
        <v>1.4335631817396832E-2</v>
      </c>
      <c r="CX1093" s="177">
        <f>+CV1093-CW1093</f>
        <v>5.6081034849269837E-2</v>
      </c>
      <c r="CY1093" s="177"/>
      <c r="CZ1093" s="177"/>
      <c r="DA1093" s="187">
        <f t="shared" ref="DA1093:DA1115" si="3272">1-DF1093*DG1093</f>
        <v>0.86875000000000002</v>
      </c>
      <c r="DB1093" s="188">
        <f t="shared" ref="DB1093:DB1115" si="3273">2/(DK1093*39)</f>
        <v>0.72826581702321336</v>
      </c>
      <c r="DC1093" s="188">
        <f t="shared" ref="DC1093:DC1115" si="3274">+(DK1093*40-(1+DK1093))/(DK1093*40)</f>
        <v>0.61997041420118348</v>
      </c>
      <c r="DD1093" s="188">
        <f t="shared" ref="DD1093:DD1115" si="3275">+(1-(1/(1+DK1093)^40))</f>
        <v>0.93425155319585029</v>
      </c>
      <c r="DE1093" s="188">
        <f t="shared" ref="DE1093:DE1115" si="3276">+DD1093*DC1093*DB1093</f>
        <v>0.42181762214141483</v>
      </c>
      <c r="DF1093" s="189">
        <f>INDEX('State Tax Lookup'!$D$7:$Z$91,MATCH(Calculation!$C1093,'State Tax Lookup'!$B$7:$B$91,0),MATCH($H1093,'State Tax Lookup'!$D$6:$Z$6,0))</f>
        <v>0.35</v>
      </c>
      <c r="DG1093" s="189">
        <v>0.375</v>
      </c>
      <c r="DH1093" s="190"/>
      <c r="DI1093" s="190"/>
      <c r="DJ1093" s="177"/>
      <c r="DK1093" s="189">
        <f>VLOOKUP($H1093,RoR!$E:$F,2,FALSE)</f>
        <v>7.0416666666666669E-2</v>
      </c>
      <c r="DL1093" s="191">
        <f>HLOOKUP($H1093,'GDP-PI'!$D$8:$CQ$11,3,FALSE)</f>
        <v>1.4335631817396832E-2</v>
      </c>
      <c r="DM1093" s="189">
        <f>VLOOKUP(H1093,'HW Dx Data'!$E:$F,2,FALSE)</f>
        <v>335.32499146683239</v>
      </c>
      <c r="DN1093" s="183" t="e">
        <f>VLOOKUP(H1093,'ECI - Input Price'!$G$17:$H$37,2,FALSE)</f>
        <v>#N/A</v>
      </c>
      <c r="DO1093" s="177"/>
      <c r="DP1093" s="183">
        <f>HLOOKUP(H1093,'GDP-PI'!$8:$9,2,FALSE)</f>
        <v>76.346000000000004</v>
      </c>
    </row>
    <row r="1094" spans="1:121" s="167" customFormat="1" ht="21" x14ac:dyDescent="0.35">
      <c r="A1094" s="167" t="s">
        <v>106</v>
      </c>
      <c r="B1094" s="167" t="s">
        <v>106</v>
      </c>
      <c r="C1094" s="167">
        <v>4057100</v>
      </c>
      <c r="D1094" s="168" t="s">
        <v>150</v>
      </c>
      <c r="E1094" s="168"/>
      <c r="F1094" s="198"/>
      <c r="G1094" s="167" t="s">
        <v>6</v>
      </c>
      <c r="H1094" s="169">
        <v>2000</v>
      </c>
      <c r="I1094" s="170"/>
      <c r="J1094" s="166"/>
      <c r="K1094" s="166"/>
      <c r="L1094" s="166"/>
      <c r="M1094" s="166"/>
      <c r="N1094" s="196"/>
      <c r="O1094" s="166"/>
      <c r="P1094" s="166"/>
      <c r="Q1094" s="166"/>
      <c r="R1094" s="166"/>
      <c r="S1094" s="166"/>
      <c r="T1094" s="166"/>
      <c r="U1094" s="166"/>
      <c r="V1094" s="166">
        <f t="shared" si="3266"/>
        <v>0</v>
      </c>
      <c r="W1094" s="170"/>
      <c r="X1094" s="174">
        <v>340.77053251580475</v>
      </c>
      <c r="Y1094" s="175">
        <v>3.8277413388609752E-2</v>
      </c>
      <c r="Z1094" s="175"/>
      <c r="AA1094" s="175"/>
      <c r="AB1094" s="175"/>
      <c r="AC1094" s="170">
        <f t="shared" si="3252"/>
        <v>0</v>
      </c>
      <c r="AD1094" s="175"/>
      <c r="AE1094" s="170"/>
      <c r="AF1094" s="170"/>
      <c r="AG1094" s="174"/>
      <c r="AH1094" s="175"/>
      <c r="AI1094" s="175"/>
      <c r="AJ1094" s="174"/>
      <c r="AK1094" s="174"/>
      <c r="AL1094" s="120"/>
      <c r="AM1094" s="120"/>
      <c r="AN1094" s="120"/>
      <c r="AO1094" s="120"/>
      <c r="AP1094" s="120"/>
      <c r="AQ1094" s="175"/>
      <c r="AR1094" s="120"/>
      <c r="AS1094" s="120"/>
      <c r="AT1094" s="120"/>
      <c r="AU1094" s="120"/>
      <c r="AV1094" s="120"/>
      <c r="AW1094" s="120"/>
      <c r="AX1094" s="120"/>
      <c r="AY1094" s="120"/>
      <c r="AZ1094" s="118">
        <f>IFERROR(INDEX('Total Customers'!$F$7:$AB$91,MATCH($C1094,'Total Customers'!$D$7:$D$91,0),MATCH($G1094,'Total Customers'!$F$5:$AB$5,0)),"NA")</f>
        <v>109459</v>
      </c>
      <c r="BA1094" s="119">
        <f t="shared" si="3267"/>
        <v>1.3539200407931648E-2</v>
      </c>
      <c r="BB1094" s="119"/>
      <c r="BC1094" s="121"/>
      <c r="BD1094" s="119"/>
      <c r="BE1094" s="119"/>
      <c r="BF1094" s="119"/>
      <c r="BG1094" s="173"/>
      <c r="BH1094" s="173"/>
      <c r="BI1094" s="173"/>
      <c r="BJ1094" s="173"/>
      <c r="BK1094" s="173"/>
      <c r="BL1094" s="173"/>
      <c r="BM1094" s="173"/>
      <c r="BN1094" s="173"/>
      <c r="BO1094" s="173"/>
      <c r="BP1094" s="173"/>
      <c r="BQ1094" s="118"/>
      <c r="BR1094" s="118"/>
      <c r="BS1094" s="118">
        <f>INDEX('Dist. Plant Gas Additions'!$F$7:$AE$91,MATCH($C1094,'Dist. Plant Gas Additions'!$D$7:$D$91,0),MATCH(Calculation!$G1094,'Dist. Plant Gas Additions'!$F$5:$AE$5,0))</f>
        <v>4657</v>
      </c>
      <c r="BT1094" s="118">
        <f>INDEX('Gen. Plant Additions'!$F$7:$AE$91,MATCH($C1094,'Gen. Plant Additions'!$D$7:$D$91,0),MATCH(Calculation!$G1094,'Gen. Plant Additions'!$F$5:$AE$5,0))</f>
        <v>362</v>
      </c>
      <c r="BU1094" s="118"/>
      <c r="BV1094" s="118"/>
      <c r="BW1094" s="118">
        <f>INDEX('Dist Plant Depreciation'!$E$7:$AD$94,MATCH($C1094,'Dist Plant Depreciation'!$D$7:$D$94,0),MATCH(Calculation!$G1094,'Dist Plant Depreciation'!$E$5:$AD$5,0))</f>
        <v>44809</v>
      </c>
      <c r="BX1094" s="118">
        <f>INDEX('Gen. Plant Depreciation'!$E$7:$AD$94,MATCH($C1094,'Gen. Plant Depreciation'!$D$7:$D$94,0),MATCH(Calculation!$G1094,'Gen. Plant Depreciation'!$E$5:$AD$5,0))</f>
        <v>2855</v>
      </c>
      <c r="BY1094" s="118"/>
      <c r="BZ1094" s="118"/>
      <c r="CA1094" s="118"/>
      <c r="CB1094" s="118"/>
      <c r="CC1094" s="118"/>
      <c r="CD1094" s="183"/>
      <c r="CE1094" s="118">
        <f>INDEX('Gross Dx Plant'!$E$7:$AD$91,MATCH($C1094,'Gross Dx Plant'!$D$7:$D$91,0),MATCH(Calculation!$G1094,'Gross Dx Plant'!$E$5:$AD$5,0))</f>
        <v>109153</v>
      </c>
      <c r="CF1094" s="118">
        <f>INDEX('Gross Gen Plant'!$E$7:$AD$91,MATCH($C1094,'Gross Gen Plant'!$D$7:$D$91,0),MATCH(Calculation!$G1094,'Gross Gen Plant'!$E$5:$AD$5,0))</f>
        <v>5834</v>
      </c>
      <c r="CG1094" s="118">
        <f t="shared" si="3224"/>
        <v>67323</v>
      </c>
      <c r="CH1094" s="118"/>
      <c r="CI1094" s="121">
        <v>2000</v>
      </c>
      <c r="CJ1094" s="118"/>
      <c r="CK1094" s="118"/>
      <c r="CL1094" s="118"/>
      <c r="CM1094" s="183"/>
      <c r="CN1094" s="118">
        <f t="shared" si="3268"/>
        <v>5019</v>
      </c>
      <c r="CO1094" s="118">
        <f t="shared" si="3269"/>
        <v>14.483439105297236</v>
      </c>
      <c r="CP1094" s="186">
        <v>0.98989898989898994</v>
      </c>
      <c r="CQ1094" s="118">
        <f>+CQ1092*CP1094+CO1093*CP1093+CO1094</f>
        <v>340.77053251580475</v>
      </c>
      <c r="CR1094" s="119">
        <f t="shared" si="3270"/>
        <v>3.8277413388609752E-2</v>
      </c>
      <c r="CS1094" s="119"/>
      <c r="CT1094" s="177">
        <f t="shared" si="3271"/>
        <v>5.141003329090516E-3</v>
      </c>
      <c r="CU1094" s="177"/>
      <c r="CV1094" s="119">
        <f>VLOOKUP($H1094,RoR!$E:$F,2,FALSE)</f>
        <v>7.6225000000000001E-2</v>
      </c>
      <c r="CW1094" s="177">
        <v>2.2568307442433211E-2</v>
      </c>
      <c r="CX1094" s="177">
        <f t="shared" ref="CX1094:CX1114" si="3277">+CV1094-CW1094</f>
        <v>5.365669255756679E-2</v>
      </c>
      <c r="CY1094" s="177"/>
      <c r="CZ1094" s="177"/>
      <c r="DA1094" s="187">
        <f t="shared" si="3272"/>
        <v>0.86875000000000002</v>
      </c>
      <c r="DB1094" s="188">
        <f t="shared" si="3273"/>
        <v>0.67277207323124022</v>
      </c>
      <c r="DC1094" s="188">
        <f t="shared" si="3274"/>
        <v>0.6470236142997704</v>
      </c>
      <c r="DD1094" s="188">
        <f t="shared" si="3275"/>
        <v>0.94704866037543145</v>
      </c>
      <c r="DE1094" s="188">
        <f t="shared" si="3276"/>
        <v>0.41224973107878493</v>
      </c>
      <c r="DF1094" s="189">
        <f>INDEX('State Tax Lookup'!$D$7:$Z$91,MATCH(Calculation!$C1094,'State Tax Lookup'!$B$7:$B$91,0),MATCH($H1094,'State Tax Lookup'!$D$6:$Z$6,0))</f>
        <v>0.35</v>
      </c>
      <c r="DG1094" s="189">
        <v>0.375</v>
      </c>
      <c r="DH1094" s="190"/>
      <c r="DI1094" s="190"/>
      <c r="DJ1094" s="177"/>
      <c r="DK1094" s="189">
        <f>VLOOKUP($H1094,RoR!$E:$F,2,FALSE)</f>
        <v>7.6225000000000001E-2</v>
      </c>
      <c r="DL1094" s="191">
        <f>HLOOKUP($H1094,'GDP-PI'!$D$8:$CQ$11,3,FALSE)</f>
        <v>2.2568307442433211E-2</v>
      </c>
      <c r="DM1094" s="189">
        <f>VLOOKUP(H1094,'HW Dx Data'!$E:$F,2,FALSE)</f>
        <v>346.53371782150339</v>
      </c>
      <c r="DN1094" s="183" t="e">
        <f>VLOOKUP(H1094,'ECI - Input Price'!$G$17:$H$37,2,FALSE)</f>
        <v>#N/A</v>
      </c>
      <c r="DO1094" s="177"/>
      <c r="DP1094" s="183">
        <f>HLOOKUP(H1094,'GDP-PI'!$8:$9,2,FALSE)</f>
        <v>78.069000000000003</v>
      </c>
    </row>
    <row r="1095" spans="1:121" s="167" customFormat="1" ht="21" x14ac:dyDescent="0.35">
      <c r="A1095" s="167" t="s">
        <v>106</v>
      </c>
      <c r="B1095" s="167" t="s">
        <v>106</v>
      </c>
      <c r="C1095" s="167">
        <v>4057100</v>
      </c>
      <c r="D1095" s="168" t="s">
        <v>150</v>
      </c>
      <c r="E1095" s="168"/>
      <c r="F1095" s="198"/>
      <c r="G1095" s="167" t="s">
        <v>7</v>
      </c>
      <c r="H1095" s="169">
        <v>2001</v>
      </c>
      <c r="I1095" s="170"/>
      <c r="J1095" s="166"/>
      <c r="K1095" s="166"/>
      <c r="L1095" s="166"/>
      <c r="M1095" s="166"/>
      <c r="N1095" s="196"/>
      <c r="O1095" s="166"/>
      <c r="P1095" s="166"/>
      <c r="Q1095" s="166"/>
      <c r="R1095" s="166"/>
      <c r="S1095" s="166"/>
      <c r="T1095" s="166"/>
      <c r="U1095" s="166"/>
      <c r="V1095" s="166">
        <f t="shared" si="3266"/>
        <v>4147.1526072443257</v>
      </c>
      <c r="W1095" s="170"/>
      <c r="X1095" s="174">
        <v>347.27709486039299</v>
      </c>
      <c r="Y1095" s="175">
        <v>1.8913679952129444E-2</v>
      </c>
      <c r="Z1095" s="175"/>
      <c r="AA1095" s="175"/>
      <c r="AB1095" s="175"/>
      <c r="AC1095" s="170">
        <f t="shared" si="3252"/>
        <v>4147.1526072443257</v>
      </c>
      <c r="AD1095" s="175"/>
      <c r="AE1095" s="170"/>
      <c r="AF1095" s="170"/>
      <c r="AG1095" s="174"/>
      <c r="AH1095" s="175"/>
      <c r="AI1095" s="175"/>
      <c r="AJ1095" s="174"/>
      <c r="AK1095" s="174"/>
      <c r="AL1095" s="120"/>
      <c r="AM1095" s="120"/>
      <c r="AN1095" s="120"/>
      <c r="AO1095" s="120"/>
      <c r="AP1095" s="120"/>
      <c r="AQ1095" s="175"/>
      <c r="AR1095" s="120"/>
      <c r="AS1095" s="120"/>
      <c r="AT1095" s="120"/>
      <c r="AU1095" s="120"/>
      <c r="AV1095" s="120"/>
      <c r="AW1095" s="120"/>
      <c r="AX1095" s="120"/>
      <c r="AY1095" s="120"/>
      <c r="AZ1095" s="118">
        <f>IFERROR(INDEX('Total Customers'!$F$7:$AB$91,MATCH($C1095,'Total Customers'!$D$7:$D$91,0),MATCH($G1095,'Total Customers'!$F$5:$AB$5,0)),"NA")</f>
        <v>109380</v>
      </c>
      <c r="BA1095" s="119">
        <f t="shared" si="3267"/>
        <v>-7.219919980598706E-4</v>
      </c>
      <c r="BB1095" s="119"/>
      <c r="BC1095" s="121"/>
      <c r="BD1095" s="119"/>
      <c r="BE1095" s="119"/>
      <c r="BF1095" s="119"/>
      <c r="BG1095" s="173"/>
      <c r="BH1095" s="173"/>
      <c r="BI1095" s="173"/>
      <c r="BJ1095" s="173"/>
      <c r="BK1095" s="173"/>
      <c r="BL1095" s="173"/>
      <c r="BM1095" s="173"/>
      <c r="BN1095" s="173"/>
      <c r="BO1095" s="173"/>
      <c r="BP1095" s="173"/>
      <c r="BQ1095" s="118"/>
      <c r="BR1095" s="118"/>
      <c r="BS1095" s="118">
        <f>INDEX('Dist. Plant Gas Additions'!$F$7:$AE$91,MATCH($C1095,'Dist. Plant Gas Additions'!$D$7:$D$91,0),MATCH(Calculation!$G1095,'Dist. Plant Gas Additions'!$F$5:$AE$5,0))</f>
        <v>2640</v>
      </c>
      <c r="BT1095" s="118">
        <f>INDEX('Gen. Plant Additions'!$F$7:$AE$91,MATCH($C1095,'Gen. Plant Additions'!$D$7:$D$91,0),MATCH(Calculation!$G1095,'Gen. Plant Additions'!$F$5:$AE$5,0))</f>
        <v>274</v>
      </c>
      <c r="BU1095" s="118"/>
      <c r="BV1095" s="118"/>
      <c r="BW1095" s="118">
        <f>INDEX('Dist Plant Depreciation'!$E$7:$AD$94,MATCH($C1095,'Dist Plant Depreciation'!$D$7:$D$94,0),MATCH(Calculation!$G1095,'Dist Plant Depreciation'!$E$5:$AD$5,0))</f>
        <v>47829</v>
      </c>
      <c r="BX1095" s="118">
        <f>INDEX('Gen. Plant Depreciation'!$E$7:$AD$94,MATCH($C1095,'Gen. Plant Depreciation'!$D$7:$D$94,0),MATCH(Calculation!$G1095,'Gen. Plant Depreciation'!$E$5:$AD$5,0))</f>
        <v>3029</v>
      </c>
      <c r="BY1095" s="118"/>
      <c r="BZ1095" s="118"/>
      <c r="CA1095" s="118"/>
      <c r="CB1095" s="118"/>
      <c r="CC1095" s="118"/>
      <c r="CD1095" s="183"/>
      <c r="CE1095" s="118">
        <f>INDEX('Gross Dx Plant'!$E$7:$AD$91,MATCH($C1095,'Gross Dx Plant'!$D$7:$D$91,0),MATCH(Calculation!$G1095,'Gross Dx Plant'!$E$5:$AD$5,0))</f>
        <v>111484</v>
      </c>
      <c r="CF1095" s="118">
        <f>INDEX('Gross Gen Plant'!$E$7:$AD$91,MATCH($C1095,'Gross Gen Plant'!$D$7:$D$91,0),MATCH(Calculation!$G1095,'Gross Gen Plant'!$E$5:$AD$5,0))</f>
        <v>6094</v>
      </c>
      <c r="CG1095" s="118">
        <f t="shared" si="3224"/>
        <v>66720</v>
      </c>
      <c r="CH1095" s="118"/>
      <c r="CI1095" s="121">
        <v>2001</v>
      </c>
      <c r="CJ1095" s="118"/>
      <c r="CK1095" s="118"/>
      <c r="CL1095" s="118"/>
      <c r="CM1095" s="183"/>
      <c r="CN1095" s="118">
        <f t="shared" si="3268"/>
        <v>2914</v>
      </c>
      <c r="CO1095" s="118">
        <f t="shared" si="3269"/>
        <v>8.2445086976132096</v>
      </c>
      <c r="CP1095" s="186">
        <v>0.98461538461538467</v>
      </c>
      <c r="CQ1095" s="118">
        <f>+CQ1092*CP1095+CO1093*CP1094+CO1094*CP1092+CO1095</f>
        <v>347.27709486039299</v>
      </c>
      <c r="CR1095" s="119">
        <f t="shared" si="3270"/>
        <v>1.8913679952129444E-2</v>
      </c>
      <c r="CS1095" s="119"/>
      <c r="CT1095" s="177">
        <f t="shared" si="3271"/>
        <v>5.1000488222800134E-3</v>
      </c>
      <c r="CU1095" s="177">
        <f>+(CT1095+CT1094+CT1093)/3</f>
        <v>5.0720588431599966E-3</v>
      </c>
      <c r="CV1095" s="119">
        <f>VLOOKUP($H1095,RoR!$E:$F,2,FALSE)</f>
        <v>7.0824999999999999E-2</v>
      </c>
      <c r="CW1095" s="177">
        <v>2.2454495382290052E-2</v>
      </c>
      <c r="CX1095" s="177">
        <f t="shared" si="3277"/>
        <v>4.8370504617709947E-2</v>
      </c>
      <c r="CY1095" s="177">
        <f>+$CX$35-CU1095</f>
        <v>2.5829882765373628E-2</v>
      </c>
      <c r="CZ1095" s="177">
        <f>+((DM1093/DM1092-1)+(DM1094/DM1093-1)+(DM1095/DM1094-1))/3</f>
        <v>2.3947275901631187E-2</v>
      </c>
      <c r="DA1095" s="187">
        <f t="shared" si="3272"/>
        <v>0.86875000000000002</v>
      </c>
      <c r="DB1095" s="188">
        <f t="shared" si="3273"/>
        <v>0.72406708481540816</v>
      </c>
      <c r="DC1095" s="188">
        <f t="shared" si="3274"/>
        <v>0.62201729615248857</v>
      </c>
      <c r="DD1095" s="188">
        <f t="shared" si="3275"/>
        <v>0.9352469954311422</v>
      </c>
      <c r="DE1095" s="188">
        <f t="shared" si="3276"/>
        <v>0.42121864641655071</v>
      </c>
      <c r="DF1095" s="189">
        <f>INDEX('State Tax Lookup'!$D$7:$Z$91,MATCH(Calculation!$C1095,'State Tax Lookup'!$B$7:$B$91,0),MATCH($H1095,'State Tax Lookup'!$D$6:$Z$6,0))</f>
        <v>0.35</v>
      </c>
      <c r="DG1095" s="189">
        <v>0.375</v>
      </c>
      <c r="DH1095" s="190">
        <f t="shared" ref="DH1095:DH1115" si="3278">+(DM1095*CY1095-CZ1095)*DA1095/(1-DF1095)</f>
        <v>12.169927301598424</v>
      </c>
      <c r="DI1095" s="190"/>
      <c r="DJ1095" s="177"/>
      <c r="DK1095" s="189">
        <f>VLOOKUP($H1095,RoR!$E:$F,2,FALSE)</f>
        <v>7.0824999999999999E-2</v>
      </c>
      <c r="DL1095" s="191">
        <f>HLOOKUP($H1095,'GDP-PI'!$D$8:$CQ$11,3,FALSE)</f>
        <v>2.2454495382290052E-2</v>
      </c>
      <c r="DM1095" s="189">
        <f>VLOOKUP(H1095,'HW Dx Data'!$E:$F,2,FALSE)</f>
        <v>353.44738017483138</v>
      </c>
      <c r="DN1095" s="183">
        <f>VLOOKUP(H1095,'ECI - Input Price'!$G$17:$H$37,2,FALSE)</f>
        <v>86.2</v>
      </c>
      <c r="DO1095" s="177"/>
      <c r="DP1095" s="183">
        <f>HLOOKUP(H1095,'GDP-PI'!$8:$9,2,FALSE)</f>
        <v>79.822000000000003</v>
      </c>
    </row>
    <row r="1096" spans="1:121" s="167" customFormat="1" ht="21" x14ac:dyDescent="0.35">
      <c r="A1096" s="167" t="s">
        <v>106</v>
      </c>
      <c r="B1096" s="167" t="s">
        <v>106</v>
      </c>
      <c r="C1096" s="167">
        <v>4057100</v>
      </c>
      <c r="D1096" s="168" t="s">
        <v>150</v>
      </c>
      <c r="E1096" s="168"/>
      <c r="F1096" s="198"/>
      <c r="G1096" s="167" t="s">
        <v>8</v>
      </c>
      <c r="H1096" s="169">
        <v>2002</v>
      </c>
      <c r="I1096" s="170"/>
      <c r="J1096" s="166"/>
      <c r="K1096" s="166"/>
      <c r="L1096" s="166"/>
      <c r="M1096" s="166"/>
      <c r="N1096" s="196"/>
      <c r="O1096" s="166"/>
      <c r="P1096" s="166"/>
      <c r="Q1096" s="166"/>
      <c r="R1096" s="166"/>
      <c r="S1096" s="166"/>
      <c r="T1096" s="166"/>
      <c r="U1096" s="166"/>
      <c r="V1096" s="166">
        <f t="shared" si="3266"/>
        <v>4279.9247851338714</v>
      </c>
      <c r="W1096" s="170"/>
      <c r="X1096" s="174">
        <v>372.70880744712861</v>
      </c>
      <c r="Y1096" s="175">
        <v>7.0674432125040432E-2</v>
      </c>
      <c r="Z1096" s="175"/>
      <c r="AA1096" s="175"/>
      <c r="AB1096" s="175"/>
      <c r="AC1096" s="170">
        <f t="shared" si="3252"/>
        <v>4279.9247851338714</v>
      </c>
      <c r="AD1096" s="175"/>
      <c r="AE1096" s="170"/>
      <c r="AF1096" s="170"/>
      <c r="AG1096" s="174"/>
      <c r="AH1096" s="175"/>
      <c r="AI1096" s="175"/>
      <c r="AJ1096" s="174"/>
      <c r="AK1096" s="174"/>
      <c r="AL1096" s="120"/>
      <c r="AM1096" s="120"/>
      <c r="AN1096" s="120"/>
      <c r="AO1096" s="120"/>
      <c r="AP1096" s="120"/>
      <c r="AQ1096" s="175"/>
      <c r="AR1096" s="120"/>
      <c r="AS1096" s="120"/>
      <c r="AT1096" s="120"/>
      <c r="AU1096" s="120"/>
      <c r="AV1096" s="120"/>
      <c r="AW1096" s="120"/>
      <c r="AX1096" s="120"/>
      <c r="AY1096" s="120"/>
      <c r="AZ1096" s="118">
        <f>IFERROR(INDEX('Total Customers'!$F$7:$AB$91,MATCH($C1096,'Total Customers'!$D$7:$D$91,0),MATCH($G1096,'Total Customers'!$F$5:$AB$5,0)),"NA")</f>
        <v>110380</v>
      </c>
      <c r="BA1096" s="119">
        <f t="shared" si="3267"/>
        <v>9.1009000927284919E-3</v>
      </c>
      <c r="BB1096" s="119"/>
      <c r="BC1096" s="121"/>
      <c r="BD1096" s="119"/>
      <c r="BE1096" s="119"/>
      <c r="BF1096" s="119"/>
      <c r="BG1096" s="173"/>
      <c r="BH1096" s="173"/>
      <c r="BI1096" s="173"/>
      <c r="BJ1096" s="173"/>
      <c r="BK1096" s="173"/>
      <c r="BL1096" s="173"/>
      <c r="BM1096" s="173"/>
      <c r="BN1096" s="173"/>
      <c r="BO1096" s="173"/>
      <c r="BP1096" s="173"/>
      <c r="BQ1096" s="118"/>
      <c r="BR1096" s="118"/>
      <c r="BS1096" s="118">
        <f>INDEX('Dist. Plant Gas Additions'!$F$7:$AE$91,MATCH($C1096,'Dist. Plant Gas Additions'!$D$7:$D$91,0),MATCH(Calculation!$G1096,'Dist. Plant Gas Additions'!$F$5:$AE$5,0))</f>
        <v>9240</v>
      </c>
      <c r="BT1096" s="118">
        <f>INDEX('Gen. Plant Additions'!$F$7:$AE$91,MATCH($C1096,'Gen. Plant Additions'!$D$7:$D$91,0),MATCH(Calculation!$G1096,'Gen. Plant Additions'!$F$5:$AE$5,0))</f>
        <v>665</v>
      </c>
      <c r="BU1096" s="118"/>
      <c r="BV1096" s="118"/>
      <c r="BW1096" s="118">
        <f>INDEX('Dist Plant Depreciation'!$E$7:$AD$94,MATCH($C1096,'Dist Plant Depreciation'!$D$7:$D$94,0),MATCH(Calculation!$G1096,'Dist Plant Depreciation'!$E$5:$AD$5,0))</f>
        <v>49467</v>
      </c>
      <c r="BX1096" s="118">
        <f>INDEX('Gen. Plant Depreciation'!$E$7:$AD$94,MATCH($C1096,'Gen. Plant Depreciation'!$D$7:$D$94,0),MATCH(Calculation!$G1096,'Gen. Plant Depreciation'!$E$5:$AD$5,0))</f>
        <v>3403</v>
      </c>
      <c r="BY1096" s="118"/>
      <c r="BZ1096" s="118"/>
      <c r="CA1096" s="118"/>
      <c r="CB1096" s="118"/>
      <c r="CC1096" s="118"/>
      <c r="CD1096" s="183"/>
      <c r="CE1096" s="118">
        <f>INDEX('Gross Dx Plant'!$E$7:$AD$91,MATCH($C1096,'Gross Dx Plant'!$D$7:$D$91,0),MATCH(Calculation!$G1096,'Gross Dx Plant'!$E$5:$AD$5,0))</f>
        <v>118899</v>
      </c>
      <c r="CF1096" s="118">
        <f>INDEX('Gross Gen Plant'!$E$7:$AD$91,MATCH($C1096,'Gross Gen Plant'!$D$7:$D$91,0),MATCH(Calculation!$G1096,'Gross Gen Plant'!$E$5:$AD$5,0))</f>
        <v>6562</v>
      </c>
      <c r="CG1096" s="118">
        <f t="shared" si="3224"/>
        <v>72591</v>
      </c>
      <c r="CH1096" s="118"/>
      <c r="CI1096" s="121">
        <v>2002</v>
      </c>
      <c r="CJ1096" s="118"/>
      <c r="CK1096" s="118"/>
      <c r="CL1096" s="118"/>
      <c r="CM1096" s="183"/>
      <c r="CN1096" s="118">
        <f t="shared" si="3268"/>
        <v>9905</v>
      </c>
      <c r="CO1096" s="118">
        <f t="shared" si="3269"/>
        <v>27.411236417587521</v>
      </c>
      <c r="CP1096" s="186">
        <v>0.97916666666666663</v>
      </c>
      <c r="CQ1096" s="118">
        <f>+CQ1092*CP1096+CO1093*CP1095+CO1094*CP1094+CO1095*CP1093+CO1096</f>
        <v>372.70880744712861</v>
      </c>
      <c r="CR1096" s="119">
        <f t="shared" si="3270"/>
        <v>7.0674432125040432E-2</v>
      </c>
      <c r="CS1096" s="119"/>
      <c r="CT1096" s="177">
        <f t="shared" si="3271"/>
        <v>5.7001278234249352E-3</v>
      </c>
      <c r="CU1096" s="177">
        <f t="shared" ref="CU1096:CU1115" si="3279">+(CT1096+CT1095+CT1094)/3</f>
        <v>5.3137266582651554E-3</v>
      </c>
      <c r="CV1096" s="119">
        <f>VLOOKUP($H1096,RoR!$E:$F,2,FALSE)</f>
        <v>6.4916666666666664E-2</v>
      </c>
      <c r="CW1096" s="177">
        <v>1.5246423291824351E-2</v>
      </c>
      <c r="CX1096" s="177">
        <f t="shared" si="3277"/>
        <v>4.9670243374842313E-2</v>
      </c>
      <c r="CY1096" s="177">
        <f t="shared" ref="CY1096:CY1115" si="3280">+$CX$35-CU1096</f>
        <v>2.558821495026847E-2</v>
      </c>
      <c r="CZ1096" s="177">
        <f t="shared" ref="CZ1096:CZ1115" si="3281">+((DM1094/DM1093-1)+(DM1095/DM1094-1)+(DM1096/DM1095-1))/3</f>
        <v>2.5243621214759093E-2</v>
      </c>
      <c r="DA1096" s="187">
        <f t="shared" si="3272"/>
        <v>0.86875000000000002</v>
      </c>
      <c r="DB1096" s="188">
        <f t="shared" si="3273"/>
        <v>0.78996741384417901</v>
      </c>
      <c r="DC1096" s="188">
        <f t="shared" si="3274"/>
        <v>0.58989088575096271</v>
      </c>
      <c r="DD1096" s="188">
        <f t="shared" si="3275"/>
        <v>0.91920675783645744</v>
      </c>
      <c r="DE1096" s="188">
        <f t="shared" si="3276"/>
        <v>0.42834536472275586</v>
      </c>
      <c r="DF1096" s="189">
        <f>INDEX('State Tax Lookup'!$D$7:$Z$91,MATCH(Calculation!$C1096,'State Tax Lookup'!$B$7:$B$91,0),MATCH($H1096,'State Tax Lookup'!$D$6:$Z$6,0))</f>
        <v>0.35</v>
      </c>
      <c r="DG1096" s="189">
        <v>0.375</v>
      </c>
      <c r="DH1096" s="190">
        <f t="shared" si="3278"/>
        <v>12.324235742799051</v>
      </c>
      <c r="DI1096" s="190"/>
      <c r="DJ1096" s="177"/>
      <c r="DK1096" s="189">
        <f>VLOOKUP($H1096,RoR!$E:$F,2,FALSE)</f>
        <v>6.4916666666666664E-2</v>
      </c>
      <c r="DL1096" s="191">
        <f>HLOOKUP($H1096,'GDP-PI'!$D$8:$CQ$11,3,FALSE)</f>
        <v>1.5246423291824351E-2</v>
      </c>
      <c r="DM1096" s="189">
        <f>VLOOKUP(H1096,'HW Dx Data'!$E:$F,2,FALSE)</f>
        <v>361.34816573413599</v>
      </c>
      <c r="DN1096" s="183">
        <f>VLOOKUP(H1096,'ECI - Input Price'!$G$17:$H$37,2,FALSE)</f>
        <v>89.275000000000006</v>
      </c>
      <c r="DO1096" s="177">
        <f>LN(DN1096/DN1095)</f>
        <v>3.5051315810864674E-2</v>
      </c>
      <c r="DP1096" s="183">
        <f>HLOOKUP(H1096,'GDP-PI'!$8:$9,2,FALSE)</f>
        <v>81.039000000000001</v>
      </c>
      <c r="DQ1096" s="177">
        <f>LN(DP1096/DP1095)</f>
        <v>1.513136459537477E-2</v>
      </c>
    </row>
    <row r="1097" spans="1:121" s="167" customFormat="1" ht="21" x14ac:dyDescent="0.35">
      <c r="A1097" s="167" t="s">
        <v>106</v>
      </c>
      <c r="B1097" s="167" t="s">
        <v>106</v>
      </c>
      <c r="C1097" s="167">
        <v>4057100</v>
      </c>
      <c r="D1097" s="168" t="s">
        <v>150</v>
      </c>
      <c r="E1097" s="168"/>
      <c r="F1097" s="198"/>
      <c r="G1097" s="167" t="s">
        <v>9</v>
      </c>
      <c r="H1097" s="169">
        <v>2003</v>
      </c>
      <c r="I1097" s="170"/>
      <c r="J1097" s="166"/>
      <c r="K1097" s="166"/>
      <c r="L1097" s="166"/>
      <c r="M1097" s="172"/>
      <c r="N1097" s="196"/>
      <c r="O1097" s="172"/>
      <c r="P1097" s="166"/>
      <c r="Q1097" s="166"/>
      <c r="R1097" s="166"/>
      <c r="S1097" s="166"/>
      <c r="T1097" s="166"/>
      <c r="U1097" s="166"/>
      <c r="V1097" s="166">
        <f t="shared" si="3266"/>
        <v>4664.8378844961353</v>
      </c>
      <c r="W1097" s="170"/>
      <c r="X1097" s="174">
        <v>388.66365166655174</v>
      </c>
      <c r="Y1097" s="175">
        <v>4.191688325074E-2</v>
      </c>
      <c r="Z1097" s="175"/>
      <c r="AA1097" s="175"/>
      <c r="AB1097" s="175"/>
      <c r="AC1097" s="170">
        <f t="shared" si="3252"/>
        <v>4664.8378844961353</v>
      </c>
      <c r="AD1097" s="175"/>
      <c r="AE1097" s="170"/>
      <c r="AF1097" s="170"/>
      <c r="AG1097" s="174"/>
      <c r="AH1097" s="175"/>
      <c r="AI1097" s="175"/>
      <c r="AJ1097" s="174"/>
      <c r="AK1097" s="174"/>
      <c r="AL1097" s="120"/>
      <c r="AM1097" s="120"/>
      <c r="AN1097" s="120"/>
      <c r="AO1097" s="120"/>
      <c r="AP1097" s="120"/>
      <c r="AQ1097" s="175"/>
      <c r="AR1097" s="120"/>
      <c r="AS1097" s="120"/>
      <c r="AT1097" s="120"/>
      <c r="AU1097" s="120"/>
      <c r="AV1097" s="120"/>
      <c r="AW1097" s="120"/>
      <c r="AX1097" s="120"/>
      <c r="AY1097" s="120"/>
      <c r="AZ1097" s="118">
        <f>IFERROR(INDEX('Total Customers'!$F$7:$AB$91,MATCH($C1097,'Total Customers'!$D$7:$D$91,0),MATCH($G1097,'Total Customers'!$F$5:$AB$5,0)),"NA")</f>
        <v>110360</v>
      </c>
      <c r="BA1097" s="119">
        <f t="shared" si="3267"/>
        <v>-1.8120866226990195E-4</v>
      </c>
      <c r="BB1097" s="119"/>
      <c r="BC1097" s="121"/>
      <c r="BD1097" s="119"/>
      <c r="BE1097" s="119"/>
      <c r="BF1097" s="119"/>
      <c r="BG1097" s="173"/>
      <c r="BH1097" s="173"/>
      <c r="BI1097" s="173"/>
      <c r="BJ1097" s="173"/>
      <c r="BK1097" s="173"/>
      <c r="BL1097" s="173"/>
      <c r="BM1097" s="173"/>
      <c r="BN1097" s="173"/>
      <c r="BO1097" s="173"/>
      <c r="BP1097" s="173"/>
      <c r="BQ1097" s="118"/>
      <c r="BR1097" s="118"/>
      <c r="BS1097" s="118">
        <f>INDEX('Dist. Plant Gas Additions'!$F$7:$AE$91,MATCH($C1097,'Dist. Plant Gas Additions'!$D$7:$D$91,0),MATCH(Calculation!$G1097,'Dist. Plant Gas Additions'!$F$5:$AE$5,0))</f>
        <v>6283</v>
      </c>
      <c r="BT1097" s="118">
        <f>INDEX('Gen. Plant Additions'!$F$7:$AE$91,MATCH($C1097,'Gen. Plant Additions'!$D$7:$D$91,0),MATCH(Calculation!$G1097,'Gen. Plant Additions'!$F$5:$AE$5,0))</f>
        <v>385</v>
      </c>
      <c r="BU1097" s="118"/>
      <c r="BV1097" s="118"/>
      <c r="BW1097" s="118">
        <f>INDEX('Dist Plant Depreciation'!$E$7:$AD$94,MATCH($C1097,'Dist Plant Depreciation'!$D$7:$D$94,0),MATCH(Calculation!$G1097,'Dist Plant Depreciation'!$E$5:$AD$5,0))</f>
        <v>52431</v>
      </c>
      <c r="BX1097" s="118">
        <f>INDEX('Gen. Plant Depreciation'!$E$7:$AD$94,MATCH($C1097,'Gen. Plant Depreciation'!$D$7:$D$94,0),MATCH(Calculation!$G1097,'Gen. Plant Depreciation'!$E$5:$AD$5,0))</f>
        <v>3466</v>
      </c>
      <c r="BY1097" s="118"/>
      <c r="BZ1097" s="118"/>
      <c r="CA1097" s="118"/>
      <c r="CB1097" s="118"/>
      <c r="CC1097" s="118"/>
      <c r="CD1097" s="183"/>
      <c r="CE1097" s="118">
        <f>INDEX('Gross Dx Plant'!$E$7:$AD$91,MATCH($C1097,'Gross Dx Plant'!$D$7:$D$91,0),MATCH(Calculation!$G1097,'Gross Dx Plant'!$E$5:$AD$5,0))</f>
        <v>124823</v>
      </c>
      <c r="CF1097" s="118">
        <f>INDEX('Gross Gen Plant'!$E$7:$AD$91,MATCH($C1097,'Gross Gen Plant'!$D$7:$D$91,0),MATCH(Calculation!$G1097,'Gross Gen Plant'!$E$5:$AD$5,0))</f>
        <v>6637</v>
      </c>
      <c r="CG1097" s="118">
        <f t="shared" si="3224"/>
        <v>75563</v>
      </c>
      <c r="CH1097" s="118"/>
      <c r="CI1097" s="121">
        <v>2003</v>
      </c>
      <c r="CJ1097" s="118"/>
      <c r="CK1097" s="118"/>
      <c r="CL1097" s="118"/>
      <c r="CM1097" s="183"/>
      <c r="CN1097" s="118">
        <f t="shared" si="3268"/>
        <v>6668</v>
      </c>
      <c r="CO1097" s="118">
        <f t="shared" si="3269"/>
        <v>18.059057024025915</v>
      </c>
      <c r="CP1097" s="186">
        <v>0.97354497354497349</v>
      </c>
      <c r="CQ1097" s="118">
        <f>+CQ1092*CP1097+CO1093*CP1096+CO1094*CP1095+CO1095*CP1094+CO1096*CP1093+CO1097</f>
        <v>388.66365166655174</v>
      </c>
      <c r="CR1097" s="119">
        <f t="shared" si="3270"/>
        <v>4.191688325074E-2</v>
      </c>
      <c r="CS1097" s="119"/>
      <c r="CT1097" s="177">
        <f t="shared" si="3271"/>
        <v>5.645728682977998E-3</v>
      </c>
      <c r="CU1097" s="177">
        <f t="shared" si="3279"/>
        <v>5.4819684428943152E-3</v>
      </c>
      <c r="CV1097" s="119">
        <f>VLOOKUP($H1097,RoR!$E:$F,2,FALSE)</f>
        <v>5.6666666666666671E-2</v>
      </c>
      <c r="CW1097" s="177">
        <v>1.8855119140166909E-2</v>
      </c>
      <c r="CX1097" s="177">
        <f t="shared" si="3277"/>
        <v>3.7811547526499761E-2</v>
      </c>
      <c r="CY1097" s="177">
        <f t="shared" si="3280"/>
        <v>2.541997316563931E-2</v>
      </c>
      <c r="CZ1097" s="177">
        <f t="shared" si="3281"/>
        <v>2.1375012817671957E-2</v>
      </c>
      <c r="DA1097" s="187">
        <f t="shared" si="3272"/>
        <v>0.86875000000000002</v>
      </c>
      <c r="DB1097" s="188">
        <f t="shared" si="3273"/>
        <v>0.90497737556561086</v>
      </c>
      <c r="DC1097" s="188">
        <f t="shared" si="3274"/>
        <v>0.5338235294117647</v>
      </c>
      <c r="DD1097" s="188">
        <f t="shared" si="3275"/>
        <v>0.88972433127405692</v>
      </c>
      <c r="DE1097" s="188">
        <f t="shared" si="3276"/>
        <v>0.42982423775949252</v>
      </c>
      <c r="DF1097" s="189">
        <f>INDEX('State Tax Lookup'!$D$7:$Z$91,MATCH(Calculation!$C1097,'State Tax Lookup'!$B$7:$B$91,0),MATCH($H1097,'State Tax Lookup'!$D$6:$Z$6,0))</f>
        <v>0.35</v>
      </c>
      <c r="DG1097" s="189">
        <v>0.375</v>
      </c>
      <c r="DH1097" s="190">
        <f t="shared" si="3278"/>
        <v>12.516038771522393</v>
      </c>
      <c r="DI1097" s="190"/>
      <c r="DJ1097" s="177"/>
      <c r="DK1097" s="189">
        <f>VLOOKUP($H1097,RoR!$E:$F,2,FALSE)</f>
        <v>5.6666666666666671E-2</v>
      </c>
      <c r="DL1097" s="191">
        <f>HLOOKUP($H1097,'GDP-PI'!$D$8:$CQ$11,3,FALSE)</f>
        <v>1.8855119140166909E-2</v>
      </c>
      <c r="DM1097" s="189">
        <f>VLOOKUP(H1097,'HW Dx Data'!$E:$F,2,FALSE)</f>
        <v>369.23301095560191</v>
      </c>
      <c r="DN1097" s="183">
        <f>VLOOKUP(H1097,'ECI - Input Price'!$G$17:$H$37,2,FALSE)</f>
        <v>92.625</v>
      </c>
      <c r="DO1097" s="177">
        <f t="shared" ref="DO1097" si="3282">LN(DN1097/DN1096)</f>
        <v>3.6837590135738785E-2</v>
      </c>
      <c r="DP1097" s="183">
        <f>HLOOKUP(H1097,'GDP-PI'!$8:$9,2,FALSE)</f>
        <v>82.566999999999993</v>
      </c>
      <c r="DQ1097" s="177">
        <f t="shared" ref="DQ1097" si="3283">LN(DP1097/DP1096)</f>
        <v>1.8679564681853753E-2</v>
      </c>
    </row>
    <row r="1098" spans="1:121" s="167" customFormat="1" ht="21" x14ac:dyDescent="0.35">
      <c r="A1098" s="167" t="s">
        <v>106</v>
      </c>
      <c r="B1098" s="167" t="s">
        <v>106</v>
      </c>
      <c r="C1098" s="167">
        <v>4057100</v>
      </c>
      <c r="D1098" s="168" t="s">
        <v>150</v>
      </c>
      <c r="E1098" s="168"/>
      <c r="F1098" s="198"/>
      <c r="G1098" s="167" t="s">
        <v>10</v>
      </c>
      <c r="H1098" s="169">
        <v>2004</v>
      </c>
      <c r="I1098" s="170"/>
      <c r="J1098" s="166">
        <f>IFERROR(INDEX('Labor Expenditures'!$F$7:$X$91,MATCH($C1098,'Labor Expenditures'!$D$7:$D$91,0),MATCH($G1098,'Labor Expenditures'!$F$5:$X$5,0)),"NA")</f>
        <v>5881.2659814697126</v>
      </c>
      <c r="K1098" s="166">
        <f t="shared" ref="K1098:K1115" si="3284">+J1098/DN1098</f>
        <v>61.151712830462309</v>
      </c>
      <c r="L1098" s="172"/>
      <c r="M1098" s="172"/>
      <c r="N1098" s="196"/>
      <c r="O1098" s="172"/>
      <c r="P1098" s="166">
        <f>IFERROR(INDEX('Non-Labor Expenditures'!$F$7:$AB$91,MATCH($C1098,'Non-Labor Expenditures'!$D$7:$D$91,0),MATCH($G1098,'Non-Labor Expenditures'!$F$5:$AB$5,0)),"NA")</f>
        <v>8517.1716101312286</v>
      </c>
      <c r="Q1098" s="166">
        <f t="shared" ref="Q1098:Q1115" si="3285">+P1098/DP1098</f>
        <v>100.46440833861648</v>
      </c>
      <c r="R1098" s="166"/>
      <c r="S1098" s="166"/>
      <c r="T1098" s="166"/>
      <c r="U1098" s="166"/>
      <c r="V1098" s="166">
        <f t="shared" si="3266"/>
        <v>5397.8065584883698</v>
      </c>
      <c r="W1098" s="170"/>
      <c r="X1098" s="174">
        <v>399.95284758602878</v>
      </c>
      <c r="Y1098" s="175">
        <v>2.8632338202474211E-2</v>
      </c>
      <c r="Z1098" s="175"/>
      <c r="AA1098" s="175"/>
      <c r="AB1098" s="175"/>
      <c r="AC1098" s="170">
        <f t="shared" si="3252"/>
        <v>19796.244150089311</v>
      </c>
      <c r="AD1098" s="175"/>
      <c r="AE1098" s="170"/>
      <c r="AF1098" s="170"/>
      <c r="AG1098" s="174"/>
      <c r="AH1098" s="175"/>
      <c r="AI1098" s="175"/>
      <c r="AJ1098" s="174"/>
      <c r="AK1098" s="174"/>
      <c r="AL1098" s="120">
        <f t="shared" ref="AL1098:AL1115" si="3286">+J1098/AC1098</f>
        <v>0.29708999024661853</v>
      </c>
      <c r="AM1098" s="120">
        <f t="shared" ref="AM1098:AM1115" si="3287">+P1098/AC1098</f>
        <v>0.43024179463319073</v>
      </c>
      <c r="AN1098" s="120">
        <f t="shared" ref="AN1098:AN1115" si="3288">+V1098/AC1098</f>
        <v>0.27266821512019074</v>
      </c>
      <c r="AO1098" s="120"/>
      <c r="AP1098" s="120"/>
      <c r="AQ1098" s="175"/>
      <c r="AR1098" s="120"/>
      <c r="AS1098" s="120"/>
      <c r="AT1098" s="120"/>
      <c r="AU1098" s="120"/>
      <c r="AV1098" s="120"/>
      <c r="AW1098" s="120"/>
      <c r="AX1098" s="120"/>
      <c r="AY1098" s="120"/>
      <c r="AZ1098" s="118">
        <f>IFERROR(INDEX('Total Customers'!$F$7:$AB$91,MATCH($C1098,'Total Customers'!$D$7:$D$91,0),MATCH($G1098,'Total Customers'!$F$5:$AB$5,0)),"NA")</f>
        <v>110737</v>
      </c>
      <c r="BA1098" s="119">
        <f t="shared" si="3267"/>
        <v>3.4102711965714604E-3</v>
      </c>
      <c r="BB1098" s="119"/>
      <c r="BC1098" s="121"/>
      <c r="BD1098" s="119"/>
      <c r="BE1098" s="119"/>
      <c r="BF1098" s="119"/>
      <c r="BG1098" s="173"/>
      <c r="BH1098" s="173"/>
      <c r="BI1098" s="173"/>
      <c r="BJ1098" s="173"/>
      <c r="BK1098" s="173"/>
      <c r="BL1098" s="173"/>
      <c r="BM1098" s="173"/>
      <c r="BN1098" s="173"/>
      <c r="BO1098" s="173"/>
      <c r="BP1098" s="173"/>
      <c r="BQ1098" s="118"/>
      <c r="BR1098" s="118"/>
      <c r="BS1098" s="118">
        <f>INDEX('Dist. Plant Gas Additions'!$F$7:$AE$91,MATCH($C1098,'Dist. Plant Gas Additions'!$D$7:$D$91,0),MATCH(Calculation!$G1098,'Dist. Plant Gas Additions'!$F$5:$AE$5,0))</f>
        <v>4967</v>
      </c>
      <c r="BT1098" s="118">
        <f>INDEX('Gen. Plant Additions'!$F$7:$AE$91,MATCH($C1098,'Gen. Plant Additions'!$D$7:$D$91,0),MATCH(Calculation!$G1098,'Gen. Plant Additions'!$F$5:$AE$5,0))</f>
        <v>655</v>
      </c>
      <c r="BU1098" s="118"/>
      <c r="BV1098" s="118"/>
      <c r="BW1098" s="118">
        <f>INDEX('Dist Plant Depreciation'!$E$7:$AD$94,MATCH($C1098,'Dist Plant Depreciation'!$D$7:$D$94,0),MATCH(Calculation!$G1098,'Dist Plant Depreciation'!$E$5:$AD$5,0))</f>
        <v>54559</v>
      </c>
      <c r="BX1098" s="118">
        <f>INDEX('Gen. Plant Depreciation'!$E$7:$AD$94,MATCH($C1098,'Gen. Plant Depreciation'!$D$7:$D$94,0),MATCH(Calculation!$G1098,'Gen. Plant Depreciation'!$E$5:$AD$5,0))</f>
        <v>3779</v>
      </c>
      <c r="BY1098" s="118"/>
      <c r="BZ1098" s="118"/>
      <c r="CA1098" s="118"/>
      <c r="CB1098" s="118"/>
      <c r="CC1098" s="118"/>
      <c r="CD1098" s="183"/>
      <c r="CE1098" s="118">
        <f>INDEX('Gross Dx Plant'!$E$7:$AD$91,MATCH($C1098,'Gross Dx Plant'!$D$7:$D$91,0),MATCH(Calculation!$G1098,'Gross Dx Plant'!$E$5:$AD$5,0))</f>
        <v>128513</v>
      </c>
      <c r="CF1098" s="118">
        <f>INDEX('Gross Gen Plant'!$E$7:$AD$91,MATCH($C1098,'Gross Gen Plant'!$D$7:$D$91,0),MATCH(Calculation!$G1098,'Gross Gen Plant'!$E$5:$AD$5,0))</f>
        <v>7192</v>
      </c>
      <c r="CG1098" s="118">
        <f t="shared" si="3224"/>
        <v>77367</v>
      </c>
      <c r="CH1098" s="118"/>
      <c r="CI1098" s="121">
        <v>2004</v>
      </c>
      <c r="CJ1098" s="118"/>
      <c r="CK1098" s="118"/>
      <c r="CL1098" s="118"/>
      <c r="CM1098" s="183"/>
      <c r="CN1098" s="118">
        <f t="shared" si="3268"/>
        <v>5622</v>
      </c>
      <c r="CO1098" s="118">
        <f t="shared" si="3269"/>
        <v>13.550671404618804</v>
      </c>
      <c r="CP1098" s="186">
        <v>0.967741935483871</v>
      </c>
      <c r="CQ1098" s="118">
        <f>+CQ1092*CP1098+CO1093*CP1097+CO1094*CP1096+CO1095*CP1095+CO1096*CP1094+CO1097*CP1093+CO1098</f>
        <v>399.95284758602878</v>
      </c>
      <c r="CR1098" s="119">
        <f t="shared" si="3270"/>
        <v>2.8632338202474211E-2</v>
      </c>
      <c r="CS1098" s="119"/>
      <c r="CT1098" s="177">
        <f t="shared" si="3271"/>
        <v>5.8185926969110176E-3</v>
      </c>
      <c r="CU1098" s="177">
        <f t="shared" si="3279"/>
        <v>5.7214830677713166E-3</v>
      </c>
      <c r="CV1098" s="119">
        <f>VLOOKUP($H1098,RoR!$E:$F,2,FALSE)</f>
        <v>5.6283333333333331E-2</v>
      </c>
      <c r="CW1098" s="177">
        <v>2.6778252812867276E-2</v>
      </c>
      <c r="CX1098" s="177">
        <f t="shared" si="3277"/>
        <v>2.9505080520466055E-2</v>
      </c>
      <c r="CY1098" s="177">
        <f t="shared" si="3280"/>
        <v>2.5180458540762309E-2</v>
      </c>
      <c r="CZ1098" s="177">
        <f t="shared" si="3281"/>
        <v>5.5940039414565046E-2</v>
      </c>
      <c r="DA1098" s="187">
        <f t="shared" si="3272"/>
        <v>0.86875000000000002</v>
      </c>
      <c r="DB1098" s="188">
        <f t="shared" si="3273"/>
        <v>0.91114097628755619</v>
      </c>
      <c r="DC1098" s="188">
        <f t="shared" si="3274"/>
        <v>0.53081877405981637</v>
      </c>
      <c r="DD1098" s="188">
        <f t="shared" si="3275"/>
        <v>0.88811215519385678</v>
      </c>
      <c r="DE1098" s="188">
        <f t="shared" si="3276"/>
        <v>0.42953609753547711</v>
      </c>
      <c r="DF1098" s="189">
        <f>INDEX('State Tax Lookup'!$D$7:$Z$91,MATCH(Calculation!$C1098,'State Tax Lookup'!$B$7:$B$91,0),MATCH($H1098,'State Tax Lookup'!$D$6:$Z$6,0))</f>
        <v>0.35</v>
      </c>
      <c r="DG1098" s="189">
        <v>0.375</v>
      </c>
      <c r="DH1098" s="190">
        <f t="shared" si="3278"/>
        <v>13.888117747422747</v>
      </c>
      <c r="DI1098" s="190"/>
      <c r="DJ1098" s="177"/>
      <c r="DK1098" s="189">
        <f>VLOOKUP($H1098,RoR!$E:$F,2,FALSE)</f>
        <v>5.6283333333333331E-2</v>
      </c>
      <c r="DL1098" s="191">
        <f>HLOOKUP($H1098,'GDP-PI'!$D$8:$CQ$11,3,FALSE)</f>
        <v>2.6778252812867276E-2</v>
      </c>
      <c r="DM1098" s="189">
        <f>VLOOKUP(H1098,'HW Dx Data'!$E:$F,2,FALSE)</f>
        <v>414.88719135228365</v>
      </c>
      <c r="DN1098" s="183">
        <f>VLOOKUP(H1098,'ECI - Input Price'!$G$17:$H$37,2,FALSE)</f>
        <v>96.174999999999997</v>
      </c>
      <c r="DO1098" s="177">
        <f t="shared" ref="DO1098" si="3289">LN(DN1098/DN1097)</f>
        <v>3.7610365022107912E-2</v>
      </c>
      <c r="DP1098" s="183">
        <f>HLOOKUP(H1098,'GDP-PI'!$8:$9,2,FALSE)</f>
        <v>84.778000000000006</v>
      </c>
      <c r="DQ1098" s="177">
        <f t="shared" ref="DQ1098" si="3290">LN(DP1098/DP1097)</f>
        <v>2.6425990216022755E-2</v>
      </c>
    </row>
    <row r="1099" spans="1:121" s="167" customFormat="1" ht="21" x14ac:dyDescent="0.35">
      <c r="A1099" s="167" t="s">
        <v>106</v>
      </c>
      <c r="B1099" s="167" t="s">
        <v>106</v>
      </c>
      <c r="C1099" s="167">
        <v>4057100</v>
      </c>
      <c r="D1099" s="168" t="s">
        <v>150</v>
      </c>
      <c r="E1099" s="168"/>
      <c r="F1099" s="198"/>
      <c r="G1099" s="167" t="s">
        <v>11</v>
      </c>
      <c r="H1099" s="169">
        <v>2005</v>
      </c>
      <c r="I1099" s="170"/>
      <c r="J1099" s="166">
        <f>IFERROR(INDEX('Labor Expenditures'!$F$7:$X$91,MATCH($C1099,'Labor Expenditures'!$D$7:$D$91,0),MATCH($G1099,'Labor Expenditures'!$F$5:$X$5,0)),"NA")</f>
        <v>6525.1436522031454</v>
      </c>
      <c r="K1099" s="166">
        <f t="shared" si="3284"/>
        <v>65.810828564832534</v>
      </c>
      <c r="L1099" s="172">
        <f t="shared" ref="L1099:L1115" si="3291">LN(K1099/K1098)</f>
        <v>7.3426520595070349E-2</v>
      </c>
      <c r="M1099" s="172"/>
      <c r="N1099" s="196"/>
      <c r="O1099" s="172"/>
      <c r="P1099" s="166">
        <f>IFERROR(INDEX('Non-Labor Expenditures'!$F$7:$AB$91,MATCH($C1099,'Non-Labor Expenditures'!$D$7:$D$91,0),MATCH($G1099,'Non-Labor Expenditures'!$F$5:$AB$5,0)),"NA")</f>
        <v>9449.62673711356</v>
      </c>
      <c r="Q1099" s="166">
        <f t="shared" si="3285"/>
        <v>108.1106403047074</v>
      </c>
      <c r="R1099" s="172">
        <f>LN(Q1099/Q1098)</f>
        <v>7.3351631111782778E-2</v>
      </c>
      <c r="S1099" s="172"/>
      <c r="T1099" s="172"/>
      <c r="U1099" s="172"/>
      <c r="V1099" s="166">
        <f t="shared" si="3266"/>
        <v>6240.7656150070761</v>
      </c>
      <c r="W1099" s="170"/>
      <c r="X1099" s="174">
        <v>413.88239857635693</v>
      </c>
      <c r="Y1099" s="175">
        <v>3.4235212937925481E-2</v>
      </c>
      <c r="Z1099" s="175"/>
      <c r="AA1099" s="175"/>
      <c r="AB1099" s="175"/>
      <c r="AC1099" s="170">
        <f t="shared" si="3252"/>
        <v>22215.536004323782</v>
      </c>
      <c r="AD1099" s="175">
        <f>LN(AC1099/AC1098)</f>
        <v>0.11529963381522426</v>
      </c>
      <c r="AE1099" s="170"/>
      <c r="AF1099" s="170"/>
      <c r="AG1099" s="121"/>
      <c r="AH1099" s="119"/>
      <c r="AI1099" s="119"/>
      <c r="AJ1099" s="121"/>
      <c r="AK1099" s="121"/>
      <c r="AL1099" s="120">
        <f t="shared" si="3286"/>
        <v>0.29371983871706564</v>
      </c>
      <c r="AM1099" s="120">
        <f t="shared" si="3287"/>
        <v>0.42536118576091936</v>
      </c>
      <c r="AN1099" s="120">
        <f t="shared" si="3288"/>
        <v>0.28091897552201506</v>
      </c>
      <c r="AO1099" s="120">
        <f t="shared" ref="AO1099:AO1115" si="3292">+(((AL1099+AL1098)/2)*L1099+((AM1098+AM1099)/2)*R1099+((AN1098+AN1099)/2)*Y1099)</f>
        <v>6.2546579810763239E-2</v>
      </c>
      <c r="AP1099" s="173">
        <v>100</v>
      </c>
      <c r="AQ1099" s="175"/>
      <c r="AR1099" s="120"/>
      <c r="AS1099" s="120"/>
      <c r="AT1099" s="120"/>
      <c r="AU1099" s="120"/>
      <c r="AV1099" s="120"/>
      <c r="AW1099" s="120"/>
      <c r="AX1099" s="120"/>
      <c r="AY1099" s="120"/>
      <c r="AZ1099" s="118">
        <f>IFERROR(INDEX('Total Customers'!$F$7:$AB$91,MATCH($C1099,'Total Customers'!$D$7:$D$91,0),MATCH($G1099,'Total Customers'!$F$5:$AB$5,0)),"NA")</f>
        <v>111253</v>
      </c>
      <c r="BA1099" s="119">
        <f t="shared" si="3267"/>
        <v>4.6488664292436595E-3</v>
      </c>
      <c r="BB1099" s="119"/>
      <c r="BC1099" s="121"/>
      <c r="BD1099" s="119"/>
      <c r="BE1099" s="119"/>
      <c r="BF1099" s="119"/>
      <c r="BG1099" s="173"/>
      <c r="BH1099" s="173"/>
      <c r="BI1099" s="173"/>
      <c r="BJ1099" s="173"/>
      <c r="BK1099" s="173"/>
      <c r="BL1099" s="173"/>
      <c r="BM1099" s="173"/>
      <c r="BN1099" s="173"/>
      <c r="BO1099" s="173"/>
      <c r="BP1099" s="173"/>
      <c r="BQ1099" s="118"/>
      <c r="BR1099" s="118"/>
      <c r="BS1099" s="118">
        <f>INDEX('Dist. Plant Gas Additions'!$F$7:$AE$91,MATCH($C1099,'Dist. Plant Gas Additions'!$D$7:$D$91,0),MATCH(Calculation!$G1099,'Dist. Plant Gas Additions'!$F$5:$AE$5,0))</f>
        <v>7584</v>
      </c>
      <c r="BT1099" s="118">
        <f>INDEX('Gen. Plant Additions'!$F$7:$AE$91,MATCH($C1099,'Gen. Plant Additions'!$D$7:$D$91,0),MATCH(Calculation!$G1099,'Gen. Plant Additions'!$F$5:$AE$5,0))</f>
        <v>79</v>
      </c>
      <c r="BU1099" s="118"/>
      <c r="BV1099" s="118"/>
      <c r="BW1099" s="118">
        <f>INDEX('Dist Plant Depreciation'!$E$7:$AD$94,MATCH($C1099,'Dist Plant Depreciation'!$D$7:$D$94,0),MATCH(Calculation!$G1099,'Dist Plant Depreciation'!$E$5:$AD$5,0))</f>
        <v>55435</v>
      </c>
      <c r="BX1099" s="118">
        <f>INDEX('Gen. Plant Depreciation'!$E$7:$AD$94,MATCH($C1099,'Gen. Plant Depreciation'!$D$7:$D$94,0),MATCH(Calculation!$G1099,'Gen. Plant Depreciation'!$E$5:$AD$5,0))</f>
        <v>4130</v>
      </c>
      <c r="BY1099" s="118"/>
      <c r="BZ1099" s="118"/>
      <c r="CA1099" s="118"/>
      <c r="CB1099" s="118"/>
      <c r="CC1099" s="118"/>
      <c r="CD1099" s="183"/>
      <c r="CE1099" s="118">
        <f>INDEX('Gross Dx Plant'!$E$7:$AD$91,MATCH($C1099,'Gross Dx Plant'!$D$7:$D$91,0),MATCH(Calculation!$G1099,'Gross Dx Plant'!$E$5:$AD$5,0))</f>
        <v>135703</v>
      </c>
      <c r="CF1099" s="118">
        <f>INDEX('Gross Gen Plant'!$E$7:$AD$91,MATCH($C1099,'Gross Gen Plant'!$D$7:$D$91,0),MATCH(Calculation!$G1099,'Gross Gen Plant'!$E$5:$AD$5,0))</f>
        <v>7251</v>
      </c>
      <c r="CG1099" s="118">
        <f t="shared" si="3224"/>
        <v>83389</v>
      </c>
      <c r="CH1099" s="118"/>
      <c r="CI1099" s="121">
        <v>2005</v>
      </c>
      <c r="CJ1099" s="118"/>
      <c r="CK1099" s="118"/>
      <c r="CL1099" s="118"/>
      <c r="CM1099" s="183"/>
      <c r="CN1099" s="118">
        <f t="shared" si="3268"/>
        <v>7663</v>
      </c>
      <c r="CO1099" s="118">
        <f t="shared" si="3269"/>
        <v>16.331875636090121</v>
      </c>
      <c r="CP1099" s="186">
        <v>0.96174863387978138</v>
      </c>
      <c r="CQ1099" s="118">
        <f>+CQ1092*CP1099+CO1093*CP1098+CO1094*CP1097+CO1095*CP1096+CO1096*CP1095+CO1097*CP1094+CO1098*CP1093+CO1099</f>
        <v>413.88239857635693</v>
      </c>
      <c r="CR1099" s="119">
        <f t="shared" si="3270"/>
        <v>3.4235212937925481E-2</v>
      </c>
      <c r="CS1099" s="119"/>
      <c r="CT1099" s="177">
        <f t="shared" si="3271"/>
        <v>6.006519669159837E-3</v>
      </c>
      <c r="CU1099" s="177">
        <f t="shared" si="3279"/>
        <v>5.8236136830162842E-3</v>
      </c>
      <c r="CV1099" s="119">
        <f>VLOOKUP($H1099,RoR!$E:$F,2,FALSE)</f>
        <v>5.2350000000000001E-2</v>
      </c>
      <c r="CW1099" s="177">
        <v>3.1010403642454332E-2</v>
      </c>
      <c r="CX1099" s="177">
        <f t="shared" si="3277"/>
        <v>2.1339596357545669E-2</v>
      </c>
      <c r="CY1099" s="177">
        <f t="shared" si="3280"/>
        <v>2.5078327925517341E-2</v>
      </c>
      <c r="CZ1099" s="177">
        <f t="shared" si="3281"/>
        <v>9.2129610649277341E-2</v>
      </c>
      <c r="DA1099" s="187">
        <f t="shared" si="3272"/>
        <v>0.86875000000000002</v>
      </c>
      <c r="DB1099" s="188">
        <f t="shared" si="3273"/>
        <v>0.97959983346802826</v>
      </c>
      <c r="DC1099" s="188">
        <f t="shared" si="3274"/>
        <v>0.49744508118433622</v>
      </c>
      <c r="DD1099" s="188">
        <f t="shared" si="3275"/>
        <v>0.87010519444335932</v>
      </c>
      <c r="DE1099" s="188">
        <f t="shared" si="3276"/>
        <v>0.42399975420741998</v>
      </c>
      <c r="DF1099" s="189">
        <f>INDEX('State Tax Lookup'!$D$7:$Z$91,MATCH(Calculation!$C1099,'State Tax Lookup'!$B$7:$B$91,0),MATCH($H1099,'State Tax Lookup'!$D$6:$Z$6,0))</f>
        <v>0.35</v>
      </c>
      <c r="DG1099" s="189">
        <v>0.375</v>
      </c>
      <c r="DH1099" s="190">
        <f t="shared" si="3278"/>
        <v>15.603753424120088</v>
      </c>
      <c r="DI1099" s="190"/>
      <c r="DJ1099" s="177"/>
      <c r="DK1099" s="189">
        <f>VLOOKUP($H1099,RoR!$E:$F,2,FALSE)</f>
        <v>5.2350000000000001E-2</v>
      </c>
      <c r="DL1099" s="191">
        <f>HLOOKUP($H1099,'GDP-PI'!$D$8:$CQ$11,3,FALSE)</f>
        <v>3.1010403642454332E-2</v>
      </c>
      <c r="DM1099" s="189">
        <f>VLOOKUP(H1099,'HW Dx Data'!$E:$F,2,FALSE)</f>
        <v>469.20514034936258</v>
      </c>
      <c r="DN1099" s="183">
        <f>VLOOKUP(H1099,'ECI - Input Price'!$G$17:$H$37,2,FALSE)</f>
        <v>99.15</v>
      </c>
      <c r="DO1099" s="177">
        <f t="shared" ref="DO1099" si="3293">LN(DN1099/DN1098)</f>
        <v>3.046440632744625E-2</v>
      </c>
      <c r="DP1099" s="183">
        <f>HLOOKUP(H1099,'GDP-PI'!$8:$9,2,FALSE)</f>
        <v>87.406999999999996</v>
      </c>
      <c r="DQ1099" s="177">
        <f t="shared" ref="DQ1099" si="3294">LN(DP1099/DP1098)</f>
        <v>3.0539295810733648E-2</v>
      </c>
    </row>
    <row r="1100" spans="1:121" s="167" customFormat="1" ht="21" x14ac:dyDescent="0.35">
      <c r="A1100" s="167" t="s">
        <v>106</v>
      </c>
      <c r="B1100" s="167" t="s">
        <v>106</v>
      </c>
      <c r="C1100" s="167">
        <v>4057100</v>
      </c>
      <c r="D1100" s="168" t="s">
        <v>150</v>
      </c>
      <c r="E1100" s="168"/>
      <c r="F1100" s="198"/>
      <c r="G1100" s="167" t="s">
        <v>12</v>
      </c>
      <c r="H1100" s="169">
        <v>2006</v>
      </c>
      <c r="I1100" s="170"/>
      <c r="J1100" s="166">
        <f>IFERROR(INDEX('Labor Expenditures'!$F$7:$X$91,MATCH($C1100,'Labor Expenditures'!$D$7:$D$91,0),MATCH($G1100,'Labor Expenditures'!$F$5:$X$5,0)),"NA")</f>
        <v>5964.5204064844684</v>
      </c>
      <c r="K1100" s="166">
        <f t="shared" si="3284"/>
        <v>58.447039749970294</v>
      </c>
      <c r="L1100" s="172">
        <f t="shared" si="3291"/>
        <v>-0.11866335186219543</v>
      </c>
      <c r="M1100" s="172">
        <f t="shared" ref="M1100:M1115" si="3295">+L1100*AR1100</f>
        <v>-3.119069437648591E-4</v>
      </c>
      <c r="N1100" s="196"/>
      <c r="O1100" s="172"/>
      <c r="P1100" s="166">
        <f>IFERROR(INDEX('Non-Labor Expenditures'!$F$7:$AB$91,MATCH($C1100,'Non-Labor Expenditures'!$D$7:$D$91,0),MATCH($G1100,'Non-Labor Expenditures'!$F$5:$AB$5,0)),"NA")</f>
        <v>8637.739567334258</v>
      </c>
      <c r="Q1100" s="166">
        <f t="shared" si="3285"/>
        <v>95.896036229480856</v>
      </c>
      <c r="R1100" s="172">
        <f t="shared" ref="R1100:R1115" si="3296">LN(Q1100/Q1099)</f>
        <v>-0.11989050129760079</v>
      </c>
      <c r="S1100" s="172">
        <f>+R1100*AR1100</f>
        <v>-3.1513250940019155E-4</v>
      </c>
      <c r="T1100" s="172"/>
      <c r="U1100" s="172"/>
      <c r="V1100" s="166">
        <f t="shared" si="3266"/>
        <v>6306.2657021980176</v>
      </c>
      <c r="W1100" s="170"/>
      <c r="X1100" s="174">
        <v>429.80867933926442</v>
      </c>
      <c r="Y1100" s="175">
        <v>3.7758305844481824E-2</v>
      </c>
      <c r="Z1100" s="175">
        <f>+Y1100*AR1100</f>
        <v>9.924780981551866E-5</v>
      </c>
      <c r="AA1100" s="175"/>
      <c r="AB1100" s="175"/>
      <c r="AC1100" s="170">
        <f t="shared" si="3252"/>
        <v>20908.525676016747</v>
      </c>
      <c r="AD1100" s="175">
        <f t="shared" ref="AD1100:AD1115" si="3297">LN(AC1100/AC1099)</f>
        <v>-6.0634861259703125E-2</v>
      </c>
      <c r="AE1100" s="170"/>
      <c r="AF1100" s="170"/>
      <c r="AG1100" s="121">
        <f t="shared" ref="AG1100:AG1115" si="3298">+(AC1100*1000)/AZ1100</f>
        <v>188.19724458381037</v>
      </c>
      <c r="AH1100" s="119">
        <f>+AZ1100/$BB$44</f>
        <v>3.1603146472856565E-3</v>
      </c>
      <c r="AI1100" s="119"/>
      <c r="AJ1100" s="176">
        <f>+AH1100*AG1100</f>
        <v>0.59476250863701707</v>
      </c>
      <c r="AK1100" s="176">
        <f>+AI1100*AG1100</f>
        <v>0</v>
      </c>
      <c r="AL1100" s="120">
        <f t="shared" si="3286"/>
        <v>0.28526738321516892</v>
      </c>
      <c r="AM1100" s="120">
        <f t="shared" si="3287"/>
        <v>0.41312045149325044</v>
      </c>
      <c r="AN1100" s="120">
        <f t="shared" si="3288"/>
        <v>0.30161216529158047</v>
      </c>
      <c r="AO1100" s="120">
        <f t="shared" si="3292"/>
        <v>-7.3617579640160302E-2</v>
      </c>
      <c r="AP1100" s="173">
        <f>+AP1099*EXP(AO1100)</f>
        <v>92.902690472022599</v>
      </c>
      <c r="AQ1100" s="175">
        <f>LN(AP1100/AP1099)</f>
        <v>-7.3617579640160316E-2</v>
      </c>
      <c r="AR1100" s="177">
        <f>+AC1100/$AE$44</f>
        <v>2.6285027253155533E-3</v>
      </c>
      <c r="AS1100" s="177">
        <f>+AR1100*AQ1100</f>
        <v>-1.9350400871529617E-4</v>
      </c>
      <c r="AT1100" s="177"/>
      <c r="AU1100" s="177"/>
      <c r="AV1100" s="177"/>
      <c r="AW1100" s="190"/>
      <c r="AX1100" s="120"/>
      <c r="AY1100" s="120"/>
      <c r="AZ1100" s="118">
        <f>IFERROR(INDEX('Total Customers'!$F$7:$AB$91,MATCH($C1100,'Total Customers'!$D$7:$D$91,0),MATCH($G1100,'Total Customers'!$F$5:$AB$5,0)),"NA")</f>
        <v>111099</v>
      </c>
      <c r="BA1100" s="119">
        <f t="shared" si="3267"/>
        <v>-1.3851912699145588E-3</v>
      </c>
      <c r="BB1100" s="119"/>
      <c r="BC1100" s="121"/>
      <c r="BD1100" s="119"/>
      <c r="BE1100" s="119"/>
      <c r="BF1100" s="119"/>
      <c r="BG1100" s="173"/>
      <c r="BH1100" s="173"/>
      <c r="BI1100" s="173"/>
      <c r="BJ1100" s="173"/>
      <c r="BK1100" s="173"/>
      <c r="BL1100" s="173"/>
      <c r="BM1100" s="173"/>
      <c r="BN1100" s="173"/>
      <c r="BO1100" s="173"/>
      <c r="BP1100" s="173"/>
      <c r="BQ1100" s="118"/>
      <c r="BR1100" s="118"/>
      <c r="BS1100" s="118">
        <f>INDEX('Dist. Plant Gas Additions'!$F$7:$AE$91,MATCH($C1100,'Dist. Plant Gas Additions'!$D$7:$D$91,0),MATCH(Calculation!$G1100,'Dist. Plant Gas Additions'!$F$5:$AE$5,0))</f>
        <v>7668</v>
      </c>
      <c r="BT1100" s="118">
        <f>INDEX('Gen. Plant Additions'!$F$7:$AE$91,MATCH($C1100,'Gen. Plant Additions'!$D$7:$D$91,0),MATCH(Calculation!$G1100,'Gen. Plant Additions'!$F$5:$AE$5,0))</f>
        <v>857</v>
      </c>
      <c r="BU1100" s="118"/>
      <c r="BV1100" s="118"/>
      <c r="BW1100" s="118">
        <f>INDEX('Dist Plant Depreciation'!$E$7:$AD$94,MATCH($C1100,'Dist Plant Depreciation'!$D$7:$D$94,0),MATCH(Calculation!$G1100,'Dist Plant Depreciation'!$E$5:$AD$5,0))</f>
        <v>60000</v>
      </c>
      <c r="BX1100" s="118">
        <f>INDEX('Gen. Plant Depreciation'!$E$7:$AD$94,MATCH($C1100,'Gen. Plant Depreciation'!$D$7:$D$94,0),MATCH(Calculation!$G1100,'Gen. Plant Depreciation'!$E$5:$AD$5,0))</f>
        <v>4276</v>
      </c>
      <c r="BY1100" s="118"/>
      <c r="BZ1100" s="118"/>
      <c r="CA1100" s="118"/>
      <c r="CB1100" s="118"/>
      <c r="CC1100" s="118"/>
      <c r="CD1100" s="183"/>
      <c r="CE1100" s="118">
        <f>INDEX('Gross Dx Plant'!$E$7:$AD$91,MATCH($C1100,'Gross Dx Plant'!$D$7:$D$91,0),MATCH(Calculation!$G1100,'Gross Dx Plant'!$E$5:$AD$5,0))</f>
        <v>142521</v>
      </c>
      <c r="CF1100" s="118">
        <f>INDEX('Gross Gen Plant'!$E$7:$AD$91,MATCH($C1100,'Gross Gen Plant'!$D$7:$D$91,0),MATCH(Calculation!$G1100,'Gross Gen Plant'!$E$5:$AD$5,0))</f>
        <v>7835</v>
      </c>
      <c r="CG1100" s="118">
        <f t="shared" si="3224"/>
        <v>86080</v>
      </c>
      <c r="CH1100" s="119" t="e">
        <f>SUM(#REF!)/15</f>
        <v>#REF!</v>
      </c>
      <c r="CI1100" s="121">
        <v>2006</v>
      </c>
      <c r="CJ1100" s="118"/>
      <c r="CK1100" s="118"/>
      <c r="CL1100" s="118"/>
      <c r="CM1100" s="183"/>
      <c r="CN1100" s="118">
        <f t="shared" si="3268"/>
        <v>8525</v>
      </c>
      <c r="CO1100" s="118">
        <f t="shared" si="3269"/>
        <v>18.488971798950761</v>
      </c>
      <c r="CP1100" s="186">
        <v>0.9555555555555556</v>
      </c>
      <c r="CQ1100" s="118">
        <f>+CQ1092*CP1100+CO1093*CP1099+CO1094*CP1098+CO1095*CP1097+CO1096*CP1096+CO1097*CP1095+CO1098*CP1094+CO1099*CP1093+CO1100</f>
        <v>429.80867933926442</v>
      </c>
      <c r="CR1100" s="119">
        <f t="shared" si="3270"/>
        <v>3.7758305844481824E-2</v>
      </c>
      <c r="CS1100" s="119"/>
      <c r="CT1100" s="177">
        <f t="shared" si="3271"/>
        <v>6.1918338273341429E-3</v>
      </c>
      <c r="CU1100" s="177">
        <f t="shared" si="3279"/>
        <v>6.0056487311349995E-3</v>
      </c>
      <c r="CV1100" s="119">
        <f>VLOOKUP($H1100,RoR!$E:$F,2,FALSE)</f>
        <v>5.5874999999999994E-2</v>
      </c>
      <c r="CW1100" s="177">
        <v>3.0512430354548314E-2</v>
      </c>
      <c r="CX1100" s="177">
        <f t="shared" si="3277"/>
        <v>2.536256964545168E-2</v>
      </c>
      <c r="CY1100" s="177">
        <f t="shared" si="3280"/>
        <v>2.4896292877398626E-2</v>
      </c>
      <c r="CZ1100" s="177">
        <f t="shared" si="3281"/>
        <v>7.9087823893859641E-2</v>
      </c>
      <c r="DA1100" s="187">
        <f t="shared" si="3272"/>
        <v>0.86875000000000002</v>
      </c>
      <c r="DB1100" s="188">
        <f t="shared" si="3273"/>
        <v>0.91779957551769631</v>
      </c>
      <c r="DC1100" s="188">
        <f t="shared" si="3274"/>
        <v>0.52757270693512304</v>
      </c>
      <c r="DD1100" s="188">
        <f t="shared" si="3275"/>
        <v>0.88636824549024895</v>
      </c>
      <c r="DE1100" s="188">
        <f t="shared" si="3276"/>
        <v>0.42918482841932087</v>
      </c>
      <c r="DF1100" s="189">
        <f>INDEX('State Tax Lookup'!$D$7:$Z$91,MATCH(Calculation!$C1100,'State Tax Lookup'!$B$7:$B$91,0),MATCH($H1100,'State Tax Lookup'!$D$6:$Z$6,0))</f>
        <v>0.35</v>
      </c>
      <c r="DG1100" s="189">
        <v>0.375</v>
      </c>
      <c r="DH1100" s="190">
        <f t="shared" si="3278"/>
        <v>15.236854052962531</v>
      </c>
      <c r="DI1100" s="190">
        <v>14.79899448654006</v>
      </c>
      <c r="DJ1100" s="177"/>
      <c r="DK1100" s="189">
        <f>VLOOKUP($H1100,RoR!$E:$F,2,FALSE)</f>
        <v>5.5874999999999994E-2</v>
      </c>
      <c r="DL1100" s="191">
        <f>HLOOKUP($H1100,'GDP-PI'!$D$8:$CQ$11,3,FALSE)</f>
        <v>3.0512430354548314E-2</v>
      </c>
      <c r="DM1100" s="189">
        <f>VLOOKUP(H1100,'HW Dx Data'!$E:$F,2,FALSE)</f>
        <v>461.08567272971823</v>
      </c>
      <c r="DN1100" s="183">
        <f>VLOOKUP(H1100,'ECI - Input Price'!$G$17:$H$37,2,FALSE)</f>
        <v>102.05</v>
      </c>
      <c r="DO1100" s="177">
        <f t="shared" ref="DO1100" si="3299">LN(DN1100/DN1099)</f>
        <v>2.8829034290048662E-2</v>
      </c>
      <c r="DP1100" s="183">
        <f>HLOOKUP(H1100,'GDP-PI'!$8:$9,2,FALSE)</f>
        <v>90.073999999999998</v>
      </c>
      <c r="DQ1100" s="177">
        <f t="shared" ref="DQ1100" si="3300">LN(DP1100/DP1099)</f>
        <v>3.005618372545445E-2</v>
      </c>
    </row>
    <row r="1101" spans="1:121" s="167" customFormat="1" ht="21" x14ac:dyDescent="0.35">
      <c r="A1101" s="167" t="s">
        <v>106</v>
      </c>
      <c r="B1101" s="167" t="s">
        <v>106</v>
      </c>
      <c r="C1101" s="167">
        <v>4057100</v>
      </c>
      <c r="D1101" s="168" t="s">
        <v>150</v>
      </c>
      <c r="E1101" s="168"/>
      <c r="F1101" s="198"/>
      <c r="G1101" s="167" t="s">
        <v>13</v>
      </c>
      <c r="H1101" s="169">
        <v>2007</v>
      </c>
      <c r="I1101" s="170"/>
      <c r="J1101" s="166">
        <f>IFERROR(INDEX('Labor Expenditures'!$F$7:$X$91,MATCH($C1101,'Labor Expenditures'!$D$7:$D$91,0),MATCH($G1101,'Labor Expenditures'!$F$5:$X$5,0)),"NA")</f>
        <v>6706.5096520008301</v>
      </c>
      <c r="K1101" s="166">
        <f t="shared" si="3284"/>
        <v>63.734945611792156</v>
      </c>
      <c r="L1101" s="172">
        <f t="shared" si="3291"/>
        <v>8.6611968101504178E-2</v>
      </c>
      <c r="M1101" s="172">
        <f t="shared" si="3295"/>
        <v>2.4174787195891924E-4</v>
      </c>
      <c r="N1101" s="196"/>
      <c r="O1101" s="172"/>
      <c r="P1101" s="166">
        <f>IFERROR(INDEX('Non-Labor Expenditures'!$F$7:$AB$91,MATCH($C1101,'Non-Labor Expenditures'!$D$7:$D$91,0),MATCH($G1101,'Non-Labor Expenditures'!$F$5:$AB$5,0)),"NA")</f>
        <v>9712.2785793167386</v>
      </c>
      <c r="Q1101" s="166">
        <f t="shared" si="3285"/>
        <v>104.99987653048431</v>
      </c>
      <c r="R1101" s="172">
        <f t="shared" si="3296"/>
        <v>9.0694525552246691E-2</v>
      </c>
      <c r="S1101" s="172">
        <f t="shared" ref="S1101:S1115" si="3301">+R1101*AR1101</f>
        <v>2.5314294353505969E-4</v>
      </c>
      <c r="T1101" s="172"/>
      <c r="U1101" s="172"/>
      <c r="V1101" s="166">
        <f t="shared" si="3266"/>
        <v>7032.4252770077064</v>
      </c>
      <c r="W1101" s="170"/>
      <c r="X1101" s="174">
        <v>440.32287786733889</v>
      </c>
      <c r="Y1101" s="175">
        <v>2.4168093230859316E-2</v>
      </c>
      <c r="Z1101" s="175">
        <f t="shared" ref="Z1101:Z1115" si="3302">+Y1101*AR1101</f>
        <v>6.7457018191964321E-5</v>
      </c>
      <c r="AA1101" s="175"/>
      <c r="AB1101" s="175"/>
      <c r="AC1101" s="170">
        <f t="shared" si="3252"/>
        <v>23451.213508325276</v>
      </c>
      <c r="AD1101" s="175">
        <f t="shared" si="3297"/>
        <v>0.11476523943596881</v>
      </c>
      <c r="AE1101" s="170"/>
      <c r="AF1101" s="170"/>
      <c r="AG1101" s="121">
        <f t="shared" si="3298"/>
        <v>209.91436928986622</v>
      </c>
      <c r="AH1101" s="119">
        <f>+AZ1101/$BB$45</f>
        <v>3.1540952941270187E-3</v>
      </c>
      <c r="AI1101" s="119"/>
      <c r="AJ1101" s="176">
        <f t="shared" ref="AJ1101:AJ1115" si="3303">+AH1101*AG1101</f>
        <v>0.66208992434680825</v>
      </c>
      <c r="AK1101" s="176">
        <f t="shared" ref="AK1101:AK1115" si="3304">+AI1101*AG1101</f>
        <v>0</v>
      </c>
      <c r="AL1101" s="120">
        <f t="shared" si="3286"/>
        <v>0.28597708385623594</v>
      </c>
      <c r="AM1101" s="120">
        <f t="shared" si="3287"/>
        <v>0.41414823057531075</v>
      </c>
      <c r="AN1101" s="120">
        <f t="shared" si="3288"/>
        <v>0.29987468556845331</v>
      </c>
      <c r="AO1101" s="120">
        <f t="shared" si="3292"/>
        <v>6.9521069236655547E-2</v>
      </c>
      <c r="AP1101" s="173">
        <f>+AP1100*EXP(AO1101)</f>
        <v>99.59118688494344</v>
      </c>
      <c r="AQ1101" s="175">
        <f>LN(AP1101/AP1100)</f>
        <v>6.9521069236655603E-2</v>
      </c>
      <c r="AR1101" s="177">
        <f>+AC1101/$AE$45</f>
        <v>2.791160127842896E-3</v>
      </c>
      <c r="AS1101" s="177">
        <f t="shared" ref="AS1101:AS1115" si="3305">+AR1101*AQ1101</f>
        <v>1.9404443649835847E-4</v>
      </c>
      <c r="AT1101" s="177"/>
      <c r="AU1101" s="177"/>
      <c r="AV1101" s="177"/>
      <c r="AW1101" s="190"/>
      <c r="AX1101" s="120"/>
      <c r="AY1101" s="120"/>
      <c r="AZ1101" s="118">
        <f>IFERROR(INDEX('Total Customers'!$F$7:$AB$91,MATCH($C1101,'Total Customers'!$D$7:$D$91,0),MATCH($G1101,'Total Customers'!$F$5:$AB$5,0)),"NA")</f>
        <v>111718</v>
      </c>
      <c r="BA1101" s="119">
        <f t="shared" si="3267"/>
        <v>5.5561433141481072E-3</v>
      </c>
      <c r="BB1101" s="119"/>
      <c r="BC1101" s="121"/>
      <c r="BD1101" s="119"/>
      <c r="BE1101" s="119"/>
      <c r="BF1101" s="119"/>
      <c r="BG1101" s="173"/>
      <c r="BH1101" s="173"/>
      <c r="BI1101" s="173"/>
      <c r="BJ1101" s="173"/>
      <c r="BK1101" s="173"/>
      <c r="BL1101" s="173"/>
      <c r="BM1101" s="173"/>
      <c r="BN1101" s="173"/>
      <c r="BO1101" s="173"/>
      <c r="BP1101" s="173"/>
      <c r="BQ1101" s="118"/>
      <c r="BR1101" s="118"/>
      <c r="BS1101" s="118">
        <f>INDEX('Dist. Plant Gas Additions'!$F$7:$AE$91,MATCH($C1101,'Dist. Plant Gas Additions'!$D$7:$D$91,0),MATCH(Calculation!$G1101,'Dist. Plant Gas Additions'!$F$5:$AE$5,0))</f>
        <v>6228</v>
      </c>
      <c r="BT1101" s="118">
        <f>INDEX('Gen. Plant Additions'!$F$7:$AE$91,MATCH($C1101,'Gen. Plant Additions'!$D$7:$D$91,0),MATCH(Calculation!$G1101,'Gen. Plant Additions'!$F$5:$AE$5,0))</f>
        <v>373</v>
      </c>
      <c r="BU1101" s="118"/>
      <c r="BV1101" s="118"/>
      <c r="BW1101" s="118">
        <f>INDEX('Dist Plant Depreciation'!$E$7:$AD$94,MATCH($C1101,'Dist Plant Depreciation'!$D$7:$D$94,0),MATCH(Calculation!$G1101,'Dist Plant Depreciation'!$E$5:$AD$5,0))</f>
        <v>63079</v>
      </c>
      <c r="BX1101" s="118">
        <f>INDEX('Gen. Plant Depreciation'!$E$7:$AD$94,MATCH($C1101,'Gen. Plant Depreciation'!$D$7:$D$94,0),MATCH(Calculation!$G1101,'Gen. Plant Depreciation'!$E$5:$AD$5,0))</f>
        <v>4663</v>
      </c>
      <c r="BY1101" s="118"/>
      <c r="BZ1101" s="118"/>
      <c r="CA1101" s="118"/>
      <c r="CB1101" s="118"/>
      <c r="CC1101" s="118"/>
      <c r="CD1101" s="183"/>
      <c r="CE1101" s="118">
        <f>INDEX('Gross Dx Plant'!$E$7:$AD$91,MATCH($C1101,'Gross Dx Plant'!$D$7:$D$91,0),MATCH(Calculation!$G1101,'Gross Dx Plant'!$E$5:$AD$5,0))</f>
        <v>147378</v>
      </c>
      <c r="CF1101" s="118">
        <f>INDEX('Gross Gen Plant'!$E$7:$AD$91,MATCH($C1101,'Gross Gen Plant'!$D$7:$D$91,0),MATCH(Calculation!$G1101,'Gross Gen Plant'!$E$5:$AD$5,0))</f>
        <v>8143</v>
      </c>
      <c r="CG1101" s="118">
        <f t="shared" si="3224"/>
        <v>87779</v>
      </c>
      <c r="CH1101" s="118"/>
      <c r="CI1101" s="121">
        <v>2007</v>
      </c>
      <c r="CJ1101" s="118"/>
      <c r="CK1101" s="118"/>
      <c r="CL1101" s="118"/>
      <c r="CM1101" s="183"/>
      <c r="CN1101" s="118">
        <f t="shared" si="3268"/>
        <v>6601</v>
      </c>
      <c r="CO1101" s="118">
        <f t="shared" si="3269"/>
        <v>13.25442614689694</v>
      </c>
      <c r="CP1101" s="186">
        <v>0.94915254237288138</v>
      </c>
      <c r="CQ1101" s="118">
        <f>+CQ1092*CP1101+CO1093*CP1100+CO1094*CP1099+CO1095*CP1098+CO1096*CP1097+CO1097*CP1096+CO1098*CP1095+CO1099*CP1094+CO1100*CP1093+CO1101</f>
        <v>440.32287786733889</v>
      </c>
      <c r="CR1101" s="119">
        <f t="shared" si="3270"/>
        <v>2.4168093230859316E-2</v>
      </c>
      <c r="CS1101" s="119"/>
      <c r="CT1101" s="177">
        <f t="shared" si="3271"/>
        <v>6.3754590136126587E-3</v>
      </c>
      <c r="CU1101" s="177">
        <f t="shared" si="3279"/>
        <v>6.1912708367022132E-3</v>
      </c>
      <c r="CV1101" s="119">
        <f>VLOOKUP($H1101,RoR!$E:$F,2,FALSE)</f>
        <v>5.5558333333333321E-2</v>
      </c>
      <c r="CW1101" s="177">
        <v>2.691120634145272E-2</v>
      </c>
      <c r="CX1101" s="177">
        <f t="shared" si="3277"/>
        <v>2.86471269918806E-2</v>
      </c>
      <c r="CY1101" s="177">
        <f t="shared" si="3280"/>
        <v>2.4710670771831412E-2</v>
      </c>
      <c r="CZ1101" s="177">
        <f t="shared" si="3281"/>
        <v>6.4575155250632399E-2</v>
      </c>
      <c r="DA1101" s="187">
        <f t="shared" si="3272"/>
        <v>0.86875000000000002</v>
      </c>
      <c r="DB1101" s="188">
        <f t="shared" si="3273"/>
        <v>0.92303077153834634</v>
      </c>
      <c r="DC1101" s="188">
        <f t="shared" si="3274"/>
        <v>0.52502249887505614</v>
      </c>
      <c r="DD1101" s="188">
        <f t="shared" si="3275"/>
        <v>0.88499666072084604</v>
      </c>
      <c r="DE1101" s="188">
        <f t="shared" si="3276"/>
        <v>0.42887993290280618</v>
      </c>
      <c r="DF1101" s="189">
        <f>INDEX('State Tax Lookup'!$D$7:$Z$91,MATCH(Calculation!$C1101,'State Tax Lookup'!$B$7:$B$91,0),MATCH($H1101,'State Tax Lookup'!$D$6:$Z$6,0))</f>
        <v>0.35</v>
      </c>
      <c r="DG1101" s="189">
        <v>0.375</v>
      </c>
      <c r="DH1101" s="190">
        <f t="shared" si="3278"/>
        <v>16.361757253991478</v>
      </c>
      <c r="DI1101" s="190">
        <v>16.134662244889487</v>
      </c>
      <c r="DJ1101" s="177"/>
      <c r="DK1101" s="189">
        <f>VLOOKUP($H1101,RoR!$E:$F,2,FALSE)</f>
        <v>5.5558333333333321E-2</v>
      </c>
      <c r="DL1101" s="191">
        <f>HLOOKUP($H1101,'GDP-PI'!$D$8:$CQ$11,3,FALSE)</f>
        <v>2.691120634145272E-2</v>
      </c>
      <c r="DM1101" s="189">
        <f>VLOOKUP(H1101,'HW Dx Data'!$E:$F,2,FALSE)</f>
        <v>498.0223154772637</v>
      </c>
      <c r="DN1101" s="183">
        <f>VLOOKUP(H1101,'ECI - Input Price'!$G$17:$H$37,2,FALSE)</f>
        <v>105.22500000000001</v>
      </c>
      <c r="DO1101" s="177">
        <f t="shared" ref="DO1101" si="3306">LN(DN1101/DN1100)</f>
        <v>3.0638025400780679E-2</v>
      </c>
      <c r="DP1101" s="183">
        <f>HLOOKUP(H1101,'GDP-PI'!$8:$9,2,FALSE)</f>
        <v>92.498000000000005</v>
      </c>
      <c r="DQ1101" s="177">
        <f t="shared" ref="DQ1101" si="3307">LN(DP1101/DP1100)</f>
        <v>2.6555467950038037E-2</v>
      </c>
    </row>
    <row r="1102" spans="1:121" s="167" customFormat="1" ht="21" x14ac:dyDescent="0.35">
      <c r="A1102" s="167" t="s">
        <v>106</v>
      </c>
      <c r="B1102" s="167" t="s">
        <v>106</v>
      </c>
      <c r="C1102" s="167">
        <v>4057100</v>
      </c>
      <c r="D1102" s="168" t="s">
        <v>150</v>
      </c>
      <c r="E1102" s="168"/>
      <c r="F1102" s="198"/>
      <c r="G1102" s="167" t="s">
        <v>14</v>
      </c>
      <c r="H1102" s="169">
        <v>2008</v>
      </c>
      <c r="I1102" s="170"/>
      <c r="J1102" s="166">
        <f>IFERROR(INDEX('Labor Expenditures'!$F$7:$X$91,MATCH($C1102,'Labor Expenditures'!$D$7:$D$91,0),MATCH($G1102,'Labor Expenditures'!$F$5:$X$5,0)),"NA")</f>
        <v>7048.922127048053</v>
      </c>
      <c r="K1102" s="166">
        <f t="shared" si="3284"/>
        <v>65.132105586029596</v>
      </c>
      <c r="L1102" s="172">
        <f t="shared" si="3291"/>
        <v>2.1684592123644028E-2</v>
      </c>
      <c r="M1102" s="172">
        <f t="shared" si="3295"/>
        <v>6.1416218319089094E-5</v>
      </c>
      <c r="N1102" s="196"/>
      <c r="O1102" s="172"/>
      <c r="P1102" s="166">
        <f>IFERROR(INDEX('Non-Labor Expenditures'!$F$7:$AB$91,MATCH($C1102,'Non-Labor Expenditures'!$D$7:$D$91,0),MATCH($G1102,'Non-Labor Expenditures'!$F$5:$AB$5,0)),"NA")</f>
        <v>10208.1557970137</v>
      </c>
      <c r="Q1102" s="166">
        <f t="shared" si="3285"/>
        <v>108.29325932502016</v>
      </c>
      <c r="R1102" s="172">
        <f t="shared" si="3296"/>
        <v>3.0883737047021839E-2</v>
      </c>
      <c r="S1102" s="172">
        <f t="shared" si="3301"/>
        <v>8.7470510220991353E-5</v>
      </c>
      <c r="T1102" s="172"/>
      <c r="U1102" s="172"/>
      <c r="V1102" s="166">
        <f t="shared" si="3266"/>
        <v>8182.3338111217381</v>
      </c>
      <c r="W1102" s="170"/>
      <c r="X1102" s="174">
        <v>453.80461474321373</v>
      </c>
      <c r="Y1102" s="175">
        <v>3.0158470268645463E-2</v>
      </c>
      <c r="Z1102" s="175">
        <f t="shared" si="3302"/>
        <v>8.5416372308395888E-5</v>
      </c>
      <c r="AA1102" s="175"/>
      <c r="AB1102" s="175"/>
      <c r="AC1102" s="170">
        <f t="shared" si="3252"/>
        <v>25439.41173518349</v>
      </c>
      <c r="AD1102" s="175">
        <f t="shared" si="3297"/>
        <v>8.1377372278322299E-2</v>
      </c>
      <c r="AE1102" s="170"/>
      <c r="AF1102" s="170"/>
      <c r="AG1102" s="121">
        <f t="shared" si="3298"/>
        <v>228.89725240629741</v>
      </c>
      <c r="AH1102" s="119">
        <f>+AZ1102/$BB$46</f>
        <v>3.1210184889876912E-3</v>
      </c>
      <c r="AI1102" s="119"/>
      <c r="AJ1102" s="176">
        <f t="shared" si="3303"/>
        <v>0.71439255683853653</v>
      </c>
      <c r="AK1102" s="176">
        <f t="shared" si="3304"/>
        <v>0</v>
      </c>
      <c r="AL1102" s="120">
        <f t="shared" si="3286"/>
        <v>0.27708667953587846</v>
      </c>
      <c r="AM1102" s="120">
        <f t="shared" si="3287"/>
        <v>0.40127326462095453</v>
      </c>
      <c r="AN1102" s="120">
        <f t="shared" si="3288"/>
        <v>0.32164005584316707</v>
      </c>
      <c r="AO1102" s="120">
        <f t="shared" si="3292"/>
        <v>2.8068502469640037E-2</v>
      </c>
      <c r="AP1102" s="173">
        <f t="shared" ref="AP1102:AP1115" si="3308">+AP1101*EXP(AO1102)</f>
        <v>102.42616300368856</v>
      </c>
      <c r="AQ1102" s="175">
        <f t="shared" ref="AQ1102:AQ1115" si="3309">LN(AP1102/AP1101)</f>
        <v>2.8068502469640131E-2</v>
      </c>
      <c r="AR1102" s="177">
        <f>+AC1102/$AE$46</f>
        <v>2.8322514884715432E-3</v>
      </c>
      <c r="AS1102" s="177">
        <f t="shared" si="3305"/>
        <v>7.9497057898805448E-5</v>
      </c>
      <c r="AT1102" s="177"/>
      <c r="AU1102" s="177"/>
      <c r="AV1102" s="177"/>
      <c r="AW1102" s="190"/>
      <c r="AX1102" s="120"/>
      <c r="AY1102" s="120"/>
      <c r="AZ1102" s="118">
        <f>IFERROR(INDEX('Total Customers'!$F$7:$AB$91,MATCH($C1102,'Total Customers'!$D$7:$D$91,0),MATCH($G1102,'Total Customers'!$F$5:$AB$5,0)),"NA")</f>
        <v>111139</v>
      </c>
      <c r="BA1102" s="119">
        <f t="shared" si="3267"/>
        <v>-5.1961688684461849E-3</v>
      </c>
      <c r="BB1102" s="119"/>
      <c r="BC1102" s="121"/>
      <c r="BD1102" s="119"/>
      <c r="BE1102" s="119"/>
      <c r="BF1102" s="119"/>
      <c r="BG1102" s="173"/>
      <c r="BH1102" s="173"/>
      <c r="BI1102" s="173"/>
      <c r="BJ1102" s="173"/>
      <c r="BK1102" s="173"/>
      <c r="BL1102" s="173"/>
      <c r="BM1102" s="173"/>
      <c r="BN1102" s="173"/>
      <c r="BO1102" s="173"/>
      <c r="BP1102" s="173"/>
      <c r="BQ1102" s="118"/>
      <c r="BR1102" s="118"/>
      <c r="BS1102" s="118">
        <f>INDEX('Dist. Plant Gas Additions'!$F$7:$AE$91,MATCH($C1102,'Dist. Plant Gas Additions'!$D$7:$D$91,0),MATCH(Calculation!$G1102,'Dist. Plant Gas Additions'!$F$5:$AE$5,0))</f>
        <v>8705</v>
      </c>
      <c r="BT1102" s="118">
        <f>INDEX('Gen. Plant Additions'!$F$7:$AE$91,MATCH($C1102,'Gen. Plant Additions'!$D$7:$D$91,0),MATCH(Calculation!$G1102,'Gen. Plant Additions'!$F$5:$AE$5,0))</f>
        <v>630</v>
      </c>
      <c r="BU1102" s="118"/>
      <c r="BV1102" s="118"/>
      <c r="BW1102" s="118">
        <f>INDEX('Dist Plant Depreciation'!$E$7:$AD$94,MATCH($C1102,'Dist Plant Depreciation'!$D$7:$D$94,0),MATCH(Calculation!$G1102,'Dist Plant Depreciation'!$E$5:$AD$5,0))</f>
        <v>65386</v>
      </c>
      <c r="BX1102" s="118">
        <f>INDEX('Gen. Plant Depreciation'!$E$7:$AD$94,MATCH($C1102,'Gen. Plant Depreciation'!$D$7:$D$94,0),MATCH(Calculation!$G1102,'Gen. Plant Depreciation'!$E$5:$AD$5,0))</f>
        <v>5141</v>
      </c>
      <c r="BY1102" s="118"/>
      <c r="BZ1102" s="118"/>
      <c r="CA1102" s="118"/>
      <c r="CB1102" s="118"/>
      <c r="CC1102" s="118"/>
      <c r="CD1102" s="183"/>
      <c r="CE1102" s="118">
        <f>INDEX('Gross Dx Plant'!$E$7:$AD$91,MATCH($C1102,'Gross Dx Plant'!$D$7:$D$91,0),MATCH(Calculation!$G1102,'Gross Dx Plant'!$E$5:$AD$5,0))</f>
        <v>154288</v>
      </c>
      <c r="CF1102" s="118">
        <f>INDEX('Gross Gen Plant'!$E$7:$AD$91,MATCH($C1102,'Gross Gen Plant'!$D$7:$D$91,0),MATCH(Calculation!$G1102,'Gross Gen Plant'!$E$5:$AD$5,0))</f>
        <v>8771</v>
      </c>
      <c r="CG1102" s="118">
        <f t="shared" si="3224"/>
        <v>92532</v>
      </c>
      <c r="CH1102" s="118"/>
      <c r="CI1102" s="121">
        <v>2008</v>
      </c>
      <c r="CJ1102" s="118"/>
      <c r="CK1102" s="118"/>
      <c r="CL1102" s="118"/>
      <c r="CM1102" s="183"/>
      <c r="CN1102" s="118">
        <f t="shared" si="3268"/>
        <v>9335</v>
      </c>
      <c r="CO1102" s="118">
        <f t="shared" si="3269"/>
        <v>16.380606949954142</v>
      </c>
      <c r="CP1102" s="186">
        <v>0.94252873563218387</v>
      </c>
      <c r="CQ1102" s="118">
        <f>+CQ1092*CP1102+CO1093*CP1101+CO1094*CP1100+CO1095*CP1099+CO1096*CP1098+CO1097*CP1097+CO1098*CP1096+CO1099*CP1095+CO1100*CP1094+CO1101*CP1093+CO1102</f>
        <v>453.80461474321373</v>
      </c>
      <c r="CR1102" s="119">
        <f t="shared" si="3270"/>
        <v>3.0158470268645463E-2</v>
      </c>
      <c r="CS1102" s="119"/>
      <c r="CT1102" s="177">
        <f t="shared" si="3271"/>
        <v>6.5835100100174069E-3</v>
      </c>
      <c r="CU1102" s="177">
        <f t="shared" si="3279"/>
        <v>6.3836009503214037E-3</v>
      </c>
      <c r="CV1102" s="119">
        <f>VLOOKUP($H1102,RoR!$E:$F,2,FALSE)</f>
        <v>5.6316666666666668E-2</v>
      </c>
      <c r="CW1102" s="177">
        <v>1.9092304698479889E-2</v>
      </c>
      <c r="CX1102" s="177">
        <f t="shared" si="3277"/>
        <v>3.7224361968186778E-2</v>
      </c>
      <c r="CY1102" s="177">
        <f t="shared" si="3280"/>
        <v>2.451834065821222E-2</v>
      </c>
      <c r="CZ1102" s="177">
        <f t="shared" si="3281"/>
        <v>6.9030581091053131E-2</v>
      </c>
      <c r="DA1102" s="187">
        <f t="shared" si="3272"/>
        <v>0.86875000000000002</v>
      </c>
      <c r="DB1102" s="188">
        <f t="shared" si="3273"/>
        <v>0.91060168006009956</v>
      </c>
      <c r="DC1102" s="188">
        <f t="shared" si="3274"/>
        <v>0.53108168097070152</v>
      </c>
      <c r="DD1102" s="188">
        <f t="shared" si="3275"/>
        <v>0.88825329850328805</v>
      </c>
      <c r="DE1102" s="188">
        <f t="shared" si="3276"/>
        <v>0.4295627335323573</v>
      </c>
      <c r="DF1102" s="189">
        <f>INDEX('State Tax Lookup'!$D$7:$Z$91,MATCH(Calculation!$C1102,'State Tax Lookup'!$B$7:$B$91,0),MATCH($H1102,'State Tax Lookup'!$D$6:$Z$6,0))</f>
        <v>0.35</v>
      </c>
      <c r="DG1102" s="189">
        <v>0.375</v>
      </c>
      <c r="DH1102" s="190">
        <f t="shared" si="3278"/>
        <v>18.58257706424903</v>
      </c>
      <c r="DI1102" s="190">
        <v>18.325262595304434</v>
      </c>
      <c r="DJ1102" s="177"/>
      <c r="DK1102" s="189">
        <f>VLOOKUP($H1102,RoR!$E:$F,2,FALSE)</f>
        <v>5.6316666666666668E-2</v>
      </c>
      <c r="DL1102" s="191">
        <f>HLOOKUP($H1102,'GDP-PI'!$D$8:$CQ$11,3,FALSE)</f>
        <v>1.9092304698479889E-2</v>
      </c>
      <c r="DM1102" s="189">
        <f>VLOOKUP(H1102,'HW Dx Data'!$E:$F,2,FALSE)</f>
        <v>569.88120333515076</v>
      </c>
      <c r="DN1102" s="183">
        <f>VLOOKUP(H1102,'ECI - Input Price'!$G$17:$H$37,2,FALSE)</f>
        <v>108.22499999999999</v>
      </c>
      <c r="DO1102" s="177">
        <f t="shared" ref="DO1102" si="3310">LN(DN1102/DN1101)</f>
        <v>2.8111478671409691E-2</v>
      </c>
      <c r="DP1102" s="183">
        <f>HLOOKUP(H1102,'GDP-PI'!$8:$9,2,FALSE)</f>
        <v>94.263999999999996</v>
      </c>
      <c r="DQ1102" s="177">
        <f t="shared" ref="DQ1102" si="3311">LN(DP1102/DP1101)</f>
        <v>1.8912333748032254E-2</v>
      </c>
    </row>
    <row r="1103" spans="1:121" s="167" customFormat="1" ht="21" x14ac:dyDescent="0.35">
      <c r="A1103" s="167" t="s">
        <v>106</v>
      </c>
      <c r="B1103" s="167" t="s">
        <v>106</v>
      </c>
      <c r="C1103" s="167">
        <v>4057100</v>
      </c>
      <c r="D1103" s="168" t="s">
        <v>150</v>
      </c>
      <c r="E1103" s="168"/>
      <c r="F1103" s="198"/>
      <c r="G1103" s="167" t="s">
        <v>15</v>
      </c>
      <c r="H1103" s="169">
        <v>2009</v>
      </c>
      <c r="I1103" s="170"/>
      <c r="J1103" s="166">
        <f>IFERROR(INDEX('Labor Expenditures'!$F$7:$X$91,MATCH($C1103,'Labor Expenditures'!$D$7:$D$91,0),MATCH($G1103,'Labor Expenditures'!$F$5:$X$5,0)),"NA")</f>
        <v>7588.0488369707928</v>
      </c>
      <c r="K1103" s="166">
        <f t="shared" si="3284"/>
        <v>69.123651441318998</v>
      </c>
      <c r="L1103" s="172">
        <f t="shared" si="3291"/>
        <v>5.9479349656834248E-2</v>
      </c>
      <c r="M1103" s="172">
        <f t="shared" si="3295"/>
        <v>1.692862399011952E-4</v>
      </c>
      <c r="N1103" s="196"/>
      <c r="O1103" s="172"/>
      <c r="P1103" s="166">
        <f>IFERROR(INDEX('Non-Labor Expenditures'!$F$7:$AB$91,MATCH($C1103,'Non-Labor Expenditures'!$D$7:$D$91,0),MATCH($G1103,'Non-Labor Expenditures'!$F$5:$AB$5,0)),"NA")</f>
        <v>10988.911967961423</v>
      </c>
      <c r="Q1103" s="166">
        <f t="shared" si="3285"/>
        <v>115.67397517828002</v>
      </c>
      <c r="R1103" s="172">
        <f t="shared" si="3296"/>
        <v>6.5932763958261129E-2</v>
      </c>
      <c r="S1103" s="172">
        <f t="shared" si="3301"/>
        <v>1.8765352615963916E-4</v>
      </c>
      <c r="T1103" s="172"/>
      <c r="U1103" s="172"/>
      <c r="V1103" s="166">
        <f t="shared" si="3266"/>
        <v>8088.1490808317621</v>
      </c>
      <c r="W1103" s="170"/>
      <c r="X1103" s="174">
        <v>467.36720576694449</v>
      </c>
      <c r="Y1103" s="175">
        <v>2.9448515136514128E-2</v>
      </c>
      <c r="Z1103" s="175">
        <f t="shared" si="3302"/>
        <v>8.3814440253569597E-5</v>
      </c>
      <c r="AA1103" s="175"/>
      <c r="AB1103" s="175"/>
      <c r="AC1103" s="170">
        <f t="shared" si="3252"/>
        <v>26665.109885763977</v>
      </c>
      <c r="AD1103" s="175">
        <f t="shared" si="3297"/>
        <v>4.7056350430219149E-2</v>
      </c>
      <c r="AE1103" s="170"/>
      <c r="AF1103" s="170"/>
      <c r="AG1103" s="121">
        <f t="shared" si="3298"/>
        <v>240.89246732642513</v>
      </c>
      <c r="AH1103" s="119">
        <f>+AZ1103/$BB$47</f>
        <v>3.1040087262695299E-3</v>
      </c>
      <c r="AI1103" s="119"/>
      <c r="AJ1103" s="176">
        <f t="shared" si="3303"/>
        <v>0.74773232067382123</v>
      </c>
      <c r="AK1103" s="176">
        <f t="shared" si="3304"/>
        <v>0</v>
      </c>
      <c r="AL1103" s="120">
        <f t="shared" si="3286"/>
        <v>0.28456844428838884</v>
      </c>
      <c r="AM1103" s="120">
        <f t="shared" si="3287"/>
        <v>0.41210825738348844</v>
      </c>
      <c r="AN1103" s="120">
        <f t="shared" si="3288"/>
        <v>0.30332329832812277</v>
      </c>
      <c r="AO1103" s="120">
        <f t="shared" si="3292"/>
        <v>5.2719808094953052E-2</v>
      </c>
      <c r="AP1103" s="173">
        <f t="shared" si="3308"/>
        <v>107.97092588884234</v>
      </c>
      <c r="AQ1103" s="175">
        <f t="shared" si="3309"/>
        <v>5.2719808094953011E-2</v>
      </c>
      <c r="AR1103" s="177">
        <f>+AC1103/$AE$47</f>
        <v>2.8461346816650007E-3</v>
      </c>
      <c r="AS1103" s="177">
        <f t="shared" si="3305"/>
        <v>1.5004767422976902E-4</v>
      </c>
      <c r="AT1103" s="177"/>
      <c r="AU1103" s="177"/>
      <c r="AV1103" s="177"/>
      <c r="AW1103" s="190"/>
      <c r="AX1103" s="120"/>
      <c r="AY1103" s="120"/>
      <c r="AZ1103" s="118">
        <f>IFERROR(INDEX('Total Customers'!$F$7:$AB$91,MATCH($C1103,'Total Customers'!$D$7:$D$91,0),MATCH($G1103,'Total Customers'!$F$5:$AB$5,0)),"NA")</f>
        <v>110693</v>
      </c>
      <c r="BA1103" s="119">
        <f t="shared" si="3267"/>
        <v>-4.021066401121101E-3</v>
      </c>
      <c r="BB1103" s="119"/>
      <c r="BC1103" s="121"/>
      <c r="BD1103" s="119"/>
      <c r="BE1103" s="119"/>
      <c r="BF1103" s="119"/>
      <c r="BG1103" s="173"/>
      <c r="BH1103" s="173"/>
      <c r="BI1103" s="173"/>
      <c r="BJ1103" s="173"/>
      <c r="BK1103" s="173"/>
      <c r="BL1103" s="173"/>
      <c r="BM1103" s="173"/>
      <c r="BN1103" s="173"/>
      <c r="BO1103" s="173"/>
      <c r="BP1103" s="173"/>
      <c r="BQ1103" s="118"/>
      <c r="BR1103" s="118"/>
      <c r="BS1103" s="118">
        <f>INDEX('Dist. Plant Gas Additions'!$F$7:$AE$91,MATCH($C1103,'Dist. Plant Gas Additions'!$D$7:$D$91,0),MATCH(Calculation!$G1103,'Dist. Plant Gas Additions'!$F$5:$AE$5,0))</f>
        <v>7915</v>
      </c>
      <c r="BT1103" s="118">
        <f>INDEX('Gen. Plant Additions'!$F$7:$AE$91,MATCH($C1103,'Gen. Plant Additions'!$D$7:$D$91,0),MATCH(Calculation!$G1103,'Gen. Plant Additions'!$F$5:$AE$5,0))</f>
        <v>1254</v>
      </c>
      <c r="BU1103" s="118"/>
      <c r="BV1103" s="118"/>
      <c r="BW1103" s="118">
        <f>INDEX('Dist Plant Depreciation'!$E$7:$AD$94,MATCH($C1103,'Dist Plant Depreciation'!$D$7:$D$94,0),MATCH(Calculation!$G1103,'Dist Plant Depreciation'!$E$5:$AD$5,0))</f>
        <v>68167</v>
      </c>
      <c r="BX1103" s="118">
        <f>INDEX('Gen. Plant Depreciation'!$E$7:$AD$94,MATCH($C1103,'Gen. Plant Depreciation'!$D$7:$D$94,0),MATCH(Calculation!$G1103,'Gen. Plant Depreciation'!$E$5:$AD$5,0))</f>
        <v>5436</v>
      </c>
      <c r="BY1103" s="118"/>
      <c r="BZ1103" s="118"/>
      <c r="CA1103" s="118"/>
      <c r="CB1103" s="118"/>
      <c r="CC1103" s="118"/>
      <c r="CD1103" s="183"/>
      <c r="CE1103" s="118">
        <f>INDEX('Gross Dx Plant'!$E$7:$AD$91,MATCH($C1103,'Gross Dx Plant'!$D$7:$D$91,0),MATCH(Calculation!$G1103,'Gross Dx Plant'!$E$5:$AD$5,0))</f>
        <v>162203</v>
      </c>
      <c r="CF1103" s="118">
        <f>INDEX('Gross Gen Plant'!$E$7:$AD$91,MATCH($C1103,'Gross Gen Plant'!$D$7:$D$91,0),MATCH(Calculation!$G1103,'Gross Gen Plant'!$E$5:$AD$5,0))</f>
        <v>10025</v>
      </c>
      <c r="CG1103" s="118">
        <f t="shared" si="3224"/>
        <v>98625</v>
      </c>
      <c r="CH1103" s="118"/>
      <c r="CI1103" s="121">
        <v>2009</v>
      </c>
      <c r="CJ1103" s="118"/>
      <c r="CK1103" s="118"/>
      <c r="CL1103" s="118"/>
      <c r="CM1103" s="183"/>
      <c r="CN1103" s="118">
        <f t="shared" si="3268"/>
        <v>9169</v>
      </c>
      <c r="CO1103" s="118">
        <f t="shared" si="3269"/>
        <v>16.642446368281984</v>
      </c>
      <c r="CP1103" s="186">
        <v>0.93567251461988299</v>
      </c>
      <c r="CQ1103" s="118">
        <f>+CQ1092*CP1103+CO1093*CP1102+CO1094*CP1101+CO1095*CP1100+CO1096*CP1099+CO1097*CP1098+CO1098*CP1097+CO1099*CP1096+CO1100*CP1095+CO1101*CP1094+CO1102*CP1093+CO1103</f>
        <v>467.36720576694449</v>
      </c>
      <c r="CR1103" s="119">
        <f t="shared" si="3270"/>
        <v>2.9448515136514128E-2</v>
      </c>
      <c r="CS1103" s="119"/>
      <c r="CT1103" s="177">
        <f t="shared" si="3271"/>
        <v>6.7867431147520738E-3</v>
      </c>
      <c r="CU1103" s="177">
        <f t="shared" si="3279"/>
        <v>6.5819040461273801E-3</v>
      </c>
      <c r="CV1103" s="119">
        <f>VLOOKUP($H1103,RoR!$E:$F,2,FALSE)</f>
        <v>5.3133333333333324E-2</v>
      </c>
      <c r="CW1103" s="177">
        <v>7.7972502758210105E-3</v>
      </c>
      <c r="CX1103" s="177">
        <f t="shared" si="3277"/>
        <v>4.5336083057512314E-2</v>
      </c>
      <c r="CY1103" s="177">
        <f t="shared" si="3280"/>
        <v>2.4320037562406246E-2</v>
      </c>
      <c r="CZ1103" s="177">
        <f t="shared" si="3281"/>
        <v>6.3720160300892073E-2</v>
      </c>
      <c r="DA1103" s="187">
        <f t="shared" si="3272"/>
        <v>0.86875000000000002</v>
      </c>
      <c r="DB1103" s="188">
        <f t="shared" si="3273"/>
        <v>0.96515780330083989</v>
      </c>
      <c r="DC1103" s="188">
        <f t="shared" si="3274"/>
        <v>0.50448557089084056</v>
      </c>
      <c r="DD1103" s="188">
        <f t="shared" si="3275"/>
        <v>0.87391435735465484</v>
      </c>
      <c r="DE1103" s="188">
        <f t="shared" si="3276"/>
        <v>0.42551605393279146</v>
      </c>
      <c r="DF1103" s="189">
        <f>INDEX('State Tax Lookup'!$D$7:$Z$91,MATCH(Calculation!$C1103,'State Tax Lookup'!$B$7:$B$91,0),MATCH($H1103,'State Tax Lookup'!$D$6:$Z$6,0))</f>
        <v>0.35</v>
      </c>
      <c r="DG1103" s="189">
        <v>0.375</v>
      </c>
      <c r="DH1103" s="190">
        <f t="shared" si="3278"/>
        <v>17.822976713025401</v>
      </c>
      <c r="DI1103" s="190">
        <v>17.511395797294206</v>
      </c>
      <c r="DJ1103" s="177"/>
      <c r="DK1103" s="189">
        <f>VLOOKUP($H1103,RoR!$E:$F,2,FALSE)</f>
        <v>5.3133333333333324E-2</v>
      </c>
      <c r="DL1103" s="191">
        <f>HLOOKUP($H1103,'GDP-PI'!$D$8:$CQ$11,3,FALSE)</f>
        <v>7.7972502758210105E-3</v>
      </c>
      <c r="DM1103" s="189">
        <f>VLOOKUP(H1103,'HW Dx Data'!$E:$F,2,FALSE)</f>
        <v>550.94063679692806</v>
      </c>
      <c r="DN1103" s="183">
        <f>VLOOKUP(H1103,'ECI - Input Price'!$G$17:$H$37,2,FALSE)</f>
        <v>109.77499999999999</v>
      </c>
      <c r="DO1103" s="177">
        <f t="shared" ref="DO1103" si="3312">LN(DN1103/DN1102)</f>
        <v>1.4220423119736749E-2</v>
      </c>
      <c r="DP1103" s="183">
        <f>HLOOKUP(H1103,'GDP-PI'!$8:$9,2,FALSE)</f>
        <v>94.998999999999995</v>
      </c>
      <c r="DQ1103" s="177">
        <f t="shared" ref="DQ1103" si="3313">LN(DP1103/DP1102)</f>
        <v>7.7670088183096342E-3</v>
      </c>
    </row>
    <row r="1104" spans="1:121" s="167" customFormat="1" ht="21" x14ac:dyDescent="0.35">
      <c r="A1104" s="167" t="s">
        <v>106</v>
      </c>
      <c r="B1104" s="167" t="s">
        <v>106</v>
      </c>
      <c r="C1104" s="167">
        <v>4057100</v>
      </c>
      <c r="D1104" s="168" t="s">
        <v>150</v>
      </c>
      <c r="E1104" s="168"/>
      <c r="F1104" s="198"/>
      <c r="G1104" s="167" t="s">
        <v>16</v>
      </c>
      <c r="H1104" s="169">
        <v>2010</v>
      </c>
      <c r="I1104" s="170"/>
      <c r="J1104" s="166">
        <f>IFERROR(INDEX('Labor Expenditures'!$F$7:$X$91,MATCH($C1104,'Labor Expenditures'!$D$7:$D$91,0),MATCH($G1104,'Labor Expenditures'!$F$5:$X$5,0)),"NA")</f>
        <v>8900.7405034214189</v>
      </c>
      <c r="K1104" s="166">
        <f t="shared" si="3284"/>
        <v>79.559691650694248</v>
      </c>
      <c r="L1104" s="172">
        <f t="shared" si="3291"/>
        <v>0.1406106276298324</v>
      </c>
      <c r="M1104" s="172">
        <f t="shared" si="3295"/>
        <v>4.3917187971232396E-4</v>
      </c>
      <c r="N1104" s="196"/>
      <c r="O1104" s="172"/>
      <c r="P1104" s="166">
        <f>IFERROR(INDEX('Non-Labor Expenditures'!$F$7:$AB$91,MATCH($C1104,'Non-Labor Expenditures'!$D$7:$D$91,0),MATCH($G1104,'Non-Labor Expenditures'!$F$5:$AB$5,0)),"NA")</f>
        <v>12889.934677965635</v>
      </c>
      <c r="Q1104" s="166">
        <f t="shared" si="3285"/>
        <v>134.11787322691563</v>
      </c>
      <c r="R1104" s="172">
        <f t="shared" si="3296"/>
        <v>0.14794338896992043</v>
      </c>
      <c r="S1104" s="172">
        <f t="shared" si="3301"/>
        <v>4.6207443434486642E-4</v>
      </c>
      <c r="T1104" s="172"/>
      <c r="U1104" s="172"/>
      <c r="V1104" s="166">
        <f t="shared" si="3266"/>
        <v>8540.3735599860229</v>
      </c>
      <c r="W1104" s="170"/>
      <c r="X1104" s="174">
        <v>476.88846995865737</v>
      </c>
      <c r="Y1104" s="175">
        <v>2.0167391405948077E-2</v>
      </c>
      <c r="Z1104" s="175">
        <f t="shared" si="3302"/>
        <v>6.2989201754798689E-5</v>
      </c>
      <c r="AA1104" s="175"/>
      <c r="AB1104" s="175"/>
      <c r="AC1104" s="170">
        <f t="shared" si="3252"/>
        <v>30331.048741373077</v>
      </c>
      <c r="AD1104" s="175">
        <f t="shared" si="3297"/>
        <v>0.12881593377607714</v>
      </c>
      <c r="AE1104" s="170"/>
      <c r="AF1104" s="170"/>
      <c r="AG1104" s="121">
        <f t="shared" si="3298"/>
        <v>274.11206974454217</v>
      </c>
      <c r="AH1104" s="119">
        <f>+AZ1104/$BB$48</f>
        <v>3.0857774133246168E-3</v>
      </c>
      <c r="AI1104" s="119"/>
      <c r="AJ1104" s="176">
        <f t="shared" si="3303"/>
        <v>0.84584883353737028</v>
      </c>
      <c r="AK1104" s="176">
        <f t="shared" si="3304"/>
        <v>0</v>
      </c>
      <c r="AL1104" s="120">
        <f t="shared" si="3286"/>
        <v>0.29345310738564606</v>
      </c>
      <c r="AM1104" s="120">
        <f t="shared" si="3287"/>
        <v>0.42497490897448315</v>
      </c>
      <c r="AN1104" s="120">
        <f t="shared" si="3288"/>
        <v>0.28157198363987079</v>
      </c>
      <c r="AO1104" s="120">
        <f t="shared" si="3292"/>
        <v>0.10845635286403327</v>
      </c>
      <c r="AP1104" s="173">
        <f t="shared" si="3308"/>
        <v>120.33967137850473</v>
      </c>
      <c r="AQ1104" s="175">
        <f t="shared" si="3309"/>
        <v>0.1084563528640333</v>
      </c>
      <c r="AR1104" s="177">
        <f>+AC1104/$AE$48</f>
        <v>3.1233192477347839E-3</v>
      </c>
      <c r="AS1104" s="177">
        <f t="shared" si="3305"/>
        <v>3.3874381443935072E-4</v>
      </c>
      <c r="AT1104" s="177"/>
      <c r="AU1104" s="177"/>
      <c r="AV1104" s="177"/>
      <c r="AW1104" s="190"/>
      <c r="AX1104" s="120"/>
      <c r="AY1104" s="120"/>
      <c r="AZ1104" s="118">
        <f>IFERROR(INDEX('Total Customers'!$F$7:$AB$91,MATCH($C1104,'Total Customers'!$D$7:$D$91,0),MATCH($G1104,'Total Customers'!$F$5:$AB$5,0)),"NA")</f>
        <v>110652</v>
      </c>
      <c r="BA1104" s="119">
        <f t="shared" si="3267"/>
        <v>-3.7046240456219853E-4</v>
      </c>
      <c r="BB1104" s="119"/>
      <c r="BC1104" s="121"/>
      <c r="BD1104" s="119"/>
      <c r="BE1104" s="119"/>
      <c r="BF1104" s="119"/>
      <c r="BG1104" s="173"/>
      <c r="BH1104" s="173"/>
      <c r="BI1104" s="173"/>
      <c r="BJ1104" s="173"/>
      <c r="BK1104" s="173"/>
      <c r="BL1104" s="173"/>
      <c r="BM1104" s="173"/>
      <c r="BN1104" s="173"/>
      <c r="BO1104" s="173"/>
      <c r="BP1104" s="173"/>
      <c r="BQ1104" s="118"/>
      <c r="BR1104" s="118"/>
      <c r="BS1104" s="118">
        <f>INDEX('Dist. Plant Gas Additions'!$F$7:$AE$91,MATCH($C1104,'Dist. Plant Gas Additions'!$D$7:$D$91,0),MATCH(Calculation!$G1104,'Dist. Plant Gas Additions'!$F$5:$AE$5,0))</f>
        <v>6739</v>
      </c>
      <c r="BT1104" s="118">
        <f>INDEX('Gen. Plant Additions'!$F$7:$AE$91,MATCH($C1104,'Gen. Plant Additions'!$D$7:$D$91,0),MATCH(Calculation!$G1104,'Gen. Plant Additions'!$F$5:$AE$5,0))</f>
        <v>539</v>
      </c>
      <c r="BU1104" s="118"/>
      <c r="BV1104" s="118"/>
      <c r="BW1104" s="118">
        <f>INDEX('Dist Plant Depreciation'!$E$7:$AD$94,MATCH($C1104,'Dist Plant Depreciation'!$D$7:$D$94,0),MATCH(Calculation!$G1104,'Dist Plant Depreciation'!$E$5:$AD$5,0))</f>
        <v>71320</v>
      </c>
      <c r="BX1104" s="118">
        <f>INDEX('Gen. Plant Depreciation'!$E$7:$AD$94,MATCH($C1104,'Gen. Plant Depreciation'!$D$7:$D$94,0),MATCH(Calculation!$G1104,'Gen. Plant Depreciation'!$E$5:$AD$5,0))</f>
        <v>5988</v>
      </c>
      <c r="BY1104" s="118"/>
      <c r="BZ1104" s="118"/>
      <c r="CA1104" s="118"/>
      <c r="CB1104" s="118"/>
      <c r="CC1104" s="118"/>
      <c r="CD1104" s="183"/>
      <c r="CE1104" s="118">
        <f>INDEX('Gross Dx Plant'!$E$7:$AD$91,MATCH($C1104,'Gross Dx Plant'!$D$7:$D$91,0),MATCH(Calculation!$G1104,'Gross Dx Plant'!$E$5:$AD$5,0))</f>
        <v>167846</v>
      </c>
      <c r="CF1104" s="118">
        <f>INDEX('Gross Gen Plant'!$E$7:$AD$91,MATCH($C1104,'Gross Gen Plant'!$D$7:$D$91,0),MATCH(Calculation!$G1104,'Gross Gen Plant'!$E$5:$AD$5,0))</f>
        <v>10562</v>
      </c>
      <c r="CG1104" s="118">
        <f t="shared" si="3224"/>
        <v>101100</v>
      </c>
      <c r="CH1104" s="118"/>
      <c r="CI1104" s="121">
        <v>2010</v>
      </c>
      <c r="CJ1104" s="118"/>
      <c r="CK1104" s="118"/>
      <c r="CL1104" s="118"/>
      <c r="CM1104" s="183"/>
      <c r="CN1104" s="118">
        <f t="shared" si="3268"/>
        <v>7278</v>
      </c>
      <c r="CO1104" s="118">
        <f t="shared" si="3269"/>
        <v>12.791097140391921</v>
      </c>
      <c r="CP1104" s="186">
        <v>0.9285714285714286</v>
      </c>
      <c r="CQ1104" s="118">
        <f>+CQ1092*CP1104+CO1093*CP1103+CO1094*CP1102+CO1095*CP1101+CO1096*CP1100+CO1097*CP1099+CO1098*CP1098+CO1099*CP1097+CO1100*CP1096+CO1101*CP1095+CO1102*CP1094+CO1103*CP1093+CO1104</f>
        <v>476.88846995865737</v>
      </c>
      <c r="CR1104" s="119">
        <f t="shared" si="3270"/>
        <v>2.0167391405948077E-2</v>
      </c>
      <c r="CS1104" s="119"/>
      <c r="CT1104" s="177">
        <f t="shared" si="3271"/>
        <v>6.9962823842406466E-3</v>
      </c>
      <c r="CU1104" s="177">
        <f t="shared" si="3279"/>
        <v>6.7888451696700427E-3</v>
      </c>
      <c r="CV1104" s="119">
        <f>VLOOKUP($H1104,RoR!$E:$F,2,FALSE)</f>
        <v>4.9433333333333322E-2</v>
      </c>
      <c r="CW1104" s="177">
        <v>1.1684333519300205E-2</v>
      </c>
      <c r="CX1104" s="177">
        <f t="shared" si="3277"/>
        <v>3.7748999814033117E-2</v>
      </c>
      <c r="CY1104" s="177">
        <f t="shared" si="3280"/>
        <v>2.4113096438863581E-2</v>
      </c>
      <c r="CZ1104" s="177">
        <f t="shared" si="3281"/>
        <v>4.7937530248493419E-2</v>
      </c>
      <c r="DA1104" s="187">
        <f t="shared" si="3272"/>
        <v>0.86875000000000002</v>
      </c>
      <c r="DB1104" s="188">
        <f t="shared" si="3273"/>
        <v>1.037398205301105</v>
      </c>
      <c r="DC1104" s="188">
        <f t="shared" si="3274"/>
        <v>0.46926837491571133</v>
      </c>
      <c r="DD1104" s="188">
        <f t="shared" si="3275"/>
        <v>0.8548537519972772</v>
      </c>
      <c r="DE1104" s="188">
        <f t="shared" si="3276"/>
        <v>0.41615833911547367</v>
      </c>
      <c r="DF1104" s="189">
        <f>INDEX('State Tax Lookup'!$D$7:$Z$91,MATCH(Calculation!$C1104,'State Tax Lookup'!$B$7:$B$91,0),MATCH($H1104,'State Tax Lookup'!$D$6:$Z$6,0))</f>
        <v>0.35</v>
      </c>
      <c r="DG1104" s="189">
        <v>0.375</v>
      </c>
      <c r="DH1104" s="190">
        <f t="shared" si="3278"/>
        <v>18.273369322033119</v>
      </c>
      <c r="DI1104" s="190">
        <v>17.980151006130505</v>
      </c>
      <c r="DJ1104" s="177"/>
      <c r="DK1104" s="189">
        <f>VLOOKUP($H1104,RoR!$E:$F,2,FALSE)</f>
        <v>4.9433333333333322E-2</v>
      </c>
      <c r="DL1104" s="191">
        <f>HLOOKUP($H1104,'GDP-PI'!$D$8:$CQ$11,3,FALSE)</f>
        <v>1.1684333519300205E-2</v>
      </c>
      <c r="DM1104" s="189">
        <f>VLOOKUP(H1104,'HW Dx Data'!$E:$F,2,FALSE)</f>
        <v>568.98950262971744</v>
      </c>
      <c r="DN1104" s="183">
        <f>VLOOKUP(H1104,'ECI - Input Price'!$G$17:$H$37,2,FALSE)</f>
        <v>111.875</v>
      </c>
      <c r="DO1104" s="177">
        <f t="shared" ref="DO1104" si="3314">LN(DN1104/DN1103)</f>
        <v>1.8949360147238387E-2</v>
      </c>
      <c r="DP1104" s="183">
        <f>HLOOKUP(H1104,'GDP-PI'!$8:$9,2,FALSE)</f>
        <v>96.108999999999995</v>
      </c>
      <c r="DQ1104" s="177">
        <f t="shared" ref="DQ1104" si="3315">LN(DP1104/DP1103)</f>
        <v>1.1616598807150427E-2</v>
      </c>
    </row>
    <row r="1105" spans="1:121" s="167" customFormat="1" ht="21" x14ac:dyDescent="0.35">
      <c r="A1105" s="167" t="s">
        <v>106</v>
      </c>
      <c r="B1105" s="167" t="s">
        <v>106</v>
      </c>
      <c r="C1105" s="167">
        <v>4057100</v>
      </c>
      <c r="D1105" s="168" t="s">
        <v>150</v>
      </c>
      <c r="E1105" s="168"/>
      <c r="F1105" s="198"/>
      <c r="G1105" s="167" t="s">
        <v>17</v>
      </c>
      <c r="H1105" s="169">
        <v>2011</v>
      </c>
      <c r="I1105" s="170"/>
      <c r="J1105" s="166">
        <f>IFERROR(INDEX('Labor Expenditures'!$F$7:$X$91,MATCH($C1105,'Labor Expenditures'!$D$7:$D$91,0),MATCH($G1105,'Labor Expenditures'!$F$5:$X$5,0)),"NA")</f>
        <v>8582.8965210708011</v>
      </c>
      <c r="K1105" s="166">
        <f t="shared" si="3284"/>
        <v>75.09095818959581</v>
      </c>
      <c r="L1105" s="172">
        <f t="shared" si="3291"/>
        <v>-5.7807423716688386E-2</v>
      </c>
      <c r="M1105" s="172">
        <f t="shared" si="3295"/>
        <v>-1.718118278458179E-4</v>
      </c>
      <c r="N1105" s="196"/>
      <c r="O1105" s="172"/>
      <c r="P1105" s="166">
        <f>IFERROR(INDEX('Non-Labor Expenditures'!$F$7:$AB$91,MATCH($C1105,'Non-Labor Expenditures'!$D$7:$D$91,0),MATCH($G1105,'Non-Labor Expenditures'!$F$5:$AB$5,0)),"NA")</f>
        <v>12429.637226454826</v>
      </c>
      <c r="Q1105" s="166">
        <f t="shared" si="3285"/>
        <v>126.68824635574472</v>
      </c>
      <c r="R1105" s="172">
        <f t="shared" si="3296"/>
        <v>-5.6989748723791811E-2</v>
      </c>
      <c r="S1105" s="172">
        <f t="shared" si="3301"/>
        <v>-1.6938158228078644E-4</v>
      </c>
      <c r="T1105" s="172"/>
      <c r="U1105" s="172"/>
      <c r="V1105" s="166">
        <f t="shared" si="3266"/>
        <v>9299.890905905273</v>
      </c>
      <c r="W1105" s="170"/>
      <c r="X1105" s="174">
        <v>489.30753157507428</v>
      </c>
      <c r="Y1105" s="175">
        <v>2.5708542778434849E-2</v>
      </c>
      <c r="Z1105" s="175">
        <f t="shared" si="3302"/>
        <v>7.6409420140620163E-5</v>
      </c>
      <c r="AA1105" s="175"/>
      <c r="AB1105" s="175"/>
      <c r="AC1105" s="170">
        <f t="shared" si="3252"/>
        <v>30312.424653430899</v>
      </c>
      <c r="AD1105" s="175">
        <f t="shared" si="3297"/>
        <v>-6.1421575926046937E-4</v>
      </c>
      <c r="AE1105" s="170"/>
      <c r="AF1105" s="170"/>
      <c r="AG1105" s="121">
        <f t="shared" si="3298"/>
        <v>274.71587762872275</v>
      </c>
      <c r="AH1105" s="119">
        <f>+AZ1105/$BB$49</f>
        <v>3.062145507146992E-3</v>
      </c>
      <c r="AI1105" s="119"/>
      <c r="AJ1105" s="176">
        <f t="shared" si="3303"/>
        <v>0.84121999042273621</v>
      </c>
      <c r="AK1105" s="176">
        <f t="shared" si="3304"/>
        <v>0</v>
      </c>
      <c r="AL1105" s="120">
        <f t="shared" si="3286"/>
        <v>0.28314780553522462</v>
      </c>
      <c r="AM1105" s="120">
        <f t="shared" si="3287"/>
        <v>0.41005090713018838</v>
      </c>
      <c r="AN1105" s="120">
        <f t="shared" si="3288"/>
        <v>0.30680128733458706</v>
      </c>
      <c r="AO1105" s="120">
        <f t="shared" si="3292"/>
        <v>-3.2896752659898026E-2</v>
      </c>
      <c r="AP1105" s="173">
        <f t="shared" si="3308"/>
        <v>116.44529435325246</v>
      </c>
      <c r="AQ1105" s="175">
        <f t="shared" si="3309"/>
        <v>-3.2896752659898006E-2</v>
      </c>
      <c r="AR1105" s="177">
        <f>+AC1105/$AE$49</f>
        <v>2.9721412372199813E-3</v>
      </c>
      <c r="AS1105" s="177">
        <f t="shared" si="3305"/>
        <v>-9.7773795151108965E-5</v>
      </c>
      <c r="AT1105" s="177"/>
      <c r="AU1105" s="177"/>
      <c r="AV1105" s="177"/>
      <c r="AW1105" s="190"/>
      <c r="AX1105" s="120"/>
      <c r="AY1105" s="120"/>
      <c r="AZ1105" s="118">
        <f>IFERROR(INDEX('Total Customers'!$F$7:$AB$91,MATCH($C1105,'Total Customers'!$D$7:$D$91,0),MATCH($G1105,'Total Customers'!$F$5:$AB$5,0)),"NA")</f>
        <v>110341</v>
      </c>
      <c r="BA1105" s="119">
        <f t="shared" si="3267"/>
        <v>-2.8145706452858007E-3</v>
      </c>
      <c r="BB1105" s="119"/>
      <c r="BC1105" s="121"/>
      <c r="BD1105" s="119"/>
      <c r="BE1105" s="119"/>
      <c r="BF1105" s="119"/>
      <c r="BG1105" s="173"/>
      <c r="BH1105" s="173"/>
      <c r="BI1105" s="173"/>
      <c r="BJ1105" s="173"/>
      <c r="BK1105" s="173"/>
      <c r="BL1105" s="173"/>
      <c r="BM1105" s="173"/>
      <c r="BN1105" s="173"/>
      <c r="BO1105" s="173"/>
      <c r="BP1105" s="173"/>
      <c r="BQ1105" s="118"/>
      <c r="BR1105" s="118"/>
      <c r="BS1105" s="118">
        <f>INDEX('Dist. Plant Gas Additions'!$F$7:$AE$91,MATCH($C1105,'Dist. Plant Gas Additions'!$D$7:$D$91,0),MATCH(Calculation!$G1105,'Dist. Plant Gas Additions'!$F$5:$AE$5,0))</f>
        <v>9131</v>
      </c>
      <c r="BT1105" s="118">
        <f>INDEX('Gen. Plant Additions'!$F$7:$AE$91,MATCH($C1105,'Gen. Plant Additions'!$D$7:$D$91,0),MATCH(Calculation!$G1105,'Gen. Plant Additions'!$F$5:$AE$5,0))</f>
        <v>574</v>
      </c>
      <c r="BU1105" s="118"/>
      <c r="BV1105" s="118"/>
      <c r="BW1105" s="118">
        <f>INDEX('Dist Plant Depreciation'!$E$7:$AD$94,MATCH($C1105,'Dist Plant Depreciation'!$D$7:$D$94,0),MATCH(Calculation!$G1105,'Dist Plant Depreciation'!$E$5:$AD$5,0))</f>
        <v>74076</v>
      </c>
      <c r="BX1105" s="118">
        <f>INDEX('Gen. Plant Depreciation'!$E$7:$AD$94,MATCH($C1105,'Gen. Plant Depreciation'!$D$7:$D$94,0),MATCH(Calculation!$G1105,'Gen. Plant Depreciation'!$E$5:$AD$5,0))</f>
        <v>6258</v>
      </c>
      <c r="BY1105" s="118"/>
      <c r="BZ1105" s="118"/>
      <c r="CA1105" s="118"/>
      <c r="CB1105" s="118"/>
      <c r="CC1105" s="118"/>
      <c r="CD1105" s="183"/>
      <c r="CE1105" s="118">
        <f>INDEX('Gross Dx Plant'!$E$7:$AD$91,MATCH($C1105,'Gross Dx Plant'!$D$7:$D$91,0),MATCH(Calculation!$G1105,'Gross Dx Plant'!$E$5:$AD$5,0))</f>
        <v>175243</v>
      </c>
      <c r="CF1105" s="118">
        <f>INDEX('Gross Gen Plant'!$E$7:$AD$91,MATCH($C1105,'Gross Gen Plant'!$D$7:$D$91,0),MATCH(Calculation!$G1105,'Gross Gen Plant'!$E$5:$AD$5,0))</f>
        <v>10846</v>
      </c>
      <c r="CG1105" s="118">
        <f t="shared" si="3224"/>
        <v>105755</v>
      </c>
      <c r="CH1105" s="118"/>
      <c r="CI1105" s="121">
        <v>2011</v>
      </c>
      <c r="CJ1105" s="118"/>
      <c r="CK1105" s="118"/>
      <c r="CL1105" s="118"/>
      <c r="CM1105" s="183"/>
      <c r="CN1105" s="118">
        <f t="shared" si="3268"/>
        <v>9705</v>
      </c>
      <c r="CO1105" s="118">
        <f t="shared" si="3269"/>
        <v>15.867926631028471</v>
      </c>
      <c r="CP1105" s="186">
        <v>0.92121212121212126</v>
      </c>
      <c r="CQ1105" s="118">
        <f>+CQ1092*CP1105+CO1093*CP1104+CO1094*CP1103+CO1095*CP1102+CO1096*CP1101+CO1097*CP1100+CO1098*CP1099+CO1099*CP1098+CO1100*CP1097+CO1101*CP1096+CO1102*CP1095+CO1103*CP1094+CO1104*CP1093+CO1105</f>
        <v>489.30753157507428</v>
      </c>
      <c r="CR1105" s="119">
        <f t="shared" si="3270"/>
        <v>2.5708542778434849E-2</v>
      </c>
      <c r="CS1105" s="119"/>
      <c r="CT1105" s="177">
        <f t="shared" si="3271"/>
        <v>7.2320159363688328E-3</v>
      </c>
      <c r="CU1105" s="177">
        <f t="shared" si="3279"/>
        <v>7.0050138117871844E-3</v>
      </c>
      <c r="CV1105" s="119">
        <f>VLOOKUP($H1105,RoR!$E:$F,2,FALSE)</f>
        <v>4.6391666666666664E-2</v>
      </c>
      <c r="CW1105" s="177">
        <v>2.0840920205183799E-2</v>
      </c>
      <c r="CX1105" s="177">
        <f t="shared" si="3277"/>
        <v>2.5550746461482865E-2</v>
      </c>
      <c r="CY1105" s="177">
        <f t="shared" si="3280"/>
        <v>2.3896927796746441E-2</v>
      </c>
      <c r="CZ1105" s="177">
        <f t="shared" si="3281"/>
        <v>2.4810540821321614E-2</v>
      </c>
      <c r="DA1105" s="187">
        <f t="shared" si="3272"/>
        <v>0.86875000000000002</v>
      </c>
      <c r="DB1105" s="188">
        <f t="shared" si="3273"/>
        <v>1.1054151524782025</v>
      </c>
      <c r="DC1105" s="188">
        <f t="shared" si="3274"/>
        <v>0.43611011316687626</v>
      </c>
      <c r="DD1105" s="188">
        <f t="shared" si="3275"/>
        <v>0.83698442246886229</v>
      </c>
      <c r="DE1105" s="188">
        <f t="shared" si="3276"/>
        <v>0.40349573304423936</v>
      </c>
      <c r="DF1105" s="189">
        <f>INDEX('State Tax Lookup'!$D$7:$Z$91,MATCH(Calculation!$C1105,'State Tax Lookup'!$B$7:$B$91,0),MATCH($H1105,'State Tax Lookup'!$D$6:$Z$6,0))</f>
        <v>0.35</v>
      </c>
      <c r="DG1105" s="189">
        <v>0.375</v>
      </c>
      <c r="DH1105" s="190">
        <f t="shared" si="3278"/>
        <v>19.501186318703624</v>
      </c>
      <c r="DI1105" s="190">
        <v>19.176565211180794</v>
      </c>
      <c r="DJ1105" s="177"/>
      <c r="DK1105" s="189">
        <f>VLOOKUP($H1105,RoR!$E:$F,2,FALSE)</f>
        <v>4.6391666666666664E-2</v>
      </c>
      <c r="DL1105" s="191">
        <f>HLOOKUP($H1105,'GDP-PI'!$D$8:$CQ$11,3,FALSE)</f>
        <v>2.0840920205183799E-2</v>
      </c>
      <c r="DM1105" s="189">
        <f>VLOOKUP(H1105,'HW Dx Data'!$E:$F,2,FALSE)</f>
        <v>611.61109612283201</v>
      </c>
      <c r="DN1105" s="183">
        <f>VLOOKUP(H1105,'ECI - Input Price'!$G$17:$H$37,2,FALSE)</f>
        <v>114.3</v>
      </c>
      <c r="DO1105" s="177">
        <f t="shared" ref="DO1105" si="3316">LN(DN1105/DN1104)</f>
        <v>2.1444394205745516E-2</v>
      </c>
      <c r="DP1105" s="183">
        <f>HLOOKUP(H1105,'GDP-PI'!$8:$9,2,FALSE)</f>
        <v>98.111999999999995</v>
      </c>
      <c r="DQ1105" s="177">
        <f t="shared" ref="DQ1105" si="3317">LN(DP1105/DP1104)</f>
        <v>2.0626719212849295E-2</v>
      </c>
    </row>
    <row r="1106" spans="1:121" s="167" customFormat="1" ht="21" x14ac:dyDescent="0.35">
      <c r="A1106" s="167" t="s">
        <v>106</v>
      </c>
      <c r="B1106" s="167" t="s">
        <v>106</v>
      </c>
      <c r="C1106" s="167">
        <v>4057100</v>
      </c>
      <c r="D1106" s="168" t="s">
        <v>150</v>
      </c>
      <c r="E1106" s="168"/>
      <c r="F1106" s="198"/>
      <c r="G1106" s="167" t="s">
        <v>18</v>
      </c>
      <c r="H1106" s="169">
        <v>2012</v>
      </c>
      <c r="I1106" s="170"/>
      <c r="J1106" s="166">
        <f>IFERROR(INDEX('Labor Expenditures'!$F$7:$X$91,MATCH($C1106,'Labor Expenditures'!$D$7:$D$91,0),MATCH($G1106,'Labor Expenditures'!$F$5:$X$5,0)),"NA")</f>
        <v>7910.6379025588967</v>
      </c>
      <c r="K1106" s="166">
        <f t="shared" si="3284"/>
        <v>67.902471266599974</v>
      </c>
      <c r="L1106" s="172">
        <f t="shared" si="3291"/>
        <v>-0.10062772499771357</v>
      </c>
      <c r="M1106" s="172">
        <f t="shared" si="3295"/>
        <v>-2.7946224196819457E-4</v>
      </c>
      <c r="N1106" s="196"/>
      <c r="O1106" s="172"/>
      <c r="P1106" s="166">
        <f>IFERROR(INDEX('Non-Labor Expenditures'!$F$7:$AB$91,MATCH($C1106,'Non-Labor Expenditures'!$D$7:$D$91,0),MATCH($G1106,'Non-Labor Expenditures'!$F$5:$AB$5,0)),"NA")</f>
        <v>11456.081186259413</v>
      </c>
      <c r="Q1106" s="166">
        <f t="shared" si="3285"/>
        <v>114.56081186259412</v>
      </c>
      <c r="R1106" s="172">
        <f t="shared" si="3296"/>
        <v>-0.10062352553146603</v>
      </c>
      <c r="S1106" s="172">
        <f t="shared" si="3301"/>
        <v>-2.7945057925543197E-4</v>
      </c>
      <c r="T1106" s="172"/>
      <c r="U1106" s="172"/>
      <c r="V1106" s="166">
        <f t="shared" si="3266"/>
        <v>10311.511173761137</v>
      </c>
      <c r="W1106" s="170"/>
      <c r="X1106" s="174">
        <v>499.36185175522138</v>
      </c>
      <c r="Y1106" s="175">
        <v>2.0339796045257309E-2</v>
      </c>
      <c r="Z1106" s="175">
        <f t="shared" si="3302"/>
        <v>5.6487464107059766E-5</v>
      </c>
      <c r="AA1106" s="175"/>
      <c r="AB1106" s="175"/>
      <c r="AC1106" s="170">
        <f t="shared" si="3252"/>
        <v>29678.230262579447</v>
      </c>
      <c r="AD1106" s="175">
        <f t="shared" si="3297"/>
        <v>-2.1143893784779804E-2</v>
      </c>
      <c r="AE1106" s="170"/>
      <c r="AF1106" s="170"/>
      <c r="AG1106" s="121">
        <f t="shared" si="3298"/>
        <v>268.5521053150739</v>
      </c>
      <c r="AH1106" s="119">
        <f>+AZ1106/$BB$50</f>
        <v>3.0521327397226745E-3</v>
      </c>
      <c r="AI1106" s="119"/>
      <c r="AJ1106" s="176">
        <f t="shared" si="3303"/>
        <v>0.81965667295358868</v>
      </c>
      <c r="AK1106" s="176">
        <f t="shared" si="3304"/>
        <v>0</v>
      </c>
      <c r="AL1106" s="120">
        <f t="shared" si="3286"/>
        <v>0.26654682009571257</v>
      </c>
      <c r="AM1106" s="120">
        <f t="shared" si="3287"/>
        <v>0.38600957957739496</v>
      </c>
      <c r="AN1106" s="120">
        <f t="shared" si="3288"/>
        <v>0.34744360032689242</v>
      </c>
      <c r="AO1106" s="120">
        <f t="shared" si="3292"/>
        <v>-6.1054862375418038E-2</v>
      </c>
      <c r="AP1106" s="173">
        <f t="shared" si="3308"/>
        <v>109.54842883820186</v>
      </c>
      <c r="AQ1106" s="175">
        <f t="shared" si="3309"/>
        <v>-6.1054862375418031E-2</v>
      </c>
      <c r="AR1106" s="177">
        <f>+AC1106/$AE$50</f>
        <v>2.7771893081607922E-3</v>
      </c>
      <c r="AS1106" s="177">
        <f t="shared" si="3305"/>
        <v>-1.695609110002396E-4</v>
      </c>
      <c r="AT1106" s="177"/>
      <c r="AU1106" s="177"/>
      <c r="AV1106" s="177"/>
      <c r="AW1106" s="190"/>
      <c r="AX1106" s="120"/>
      <c r="AY1106" s="120"/>
      <c r="AZ1106" s="118">
        <f>IFERROR(INDEX('Total Customers'!$F$7:$AB$91,MATCH($C1106,'Total Customers'!$D$7:$D$91,0),MATCH($G1106,'Total Customers'!$F$5:$AB$5,0)),"NA")</f>
        <v>110512</v>
      </c>
      <c r="BA1106" s="119">
        <f t="shared" si="3267"/>
        <v>1.5485416468984669E-3</v>
      </c>
      <c r="BB1106" s="119"/>
      <c r="BC1106" s="121"/>
      <c r="BD1106" s="119"/>
      <c r="BE1106" s="119"/>
      <c r="BF1106" s="119"/>
      <c r="BG1106" s="173"/>
      <c r="BH1106" s="173"/>
      <c r="BI1106" s="173"/>
      <c r="BJ1106" s="173"/>
      <c r="BK1106" s="173"/>
      <c r="BL1106" s="173"/>
      <c r="BM1106" s="173"/>
      <c r="BN1106" s="173"/>
      <c r="BO1106" s="173"/>
      <c r="BP1106" s="173"/>
      <c r="BQ1106" s="118"/>
      <c r="BR1106" s="118"/>
      <c r="BS1106" s="118">
        <f>INDEX('Dist. Plant Gas Additions'!$F$7:$AE$91,MATCH($C1106,'Dist. Plant Gas Additions'!$D$7:$D$91,0),MATCH(Calculation!$G1106,'Dist. Plant Gas Additions'!$F$5:$AE$5,0))</f>
        <v>9032</v>
      </c>
      <c r="BT1106" s="118">
        <f>INDEX('Gen. Plant Additions'!$F$7:$AE$91,MATCH($C1106,'Gen. Plant Additions'!$D$7:$D$91,0),MATCH(Calculation!$G1106,'Gen. Plant Additions'!$F$5:$AE$5,0))</f>
        <v>136</v>
      </c>
      <c r="BU1106" s="118"/>
      <c r="BV1106" s="118"/>
      <c r="BW1106" s="118">
        <f>INDEX('Dist Plant Depreciation'!$E$7:$AD$94,MATCH($C1106,'Dist Plant Depreciation'!$D$7:$D$94,0),MATCH(Calculation!$G1106,'Dist Plant Depreciation'!$E$5:$AD$5,0))</f>
        <v>77555</v>
      </c>
      <c r="BX1106" s="118">
        <f>INDEX('Gen. Plant Depreciation'!$E$7:$AD$94,MATCH($C1106,'Gen. Plant Depreciation'!$D$7:$D$94,0),MATCH(Calculation!$G1106,'Gen. Plant Depreciation'!$E$5:$AD$5,0))</f>
        <v>6032</v>
      </c>
      <c r="BY1106" s="118"/>
      <c r="BZ1106" s="118"/>
      <c r="CA1106" s="118"/>
      <c r="CB1106" s="118"/>
      <c r="CC1106" s="118"/>
      <c r="CD1106" s="183"/>
      <c r="CE1106" s="118">
        <f>INDEX('Gross Dx Plant'!$E$7:$AD$91,MATCH($C1106,'Gross Dx Plant'!$D$7:$D$91,0),MATCH(Calculation!$G1106,'Gross Dx Plant'!$E$5:$AD$5,0))</f>
        <v>183004</v>
      </c>
      <c r="CF1106" s="118">
        <f>INDEX('Gross Gen Plant'!$E$7:$AD$91,MATCH($C1106,'Gross Gen Plant'!$D$7:$D$91,0),MATCH(Calculation!$G1106,'Gross Gen Plant'!$E$5:$AD$5,0))</f>
        <v>10739</v>
      </c>
      <c r="CG1106" s="118">
        <f t="shared" si="3224"/>
        <v>110156</v>
      </c>
      <c r="CH1106" s="118"/>
      <c r="CI1106" s="121">
        <v>2012</v>
      </c>
      <c r="CJ1106" s="118"/>
      <c r="CK1106" s="118"/>
      <c r="CL1106" s="118"/>
      <c r="CM1106" s="183"/>
      <c r="CN1106" s="118">
        <f t="shared" si="3268"/>
        <v>9168</v>
      </c>
      <c r="CO1106" s="118">
        <f t="shared" si="3269"/>
        <v>13.705688708535231</v>
      </c>
      <c r="CP1106" s="186">
        <v>0.9135802469135802</v>
      </c>
      <c r="CQ1106" s="118">
        <f>+CQ1092*CP1106+CO1093*CP1105+CO1094*CP1104+CO1095*CP1103+CO1096*CP1102+CO1097*CP1101+CO1098*CP1100+CO1099*CP1099+CO1100*CP1098+CO1101*CP1097+CO1102*CP1096+CO1103*CP1095+CO1104*CP1094+CO1105*CP1093+CO1106</f>
        <v>499.36185175522138</v>
      </c>
      <c r="CR1106" s="119">
        <f t="shared" si="3270"/>
        <v>2.0339796045257309E-2</v>
      </c>
      <c r="CS1106" s="119"/>
      <c r="CT1106" s="177">
        <f t="shared" si="3271"/>
        <v>7.4623182615530647E-3</v>
      </c>
      <c r="CU1106" s="177">
        <f t="shared" si="3279"/>
        <v>7.2302055273875147E-3</v>
      </c>
      <c r="CV1106" s="119">
        <f>VLOOKUP($H1106,RoR!$E:$F,2,FALSE)</f>
        <v>3.6733333333333333E-2</v>
      </c>
      <c r="CW1106" s="177">
        <v>1.924331376386168E-2</v>
      </c>
      <c r="CX1106" s="177">
        <f t="shared" si="3277"/>
        <v>1.7490019569471653E-2</v>
      </c>
      <c r="CY1106" s="177">
        <f t="shared" si="3280"/>
        <v>2.3671736081146109E-2</v>
      </c>
      <c r="CZ1106" s="177">
        <f t="shared" si="3281"/>
        <v>6.7122682943869583E-2</v>
      </c>
      <c r="DA1106" s="187">
        <f t="shared" si="3272"/>
        <v>0.86875000000000002</v>
      </c>
      <c r="DB1106" s="188">
        <f t="shared" si="3273"/>
        <v>1.3960631020522127</v>
      </c>
      <c r="DC1106" s="188">
        <f t="shared" si="3274"/>
        <v>0.29441923774954631</v>
      </c>
      <c r="DD1106" s="188">
        <f t="shared" si="3275"/>
        <v>0.76377954189366437</v>
      </c>
      <c r="DE1106" s="188">
        <f t="shared" si="3276"/>
        <v>0.31393465103033691</v>
      </c>
      <c r="DF1106" s="189">
        <f>INDEX('State Tax Lookup'!$D$7:$Z$91,MATCH(Calculation!$C1106,'State Tax Lookup'!$B$7:$B$91,0),MATCH($H1106,'State Tax Lookup'!$D$6:$Z$6,0))</f>
        <v>0.35</v>
      </c>
      <c r="DG1106" s="189">
        <v>0.375</v>
      </c>
      <c r="DH1106" s="190">
        <f t="shared" si="3278"/>
        <v>21.073681699867816</v>
      </c>
      <c r="DI1106" s="190">
        <v>20.762688449509849</v>
      </c>
      <c r="DJ1106" s="177"/>
      <c r="DK1106" s="189">
        <f>VLOOKUP($H1106,RoR!$E:$F,2,FALSE)</f>
        <v>3.6733333333333333E-2</v>
      </c>
      <c r="DL1106" s="191">
        <f>HLOOKUP($H1106,'GDP-PI'!$D$8:$CQ$11,3,FALSE)</f>
        <v>1.924331376386168E-2</v>
      </c>
      <c r="DM1106" s="189">
        <f>VLOOKUP(H1106,'HW Dx Data'!$E:$F,2,FALSE)</f>
        <v>668.91932211262167</v>
      </c>
      <c r="DN1106" s="183">
        <f>VLOOKUP(H1106,'ECI - Input Price'!$G$17:$H$37,2,FALSE)</f>
        <v>116.5</v>
      </c>
      <c r="DO1106" s="177">
        <f t="shared" ref="DO1106" si="3318">LN(DN1106/DN1105)</f>
        <v>1.9064702204990347E-2</v>
      </c>
      <c r="DP1106" s="183">
        <f>HLOOKUP(H1106,'GDP-PI'!$8:$9,2,FALSE)</f>
        <v>100</v>
      </c>
      <c r="DQ1106" s="177">
        <f t="shared" ref="DQ1106" si="3319">LN(DP1106/DP1105)</f>
        <v>1.9060502738742411E-2</v>
      </c>
    </row>
    <row r="1107" spans="1:121" s="167" customFormat="1" ht="21" x14ac:dyDescent="0.35">
      <c r="A1107" s="167" t="s">
        <v>106</v>
      </c>
      <c r="B1107" s="167" t="s">
        <v>106</v>
      </c>
      <c r="C1107" s="167">
        <v>4057100</v>
      </c>
      <c r="D1107" s="168" t="s">
        <v>150</v>
      </c>
      <c r="E1107" s="168"/>
      <c r="F1107" s="198"/>
      <c r="G1107" s="167" t="s">
        <v>19</v>
      </c>
      <c r="H1107" s="169">
        <v>2013</v>
      </c>
      <c r="I1107" s="170"/>
      <c r="J1107" s="166">
        <f>IFERROR(INDEX('Labor Expenditures'!$F$7:$X$91,MATCH($C1107,'Labor Expenditures'!$D$7:$D$91,0),MATCH($G1107,'Labor Expenditures'!$F$5:$X$5,0)),"NA")</f>
        <v>9730.2025496140704</v>
      </c>
      <c r="K1107" s="166">
        <f t="shared" si="3284"/>
        <v>81.95580163920043</v>
      </c>
      <c r="L1107" s="172">
        <f t="shared" si="3291"/>
        <v>0.18810766796788436</v>
      </c>
      <c r="M1107" s="172">
        <f t="shared" si="3295"/>
        <v>5.7965947529193792E-4</v>
      </c>
      <c r="N1107" s="196"/>
      <c r="O1107" s="172"/>
      <c r="P1107" s="166">
        <f>IFERROR(INDEX('Non-Labor Expenditures'!$F$7:$AB$91,MATCH($C1107,'Non-Labor Expenditures'!$D$7:$D$91,0),MATCH($G1107,'Non-Labor Expenditures'!$F$5:$AB$5,0)),"NA")</f>
        <v>14091.15064299294</v>
      </c>
      <c r="Q1107" s="166">
        <f t="shared" si="3285"/>
        <v>138.45666967656393</v>
      </c>
      <c r="R1107" s="172">
        <f t="shared" si="3296"/>
        <v>0.18945163238080417</v>
      </c>
      <c r="S1107" s="172">
        <f t="shared" si="3301"/>
        <v>5.8380094232951313E-4</v>
      </c>
      <c r="T1107" s="172"/>
      <c r="U1107" s="172"/>
      <c r="V1107" s="166">
        <f t="shared" si="3266"/>
        <v>10337.007569062902</v>
      </c>
      <c r="W1107" s="170"/>
      <c r="X1107" s="174">
        <v>514.47832198869617</v>
      </c>
      <c r="Y1107" s="175">
        <v>2.9822433481073603E-2</v>
      </c>
      <c r="Z1107" s="175">
        <f t="shared" si="3302"/>
        <v>9.1898731882207122E-5</v>
      </c>
      <c r="AA1107" s="175"/>
      <c r="AB1107" s="175"/>
      <c r="AC1107" s="170">
        <f t="shared" si="3252"/>
        <v>34158.360761669916</v>
      </c>
      <c r="AD1107" s="175">
        <f t="shared" si="3297"/>
        <v>0.14059359144857866</v>
      </c>
      <c r="AE1107" s="170"/>
      <c r="AF1107" s="170"/>
      <c r="AG1107" s="121">
        <f t="shared" si="3298"/>
        <v>307.87998559375126</v>
      </c>
      <c r="AH1107" s="119">
        <f>+AZ1107/$BB$51</f>
        <v>3.0445565628847739E-3</v>
      </c>
      <c r="AI1107" s="119"/>
      <c r="AJ1107" s="176">
        <f t="shared" si="3303"/>
        <v>0.93735803072032498</v>
      </c>
      <c r="AK1107" s="176">
        <f t="shared" si="3304"/>
        <v>0</v>
      </c>
      <c r="AL1107" s="120">
        <f t="shared" si="3286"/>
        <v>0.28485566440098647</v>
      </c>
      <c r="AM1107" s="120">
        <f t="shared" si="3287"/>
        <v>0.41252420575184706</v>
      </c>
      <c r="AN1107" s="120">
        <f t="shared" si="3288"/>
        <v>0.30262012984716635</v>
      </c>
      <c r="AO1107" s="120">
        <f t="shared" si="3292"/>
        <v>0.13719652348189681</v>
      </c>
      <c r="AP1107" s="173">
        <f t="shared" si="3308"/>
        <v>125.65791412225654</v>
      </c>
      <c r="AQ1107" s="175">
        <f t="shared" si="3309"/>
        <v>0.1371965234818969</v>
      </c>
      <c r="AR1107" s="177">
        <f>+AC1107/$AE$51</f>
        <v>3.0815302829170325E-3</v>
      </c>
      <c r="AS1107" s="177">
        <f t="shared" si="3305"/>
        <v>4.2277524182040302E-4</v>
      </c>
      <c r="AT1107" s="177"/>
      <c r="AU1107" s="177"/>
      <c r="AV1107" s="177"/>
      <c r="AW1107" s="190"/>
      <c r="AX1107" s="120"/>
      <c r="AY1107" s="120"/>
      <c r="AZ1107" s="118">
        <f>IFERROR(INDEX('Total Customers'!$F$7:$AB$91,MATCH($C1107,'Total Customers'!$D$7:$D$91,0),MATCH($G1107,'Total Customers'!$F$5:$AB$5,0)),"NA")</f>
        <v>110947</v>
      </c>
      <c r="BA1107" s="119">
        <f t="shared" si="3267"/>
        <v>3.9284974595699164E-3</v>
      </c>
      <c r="BB1107" s="119"/>
      <c r="BC1107" s="121"/>
      <c r="BD1107" s="119"/>
      <c r="BE1107" s="119"/>
      <c r="BF1107" s="119"/>
      <c r="BG1107" s="173"/>
      <c r="BH1107" s="173"/>
      <c r="BI1107" s="173"/>
      <c r="BJ1107" s="173"/>
      <c r="BK1107" s="173"/>
      <c r="BL1107" s="173"/>
      <c r="BM1107" s="173"/>
      <c r="BN1107" s="173"/>
      <c r="BO1107" s="173"/>
      <c r="BP1107" s="173"/>
      <c r="BQ1107" s="118"/>
      <c r="BR1107" s="118"/>
      <c r="BS1107" s="118">
        <f>INDEX('Dist. Plant Gas Additions'!$F$7:$AE$91,MATCH($C1107,'Dist. Plant Gas Additions'!$D$7:$D$91,0),MATCH(Calculation!$G1107,'Dist. Plant Gas Additions'!$F$5:$AE$5,0))</f>
        <v>12128</v>
      </c>
      <c r="BT1107" s="118">
        <f>INDEX('Gen. Plant Additions'!$F$7:$AE$91,MATCH($C1107,'Gen. Plant Additions'!$D$7:$D$91,0),MATCH(Calculation!$G1107,'Gen. Plant Additions'!$F$5:$AE$5,0))</f>
        <v>453</v>
      </c>
      <c r="BU1107" s="118"/>
      <c r="BV1107" s="118"/>
      <c r="BW1107" s="118">
        <f>INDEX('Dist Plant Depreciation'!$E$7:$AD$94,MATCH($C1107,'Dist Plant Depreciation'!$D$7:$D$94,0),MATCH(Calculation!$G1107,'Dist Plant Depreciation'!$E$5:$AD$5,0))</f>
        <v>81300</v>
      </c>
      <c r="BX1107" s="118">
        <f>INDEX('Gen. Plant Depreciation'!$E$7:$AD$94,MATCH($C1107,'Gen. Plant Depreciation'!$D$7:$D$94,0),MATCH(Calculation!$G1107,'Gen. Plant Depreciation'!$E$5:$AD$5,0))</f>
        <v>5908</v>
      </c>
      <c r="BY1107" s="118"/>
      <c r="BZ1107" s="118"/>
      <c r="CA1107" s="118"/>
      <c r="CB1107" s="118"/>
      <c r="CC1107" s="118"/>
      <c r="CD1107" s="183"/>
      <c r="CE1107" s="118">
        <f>INDEX('Gross Dx Plant'!$E$7:$AD$91,MATCH($C1107,'Gross Dx Plant'!$D$7:$D$91,0),MATCH(Calculation!$G1107,'Gross Dx Plant'!$E$5:$AD$5,0))</f>
        <v>194039</v>
      </c>
      <c r="CF1107" s="118">
        <f>INDEX('Gross Gen Plant'!$E$7:$AD$91,MATCH($C1107,'Gross Gen Plant'!$D$7:$D$91,0),MATCH(Calculation!$G1107,'Gross Gen Plant'!$E$5:$AD$5,0))</f>
        <v>10541</v>
      </c>
      <c r="CG1107" s="118">
        <f t="shared" si="3224"/>
        <v>117372</v>
      </c>
      <c r="CH1107" s="118"/>
      <c r="CI1107" s="121">
        <v>2013</v>
      </c>
      <c r="CJ1107" s="118"/>
      <c r="CK1107" s="118"/>
      <c r="CL1107" s="118"/>
      <c r="CM1107" s="183"/>
      <c r="CN1107" s="118">
        <f t="shared" si="3268"/>
        <v>12581</v>
      </c>
      <c r="CO1107" s="118">
        <f t="shared" si="3269"/>
        <v>18.968760265227001</v>
      </c>
      <c r="CP1107" s="186">
        <v>0.90566037735849059</v>
      </c>
      <c r="CQ1107" s="118">
        <f>+CQ1092*CP1107+CO1093*CP1106+CO1094*CP1105+CO1095*CP1104+CO1096*CP1103+CO1097*CP1102+CO1098*CP1101+CO1099*CP1100+CO1100*CP1099+CO1101*CP1098+CO1102*CP1097+CO1103*CP1096+CO1104*CP1095+CO1105*CP1094+CO1106*CP1093+CO1107</f>
        <v>514.47832198869617</v>
      </c>
      <c r="CR1107" s="119">
        <f t="shared" si="3270"/>
        <v>2.9822433481073603E-2</v>
      </c>
      <c r="CS1107" s="119"/>
      <c r="CT1107" s="177">
        <f t="shared" si="3271"/>
        <v>7.7144259582739242E-3</v>
      </c>
      <c r="CU1107" s="177">
        <f t="shared" si="3279"/>
        <v>7.4695867187319397E-3</v>
      </c>
      <c r="CV1107" s="119">
        <f>VLOOKUP($H1107,RoR!$E:$F,2,FALSE)</f>
        <v>4.2350000000000006E-2</v>
      </c>
      <c r="CW1107" s="177">
        <v>1.7730000000000024E-2</v>
      </c>
      <c r="CX1107" s="177">
        <f t="shared" si="3277"/>
        <v>2.4619999999999982E-2</v>
      </c>
      <c r="CY1107" s="177">
        <f t="shared" si="3280"/>
        <v>2.3432354889801686E-2</v>
      </c>
      <c r="CZ1107" s="177">
        <f t="shared" si="3281"/>
        <v>5.3376742735721204E-2</v>
      </c>
      <c r="DA1107" s="187">
        <f t="shared" si="3272"/>
        <v>0.86875000000000002</v>
      </c>
      <c r="DB1107" s="188">
        <f t="shared" si="3273"/>
        <v>1.2109103018193925</v>
      </c>
      <c r="DC1107" s="188">
        <f t="shared" si="3274"/>
        <v>0.38468122786304604</v>
      </c>
      <c r="DD1107" s="188">
        <f t="shared" si="3275"/>
        <v>0.80969194503422559</v>
      </c>
      <c r="DE1107" s="188">
        <f t="shared" si="3276"/>
        <v>0.37716621754800816</v>
      </c>
      <c r="DF1107" s="189">
        <f>INDEX('State Tax Lookup'!$D$7:$Z$91,MATCH(Calculation!$C1107,'State Tax Lookup'!$B$7:$B$91,0),MATCH($H1107,'State Tax Lookup'!$D$6:$Z$6,0))</f>
        <v>0.35</v>
      </c>
      <c r="DG1107" s="189">
        <v>0.375</v>
      </c>
      <c r="DH1107" s="190">
        <f t="shared" si="3278"/>
        <v>20.700435030687778</v>
      </c>
      <c r="DI1107" s="190">
        <v>20.378848817506931</v>
      </c>
      <c r="DJ1107" s="177"/>
      <c r="DK1107" s="189">
        <f>VLOOKUP($H1107,RoR!$E:$F,2,FALSE)</f>
        <v>4.2350000000000006E-2</v>
      </c>
      <c r="DL1107" s="191">
        <f>HLOOKUP($H1107,'GDP-PI'!$D$8:$CQ$11,3,FALSE)</f>
        <v>1.7730000000000024E-2</v>
      </c>
      <c r="DM1107" s="189">
        <f>VLOOKUP(H1107,'HW Dx Data'!$E:$F,2,FALSE)</f>
        <v>663.24840548821396</v>
      </c>
      <c r="DN1107" s="183">
        <f>VLOOKUP(H1107,'ECI - Input Price'!$G$17:$H$37,2,FALSE)</f>
        <v>118.72499999999999</v>
      </c>
      <c r="DO1107" s="177">
        <f t="shared" ref="DO1107" si="3320">LN(DN1107/DN1106)</f>
        <v>1.8918621429430321E-2</v>
      </c>
      <c r="DP1107" s="183">
        <f>HLOOKUP(H1107,'GDP-PI'!$8:$9,2,FALSE)</f>
        <v>101.773</v>
      </c>
      <c r="DQ1107" s="177">
        <f t="shared" ref="DQ1107" si="3321">LN(DP1107/DP1106)</f>
        <v>1.7574657016510519E-2</v>
      </c>
    </row>
    <row r="1108" spans="1:121" s="167" customFormat="1" ht="21" x14ac:dyDescent="0.35">
      <c r="A1108" s="167" t="s">
        <v>106</v>
      </c>
      <c r="B1108" s="167" t="s">
        <v>106</v>
      </c>
      <c r="C1108" s="167">
        <v>4057100</v>
      </c>
      <c r="D1108" s="168" t="s">
        <v>150</v>
      </c>
      <c r="E1108" s="168"/>
      <c r="F1108" s="198"/>
      <c r="G1108" s="167" t="s">
        <v>20</v>
      </c>
      <c r="H1108" s="169">
        <v>2014</v>
      </c>
      <c r="I1108" s="170"/>
      <c r="J1108" s="166">
        <f>IFERROR(INDEX('Labor Expenditures'!$F$7:$X$91,MATCH($C1108,'Labor Expenditures'!$D$7:$D$91,0),MATCH($G1108,'Labor Expenditures'!$F$5:$X$5,0)),"NA")</f>
        <v>9078.7539370913564</v>
      </c>
      <c r="K1108" s="166">
        <f t="shared" si="3284"/>
        <v>74.907210702073897</v>
      </c>
      <c r="L1108" s="172">
        <f t="shared" si="3291"/>
        <v>-8.9929940604028036E-2</v>
      </c>
      <c r="M1108" s="172">
        <f t="shared" si="3295"/>
        <v>-2.6170142139742122E-4</v>
      </c>
      <c r="N1108" s="196"/>
      <c r="O1108" s="172"/>
      <c r="P1108" s="166">
        <f>IFERROR(INDEX('Non-Labor Expenditures'!$F$7:$AB$91,MATCH($C1108,'Non-Labor Expenditures'!$D$7:$D$91,0),MATCH($G1108,'Non-Labor Expenditures'!$F$5:$AB$5,0)),"NA")</f>
        <v>13147.731378242855</v>
      </c>
      <c r="Q1108" s="166">
        <f t="shared" si="3285"/>
        <v>126.85105577819768</v>
      </c>
      <c r="R1108" s="172">
        <f t="shared" si="3296"/>
        <v>-8.7543813302255608E-2</v>
      </c>
      <c r="S1108" s="172">
        <f t="shared" si="3301"/>
        <v>-2.5475765047624848E-4</v>
      </c>
      <c r="T1108" s="172"/>
      <c r="U1108" s="172"/>
      <c r="V1108" s="166">
        <f t="shared" si="3266"/>
        <v>10889.418353907851</v>
      </c>
      <c r="W1108" s="170"/>
      <c r="X1108" s="174">
        <v>549.6096345125253</v>
      </c>
      <c r="Y1108" s="175">
        <v>6.6054850545435057E-2</v>
      </c>
      <c r="Z1108" s="175">
        <f t="shared" si="3302"/>
        <v>1.9222350378334725E-4</v>
      </c>
      <c r="AA1108" s="175"/>
      <c r="AB1108" s="175"/>
      <c r="AC1108" s="170">
        <f t="shared" si="3252"/>
        <v>33115.903669242063</v>
      </c>
      <c r="AD1108" s="175">
        <f t="shared" si="3297"/>
        <v>-3.0993740314763724E-2</v>
      </c>
      <c r="AE1108" s="170"/>
      <c r="AF1108" s="170"/>
      <c r="AG1108" s="121">
        <f t="shared" si="3298"/>
        <v>297.91473177378407</v>
      </c>
      <c r="AH1108" s="119">
        <f>+AZ1108/$BB$52</f>
        <v>3.0339995218470481E-3</v>
      </c>
      <c r="AI1108" s="119"/>
      <c r="AJ1108" s="176">
        <f t="shared" si="3303"/>
        <v>0.90387315375285249</v>
      </c>
      <c r="AK1108" s="176">
        <f t="shared" si="3304"/>
        <v>0</v>
      </c>
      <c r="AL1108" s="120">
        <f t="shared" si="3286"/>
        <v>0.27415087408663019</v>
      </c>
      <c r="AM1108" s="120">
        <f t="shared" si="3287"/>
        <v>0.39702166999762178</v>
      </c>
      <c r="AN1108" s="120">
        <f t="shared" si="3288"/>
        <v>0.32882745591574797</v>
      </c>
      <c r="AO1108" s="120">
        <f t="shared" si="3292"/>
        <v>-3.9715990952416055E-2</v>
      </c>
      <c r="AP1108" s="173">
        <f t="shared" si="3308"/>
        <v>120.76509034279948</v>
      </c>
      <c r="AQ1108" s="175">
        <f t="shared" si="3309"/>
        <v>-3.9715990952416076E-2</v>
      </c>
      <c r="AR1108" s="177">
        <f>+AC1108/$AE$52</f>
        <v>2.9100588707127355E-3</v>
      </c>
      <c r="AS1108" s="177">
        <f t="shared" si="3305"/>
        <v>-1.1557587178022515E-4</v>
      </c>
      <c r="AT1108" s="177"/>
      <c r="AU1108" s="177"/>
      <c r="AV1108" s="177"/>
      <c r="AW1108" s="190"/>
      <c r="AX1108" s="120"/>
      <c r="AY1108" s="120"/>
      <c r="AZ1108" s="118">
        <f>IFERROR(INDEX('Total Customers'!$F$7:$AB$91,MATCH($C1108,'Total Customers'!$D$7:$D$91,0),MATCH($G1108,'Total Customers'!$F$5:$AB$5,0)),"NA")</f>
        <v>111159</v>
      </c>
      <c r="BA1108" s="119">
        <f t="shared" si="3267"/>
        <v>1.9089989859097664E-3</v>
      </c>
      <c r="BB1108" s="119"/>
      <c r="BC1108" s="121"/>
      <c r="BD1108" s="119"/>
      <c r="BE1108" s="119"/>
      <c r="BF1108" s="119"/>
      <c r="BG1108" s="173"/>
      <c r="BH1108" s="173"/>
      <c r="BI1108" s="173"/>
      <c r="BJ1108" s="173"/>
      <c r="BK1108" s="173"/>
      <c r="BL1108" s="173"/>
      <c r="BM1108" s="173"/>
      <c r="BN1108" s="173"/>
      <c r="BO1108" s="173"/>
      <c r="BP1108" s="173"/>
      <c r="BQ1108" s="118"/>
      <c r="BR1108" s="118"/>
      <c r="BS1108" s="118">
        <f>INDEX('Dist. Plant Gas Additions'!$F$7:$AE$91,MATCH($C1108,'Dist. Plant Gas Additions'!$D$7:$D$91,0),MATCH(Calculation!$G1108,'Dist. Plant Gas Additions'!$F$5:$AE$5,0))</f>
        <v>25792</v>
      </c>
      <c r="BT1108" s="118">
        <f>INDEX('Gen. Plant Additions'!$F$7:$AE$91,MATCH($C1108,'Gen. Plant Additions'!$D$7:$D$91,0),MATCH(Calculation!$G1108,'Gen. Plant Additions'!$F$5:$AE$5,0))</f>
        <v>1053</v>
      </c>
      <c r="BU1108" s="118"/>
      <c r="BV1108" s="118"/>
      <c r="BW1108" s="118">
        <f>INDEX('Dist Plant Depreciation'!$E$7:$AD$94,MATCH($C1108,'Dist Plant Depreciation'!$D$7:$D$94,0),MATCH(Calculation!$G1108,'Dist Plant Depreciation'!$E$5:$AD$5,0))</f>
        <v>84523</v>
      </c>
      <c r="BX1108" s="118">
        <f>INDEX('Gen. Plant Depreciation'!$E$7:$AD$94,MATCH($C1108,'Gen. Plant Depreciation'!$D$7:$D$94,0),MATCH(Calculation!$G1108,'Gen. Plant Depreciation'!$E$5:$AD$5,0))</f>
        <v>5896</v>
      </c>
      <c r="BY1108" s="118"/>
      <c r="BZ1108" s="118"/>
      <c r="CA1108" s="118"/>
      <c r="CB1108" s="118"/>
      <c r="CC1108" s="118"/>
      <c r="CD1108" s="183"/>
      <c r="CE1108" s="118">
        <f>INDEX('Gross Dx Plant'!$E$7:$AD$91,MATCH($C1108,'Gross Dx Plant'!$D$7:$D$91,0),MATCH(Calculation!$G1108,'Gross Dx Plant'!$E$5:$AD$5,0))</f>
        <v>218014</v>
      </c>
      <c r="CF1108" s="118">
        <f>INDEX('Gross Gen Plant'!$E$7:$AD$91,MATCH($C1108,'Gross Gen Plant'!$D$7:$D$91,0),MATCH(Calculation!$G1108,'Gross Gen Plant'!$E$5:$AD$5,0))</f>
        <v>11008</v>
      </c>
      <c r="CG1108" s="118">
        <f t="shared" si="3224"/>
        <v>138603</v>
      </c>
      <c r="CH1108" s="118"/>
      <c r="CI1108" s="121">
        <v>2014</v>
      </c>
      <c r="CJ1108" s="118"/>
      <c r="CK1108" s="118"/>
      <c r="CL1108" s="118"/>
      <c r="CM1108" s="183"/>
      <c r="CN1108" s="118">
        <f t="shared" si="3268"/>
        <v>26845</v>
      </c>
      <c r="CO1108" s="118">
        <f t="shared" si="3269"/>
        <v>39.220175635976339</v>
      </c>
      <c r="CP1108" s="186">
        <v>0.89743589743589747</v>
      </c>
      <c r="CQ1108" s="118">
        <f>+CQ1092*CP1108+CO1093*CP1107+CO1094*CP1106+CO1095*CP1105+CO1096*CP1104+CO1097*CP1103+CO1098*CP1102+CO1099*CP1101+CO1100*CP1100+CO1101*CP1099+CO1102*CP1098+CO1103*CP1097+CO1104*CP1096+CO1105*CP1095+CO1106*CP1094+CO1107*CP1093+CO1108</f>
        <v>549.6096345125253</v>
      </c>
      <c r="CR1108" s="119">
        <f t="shared" si="3270"/>
        <v>6.6054850545435057E-2</v>
      </c>
      <c r="CS1108" s="119"/>
      <c r="CT1108" s="177">
        <f t="shared" si="3271"/>
        <v>7.9475906707630727E-3</v>
      </c>
      <c r="CU1108" s="177">
        <f t="shared" si="3279"/>
        <v>7.7081116301966875E-3</v>
      </c>
      <c r="CV1108" s="119">
        <f>VLOOKUP($H1108,RoR!$E:$F,2,FALSE)</f>
        <v>4.1625000000000002E-2</v>
      </c>
      <c r="CW1108" s="177">
        <v>1.841352814597208E-2</v>
      </c>
      <c r="CX1108" s="177">
        <f t="shared" si="3277"/>
        <v>2.3211471854027922E-2</v>
      </c>
      <c r="CY1108" s="177">
        <f t="shared" si="3280"/>
        <v>2.3193829978336938E-2</v>
      </c>
      <c r="CZ1108" s="177">
        <f t="shared" si="3281"/>
        <v>3.9072621432650924E-2</v>
      </c>
      <c r="DA1108" s="187">
        <f t="shared" si="3272"/>
        <v>0.86875000000000002</v>
      </c>
      <c r="DB1108" s="188">
        <f t="shared" si="3273"/>
        <v>1.2320012320012319</v>
      </c>
      <c r="DC1108" s="188">
        <f t="shared" si="3274"/>
        <v>0.37439939939939942</v>
      </c>
      <c r="DD1108" s="188">
        <f t="shared" si="3275"/>
        <v>0.80432100613819935</v>
      </c>
      <c r="DE1108" s="188">
        <f t="shared" si="3276"/>
        <v>0.37100152660040037</v>
      </c>
      <c r="DF1108" s="189">
        <f>INDEX('State Tax Lookup'!$D$7:$Z$91,MATCH(Calculation!$C1108,'State Tax Lookup'!$B$7:$B$91,0),MATCH($H1108,'State Tax Lookup'!$D$6:$Z$6,0))</f>
        <v>0.35</v>
      </c>
      <c r="DG1108" s="189">
        <v>0.375</v>
      </c>
      <c r="DH1108" s="190">
        <f t="shared" si="3278"/>
        <v>21.165942059162422</v>
      </c>
      <c r="DI1108" s="190">
        <v>20.828186892430793</v>
      </c>
      <c r="DJ1108" s="177"/>
      <c r="DK1108" s="189">
        <f>VLOOKUP($H1108,RoR!$E:$F,2,FALSE)</f>
        <v>4.1625000000000002E-2</v>
      </c>
      <c r="DL1108" s="191">
        <f>HLOOKUP($H1108,'GDP-PI'!$D$8:$CQ$11,3,FALSE)</f>
        <v>1.841352814597208E-2</v>
      </c>
      <c r="DM1108" s="189">
        <f>VLOOKUP(H1108,'HW Dx Data'!$E:$F,2,FALSE)</f>
        <v>684.46914285042885</v>
      </c>
      <c r="DN1108" s="183">
        <f>VLOOKUP(H1108,'ECI - Input Price'!$G$17:$H$37,2,FALSE)</f>
        <v>121.2</v>
      </c>
      <c r="DO1108" s="177">
        <f t="shared" ref="DO1108" si="3322">LN(DN1108/DN1107)</f>
        <v>2.0632179200028689E-2</v>
      </c>
      <c r="DP1108" s="183">
        <f>HLOOKUP(H1108,'GDP-PI'!$8:$9,2,FALSE)</f>
        <v>103.64700000000001</v>
      </c>
      <c r="DQ1108" s="177">
        <f t="shared" ref="DQ1108" si="3323">LN(DP1108/DP1107)</f>
        <v>1.8246051898256087E-2</v>
      </c>
    </row>
    <row r="1109" spans="1:121" s="167" customFormat="1" ht="21" x14ac:dyDescent="0.35">
      <c r="A1109" s="167" t="s">
        <v>106</v>
      </c>
      <c r="B1109" s="167" t="s">
        <v>106</v>
      </c>
      <c r="C1109" s="167">
        <v>4057100</v>
      </c>
      <c r="D1109" s="168" t="s">
        <v>150</v>
      </c>
      <c r="E1109" s="168"/>
      <c r="F1109" s="198"/>
      <c r="G1109" s="167" t="s">
        <v>21</v>
      </c>
      <c r="H1109" s="169">
        <v>2015</v>
      </c>
      <c r="I1109" s="170"/>
      <c r="J1109" s="166">
        <f>IFERROR(INDEX('Labor Expenditures'!$F$7:$X$91,MATCH($C1109,'Labor Expenditures'!$D$7:$D$91,0),MATCH($G1109,'Labor Expenditures'!$F$5:$X$5,0)),"NA")</f>
        <v>8668.5818518813721</v>
      </c>
      <c r="K1109" s="166">
        <f t="shared" si="3284"/>
        <v>70.049146277829266</v>
      </c>
      <c r="L1109" s="172">
        <f t="shared" si="3291"/>
        <v>-6.7053071562167221E-2</v>
      </c>
      <c r="M1109" s="172">
        <f t="shared" si="3295"/>
        <v>-1.903400158760924E-4</v>
      </c>
      <c r="N1109" s="196"/>
      <c r="O1109" s="172"/>
      <c r="P1109" s="166">
        <f>IFERROR(INDEX('Non-Labor Expenditures'!$F$7:$AB$91,MATCH($C1109,'Non-Labor Expenditures'!$D$7:$D$91,0),MATCH($G1109,'Non-Labor Expenditures'!$F$5:$AB$5,0)),"NA")</f>
        <v>12553.72558928077</v>
      </c>
      <c r="Q1109" s="166">
        <f t="shared" si="3285"/>
        <v>119.97176568278338</v>
      </c>
      <c r="R1109" s="172">
        <f t="shared" si="3296"/>
        <v>-5.5757179934024098E-2</v>
      </c>
      <c r="S1109" s="172">
        <f t="shared" si="3301"/>
        <v>-1.5827496439158305E-4</v>
      </c>
      <c r="T1109" s="172"/>
      <c r="U1109" s="172"/>
      <c r="V1109" s="166">
        <f t="shared" si="3266"/>
        <v>11407.199104234098</v>
      </c>
      <c r="W1109" s="170"/>
      <c r="X1109" s="174">
        <v>590.52086324831214</v>
      </c>
      <c r="Y1109" s="175">
        <v>7.1796695710031971E-2</v>
      </c>
      <c r="Z1109" s="175">
        <f t="shared" si="3302"/>
        <v>2.0380549142522784E-4</v>
      </c>
      <c r="AA1109" s="175"/>
      <c r="AB1109" s="175"/>
      <c r="AC1109" s="170">
        <f t="shared" si="3252"/>
        <v>32629.506545396238</v>
      </c>
      <c r="AD1109" s="175">
        <f t="shared" si="3297"/>
        <v>-1.479665262042325E-2</v>
      </c>
      <c r="AE1109" s="170"/>
      <c r="AF1109" s="170"/>
      <c r="AG1109" s="121">
        <f t="shared" si="3298"/>
        <v>293.21722976425661</v>
      </c>
      <c r="AH1109" s="119">
        <f>+AZ1109/$BB$53</f>
        <v>3.0127022523268529E-3</v>
      </c>
      <c r="AI1109" s="119"/>
      <c r="AJ1109" s="176">
        <f t="shared" si="3303"/>
        <v>0.8833762085318162</v>
      </c>
      <c r="AK1109" s="176">
        <f t="shared" si="3304"/>
        <v>0</v>
      </c>
      <c r="AL1109" s="120">
        <f t="shared" si="3286"/>
        <v>0.26566696127693784</v>
      </c>
      <c r="AM1109" s="120">
        <f t="shared" si="3287"/>
        <v>0.3847353796728501</v>
      </c>
      <c r="AN1109" s="120">
        <f t="shared" si="3288"/>
        <v>0.34959765905021212</v>
      </c>
      <c r="AO1109" s="120">
        <f t="shared" si="3292"/>
        <v>-1.5538165443540679E-2</v>
      </c>
      <c r="AP1109" s="173">
        <f t="shared" si="3308"/>
        <v>118.90312560903016</v>
      </c>
      <c r="AQ1109" s="175">
        <f t="shared" si="3309"/>
        <v>-1.5538165443540626E-2</v>
      </c>
      <c r="AR1109" s="177">
        <f>+AC1109/$AE$53</f>
        <v>2.838647230345318E-3</v>
      </c>
      <c r="AS1109" s="177">
        <f t="shared" si="3305"/>
        <v>-4.4107370300953925E-5</v>
      </c>
      <c r="AT1109" s="177"/>
      <c r="AU1109" s="177"/>
      <c r="AV1109" s="177"/>
      <c r="AW1109" s="190"/>
      <c r="AX1109" s="120"/>
      <c r="AY1109" s="120"/>
      <c r="AZ1109" s="118">
        <f>IFERROR(INDEX('Total Customers'!$F$7:$AB$91,MATCH($C1109,'Total Customers'!$D$7:$D$91,0),MATCH($G1109,'Total Customers'!$F$5:$AB$5,0)),"NA")</f>
        <v>111281</v>
      </c>
      <c r="BA1109" s="119">
        <f t="shared" si="3267"/>
        <v>1.0969251234759037E-3</v>
      </c>
      <c r="BB1109" s="119"/>
      <c r="BC1109" s="121"/>
      <c r="BD1109" s="119"/>
      <c r="BE1109" s="119"/>
      <c r="BF1109" s="119"/>
      <c r="BG1109" s="173"/>
      <c r="BH1109" s="173"/>
      <c r="BI1109" s="173"/>
      <c r="BJ1109" s="173"/>
      <c r="BK1109" s="173"/>
      <c r="BL1109" s="173"/>
      <c r="BM1109" s="173"/>
      <c r="BN1109" s="173"/>
      <c r="BO1109" s="173"/>
      <c r="BP1109" s="173"/>
      <c r="BQ1109" s="118"/>
      <c r="BR1109" s="118"/>
      <c r="BS1109" s="118">
        <f>INDEX('Dist. Plant Gas Additions'!$F$7:$AE$91,MATCH($C1109,'Dist. Plant Gas Additions'!$D$7:$D$91,0),MATCH(Calculation!$G1109,'Dist. Plant Gas Additions'!$F$5:$AE$5,0))</f>
        <v>29541</v>
      </c>
      <c r="BT1109" s="118">
        <f>INDEX('Gen. Plant Additions'!$F$7:$AE$91,MATCH($C1109,'Gen. Plant Additions'!$D$7:$D$91,0),MATCH(Calculation!$G1109,'Gen. Plant Additions'!$F$5:$AE$5,0))</f>
        <v>1097</v>
      </c>
      <c r="BU1109" s="118"/>
      <c r="BV1109" s="118"/>
      <c r="BW1109" s="118">
        <f>INDEX('Dist Plant Depreciation'!$E$7:$AD$94,MATCH($C1109,'Dist Plant Depreciation'!$D$7:$D$94,0),MATCH(Calculation!$G1109,'Dist Plant Depreciation'!$E$5:$AD$5,0))</f>
        <v>87364</v>
      </c>
      <c r="BX1109" s="118">
        <f>INDEX('Gen. Plant Depreciation'!$E$7:$AD$94,MATCH($C1109,'Gen. Plant Depreciation'!$D$7:$D$94,0),MATCH(Calculation!$G1109,'Gen. Plant Depreciation'!$E$5:$AD$5,0))</f>
        <v>6230</v>
      </c>
      <c r="BY1109" s="118"/>
      <c r="BZ1109" s="118"/>
      <c r="CA1109" s="118"/>
      <c r="CB1109" s="118"/>
      <c r="CC1109" s="118"/>
      <c r="CD1109" s="183"/>
      <c r="CE1109" s="118">
        <f>INDEX('Gross Dx Plant'!$E$7:$AD$91,MATCH($C1109,'Gross Dx Plant'!$D$7:$D$91,0),MATCH(Calculation!$G1109,'Gross Dx Plant'!$E$5:$AD$5,0))</f>
        <v>245847</v>
      </c>
      <c r="CF1109" s="118">
        <f>INDEX('Gross Gen Plant'!$E$7:$AD$91,MATCH($C1109,'Gross Gen Plant'!$D$7:$D$91,0),MATCH(Calculation!$G1109,'Gross Gen Plant'!$E$5:$AD$5,0))</f>
        <v>11909</v>
      </c>
      <c r="CG1109" s="118">
        <f t="shared" si="3224"/>
        <v>164162</v>
      </c>
      <c r="CH1109" s="118"/>
      <c r="CI1109" s="121">
        <v>2015</v>
      </c>
      <c r="CJ1109" s="118"/>
      <c r="CK1109" s="118"/>
      <c r="CL1109" s="118"/>
      <c r="CM1109" s="183"/>
      <c r="CN1109" s="118">
        <f t="shared" si="3268"/>
        <v>30638</v>
      </c>
      <c r="CO1109" s="118">
        <f t="shared" si="3269"/>
        <v>45.348336906240768</v>
      </c>
      <c r="CP1109" s="186">
        <v>0.88888888888888884</v>
      </c>
      <c r="CQ1109" s="118">
        <f>+CQ1092*CP1109+CO1093*CP1108+CO1094*CP1107+CO1095*CP1106+CO1096*CP1105+CO1097*CP1104+CO1098*CP1103+CO1099*CP1102+CO1100*CP1101+CO1101*CP1100+CO1102*CP1099+CO1103*CP1098+CO1104*CP1097+CO1105*CP1096+CO1106*CP1095+CO1107*CP1094+CO1108*CP1093+CO1109</f>
        <v>590.52086324831214</v>
      </c>
      <c r="CR1109" s="119">
        <f t="shared" si="3270"/>
        <v>7.1796695710031971E-2</v>
      </c>
      <c r="CS1109" s="119"/>
      <c r="CT1109" s="177">
        <f t="shared" si="3271"/>
        <v>8.0731993979498064E-3</v>
      </c>
      <c r="CU1109" s="177">
        <f t="shared" si="3279"/>
        <v>7.9117386756622689E-3</v>
      </c>
      <c r="CV1109" s="119">
        <f>VLOOKUP($H1109,RoR!$E:$F,2,FALSE)</f>
        <v>3.8866666666666674E-2</v>
      </c>
      <c r="CW1109" s="177">
        <v>9.5709475431029478E-3</v>
      </c>
      <c r="CX1109" s="177">
        <f t="shared" si="3277"/>
        <v>2.9295719123563727E-2</v>
      </c>
      <c r="CY1109" s="177">
        <f t="shared" si="3280"/>
        <v>2.2990202932871358E-2</v>
      </c>
      <c r="CZ1109" s="177">
        <f t="shared" si="3281"/>
        <v>3.5270373279175926E-3</v>
      </c>
      <c r="DA1109" s="187">
        <f t="shared" si="3272"/>
        <v>0.86875000000000002</v>
      </c>
      <c r="DB1109" s="188">
        <f t="shared" si="3273"/>
        <v>1.3194352816994324</v>
      </c>
      <c r="DC1109" s="188">
        <f t="shared" si="3274"/>
        <v>0.33177530017152673</v>
      </c>
      <c r="DD1109" s="188">
        <f t="shared" si="3275"/>
        <v>0.78242572977668579</v>
      </c>
      <c r="DE1109" s="188">
        <f t="shared" si="3276"/>
        <v>0.34251158643433932</v>
      </c>
      <c r="DF1109" s="189">
        <f>INDEX('State Tax Lookup'!$D$7:$Z$91,MATCH(Calculation!$C1109,'State Tax Lookup'!$B$7:$B$91,0),MATCH($H1109,'State Tax Lookup'!$D$6:$Z$6,0))</f>
        <v>0.35</v>
      </c>
      <c r="DG1109" s="189">
        <v>0.375</v>
      </c>
      <c r="DH1109" s="190">
        <f t="shared" si="3278"/>
        <v>20.755093047725921</v>
      </c>
      <c r="DI1109" s="190">
        <v>20.465999295317769</v>
      </c>
      <c r="DJ1109" s="177"/>
      <c r="DK1109" s="189">
        <f>VLOOKUP($H1109,RoR!$E:$F,2,FALSE)</f>
        <v>3.8866666666666674E-2</v>
      </c>
      <c r="DL1109" s="191">
        <f>HLOOKUP($H1109,'GDP-PI'!$D$8:$CQ$11,3,FALSE)</f>
        <v>9.5709475431029478E-3</v>
      </c>
      <c r="DM1109" s="189">
        <f>VLOOKUP(H1109,'HW Dx Data'!$E:$F,2,FALSE)</f>
        <v>675.61463308665782</v>
      </c>
      <c r="DN1109" s="183">
        <f>VLOOKUP(H1109,'ECI - Input Price'!$G$17:$H$37,2,FALSE)</f>
        <v>123.75</v>
      </c>
      <c r="DO1109" s="177">
        <f t="shared" ref="DO1109" si="3324">LN(DN1109/DN1108)</f>
        <v>2.0821327813585516E-2</v>
      </c>
      <c r="DP1109" s="183">
        <f>HLOOKUP(H1109,'GDP-PI'!$8:$9,2,FALSE)</f>
        <v>104.639</v>
      </c>
      <c r="DQ1109" s="177">
        <f t="shared" ref="DQ1109" si="3325">LN(DP1109/DP1108)</f>
        <v>9.5254361854427965E-3</v>
      </c>
    </row>
    <row r="1110" spans="1:121" s="167" customFormat="1" ht="21" x14ac:dyDescent="0.35">
      <c r="A1110" s="167" t="s">
        <v>106</v>
      </c>
      <c r="B1110" s="167" t="s">
        <v>106</v>
      </c>
      <c r="C1110" s="167">
        <v>4057100</v>
      </c>
      <c r="D1110" s="168" t="s">
        <v>150</v>
      </c>
      <c r="E1110" s="168"/>
      <c r="F1110" s="198"/>
      <c r="G1110" s="167" t="s">
        <v>22</v>
      </c>
      <c r="H1110" s="169">
        <v>2016</v>
      </c>
      <c r="I1110" s="170"/>
      <c r="J1110" s="166">
        <f>IFERROR(INDEX('Labor Expenditures'!$F$7:$X$91,MATCH($C1110,'Labor Expenditures'!$D$7:$D$91,0),MATCH($G1110,'Labor Expenditures'!$F$5:$X$5,0)),"NA")</f>
        <v>8743.9487194526482</v>
      </c>
      <c r="K1110" s="166">
        <f t="shared" si="3284"/>
        <v>69.17680948934057</v>
      </c>
      <c r="L1110" s="172">
        <f t="shared" si="3291"/>
        <v>-1.2531401912013034E-2</v>
      </c>
      <c r="M1110" s="172">
        <f t="shared" si="3295"/>
        <v>-3.5288795800904556E-5</v>
      </c>
      <c r="N1110" s="196"/>
      <c r="O1110" s="172"/>
      <c r="P1110" s="166">
        <f>IFERROR(INDEX('Non-Labor Expenditures'!$F$7:$AB$91,MATCH($C1110,'Non-Labor Expenditures'!$D$7:$D$91,0),MATCH($G1110,'Non-Labor Expenditures'!$F$5:$AB$5,0)),"NA")</f>
        <v>12662.870890113121</v>
      </c>
      <c r="Q1110" s="166">
        <f t="shared" si="3285"/>
        <v>119.75931461482486</v>
      </c>
      <c r="R1110" s="172">
        <f t="shared" si="3296"/>
        <v>-1.7724120152607218E-3</v>
      </c>
      <c r="S1110" s="172">
        <f t="shared" si="3301"/>
        <v>-4.9911642863873287E-6</v>
      </c>
      <c r="T1110" s="172"/>
      <c r="U1110" s="172"/>
      <c r="V1110" s="166">
        <f t="shared" si="3266"/>
        <v>12097.976719517097</v>
      </c>
      <c r="W1110" s="170"/>
      <c r="X1110" s="174">
        <v>626.93943631158379</v>
      </c>
      <c r="Y1110" s="175">
        <v>5.984497665389793E-2</v>
      </c>
      <c r="Z1110" s="175">
        <f t="shared" si="3302"/>
        <v>1.6852521175821561E-4</v>
      </c>
      <c r="AA1110" s="175"/>
      <c r="AB1110" s="175"/>
      <c r="AC1110" s="170">
        <f t="shared" si="3252"/>
        <v>33504.796329082863</v>
      </c>
      <c r="AD1110" s="175">
        <f t="shared" si="3297"/>
        <v>2.6471614821861968E-2</v>
      </c>
      <c r="AE1110" s="170"/>
      <c r="AF1110" s="170"/>
      <c r="AG1110" s="121">
        <f t="shared" si="3298"/>
        <v>299.24080818358129</v>
      </c>
      <c r="AH1110" s="119">
        <f>+AZ1110/$BB$54</f>
        <v>3.0050565809477277E-3</v>
      </c>
      <c r="AI1110" s="119"/>
      <c r="AJ1110" s="176">
        <f t="shared" si="3303"/>
        <v>0.89923555992018767</v>
      </c>
      <c r="AK1110" s="176">
        <f t="shared" si="3304"/>
        <v>0</v>
      </c>
      <c r="AL1110" s="120">
        <f t="shared" si="3286"/>
        <v>0.26097602962781535</v>
      </c>
      <c r="AM1110" s="120">
        <f t="shared" si="3287"/>
        <v>0.37794203449974367</v>
      </c>
      <c r="AN1110" s="120">
        <f t="shared" si="3288"/>
        <v>0.36108193587244108</v>
      </c>
      <c r="AO1110" s="120">
        <f t="shared" si="3292"/>
        <v>1.7289625085364125E-2</v>
      </c>
      <c r="AP1110" s="173">
        <f t="shared" si="3308"/>
        <v>120.97679086301683</v>
      </c>
      <c r="AQ1110" s="175">
        <f t="shared" si="3309"/>
        <v>1.7289625085364125E-2</v>
      </c>
      <c r="AR1110" s="177">
        <f>+AC1110/$AE$54</f>
        <v>2.8160293675582697E-3</v>
      </c>
      <c r="AS1110" s="177">
        <f t="shared" si="3305"/>
        <v>4.8688091994457528E-5</v>
      </c>
      <c r="AT1110" s="177"/>
      <c r="AU1110" s="177"/>
      <c r="AV1110" s="177"/>
      <c r="AW1110" s="190"/>
      <c r="AX1110" s="120"/>
      <c r="AY1110" s="120"/>
      <c r="AZ1110" s="118">
        <f>IFERROR(INDEX('Total Customers'!$F$7:$AB$91,MATCH($C1110,'Total Customers'!$D$7:$D$91,0),MATCH($G1110,'Total Customers'!$F$5:$AB$5,0)),"NA")</f>
        <v>111966</v>
      </c>
      <c r="BA1110" s="119">
        <f t="shared" si="3267"/>
        <v>6.1367198638169551E-3</v>
      </c>
      <c r="BB1110" s="119"/>
      <c r="BC1110" s="121"/>
      <c r="BD1110" s="119"/>
      <c r="BE1110" s="119"/>
      <c r="BF1110" s="119"/>
      <c r="BG1110" s="173"/>
      <c r="BH1110" s="173"/>
      <c r="BI1110" s="173"/>
      <c r="BJ1110" s="173"/>
      <c r="BK1110" s="173"/>
      <c r="BL1110" s="173"/>
      <c r="BM1110" s="173"/>
      <c r="BN1110" s="173"/>
      <c r="BO1110" s="173"/>
      <c r="BP1110" s="173"/>
      <c r="BQ1110" s="118"/>
      <c r="BR1110" s="118"/>
      <c r="BS1110" s="118">
        <f>INDEX('Dist. Plant Gas Additions'!$F$7:$AE$91,MATCH($C1110,'Dist. Plant Gas Additions'!$D$7:$D$91,0),MATCH(Calculation!$G1110,'Dist. Plant Gas Additions'!$F$5:$AE$5,0))</f>
        <v>27173</v>
      </c>
      <c r="BT1110" s="118">
        <f>INDEX('Gen. Plant Additions'!$F$7:$AE$91,MATCH($C1110,'Gen. Plant Additions'!$D$7:$D$91,0),MATCH(Calculation!$G1110,'Gen. Plant Additions'!$F$5:$AE$5,0))</f>
        <v>524</v>
      </c>
      <c r="BU1110" s="118"/>
      <c r="BV1110" s="118"/>
      <c r="BW1110" s="118">
        <f>INDEX('Dist Plant Depreciation'!$E$7:$AD$94,MATCH($C1110,'Dist Plant Depreciation'!$D$7:$D$94,0),MATCH(Calculation!$G1110,'Dist Plant Depreciation'!$E$5:$AD$5,0))</f>
        <v>92450</v>
      </c>
      <c r="BX1110" s="118">
        <f>INDEX('Gen. Plant Depreciation'!$E$7:$AD$94,MATCH($C1110,'Gen. Plant Depreciation'!$D$7:$D$94,0),MATCH(Calculation!$G1110,'Gen. Plant Depreciation'!$E$5:$AD$5,0))</f>
        <v>6699</v>
      </c>
      <c r="BY1110" s="118"/>
      <c r="BZ1110" s="118"/>
      <c r="CA1110" s="118"/>
      <c r="CB1110" s="118"/>
      <c r="CC1110" s="118"/>
      <c r="CD1110" s="183"/>
      <c r="CE1110" s="118">
        <f>INDEX('Gross Dx Plant'!$E$7:$AD$91,MATCH($C1110,'Gross Dx Plant'!$D$7:$D$91,0),MATCH(Calculation!$G1110,'Gross Dx Plant'!$E$5:$AD$5,0))</f>
        <v>271799</v>
      </c>
      <c r="CF1110" s="118">
        <f>INDEX('Gross Gen Plant'!$E$7:$AD$91,MATCH($C1110,'Gross Gen Plant'!$D$7:$D$91,0),MATCH(Calculation!$G1110,'Gross Gen Plant'!$E$5:$AD$5,0))</f>
        <v>12329</v>
      </c>
      <c r="CG1110" s="118">
        <f t="shared" si="3224"/>
        <v>184979</v>
      </c>
      <c r="CH1110" s="118"/>
      <c r="CI1110" s="121">
        <v>2016</v>
      </c>
      <c r="CJ1110" s="118"/>
      <c r="CK1110" s="118"/>
      <c r="CL1110" s="118"/>
      <c r="CM1110" s="183"/>
      <c r="CN1110" s="118">
        <f t="shared" si="3268"/>
        <v>27697</v>
      </c>
      <c r="CO1110" s="118">
        <f t="shared" si="3269"/>
        <v>41.249141795776467</v>
      </c>
      <c r="CP1110" s="186">
        <v>0.88</v>
      </c>
      <c r="CQ1110" s="118">
        <f>+CQ1092*CP1110+CO1093*CP1109+CO1094*CP1108+CO1095*CP1107+CO1096*CP1106+CO1097*CP1105+CO1098*CP1104+CO1099*CP1103+CO1100*CP1102+CO1101*CP1101+CO1102*CP1100+CO1103*CP1099+CO1104*CP1098+CO1105*CP1097+CO1106*CP1096+CO1107*CP1095+CO1108*CP1094+CO1109*CP1093+CO1110</f>
        <v>626.93943631158379</v>
      </c>
      <c r="CR1110" s="119">
        <f t="shared" si="3270"/>
        <v>5.984497665389793E-2</v>
      </c>
      <c r="CS1110" s="119"/>
      <c r="CT1110" s="177">
        <f t="shared" si="3271"/>
        <v>8.1801830098483363E-3</v>
      </c>
      <c r="CU1110" s="177">
        <f t="shared" si="3279"/>
        <v>8.0669910261870707E-3</v>
      </c>
      <c r="CV1110" s="119">
        <f>VLOOKUP($H1110,RoR!$E:$F,2,FALSE)</f>
        <v>3.6658333333333334E-2</v>
      </c>
      <c r="CW1110" s="177">
        <v>1.0483662879041455E-2</v>
      </c>
      <c r="CX1110" s="177">
        <f t="shared" si="3277"/>
        <v>2.6174670454291879E-2</v>
      </c>
      <c r="CY1110" s="177">
        <f t="shared" si="3280"/>
        <v>2.2834950582346553E-2</v>
      </c>
      <c r="CZ1110" s="177">
        <f t="shared" si="3281"/>
        <v>4.301363574220729E-3</v>
      </c>
      <c r="DA1110" s="187">
        <f t="shared" si="3272"/>
        <v>0.86875000000000002</v>
      </c>
      <c r="DB1110" s="188">
        <f t="shared" si="3273"/>
        <v>1.3989193348138562</v>
      </c>
      <c r="DC1110" s="188">
        <f t="shared" si="3274"/>
        <v>0.29302682427824522</v>
      </c>
      <c r="DD1110" s="188">
        <f t="shared" si="3275"/>
        <v>0.76309497491941802</v>
      </c>
      <c r="DE1110" s="188">
        <f t="shared" si="3276"/>
        <v>0.31280857135128509</v>
      </c>
      <c r="DF1110" s="189">
        <f>INDEX('State Tax Lookup'!$D$7:$Z$91,MATCH(Calculation!$C1110,'State Tax Lookup'!$B$7:$B$91,0),MATCH($H1110,'State Tax Lookup'!$D$6:$Z$6,0))</f>
        <v>0.35</v>
      </c>
      <c r="DG1110" s="189">
        <v>0.375</v>
      </c>
      <c r="DH1110" s="190">
        <f t="shared" si="3278"/>
        <v>20.486959009321126</v>
      </c>
      <c r="DI1110" s="190">
        <v>20.219013857799293</v>
      </c>
      <c r="DJ1110" s="177"/>
      <c r="DK1110" s="189">
        <f>VLOOKUP($H1110,RoR!$E:$F,2,FALSE)</f>
        <v>3.6658333333333334E-2</v>
      </c>
      <c r="DL1110" s="191">
        <f>HLOOKUP($H1110,'GDP-PI'!$D$8:$CQ$11,3,FALSE)</f>
        <v>1.0483662879041455E-2</v>
      </c>
      <c r="DM1110" s="189">
        <f>VLOOKUP(H1110,'HW Dx Data'!$E:$F,2,FALSE)</f>
        <v>671.45639385971219</v>
      </c>
      <c r="DN1110" s="183">
        <f>VLOOKUP(H1110,'ECI - Input Price'!$G$17:$H$37,2,FALSE)</f>
        <v>126.4</v>
      </c>
      <c r="DO1110" s="177">
        <f t="shared" ref="DO1110" si="3326">LN(DN1110/DN1109)</f>
        <v>2.11880802639575E-2</v>
      </c>
      <c r="DP1110" s="183">
        <f>HLOOKUP(H1110,'GDP-PI'!$8:$9,2,FALSE)</f>
        <v>105.736</v>
      </c>
      <c r="DQ1110" s="177">
        <f t="shared" ref="DQ1110" si="3327">LN(DP1110/DP1109)</f>
        <v>1.0429090367205095E-2</v>
      </c>
    </row>
    <row r="1111" spans="1:121" s="167" customFormat="1" ht="21" x14ac:dyDescent="0.35">
      <c r="A1111" s="167" t="s">
        <v>106</v>
      </c>
      <c r="B1111" s="167" t="s">
        <v>106</v>
      </c>
      <c r="C1111" s="167">
        <v>4057100</v>
      </c>
      <c r="D1111" s="168" t="s">
        <v>150</v>
      </c>
      <c r="E1111" s="168"/>
      <c r="F1111" s="198"/>
      <c r="G1111" s="167" t="s">
        <v>23</v>
      </c>
      <c r="H1111" s="169">
        <v>2017</v>
      </c>
      <c r="I1111" s="170"/>
      <c r="J1111" s="166">
        <f>IFERROR(INDEX('Labor Expenditures'!$F$7:$X$91,MATCH($C1111,'Labor Expenditures'!$D$7:$D$91,0),MATCH($G1111,'Labor Expenditures'!$F$5:$X$5,0)),"NA")</f>
        <v>9966.6128451146342</v>
      </c>
      <c r="K1111" s="166">
        <f t="shared" si="3284"/>
        <v>76.962261352236553</v>
      </c>
      <c r="L1111" s="172">
        <f t="shared" si="3291"/>
        <v>0.1066495059298133</v>
      </c>
      <c r="M1111" s="172">
        <f t="shared" si="3295"/>
        <v>3.2603124571552682E-4</v>
      </c>
      <c r="N1111" s="196"/>
      <c r="O1111" s="172"/>
      <c r="P1111" s="166">
        <f>IFERROR(INDEX('Non-Labor Expenditures'!$F$7:$AB$91,MATCH($C1111,'Non-Labor Expenditures'!$D$7:$D$91,0),MATCH($G1111,'Non-Labor Expenditures'!$F$5:$AB$5,0)),"NA")</f>
        <v>14433.516906230188</v>
      </c>
      <c r="Q1111" s="166">
        <f t="shared" si="3285"/>
        <v>133.95251001132414</v>
      </c>
      <c r="R1111" s="172">
        <f t="shared" si="3296"/>
        <v>0.11200131712890322</v>
      </c>
      <c r="S1111" s="172">
        <f t="shared" si="3301"/>
        <v>3.4239191852747494E-4</v>
      </c>
      <c r="T1111" s="172"/>
      <c r="U1111" s="172"/>
      <c r="V1111" s="166">
        <f t="shared" si="3266"/>
        <v>11817.69663589367</v>
      </c>
      <c r="W1111" s="170"/>
      <c r="X1111" s="174">
        <v>661.85373292579845</v>
      </c>
      <c r="Y1111" s="175">
        <v>5.4194641119530387E-2</v>
      </c>
      <c r="Z1111" s="175">
        <f t="shared" si="3302"/>
        <v>1.6567490117520638E-4</v>
      </c>
      <c r="AA1111" s="175"/>
      <c r="AB1111" s="175"/>
      <c r="AC1111" s="170">
        <f t="shared" si="3252"/>
        <v>36217.826387238492</v>
      </c>
      <c r="AD1111" s="175">
        <f t="shared" si="3297"/>
        <v>7.7862836673480998E-2</v>
      </c>
      <c r="AE1111" s="170"/>
      <c r="AF1111" s="170"/>
      <c r="AG1111" s="121">
        <f t="shared" si="3298"/>
        <v>322.53256142234972</v>
      </c>
      <c r="AH1111" s="119">
        <f>+AZ1111/$BB$55</f>
        <v>2.9911626494615214E-3</v>
      </c>
      <c r="AI1111" s="119"/>
      <c r="AJ1111" s="176">
        <f t="shared" si="3303"/>
        <v>0.9647473509616864</v>
      </c>
      <c r="AK1111" s="176">
        <f t="shared" si="3304"/>
        <v>0</v>
      </c>
      <c r="AL1111" s="120">
        <f t="shared" si="3286"/>
        <v>0.27518528413473242</v>
      </c>
      <c r="AM1111" s="120">
        <f t="shared" si="3287"/>
        <v>0.39851968894842071</v>
      </c>
      <c r="AN1111" s="120">
        <f t="shared" si="3288"/>
        <v>0.32629502691684686</v>
      </c>
      <c r="AO1111" s="120">
        <f t="shared" si="3292"/>
        <v>9.0699111375013103E-2</v>
      </c>
      <c r="AP1111" s="173">
        <f t="shared" si="3308"/>
        <v>132.46226700174853</v>
      </c>
      <c r="AQ1111" s="175">
        <f t="shared" si="3309"/>
        <v>9.0699111375013172E-2</v>
      </c>
      <c r="AR1111" s="177">
        <f>+AC1111/$AE$55</f>
        <v>3.0570347501664942E-3</v>
      </c>
      <c r="AS1111" s="177">
        <f t="shared" si="3305"/>
        <v>2.7727033528263643E-4</v>
      </c>
      <c r="AT1111" s="177"/>
      <c r="AU1111" s="177"/>
      <c r="AV1111" s="177"/>
      <c r="AW1111" s="190"/>
      <c r="AX1111" s="120"/>
      <c r="AY1111" s="120"/>
      <c r="AZ1111" s="118">
        <f>IFERROR(INDEX('Total Customers'!$F$7:$AB$91,MATCH($C1111,'Total Customers'!$D$7:$D$91,0),MATCH($G1111,'Total Customers'!$F$5:$AB$5,0)),"NA")</f>
        <v>112292</v>
      </c>
      <c r="BA1111" s="119">
        <f t="shared" si="3267"/>
        <v>2.907367671467698E-3</v>
      </c>
      <c r="BB1111" s="119"/>
      <c r="BC1111" s="121"/>
      <c r="BD1111" s="119"/>
      <c r="BE1111" s="119"/>
      <c r="BF1111" s="119"/>
      <c r="BG1111" s="173"/>
      <c r="BH1111" s="173"/>
      <c r="BI1111" s="173"/>
      <c r="BJ1111" s="173"/>
      <c r="BK1111" s="173"/>
      <c r="BL1111" s="173"/>
      <c r="BM1111" s="173"/>
      <c r="BN1111" s="173"/>
      <c r="BO1111" s="173"/>
      <c r="BP1111" s="173"/>
      <c r="BQ1111" s="118"/>
      <c r="BR1111" s="118"/>
      <c r="BS1111" s="118">
        <f>INDEX('Dist. Plant Gas Additions'!$F$7:$AE$91,MATCH($C1111,'Dist. Plant Gas Additions'!$D$7:$D$91,0),MATCH(Calculation!$G1111,'Dist. Plant Gas Additions'!$F$5:$AE$5,0))</f>
        <v>28052</v>
      </c>
      <c r="BT1111" s="118">
        <f>INDEX('Gen. Plant Additions'!$F$7:$AE$91,MATCH($C1111,'Gen. Plant Additions'!$D$7:$D$91,0),MATCH(Calculation!$G1111,'Gen. Plant Additions'!$F$5:$AE$5,0))</f>
        <v>541</v>
      </c>
      <c r="BU1111" s="118"/>
      <c r="BV1111" s="118"/>
      <c r="BW1111" s="118">
        <f>INDEX('Dist Plant Depreciation'!$E$7:$AD$94,MATCH($C1111,'Dist Plant Depreciation'!$D$7:$D$94,0),MATCH(Calculation!$G1111,'Dist Plant Depreciation'!$E$5:$AD$5,0))</f>
        <v>97857</v>
      </c>
      <c r="BX1111" s="118">
        <f>INDEX('Gen. Plant Depreciation'!$E$7:$AD$94,MATCH($C1111,'Gen. Plant Depreciation'!$D$7:$D$94,0),MATCH(Calculation!$G1111,'Gen. Plant Depreciation'!$E$5:$AD$5,0))</f>
        <v>6869</v>
      </c>
      <c r="BY1111" s="118"/>
      <c r="BZ1111" s="118"/>
      <c r="CA1111" s="118"/>
      <c r="CB1111" s="118"/>
      <c r="CC1111" s="118"/>
      <c r="CD1111" s="183"/>
      <c r="CE1111" s="118">
        <f>INDEX('Gross Dx Plant'!$E$7:$AD$91,MATCH($C1111,'Gross Dx Plant'!$D$7:$D$91,0),MATCH(Calculation!$G1111,'Gross Dx Plant'!$E$5:$AD$5,0))</f>
        <v>298238</v>
      </c>
      <c r="CF1111" s="118">
        <f>INDEX('Gross Gen Plant'!$E$7:$AD$91,MATCH($C1111,'Gross Gen Plant'!$D$7:$D$91,0),MATCH(Calculation!$G1111,'Gross Gen Plant'!$E$5:$AD$5,0))</f>
        <v>12436</v>
      </c>
      <c r="CG1111" s="118">
        <f t="shared" si="3224"/>
        <v>205948</v>
      </c>
      <c r="CH1111" s="118"/>
      <c r="CI1111" s="121">
        <v>2017</v>
      </c>
      <c r="CJ1111" s="118"/>
      <c r="CK1111" s="118"/>
      <c r="CL1111" s="118"/>
      <c r="CM1111" s="183"/>
      <c r="CN1111" s="118">
        <f t="shared" si="3268"/>
        <v>28593</v>
      </c>
      <c r="CO1111" s="118">
        <f t="shared" si="3269"/>
        <v>40.134549138118473</v>
      </c>
      <c r="CP1111" s="186">
        <v>0.87074829931972786</v>
      </c>
      <c r="CQ1111" s="118">
        <f>+CQ1092*CP1111+CO1093*CP1110+CO1094*CP1109+CO1095*CP1108+CO1096*CP1107+CO1097*CP1106+CO1098*CP1105+CO1099*CP1104+CO1100*CP1103+CO1101*CP1102+CO1102*CP1101+CO1103*CP1100+CO1104*CP1099+CO1105*CP1098+CO1106*CP1097+CO1107*CP1096+CO1108*CP1095+CO1109*CP1094+CO1110*CP1093+CO1111</f>
        <v>661.85373292579845</v>
      </c>
      <c r="CR1111" s="119">
        <f t="shared" si="3270"/>
        <v>5.4194641119530387E-2</v>
      </c>
      <c r="CS1111" s="119"/>
      <c r="CT1111" s="177">
        <f t="shared" si="3271"/>
        <v>8.326565887473358E-3</v>
      </c>
      <c r="CU1111" s="177">
        <f t="shared" si="3279"/>
        <v>8.1933160984238324E-3</v>
      </c>
      <c r="CV1111" s="119">
        <f>VLOOKUP($H1111,RoR!$E:$F,2,FALSE)</f>
        <v>3.7433333333333339E-2</v>
      </c>
      <c r="CW1111" s="177">
        <v>1.9056896421275615E-2</v>
      </c>
      <c r="CX1111" s="177">
        <f t="shared" si="3277"/>
        <v>1.8376436912057724E-2</v>
      </c>
      <c r="CY1111" s="177">
        <f t="shared" si="3280"/>
        <v>2.2708625510109791E-2</v>
      </c>
      <c r="CZ1111" s="177">
        <f t="shared" si="3281"/>
        <v>1.3976271617800498E-2</v>
      </c>
      <c r="DA1111" s="187">
        <f t="shared" si="3272"/>
        <v>0.92125000000000001</v>
      </c>
      <c r="DB1111" s="188">
        <f t="shared" si="3273"/>
        <v>1.3699568463593395</v>
      </c>
      <c r="DC1111" s="188">
        <f t="shared" si="3274"/>
        <v>0.30714603739982199</v>
      </c>
      <c r="DD1111" s="188">
        <f t="shared" si="3275"/>
        <v>0.77007188472689425</v>
      </c>
      <c r="DE1111" s="188">
        <f t="shared" si="3276"/>
        <v>0.32402839633793828</v>
      </c>
      <c r="DF1111" s="189">
        <f>INDEX('State Tax Lookup'!$D$7:$Z$91,MATCH(Calculation!$C1111,'State Tax Lookup'!$B$7:$B$91,0),MATCH($H1111,'State Tax Lookup'!$D$6:$Z$6,0))</f>
        <v>0.20999999999999996</v>
      </c>
      <c r="DG1111" s="189">
        <v>0.375</v>
      </c>
      <c r="DH1111" s="190">
        <f t="shared" si="3278"/>
        <v>18.849821771333541</v>
      </c>
      <c r="DI1111" s="190">
        <v>18.619659544496844</v>
      </c>
      <c r="DJ1111" s="177"/>
      <c r="DK1111" s="189">
        <f>VLOOKUP($H1111,RoR!$E:$F,2,FALSE)</f>
        <v>3.7433333333333339E-2</v>
      </c>
      <c r="DL1111" s="191">
        <f>HLOOKUP($H1111,'GDP-PI'!$D$8:$CQ$11,3,FALSE)</f>
        <v>1.9056896421275615E-2</v>
      </c>
      <c r="DM1111" s="189">
        <f>VLOOKUP(H1111,'HW Dx Data'!$E:$F,2,FALSE)</f>
        <v>712.42858370229726</v>
      </c>
      <c r="DN1111" s="183">
        <f>VLOOKUP(H1111,'ECI - Input Price'!$G$17:$H$37,2,FALSE)</f>
        <v>129.5</v>
      </c>
      <c r="DO1111" s="177">
        <f t="shared" ref="DO1111" si="3328">LN(DN1111/DN1110)</f>
        <v>2.4229399426835413E-2</v>
      </c>
      <c r="DP1111" s="183">
        <f>HLOOKUP(H1111,'GDP-PI'!$8:$9,2,FALSE)</f>
        <v>107.751</v>
      </c>
      <c r="DQ1111" s="177">
        <f t="shared" ref="DQ1111" si="3329">LN(DP1111/DP1110)</f>
        <v>1.8877588227745139E-2</v>
      </c>
    </row>
    <row r="1112" spans="1:121" s="167" customFormat="1" ht="21" x14ac:dyDescent="0.35">
      <c r="A1112" s="167" t="s">
        <v>106</v>
      </c>
      <c r="B1112" s="167" t="s">
        <v>106</v>
      </c>
      <c r="C1112" s="167">
        <v>4057100</v>
      </c>
      <c r="D1112" s="168" t="s">
        <v>150</v>
      </c>
      <c r="E1112" s="168"/>
      <c r="F1112" s="198"/>
      <c r="G1112" s="167" t="s">
        <v>24</v>
      </c>
      <c r="H1112" s="169">
        <v>2018</v>
      </c>
      <c r="I1112" s="170"/>
      <c r="J1112" s="166">
        <f>IFERROR(INDEX('Labor Expenditures'!$F$7:$X$91,MATCH($C1112,'Labor Expenditures'!$D$7:$D$91,0),MATCH($G1112,'Labor Expenditures'!$F$5:$X$5,0)),"NA")</f>
        <v>10548.48795955728</v>
      </c>
      <c r="K1112" s="166">
        <f t="shared" si="3284"/>
        <v>79.163136657090277</v>
      </c>
      <c r="L1112" s="172">
        <f t="shared" si="3291"/>
        <v>2.8195554817019238E-2</v>
      </c>
      <c r="M1112" s="172">
        <f t="shared" si="3295"/>
        <v>8.524847466282995E-5</v>
      </c>
      <c r="N1112" s="196"/>
      <c r="O1112" s="172"/>
      <c r="P1112" s="166">
        <f>IFERROR(INDEX('Non-Labor Expenditures'!$F$7:$AB$91,MATCH($C1112,'Non-Labor Expenditures'!$D$7:$D$91,0),MATCH($G1112,'Non-Labor Expenditures'!$F$5:$AB$5,0)),"NA")</f>
        <v>15276.180751223352</v>
      </c>
      <c r="Q1112" s="166">
        <f t="shared" si="3285"/>
        <v>138.46903383933713</v>
      </c>
      <c r="R1112" s="172">
        <f t="shared" si="3296"/>
        <v>3.3161384006872012E-2</v>
      </c>
      <c r="S1112" s="172">
        <f t="shared" si="3301"/>
        <v>1.0026252090587739E-4</v>
      </c>
      <c r="T1112" s="172"/>
      <c r="U1112" s="172"/>
      <c r="V1112" s="166">
        <f t="shared" si="3266"/>
        <v>13123.948960395324</v>
      </c>
      <c r="W1112" s="170"/>
      <c r="X1112" s="174">
        <v>711.785101323194</v>
      </c>
      <c r="Y1112" s="175">
        <v>7.273145758709755E-2</v>
      </c>
      <c r="Z1112" s="175">
        <f t="shared" si="3302"/>
        <v>2.1990153623654962E-4</v>
      </c>
      <c r="AA1112" s="175"/>
      <c r="AB1112" s="175"/>
      <c r="AC1112" s="170">
        <f t="shared" si="3252"/>
        <v>38948.617671175954</v>
      </c>
      <c r="AD1112" s="175">
        <f t="shared" si="3297"/>
        <v>7.269184259982045E-2</v>
      </c>
      <c r="AE1112" s="170"/>
      <c r="AF1112" s="170"/>
      <c r="AG1112" s="121">
        <f t="shared" si="3298"/>
        <v>345.36264516542491</v>
      </c>
      <c r="AH1112" s="119">
        <f>+AZ1112/$BB$56</f>
        <v>2.9779610916296573E-3</v>
      </c>
      <c r="AI1112" s="119"/>
      <c r="AJ1112" s="176">
        <f t="shared" si="3303"/>
        <v>1.0284765198049348</v>
      </c>
      <c r="AK1112" s="176">
        <f t="shared" si="3304"/>
        <v>0</v>
      </c>
      <c r="AL1112" s="120">
        <f t="shared" si="3286"/>
        <v>0.27083086872589374</v>
      </c>
      <c r="AM1112" s="120">
        <f t="shared" si="3287"/>
        <v>0.39221368214380908</v>
      </c>
      <c r="AN1112" s="120">
        <f t="shared" si="3288"/>
        <v>0.33695544913029724</v>
      </c>
      <c r="AO1112" s="120">
        <f t="shared" si="3292"/>
        <v>4.4928107601521355E-2</v>
      </c>
      <c r="AP1112" s="173">
        <f t="shared" si="3308"/>
        <v>138.5492606737831</v>
      </c>
      <c r="AQ1112" s="175">
        <f t="shared" si="3309"/>
        <v>4.4928107601521335E-2</v>
      </c>
      <c r="AR1112" s="177">
        <f>+AC1112/$AE$56</f>
        <v>3.0234721471546558E-3</v>
      </c>
      <c r="AS1112" s="177">
        <f t="shared" si="3305"/>
        <v>1.3583888195756711E-4</v>
      </c>
      <c r="AT1112" s="177"/>
      <c r="AU1112" s="177"/>
      <c r="AV1112" s="177"/>
      <c r="AW1112" s="190"/>
      <c r="AX1112" s="120"/>
      <c r="AY1112" s="120"/>
      <c r="AZ1112" s="118">
        <f>IFERROR(INDEX('Total Customers'!$F$7:$AB$91,MATCH($C1112,'Total Customers'!$D$7:$D$91,0),MATCH($G1112,'Total Customers'!$F$5:$AB$5,0)),"NA")</f>
        <v>112776</v>
      </c>
      <c r="BA1112" s="119">
        <f t="shared" si="3267"/>
        <v>4.300929017767012E-3</v>
      </c>
      <c r="BB1112" s="119"/>
      <c r="BC1112" s="121"/>
      <c r="BD1112" s="119"/>
      <c r="BE1112" s="119"/>
      <c r="BF1112" s="119"/>
      <c r="BG1112" s="173"/>
      <c r="BH1112" s="173"/>
      <c r="BI1112" s="173"/>
      <c r="BJ1112" s="173"/>
      <c r="BK1112" s="173"/>
      <c r="BL1112" s="173"/>
      <c r="BM1112" s="173"/>
      <c r="BN1112" s="173"/>
      <c r="BO1112" s="173"/>
      <c r="BP1112" s="173"/>
      <c r="BQ1112" s="118"/>
      <c r="BR1112" s="118"/>
      <c r="BS1112" s="118">
        <f>INDEX('Dist. Plant Gas Additions'!$F$7:$AE$91,MATCH($C1112,'Dist. Plant Gas Additions'!$D$7:$D$91,0),MATCH(Calculation!$G1112,'Dist. Plant Gas Additions'!$F$5:$AE$5,0))</f>
        <v>39071</v>
      </c>
      <c r="BT1112" s="118">
        <f>INDEX('Gen. Plant Additions'!$F$7:$AE$91,MATCH($C1112,'Gen. Plant Additions'!$D$7:$D$91,0),MATCH(Calculation!$G1112,'Gen. Plant Additions'!$F$5:$AE$5,0))</f>
        <v>2879</v>
      </c>
      <c r="BU1112" s="118"/>
      <c r="BV1112" s="118"/>
      <c r="BW1112" s="118">
        <f>INDEX('Dist Plant Depreciation'!$E$7:$AD$94,MATCH($C1112,'Dist Plant Depreciation'!$D$7:$D$94,0),MATCH(Calculation!$G1112,'Dist Plant Depreciation'!$E$5:$AD$5,0))</f>
        <v>104380</v>
      </c>
      <c r="BX1112" s="118">
        <f>INDEX('Gen. Plant Depreciation'!$E$7:$AD$94,MATCH($C1112,'Gen. Plant Depreciation'!$D$7:$D$94,0),MATCH(Calculation!$G1112,'Gen. Plant Depreciation'!$E$5:$AD$5,0))</f>
        <v>7373</v>
      </c>
      <c r="BY1112" s="118"/>
      <c r="BZ1112" s="118"/>
      <c r="CA1112" s="118"/>
      <c r="CB1112" s="118"/>
      <c r="CC1112" s="118"/>
      <c r="CD1112" s="183"/>
      <c r="CE1112" s="118">
        <f>INDEX('Gross Dx Plant'!$E$7:$AD$91,MATCH($C1112,'Gross Dx Plant'!$D$7:$D$91,0),MATCH(Calculation!$G1112,'Gross Dx Plant'!$E$5:$AD$5,0))</f>
        <v>335724</v>
      </c>
      <c r="CF1112" s="118">
        <f>INDEX('Gross Gen Plant'!$E$7:$AD$91,MATCH($C1112,'Gross Gen Plant'!$D$7:$D$91,0),MATCH(Calculation!$G1112,'Gross Gen Plant'!$E$5:$AD$5,0))</f>
        <v>15197</v>
      </c>
      <c r="CG1112" s="118">
        <f t="shared" si="3224"/>
        <v>239168</v>
      </c>
      <c r="CH1112" s="118"/>
      <c r="CI1112" s="121">
        <v>2018</v>
      </c>
      <c r="CJ1112" s="118"/>
      <c r="CK1112" s="118"/>
      <c r="CL1112" s="118"/>
      <c r="CM1112" s="183"/>
      <c r="CN1112" s="118">
        <f t="shared" si="3268"/>
        <v>41950</v>
      </c>
      <c r="CO1112" s="118">
        <f t="shared" si="3269"/>
        <v>55.552854474262659</v>
      </c>
      <c r="CP1112" s="186">
        <v>0.86111111111111116</v>
      </c>
      <c r="CQ1112" s="118">
        <f>+CQ1092*CP1112++CO1093*CP1111+CO1094*CP1110+CO1095*CP1109+CO1096*CP1108+CO1097*CP1107+CO1098*CP1106+CO1099*CP1105+CO1100*CP1104+CO1101*CP1103+CO1102*CP1102+CO1103*CP1101+CO1104*CP1100+CO1105*CP1099+CO1106*CP1098+CO1107*CP1097+CO1108*CP1096+CO1109*CP1095+CO1110*CP1094+CO1111*CP1093+CO1112</f>
        <v>711.785101323194</v>
      </c>
      <c r="CR1112" s="119">
        <f t="shared" si="3270"/>
        <v>7.273145758709755E-2</v>
      </c>
      <c r="CS1112" s="119"/>
      <c r="CT1112" s="177">
        <f t="shared" si="3271"/>
        <v>8.4935474368584528E-3</v>
      </c>
      <c r="CU1112" s="177">
        <f t="shared" si="3279"/>
        <v>8.3334321113933824E-3</v>
      </c>
      <c r="CV1112" s="119">
        <f>VLOOKUP($H1112,RoR!$E:$F,2,FALSE)</f>
        <v>3.9299999999999995E-2</v>
      </c>
      <c r="CW1112" s="177">
        <v>2.386056741932796E-2</v>
      </c>
      <c r="CX1112" s="177">
        <f t="shared" si="3277"/>
        <v>1.5439432580672034E-2</v>
      </c>
      <c r="CY1112" s="177">
        <f t="shared" si="3280"/>
        <v>2.2568509497140243E-2</v>
      </c>
      <c r="CZ1112" s="177">
        <f t="shared" si="3281"/>
        <v>3.8270792163076606E-2</v>
      </c>
      <c r="DA1112" s="187">
        <f t="shared" si="3272"/>
        <v>0.92125000000000001</v>
      </c>
      <c r="DB1112" s="188">
        <f t="shared" si="3273"/>
        <v>1.3048868010700074</v>
      </c>
      <c r="DC1112" s="188">
        <f t="shared" si="3274"/>
        <v>0.33886768447837151</v>
      </c>
      <c r="DD1112" s="188">
        <f t="shared" si="3275"/>
        <v>0.78602506232557801</v>
      </c>
      <c r="DE1112" s="188">
        <f t="shared" si="3276"/>
        <v>0.34756768162358759</v>
      </c>
      <c r="DF1112" s="189">
        <f>INDEX('State Tax Lookup'!$D$7:$Z$91,MATCH(Calculation!$C1112,'State Tax Lookup'!$B$7:$B$91,0),MATCH($H1112,'State Tax Lookup'!$D$6:$Z$6,0))</f>
        <v>0.20999999999999996</v>
      </c>
      <c r="DG1112" s="189">
        <v>0.375</v>
      </c>
      <c r="DH1112" s="190">
        <f t="shared" si="3278"/>
        <v>19.829077494780364</v>
      </c>
      <c r="DI1112" s="190">
        <v>19.577012960148743</v>
      </c>
      <c r="DJ1112" s="177"/>
      <c r="DK1112" s="189">
        <f>VLOOKUP($H1112,RoR!$E:$F,2,FALSE)</f>
        <v>3.9299999999999995E-2</v>
      </c>
      <c r="DL1112" s="191">
        <f>HLOOKUP($H1112,'GDP-PI'!$D$8:$CQ$11,3,FALSE)</f>
        <v>2.386056741932796E-2</v>
      </c>
      <c r="DM1112" s="189">
        <f>VLOOKUP(H1112,'HW Dx Data'!$E:$F,2,FALSE)</f>
        <v>755.13671434174842</v>
      </c>
      <c r="DN1112" s="183">
        <f>VLOOKUP(H1112,'ECI - Input Price'!$G$17:$H$37,2,FALSE)</f>
        <v>133.25</v>
      </c>
      <c r="DO1112" s="177">
        <f t="shared" ref="DO1112" si="3330">LN(DN1112/DN1111)</f>
        <v>2.8546181906361531E-2</v>
      </c>
      <c r="DP1112" s="183">
        <f>HLOOKUP(H1112,'GDP-PI'!$8:$9,2,FALSE)</f>
        <v>110.322</v>
      </c>
      <c r="DQ1112" s="177">
        <f t="shared" ref="DQ1112" si="3331">LN(DP1112/DP1111)</f>
        <v>2.3580352716508712E-2</v>
      </c>
    </row>
    <row r="1113" spans="1:121" s="167" customFormat="1" ht="21" x14ac:dyDescent="0.35">
      <c r="A1113" s="167" t="s">
        <v>106</v>
      </c>
      <c r="B1113" s="167" t="s">
        <v>106</v>
      </c>
      <c r="C1113" s="167">
        <v>4057100</v>
      </c>
      <c r="D1113" s="168" t="s">
        <v>150</v>
      </c>
      <c r="E1113" s="168"/>
      <c r="F1113" s="198"/>
      <c r="G1113" s="167" t="s">
        <v>25</v>
      </c>
      <c r="H1113" s="169">
        <v>2019</v>
      </c>
      <c r="I1113" s="170"/>
      <c r="J1113" s="166">
        <f>IFERROR(INDEX('Labor Expenditures'!$F$7:$X$91,MATCH($C1113,'Labor Expenditures'!$D$7:$D$91,0),MATCH($G1113,'Labor Expenditures'!$F$5:$X$5,0)),"NA")</f>
        <v>13990.307944488486</v>
      </c>
      <c r="K1113" s="166">
        <f t="shared" si="3284"/>
        <v>102.23096780773464</v>
      </c>
      <c r="L1113" s="172">
        <f t="shared" si="3291"/>
        <v>0.25572389947036783</v>
      </c>
      <c r="M1113" s="172">
        <f t="shared" si="3295"/>
        <v>9.3572903934504431E-4</v>
      </c>
      <c r="N1113" s="196"/>
      <c r="O1113" s="172"/>
      <c r="P1113" s="166">
        <f>IFERROR(INDEX('Non-Labor Expenditures'!$F$7:$AB$91,MATCH($C1113,'Non-Labor Expenditures'!$D$7:$D$91,0),MATCH($G1113,'Non-Labor Expenditures'!$F$5:$AB$5,0)),"NA")</f>
        <v>20260.578932703444</v>
      </c>
      <c r="Q1113" s="166">
        <f t="shared" si="3285"/>
        <v>180.38585919178976</v>
      </c>
      <c r="R1113" s="172">
        <f t="shared" si="3296"/>
        <v>0.26445150045970017</v>
      </c>
      <c r="S1113" s="172">
        <f t="shared" si="3301"/>
        <v>9.6766453581779825E-4</v>
      </c>
      <c r="T1113" s="172"/>
      <c r="U1113" s="172"/>
      <c r="V1113" s="166">
        <f t="shared" si="3266"/>
        <v>14361.629157851625</v>
      </c>
      <c r="W1113" s="170"/>
      <c r="X1113" s="174">
        <v>759.89882596615541</v>
      </c>
      <c r="Y1113" s="175">
        <v>6.5409258820212063E-2</v>
      </c>
      <c r="Z1113" s="175">
        <f t="shared" si="3302"/>
        <v>2.3934150482951089E-4</v>
      </c>
      <c r="AA1113" s="175"/>
      <c r="AB1113" s="175"/>
      <c r="AC1113" s="170">
        <f t="shared" si="3252"/>
        <v>48612.516035043554</v>
      </c>
      <c r="AD1113" s="175">
        <f t="shared" si="3297"/>
        <v>0.22163774747776355</v>
      </c>
      <c r="AE1113" s="170"/>
      <c r="AF1113" s="170"/>
      <c r="AG1113" s="121">
        <f t="shared" si="3298"/>
        <v>429.46574465773989</v>
      </c>
      <c r="AH1113" s="119">
        <f>+AZ1113/$BB$57</f>
        <v>2.9645188010828391E-3</v>
      </c>
      <c r="AI1113" s="119"/>
      <c r="AJ1113" s="176">
        <f t="shared" si="3303"/>
        <v>1.2731592744589117</v>
      </c>
      <c r="AK1113" s="176">
        <f t="shared" si="3304"/>
        <v>0</v>
      </c>
      <c r="AL1113" s="120">
        <f t="shared" si="3286"/>
        <v>0.28779230300285674</v>
      </c>
      <c r="AM1113" s="120">
        <f t="shared" si="3287"/>
        <v>0.41677700693578779</v>
      </c>
      <c r="AN1113" s="120">
        <f t="shared" si="3288"/>
        <v>0.29543069006135547</v>
      </c>
      <c r="AO1113" s="120">
        <f t="shared" si="3292"/>
        <v>0.19907800302335432</v>
      </c>
      <c r="AP1113" s="173">
        <f t="shared" si="3308"/>
        <v>169.06849660246667</v>
      </c>
      <c r="AQ1113" s="175">
        <f t="shared" si="3309"/>
        <v>0.19907800302335435</v>
      </c>
      <c r="AR1113" s="177">
        <f>+AC1113/$AE$57</f>
        <v>3.6591380050243309E-3</v>
      </c>
      <c r="AS1113" s="177">
        <f t="shared" si="3305"/>
        <v>7.2845388682710459E-4</v>
      </c>
      <c r="AT1113" s="177"/>
      <c r="AU1113" s="177"/>
      <c r="AV1113" s="177"/>
      <c r="AW1113" s="190"/>
      <c r="AX1113" s="120"/>
      <c r="AY1113" s="120"/>
      <c r="AZ1113" s="118">
        <f>IFERROR(INDEX('Total Customers'!$F$7:$AB$91,MATCH($C1113,'Total Customers'!$D$7:$D$91,0),MATCH($G1113,'Total Customers'!$F$5:$AB$5,0)),"NA")</f>
        <v>113193</v>
      </c>
      <c r="BA1113" s="119">
        <f t="shared" si="3267"/>
        <v>3.6907759326135483E-3</v>
      </c>
      <c r="BB1113" s="119"/>
      <c r="BC1113" s="121"/>
      <c r="BD1113" s="119"/>
      <c r="BE1113" s="119"/>
      <c r="BF1113" s="119"/>
      <c r="BG1113" s="173"/>
      <c r="BH1113" s="173"/>
      <c r="BI1113" s="173"/>
      <c r="BJ1113" s="173"/>
      <c r="BK1113" s="173"/>
      <c r="BL1113" s="173"/>
      <c r="BM1113" s="173"/>
      <c r="BN1113" s="173"/>
      <c r="BO1113" s="173"/>
      <c r="BP1113" s="173"/>
      <c r="BQ1113" s="118"/>
      <c r="BR1113" s="118"/>
      <c r="BS1113" s="118" t="str">
        <f>INDEX('Dist. Plant Gas Additions'!$F$7:$AE$91,MATCH($C1113,'Dist. Plant Gas Additions'!$D$7:$D$91,0),MATCH(Calculation!$G1113,'Dist. Plant Gas Additions'!$F$5:$AE$5,0))</f>
        <v>NA</v>
      </c>
      <c r="BT1113" s="118" t="str">
        <f>INDEX('Gen. Plant Additions'!$F$7:$AE$91,MATCH($C1113,'Gen. Plant Additions'!$D$7:$D$91,0),MATCH(Calculation!$G1113,'Gen. Plant Additions'!$F$5:$AE$5,0))</f>
        <v>NA</v>
      </c>
      <c r="BU1113" s="118"/>
      <c r="BV1113" s="118"/>
      <c r="BW1113" s="118" t="str">
        <f>INDEX('Dist Plant Depreciation'!$E$7:$AD$94,MATCH($C1113,'Dist Plant Depreciation'!$D$7:$D$94,0),MATCH(Calculation!$G1113,'Dist Plant Depreciation'!$E$5:$AD$5,0))</f>
        <v>NA</v>
      </c>
      <c r="BX1113" s="118" t="str">
        <f>INDEX('Gen. Plant Depreciation'!$E$7:$AD$94,MATCH($C1113,'Gen. Plant Depreciation'!$D$7:$D$94,0),MATCH(Calculation!$G1113,'Gen. Plant Depreciation'!$E$5:$AD$5,0))</f>
        <v>NA</v>
      </c>
      <c r="BY1113" s="118"/>
      <c r="BZ1113" s="118"/>
      <c r="CA1113" s="118"/>
      <c r="CB1113" s="118"/>
      <c r="CC1113" s="118"/>
      <c r="CD1113" s="183"/>
      <c r="CE1113" s="118">
        <f>INDEX('Gross Dx Plant'!$E$7:$AD$91,MATCH($C1113,'Gross Dx Plant'!$D$7:$D$91,0),MATCH(Calculation!$G1113,'Gross Dx Plant'!$E$5:$AD$5,0))</f>
        <v>363820</v>
      </c>
      <c r="CF1113" s="118">
        <f>INDEX('Gross Gen Plant'!$E$7:$AD$91,MATCH($C1113,'Gross Gen Plant'!$D$7:$D$91,0),MATCH(Calculation!$G1113,'Gross Gen Plant'!$E$5:$AD$5,0))</f>
        <v>26961</v>
      </c>
      <c r="CG1113" s="118" t="str">
        <f t="shared" si="3224"/>
        <v>NA</v>
      </c>
      <c r="CH1113" s="118"/>
      <c r="CI1113" s="121">
        <v>2019</v>
      </c>
      <c r="CJ1113" s="118"/>
      <c r="CK1113" s="118"/>
      <c r="CL1113" s="118"/>
      <c r="CM1113" s="183"/>
      <c r="CN1113" s="118">
        <v>41950</v>
      </c>
      <c r="CO1113" s="118">
        <f t="shared" si="3269"/>
        <v>54.231246055306563</v>
      </c>
      <c r="CP1113" s="186">
        <v>0.85106382978723405</v>
      </c>
      <c r="CQ1113" s="118">
        <f>CQ1092*CP1113+CO1093*CP1112+CO1094*CP1111+CO1095*CP1110+CO1096*CP1109+CO1097*CP1108+CO1098*CP1107+CO1099*CP1106+CO1100*CP1105+CO1101*CP1104+CO1102*CP1103+CO1103*CP1102+CO1104*CP1101+CO1105*CP1100+CO1106*CP1099+CO1107*CP1098+CO1108*CP1097+CO1109*CP1096+CO1110*CP1095+CO1111*CP1094+CO1112*CP1093+CO1113</f>
        <v>759.89882596615541</v>
      </c>
      <c r="CR1113" s="119">
        <f t="shared" si="3270"/>
        <v>6.5409258820212063E-2</v>
      </c>
      <c r="CS1113" s="119"/>
      <c r="CT1113" s="177">
        <f t="shared" si="3271"/>
        <v>8.594618517545255E-3</v>
      </c>
      <c r="CU1113" s="177">
        <f t="shared" si="3279"/>
        <v>8.4715772806256886E-3</v>
      </c>
      <c r="CV1113" s="119">
        <f>VLOOKUP($H1113,RoR!$E:$F,2,FALSE)</f>
        <v>3.3875000000000009E-2</v>
      </c>
      <c r="CW1113" s="177">
        <v>1.8092492884465461E-2</v>
      </c>
      <c r="CX1113" s="177">
        <f t="shared" si="3277"/>
        <v>1.5782507115534548E-2</v>
      </c>
      <c r="CY1113" s="177">
        <f t="shared" si="3280"/>
        <v>2.2430364327907938E-2</v>
      </c>
      <c r="CZ1113" s="177">
        <f t="shared" si="3281"/>
        <v>4.8445665544254078E-2</v>
      </c>
      <c r="DA1113" s="187">
        <f t="shared" si="3272"/>
        <v>0.92125000000000001</v>
      </c>
      <c r="DB1113" s="188">
        <f t="shared" si="3273"/>
        <v>1.513861292459078</v>
      </c>
      <c r="DC1113" s="188">
        <f t="shared" si="3274"/>
        <v>0.23699261992619944</v>
      </c>
      <c r="DD1113" s="188">
        <f t="shared" si="3275"/>
        <v>0.73619765810468829</v>
      </c>
      <c r="DE1113" s="188">
        <f t="shared" si="3276"/>
        <v>0.26412854465362851</v>
      </c>
      <c r="DF1113" s="189">
        <f>INDEX('State Tax Lookup'!$D$7:$Z$91,MATCH(Calculation!$C1113,'State Tax Lookup'!$B$7:$B$91,0),MATCH($H1113,'State Tax Lookup'!$D$6:$Z$6,0))</f>
        <v>0.20999999999999996</v>
      </c>
      <c r="DG1113" s="189">
        <v>0.375</v>
      </c>
      <c r="DH1113" s="190">
        <f t="shared" si="3278"/>
        <v>20.176917346476696</v>
      </c>
      <c r="DI1113" s="190">
        <v>19.961391544061257</v>
      </c>
      <c r="DJ1113" s="177"/>
      <c r="DK1113" s="189">
        <f>VLOOKUP($H1113,RoR!$E:$F,2,FALSE)</f>
        <v>3.3875000000000009E-2</v>
      </c>
      <c r="DL1113" s="191">
        <f>HLOOKUP($H1113,'GDP-PI'!$D$8:$CQ$11,3,FALSE)</f>
        <v>1.8092492884465461E-2</v>
      </c>
      <c r="DM1113" s="189">
        <f>VLOOKUP(H1113,'HW Dx Data'!$E:$F,2,FALSE)</f>
        <v>773.53929793938721</v>
      </c>
      <c r="DN1113" s="183">
        <f>VLOOKUP(H1113,'ECI - Input Price'!$G$17:$H$37,2,FALSE)</f>
        <v>136.85</v>
      </c>
      <c r="DO1113" s="177">
        <f t="shared" ref="DO1113" si="3332">LN(DN1113/DN1112)</f>
        <v>2.6658372440734168E-2</v>
      </c>
      <c r="DP1113" s="183">
        <f>HLOOKUP(H1113,'GDP-PI'!$8:$9,2,FALSE)</f>
        <v>112.318</v>
      </c>
      <c r="DQ1113" s="177">
        <f t="shared" ref="DQ1113" si="3333">LN(DP1113/DP1112)</f>
        <v>1.7930771451401852E-2</v>
      </c>
    </row>
    <row r="1114" spans="1:121" s="167" customFormat="1" ht="21" x14ac:dyDescent="0.35">
      <c r="A1114" s="167" t="s">
        <v>106</v>
      </c>
      <c r="B1114" s="167" t="s">
        <v>106</v>
      </c>
      <c r="C1114" s="167">
        <v>4057100</v>
      </c>
      <c r="D1114" s="167" t="s">
        <v>150</v>
      </c>
      <c r="G1114" s="168" t="s">
        <v>26</v>
      </c>
      <c r="H1114" s="169">
        <v>2020</v>
      </c>
      <c r="I1114" s="170"/>
      <c r="J1114" s="166">
        <f>IFERROR(INDEX('Labor Expenditures'!$F$7:$X$91,MATCH($C1114,'Labor Expenditures'!$D$7:$D$91,0),MATCH($G1114,'Labor Expenditures'!$F$5:$X$5,0)),"NA")</f>
        <v>11627.627009256586</v>
      </c>
      <c r="K1114" s="166">
        <f t="shared" si="3284"/>
        <v>82.788373152414295</v>
      </c>
      <c r="L1114" s="172">
        <f t="shared" si="3291"/>
        <v>-0.21094701302143976</v>
      </c>
      <c r="M1114" s="172">
        <f t="shared" si="3295"/>
        <v>-6.8524625539541188E-4</v>
      </c>
      <c r="N1114" s="196"/>
      <c r="O1114" s="172"/>
      <c r="P1114" s="166">
        <f>IFERROR(INDEX('Non-Labor Expenditures'!$F$7:$AB$91,MATCH($C1114,'Non-Labor Expenditures'!$D$7:$D$91,0),MATCH($G1114,'Non-Labor Expenditures'!$F$5:$AB$5,0)),"NA")</f>
        <v>16838.975650559987</v>
      </c>
      <c r="Q1114" s="166">
        <f t="shared" si="3285"/>
        <v>148.20041409362528</v>
      </c>
      <c r="R1114" s="172">
        <f t="shared" si="3296"/>
        <v>-0.196532711689268</v>
      </c>
      <c r="S1114" s="172">
        <f t="shared" si="3301"/>
        <v>-6.3842243044270734E-4</v>
      </c>
      <c r="T1114" s="172"/>
      <c r="U1114" s="172"/>
      <c r="V1114" s="166">
        <f t="shared" si="3266"/>
        <v>16026.045795246018</v>
      </c>
      <c r="W1114" s="170"/>
      <c r="X1114" s="174">
        <v>798.79211433976582</v>
      </c>
      <c r="Y1114" s="175">
        <v>4.9915428919931587E-2</v>
      </c>
      <c r="Z1114" s="175">
        <f t="shared" si="3302"/>
        <v>1.6214669392053722E-4</v>
      </c>
      <c r="AA1114" s="175"/>
      <c r="AB1114" s="175"/>
      <c r="AC1114" s="170">
        <f t="shared" si="3252"/>
        <v>44492.64845506259</v>
      </c>
      <c r="AD1114" s="175">
        <f t="shared" si="3297"/>
        <v>-8.8557057068527012E-2</v>
      </c>
      <c r="AE1114" s="170"/>
      <c r="AF1114" s="170"/>
      <c r="AG1114" s="121">
        <f t="shared" si="3298"/>
        <v>389.85891307831406</v>
      </c>
      <c r="AH1114" s="119">
        <f>+AZ1114/$BB$58</f>
        <v>2.9679138154756245E-3</v>
      </c>
      <c r="AI1114" s="119"/>
      <c r="AJ1114" s="176">
        <f t="shared" si="3303"/>
        <v>1.1570676542114389</v>
      </c>
      <c r="AK1114" s="176">
        <f t="shared" si="3304"/>
        <v>0</v>
      </c>
      <c r="AL1114" s="120">
        <f t="shared" si="3286"/>
        <v>0.26133816288775091</v>
      </c>
      <c r="AM1114" s="120">
        <f t="shared" si="3287"/>
        <v>0.37846647109729353</v>
      </c>
      <c r="AN1114" s="120">
        <f t="shared" si="3288"/>
        <v>0.36019536601495561</v>
      </c>
      <c r="AO1114" s="120">
        <f t="shared" si="3292"/>
        <v>-0.11970146646480469</v>
      </c>
      <c r="AP1114" s="173">
        <f t="shared" si="3308"/>
        <v>149.9950767190019</v>
      </c>
      <c r="AQ1114" s="175">
        <f t="shared" si="3309"/>
        <v>-0.11970146646480476</v>
      </c>
      <c r="AR1114" s="177">
        <f>+AC1114/$AE$58</f>
        <v>3.2484283402759839E-3</v>
      </c>
      <c r="AS1114" s="177">
        <f t="shared" si="3305"/>
        <v>-3.8884163603686707E-4</v>
      </c>
      <c r="AT1114" s="177"/>
      <c r="AU1114" s="177"/>
      <c r="AV1114" s="177"/>
      <c r="AW1114" s="190"/>
      <c r="AX1114" s="120"/>
      <c r="AY1114" s="120"/>
      <c r="AZ1114" s="118">
        <f>IFERROR(INDEX('Total Customers'!$F$7:$AB$91,MATCH($C1114,'Total Customers'!$D$7:$D$91,0),MATCH($G1114,'Total Customers'!$F$5:$AB$5,0)),"NA")</f>
        <v>114125</v>
      </c>
      <c r="BA1114" s="119">
        <f t="shared" si="3267"/>
        <v>8.2000125138946105E-3</v>
      </c>
      <c r="BB1114" s="119"/>
      <c r="BC1114" s="121"/>
      <c r="BD1114" s="119"/>
      <c r="BE1114" s="119"/>
      <c r="BF1114" s="119"/>
      <c r="BG1114" s="173"/>
      <c r="BH1114" s="173"/>
      <c r="BI1114" s="173"/>
      <c r="BJ1114" s="173"/>
      <c r="BK1114" s="173"/>
      <c r="BL1114" s="173"/>
      <c r="BM1114" s="173"/>
      <c r="BN1114" s="173"/>
      <c r="BO1114" s="173"/>
      <c r="BP1114" s="173"/>
      <c r="BQ1114" s="118"/>
      <c r="BR1114" s="118"/>
      <c r="BS1114" s="118">
        <f>INDEX('Dist. Plant Gas Additions'!$F$7:$AE$91,MATCH($C1114,'Dist. Plant Gas Additions'!$D$7:$D$91,0),MATCH(Calculation!$G1114,'Dist. Plant Gas Additions'!$F$5:$AE$5,0))</f>
        <v>37013</v>
      </c>
      <c r="BT1114" s="118">
        <f>INDEX('Gen. Plant Additions'!$F$7:$AE$91,MATCH($C1114,'Gen. Plant Additions'!$D$7:$D$91,0),MATCH(Calculation!$G1114,'Gen. Plant Additions'!$F$5:$AE$5,0))</f>
        <v>0</v>
      </c>
      <c r="BU1114" s="118"/>
      <c r="BV1114" s="118"/>
      <c r="BW1114" s="118">
        <f>INDEX('Dist Plant Depreciation'!$E$7:$AD$94,MATCH($C1114,'Dist Plant Depreciation'!$D$7:$D$94,0),MATCH(Calculation!$G1114,'Dist Plant Depreciation'!$E$5:$AD$5,0))</f>
        <v>119934</v>
      </c>
      <c r="BX1114" s="118">
        <f>INDEX('Gen. Plant Depreciation'!$E$7:$AD$94,MATCH($C1114,'Gen. Plant Depreciation'!$D$7:$D$94,0),MATCH(Calculation!$G1114,'Gen. Plant Depreciation'!$E$5:$AD$5,0))</f>
        <v>7570</v>
      </c>
      <c r="BY1114" s="118"/>
      <c r="BZ1114" s="118"/>
      <c r="CA1114" s="118"/>
      <c r="CB1114" s="118"/>
      <c r="CC1114" s="118"/>
      <c r="CD1114" s="183"/>
      <c r="CE1114" s="118">
        <f>INDEX('Gross Dx Plant'!$E$7:$AD$91,MATCH($C1114,'Gross Dx Plant'!$D$7:$D$91,0),MATCH(Calculation!$G1114,'Gross Dx Plant'!$E$5:$AD$5,0))</f>
        <v>399534</v>
      </c>
      <c r="CF1114" s="118">
        <f>INDEX('Gross Gen Plant'!$E$7:$AD$91,MATCH($C1114,'Gross Gen Plant'!$D$7:$D$91,0),MATCH(Calculation!$G1114,'Gross Gen Plant'!$E$5:$AD$5,0))</f>
        <v>18882</v>
      </c>
      <c r="CG1114" s="118">
        <f t="shared" si="3224"/>
        <v>290912</v>
      </c>
      <c r="CH1114" s="118"/>
      <c r="CI1114" s="121">
        <v>2020</v>
      </c>
      <c r="CJ1114" s="118"/>
      <c r="CK1114" s="118"/>
      <c r="CL1114" s="118"/>
      <c r="CM1114" s="183"/>
      <c r="CN1114" s="118">
        <f>+BT1114+BS1114</f>
        <v>37013</v>
      </c>
      <c r="CO1114" s="118">
        <f t="shared" si="3269"/>
        <v>45.521956762626097</v>
      </c>
      <c r="CP1114" s="186">
        <v>0.84057971014492749</v>
      </c>
      <c r="CQ1114" s="118">
        <f>CQ1092*CP1114+CO1093*CP1113+CO1094*CP1112+CO1095*CP1111+CO1096*CP1110+CO1097*CP1109+CO1098*CP1108+CO1099*CP1107+CO1100*CP1106+CO1101*CP1105+CO1102*CP1104+CO1103*CP1103+CO1104*CP1102+CO1105*CP1101+CO1106*CP1100+CO1107*CP1099+CO1108*CP1098+CO1109*CP1097+CO1110*CP1096+CO1111*CP1095+CO1112*CP1094+CO1113*CP1093+CO1114</f>
        <v>798.79211433976582</v>
      </c>
      <c r="CR1114" s="119">
        <f t="shared" si="3270"/>
        <v>4.9915428919931587E-2</v>
      </c>
      <c r="CS1114" s="119"/>
      <c r="CT1114" s="177">
        <f t="shared" si="3271"/>
        <v>8.7230933415219196E-3</v>
      </c>
      <c r="CU1114" s="177">
        <f t="shared" si="3279"/>
        <v>8.6037530986418764E-3</v>
      </c>
      <c r="CV1114" s="119">
        <f>VLOOKUP($H1114,RoR!$E:$F,2,FALSE)</f>
        <v>2.4766666666666666E-2</v>
      </c>
      <c r="CW1114" s="177">
        <v>1.1618796630994188E-2</v>
      </c>
      <c r="CX1114" s="177">
        <f t="shared" si="3277"/>
        <v>1.3147870035672478E-2</v>
      </c>
      <c r="CY1114" s="177">
        <f t="shared" si="3280"/>
        <v>2.229818850989175E-2</v>
      </c>
      <c r="CZ1114" s="177">
        <f t="shared" si="3281"/>
        <v>4.5144642961987357E-2</v>
      </c>
      <c r="DA1114" s="187">
        <f t="shared" si="3272"/>
        <v>0.92125000000000001</v>
      </c>
      <c r="DB1114" s="188">
        <f t="shared" si="3273"/>
        <v>2.0706077233668081</v>
      </c>
      <c r="DC1114" s="188">
        <f t="shared" si="3274"/>
        <v>-3.4421265141318998E-2</v>
      </c>
      <c r="DD1114" s="188">
        <f t="shared" si="3275"/>
        <v>0.62416226176410472</v>
      </c>
      <c r="DE1114" s="188">
        <f t="shared" si="3276"/>
        <v>-4.4485877841158712E-2</v>
      </c>
      <c r="DF1114" s="189">
        <f>INDEX('State Tax Lookup'!$D$7:$Z$91,MATCH(Calculation!$C1114,'State Tax Lookup'!$B$7:$B$91,0),MATCH($H1114,'State Tax Lookup'!$D$6:$Z$6,0))</f>
        <v>0.20999999999999996</v>
      </c>
      <c r="DG1114" s="189">
        <v>0.375</v>
      </c>
      <c r="DH1114" s="190">
        <f t="shared" si="3278"/>
        <v>21.089709902986204</v>
      </c>
      <c r="DI1114" s="190">
        <v>20.903811409272375</v>
      </c>
      <c r="DJ1114" s="177"/>
      <c r="DK1114" s="189">
        <f>VLOOKUP($H1114,RoR!$E:$F,2,FALSE)</f>
        <v>2.4766666666666666E-2</v>
      </c>
      <c r="DL1114" s="191">
        <f>HLOOKUP($H1114,'GDP-PI'!$D$8:$CQ$11,3,FALSE)</f>
        <v>1.1618796630994188E-2</v>
      </c>
      <c r="DM1114" s="189">
        <f>VLOOKUP(H1114,'HW Dx Data'!$E:$F,2,FALSE)</f>
        <v>813.080162458833</v>
      </c>
      <c r="DN1114" s="183">
        <f>VLOOKUP(H1114,'ECI - Input Price'!$G$17:$H$37,2,FALSE)</f>
        <v>140.44999999999999</v>
      </c>
      <c r="DO1114" s="177">
        <f t="shared" ref="DO1114" si="3334">LN(DN1114/DN1113)</f>
        <v>2.5966118063564539E-2</v>
      </c>
      <c r="DP1114" s="183">
        <f>HLOOKUP(H1114,'GDP-PI'!$8:$9,2,FALSE)</f>
        <v>113.623</v>
      </c>
      <c r="DQ1114" s="177">
        <f t="shared" ref="DQ1114" si="3335">LN(DP1114/DP1113)</f>
        <v>1.1551816731392881E-2</v>
      </c>
    </row>
    <row r="1115" spans="1:121" s="167" customFormat="1" ht="21" x14ac:dyDescent="0.35">
      <c r="A1115" s="167" t="s">
        <v>106</v>
      </c>
      <c r="B1115" s="167" t="s">
        <v>106</v>
      </c>
      <c r="C1115" s="167">
        <v>4057100</v>
      </c>
      <c r="D1115" s="167" t="s">
        <v>150</v>
      </c>
      <c r="G1115" s="168" t="s">
        <v>462</v>
      </c>
      <c r="H1115" s="169">
        <v>2021</v>
      </c>
      <c r="I1115" s="170"/>
      <c r="J1115" s="166">
        <f>IFERROR(INDEX('Labor Expenditures'!$E$7:$X$91,MATCH($C1115,'Labor Expenditures'!$D$7:$D$91,0),MATCH($G1115,'Labor Expenditures'!$E$5:$X$5,0)),"NA")</f>
        <v>10132.577223992314</v>
      </c>
      <c r="K1115" s="166">
        <f t="shared" si="3284"/>
        <v>69.651673648340349</v>
      </c>
      <c r="L1115" s="171">
        <f t="shared" si="3291"/>
        <v>-0.17278090132055637</v>
      </c>
      <c r="M1115" s="172">
        <f t="shared" si="3295"/>
        <v>-5.0714587317603167E-4</v>
      </c>
      <c r="N1115" s="196"/>
      <c r="O1115" s="172"/>
      <c r="P1115" s="166">
        <f>IFERROR(INDEX('Non-Labor Expenditures'!$E$7:$AB$91,MATCH($C1115,'Non-Labor Expenditures'!$D$7:$D$91,0),MATCH($G1115,'Non-Labor Expenditures'!$E$5:$AB$5,0)),"NA")</f>
        <v>14283.271508519287</v>
      </c>
      <c r="Q1115" s="166">
        <f t="shared" si="3285"/>
        <v>120.54410927942685</v>
      </c>
      <c r="R1115" s="172">
        <f t="shared" si="3296"/>
        <v>-0.20654976895069277</v>
      </c>
      <c r="S1115" s="172">
        <f t="shared" si="3301"/>
        <v>-6.0626413063134127E-4</v>
      </c>
      <c r="T1115" s="172"/>
      <c r="U1115" s="172"/>
      <c r="V1115" s="166">
        <f t="shared" si="3266"/>
        <v>18873.68117670637</v>
      </c>
      <c r="W1115" s="170"/>
      <c r="X1115" s="174">
        <v>822.56251966862578</v>
      </c>
      <c r="Y1115" s="175"/>
      <c r="Z1115" s="175">
        <f t="shared" si="3302"/>
        <v>0</v>
      </c>
      <c r="AA1115" s="175"/>
      <c r="AB1115" s="175"/>
      <c r="AC1115" s="170">
        <f t="shared" si="3252"/>
        <v>43289.52990921797</v>
      </c>
      <c r="AD1115" s="175">
        <f t="shared" si="3297"/>
        <v>-2.7413169980608217E-2</v>
      </c>
      <c r="AE1115" s="118"/>
      <c r="AF1115" s="119"/>
      <c r="AG1115" s="121">
        <f t="shared" si="3298"/>
        <v>377.51070374565467</v>
      </c>
      <c r="AH1115" s="119">
        <f>+AZ1115/$BB$59</f>
        <v>2.9420793909345757E-3</v>
      </c>
      <c r="AI1115" s="119"/>
      <c r="AJ1115" s="176">
        <f t="shared" si="3303"/>
        <v>1.1106664613472987</v>
      </c>
      <c r="AK1115" s="176">
        <f t="shared" si="3304"/>
        <v>0</v>
      </c>
      <c r="AL1115" s="120">
        <f t="shared" si="3286"/>
        <v>0.23406530967744943</v>
      </c>
      <c r="AM1115" s="120">
        <f t="shared" si="3287"/>
        <v>0.32994748472604318</v>
      </c>
      <c r="AN1115" s="120">
        <f t="shared" si="3288"/>
        <v>0.43598720559650739</v>
      </c>
      <c r="AO1115" s="120">
        <f t="shared" si="3292"/>
        <v>-0.11595949870195264</v>
      </c>
      <c r="AP1115" s="173">
        <f t="shared" si="3308"/>
        <v>133.57230917722808</v>
      </c>
      <c r="AQ1115" s="175">
        <f t="shared" si="3309"/>
        <v>-0.11595949870195266</v>
      </c>
      <c r="AR1115" s="177">
        <f>+AC1115/$AE$59</f>
        <v>2.9351963631393248E-3</v>
      </c>
      <c r="AS1115" s="177">
        <f t="shared" si="3305"/>
        <v>-3.403638988614307E-4</v>
      </c>
      <c r="AT1115" s="177"/>
      <c r="AU1115" s="177"/>
      <c r="AV1115" s="177"/>
      <c r="AW1115" s="190"/>
      <c r="AX1115" s="120"/>
      <c r="AY1115" s="120"/>
      <c r="AZ1115" s="118">
        <f>INDEX('Total Customers'!$E$7:$E$91,MATCH(Calculation!$C1115,'Total Customers'!$D$7:$D$91,0))</f>
        <v>114671</v>
      </c>
      <c r="BA1115" s="119">
        <f t="shared" si="3267"/>
        <v>4.7728197737801816E-3</v>
      </c>
      <c r="BB1115" s="118"/>
      <c r="BC1115" s="121"/>
      <c r="BD1115" s="118"/>
      <c r="BE1115" s="119"/>
      <c r="BF1115" s="119"/>
      <c r="BG1115" s="173"/>
      <c r="BH1115" s="173"/>
      <c r="BI1115" s="173"/>
      <c r="BJ1115" s="173"/>
      <c r="BK1115" s="173"/>
      <c r="BL1115" s="173"/>
      <c r="BM1115" s="173"/>
      <c r="BN1115" s="173"/>
      <c r="BO1115" s="173"/>
      <c r="BP1115" s="173"/>
      <c r="BQ1115" s="118"/>
      <c r="BR1115" s="118"/>
      <c r="BS1115" s="118">
        <f>INDEX('Dist. Plant Gas Additions'!$E$7:$AE$91,MATCH($C1115,'Dist. Plant Gas Additions'!$D$7:$D$91,0),MATCH(Calculation!$G1115,'Dist. Plant Gas Additions'!$E$5:$AE$5,0))</f>
        <v>28716</v>
      </c>
      <c r="BT1115" s="118">
        <f>INDEX('Gen. Plant Additions'!$E$7:$AE$91,MATCH($C1115,'Gen. Plant Additions'!$D$7:$D$91,0),MATCH(Calculation!$G1115,'Gen. Plant Additions'!$E$5:$AE$5,0))</f>
        <v>916</v>
      </c>
      <c r="BU1115" s="118"/>
      <c r="BV1115" s="118"/>
      <c r="BW1115" s="118"/>
      <c r="BX1115" s="118"/>
      <c r="BY1115" s="183"/>
      <c r="BZ1115" s="183"/>
      <c r="CA1115" s="178"/>
      <c r="CB1115" s="184"/>
      <c r="CC1115" s="185"/>
      <c r="CD1115" s="185"/>
      <c r="CE1115" s="118"/>
      <c r="CF1115" s="118"/>
      <c r="CG1115" s="118"/>
      <c r="CH1115" s="118"/>
      <c r="CI1115" s="121">
        <v>2021</v>
      </c>
      <c r="CJ1115" s="118"/>
      <c r="CK1115" s="118"/>
      <c r="CL1115" s="118"/>
      <c r="CM1115" s="183"/>
      <c r="CN1115" s="118">
        <f t="shared" ref="CN1115" si="3336">+BT1115+BS1115</f>
        <v>29632</v>
      </c>
      <c r="CO1115" s="118">
        <f t="shared" si="3269"/>
        <v>31.759148385895625</v>
      </c>
      <c r="CP1115" s="186">
        <f>+(51-23)/(51-23*0.75)</f>
        <v>0.82962962962962961</v>
      </c>
      <c r="CQ1115" s="118">
        <f>CQ1092*CP1115+CO1093*CP1114+CO1094*CP1113+CO1095*CP1112+CO1096*CP1111+CO1097*CP1110+CO1098*CP1109+CO1099*CP1108+CO1100*CP1107+CO1101*CP1106+CO1102*CP1105+CO1103*CP1104+CO1104*CP1103+CO1105*CP1102+CO1106*CP1101+CO1097*CP1100+CO1108*CP1099+CO1109*CP1098+CO1110*CP1097+CO1111*CP1096+CO1112*CP1095+CO1113*CP1094+CO1115+CO1114*CP1093</f>
        <v>822.56251966862578</v>
      </c>
      <c r="CR1115" s="119"/>
      <c r="CS1115" s="118"/>
      <c r="CT1115" s="177">
        <f t="shared" si="3271"/>
        <v>1.0001028945608307E-2</v>
      </c>
      <c r="CU1115" s="177">
        <f t="shared" si="3279"/>
        <v>9.1062469348918273E-3</v>
      </c>
      <c r="CV1115" s="119">
        <f>VLOOKUP($H1115,RoR!$E:$F,2,FALSE)</f>
        <v>2.7033333333333336E-2</v>
      </c>
      <c r="CW1115" s="177"/>
      <c r="CX1115" s="177"/>
      <c r="CY1115" s="177">
        <f t="shared" si="3280"/>
        <v>2.1795694673641799E-2</v>
      </c>
      <c r="CZ1115" s="177">
        <f t="shared" si="3281"/>
        <v>7.433422950153494E-2</v>
      </c>
      <c r="DA1115" s="187">
        <f t="shared" si="3272"/>
        <v>0.92125000000000001</v>
      </c>
      <c r="DB1115" s="188">
        <f t="shared" si="3273"/>
        <v>1.8969932656739068</v>
      </c>
      <c r="DC1115" s="188">
        <f t="shared" si="3274"/>
        <v>5.0215782983970621E-2</v>
      </c>
      <c r="DD1115" s="188">
        <f t="shared" si="3275"/>
        <v>0.655952481704143</v>
      </c>
      <c r="DE1115" s="188">
        <f t="shared" si="3276"/>
        <v>6.2485378865697057E-2</v>
      </c>
      <c r="DF1115" s="189">
        <f>DF1114</f>
        <v>0.20999999999999996</v>
      </c>
      <c r="DG1115" s="189">
        <v>0.375</v>
      </c>
      <c r="DH1115" s="190">
        <f t="shared" si="3278"/>
        <v>23.627776035703903</v>
      </c>
      <c r="DI1115" s="190"/>
      <c r="DJ1115" s="177">
        <f t="shared" ref="DJ1115" si="3337">LN(DH1115/DH1114)</f>
        <v>0.11363773143012126</v>
      </c>
      <c r="DK1115" s="189">
        <f>VLOOKUP($H1115,RoR!$E:$F,2,FALSE)</f>
        <v>2.7033333333333336E-2</v>
      </c>
      <c r="DL1115" s="191">
        <f>HLOOKUP($H1115,'GDP-PI'!$D$8:$CR$11,3,FALSE)</f>
        <v>4.2834637353352578E-2</v>
      </c>
      <c r="DM1115" s="189">
        <f>VLOOKUP(H1115,'HW Dx Data'!$E:$F,2,FALSE)</f>
        <v>933.02249921662576</v>
      </c>
      <c r="DN1115" s="183">
        <f>VLOOKUP(H1115,'ECI - Input Price'!$G$17:$H$37,2,FALSE)</f>
        <v>145.47500000000002</v>
      </c>
      <c r="DO1115" s="177">
        <f t="shared" ref="DO1115" si="3338">LN(DN1115/DN1114)</f>
        <v>3.5152696992481205E-2</v>
      </c>
      <c r="DP1115" s="183">
        <f>HLOOKUP(H1115,'GDP-PI'!$8:$9,2,FALSE)</f>
        <v>118.49</v>
      </c>
      <c r="DQ1115" s="177">
        <f t="shared" ref="DQ1115" si="3339">LN(DP1115/DP1114)</f>
        <v>4.194261824609434E-2</v>
      </c>
    </row>
    <row r="1116" spans="1:121" s="167" customFormat="1" ht="21" x14ac:dyDescent="0.35">
      <c r="A1116" s="167" t="s">
        <v>109</v>
      </c>
      <c r="B1116" s="167" t="s">
        <v>109</v>
      </c>
      <c r="C1116" s="167">
        <v>4063179</v>
      </c>
      <c r="D1116" s="168" t="s">
        <v>147</v>
      </c>
      <c r="E1116" s="168"/>
      <c r="F1116" s="198"/>
      <c r="G1116" s="167" t="s">
        <v>4</v>
      </c>
      <c r="H1116" s="169">
        <v>1998</v>
      </c>
      <c r="I1116" s="170"/>
      <c r="J1116" s="166"/>
      <c r="K1116" s="166"/>
      <c r="L1116" s="166"/>
      <c r="M1116" s="166"/>
      <c r="N1116" s="196"/>
      <c r="O1116" s="166"/>
      <c r="P1116" s="172"/>
      <c r="Q1116" s="172"/>
      <c r="R1116" s="172"/>
      <c r="S1116" s="166"/>
      <c r="T1116" s="172"/>
      <c r="U1116" s="172"/>
      <c r="V1116" s="166"/>
      <c r="W1116" s="170"/>
      <c r="X1116" s="174">
        <v>20.399620516316364</v>
      </c>
      <c r="Y1116" s="175"/>
      <c r="Z1116" s="166"/>
      <c r="AA1116" s="175"/>
      <c r="AB1116" s="175"/>
      <c r="AC1116" s="170">
        <f t="shared" si="3252"/>
        <v>0</v>
      </c>
      <c r="AD1116" s="170"/>
      <c r="AE1116" s="170"/>
      <c r="AF1116" s="119"/>
      <c r="AG1116" s="174"/>
      <c r="AH1116" s="175"/>
      <c r="AI1116" s="175"/>
      <c r="AJ1116" s="174"/>
      <c r="AK1116" s="174"/>
      <c r="AL1116" s="120"/>
      <c r="AM1116" s="120"/>
      <c r="AN1116" s="120"/>
      <c r="AO1116" s="120"/>
      <c r="AP1116" s="120"/>
      <c r="AQ1116" s="175">
        <f>AVERAGE(AQ1125:AQ1139)</f>
        <v>5.5202400486031259E-3</v>
      </c>
      <c r="AR1116" s="120"/>
      <c r="AS1116" s="120"/>
      <c r="AT1116" s="120"/>
      <c r="AU1116" s="120"/>
      <c r="AV1116" s="120"/>
      <c r="AW1116" s="120"/>
      <c r="AX1116" s="120"/>
      <c r="AY1116" s="120"/>
      <c r="AZ1116" s="118">
        <f>IFERROR(INDEX('Total Customers'!$F$7:$AB$91,MATCH($C1116,'Total Customers'!$D$7:$D$91,0),MATCH($G1116,'Total Customers'!$F$5:$AB$5,0)),"NA")</f>
        <v>3375</v>
      </c>
      <c r="BA1116" s="119"/>
      <c r="BB1116" s="119"/>
      <c r="BC1116" s="121"/>
      <c r="BD1116" s="119"/>
      <c r="BE1116" s="119"/>
      <c r="BF1116" s="119"/>
      <c r="BG1116" s="173"/>
      <c r="BH1116" s="173"/>
      <c r="BI1116" s="173"/>
      <c r="BJ1116" s="173"/>
      <c r="BK1116" s="173"/>
      <c r="BL1116" s="173"/>
      <c r="BM1116" s="173"/>
      <c r="BN1116" s="173"/>
      <c r="BO1116" s="173"/>
      <c r="BP1116" s="173"/>
      <c r="BQ1116" s="118">
        <f>INDEX('Gross Dx Plant'!$E$7:$AD$91,MATCH($C1116,'Gross Dx Plant'!$D$7:$D$91,0),MATCH(Calculation!$G1116,'Gross Dx Plant'!$E$5:$AD$5,0))</f>
        <v>5395</v>
      </c>
      <c r="BR1116" s="118">
        <f>INDEX('Gross Gen Plant'!$E$7:$AD$91,MATCH($C1116,'Gross Gen Plant'!$D$7:$D$91,0),MATCH(Calculation!$G1116,'Gross Gen Plant'!$E$5:$AD$5,0))</f>
        <v>564</v>
      </c>
      <c r="BS1116" s="118">
        <f>INDEX('Dist. Plant Gas Additions'!$F$7:$AE$91,MATCH($C1116,'Dist. Plant Gas Additions'!$D$7:$D$91,0),MATCH(Calculation!$G1116,'Dist. Plant Gas Additions'!$F$5:$AE$5,0))</f>
        <v>89</v>
      </c>
      <c r="BT1116" s="118">
        <f>INDEX('Gen. Plant Additions'!$F$7:$AE$91,MATCH($C1116,'Gen. Plant Additions'!$D$7:$D$91,0),MATCH(Calculation!$G1116,'Gen. Plant Additions'!$F$5:$AE$5,0))</f>
        <v>19</v>
      </c>
      <c r="BU1116" s="118" t="e">
        <f>INDEX('Dist Plant Depreciation'!$E$7:$AA$94,MATCH($C1116,'Dist Plant Depreciation'!$D$7:$D$94,0),MATCH(#REF!,'Dist Plant Depreciation'!$E$5:$AA$5,0))</f>
        <v>#REF!</v>
      </c>
      <c r="BV1116" s="118" t="e">
        <f>INDEX('Gen. Plant Depreciation'!$E$7:$AA$94,MATCH($C1116,'Gen. Plant Depreciation'!$D$7:$D$94,0),MATCH(#REF!,'Gen. Plant Depreciation'!$E$5:$AA$5,0))</f>
        <v>#REF!</v>
      </c>
      <c r="BW1116" s="118">
        <f>INDEX('Dist Plant Depreciation'!$E$7:$AD$94,MATCH($C1116,'Dist Plant Depreciation'!$D$7:$D$94,0),MATCH(Calculation!$G1116,'Dist Plant Depreciation'!$E$5:$AD$5,0))</f>
        <v>1631</v>
      </c>
      <c r="BX1116" s="118">
        <f>INDEX('Gen. Plant Depreciation'!$E$7:$AD$94,MATCH($C1116,'Gen. Plant Depreciation'!$D$7:$D$94,0),MATCH(Calculation!$G1116,'Gen. Plant Depreciation'!$E$5:$AD$5,0))</f>
        <v>213</v>
      </c>
      <c r="BY1116" s="118"/>
      <c r="BZ1116" s="118"/>
      <c r="CA1116" s="118"/>
      <c r="CB1116" s="118"/>
      <c r="CC1116" s="118"/>
      <c r="CD1116" s="183"/>
      <c r="CE1116" s="118">
        <f>INDEX('Gross Dx Plant'!$E$7:$AD$91,MATCH($C1116,'Gross Dx Plant'!$D$7:$D$91,0),MATCH(Calculation!$G1116,'Gross Dx Plant'!$E$5:$AD$5,0))</f>
        <v>5395</v>
      </c>
      <c r="CF1116" s="118">
        <f>INDEX('Gross Gen Plant'!$E$7:$AD$91,MATCH($C1116,'Gross Gen Plant'!$D$7:$D$91,0),MATCH(Calculation!$G1116,'Gross Gen Plant'!$E$5:$AD$5,0))</f>
        <v>564</v>
      </c>
      <c r="CG1116" s="118">
        <f t="shared" si="3224"/>
        <v>4115</v>
      </c>
      <c r="CH1116" s="118"/>
      <c r="CI1116" s="121">
        <v>1998</v>
      </c>
      <c r="CJ1116" s="118">
        <f>BQ1116+BR1116</f>
        <v>5959</v>
      </c>
      <c r="CK1116" s="118">
        <f>1631+213</f>
        <v>1844</v>
      </c>
      <c r="CL1116" s="118">
        <f>+CJ1116-CK1116</f>
        <v>4115</v>
      </c>
      <c r="CM1116" s="118">
        <f>CL1116/$CD$36</f>
        <v>20.399620516316364</v>
      </c>
      <c r="CN1116" s="183"/>
      <c r="CO1116" s="183"/>
      <c r="CP1116" s="186">
        <v>1</v>
      </c>
      <c r="CQ1116" s="118">
        <f>+CM1116</f>
        <v>20.399620516316364</v>
      </c>
      <c r="CR1116" s="119"/>
      <c r="CS1116" s="119"/>
      <c r="CT1116" s="177"/>
      <c r="CU1116" s="177"/>
      <c r="CV1116" s="119" t="e">
        <f>VLOOKUP($H1116,RoR!$E:$F,2,FALSE)</f>
        <v>#N/A</v>
      </c>
      <c r="CW1116" s="177">
        <v>1.1028127770464469E-2</v>
      </c>
      <c r="CX1116" s="177"/>
      <c r="CY1116" s="177"/>
      <c r="CZ1116" s="177"/>
      <c r="DA1116" s="187"/>
      <c r="DB1116" s="190" t="e">
        <f>2/(DK1116*39)</f>
        <v>#N/A</v>
      </c>
      <c r="DC1116" s="188" t="e">
        <f>+(DK1116*40-(1+DK1116))/(DK1116*40)</f>
        <v>#N/A</v>
      </c>
      <c r="DD1116" s="188" t="e">
        <f>+(1-(1/(1+DK1116)^40))</f>
        <v>#N/A</v>
      </c>
      <c r="DE1116" s="188" t="e">
        <f>+DD1116*DC1116*DB1116</f>
        <v>#N/A</v>
      </c>
      <c r="DF1116" s="189">
        <f>INDEX('State Tax Lookup'!$D$7:$Z$91,MATCH(Calculation!$C1116,'State Tax Lookup'!$B$7:$B$91,0),MATCH($H1116,'State Tax Lookup'!$D$6:$Z$6,0))</f>
        <v>0.38574999999999998</v>
      </c>
      <c r="DG1116" s="189">
        <v>0.375</v>
      </c>
      <c r="DH1116" s="183"/>
      <c r="DI1116" s="183"/>
      <c r="DJ1116" s="177"/>
      <c r="DK1116" s="189" t="e">
        <f>VLOOKUP($H1116,RoR!$E:$F,2,FALSE)</f>
        <v>#N/A</v>
      </c>
      <c r="DL1116" s="191">
        <f>HLOOKUP($H1116,'GDP-PI'!$D$8:$CQ$11,3,FALSE)</f>
        <v>1.1028127770464469E-2</v>
      </c>
      <c r="DM1116" s="189">
        <f>VLOOKUP(H1116,'HW Dx Data'!$E:$F,2,FALSE)</f>
        <v>329.24564746449528</v>
      </c>
      <c r="DN1116" s="183" t="e">
        <f>VLOOKUP(H1116,'ECI - Input Price'!$G$17:$H$37,2,FALSE)</f>
        <v>#N/A</v>
      </c>
      <c r="DO1116" s="177"/>
      <c r="DP1116" s="183">
        <f>HLOOKUP(H1116,'GDP-PI'!$8:$9,2,FALSE)</f>
        <v>75.266999999999996</v>
      </c>
    </row>
    <row r="1117" spans="1:121" s="167" customFormat="1" ht="21" x14ac:dyDescent="0.35">
      <c r="A1117" s="167" t="s">
        <v>109</v>
      </c>
      <c r="B1117" s="167" t="s">
        <v>109</v>
      </c>
      <c r="C1117" s="167">
        <v>4063179</v>
      </c>
      <c r="D1117" s="168" t="s">
        <v>147</v>
      </c>
      <c r="E1117" s="168"/>
      <c r="F1117" s="198"/>
      <c r="G1117" s="167" t="s">
        <v>5</v>
      </c>
      <c r="H1117" s="169">
        <v>1999</v>
      </c>
      <c r="I1117" s="170"/>
      <c r="J1117" s="166"/>
      <c r="K1117" s="170"/>
      <c r="L1117" s="170"/>
      <c r="M1117" s="166"/>
      <c r="N1117" s="173"/>
      <c r="O1117" s="170"/>
      <c r="P1117" s="177"/>
      <c r="Q1117" s="177"/>
      <c r="R1117" s="177"/>
      <c r="S1117" s="195"/>
      <c r="T1117" s="177"/>
      <c r="U1117" s="177"/>
      <c r="V1117" s="166">
        <f t="shared" ref="V1117:V1139" si="3340">+CQ1116*DH1117</f>
        <v>0</v>
      </c>
      <c r="W1117" s="170"/>
      <c r="X1117" s="174">
        <v>20.658973833518825</v>
      </c>
      <c r="Y1117" s="175">
        <v>1.2633494682974715E-2</v>
      </c>
      <c r="Z1117" s="175"/>
      <c r="AA1117" s="175"/>
      <c r="AB1117" s="175"/>
      <c r="AC1117" s="170">
        <f t="shared" si="3252"/>
        <v>0</v>
      </c>
      <c r="AD1117" s="175"/>
      <c r="AE1117" s="170"/>
      <c r="AF1117" s="119"/>
      <c r="AG1117" s="174"/>
      <c r="AH1117" s="175"/>
      <c r="AI1117" s="175"/>
      <c r="AJ1117" s="174"/>
      <c r="AK1117" s="174"/>
      <c r="AL1117" s="120"/>
      <c r="AM1117" s="120"/>
      <c r="AN1117" s="120"/>
      <c r="AO1117" s="120"/>
      <c r="AP1117" s="120"/>
      <c r="AQ1117" s="175"/>
      <c r="AR1117" s="120"/>
      <c r="AS1117" s="120"/>
      <c r="AT1117" s="120"/>
      <c r="AU1117" s="120"/>
      <c r="AV1117" s="120"/>
      <c r="AW1117" s="120"/>
      <c r="AX1117" s="120"/>
      <c r="AY1117" s="120"/>
      <c r="AZ1117" s="118">
        <f>IFERROR(INDEX('Total Customers'!$F$7:$AB$91,MATCH($C1117,'Total Customers'!$D$7:$D$91,0),MATCH($G1117,'Total Customers'!$F$5:$AB$5,0)),"NA")</f>
        <v>3409</v>
      </c>
      <c r="BA1117" s="119">
        <f t="shared" ref="BA1117:BA1139" si="3341">LN(AZ1117/AZ1116)</f>
        <v>1.0023668831272948E-2</v>
      </c>
      <c r="BB1117" s="119"/>
      <c r="BC1117" s="121"/>
      <c r="BD1117" s="119"/>
      <c r="BE1117" s="119"/>
      <c r="BF1117" s="119"/>
      <c r="BG1117" s="173"/>
      <c r="BH1117" s="173"/>
      <c r="BI1117" s="173"/>
      <c r="BJ1117" s="173"/>
      <c r="BK1117" s="173"/>
      <c r="BL1117" s="173"/>
      <c r="BM1117" s="173"/>
      <c r="BN1117" s="173"/>
      <c r="BO1117" s="173"/>
      <c r="BP1117" s="173"/>
      <c r="BQ1117" s="118"/>
      <c r="BR1117" s="118"/>
      <c r="BS1117" s="118">
        <f>INDEX('Dist. Plant Gas Additions'!$F$7:$AE$91,MATCH($C1117,'Dist. Plant Gas Additions'!$D$7:$D$91,0),MATCH(Calculation!$G1117,'Dist. Plant Gas Additions'!$F$5:$AE$5,0))</f>
        <v>64</v>
      </c>
      <c r="BT1117" s="118">
        <f>INDEX('Gen. Plant Additions'!$F$7:$AE$91,MATCH($C1117,'Gen. Plant Additions'!$D$7:$D$91,0),MATCH(Calculation!$G1117,'Gen. Plant Additions'!$F$5:$AE$5,0))</f>
        <v>57</v>
      </c>
      <c r="BU1117" s="118"/>
      <c r="BV1117" s="118"/>
      <c r="BW1117" s="118">
        <f>INDEX('Dist Plant Depreciation'!$E$7:$AD$94,MATCH($C1117,'Dist Plant Depreciation'!$D$7:$D$94,0),MATCH(Calculation!$G1117,'Dist Plant Depreciation'!$E$5:$AD$5,0))</f>
        <v>1806</v>
      </c>
      <c r="BX1117" s="118">
        <f>INDEX('Gen. Plant Depreciation'!$E$7:$AD$94,MATCH($C1117,'Gen. Plant Depreciation'!$D$7:$D$94,0),MATCH(Calculation!$G1117,'Gen. Plant Depreciation'!$E$5:$AD$5,0))</f>
        <v>247</v>
      </c>
      <c r="BY1117" s="118"/>
      <c r="BZ1117" s="118"/>
      <c r="CA1117" s="118"/>
      <c r="CB1117" s="118"/>
      <c r="CC1117" s="118"/>
      <c r="CD1117" s="183"/>
      <c r="CE1117" s="118">
        <f>INDEX('Gross Dx Plant'!$E$7:$AD$91,MATCH($C1117,'Gross Dx Plant'!$D$7:$D$91,0),MATCH(Calculation!$G1117,'Gross Dx Plant'!$E$5:$AD$5,0))</f>
        <v>5451</v>
      </c>
      <c r="CF1117" s="118">
        <f>INDEX('Gross Gen Plant'!$E$7:$AD$91,MATCH($C1117,'Gross Gen Plant'!$D$7:$D$91,0),MATCH(Calculation!$G1117,'Gross Gen Plant'!$E$5:$AD$5,0))</f>
        <v>597</v>
      </c>
      <c r="CG1117" s="118">
        <f t="shared" si="3224"/>
        <v>3995</v>
      </c>
      <c r="CH1117" s="118"/>
      <c r="CI1117" s="121">
        <v>1999</v>
      </c>
      <c r="CJ1117" s="118"/>
      <c r="CK1117" s="118"/>
      <c r="CL1117" s="118"/>
      <c r="CM1117" s="183"/>
      <c r="CN1117" s="118">
        <f t="shared" ref="CN1117:CN1136" si="3342">+BT1117+BS1117</f>
        <v>121</v>
      </c>
      <c r="CO1117" s="118">
        <f t="shared" ref="CO1117:CO1139" si="3343">+CN1117/$DM1117</f>
        <v>0.36084396653736539</v>
      </c>
      <c r="CP1117" s="186">
        <v>0.99502487562189057</v>
      </c>
      <c r="CQ1117" s="118">
        <f>+CQ1116*CP1117+CO1117</f>
        <v>20.658973833518825</v>
      </c>
      <c r="CR1117" s="119">
        <f t="shared" ref="CR1117:CR1138" si="3344">LN(CQ1117/CQ1116)</f>
        <v>1.2633494682974715E-2</v>
      </c>
      <c r="CS1117" s="119"/>
      <c r="CT1117" s="177">
        <f t="shared" ref="CT1117:CT1139" si="3345">+(CQ1116-CQ1117+CO1117)/CQ1116</f>
        <v>4.975124378109326E-3</v>
      </c>
      <c r="CU1117" s="177"/>
      <c r="CV1117" s="119">
        <f>VLOOKUP($H1117,RoR!$E:$F,2,FALSE)</f>
        <v>7.0416666666666669E-2</v>
      </c>
      <c r="CW1117" s="177">
        <v>1.4335631817396832E-2</v>
      </c>
      <c r="CX1117" s="177">
        <f>+CV1117-CW1117</f>
        <v>5.6081034849269837E-2</v>
      </c>
      <c r="CY1117" s="177"/>
      <c r="CZ1117" s="177"/>
      <c r="DA1117" s="187">
        <f t="shared" ref="DA1117:DA1139" si="3346">1-DF1117*DG1117</f>
        <v>0.85534375000000007</v>
      </c>
      <c r="DB1117" s="188">
        <f t="shared" ref="DB1117:DB1139" si="3347">2/(DK1117*39)</f>
        <v>0.72826581702321336</v>
      </c>
      <c r="DC1117" s="188">
        <f t="shared" ref="DC1117:DC1139" si="3348">+(DK1117*40-(1+DK1117))/(DK1117*40)</f>
        <v>0.61997041420118348</v>
      </c>
      <c r="DD1117" s="188">
        <f t="shared" ref="DD1117:DD1139" si="3349">+(1-(1/(1+DK1117)^40))</f>
        <v>0.93425155319585029</v>
      </c>
      <c r="DE1117" s="188">
        <f t="shared" ref="DE1117:DE1139" si="3350">+DD1117*DC1117*DB1117</f>
        <v>0.42181762214141483</v>
      </c>
      <c r="DF1117" s="189">
        <f>INDEX('State Tax Lookup'!$D$7:$Z$91,MATCH(Calculation!$C1117,'State Tax Lookup'!$B$7:$B$91,0),MATCH($H1117,'State Tax Lookup'!$D$6:$Z$6,0))</f>
        <v>0.38574999999999998</v>
      </c>
      <c r="DG1117" s="189">
        <v>0.375</v>
      </c>
      <c r="DH1117" s="190"/>
      <c r="DI1117" s="190"/>
      <c r="DJ1117" s="177"/>
      <c r="DK1117" s="189">
        <f>VLOOKUP($H1117,RoR!$E:$F,2,FALSE)</f>
        <v>7.0416666666666669E-2</v>
      </c>
      <c r="DL1117" s="191">
        <f>HLOOKUP($H1117,'GDP-PI'!$D$8:$CQ$11,3,FALSE)</f>
        <v>1.4335631817396832E-2</v>
      </c>
      <c r="DM1117" s="189">
        <f>VLOOKUP(H1117,'HW Dx Data'!$E:$F,2,FALSE)</f>
        <v>335.32499146683239</v>
      </c>
      <c r="DN1117" s="183" t="e">
        <f>VLOOKUP(H1117,'ECI - Input Price'!$G$17:$H$37,2,FALSE)</f>
        <v>#N/A</v>
      </c>
      <c r="DO1117" s="177"/>
      <c r="DP1117" s="183">
        <f>HLOOKUP(H1117,'GDP-PI'!$8:$9,2,FALSE)</f>
        <v>76.346000000000004</v>
      </c>
    </row>
    <row r="1118" spans="1:121" s="167" customFormat="1" ht="21" x14ac:dyDescent="0.35">
      <c r="A1118" s="167" t="s">
        <v>109</v>
      </c>
      <c r="B1118" s="167" t="s">
        <v>109</v>
      </c>
      <c r="C1118" s="167">
        <v>4063179</v>
      </c>
      <c r="D1118" s="168" t="s">
        <v>147</v>
      </c>
      <c r="E1118" s="168"/>
      <c r="F1118" s="198"/>
      <c r="G1118" s="167" t="s">
        <v>6</v>
      </c>
      <c r="H1118" s="169">
        <v>2000</v>
      </c>
      <c r="I1118" s="170"/>
      <c r="J1118" s="166"/>
      <c r="K1118" s="166"/>
      <c r="L1118" s="166"/>
      <c r="M1118" s="166"/>
      <c r="N1118" s="196"/>
      <c r="O1118" s="166"/>
      <c r="P1118" s="166"/>
      <c r="Q1118" s="166"/>
      <c r="R1118" s="166"/>
      <c r="S1118" s="166"/>
      <c r="T1118" s="166"/>
      <c r="U1118" s="166"/>
      <c r="V1118" s="166">
        <f t="shared" si="3340"/>
        <v>0</v>
      </c>
      <c r="W1118" s="170"/>
      <c r="X1118" s="174">
        <v>20.659384183202182</v>
      </c>
      <c r="Y1118" s="175">
        <v>1.9862826262502903E-5</v>
      </c>
      <c r="Z1118" s="175"/>
      <c r="AA1118" s="175"/>
      <c r="AB1118" s="175"/>
      <c r="AC1118" s="170">
        <f t="shared" si="3252"/>
        <v>0</v>
      </c>
      <c r="AD1118" s="175"/>
      <c r="AE1118" s="170"/>
      <c r="AF1118" s="170"/>
      <c r="AG1118" s="174"/>
      <c r="AH1118" s="175"/>
      <c r="AI1118" s="175"/>
      <c r="AJ1118" s="174"/>
      <c r="AK1118" s="174"/>
      <c r="AL1118" s="120"/>
      <c r="AM1118" s="120"/>
      <c r="AN1118" s="120"/>
      <c r="AO1118" s="120"/>
      <c r="AP1118" s="120"/>
      <c r="AQ1118" s="175"/>
      <c r="AR1118" s="120"/>
      <c r="AS1118" s="120"/>
      <c r="AT1118" s="120"/>
      <c r="AU1118" s="120"/>
      <c r="AV1118" s="120"/>
      <c r="AW1118" s="120"/>
      <c r="AX1118" s="120"/>
      <c r="AY1118" s="120"/>
      <c r="AZ1118" s="118">
        <f>IFERROR(INDEX('Total Customers'!$F$7:$AB$91,MATCH($C1118,'Total Customers'!$D$7:$D$91,0),MATCH($G1118,'Total Customers'!$F$5:$AB$5,0)),"NA")</f>
        <v>3663</v>
      </c>
      <c r="BA1118" s="119">
        <f t="shared" si="3341"/>
        <v>7.1863490640911312E-2</v>
      </c>
      <c r="BB1118" s="119"/>
      <c r="BC1118" s="121"/>
      <c r="BD1118" s="119"/>
      <c r="BE1118" s="119"/>
      <c r="BF1118" s="119"/>
      <c r="BG1118" s="173"/>
      <c r="BH1118" s="173"/>
      <c r="BI1118" s="173"/>
      <c r="BJ1118" s="173"/>
      <c r="BK1118" s="173"/>
      <c r="BL1118" s="173"/>
      <c r="BM1118" s="173"/>
      <c r="BN1118" s="173"/>
      <c r="BO1118" s="173"/>
      <c r="BP1118" s="173"/>
      <c r="BQ1118" s="118"/>
      <c r="BR1118" s="118"/>
      <c r="BS1118" s="118">
        <f>INDEX('Dist. Plant Gas Additions'!$F$7:$AE$91,MATCH($C1118,'Dist. Plant Gas Additions'!$D$7:$D$91,0),MATCH(Calculation!$G1118,'Dist. Plant Gas Additions'!$F$5:$AE$5,0))</f>
        <v>33</v>
      </c>
      <c r="BT1118" s="118">
        <f>INDEX('Gen. Plant Additions'!$F$7:$AE$91,MATCH($C1118,'Gen. Plant Additions'!$D$7:$D$91,0),MATCH(Calculation!$G1118,'Gen. Plant Additions'!$F$5:$AE$5,0))</f>
        <v>4</v>
      </c>
      <c r="BU1118" s="118"/>
      <c r="BV1118" s="118"/>
      <c r="BW1118" s="118" t="str">
        <f>INDEX('Dist Plant Depreciation'!$E$7:$AD$94,MATCH($C1118,'Dist Plant Depreciation'!$D$7:$D$94,0),MATCH(Calculation!$G1118,'Dist Plant Depreciation'!$E$5:$AD$5,0))</f>
        <v>NA</v>
      </c>
      <c r="BX1118" s="118" t="str">
        <f>INDEX('Gen. Plant Depreciation'!$E$7:$AD$94,MATCH($C1118,'Gen. Plant Depreciation'!$D$7:$D$94,0),MATCH(Calculation!$G1118,'Gen. Plant Depreciation'!$E$5:$AD$5,0))</f>
        <v>NA</v>
      </c>
      <c r="BY1118" s="118"/>
      <c r="BZ1118" s="118"/>
      <c r="CA1118" s="118"/>
      <c r="CB1118" s="118"/>
      <c r="CC1118" s="118"/>
      <c r="CD1118" s="183"/>
      <c r="CE1118" s="118">
        <f>INDEX('Gross Dx Plant'!$E$7:$AD$91,MATCH($C1118,'Gross Dx Plant'!$D$7:$D$91,0),MATCH(Calculation!$G1118,'Gross Dx Plant'!$E$5:$AD$5,0))</f>
        <v>5372</v>
      </c>
      <c r="CF1118" s="118">
        <f>INDEX('Gross Gen Plant'!$E$7:$AD$91,MATCH($C1118,'Gross Gen Plant'!$D$7:$D$91,0),MATCH(Calculation!$G1118,'Gross Gen Plant'!$E$5:$AD$5,0))</f>
        <v>593</v>
      </c>
      <c r="CG1118" s="118" t="str">
        <f t="shared" si="3224"/>
        <v>NA</v>
      </c>
      <c r="CH1118" s="118"/>
      <c r="CI1118" s="121">
        <v>2000</v>
      </c>
      <c r="CJ1118" s="118"/>
      <c r="CK1118" s="118"/>
      <c r="CL1118" s="118"/>
      <c r="CM1118" s="183"/>
      <c r="CN1118" s="118">
        <f t="shared" si="3342"/>
        <v>37</v>
      </c>
      <c r="CO1118" s="118">
        <f t="shared" si="3343"/>
        <v>0.10677171685514998</v>
      </c>
      <c r="CP1118" s="186">
        <v>0.98989898989898994</v>
      </c>
      <c r="CQ1118" s="118">
        <f>+CQ1116*CP1118+CO1117*CP1117+CO1118</f>
        <v>20.659384183202182</v>
      </c>
      <c r="CR1118" s="119">
        <f t="shared" si="3344"/>
        <v>1.9862826262502903E-5</v>
      </c>
      <c r="CS1118" s="119"/>
      <c r="CT1118" s="177">
        <f t="shared" si="3345"/>
        <v>5.1484341879180851E-3</v>
      </c>
      <c r="CU1118" s="177"/>
      <c r="CV1118" s="119">
        <f>VLOOKUP($H1118,RoR!$E:$F,2,FALSE)</f>
        <v>7.6225000000000001E-2</v>
      </c>
      <c r="CW1118" s="177">
        <v>2.2568307442433211E-2</v>
      </c>
      <c r="CX1118" s="177">
        <f t="shared" ref="CX1118:CX1138" si="3351">+CV1118-CW1118</f>
        <v>5.365669255756679E-2</v>
      </c>
      <c r="CY1118" s="177"/>
      <c r="CZ1118" s="177"/>
      <c r="DA1118" s="187">
        <f t="shared" si="3346"/>
        <v>0.85534375000000007</v>
      </c>
      <c r="DB1118" s="188">
        <f t="shared" si="3347"/>
        <v>0.67277207323124022</v>
      </c>
      <c r="DC1118" s="188">
        <f t="shared" si="3348"/>
        <v>0.6470236142997704</v>
      </c>
      <c r="DD1118" s="188">
        <f t="shared" si="3349"/>
        <v>0.94704866037543145</v>
      </c>
      <c r="DE1118" s="188">
        <f t="shared" si="3350"/>
        <v>0.41224973107878493</v>
      </c>
      <c r="DF1118" s="189">
        <f>INDEX('State Tax Lookup'!$D$7:$Z$91,MATCH(Calculation!$C1118,'State Tax Lookup'!$B$7:$B$91,0),MATCH($H1118,'State Tax Lookup'!$D$6:$Z$6,0))</f>
        <v>0.38574999999999998</v>
      </c>
      <c r="DG1118" s="189">
        <v>0.375</v>
      </c>
      <c r="DH1118" s="190"/>
      <c r="DI1118" s="190"/>
      <c r="DJ1118" s="177"/>
      <c r="DK1118" s="189">
        <f>VLOOKUP($H1118,RoR!$E:$F,2,FALSE)</f>
        <v>7.6225000000000001E-2</v>
      </c>
      <c r="DL1118" s="191">
        <f>HLOOKUP($H1118,'GDP-PI'!$D$8:$CQ$11,3,FALSE)</f>
        <v>2.2568307442433211E-2</v>
      </c>
      <c r="DM1118" s="189">
        <f>VLOOKUP(H1118,'HW Dx Data'!$E:$F,2,FALSE)</f>
        <v>346.53371782150339</v>
      </c>
      <c r="DN1118" s="183" t="e">
        <f>VLOOKUP(H1118,'ECI - Input Price'!$G$17:$H$37,2,FALSE)</f>
        <v>#N/A</v>
      </c>
      <c r="DO1118" s="177"/>
      <c r="DP1118" s="183">
        <f>HLOOKUP(H1118,'GDP-PI'!$8:$9,2,FALSE)</f>
        <v>78.069000000000003</v>
      </c>
    </row>
    <row r="1119" spans="1:121" s="167" customFormat="1" ht="21" x14ac:dyDescent="0.35">
      <c r="A1119" s="167" t="s">
        <v>109</v>
      </c>
      <c r="B1119" s="167" t="s">
        <v>109</v>
      </c>
      <c r="C1119" s="167">
        <v>4063179</v>
      </c>
      <c r="D1119" s="168" t="s">
        <v>147</v>
      </c>
      <c r="E1119" s="168"/>
      <c r="F1119" s="198"/>
      <c r="G1119" s="167" t="s">
        <v>7</v>
      </c>
      <c r="H1119" s="169">
        <v>2001</v>
      </c>
      <c r="I1119" s="170"/>
      <c r="J1119" s="166"/>
      <c r="K1119" s="166"/>
      <c r="L1119" s="166"/>
      <c r="M1119" s="166"/>
      <c r="N1119" s="196"/>
      <c r="O1119" s="166"/>
      <c r="P1119" s="166"/>
      <c r="Q1119" s="166"/>
      <c r="R1119" s="166"/>
      <c r="S1119" s="166"/>
      <c r="T1119" s="166"/>
      <c r="U1119" s="166"/>
      <c r="V1119" s="166">
        <f t="shared" si="3340"/>
        <v>261.22500671702193</v>
      </c>
      <c r="W1119" s="170"/>
      <c r="X1119" s="174">
        <v>20.985459416741456</v>
      </c>
      <c r="Y1119" s="175">
        <v>1.5660133126160766E-2</v>
      </c>
      <c r="Z1119" s="175"/>
      <c r="AA1119" s="175"/>
      <c r="AB1119" s="175"/>
      <c r="AC1119" s="170">
        <f t="shared" si="3252"/>
        <v>261.22500671702193</v>
      </c>
      <c r="AD1119" s="175"/>
      <c r="AE1119" s="170"/>
      <c r="AF1119" s="170"/>
      <c r="AG1119" s="174"/>
      <c r="AH1119" s="175"/>
      <c r="AI1119" s="175"/>
      <c r="AJ1119" s="174"/>
      <c r="AK1119" s="174"/>
      <c r="AL1119" s="120"/>
      <c r="AM1119" s="120"/>
      <c r="AN1119" s="120"/>
      <c r="AO1119" s="120"/>
      <c r="AP1119" s="120"/>
      <c r="AQ1119" s="175"/>
      <c r="AR1119" s="120"/>
      <c r="AS1119" s="120"/>
      <c r="AT1119" s="120"/>
      <c r="AU1119" s="120"/>
      <c r="AV1119" s="120"/>
      <c r="AW1119" s="120"/>
      <c r="AX1119" s="120"/>
      <c r="AY1119" s="120"/>
      <c r="AZ1119" s="118">
        <f>IFERROR(INDEX('Total Customers'!$F$7:$AB$91,MATCH($C1119,'Total Customers'!$D$7:$D$91,0),MATCH($G1119,'Total Customers'!$F$5:$AB$5,0)),"NA")</f>
        <v>3377</v>
      </c>
      <c r="BA1119" s="119">
        <f t="shared" si="3341"/>
        <v>-8.1294742393246688E-2</v>
      </c>
      <c r="BB1119" s="119"/>
      <c r="BC1119" s="121"/>
      <c r="BD1119" s="119"/>
      <c r="BE1119" s="119"/>
      <c r="BF1119" s="119"/>
      <c r="BG1119" s="173"/>
      <c r="BH1119" s="173"/>
      <c r="BI1119" s="173"/>
      <c r="BJ1119" s="173"/>
      <c r="BK1119" s="173"/>
      <c r="BL1119" s="173"/>
      <c r="BM1119" s="173"/>
      <c r="BN1119" s="173"/>
      <c r="BO1119" s="173"/>
      <c r="BP1119" s="173"/>
      <c r="BQ1119" s="118"/>
      <c r="BR1119" s="118"/>
      <c r="BS1119" s="118">
        <f>INDEX('Dist. Plant Gas Additions'!$F$7:$AE$91,MATCH($C1119,'Dist. Plant Gas Additions'!$D$7:$D$91,0),MATCH(Calculation!$G1119,'Dist. Plant Gas Additions'!$F$5:$AE$5,0))</f>
        <v>95</v>
      </c>
      <c r="BT1119" s="118">
        <f>INDEX('Gen. Plant Additions'!$F$7:$AE$91,MATCH($C1119,'Gen. Plant Additions'!$D$7:$D$91,0),MATCH(Calculation!$G1119,'Gen. Plant Additions'!$F$5:$AE$5,0))</f>
        <v>59</v>
      </c>
      <c r="BU1119" s="118"/>
      <c r="BV1119" s="118"/>
      <c r="BW1119" s="118" t="str">
        <f>INDEX('Dist Plant Depreciation'!$E$7:$AD$94,MATCH($C1119,'Dist Plant Depreciation'!$D$7:$D$94,0),MATCH(Calculation!$G1119,'Dist Plant Depreciation'!$E$5:$AD$5,0))</f>
        <v>NA</v>
      </c>
      <c r="BX1119" s="118" t="str">
        <f>INDEX('Gen. Plant Depreciation'!$E$7:$AD$94,MATCH($C1119,'Gen. Plant Depreciation'!$D$7:$D$94,0),MATCH(Calculation!$G1119,'Gen. Plant Depreciation'!$E$5:$AD$5,0))</f>
        <v>NA</v>
      </c>
      <c r="BY1119" s="118"/>
      <c r="BZ1119" s="118"/>
      <c r="CA1119" s="118"/>
      <c r="CB1119" s="118"/>
      <c r="CC1119" s="118"/>
      <c r="CD1119" s="183"/>
      <c r="CE1119" s="118">
        <f>INDEX('Gross Dx Plant'!$E$7:$AD$91,MATCH($C1119,'Gross Dx Plant'!$D$7:$D$91,0),MATCH(Calculation!$G1119,'Gross Dx Plant'!$E$5:$AD$5,0))</f>
        <v>5447</v>
      </c>
      <c r="CF1119" s="118">
        <f>INDEX('Gross Gen Plant'!$E$7:$AD$91,MATCH($C1119,'Gross Gen Plant'!$D$7:$D$91,0),MATCH(Calculation!$G1119,'Gross Gen Plant'!$E$5:$AD$5,0))</f>
        <v>615</v>
      </c>
      <c r="CG1119" s="118" t="str">
        <f t="shared" ref="CG1119:CG1184" si="3352">IF(OR(BW1119="NA",BX1119="NA"),"NA",(SUM(CE1119:CF1119)-SUM(BW1119:BX1119)))</f>
        <v>NA</v>
      </c>
      <c r="CH1119" s="118"/>
      <c r="CI1119" s="121">
        <v>2001</v>
      </c>
      <c r="CJ1119" s="118"/>
      <c r="CK1119" s="118"/>
      <c r="CL1119" s="118"/>
      <c r="CM1119" s="183"/>
      <c r="CN1119" s="118">
        <f t="shared" si="3342"/>
        <v>154</v>
      </c>
      <c r="CO1119" s="118">
        <f t="shared" si="3343"/>
        <v>0.43570842121909203</v>
      </c>
      <c r="CP1119" s="186">
        <v>0.98461538461538467</v>
      </c>
      <c r="CQ1119" s="118">
        <f>+CQ1116*CP1119+CO1117*CP1118+CO1118*CP1116+CO1119</f>
        <v>20.985459416741456</v>
      </c>
      <c r="CR1119" s="119">
        <f t="shared" si="3344"/>
        <v>1.5660133126160766E-2</v>
      </c>
      <c r="CS1119" s="119"/>
      <c r="CT1119" s="177">
        <f t="shared" si="3345"/>
        <v>5.3067016280649139E-3</v>
      </c>
      <c r="CU1119" s="177">
        <f>+(CT1119+CT1118+CT1117)/3</f>
        <v>5.143420064697442E-3</v>
      </c>
      <c r="CV1119" s="119">
        <f>VLOOKUP($H1119,RoR!$E:$F,2,FALSE)</f>
        <v>7.0824999999999999E-2</v>
      </c>
      <c r="CW1119" s="177">
        <v>2.2454495382290052E-2</v>
      </c>
      <c r="CX1119" s="177">
        <f t="shared" si="3351"/>
        <v>4.8370504617709947E-2</v>
      </c>
      <c r="CY1119" s="177">
        <f>+$CX$35-CU1119</f>
        <v>2.5758521543836184E-2</v>
      </c>
      <c r="CZ1119" s="177">
        <f>+((DM1117/DM1116-1)+(DM1118/DM1117-1)+(DM1119/DM1118-1))/3</f>
        <v>2.3947275901631187E-2</v>
      </c>
      <c r="DA1119" s="187">
        <f t="shared" si="3346"/>
        <v>0.85534375000000007</v>
      </c>
      <c r="DB1119" s="188">
        <f t="shared" si="3347"/>
        <v>0.72406708481540816</v>
      </c>
      <c r="DC1119" s="188">
        <f t="shared" si="3348"/>
        <v>0.62201729615248857</v>
      </c>
      <c r="DD1119" s="188">
        <f t="shared" si="3349"/>
        <v>0.9352469954311422</v>
      </c>
      <c r="DE1119" s="188">
        <f t="shared" si="3350"/>
        <v>0.42121864641655071</v>
      </c>
      <c r="DF1119" s="189">
        <f>INDEX('State Tax Lookup'!$D$7:$Z$91,MATCH(Calculation!$C1119,'State Tax Lookup'!$B$7:$B$91,0),MATCH($H1119,'State Tax Lookup'!$D$6:$Z$6,0))</f>
        <v>0.38574999999999998</v>
      </c>
      <c r="DG1119" s="189">
        <v>0.375</v>
      </c>
      <c r="DH1119" s="190">
        <f t="shared" ref="DH1119:DH1139" si="3353">+(DM1119*CY1119-CZ1119)*DA1119/(1-DF1119)</f>
        <v>12.644375282464607</v>
      </c>
      <c r="DI1119" s="190"/>
      <c r="DJ1119" s="177"/>
      <c r="DK1119" s="189">
        <f>VLOOKUP($H1119,RoR!$E:$F,2,FALSE)</f>
        <v>7.0824999999999999E-2</v>
      </c>
      <c r="DL1119" s="191">
        <f>HLOOKUP($H1119,'GDP-PI'!$D$8:$CQ$11,3,FALSE)</f>
        <v>2.2454495382290052E-2</v>
      </c>
      <c r="DM1119" s="189">
        <f>VLOOKUP(H1119,'HW Dx Data'!$E:$F,2,FALSE)</f>
        <v>353.44738017483138</v>
      </c>
      <c r="DN1119" s="183">
        <f>VLOOKUP(H1119,'ECI - Input Price'!$G$17:$H$37,2,FALSE)</f>
        <v>86.2</v>
      </c>
      <c r="DO1119" s="177"/>
      <c r="DP1119" s="183">
        <f>HLOOKUP(H1119,'GDP-PI'!$8:$9,2,FALSE)</f>
        <v>79.822000000000003</v>
      </c>
    </row>
    <row r="1120" spans="1:121" s="167" customFormat="1" ht="21" x14ac:dyDescent="0.35">
      <c r="A1120" s="167" t="s">
        <v>109</v>
      </c>
      <c r="B1120" s="167" t="s">
        <v>109</v>
      </c>
      <c r="C1120" s="167">
        <v>4063179</v>
      </c>
      <c r="D1120" s="168" t="s">
        <v>147</v>
      </c>
      <c r="E1120" s="168"/>
      <c r="F1120" s="198"/>
      <c r="G1120" s="167" t="s">
        <v>8</v>
      </c>
      <c r="H1120" s="169">
        <v>2002</v>
      </c>
      <c r="I1120" s="170"/>
      <c r="J1120" s="166"/>
      <c r="K1120" s="166"/>
      <c r="L1120" s="166"/>
      <c r="M1120" s="166"/>
      <c r="N1120" s="196"/>
      <c r="O1120" s="166"/>
      <c r="P1120" s="166"/>
      <c r="Q1120" s="166"/>
      <c r="R1120" s="166"/>
      <c r="S1120" s="166"/>
      <c r="T1120" s="166"/>
      <c r="U1120" s="166"/>
      <c r="V1120" s="166">
        <f t="shared" si="3340"/>
        <v>269.26142592193037</v>
      </c>
      <c r="W1120" s="170"/>
      <c r="X1120" s="174">
        <v>21.179105251873683</v>
      </c>
      <c r="Y1120" s="175">
        <v>9.1853051556969618E-3</v>
      </c>
      <c r="Z1120" s="175"/>
      <c r="AA1120" s="175"/>
      <c r="AB1120" s="175"/>
      <c r="AC1120" s="170">
        <f t="shared" si="3252"/>
        <v>269.26142592193037</v>
      </c>
      <c r="AD1120" s="175"/>
      <c r="AE1120" s="170"/>
      <c r="AF1120" s="170"/>
      <c r="AG1120" s="174"/>
      <c r="AH1120" s="175"/>
      <c r="AI1120" s="175"/>
      <c r="AJ1120" s="174"/>
      <c r="AK1120" s="174"/>
      <c r="AL1120" s="120"/>
      <c r="AM1120" s="120"/>
      <c r="AN1120" s="120"/>
      <c r="AO1120" s="120"/>
      <c r="AP1120" s="120"/>
      <c r="AQ1120" s="175"/>
      <c r="AR1120" s="120"/>
      <c r="AS1120" s="120"/>
      <c r="AT1120" s="120"/>
      <c r="AU1120" s="120"/>
      <c r="AV1120" s="120"/>
      <c r="AW1120" s="120"/>
      <c r="AX1120" s="120"/>
      <c r="AY1120" s="120"/>
      <c r="AZ1120" s="118">
        <f>IFERROR(INDEX('Total Customers'!$F$7:$AB$91,MATCH($C1120,'Total Customers'!$D$7:$D$91,0),MATCH($G1120,'Total Customers'!$F$5:$AB$5,0)),"NA")</f>
        <v>3333</v>
      </c>
      <c r="BA1120" s="119">
        <f t="shared" si="3341"/>
        <v>-1.3114942077828018E-2</v>
      </c>
      <c r="BB1120" s="119"/>
      <c r="BC1120" s="121"/>
      <c r="BD1120" s="119"/>
      <c r="BE1120" s="119"/>
      <c r="BF1120" s="119"/>
      <c r="BG1120" s="173"/>
      <c r="BH1120" s="173"/>
      <c r="BI1120" s="173"/>
      <c r="BJ1120" s="173"/>
      <c r="BK1120" s="173"/>
      <c r="BL1120" s="173"/>
      <c r="BM1120" s="173"/>
      <c r="BN1120" s="173"/>
      <c r="BO1120" s="173"/>
      <c r="BP1120" s="173"/>
      <c r="BQ1120" s="118"/>
      <c r="BR1120" s="118"/>
      <c r="BS1120" s="118">
        <f>INDEX('Dist. Plant Gas Additions'!$F$7:$AE$91,MATCH($C1120,'Dist. Plant Gas Additions'!$D$7:$D$91,0),MATCH(Calculation!$G1120,'Dist. Plant Gas Additions'!$F$5:$AE$5,0))</f>
        <v>84</v>
      </c>
      <c r="BT1120" s="118">
        <f>INDEX('Gen. Plant Additions'!$F$7:$AE$91,MATCH($C1120,'Gen. Plant Additions'!$D$7:$D$91,0),MATCH(Calculation!$G1120,'Gen. Plant Additions'!$F$5:$AE$5,0))</f>
        <v>28</v>
      </c>
      <c r="BU1120" s="118"/>
      <c r="BV1120" s="118"/>
      <c r="BW1120" s="118">
        <f>INDEX('Dist Plant Depreciation'!$E$7:$AD$94,MATCH($C1120,'Dist Plant Depreciation'!$D$7:$D$94,0),MATCH(Calculation!$G1120,'Dist Plant Depreciation'!$E$5:$AD$5,0))</f>
        <v>2219</v>
      </c>
      <c r="BX1120" s="118">
        <f>INDEX('Gen. Plant Depreciation'!$E$7:$AD$94,MATCH($C1120,'Gen. Plant Depreciation'!$D$7:$D$94,0),MATCH(Calculation!$G1120,'Gen. Plant Depreciation'!$E$5:$AD$5,0))</f>
        <v>340</v>
      </c>
      <c r="BY1120" s="118"/>
      <c r="BZ1120" s="118"/>
      <c r="CA1120" s="118"/>
      <c r="CB1120" s="118"/>
      <c r="CC1120" s="118"/>
      <c r="CD1120" s="183"/>
      <c r="CE1120" s="118">
        <f>INDEX('Gross Dx Plant'!$E$7:$AD$91,MATCH($C1120,'Gross Dx Plant'!$D$7:$D$91,0),MATCH(Calculation!$G1120,'Gross Dx Plant'!$E$5:$AD$5,0))</f>
        <v>5496</v>
      </c>
      <c r="CF1120" s="118">
        <f>INDEX('Gross Gen Plant'!$E$7:$AD$91,MATCH($C1120,'Gross Gen Plant'!$D$7:$D$91,0),MATCH(Calculation!$G1120,'Gross Gen Plant'!$E$5:$AD$5,0))</f>
        <v>637</v>
      </c>
      <c r="CG1120" s="118">
        <f t="shared" si="3352"/>
        <v>3574</v>
      </c>
      <c r="CH1120" s="118"/>
      <c r="CI1120" s="121">
        <v>2002</v>
      </c>
      <c r="CJ1120" s="118"/>
      <c r="CK1120" s="118"/>
      <c r="CL1120" s="118"/>
      <c r="CM1120" s="183"/>
      <c r="CN1120" s="118">
        <f t="shared" si="3342"/>
        <v>112</v>
      </c>
      <c r="CO1120" s="118">
        <f t="shared" si="3343"/>
        <v>0.30995037645328649</v>
      </c>
      <c r="CP1120" s="186">
        <v>0.97916666666666663</v>
      </c>
      <c r="CQ1120" s="118">
        <f>+CQ1116*CP1120+CO1117*CP1119+CO1118*CP1118+CO1119*CP1117+CO1120</f>
        <v>21.179105251873683</v>
      </c>
      <c r="CR1120" s="119">
        <f t="shared" si="3344"/>
        <v>9.1853051556969618E-3</v>
      </c>
      <c r="CS1120" s="119"/>
      <c r="CT1120" s="177">
        <f t="shared" si="3345"/>
        <v>5.5421489237579566E-3</v>
      </c>
      <c r="CU1120" s="177">
        <f t="shared" ref="CU1120:CU1139" si="3354">+(CT1120+CT1119+CT1118)/3</f>
        <v>5.3324282465803188E-3</v>
      </c>
      <c r="CV1120" s="119">
        <f>VLOOKUP($H1120,RoR!$E:$F,2,FALSE)</f>
        <v>6.4916666666666664E-2</v>
      </c>
      <c r="CW1120" s="177">
        <v>1.5246423291824351E-2</v>
      </c>
      <c r="CX1120" s="177">
        <f t="shared" si="3351"/>
        <v>4.9670243374842313E-2</v>
      </c>
      <c r="CY1120" s="177">
        <f t="shared" ref="CY1120:CY1139" si="3355">+$CX$35-CU1120</f>
        <v>2.5569513361953306E-2</v>
      </c>
      <c r="CZ1120" s="177">
        <f t="shared" ref="CZ1120:CZ1139" si="3356">+((DM1118/DM1117-1)+(DM1119/DM1118-1)+(DM1120/DM1119-1))/3</f>
        <v>2.5243621214759093E-2</v>
      </c>
      <c r="DA1120" s="187">
        <f t="shared" si="3346"/>
        <v>0.85534375000000007</v>
      </c>
      <c r="DB1120" s="188">
        <f t="shared" si="3347"/>
        <v>0.78996741384417901</v>
      </c>
      <c r="DC1120" s="188">
        <f t="shared" si="3348"/>
        <v>0.58989088575096271</v>
      </c>
      <c r="DD1120" s="188">
        <f t="shared" si="3349"/>
        <v>0.91920675783645744</v>
      </c>
      <c r="DE1120" s="188">
        <f t="shared" si="3350"/>
        <v>0.42834536472275586</v>
      </c>
      <c r="DF1120" s="189">
        <f>INDEX('State Tax Lookup'!$D$7:$Z$91,MATCH(Calculation!$C1120,'State Tax Lookup'!$B$7:$B$91,0),MATCH($H1120,'State Tax Lookup'!$D$6:$Z$6,0))</f>
        <v>0.38574999999999998</v>
      </c>
      <c r="DG1120" s="189">
        <v>0.375</v>
      </c>
      <c r="DH1120" s="190">
        <f t="shared" si="3353"/>
        <v>12.830856860208794</v>
      </c>
      <c r="DI1120" s="190"/>
      <c r="DJ1120" s="177"/>
      <c r="DK1120" s="189">
        <f>VLOOKUP($H1120,RoR!$E:$F,2,FALSE)</f>
        <v>6.4916666666666664E-2</v>
      </c>
      <c r="DL1120" s="191">
        <f>HLOOKUP($H1120,'GDP-PI'!$D$8:$CQ$11,3,FALSE)</f>
        <v>1.5246423291824351E-2</v>
      </c>
      <c r="DM1120" s="189">
        <f>VLOOKUP(H1120,'HW Dx Data'!$E:$F,2,FALSE)</f>
        <v>361.34816573413599</v>
      </c>
      <c r="DN1120" s="183">
        <f>VLOOKUP(H1120,'ECI - Input Price'!$G$17:$H$37,2,FALSE)</f>
        <v>89.275000000000006</v>
      </c>
      <c r="DO1120" s="177">
        <f>LN(DN1120/DN1119)</f>
        <v>3.5051315810864674E-2</v>
      </c>
      <c r="DP1120" s="183">
        <f>HLOOKUP(H1120,'GDP-PI'!$8:$9,2,FALSE)</f>
        <v>81.039000000000001</v>
      </c>
      <c r="DQ1120" s="177">
        <f>LN(DP1120/DP1119)</f>
        <v>1.513136459537477E-2</v>
      </c>
    </row>
    <row r="1121" spans="1:121" s="167" customFormat="1" ht="21" x14ac:dyDescent="0.35">
      <c r="A1121" s="167" t="s">
        <v>109</v>
      </c>
      <c r="B1121" s="167" t="s">
        <v>109</v>
      </c>
      <c r="C1121" s="167">
        <v>4063179</v>
      </c>
      <c r="D1121" s="168" t="s">
        <v>147</v>
      </c>
      <c r="E1121" s="168"/>
      <c r="F1121" s="198"/>
      <c r="G1121" s="167" t="s">
        <v>9</v>
      </c>
      <c r="H1121" s="169">
        <v>2003</v>
      </c>
      <c r="I1121" s="170"/>
      <c r="J1121" s="166"/>
      <c r="K1121" s="166"/>
      <c r="L1121" s="166"/>
      <c r="M1121" s="172"/>
      <c r="N1121" s="196"/>
      <c r="O1121" s="172"/>
      <c r="P1121" s="166"/>
      <c r="Q1121" s="166"/>
      <c r="R1121" s="166"/>
      <c r="S1121" s="166"/>
      <c r="T1121" s="166"/>
      <c r="U1121" s="166"/>
      <c r="V1121" s="166">
        <f t="shared" si="3340"/>
        <v>275.75855006402742</v>
      </c>
      <c r="W1121" s="170"/>
      <c r="X1121" s="174">
        <v>21.464366669211788</v>
      </c>
      <c r="Y1121" s="175">
        <v>1.3379101636534814E-2</v>
      </c>
      <c r="Z1121" s="175"/>
      <c r="AA1121" s="175"/>
      <c r="AB1121" s="175"/>
      <c r="AC1121" s="170">
        <f t="shared" si="3252"/>
        <v>275.75855006402742</v>
      </c>
      <c r="AD1121" s="175"/>
      <c r="AE1121" s="170"/>
      <c r="AF1121" s="170"/>
      <c r="AG1121" s="174"/>
      <c r="AH1121" s="175"/>
      <c r="AI1121" s="175"/>
      <c r="AJ1121" s="174"/>
      <c r="AK1121" s="174"/>
      <c r="AL1121" s="120"/>
      <c r="AM1121" s="120"/>
      <c r="AN1121" s="120"/>
      <c r="AO1121" s="120"/>
      <c r="AP1121" s="120"/>
      <c r="AQ1121" s="175"/>
      <c r="AR1121" s="120"/>
      <c r="AS1121" s="120"/>
      <c r="AT1121" s="120"/>
      <c r="AU1121" s="120"/>
      <c r="AV1121" s="120"/>
      <c r="AW1121" s="120"/>
      <c r="AX1121" s="120"/>
      <c r="AY1121" s="120"/>
      <c r="AZ1121" s="118">
        <f>IFERROR(INDEX('Total Customers'!$F$7:$AB$91,MATCH($C1121,'Total Customers'!$D$7:$D$91,0),MATCH($G1121,'Total Customers'!$F$5:$AB$5,0)),"NA")</f>
        <v>3321</v>
      </c>
      <c r="BA1121" s="119">
        <f t="shared" si="3341"/>
        <v>-3.6068569309931301E-3</v>
      </c>
      <c r="BB1121" s="119"/>
      <c r="BC1121" s="121"/>
      <c r="BD1121" s="119"/>
      <c r="BE1121" s="119"/>
      <c r="BF1121" s="119"/>
      <c r="BG1121" s="173"/>
      <c r="BH1121" s="173"/>
      <c r="BI1121" s="173"/>
      <c r="BJ1121" s="173"/>
      <c r="BK1121" s="173"/>
      <c r="BL1121" s="173"/>
      <c r="BM1121" s="173"/>
      <c r="BN1121" s="173"/>
      <c r="BO1121" s="173"/>
      <c r="BP1121" s="173"/>
      <c r="BQ1121" s="118"/>
      <c r="BR1121" s="118"/>
      <c r="BS1121" s="118">
        <f>INDEX('Dist. Plant Gas Additions'!$F$7:$AE$91,MATCH($C1121,'Dist. Plant Gas Additions'!$D$7:$D$91,0),MATCH(Calculation!$G1121,'Dist. Plant Gas Additions'!$F$5:$AE$5,0))</f>
        <v>53</v>
      </c>
      <c r="BT1121" s="118">
        <f>INDEX('Gen. Plant Additions'!$F$7:$AE$91,MATCH($C1121,'Gen. Plant Additions'!$D$7:$D$91,0),MATCH(Calculation!$G1121,'Gen. Plant Additions'!$F$5:$AE$5,0))</f>
        <v>97</v>
      </c>
      <c r="BU1121" s="118"/>
      <c r="BV1121" s="118"/>
      <c r="BW1121" s="118">
        <f>INDEX('Dist Plant Depreciation'!$E$7:$AD$94,MATCH($C1121,'Dist Plant Depreciation'!$D$7:$D$94,0),MATCH(Calculation!$G1121,'Dist Plant Depreciation'!$E$5:$AD$5,0))</f>
        <v>2387</v>
      </c>
      <c r="BX1121" s="118">
        <f>INDEX('Gen. Plant Depreciation'!$E$7:$AD$94,MATCH($C1121,'Gen. Plant Depreciation'!$D$7:$D$94,0),MATCH(Calculation!$G1121,'Gen. Plant Depreciation'!$E$5:$AD$5,0))</f>
        <v>280</v>
      </c>
      <c r="BY1121" s="118"/>
      <c r="BZ1121" s="118"/>
      <c r="CA1121" s="118"/>
      <c r="CB1121" s="118"/>
      <c r="CC1121" s="118"/>
      <c r="CD1121" s="183"/>
      <c r="CE1121" s="118">
        <f>INDEX('Gross Dx Plant'!$E$7:$AD$91,MATCH($C1121,'Gross Dx Plant'!$D$7:$D$91,0),MATCH(Calculation!$G1121,'Gross Dx Plant'!$E$5:$AD$5,0))</f>
        <v>5536</v>
      </c>
      <c r="CF1121" s="118">
        <f>INDEX('Gross Gen Plant'!$E$7:$AD$91,MATCH($C1121,'Gross Gen Plant'!$D$7:$D$91,0),MATCH(Calculation!$G1121,'Gross Gen Plant'!$E$5:$AD$5,0))</f>
        <v>586</v>
      </c>
      <c r="CG1121" s="118">
        <f t="shared" si="3352"/>
        <v>3455</v>
      </c>
      <c r="CH1121" s="118"/>
      <c r="CI1121" s="121">
        <v>2003</v>
      </c>
      <c r="CJ1121" s="118"/>
      <c r="CK1121" s="118"/>
      <c r="CL1121" s="118"/>
      <c r="CM1121" s="183"/>
      <c r="CN1121" s="118">
        <f t="shared" si="3342"/>
        <v>150</v>
      </c>
      <c r="CO1121" s="118">
        <f t="shared" si="3343"/>
        <v>0.40624753353387627</v>
      </c>
      <c r="CP1121" s="186">
        <v>0.97354497354497349</v>
      </c>
      <c r="CQ1121" s="118">
        <f>+CQ1116*CP1121+CO1117*CP1120+CO1118*CP1119+CO1119*CP1118+CO1120*CP1117+CO1121</f>
        <v>21.464366669211788</v>
      </c>
      <c r="CR1121" s="119">
        <f t="shared" si="3344"/>
        <v>1.3379101636534814E-2</v>
      </c>
      <c r="CS1121" s="119"/>
      <c r="CT1121" s="177">
        <f t="shared" si="3345"/>
        <v>5.7125225431828479E-3</v>
      </c>
      <c r="CU1121" s="177">
        <f t="shared" si="3354"/>
        <v>5.5204576983352398E-3</v>
      </c>
      <c r="CV1121" s="119">
        <f>VLOOKUP($H1121,RoR!$E:$F,2,FALSE)</f>
        <v>5.6666666666666671E-2</v>
      </c>
      <c r="CW1121" s="177">
        <v>1.8855119140166909E-2</v>
      </c>
      <c r="CX1121" s="177">
        <f t="shared" si="3351"/>
        <v>3.7811547526499761E-2</v>
      </c>
      <c r="CY1121" s="177">
        <f t="shared" si="3355"/>
        <v>2.5381483910198385E-2</v>
      </c>
      <c r="CZ1121" s="177">
        <f t="shared" si="3356"/>
        <v>2.1375012817671957E-2</v>
      </c>
      <c r="DA1121" s="187">
        <f t="shared" si="3346"/>
        <v>0.85534375000000007</v>
      </c>
      <c r="DB1121" s="188">
        <f t="shared" si="3347"/>
        <v>0.90497737556561086</v>
      </c>
      <c r="DC1121" s="188">
        <f t="shared" si="3348"/>
        <v>0.5338235294117647</v>
      </c>
      <c r="DD1121" s="188">
        <f t="shared" si="3349"/>
        <v>0.88972433127405692</v>
      </c>
      <c r="DE1121" s="188">
        <f t="shared" si="3350"/>
        <v>0.42982423775949252</v>
      </c>
      <c r="DF1121" s="189">
        <f>INDEX('State Tax Lookup'!$D$7:$Z$91,MATCH(Calculation!$C1121,'State Tax Lookup'!$B$7:$B$91,0),MATCH($H1121,'State Tax Lookup'!$D$6:$Z$6,0))</f>
        <v>0.38574999999999998</v>
      </c>
      <c r="DG1121" s="189">
        <v>0.375</v>
      </c>
      <c r="DH1121" s="190">
        <f t="shared" si="3353"/>
        <v>13.020311613005061</v>
      </c>
      <c r="DI1121" s="190"/>
      <c r="DJ1121" s="177"/>
      <c r="DK1121" s="189">
        <f>VLOOKUP($H1121,RoR!$E:$F,2,FALSE)</f>
        <v>5.6666666666666671E-2</v>
      </c>
      <c r="DL1121" s="191">
        <f>HLOOKUP($H1121,'GDP-PI'!$D$8:$CQ$11,3,FALSE)</f>
        <v>1.8855119140166909E-2</v>
      </c>
      <c r="DM1121" s="189">
        <f>VLOOKUP(H1121,'HW Dx Data'!$E:$F,2,FALSE)</f>
        <v>369.23301095560191</v>
      </c>
      <c r="DN1121" s="183">
        <f>VLOOKUP(H1121,'ECI - Input Price'!$G$17:$H$37,2,FALSE)</f>
        <v>92.625</v>
      </c>
      <c r="DO1121" s="177">
        <f t="shared" ref="DO1121" si="3357">LN(DN1121/DN1120)</f>
        <v>3.6837590135738785E-2</v>
      </c>
      <c r="DP1121" s="183">
        <f>HLOOKUP(H1121,'GDP-PI'!$8:$9,2,FALSE)</f>
        <v>82.566999999999993</v>
      </c>
      <c r="DQ1121" s="177">
        <f t="shared" ref="DQ1121" si="3358">LN(DP1121/DP1120)</f>
        <v>1.8679564681853753E-2</v>
      </c>
    </row>
    <row r="1122" spans="1:121" s="167" customFormat="1" ht="21" x14ac:dyDescent="0.35">
      <c r="A1122" s="167" t="s">
        <v>109</v>
      </c>
      <c r="B1122" s="167" t="s">
        <v>109</v>
      </c>
      <c r="C1122" s="167">
        <v>4063179</v>
      </c>
      <c r="D1122" s="168" t="s">
        <v>147</v>
      </c>
      <c r="E1122" s="168"/>
      <c r="F1122" s="198"/>
      <c r="G1122" s="167" t="s">
        <v>10</v>
      </c>
      <c r="H1122" s="169">
        <v>2004</v>
      </c>
      <c r="I1122" s="170"/>
      <c r="J1122" s="166">
        <f>IFERROR(INDEX('Labor Expenditures'!$F$7:$X$91,MATCH($C1122,'Labor Expenditures'!$D$7:$D$91,0),MATCH($G1122,'Labor Expenditures'!$F$5:$X$5,0)),"NA")</f>
        <v>283.92807354755394</v>
      </c>
      <c r="K1122" s="166">
        <f t="shared" ref="K1122:K1139" si="3359">+J1122/DN1122</f>
        <v>2.9522024803488844</v>
      </c>
      <c r="L1122" s="172"/>
      <c r="M1122" s="172"/>
      <c r="N1122" s="196"/>
      <c r="O1122" s="172"/>
      <c r="P1122" s="166">
        <f>IFERROR(INDEX('Non-Labor Expenditures'!$F$7:$AB$91,MATCH($C1122,'Non-Labor Expenditures'!$D$7:$D$91,0),MATCH($G1122,'Non-Labor Expenditures'!$F$5:$AB$5,0)),"NA")</f>
        <v>411.18088094600341</v>
      </c>
      <c r="Q1122" s="166">
        <f t="shared" ref="Q1122:Q1139" si="3360">+P1122/DP1122</f>
        <v>4.850089421147036</v>
      </c>
      <c r="R1122" s="166"/>
      <c r="S1122" s="166"/>
      <c r="T1122" s="166"/>
      <c r="U1122" s="166"/>
      <c r="V1122" s="166">
        <f t="shared" si="3340"/>
        <v>310.57135576335696</v>
      </c>
      <c r="W1122" s="170"/>
      <c r="X1122" s="174">
        <v>21.513416001373688</v>
      </c>
      <c r="Y1122" s="175">
        <v>2.2825446269982975E-3</v>
      </c>
      <c r="Z1122" s="175"/>
      <c r="AA1122" s="175"/>
      <c r="AB1122" s="175"/>
      <c r="AC1122" s="170">
        <f t="shared" si="3252"/>
        <v>1005.6803102569143</v>
      </c>
      <c r="AD1122" s="175"/>
      <c r="AE1122" s="170"/>
      <c r="AF1122" s="170"/>
      <c r="AG1122" s="174"/>
      <c r="AH1122" s="175"/>
      <c r="AI1122" s="175"/>
      <c r="AJ1122" s="174"/>
      <c r="AK1122" s="174"/>
      <c r="AL1122" s="120">
        <f t="shared" ref="AL1122:AL1139" si="3361">+J1122/AC1122</f>
        <v>0.28232438345642941</v>
      </c>
      <c r="AM1122" s="120">
        <f t="shared" ref="AM1122:AM1139" si="3362">+P1122/AC1122</f>
        <v>0.40885843816606277</v>
      </c>
      <c r="AN1122" s="120">
        <f t="shared" ref="AN1122:AN1139" si="3363">+V1122/AC1122</f>
        <v>0.30881717837750788</v>
      </c>
      <c r="AO1122" s="120"/>
      <c r="AP1122" s="120"/>
      <c r="AQ1122" s="175"/>
      <c r="AR1122" s="120"/>
      <c r="AS1122" s="120"/>
      <c r="AT1122" s="120"/>
      <c r="AU1122" s="120"/>
      <c r="AV1122" s="120"/>
      <c r="AW1122" s="120"/>
      <c r="AX1122" s="120"/>
      <c r="AY1122" s="120"/>
      <c r="AZ1122" s="118">
        <f>IFERROR(INDEX('Total Customers'!$F$7:$AB$91,MATCH($C1122,'Total Customers'!$D$7:$D$91,0),MATCH($G1122,'Total Customers'!$F$5:$AB$5,0)),"NA")</f>
        <v>3278</v>
      </c>
      <c r="BA1122" s="119">
        <f t="shared" si="3341"/>
        <v>-1.3032462072971584E-2</v>
      </c>
      <c r="BB1122" s="119"/>
      <c r="BC1122" s="121"/>
      <c r="BD1122" s="119"/>
      <c r="BE1122" s="119"/>
      <c r="BF1122" s="119"/>
      <c r="BG1122" s="173"/>
      <c r="BH1122" s="173"/>
      <c r="BI1122" s="173"/>
      <c r="BJ1122" s="173"/>
      <c r="BK1122" s="173"/>
      <c r="BL1122" s="173"/>
      <c r="BM1122" s="173"/>
      <c r="BN1122" s="173"/>
      <c r="BO1122" s="173"/>
      <c r="BP1122" s="173"/>
      <c r="BQ1122" s="118"/>
      <c r="BR1122" s="118"/>
      <c r="BS1122" s="118">
        <f>INDEX('Dist. Plant Gas Additions'!$F$7:$AE$91,MATCH($C1122,'Dist. Plant Gas Additions'!$D$7:$D$91,0),MATCH(Calculation!$G1122,'Dist. Plant Gas Additions'!$F$5:$AE$5,0))</f>
        <v>67</v>
      </c>
      <c r="BT1122" s="118">
        <f>INDEX('Gen. Plant Additions'!$F$7:$AE$91,MATCH($C1122,'Gen. Plant Additions'!$D$7:$D$91,0),MATCH(Calculation!$G1122,'Gen. Plant Additions'!$F$5:$AE$5,0))</f>
        <v>6</v>
      </c>
      <c r="BU1122" s="118"/>
      <c r="BV1122" s="118"/>
      <c r="BW1122" s="118">
        <f>INDEX('Dist Plant Depreciation'!$E$7:$AD$94,MATCH($C1122,'Dist Plant Depreciation'!$D$7:$D$94,0),MATCH(Calculation!$G1122,'Dist Plant Depreciation'!$E$5:$AD$5,0))</f>
        <v>2496</v>
      </c>
      <c r="BX1122" s="118">
        <f>INDEX('Gen. Plant Depreciation'!$E$7:$AD$94,MATCH($C1122,'Gen. Plant Depreciation'!$D$7:$D$94,0),MATCH(Calculation!$G1122,'Gen. Plant Depreciation'!$E$5:$AD$5,0))</f>
        <v>318</v>
      </c>
      <c r="BY1122" s="118"/>
      <c r="BZ1122" s="118"/>
      <c r="CA1122" s="118"/>
      <c r="CB1122" s="118"/>
      <c r="CC1122" s="118"/>
      <c r="CD1122" s="183"/>
      <c r="CE1122" s="118">
        <f>INDEX('Gross Dx Plant'!$E$7:$AD$91,MATCH($C1122,'Gross Dx Plant'!$D$7:$D$91,0),MATCH(Calculation!$G1122,'Gross Dx Plant'!$E$5:$AD$5,0))</f>
        <v>5531</v>
      </c>
      <c r="CF1122" s="118">
        <f>INDEX('Gross Gen Plant'!$E$7:$AD$91,MATCH($C1122,'Gross Gen Plant'!$D$7:$D$91,0),MATCH(Calculation!$G1122,'Gross Gen Plant'!$E$5:$AD$5,0))</f>
        <v>587</v>
      </c>
      <c r="CG1122" s="118">
        <f t="shared" si="3352"/>
        <v>3304</v>
      </c>
      <c r="CH1122" s="118"/>
      <c r="CI1122" s="121">
        <v>2004</v>
      </c>
      <c r="CJ1122" s="118"/>
      <c r="CK1122" s="118"/>
      <c r="CL1122" s="118"/>
      <c r="CM1122" s="183"/>
      <c r="CN1122" s="118">
        <f t="shared" si="3342"/>
        <v>73</v>
      </c>
      <c r="CO1122" s="118">
        <f t="shared" si="3343"/>
        <v>0.17595144299842985</v>
      </c>
      <c r="CP1122" s="186">
        <v>0.967741935483871</v>
      </c>
      <c r="CQ1122" s="118">
        <f>+CQ1116*CP1122+CO1117*CP1121+CO1118*CP1120+CO1119*CP1119+CO1120*CP1118+CO1121*CP1117+CO1122</f>
        <v>21.513416001373688</v>
      </c>
      <c r="CR1122" s="119">
        <f t="shared" si="3344"/>
        <v>2.2825446269982975E-3</v>
      </c>
      <c r="CS1122" s="119"/>
      <c r="CT1122" s="177">
        <f t="shared" si="3345"/>
        <v>5.9122224658301574E-3</v>
      </c>
      <c r="CU1122" s="177">
        <f t="shared" si="3354"/>
        <v>5.7222979775903198E-3</v>
      </c>
      <c r="CV1122" s="119">
        <f>VLOOKUP($H1122,RoR!$E:$F,2,FALSE)</f>
        <v>5.6283333333333331E-2</v>
      </c>
      <c r="CW1122" s="177">
        <v>2.6778252812867276E-2</v>
      </c>
      <c r="CX1122" s="177">
        <f t="shared" si="3351"/>
        <v>2.9505080520466055E-2</v>
      </c>
      <c r="CY1122" s="177">
        <f t="shared" si="3355"/>
        <v>2.5179643630943306E-2</v>
      </c>
      <c r="CZ1122" s="177">
        <f t="shared" si="3356"/>
        <v>5.5940039414565046E-2</v>
      </c>
      <c r="DA1122" s="187">
        <f t="shared" si="3346"/>
        <v>0.85534375000000007</v>
      </c>
      <c r="DB1122" s="188">
        <f t="shared" si="3347"/>
        <v>0.91114097628755619</v>
      </c>
      <c r="DC1122" s="188">
        <f t="shared" si="3348"/>
        <v>0.53081877405981637</v>
      </c>
      <c r="DD1122" s="188">
        <f t="shared" si="3349"/>
        <v>0.88811215519385678</v>
      </c>
      <c r="DE1122" s="188">
        <f t="shared" si="3350"/>
        <v>0.42953609753547711</v>
      </c>
      <c r="DF1122" s="189">
        <f>INDEX('State Tax Lookup'!$D$7:$Z$91,MATCH(Calculation!$C1122,'State Tax Lookup'!$B$7:$B$91,0),MATCH($H1122,'State Tax Lookup'!$D$6:$Z$6,0))</f>
        <v>0.38574999999999998</v>
      </c>
      <c r="DG1122" s="189">
        <v>0.375</v>
      </c>
      <c r="DH1122" s="190">
        <f t="shared" si="3353"/>
        <v>14.469160005957059</v>
      </c>
      <c r="DI1122" s="190"/>
      <c r="DJ1122" s="177"/>
      <c r="DK1122" s="189">
        <f>VLOOKUP($H1122,RoR!$E:$F,2,FALSE)</f>
        <v>5.6283333333333331E-2</v>
      </c>
      <c r="DL1122" s="191">
        <f>HLOOKUP($H1122,'GDP-PI'!$D$8:$CQ$11,3,FALSE)</f>
        <v>2.6778252812867276E-2</v>
      </c>
      <c r="DM1122" s="189">
        <f>VLOOKUP(H1122,'HW Dx Data'!$E:$F,2,FALSE)</f>
        <v>414.88719135228365</v>
      </c>
      <c r="DN1122" s="183">
        <f>VLOOKUP(H1122,'ECI - Input Price'!$G$17:$H$37,2,FALSE)</f>
        <v>96.174999999999997</v>
      </c>
      <c r="DO1122" s="177">
        <f t="shared" ref="DO1122" si="3364">LN(DN1122/DN1121)</f>
        <v>3.7610365022107912E-2</v>
      </c>
      <c r="DP1122" s="183">
        <f>HLOOKUP(H1122,'GDP-PI'!$8:$9,2,FALSE)</f>
        <v>84.778000000000006</v>
      </c>
      <c r="DQ1122" s="177">
        <f t="shared" ref="DQ1122" si="3365">LN(DP1122/DP1121)</f>
        <v>2.6425990216022755E-2</v>
      </c>
    </row>
    <row r="1123" spans="1:121" s="167" customFormat="1" ht="21" x14ac:dyDescent="0.35">
      <c r="A1123" s="167" t="s">
        <v>109</v>
      </c>
      <c r="B1123" s="167" t="s">
        <v>109</v>
      </c>
      <c r="C1123" s="167">
        <v>4063179</v>
      </c>
      <c r="D1123" s="168" t="s">
        <v>147</v>
      </c>
      <c r="E1123" s="168"/>
      <c r="F1123" s="198"/>
      <c r="G1123" s="167" t="s">
        <v>11</v>
      </c>
      <c r="H1123" s="169">
        <v>2005</v>
      </c>
      <c r="I1123" s="170"/>
      <c r="J1123" s="166">
        <f>IFERROR(INDEX('Labor Expenditures'!$F$7:$X$91,MATCH($C1123,'Labor Expenditures'!$D$7:$D$91,0),MATCH($G1123,'Labor Expenditures'!$F$5:$X$5,0)),"NA")</f>
        <v>263.08957716416728</v>
      </c>
      <c r="K1123" s="166">
        <f t="shared" si="3359"/>
        <v>2.6534500974701691</v>
      </c>
      <c r="L1123" s="172">
        <f t="shared" ref="L1123:L1139" si="3366">LN(K1123/K1122)</f>
        <v>-0.10669077848591592</v>
      </c>
      <c r="M1123" s="172"/>
      <c r="N1123" s="196"/>
      <c r="O1123" s="172"/>
      <c r="P1123" s="166">
        <f>IFERROR(INDEX('Non-Labor Expenditures'!$F$7:$AB$91,MATCH($C1123,'Non-Labor Expenditures'!$D$7:$D$91,0),MATCH($G1123,'Non-Labor Expenditures'!$F$5:$AB$5,0)),"NA")</f>
        <v>381.00284608860864</v>
      </c>
      <c r="Q1123" s="166">
        <f t="shared" si="3360"/>
        <v>4.3589511834133265</v>
      </c>
      <c r="R1123" s="172">
        <f>LN(Q1123/Q1122)</f>
        <v>-0.10676566796920348</v>
      </c>
      <c r="S1123" s="172"/>
      <c r="T1123" s="172"/>
      <c r="U1123" s="172"/>
      <c r="V1123" s="166">
        <f t="shared" si="3340"/>
        <v>348.40524995968082</v>
      </c>
      <c r="W1123" s="170"/>
      <c r="X1123" s="174">
        <v>21.57543624672342</v>
      </c>
      <c r="Y1123" s="175">
        <v>2.8787161850033906E-3</v>
      </c>
      <c r="Z1123" s="175"/>
      <c r="AA1123" s="175"/>
      <c r="AB1123" s="175"/>
      <c r="AC1123" s="170">
        <f t="shared" si="3252"/>
        <v>992.49767321245668</v>
      </c>
      <c r="AD1123" s="175">
        <f>LN(AC1123/AC1122)</f>
        <v>-1.3194848922859407E-2</v>
      </c>
      <c r="AE1123" s="170"/>
      <c r="AF1123" s="170"/>
      <c r="AG1123" s="121"/>
      <c r="AH1123" s="119"/>
      <c r="AI1123" s="119"/>
      <c r="AJ1123" s="121"/>
      <c r="AK1123" s="121"/>
      <c r="AL1123" s="120">
        <f t="shared" si="3361"/>
        <v>0.26507828105290643</v>
      </c>
      <c r="AM1123" s="120">
        <f t="shared" si="3362"/>
        <v>0.38388286075815331</v>
      </c>
      <c r="AN1123" s="120">
        <f t="shared" si="3363"/>
        <v>0.35103885818894032</v>
      </c>
      <c r="AO1123" s="120">
        <f t="shared" ref="AO1123:AO1139" si="3367">+(((AL1123+AL1122)/2)*L1123+((AM1122+AM1123)/2)*R1123+((AN1122+AN1123)/2)*Y1123)</f>
        <v>-7.0570416237973804E-2</v>
      </c>
      <c r="AP1123" s="173">
        <v>100</v>
      </c>
      <c r="AQ1123" s="175"/>
      <c r="AR1123" s="120"/>
      <c r="AS1123" s="120"/>
      <c r="AT1123" s="120"/>
      <c r="AU1123" s="120"/>
      <c r="AV1123" s="120"/>
      <c r="AW1123" s="120"/>
      <c r="AX1123" s="120"/>
      <c r="AY1123" s="120"/>
      <c r="AZ1123" s="118">
        <f>IFERROR(INDEX('Total Customers'!$F$7:$AB$91,MATCH($C1123,'Total Customers'!$D$7:$D$91,0),MATCH($G1123,'Total Customers'!$F$5:$AB$5,0)),"NA")</f>
        <v>3196</v>
      </c>
      <c r="BA1123" s="119">
        <f t="shared" si="3341"/>
        <v>-2.5333452417609703E-2</v>
      </c>
      <c r="BB1123" s="119"/>
      <c r="BC1123" s="121"/>
      <c r="BD1123" s="119"/>
      <c r="BE1123" s="119"/>
      <c r="BF1123" s="119"/>
      <c r="BG1123" s="173"/>
      <c r="BH1123" s="173"/>
      <c r="BI1123" s="173"/>
      <c r="BJ1123" s="173"/>
      <c r="BK1123" s="173"/>
      <c r="BL1123" s="173"/>
      <c r="BM1123" s="173"/>
      <c r="BN1123" s="173"/>
      <c r="BO1123" s="173"/>
      <c r="BP1123" s="173"/>
      <c r="BQ1123" s="118"/>
      <c r="BR1123" s="118"/>
      <c r="BS1123" s="118">
        <f>INDEX('Dist. Plant Gas Additions'!$F$7:$AE$91,MATCH($C1123,'Dist. Plant Gas Additions'!$D$7:$D$91,0),MATCH(Calculation!$G1123,'Dist. Plant Gas Additions'!$F$5:$AE$5,0))</f>
        <v>30</v>
      </c>
      <c r="BT1123" s="118">
        <f>INDEX('Gen. Plant Additions'!$F$7:$AE$91,MATCH($C1123,'Gen. Plant Additions'!$D$7:$D$91,0),MATCH(Calculation!$G1123,'Gen. Plant Additions'!$F$5:$AE$5,0))</f>
        <v>61</v>
      </c>
      <c r="BU1123" s="118"/>
      <c r="BV1123" s="118"/>
      <c r="BW1123" s="118">
        <f>INDEX('Dist Plant Depreciation'!$E$7:$AD$94,MATCH($C1123,'Dist Plant Depreciation'!$D$7:$D$94,0),MATCH(Calculation!$G1123,'Dist Plant Depreciation'!$E$5:$AD$5,0))</f>
        <v>2628</v>
      </c>
      <c r="BX1123" s="118">
        <f>INDEX('Gen. Plant Depreciation'!$E$7:$AD$94,MATCH($C1123,'Gen. Plant Depreciation'!$D$7:$D$94,0),MATCH(Calculation!$G1123,'Gen. Plant Depreciation'!$E$5:$AD$5,0))</f>
        <v>317</v>
      </c>
      <c r="BY1123" s="118"/>
      <c r="BZ1123" s="118"/>
      <c r="CA1123" s="118"/>
      <c r="CB1123" s="118"/>
      <c r="CC1123" s="118"/>
      <c r="CD1123" s="183"/>
      <c r="CE1123" s="118">
        <f>INDEX('Gross Dx Plant'!$E$7:$AD$91,MATCH($C1123,'Gross Dx Plant'!$D$7:$D$91,0),MATCH(Calculation!$G1123,'Gross Dx Plant'!$E$5:$AD$5,0))</f>
        <v>5519</v>
      </c>
      <c r="CF1123" s="118">
        <f>INDEX('Gross Gen Plant'!$E$7:$AD$91,MATCH($C1123,'Gross Gen Plant'!$D$7:$D$91,0),MATCH(Calculation!$G1123,'Gross Gen Plant'!$E$5:$AD$5,0))</f>
        <v>592</v>
      </c>
      <c r="CG1123" s="118">
        <f t="shared" si="3352"/>
        <v>3166</v>
      </c>
      <c r="CH1123" s="118"/>
      <c r="CI1123" s="121">
        <v>2005</v>
      </c>
      <c r="CJ1123" s="118"/>
      <c r="CK1123" s="118"/>
      <c r="CL1123" s="118"/>
      <c r="CM1123" s="183"/>
      <c r="CN1123" s="118">
        <f t="shared" si="3342"/>
        <v>91</v>
      </c>
      <c r="CO1123" s="118">
        <f t="shared" si="3343"/>
        <v>0.1939450192984733</v>
      </c>
      <c r="CP1123" s="186">
        <v>0.96174863387978138</v>
      </c>
      <c r="CQ1123" s="118">
        <f>+CQ1116*CP1123+CO1117*CP1122+CO1118*CP1121+CO1119*CP1120+CO1120*CP1119+CO1121*CP1118+CO1122*CP1117+CO1123</f>
        <v>21.57543624672342</v>
      </c>
      <c r="CR1123" s="119">
        <f t="shared" si="3344"/>
        <v>2.8787161850033906E-3</v>
      </c>
      <c r="CS1123" s="119"/>
      <c r="CT1123" s="177">
        <f t="shared" si="3345"/>
        <v>6.132209498497008E-3</v>
      </c>
      <c r="CU1123" s="177">
        <f t="shared" si="3354"/>
        <v>5.9189848358366702E-3</v>
      </c>
      <c r="CV1123" s="119">
        <f>VLOOKUP($H1123,RoR!$E:$F,2,FALSE)</f>
        <v>5.2350000000000001E-2</v>
      </c>
      <c r="CW1123" s="177">
        <v>3.1010403642454332E-2</v>
      </c>
      <c r="CX1123" s="177">
        <f t="shared" si="3351"/>
        <v>2.1339596357545669E-2</v>
      </c>
      <c r="CY1123" s="177">
        <f t="shared" si="3355"/>
        <v>2.4982956772696956E-2</v>
      </c>
      <c r="CZ1123" s="177">
        <f t="shared" si="3356"/>
        <v>9.2129610649277341E-2</v>
      </c>
      <c r="DA1123" s="187">
        <f t="shared" si="3346"/>
        <v>0.85534375000000007</v>
      </c>
      <c r="DB1123" s="188">
        <f t="shared" si="3347"/>
        <v>0.97959983346802826</v>
      </c>
      <c r="DC1123" s="188">
        <f t="shared" si="3348"/>
        <v>0.49744508118433622</v>
      </c>
      <c r="DD1123" s="188">
        <f t="shared" si="3349"/>
        <v>0.87010519444335932</v>
      </c>
      <c r="DE1123" s="188">
        <f t="shared" si="3350"/>
        <v>0.42399975420741998</v>
      </c>
      <c r="DF1123" s="189">
        <f>INDEX('State Tax Lookup'!$D$7:$Z$91,MATCH(Calculation!$C1123,'State Tax Lookup'!$B$7:$B$91,0),MATCH($H1123,'State Tax Lookup'!$D$6:$Z$6,0))</f>
        <v>0.38574999999999998</v>
      </c>
      <c r="DG1123" s="189">
        <v>0.375</v>
      </c>
      <c r="DH1123" s="190">
        <f t="shared" si="3353"/>
        <v>16.194789797093787</v>
      </c>
      <c r="DI1123" s="190"/>
      <c r="DJ1123" s="177"/>
      <c r="DK1123" s="189">
        <f>VLOOKUP($H1123,RoR!$E:$F,2,FALSE)</f>
        <v>5.2350000000000001E-2</v>
      </c>
      <c r="DL1123" s="191">
        <f>HLOOKUP($H1123,'GDP-PI'!$D$8:$CQ$11,3,FALSE)</f>
        <v>3.1010403642454332E-2</v>
      </c>
      <c r="DM1123" s="189">
        <f>VLOOKUP(H1123,'HW Dx Data'!$E:$F,2,FALSE)</f>
        <v>469.20514034936258</v>
      </c>
      <c r="DN1123" s="183">
        <f>VLOOKUP(H1123,'ECI - Input Price'!$G$17:$H$37,2,FALSE)</f>
        <v>99.15</v>
      </c>
      <c r="DO1123" s="177">
        <f t="shared" ref="DO1123" si="3368">LN(DN1123/DN1122)</f>
        <v>3.046440632744625E-2</v>
      </c>
      <c r="DP1123" s="183">
        <f>HLOOKUP(H1123,'GDP-PI'!$8:$9,2,FALSE)</f>
        <v>87.406999999999996</v>
      </c>
      <c r="DQ1123" s="177">
        <f t="shared" ref="DQ1123" si="3369">LN(DP1123/DP1122)</f>
        <v>3.0539295810733648E-2</v>
      </c>
    </row>
    <row r="1124" spans="1:121" s="167" customFormat="1" ht="21" x14ac:dyDescent="0.35">
      <c r="A1124" s="167" t="s">
        <v>109</v>
      </c>
      <c r="B1124" s="167" t="s">
        <v>109</v>
      </c>
      <c r="C1124" s="167">
        <v>4063179</v>
      </c>
      <c r="D1124" s="168" t="s">
        <v>147</v>
      </c>
      <c r="E1124" s="168"/>
      <c r="F1124" s="198"/>
      <c r="G1124" s="167" t="s">
        <v>12</v>
      </c>
      <c r="H1124" s="169">
        <v>2006</v>
      </c>
      <c r="I1124" s="170"/>
      <c r="J1124" s="166">
        <f>IFERROR(INDEX('Labor Expenditures'!$F$7:$X$91,MATCH($C1124,'Labor Expenditures'!$D$7:$D$91,0),MATCH($G1124,'Labor Expenditures'!$F$5:$X$5,0)),"NA")</f>
        <v>294.08100107715359</v>
      </c>
      <c r="K1124" s="166">
        <f t="shared" si="3359"/>
        <v>2.8817344544552044</v>
      </c>
      <c r="L1124" s="172">
        <f t="shared" si="3366"/>
        <v>8.2531637199566146E-2</v>
      </c>
      <c r="M1124" s="172">
        <f t="shared" ref="M1124:M1139" si="3370">+L1124*AR1124</f>
        <v>1.1004910021120059E-5</v>
      </c>
      <c r="N1124" s="196"/>
      <c r="O1124" s="172"/>
      <c r="P1124" s="166">
        <f>IFERROR(INDEX('Non-Labor Expenditures'!$F$7:$AB$91,MATCH($C1124,'Non-Labor Expenditures'!$D$7:$D$91,0),MATCH($G1124,'Non-Labor Expenditures'!$F$5:$AB$5,0)),"NA")</f>
        <v>425.88421631415076</v>
      </c>
      <c r="Q1124" s="166">
        <f t="shared" si="3360"/>
        <v>4.7281592503291821</v>
      </c>
      <c r="R1124" s="172">
        <f t="shared" ref="R1124:R1139" si="3371">LN(Q1124/Q1123)</f>
        <v>8.1304487764160147E-2</v>
      </c>
      <c r="S1124" s="172">
        <f>+R1124*AR1124</f>
        <v>1.0841279811210904E-5</v>
      </c>
      <c r="T1124" s="172"/>
      <c r="U1124" s="172"/>
      <c r="V1124" s="166">
        <f t="shared" si="3340"/>
        <v>340.70656301821515</v>
      </c>
      <c r="W1124" s="170"/>
      <c r="X1124" s="174">
        <v>21.75264122176749</v>
      </c>
      <c r="Y1124" s="175">
        <v>8.1797288701388852E-3</v>
      </c>
      <c r="Z1124" s="175">
        <f>+Y1124*AR1124</f>
        <v>1.0906990733186338E-6</v>
      </c>
      <c r="AA1124" s="175"/>
      <c r="AB1124" s="175"/>
      <c r="AC1124" s="170">
        <f t="shared" si="3252"/>
        <v>1060.6717804095194</v>
      </c>
      <c r="AD1124" s="175">
        <f t="shared" ref="AD1124:AD1139" si="3372">LN(AC1124/AC1123)</f>
        <v>6.6433073283198821E-2</v>
      </c>
      <c r="AE1124" s="170"/>
      <c r="AF1124" s="170"/>
      <c r="AG1124" s="121">
        <f t="shared" ref="AG1124:AG1139" si="3373">+(AC1124*1000)/AZ1124</f>
        <v>337.68601732235572</v>
      </c>
      <c r="AH1124" s="119">
        <f>+AZ1124/$BB$44</f>
        <v>8.9348673769559106E-5</v>
      </c>
      <c r="AI1124" s="119"/>
      <c r="AJ1124" s="176">
        <f>+AH1124*AG1124</f>
        <v>3.0171797798276848E-2</v>
      </c>
      <c r="AK1124" s="176">
        <f>+AI1124*AG1124</f>
        <v>0</v>
      </c>
      <c r="AL1124" s="120">
        <f t="shared" si="3361"/>
        <v>0.27725919224853002</v>
      </c>
      <c r="AM1124" s="120">
        <f t="shared" si="3362"/>
        <v>0.40152309524980406</v>
      </c>
      <c r="AN1124" s="120">
        <f t="shared" si="3363"/>
        <v>0.32121771250166592</v>
      </c>
      <c r="AO1124" s="120">
        <f t="shared" si="3367"/>
        <v>5.7057952502904768E-2</v>
      </c>
      <c r="AP1124" s="173">
        <f>+AP1123*EXP(AO1124)</f>
        <v>105.87171639272053</v>
      </c>
      <c r="AQ1124" s="175">
        <f>LN(AP1124/AP1123)</f>
        <v>5.7057952502904671E-2</v>
      </c>
      <c r="AR1124" s="177">
        <f>+AC1124/$AE$44</f>
        <v>1.3334171469917127E-4</v>
      </c>
      <c r="AS1124" s="177">
        <f>+AR1124*AQ1124</f>
        <v>7.6082052239611802E-6</v>
      </c>
      <c r="AT1124" s="177"/>
      <c r="AU1124" s="177"/>
      <c r="AV1124" s="177"/>
      <c r="AW1124" s="190"/>
      <c r="AX1124" s="120"/>
      <c r="AY1124" s="120"/>
      <c r="AZ1124" s="118">
        <f>IFERROR(INDEX('Total Customers'!$F$7:$AB$91,MATCH($C1124,'Total Customers'!$D$7:$D$91,0),MATCH($G1124,'Total Customers'!$F$5:$AB$5,0)),"NA")</f>
        <v>3141</v>
      </c>
      <c r="BA1124" s="119">
        <f t="shared" si="3341"/>
        <v>-1.7358807347518785E-2</v>
      </c>
      <c r="BB1124" s="119"/>
      <c r="BC1124" s="121"/>
      <c r="BD1124" s="119"/>
      <c r="BE1124" s="119"/>
      <c r="BF1124" s="119"/>
      <c r="BG1124" s="173"/>
      <c r="BH1124" s="173"/>
      <c r="BI1124" s="173"/>
      <c r="BJ1124" s="173"/>
      <c r="BK1124" s="173"/>
      <c r="BL1124" s="173"/>
      <c r="BM1124" s="173"/>
      <c r="BN1124" s="173"/>
      <c r="BO1124" s="173"/>
      <c r="BP1124" s="173"/>
      <c r="BQ1124" s="118"/>
      <c r="BR1124" s="118"/>
      <c r="BS1124" s="118">
        <f>INDEX('Dist. Plant Gas Additions'!$F$7:$AE$91,MATCH($C1124,'Dist. Plant Gas Additions'!$D$7:$D$91,0),MATCH(Calculation!$G1124,'Dist. Plant Gas Additions'!$F$5:$AE$5,0))</f>
        <v>60</v>
      </c>
      <c r="BT1124" s="118">
        <f>INDEX('Gen. Plant Additions'!$F$7:$AE$91,MATCH($C1124,'Gen. Plant Additions'!$D$7:$D$91,0),MATCH(Calculation!$G1124,'Gen. Plant Additions'!$F$5:$AE$5,0))</f>
        <v>85</v>
      </c>
      <c r="BU1124" s="118"/>
      <c r="BV1124" s="118"/>
      <c r="BW1124" s="118">
        <f>INDEX('Dist Plant Depreciation'!$E$7:$AD$94,MATCH($C1124,'Dist Plant Depreciation'!$D$7:$D$94,0),MATCH(Calculation!$G1124,'Dist Plant Depreciation'!$E$5:$AD$5,0))</f>
        <v>2791</v>
      </c>
      <c r="BX1124" s="118">
        <f>INDEX('Gen. Plant Depreciation'!$E$7:$AD$94,MATCH($C1124,'Gen. Plant Depreciation'!$D$7:$D$94,0),MATCH(Calculation!$G1124,'Gen. Plant Depreciation'!$E$5:$AD$5,0))</f>
        <v>339</v>
      </c>
      <c r="BY1124" s="118"/>
      <c r="BZ1124" s="118"/>
      <c r="CA1124" s="118"/>
      <c r="CB1124" s="118"/>
      <c r="CC1124" s="118"/>
      <c r="CD1124" s="183"/>
      <c r="CE1124" s="118">
        <f>INDEX('Gross Dx Plant'!$E$7:$AD$91,MATCH($C1124,'Gross Dx Plant'!$D$7:$D$91,0),MATCH(Calculation!$G1124,'Gross Dx Plant'!$E$5:$AD$5,0))</f>
        <v>5562</v>
      </c>
      <c r="CF1124" s="118">
        <f>INDEX('Gross Gen Plant'!$E$7:$AD$91,MATCH($C1124,'Gross Gen Plant'!$D$7:$D$91,0),MATCH(Calculation!$G1124,'Gross Gen Plant'!$E$5:$AD$5,0))</f>
        <v>635</v>
      </c>
      <c r="CG1124" s="118">
        <f t="shared" si="3352"/>
        <v>3067</v>
      </c>
      <c r="CH1124" s="119" t="e">
        <f>SUM(#REF!)/15</f>
        <v>#REF!</v>
      </c>
      <c r="CI1124" s="121">
        <v>2006</v>
      </c>
      <c r="CJ1124" s="118"/>
      <c r="CK1124" s="118"/>
      <c r="CL1124" s="118"/>
      <c r="CM1124" s="183"/>
      <c r="CN1124" s="118">
        <f t="shared" si="3342"/>
        <v>145</v>
      </c>
      <c r="CO1124" s="118">
        <f t="shared" si="3343"/>
        <v>0.31447518015810677</v>
      </c>
      <c r="CP1124" s="186">
        <v>0.9555555555555556</v>
      </c>
      <c r="CQ1124" s="118">
        <f>+CQ1116*CP1124+CO1117*CP1123+CO1118*CP1122+CO1119*CP1121+CO1120*CP1120+CO1121*CP1119+CO1122*CP1118+CO1123*CP1117+CO1124</f>
        <v>21.75264122176749</v>
      </c>
      <c r="CR1124" s="119">
        <f t="shared" si="3344"/>
        <v>8.1797288701388852E-3</v>
      </c>
      <c r="CS1124" s="119"/>
      <c r="CT1124" s="177">
        <f t="shared" si="3345"/>
        <v>6.3623374074247702E-3</v>
      </c>
      <c r="CU1124" s="177">
        <f t="shared" si="3354"/>
        <v>6.1355897905839779E-3</v>
      </c>
      <c r="CV1124" s="119">
        <f>VLOOKUP($H1124,RoR!$E:$F,2,FALSE)</f>
        <v>5.5874999999999994E-2</v>
      </c>
      <c r="CW1124" s="177">
        <v>3.0512430354548314E-2</v>
      </c>
      <c r="CX1124" s="177">
        <f t="shared" si="3351"/>
        <v>2.536256964545168E-2</v>
      </c>
      <c r="CY1124" s="177">
        <f t="shared" si="3355"/>
        <v>2.4766351817949648E-2</v>
      </c>
      <c r="CZ1124" s="177">
        <f t="shared" si="3356"/>
        <v>7.9087823893859641E-2</v>
      </c>
      <c r="DA1124" s="187">
        <f t="shared" si="3346"/>
        <v>0.85534375000000007</v>
      </c>
      <c r="DB1124" s="188">
        <f t="shared" si="3347"/>
        <v>0.91779957551769631</v>
      </c>
      <c r="DC1124" s="188">
        <f t="shared" si="3348"/>
        <v>0.52757270693512304</v>
      </c>
      <c r="DD1124" s="188">
        <f t="shared" si="3349"/>
        <v>0.88636824549024895</v>
      </c>
      <c r="DE1124" s="188">
        <f t="shared" si="3350"/>
        <v>0.42918482841932087</v>
      </c>
      <c r="DF1124" s="189">
        <f>INDEX('State Tax Lookup'!$D$7:$Z$91,MATCH(Calculation!$C1124,'State Tax Lookup'!$B$7:$B$91,0),MATCH($H1124,'State Tax Lookup'!$D$6:$Z$6,0))</f>
        <v>0.38574999999999998</v>
      </c>
      <c r="DG1124" s="189">
        <v>0.375</v>
      </c>
      <c r="DH1124" s="190">
        <f t="shared" si="3353"/>
        <v>15.791410153755615</v>
      </c>
      <c r="DI1124" s="190">
        <v>15.311178903424944</v>
      </c>
      <c r="DJ1124" s="177"/>
      <c r="DK1124" s="189">
        <f>VLOOKUP($H1124,RoR!$E:$F,2,FALSE)</f>
        <v>5.5874999999999994E-2</v>
      </c>
      <c r="DL1124" s="191">
        <f>HLOOKUP($H1124,'GDP-PI'!$D$8:$CQ$11,3,FALSE)</f>
        <v>3.0512430354548314E-2</v>
      </c>
      <c r="DM1124" s="189">
        <f>VLOOKUP(H1124,'HW Dx Data'!$E:$F,2,FALSE)</f>
        <v>461.08567272971823</v>
      </c>
      <c r="DN1124" s="183">
        <f>VLOOKUP(H1124,'ECI - Input Price'!$G$17:$H$37,2,FALSE)</f>
        <v>102.05</v>
      </c>
      <c r="DO1124" s="177">
        <f t="shared" ref="DO1124" si="3374">LN(DN1124/DN1123)</f>
        <v>2.8829034290048662E-2</v>
      </c>
      <c r="DP1124" s="183">
        <f>HLOOKUP(H1124,'GDP-PI'!$8:$9,2,FALSE)</f>
        <v>90.073999999999998</v>
      </c>
      <c r="DQ1124" s="177">
        <f t="shared" ref="DQ1124" si="3375">LN(DP1124/DP1123)</f>
        <v>3.005618372545445E-2</v>
      </c>
    </row>
    <row r="1125" spans="1:121" s="167" customFormat="1" ht="21" x14ac:dyDescent="0.35">
      <c r="A1125" s="167" t="s">
        <v>109</v>
      </c>
      <c r="B1125" s="167" t="s">
        <v>109</v>
      </c>
      <c r="C1125" s="167">
        <v>4063179</v>
      </c>
      <c r="D1125" s="168" t="s">
        <v>147</v>
      </c>
      <c r="E1125" s="168"/>
      <c r="F1125" s="198"/>
      <c r="G1125" s="167" t="s">
        <v>13</v>
      </c>
      <c r="H1125" s="169">
        <v>2007</v>
      </c>
      <c r="I1125" s="170"/>
      <c r="J1125" s="166">
        <f>IFERROR(INDEX('Labor Expenditures'!$F$7:$X$91,MATCH($C1125,'Labor Expenditures'!$D$7:$D$91,0),MATCH($G1125,'Labor Expenditures'!$F$5:$X$5,0)),"NA")</f>
        <v>314.50094467618726</v>
      </c>
      <c r="K1125" s="166">
        <f t="shared" si="3359"/>
        <v>2.988842429804583</v>
      </c>
      <c r="L1125" s="172">
        <f t="shared" si="3366"/>
        <v>3.6493811215492465E-2</v>
      </c>
      <c r="M1125" s="172">
        <f t="shared" si="3370"/>
        <v>4.9436532459907282E-6</v>
      </c>
      <c r="N1125" s="196"/>
      <c r="O1125" s="172"/>
      <c r="P1125" s="166">
        <f>IFERROR(INDEX('Non-Labor Expenditures'!$F$7:$AB$91,MATCH($C1125,'Non-Labor Expenditures'!$D$7:$D$91,0),MATCH($G1125,'Non-Labor Expenditures'!$F$5:$AB$5,0)),"NA")</f>
        <v>455.45610856492578</v>
      </c>
      <c r="Q1125" s="166">
        <f t="shared" si="3360"/>
        <v>4.9239562862432242</v>
      </c>
      <c r="R1125" s="172">
        <f t="shared" si="3371"/>
        <v>4.057636866623527E-2</v>
      </c>
      <c r="S1125" s="172">
        <f t="shared" ref="S1125:S1139" si="3376">+R1125*AR1125</f>
        <v>5.4966990288532278E-6</v>
      </c>
      <c r="T1125" s="172"/>
      <c r="U1125" s="172"/>
      <c r="V1125" s="166">
        <f t="shared" si="3340"/>
        <v>368.2187490893283</v>
      </c>
      <c r="W1125" s="170"/>
      <c r="X1125" s="174">
        <v>21.914381981976756</v>
      </c>
      <c r="Y1125" s="175">
        <v>7.4079471420379853E-3</v>
      </c>
      <c r="Z1125" s="175">
        <f t="shared" ref="Z1125:Z1139" si="3377">+Y1125*AR1125</f>
        <v>1.0035214387067582E-6</v>
      </c>
      <c r="AA1125" s="175"/>
      <c r="AB1125" s="175"/>
      <c r="AC1125" s="170">
        <f t="shared" si="3252"/>
        <v>1138.1758023304415</v>
      </c>
      <c r="AD1125" s="175">
        <f t="shared" si="3372"/>
        <v>7.0524344877851516E-2</v>
      </c>
      <c r="AE1125" s="170"/>
      <c r="AF1125" s="170"/>
      <c r="AG1125" s="121">
        <f t="shared" si="3373"/>
        <v>367.27195944835159</v>
      </c>
      <c r="AH1125" s="119">
        <f>+AZ1125/$BB$45</f>
        <v>8.7492985163533456E-5</v>
      </c>
      <c r="AI1125" s="119"/>
      <c r="AJ1125" s="176">
        <f t="shared" ref="AJ1125:AJ1139" si="3378">+AH1125*AG1125</f>
        <v>3.2133720098996489E-2</v>
      </c>
      <c r="AK1125" s="176">
        <f t="shared" ref="AK1125:AK1139" si="3379">+AI1125*AG1125</f>
        <v>0</v>
      </c>
      <c r="AL1125" s="120">
        <f t="shared" si="3361"/>
        <v>0.27632018184909507</v>
      </c>
      <c r="AM1125" s="120">
        <f t="shared" si="3362"/>
        <v>0.40016323280847194</v>
      </c>
      <c r="AN1125" s="120">
        <f t="shared" si="3363"/>
        <v>0.32351658534243288</v>
      </c>
      <c r="AO1125" s="120">
        <f t="shared" si="3367"/>
        <v>2.8753949386085158E-2</v>
      </c>
      <c r="AP1125" s="173">
        <f>+AP1124*EXP(AO1125)</f>
        <v>108.96013570713627</v>
      </c>
      <c r="AQ1125" s="175">
        <f>LN(AP1125/AP1124)</f>
        <v>2.8753949386085064E-2</v>
      </c>
      <c r="AR1125" s="177">
        <f>+AC1125/$AE$45</f>
        <v>1.3546552364177391E-4</v>
      </c>
      <c r="AS1125" s="177">
        <f t="shared" ref="AS1125:AS1139" si="3380">+AR1125*AQ1125</f>
        <v>3.8951688103550768E-6</v>
      </c>
      <c r="AT1125" s="177"/>
      <c r="AU1125" s="177"/>
      <c r="AV1125" s="177"/>
      <c r="AW1125" s="190"/>
      <c r="AX1125" s="120"/>
      <c r="AY1125" s="120"/>
      <c r="AZ1125" s="118">
        <f>IFERROR(INDEX('Total Customers'!$F$7:$AB$91,MATCH($C1125,'Total Customers'!$D$7:$D$91,0),MATCH($G1125,'Total Customers'!$F$5:$AB$5,0)),"NA")</f>
        <v>3099</v>
      </c>
      <c r="BA1125" s="119">
        <f t="shared" si="3341"/>
        <v>-1.3461741750898357E-2</v>
      </c>
      <c r="BB1125" s="119"/>
      <c r="BC1125" s="121"/>
      <c r="BD1125" s="119"/>
      <c r="BE1125" s="119"/>
      <c r="BF1125" s="119"/>
      <c r="BG1125" s="173"/>
      <c r="BH1125" s="173"/>
      <c r="BI1125" s="173"/>
      <c r="BJ1125" s="173"/>
      <c r="BK1125" s="173"/>
      <c r="BL1125" s="173"/>
      <c r="BM1125" s="173"/>
      <c r="BN1125" s="173"/>
      <c r="BO1125" s="173"/>
      <c r="BP1125" s="173"/>
      <c r="BQ1125" s="118"/>
      <c r="BR1125" s="118"/>
      <c r="BS1125" s="118">
        <f>INDEX('Dist. Plant Gas Additions'!$F$7:$AE$91,MATCH($C1125,'Dist. Plant Gas Additions'!$D$7:$D$91,0),MATCH(Calculation!$G1125,'Dist. Plant Gas Additions'!$F$5:$AE$5,0))</f>
        <v>39</v>
      </c>
      <c r="BT1125" s="118">
        <f>INDEX('Gen. Plant Additions'!$F$7:$AE$91,MATCH($C1125,'Gen. Plant Additions'!$D$7:$D$91,0),MATCH(Calculation!$G1125,'Gen. Plant Additions'!$F$5:$AE$5,0))</f>
        <v>113</v>
      </c>
      <c r="BU1125" s="118"/>
      <c r="BV1125" s="118"/>
      <c r="BW1125" s="118">
        <f>INDEX('Dist Plant Depreciation'!$E$7:$AD$94,MATCH($C1125,'Dist Plant Depreciation'!$D$7:$D$94,0),MATCH(Calculation!$G1125,'Dist Plant Depreciation'!$E$5:$AD$5,0))</f>
        <v>2937</v>
      </c>
      <c r="BX1125" s="118">
        <f>INDEX('Gen. Plant Depreciation'!$E$7:$AD$94,MATCH($C1125,'Gen. Plant Depreciation'!$D$7:$D$94,0),MATCH(Calculation!$G1125,'Gen. Plant Depreciation'!$E$5:$AD$5,0))</f>
        <v>277</v>
      </c>
      <c r="BY1125" s="118"/>
      <c r="BZ1125" s="118"/>
      <c r="CA1125" s="118"/>
      <c r="CB1125" s="118"/>
      <c r="CC1125" s="118"/>
      <c r="CD1125" s="183"/>
      <c r="CE1125" s="118">
        <f>INDEX('Gross Dx Plant'!$E$7:$AD$91,MATCH($C1125,'Gross Dx Plant'!$D$7:$D$91,0),MATCH(Calculation!$G1125,'Gross Dx Plant'!$E$5:$AD$5,0))</f>
        <v>5571</v>
      </c>
      <c r="CF1125" s="118">
        <f>INDEX('Gross Gen Plant'!$E$7:$AD$91,MATCH($C1125,'Gross Gen Plant'!$D$7:$D$91,0),MATCH(Calculation!$G1125,'Gross Gen Plant'!$E$5:$AD$5,0))</f>
        <v>633</v>
      </c>
      <c r="CG1125" s="118">
        <f t="shared" si="3352"/>
        <v>2990</v>
      </c>
      <c r="CH1125" s="118"/>
      <c r="CI1125" s="121">
        <v>2007</v>
      </c>
      <c r="CJ1125" s="118"/>
      <c r="CK1125" s="118"/>
      <c r="CL1125" s="118"/>
      <c r="CM1125" s="183"/>
      <c r="CN1125" s="118">
        <f t="shared" si="3342"/>
        <v>152</v>
      </c>
      <c r="CO1125" s="118">
        <f t="shared" si="3343"/>
        <v>0.305207207139575</v>
      </c>
      <c r="CP1125" s="186">
        <v>0.94915254237288138</v>
      </c>
      <c r="CQ1125" s="118">
        <f>+CQ1116*CP1125+CO1117*CP1124+CO1118*CP1123+CO1119*CP1122+CO1120*CP1121+CO1121*CP1120+CO1122*CP1119+CO1123*CP1118+CO1124*CP1117+CO1125</f>
        <v>21.914381981976756</v>
      </c>
      <c r="CR1125" s="119">
        <f t="shared" si="3344"/>
        <v>7.4079471420379853E-3</v>
      </c>
      <c r="CS1125" s="119"/>
      <c r="CT1125" s="177">
        <f t="shared" si="3345"/>
        <v>6.5953575691187526E-3</v>
      </c>
      <c r="CU1125" s="177">
        <f t="shared" si="3354"/>
        <v>6.3633014916801766E-3</v>
      </c>
      <c r="CV1125" s="119">
        <f>VLOOKUP($H1125,RoR!$E:$F,2,FALSE)</f>
        <v>5.5558333333333321E-2</v>
      </c>
      <c r="CW1125" s="177">
        <v>2.691120634145272E-2</v>
      </c>
      <c r="CX1125" s="177">
        <f t="shared" si="3351"/>
        <v>2.86471269918806E-2</v>
      </c>
      <c r="CY1125" s="177">
        <f t="shared" si="3355"/>
        <v>2.4538640116853448E-2</v>
      </c>
      <c r="CZ1125" s="177">
        <f t="shared" si="3356"/>
        <v>6.4575155250632399E-2</v>
      </c>
      <c r="DA1125" s="187">
        <f t="shared" si="3346"/>
        <v>0.85534375000000007</v>
      </c>
      <c r="DB1125" s="188">
        <f t="shared" si="3347"/>
        <v>0.92303077153834634</v>
      </c>
      <c r="DC1125" s="188">
        <f t="shared" si="3348"/>
        <v>0.52502249887505614</v>
      </c>
      <c r="DD1125" s="188">
        <f t="shared" si="3349"/>
        <v>0.88499666072084604</v>
      </c>
      <c r="DE1125" s="188">
        <f t="shared" si="3350"/>
        <v>0.42887993290280618</v>
      </c>
      <c r="DF1125" s="189">
        <f>INDEX('State Tax Lookup'!$D$7:$Z$91,MATCH(Calculation!$C1125,'State Tax Lookup'!$B$7:$B$91,0),MATCH($H1125,'State Tax Lookup'!$D$6:$Z$6,0))</f>
        <v>0.38574999999999998</v>
      </c>
      <c r="DG1125" s="189">
        <v>0.375</v>
      </c>
      <c r="DH1125" s="190">
        <f t="shared" si="3353"/>
        <v>16.927542055024482</v>
      </c>
      <c r="DI1125" s="190">
        <v>16.657932441057586</v>
      </c>
      <c r="DJ1125" s="177"/>
      <c r="DK1125" s="189">
        <f>VLOOKUP($H1125,RoR!$E:$F,2,FALSE)</f>
        <v>5.5558333333333321E-2</v>
      </c>
      <c r="DL1125" s="191">
        <f>HLOOKUP($H1125,'GDP-PI'!$D$8:$CQ$11,3,FALSE)</f>
        <v>2.691120634145272E-2</v>
      </c>
      <c r="DM1125" s="189">
        <f>VLOOKUP(H1125,'HW Dx Data'!$E:$F,2,FALSE)</f>
        <v>498.0223154772637</v>
      </c>
      <c r="DN1125" s="183">
        <f>VLOOKUP(H1125,'ECI - Input Price'!$G$17:$H$37,2,FALSE)</f>
        <v>105.22500000000001</v>
      </c>
      <c r="DO1125" s="177">
        <f t="shared" ref="DO1125" si="3381">LN(DN1125/DN1124)</f>
        <v>3.0638025400780679E-2</v>
      </c>
      <c r="DP1125" s="183">
        <f>HLOOKUP(H1125,'GDP-PI'!$8:$9,2,FALSE)</f>
        <v>92.498000000000005</v>
      </c>
      <c r="DQ1125" s="177">
        <f t="shared" ref="DQ1125" si="3382">LN(DP1125/DP1124)</f>
        <v>2.6555467950038037E-2</v>
      </c>
    </row>
    <row r="1126" spans="1:121" s="167" customFormat="1" ht="21" x14ac:dyDescent="0.35">
      <c r="A1126" s="167" t="s">
        <v>109</v>
      </c>
      <c r="B1126" s="167" t="s">
        <v>109</v>
      </c>
      <c r="C1126" s="167">
        <v>4063179</v>
      </c>
      <c r="D1126" s="168" t="s">
        <v>147</v>
      </c>
      <c r="E1126" s="168"/>
      <c r="F1126" s="198"/>
      <c r="G1126" s="167" t="s">
        <v>14</v>
      </c>
      <c r="H1126" s="169">
        <v>2008</v>
      </c>
      <c r="I1126" s="170"/>
      <c r="J1126" s="166">
        <f>IFERROR(INDEX('Labor Expenditures'!$F$7:$X$91,MATCH($C1126,'Labor Expenditures'!$D$7:$D$91,0),MATCH($G1126,'Labor Expenditures'!$F$5:$X$5,0)),"NA")</f>
        <v>313.2776739860077</v>
      </c>
      <c r="K1126" s="166">
        <f t="shared" si="3359"/>
        <v>2.8946886023193135</v>
      </c>
      <c r="L1126" s="172">
        <f t="shared" si="3366"/>
        <v>-3.2008623945368186E-2</v>
      </c>
      <c r="M1126" s="172">
        <f t="shared" si="3370"/>
        <v>-4.2317558187258771E-6</v>
      </c>
      <c r="N1126" s="196"/>
      <c r="O1126" s="172"/>
      <c r="P1126" s="166">
        <f>IFERROR(INDEX('Non-Labor Expenditures'!$F$7:$AB$91,MATCH($C1126,'Non-Labor Expenditures'!$D$7:$D$91,0),MATCH($G1126,'Non-Labor Expenditures'!$F$5:$AB$5,0)),"NA")</f>
        <v>453.6845841300966</v>
      </c>
      <c r="Q1126" s="166">
        <f t="shared" si="3360"/>
        <v>4.8129146241417358</v>
      </c>
      <c r="R1126" s="172">
        <f t="shared" si="3371"/>
        <v>-2.2809479021990733E-2</v>
      </c>
      <c r="S1126" s="172">
        <f t="shared" si="3376"/>
        <v>-3.0155668590490175E-6</v>
      </c>
      <c r="T1126" s="172"/>
      <c r="U1126" s="172"/>
      <c r="V1126" s="166">
        <f t="shared" si="3340"/>
        <v>420.52469449404941</v>
      </c>
      <c r="W1126" s="170"/>
      <c r="X1126" s="174">
        <v>21.908369110580427</v>
      </c>
      <c r="Y1126" s="175">
        <v>-2.7441779825111619E-4</v>
      </c>
      <c r="Z1126" s="175">
        <f t="shared" si="3377"/>
        <v>-3.6279882462087112E-8</v>
      </c>
      <c r="AA1126" s="175"/>
      <c r="AB1126" s="175"/>
      <c r="AC1126" s="170">
        <f t="shared" si="3252"/>
        <v>1187.4869526101538</v>
      </c>
      <c r="AD1126" s="175">
        <f t="shared" si="3372"/>
        <v>4.2412462223448751E-2</v>
      </c>
      <c r="AE1126" s="170"/>
      <c r="AF1126" s="170"/>
      <c r="AG1126" s="121">
        <f t="shared" si="3373"/>
        <v>388.44846339880723</v>
      </c>
      <c r="AH1126" s="119">
        <f>+AZ1126/$BB$46</f>
        <v>8.5847034081963766E-5</v>
      </c>
      <c r="AI1126" s="119"/>
      <c r="AJ1126" s="176">
        <f t="shared" si="3378"/>
        <v>3.3347148476483859E-2</v>
      </c>
      <c r="AK1126" s="176">
        <f t="shared" si="3379"/>
        <v>0</v>
      </c>
      <c r="AL1126" s="120">
        <f t="shared" si="3361"/>
        <v>0.2638156767090436</v>
      </c>
      <c r="AM1126" s="120">
        <f t="shared" si="3362"/>
        <v>0.38205437384627755</v>
      </c>
      <c r="AN1126" s="120">
        <f t="shared" si="3363"/>
        <v>0.35412994944467874</v>
      </c>
      <c r="AO1126" s="120">
        <f t="shared" si="3367"/>
        <v>-1.7658469967844061E-2</v>
      </c>
      <c r="AP1126" s="173">
        <f t="shared" ref="AP1126:AP1139" si="3383">+AP1125*EXP(AO1126)</f>
        <v>107.0529549283951</v>
      </c>
      <c r="AQ1126" s="175">
        <f t="shared" ref="AQ1126:AQ1139" si="3384">LN(AP1126/AP1125)</f>
        <v>-1.765846996784403E-2</v>
      </c>
      <c r="AR1126" s="177">
        <f>+AC1126/$AE$46</f>
        <v>1.3220673984450475E-4</v>
      </c>
      <c r="AS1126" s="177">
        <f t="shared" si="3380"/>
        <v>-2.3345687450907558E-6</v>
      </c>
      <c r="AT1126" s="177"/>
      <c r="AU1126" s="177"/>
      <c r="AV1126" s="177"/>
      <c r="AW1126" s="190"/>
      <c r="AX1126" s="120"/>
      <c r="AY1126" s="120"/>
      <c r="AZ1126" s="118">
        <f>IFERROR(INDEX('Total Customers'!$F$7:$AB$91,MATCH($C1126,'Total Customers'!$D$7:$D$91,0),MATCH($G1126,'Total Customers'!$F$5:$AB$5,0)),"NA")</f>
        <v>3057</v>
      </c>
      <c r="BA1126" s="119">
        <f t="shared" si="3341"/>
        <v>-1.3645435896913758E-2</v>
      </c>
      <c r="BB1126" s="119"/>
      <c r="BC1126" s="121"/>
      <c r="BD1126" s="119"/>
      <c r="BE1126" s="119"/>
      <c r="BF1126" s="119"/>
      <c r="BG1126" s="173"/>
      <c r="BH1126" s="173"/>
      <c r="BI1126" s="173"/>
      <c r="BJ1126" s="173"/>
      <c r="BK1126" s="173"/>
      <c r="BL1126" s="173"/>
      <c r="BM1126" s="173"/>
      <c r="BN1126" s="173"/>
      <c r="BO1126" s="173"/>
      <c r="BP1126" s="173"/>
      <c r="BQ1126" s="118"/>
      <c r="BR1126" s="118"/>
      <c r="BS1126" s="118">
        <f>INDEX('Dist. Plant Gas Additions'!$F$7:$AE$91,MATCH($C1126,'Dist. Plant Gas Additions'!$D$7:$D$91,0),MATCH(Calculation!$G1126,'Dist. Plant Gas Additions'!$F$5:$AE$5,0))</f>
        <v>78</v>
      </c>
      <c r="BT1126" s="118">
        <f>INDEX('Gen. Plant Additions'!$F$7:$AE$91,MATCH($C1126,'Gen. Plant Additions'!$D$7:$D$91,0),MATCH(Calculation!$G1126,'Gen. Plant Additions'!$F$5:$AE$5,0))</f>
        <v>4</v>
      </c>
      <c r="BU1126" s="118"/>
      <c r="BV1126" s="118"/>
      <c r="BW1126" s="118">
        <f>INDEX('Dist Plant Depreciation'!$E$7:$AD$94,MATCH($C1126,'Dist Plant Depreciation'!$D$7:$D$94,0),MATCH(Calculation!$G1126,'Dist Plant Depreciation'!$E$5:$AD$5,0))</f>
        <v>3079</v>
      </c>
      <c r="BX1126" s="118">
        <f>INDEX('Gen. Plant Depreciation'!$E$7:$AD$94,MATCH($C1126,'Gen. Plant Depreciation'!$D$7:$D$94,0),MATCH(Calculation!$G1126,'Gen. Plant Depreciation'!$E$5:$AD$5,0))</f>
        <v>327</v>
      </c>
      <c r="BY1126" s="118"/>
      <c r="BZ1126" s="118"/>
      <c r="CA1126" s="118"/>
      <c r="CB1126" s="118"/>
      <c r="CC1126" s="118"/>
      <c r="CD1126" s="183"/>
      <c r="CE1126" s="118">
        <f>INDEX('Gross Dx Plant'!$E$7:$AD$91,MATCH($C1126,'Gross Dx Plant'!$D$7:$D$91,0),MATCH(Calculation!$G1126,'Gross Dx Plant'!$E$5:$AD$5,0))</f>
        <v>5615</v>
      </c>
      <c r="CF1126" s="118">
        <f>INDEX('Gross Gen Plant'!$E$7:$AD$91,MATCH($C1126,'Gross Gen Plant'!$D$7:$D$91,0),MATCH(Calculation!$G1126,'Gross Gen Plant'!$E$5:$AD$5,0))</f>
        <v>626</v>
      </c>
      <c r="CG1126" s="118">
        <f t="shared" si="3352"/>
        <v>2835</v>
      </c>
      <c r="CH1126" s="118"/>
      <c r="CI1126" s="121">
        <v>2008</v>
      </c>
      <c r="CJ1126" s="118"/>
      <c r="CK1126" s="118"/>
      <c r="CL1126" s="118"/>
      <c r="CM1126" s="183"/>
      <c r="CN1126" s="118">
        <f t="shared" si="3342"/>
        <v>82</v>
      </c>
      <c r="CO1126" s="118">
        <f t="shared" si="3343"/>
        <v>0.14388963791068449</v>
      </c>
      <c r="CP1126" s="186">
        <v>0.94252873563218387</v>
      </c>
      <c r="CQ1126" s="118">
        <f>+CQ1116*CP1126+CO1117*CP1125+CO1118*CP1124+CO1119*CP1123+CO1120*CP1122+CO1121*CP1121+CO1122*CP1120+CO1123*CP1119+CO1124*CP1118+CO1125*CP1117+CO1126</f>
        <v>21.908369110580427</v>
      </c>
      <c r="CR1126" s="119">
        <f t="shared" si="3344"/>
        <v>-2.7441779825111619E-4</v>
      </c>
      <c r="CS1126" s="119"/>
      <c r="CT1126" s="177">
        <f t="shared" si="3345"/>
        <v>6.8403712881476468E-3</v>
      </c>
      <c r="CU1126" s="177">
        <f t="shared" si="3354"/>
        <v>6.5993554215637226E-3</v>
      </c>
      <c r="CV1126" s="119">
        <f>VLOOKUP($H1126,RoR!$E:$F,2,FALSE)</f>
        <v>5.6316666666666668E-2</v>
      </c>
      <c r="CW1126" s="177">
        <v>1.9092304698479889E-2</v>
      </c>
      <c r="CX1126" s="177">
        <f t="shared" si="3351"/>
        <v>3.7224361968186778E-2</v>
      </c>
      <c r="CY1126" s="177">
        <f t="shared" si="3355"/>
        <v>2.4302586186969902E-2</v>
      </c>
      <c r="CZ1126" s="177">
        <f t="shared" si="3356"/>
        <v>6.9030581091053131E-2</v>
      </c>
      <c r="DA1126" s="187">
        <f t="shared" si="3346"/>
        <v>0.85534375000000007</v>
      </c>
      <c r="DB1126" s="188">
        <f t="shared" si="3347"/>
        <v>0.91060168006009956</v>
      </c>
      <c r="DC1126" s="188">
        <f t="shared" si="3348"/>
        <v>0.53108168097070152</v>
      </c>
      <c r="DD1126" s="188">
        <f t="shared" si="3349"/>
        <v>0.88825329850328805</v>
      </c>
      <c r="DE1126" s="188">
        <f t="shared" si="3350"/>
        <v>0.4295627335323573</v>
      </c>
      <c r="DF1126" s="189">
        <f>INDEX('State Tax Lookup'!$D$7:$Z$91,MATCH(Calculation!$C1126,'State Tax Lookup'!$B$7:$B$91,0),MATCH($H1126,'State Tax Lookup'!$D$6:$Z$6,0))</f>
        <v>0.38574999999999998</v>
      </c>
      <c r="DG1126" s="189">
        <v>0.375</v>
      </c>
      <c r="DH1126" s="190">
        <f t="shared" si="3353"/>
        <v>19.189438919149321</v>
      </c>
      <c r="DI1126" s="190">
        <v>18.889054425819982</v>
      </c>
      <c r="DJ1126" s="177"/>
      <c r="DK1126" s="189">
        <f>VLOOKUP($H1126,RoR!$E:$F,2,FALSE)</f>
        <v>5.6316666666666668E-2</v>
      </c>
      <c r="DL1126" s="191">
        <f>HLOOKUP($H1126,'GDP-PI'!$D$8:$CQ$11,3,FALSE)</f>
        <v>1.9092304698479889E-2</v>
      </c>
      <c r="DM1126" s="189">
        <f>VLOOKUP(H1126,'HW Dx Data'!$E:$F,2,FALSE)</f>
        <v>569.88120333515076</v>
      </c>
      <c r="DN1126" s="183">
        <f>VLOOKUP(H1126,'ECI - Input Price'!$G$17:$H$37,2,FALSE)</f>
        <v>108.22499999999999</v>
      </c>
      <c r="DO1126" s="177">
        <f t="shared" ref="DO1126" si="3385">LN(DN1126/DN1125)</f>
        <v>2.8111478671409691E-2</v>
      </c>
      <c r="DP1126" s="183">
        <f>HLOOKUP(H1126,'GDP-PI'!$8:$9,2,FALSE)</f>
        <v>94.263999999999996</v>
      </c>
      <c r="DQ1126" s="177">
        <f t="shared" ref="DQ1126" si="3386">LN(DP1126/DP1125)</f>
        <v>1.8912333748032254E-2</v>
      </c>
    </row>
    <row r="1127" spans="1:121" s="167" customFormat="1" ht="21" x14ac:dyDescent="0.35">
      <c r="A1127" s="167" t="s">
        <v>109</v>
      </c>
      <c r="B1127" s="167" t="s">
        <v>109</v>
      </c>
      <c r="C1127" s="167">
        <v>4063179</v>
      </c>
      <c r="D1127" s="168" t="s">
        <v>147</v>
      </c>
      <c r="E1127" s="168"/>
      <c r="F1127" s="198"/>
      <c r="G1127" s="167" t="s">
        <v>15</v>
      </c>
      <c r="H1127" s="169">
        <v>2009</v>
      </c>
      <c r="I1127" s="170"/>
      <c r="J1127" s="166">
        <f>IFERROR(INDEX('Labor Expenditures'!$F$7:$X$91,MATCH($C1127,'Labor Expenditures'!$D$7:$D$91,0),MATCH($G1127,'Labor Expenditures'!$F$5:$X$5,0)),"NA")</f>
        <v>303.30976820238368</v>
      </c>
      <c r="K1127" s="166">
        <f t="shared" si="3359"/>
        <v>2.763013146913083</v>
      </c>
      <c r="L1127" s="172">
        <f t="shared" si="3366"/>
        <v>-4.6555737141539932E-2</v>
      </c>
      <c r="M1127" s="172">
        <f t="shared" si="3370"/>
        <v>-5.6891249248307306E-6</v>
      </c>
      <c r="N1127" s="196"/>
      <c r="O1127" s="172"/>
      <c r="P1127" s="166">
        <f>IFERROR(INDEX('Non-Labor Expenditures'!$F$7:$AB$91,MATCH($C1127,'Non-Labor Expenditures'!$D$7:$D$91,0),MATCH($G1127,'Non-Labor Expenditures'!$F$5:$AB$5,0)),"NA")</f>
        <v>439.24919480741721</v>
      </c>
      <c r="Q1127" s="166">
        <f t="shared" si="3360"/>
        <v>4.6237244055981348</v>
      </c>
      <c r="R1127" s="172">
        <f t="shared" si="3371"/>
        <v>-4.0102322840112725E-2</v>
      </c>
      <c r="S1127" s="172">
        <f t="shared" si="3376"/>
        <v>-4.9005157778873812E-6</v>
      </c>
      <c r="T1127" s="172"/>
      <c r="U1127" s="172"/>
      <c r="V1127" s="166">
        <f t="shared" si="3340"/>
        <v>402.32162872675019</v>
      </c>
      <c r="W1127" s="170"/>
      <c r="X1127" s="174">
        <v>22.101024620559524</v>
      </c>
      <c r="Y1127" s="175">
        <v>8.7552553808742644E-3</v>
      </c>
      <c r="Z1127" s="175">
        <f t="shared" si="3377"/>
        <v>1.0698948114419778E-6</v>
      </c>
      <c r="AA1127" s="175"/>
      <c r="AB1127" s="175"/>
      <c r="AC1127" s="170">
        <f t="shared" si="3252"/>
        <v>1144.8805917365512</v>
      </c>
      <c r="AD1127" s="175">
        <f t="shared" si="3372"/>
        <v>-3.6538924715639368E-2</v>
      </c>
      <c r="AE1127" s="170"/>
      <c r="AF1127" s="170"/>
      <c r="AG1127" s="121">
        <f t="shared" si="3373"/>
        <v>386.91469811982125</v>
      </c>
      <c r="AH1127" s="119">
        <f>+AZ1127/$BB$47</f>
        <v>8.2975091659197414E-5</v>
      </c>
      <c r="AI1127" s="119"/>
      <c r="AJ1127" s="176">
        <f t="shared" si="3378"/>
        <v>3.2104282540782868E-2</v>
      </c>
      <c r="AK1127" s="176">
        <f t="shared" si="3379"/>
        <v>0</v>
      </c>
      <c r="AL1127" s="120">
        <f t="shared" si="3361"/>
        <v>0.26492698923502966</v>
      </c>
      <c r="AM1127" s="120">
        <f t="shared" si="3362"/>
        <v>0.38366376194845392</v>
      </c>
      <c r="AN1127" s="120">
        <f t="shared" si="3363"/>
        <v>0.35140924881651636</v>
      </c>
      <c r="AO1127" s="120">
        <f t="shared" si="3367"/>
        <v>-2.4572952297692442E-2</v>
      </c>
      <c r="AP1127" s="173">
        <f t="shared" si="3383"/>
        <v>104.45440554416392</v>
      </c>
      <c r="AQ1127" s="175">
        <f t="shared" si="3384"/>
        <v>-2.4572952297692404E-2</v>
      </c>
      <c r="AR1127" s="177">
        <f>+AC1127/$AE$47</f>
        <v>1.2220029740984465E-4</v>
      </c>
      <c r="AS1127" s="177">
        <f t="shared" si="3380"/>
        <v>-3.0028220790159374E-6</v>
      </c>
      <c r="AT1127" s="177"/>
      <c r="AU1127" s="177"/>
      <c r="AV1127" s="177"/>
      <c r="AW1127" s="190"/>
      <c r="AX1127" s="120"/>
      <c r="AY1127" s="120"/>
      <c r="AZ1127" s="118">
        <f>IFERROR(INDEX('Total Customers'!$F$7:$AB$91,MATCH($C1127,'Total Customers'!$D$7:$D$91,0),MATCH($G1127,'Total Customers'!$F$5:$AB$5,0)),"NA")</f>
        <v>2959</v>
      </c>
      <c r="BA1127" s="119">
        <f t="shared" si="3341"/>
        <v>-3.2582669490624883E-2</v>
      </c>
      <c r="BB1127" s="119"/>
      <c r="BC1127" s="121"/>
      <c r="BD1127" s="119"/>
      <c r="BE1127" s="119"/>
      <c r="BF1127" s="119"/>
      <c r="BG1127" s="173"/>
      <c r="BH1127" s="173"/>
      <c r="BI1127" s="173"/>
      <c r="BJ1127" s="173"/>
      <c r="BK1127" s="173"/>
      <c r="BL1127" s="173"/>
      <c r="BM1127" s="173"/>
      <c r="BN1127" s="173"/>
      <c r="BO1127" s="173"/>
      <c r="BP1127" s="173"/>
      <c r="BQ1127" s="118"/>
      <c r="BR1127" s="118"/>
      <c r="BS1127" s="118">
        <f>INDEX('Dist. Plant Gas Additions'!$F$7:$AE$91,MATCH($C1127,'Dist. Plant Gas Additions'!$D$7:$D$91,0),MATCH(Calculation!$G1127,'Dist. Plant Gas Additions'!$F$5:$AE$5,0))</f>
        <v>93</v>
      </c>
      <c r="BT1127" s="118">
        <f>INDEX('Gen. Plant Additions'!$F$7:$AE$91,MATCH($C1127,'Gen. Plant Additions'!$D$7:$D$91,0),MATCH(Calculation!$G1127,'Gen. Plant Additions'!$F$5:$AE$5,0))</f>
        <v>99</v>
      </c>
      <c r="BU1127" s="118"/>
      <c r="BV1127" s="118"/>
      <c r="BW1127" s="118">
        <f>INDEX('Dist Plant Depreciation'!$E$7:$AD$94,MATCH($C1127,'Dist Plant Depreciation'!$D$7:$D$94,0),MATCH(Calculation!$G1127,'Dist Plant Depreciation'!$E$5:$AD$5,0))</f>
        <v>3222</v>
      </c>
      <c r="BX1127" s="118">
        <f>INDEX('Gen. Plant Depreciation'!$E$7:$AD$94,MATCH($C1127,'Gen. Plant Depreciation'!$D$7:$D$94,0),MATCH(Calculation!$G1127,'Gen. Plant Depreciation'!$E$5:$AD$5,0))</f>
        <v>320</v>
      </c>
      <c r="BY1127" s="118"/>
      <c r="BZ1127" s="118"/>
      <c r="CA1127" s="118"/>
      <c r="CB1127" s="118"/>
      <c r="CC1127" s="118"/>
      <c r="CD1127" s="183"/>
      <c r="CE1127" s="118">
        <f>INDEX('Gross Dx Plant'!$E$7:$AD$91,MATCH($C1127,'Gross Dx Plant'!$D$7:$D$91,0),MATCH(Calculation!$G1127,'Gross Dx Plant'!$E$5:$AD$5,0))</f>
        <v>5671</v>
      </c>
      <c r="CF1127" s="118">
        <f>INDEX('Gross Gen Plant'!$E$7:$AD$91,MATCH($C1127,'Gross Gen Plant'!$D$7:$D$91,0),MATCH(Calculation!$G1127,'Gross Gen Plant'!$E$5:$AD$5,0))</f>
        <v>642</v>
      </c>
      <c r="CG1127" s="118">
        <f t="shared" si="3352"/>
        <v>2771</v>
      </c>
      <c r="CH1127" s="118"/>
      <c r="CI1127" s="121">
        <v>2009</v>
      </c>
      <c r="CJ1127" s="118"/>
      <c r="CK1127" s="118"/>
      <c r="CL1127" s="118"/>
      <c r="CM1127" s="183"/>
      <c r="CN1127" s="118">
        <f t="shared" si="3342"/>
        <v>192</v>
      </c>
      <c r="CO1127" s="118">
        <f t="shared" si="3343"/>
        <v>0.34849489614027063</v>
      </c>
      <c r="CP1127" s="186">
        <v>0.93567251461988299</v>
      </c>
      <c r="CQ1127" s="118">
        <f>+CQ1116*CP1127+CO1117*CP1126+CO1118*CP1125+CO1119*CP1124+CO1120*CP1123+CO1121*CP1122+CO1122*CP1121+CO1123*CP1120+CO1124*CP1119+CO1125*CP1118+CO1126*CP1117+CO1127</f>
        <v>22.101024620559524</v>
      </c>
      <c r="CR1127" s="119">
        <f t="shared" si="3344"/>
        <v>8.7552553808742644E-3</v>
      </c>
      <c r="CS1127" s="119"/>
      <c r="CT1127" s="177">
        <f t="shared" si="3345"/>
        <v>7.1132353747825139E-3</v>
      </c>
      <c r="CU1127" s="177">
        <f t="shared" si="3354"/>
        <v>6.8496547440163045E-3</v>
      </c>
      <c r="CV1127" s="119">
        <f>VLOOKUP($H1127,RoR!$E:$F,2,FALSE)</f>
        <v>5.3133333333333324E-2</v>
      </c>
      <c r="CW1127" s="177">
        <v>7.7972502758210105E-3</v>
      </c>
      <c r="CX1127" s="177">
        <f t="shared" si="3351"/>
        <v>4.5336083057512314E-2</v>
      </c>
      <c r="CY1127" s="177">
        <f t="shared" si="3355"/>
        <v>2.4052286864517321E-2</v>
      </c>
      <c r="CZ1127" s="177">
        <f t="shared" si="3356"/>
        <v>6.3720160300892073E-2</v>
      </c>
      <c r="DA1127" s="187">
        <f t="shared" si="3346"/>
        <v>0.85534375000000007</v>
      </c>
      <c r="DB1127" s="188">
        <f t="shared" si="3347"/>
        <v>0.96515780330083989</v>
      </c>
      <c r="DC1127" s="188">
        <f t="shared" si="3348"/>
        <v>0.50448557089084056</v>
      </c>
      <c r="DD1127" s="188">
        <f t="shared" si="3349"/>
        <v>0.87391435735465484</v>
      </c>
      <c r="DE1127" s="188">
        <f t="shared" si="3350"/>
        <v>0.42551605393279146</v>
      </c>
      <c r="DF1127" s="189">
        <f>INDEX('State Tax Lookup'!$D$7:$Z$91,MATCH(Calculation!$C1127,'State Tax Lookup'!$B$7:$B$91,0),MATCH($H1127,'State Tax Lookup'!$D$6:$Z$6,0))</f>
        <v>0.38574999999999998</v>
      </c>
      <c r="DG1127" s="189">
        <v>0.375</v>
      </c>
      <c r="DH1127" s="190">
        <f t="shared" si="3353"/>
        <v>18.363832866612285</v>
      </c>
      <c r="DI1127" s="190">
        <v>17.995582620144493</v>
      </c>
      <c r="DJ1127" s="177"/>
      <c r="DK1127" s="189">
        <f>VLOOKUP($H1127,RoR!$E:$F,2,FALSE)</f>
        <v>5.3133333333333324E-2</v>
      </c>
      <c r="DL1127" s="191">
        <f>HLOOKUP($H1127,'GDP-PI'!$D$8:$CQ$11,3,FALSE)</f>
        <v>7.7972502758210105E-3</v>
      </c>
      <c r="DM1127" s="189">
        <f>VLOOKUP(H1127,'HW Dx Data'!$E:$F,2,FALSE)</f>
        <v>550.94063679692806</v>
      </c>
      <c r="DN1127" s="183">
        <f>VLOOKUP(H1127,'ECI - Input Price'!$G$17:$H$37,2,FALSE)</f>
        <v>109.77499999999999</v>
      </c>
      <c r="DO1127" s="177">
        <f t="shared" ref="DO1127" si="3387">LN(DN1127/DN1126)</f>
        <v>1.4220423119736749E-2</v>
      </c>
      <c r="DP1127" s="183">
        <f>HLOOKUP(H1127,'GDP-PI'!$8:$9,2,FALSE)</f>
        <v>94.998999999999995</v>
      </c>
      <c r="DQ1127" s="177">
        <f t="shared" ref="DQ1127" si="3388">LN(DP1127/DP1126)</f>
        <v>7.7670088183096342E-3</v>
      </c>
    </row>
    <row r="1128" spans="1:121" s="167" customFormat="1" ht="21" x14ac:dyDescent="0.35">
      <c r="A1128" s="167" t="s">
        <v>109</v>
      </c>
      <c r="B1128" s="167" t="s">
        <v>109</v>
      </c>
      <c r="C1128" s="167">
        <v>4063179</v>
      </c>
      <c r="D1128" s="168" t="s">
        <v>147</v>
      </c>
      <c r="E1128" s="168"/>
      <c r="F1128" s="198"/>
      <c r="G1128" s="167" t="s">
        <v>16</v>
      </c>
      <c r="H1128" s="169">
        <v>2010</v>
      </c>
      <c r="I1128" s="170"/>
      <c r="J1128" s="166">
        <f>IFERROR(INDEX('Labor Expenditures'!$F$7:$X$91,MATCH($C1128,'Labor Expenditures'!$D$7:$D$91,0),MATCH($G1128,'Labor Expenditures'!$F$5:$X$5,0)),"NA")</f>
        <v>299.83456977406388</v>
      </c>
      <c r="K1128" s="166">
        <f t="shared" si="3359"/>
        <v>2.6800855398799004</v>
      </c>
      <c r="L1128" s="172">
        <f t="shared" si="3366"/>
        <v>-3.047309225327012E-2</v>
      </c>
      <c r="M1128" s="172">
        <f t="shared" si="3370"/>
        <v>-3.6060638681431171E-6</v>
      </c>
      <c r="N1128" s="196"/>
      <c r="O1128" s="172"/>
      <c r="P1128" s="166">
        <f>IFERROR(INDEX('Non-Labor Expenditures'!$F$7:$AB$91,MATCH($C1128,'Non-Labor Expenditures'!$D$7:$D$91,0),MATCH($G1128,'Non-Labor Expenditures'!$F$5:$AB$5,0)),"NA")</f>
        <v>434.21645840567714</v>
      </c>
      <c r="Q1128" s="166">
        <f t="shared" si="3360"/>
        <v>4.5179583431903065</v>
      </c>
      <c r="R1128" s="172">
        <f t="shared" si="3371"/>
        <v>-2.3140330913182121E-2</v>
      </c>
      <c r="S1128" s="172">
        <f t="shared" si="3376"/>
        <v>-2.7383342166053589E-6</v>
      </c>
      <c r="T1128" s="172"/>
      <c r="U1128" s="172"/>
      <c r="V1128" s="166">
        <f t="shared" si="3340"/>
        <v>415.12864969468268</v>
      </c>
      <c r="W1128" s="170"/>
      <c r="X1128" s="174">
        <v>22.491543965880048</v>
      </c>
      <c r="Y1128" s="175">
        <v>1.7515444462043828E-2</v>
      </c>
      <c r="Z1128" s="175">
        <f t="shared" si="3377"/>
        <v>2.0727076492299764E-6</v>
      </c>
      <c r="AA1128" s="175"/>
      <c r="AB1128" s="175"/>
      <c r="AC1128" s="170">
        <f t="shared" si="3252"/>
        <v>1149.1796778744238</v>
      </c>
      <c r="AD1128" s="175">
        <f t="shared" si="3372"/>
        <v>3.748019376379785E-3</v>
      </c>
      <c r="AE1128" s="170"/>
      <c r="AF1128" s="170"/>
      <c r="AG1128" s="121">
        <f t="shared" si="3373"/>
        <v>393.95943704985388</v>
      </c>
      <c r="AH1128" s="119">
        <f>+AZ1128/$BB$48</f>
        <v>8.1347040402956174E-5</v>
      </c>
      <c r="AI1128" s="119"/>
      <c r="AJ1128" s="176">
        <f t="shared" si="3378"/>
        <v>3.2047434242820333E-2</v>
      </c>
      <c r="AK1128" s="176">
        <f t="shared" si="3379"/>
        <v>0</v>
      </c>
      <c r="AL1128" s="120">
        <f t="shared" si="3361"/>
        <v>0.26091182740774871</v>
      </c>
      <c r="AM1128" s="120">
        <f t="shared" si="3362"/>
        <v>0.37784905769376648</v>
      </c>
      <c r="AN1128" s="120">
        <f t="shared" si="3363"/>
        <v>0.36123911489848476</v>
      </c>
      <c r="AO1128" s="120">
        <f t="shared" si="3367"/>
        <v>-1.0581620287720306E-2</v>
      </c>
      <c r="AP1128" s="173">
        <f t="shared" si="3383"/>
        <v>103.35493603078096</v>
      </c>
      <c r="AQ1128" s="175">
        <f t="shared" si="3384"/>
        <v>-1.0581620287720417E-2</v>
      </c>
      <c r="AR1128" s="177">
        <f>+AC1128/$AE$48</f>
        <v>1.1833600076330108E-4</v>
      </c>
      <c r="AS1128" s="177">
        <f t="shared" si="3380"/>
        <v>-1.2521866264446455E-6</v>
      </c>
      <c r="AT1128" s="177"/>
      <c r="AU1128" s="177"/>
      <c r="AV1128" s="177"/>
      <c r="AW1128" s="190"/>
      <c r="AX1128" s="120"/>
      <c r="AY1128" s="120"/>
      <c r="AZ1128" s="118">
        <f>IFERROR(INDEX('Total Customers'!$F$7:$AB$91,MATCH($C1128,'Total Customers'!$D$7:$D$91,0),MATCH($G1128,'Total Customers'!$F$5:$AB$5,0)),"NA")</f>
        <v>2917</v>
      </c>
      <c r="BA1128" s="119">
        <f t="shared" si="3341"/>
        <v>-1.4295682532488226E-2</v>
      </c>
      <c r="BB1128" s="119"/>
      <c r="BC1128" s="121"/>
      <c r="BD1128" s="119"/>
      <c r="BE1128" s="119"/>
      <c r="BF1128" s="119"/>
      <c r="BG1128" s="173"/>
      <c r="BH1128" s="173"/>
      <c r="BI1128" s="173"/>
      <c r="BJ1128" s="173"/>
      <c r="BK1128" s="173"/>
      <c r="BL1128" s="173"/>
      <c r="BM1128" s="173"/>
      <c r="BN1128" s="173"/>
      <c r="BO1128" s="173"/>
      <c r="BP1128" s="173"/>
      <c r="BQ1128" s="118"/>
      <c r="BR1128" s="118"/>
      <c r="BS1128" s="118">
        <f>INDEX('Dist. Plant Gas Additions'!$F$7:$AE$91,MATCH($C1128,'Dist. Plant Gas Additions'!$D$7:$D$91,0),MATCH(Calculation!$G1128,'Dist. Plant Gas Additions'!$F$5:$AE$5,0))</f>
        <v>308</v>
      </c>
      <c r="BT1128" s="118">
        <f>INDEX('Gen. Plant Additions'!$F$7:$AE$91,MATCH($C1128,'Gen. Plant Additions'!$D$7:$D$91,0),MATCH(Calculation!$G1128,'Gen. Plant Additions'!$F$5:$AE$5,0))</f>
        <v>7</v>
      </c>
      <c r="BU1128" s="118"/>
      <c r="BV1128" s="118"/>
      <c r="BW1128" s="118">
        <f>INDEX('Dist Plant Depreciation'!$E$7:$AD$94,MATCH($C1128,'Dist Plant Depreciation'!$D$7:$D$94,0),MATCH(Calculation!$G1128,'Dist Plant Depreciation'!$E$5:$AD$5,0))</f>
        <v>3379</v>
      </c>
      <c r="BX1128" s="118">
        <f>INDEX('Gen. Plant Depreciation'!$E$7:$AD$94,MATCH($C1128,'Gen. Plant Depreciation'!$D$7:$D$94,0),MATCH(Calculation!$G1128,'Gen. Plant Depreciation'!$E$5:$AD$5,0))</f>
        <v>342</v>
      </c>
      <c r="BY1128" s="118"/>
      <c r="BZ1128" s="118"/>
      <c r="CA1128" s="118"/>
      <c r="CB1128" s="118"/>
      <c r="CC1128" s="118"/>
      <c r="CD1128" s="183"/>
      <c r="CE1128" s="118">
        <f>INDEX('Gross Dx Plant'!$E$7:$AD$91,MATCH($C1128,'Gross Dx Plant'!$D$7:$D$91,0),MATCH(Calculation!$G1128,'Gross Dx Plant'!$E$5:$AD$5,0))</f>
        <v>5950</v>
      </c>
      <c r="CF1128" s="118">
        <f>INDEX('Gross Gen Plant'!$E$7:$AD$91,MATCH($C1128,'Gross Gen Plant'!$D$7:$D$91,0),MATCH(Calculation!$G1128,'Gross Gen Plant'!$E$5:$AD$5,0))</f>
        <v>602</v>
      </c>
      <c r="CG1128" s="118">
        <f t="shared" si="3352"/>
        <v>2831</v>
      </c>
      <c r="CH1128" s="118"/>
      <c r="CI1128" s="121">
        <v>2010</v>
      </c>
      <c r="CJ1128" s="118"/>
      <c r="CK1128" s="118"/>
      <c r="CL1128" s="118"/>
      <c r="CM1128" s="183"/>
      <c r="CN1128" s="118">
        <f t="shared" si="3342"/>
        <v>315</v>
      </c>
      <c r="CO1128" s="118">
        <f t="shared" si="3343"/>
        <v>0.55361302544977398</v>
      </c>
      <c r="CP1128" s="186">
        <v>0.9285714285714286</v>
      </c>
      <c r="CQ1128" s="118">
        <f>+CQ1116*CP1128+CO1117*CP1127+CO1118*CP1126+CO1119*CP1125+CO1120*CP1124+CO1121*CP1123+CO1122*CP1122+CO1123*CP1121+CO1124*CP1120+CO1125*CP1119+CO1126*CP1118+CO1127*CP1117+CO1128</f>
        <v>22.491543965880048</v>
      </c>
      <c r="CR1128" s="119">
        <f t="shared" si="3344"/>
        <v>1.7515444462043828E-2</v>
      </c>
      <c r="CS1128" s="119"/>
      <c r="CT1128" s="177">
        <f t="shared" si="3345"/>
        <v>7.3794623973013531E-3</v>
      </c>
      <c r="CU1128" s="177">
        <f t="shared" si="3354"/>
        <v>7.111023020077171E-3</v>
      </c>
      <c r="CV1128" s="119">
        <f>VLOOKUP($H1128,RoR!$E:$F,2,FALSE)</f>
        <v>4.9433333333333322E-2</v>
      </c>
      <c r="CW1128" s="177">
        <v>1.1684333519300205E-2</v>
      </c>
      <c r="CX1128" s="177">
        <f t="shared" si="3351"/>
        <v>3.7748999814033117E-2</v>
      </c>
      <c r="CY1128" s="177">
        <f t="shared" si="3355"/>
        <v>2.3790918588456455E-2</v>
      </c>
      <c r="CZ1128" s="177">
        <f t="shared" si="3356"/>
        <v>4.7937530248493419E-2</v>
      </c>
      <c r="DA1128" s="187">
        <f t="shared" si="3346"/>
        <v>0.85534375000000007</v>
      </c>
      <c r="DB1128" s="188">
        <f t="shared" si="3347"/>
        <v>1.037398205301105</v>
      </c>
      <c r="DC1128" s="188">
        <f t="shared" si="3348"/>
        <v>0.46926837491571133</v>
      </c>
      <c r="DD1128" s="188">
        <f t="shared" si="3349"/>
        <v>0.8548537519972772</v>
      </c>
      <c r="DE1128" s="188">
        <f t="shared" si="3350"/>
        <v>0.41615833911547367</v>
      </c>
      <c r="DF1128" s="189">
        <f>INDEX('State Tax Lookup'!$D$7:$Z$91,MATCH(Calculation!$C1128,'State Tax Lookup'!$B$7:$B$91,0),MATCH($H1128,'State Tax Lookup'!$D$6:$Z$6,0))</f>
        <v>0.38574999999999998</v>
      </c>
      <c r="DG1128" s="189">
        <v>0.375</v>
      </c>
      <c r="DH1128" s="190">
        <f t="shared" si="3353"/>
        <v>18.783230950682185</v>
      </c>
      <c r="DI1128" s="190">
        <v>18.430979556302617</v>
      </c>
      <c r="DJ1128" s="177"/>
      <c r="DK1128" s="189">
        <f>VLOOKUP($H1128,RoR!$E:$F,2,FALSE)</f>
        <v>4.9433333333333322E-2</v>
      </c>
      <c r="DL1128" s="191">
        <f>HLOOKUP($H1128,'GDP-PI'!$D$8:$CQ$11,3,FALSE)</f>
        <v>1.1684333519300205E-2</v>
      </c>
      <c r="DM1128" s="189">
        <f>VLOOKUP(H1128,'HW Dx Data'!$E:$F,2,FALSE)</f>
        <v>568.98950262971744</v>
      </c>
      <c r="DN1128" s="183">
        <f>VLOOKUP(H1128,'ECI - Input Price'!$G$17:$H$37,2,FALSE)</f>
        <v>111.875</v>
      </c>
      <c r="DO1128" s="177">
        <f t="shared" ref="DO1128" si="3389">LN(DN1128/DN1127)</f>
        <v>1.8949360147238387E-2</v>
      </c>
      <c r="DP1128" s="183">
        <f>HLOOKUP(H1128,'GDP-PI'!$8:$9,2,FALSE)</f>
        <v>96.108999999999995</v>
      </c>
      <c r="DQ1128" s="177">
        <f t="shared" ref="DQ1128" si="3390">LN(DP1128/DP1127)</f>
        <v>1.1616598807150427E-2</v>
      </c>
    </row>
    <row r="1129" spans="1:121" s="167" customFormat="1" ht="21" x14ac:dyDescent="0.35">
      <c r="A1129" s="167" t="s">
        <v>109</v>
      </c>
      <c r="B1129" s="167" t="s">
        <v>109</v>
      </c>
      <c r="C1129" s="167">
        <v>4063179</v>
      </c>
      <c r="D1129" s="168" t="s">
        <v>147</v>
      </c>
      <c r="E1129" s="168"/>
      <c r="F1129" s="198"/>
      <c r="G1129" s="167" t="s">
        <v>17</v>
      </c>
      <c r="H1129" s="169">
        <v>2011</v>
      </c>
      <c r="I1129" s="170"/>
      <c r="J1129" s="166">
        <f>IFERROR(INDEX('Labor Expenditures'!$F$7:$X$91,MATCH($C1129,'Labor Expenditures'!$D$7:$D$91,0),MATCH($G1129,'Labor Expenditures'!$F$5:$X$5,0)),"NA")</f>
        <v>274.50565264834597</v>
      </c>
      <c r="K1129" s="166">
        <f t="shared" si="3359"/>
        <v>2.401624257640822</v>
      </c>
      <c r="L1129" s="172">
        <f t="shared" si="3366"/>
        <v>-0.10970342941638793</v>
      </c>
      <c r="M1129" s="172">
        <f t="shared" si="3370"/>
        <v>-1.2067818090678772E-5</v>
      </c>
      <c r="N1129" s="196"/>
      <c r="O1129" s="172"/>
      <c r="P1129" s="166">
        <f>IFERROR(INDEX('Non-Labor Expenditures'!$F$7:$AB$91,MATCH($C1129,'Non-Labor Expenditures'!$D$7:$D$91,0),MATCH($G1129,'Non-Labor Expenditures'!$F$5:$AB$5,0)),"NA")</f>
        <v>397.53545561848125</v>
      </c>
      <c r="Q1129" s="166">
        <f t="shared" si="3360"/>
        <v>4.0518535512320746</v>
      </c>
      <c r="R1129" s="172">
        <f t="shared" si="3371"/>
        <v>-0.10888575442349134</v>
      </c>
      <c r="S1129" s="172">
        <f t="shared" si="3376"/>
        <v>-1.1977870555546393E-5</v>
      </c>
      <c r="T1129" s="172"/>
      <c r="U1129" s="172"/>
      <c r="V1129" s="166">
        <f t="shared" si="3340"/>
        <v>449.8734507776374</v>
      </c>
      <c r="W1129" s="170"/>
      <c r="X1129" s="174">
        <v>22.507852082079729</v>
      </c>
      <c r="Y1129" s="175">
        <v>7.2481492401647689E-4</v>
      </c>
      <c r="Z1129" s="175">
        <f t="shared" si="3377"/>
        <v>7.9732554387523529E-8</v>
      </c>
      <c r="AA1129" s="175"/>
      <c r="AB1129" s="175"/>
      <c r="AC1129" s="170">
        <f t="shared" si="3252"/>
        <v>1121.9145590444646</v>
      </c>
      <c r="AD1129" s="175">
        <f t="shared" si="3372"/>
        <v>-2.4011710634733712E-2</v>
      </c>
      <c r="AE1129" s="170"/>
      <c r="AF1129" s="170"/>
      <c r="AG1129" s="121">
        <f t="shared" si="3373"/>
        <v>387.26771109577646</v>
      </c>
      <c r="AH1129" s="119">
        <f>+AZ1129/$BB$49</f>
        <v>8.0396548283999928E-5</v>
      </c>
      <c r="AI1129" s="119"/>
      <c r="AJ1129" s="176">
        <f t="shared" si="3378"/>
        <v>3.1134987233945727E-2</v>
      </c>
      <c r="AK1129" s="176">
        <f t="shared" si="3379"/>
        <v>0</v>
      </c>
      <c r="AL1129" s="120">
        <f t="shared" si="3361"/>
        <v>0.24467607665430657</v>
      </c>
      <c r="AM1129" s="120">
        <f t="shared" si="3362"/>
        <v>0.35433665818283211</v>
      </c>
      <c r="AN1129" s="120">
        <f t="shared" si="3363"/>
        <v>0.40098726516286137</v>
      </c>
      <c r="AO1129" s="120">
        <f t="shared" si="3367"/>
        <v>-6.7318423971315586E-2</v>
      </c>
      <c r="AP1129" s="173">
        <f t="shared" si="3383"/>
        <v>96.6262671915499</v>
      </c>
      <c r="AQ1129" s="175">
        <f t="shared" si="3384"/>
        <v>-6.7318423971315586E-2</v>
      </c>
      <c r="AR1129" s="177">
        <f>+AC1129/$AE$49</f>
        <v>1.1000401860614974E-4</v>
      </c>
      <c r="AS1129" s="177">
        <f t="shared" si="3380"/>
        <v>-7.4052971630772766E-6</v>
      </c>
      <c r="AT1129" s="177"/>
      <c r="AU1129" s="177"/>
      <c r="AV1129" s="177"/>
      <c r="AW1129" s="190"/>
      <c r="AX1129" s="120"/>
      <c r="AY1129" s="120"/>
      <c r="AZ1129" s="118">
        <f>IFERROR(INDEX('Total Customers'!$F$7:$AB$91,MATCH($C1129,'Total Customers'!$D$7:$D$91,0),MATCH($G1129,'Total Customers'!$F$5:$AB$5,0)),"NA")</f>
        <v>2897</v>
      </c>
      <c r="BA1129" s="119">
        <f t="shared" si="3341"/>
        <v>-6.879972098371023E-3</v>
      </c>
      <c r="BB1129" s="119"/>
      <c r="BC1129" s="121"/>
      <c r="BD1129" s="119"/>
      <c r="BE1129" s="119"/>
      <c r="BF1129" s="119"/>
      <c r="BG1129" s="173"/>
      <c r="BH1129" s="173"/>
      <c r="BI1129" s="173"/>
      <c r="BJ1129" s="173"/>
      <c r="BK1129" s="173"/>
      <c r="BL1129" s="173"/>
      <c r="BM1129" s="173"/>
      <c r="BN1129" s="173"/>
      <c r="BO1129" s="173"/>
      <c r="BP1129" s="173"/>
      <c r="BQ1129" s="118"/>
      <c r="BR1129" s="118"/>
      <c r="BS1129" s="118">
        <f>INDEX('Dist. Plant Gas Additions'!$F$7:$AE$91,MATCH($C1129,'Dist. Plant Gas Additions'!$D$7:$D$91,0),MATCH(Calculation!$G1129,'Dist. Plant Gas Additions'!$F$5:$AE$5,0))</f>
        <v>78</v>
      </c>
      <c r="BT1129" s="118">
        <f>INDEX('Gen. Plant Additions'!$F$7:$AE$91,MATCH($C1129,'Gen. Plant Additions'!$D$7:$D$91,0),MATCH(Calculation!$G1129,'Gen. Plant Additions'!$F$5:$AE$5,0))</f>
        <v>37</v>
      </c>
      <c r="BU1129" s="118"/>
      <c r="BV1129" s="118"/>
      <c r="BW1129" s="118">
        <f>INDEX('Dist Plant Depreciation'!$E$7:$AD$94,MATCH($C1129,'Dist Plant Depreciation'!$D$7:$D$94,0),MATCH(Calculation!$G1129,'Dist Plant Depreciation'!$E$5:$AD$5,0))</f>
        <v>3543</v>
      </c>
      <c r="BX1129" s="118">
        <f>INDEX('Gen. Plant Depreciation'!$E$7:$AD$94,MATCH($C1129,'Gen. Plant Depreciation'!$D$7:$D$94,0),MATCH(Calculation!$G1129,'Gen. Plant Depreciation'!$E$5:$AD$5,0))</f>
        <v>378</v>
      </c>
      <c r="BY1129" s="118"/>
      <c r="BZ1129" s="118"/>
      <c r="CA1129" s="118"/>
      <c r="CB1129" s="118"/>
      <c r="CC1129" s="118"/>
      <c r="CD1129" s="183"/>
      <c r="CE1129" s="118">
        <f>INDEX('Gross Dx Plant'!$E$7:$AD$91,MATCH($C1129,'Gross Dx Plant'!$D$7:$D$91,0),MATCH(Calculation!$G1129,'Gross Dx Plant'!$E$5:$AD$5,0))</f>
        <v>6002</v>
      </c>
      <c r="CF1129" s="118">
        <f>INDEX('Gross Gen Plant'!$E$7:$AD$91,MATCH($C1129,'Gross Gen Plant'!$D$7:$D$91,0),MATCH(Calculation!$G1129,'Gross Gen Plant'!$E$5:$AD$5,0))</f>
        <v>626</v>
      </c>
      <c r="CG1129" s="118">
        <f t="shared" si="3352"/>
        <v>2707</v>
      </c>
      <c r="CH1129" s="118"/>
      <c r="CI1129" s="121">
        <v>2011</v>
      </c>
      <c r="CJ1129" s="118"/>
      <c r="CK1129" s="118"/>
      <c r="CL1129" s="118"/>
      <c r="CM1129" s="183"/>
      <c r="CN1129" s="118">
        <f t="shared" si="3342"/>
        <v>115</v>
      </c>
      <c r="CO1129" s="118">
        <f t="shared" si="3343"/>
        <v>0.18802798171749346</v>
      </c>
      <c r="CP1129" s="186">
        <v>0.92121212121212126</v>
      </c>
      <c r="CQ1129" s="118">
        <f>+CQ1116*CP1129+CO1117*CP1128+CO1118*CP1127+CO1119*CP1126+CO1120*CP1125+CO1121*CP1124+CO1122*CP1123+CO1123*CP1122+CO1124*CP1121+CO1125*CP1120+CO1126*CP1119+CO1127*CP1118+CO1128*CP1117+CO1129</f>
        <v>22.507852082079729</v>
      </c>
      <c r="CR1129" s="119">
        <f t="shared" si="3344"/>
        <v>7.2481492401647689E-4</v>
      </c>
      <c r="CS1129" s="119"/>
      <c r="CT1129" s="177">
        <f t="shared" si="3345"/>
        <v>7.6348633859157564E-3</v>
      </c>
      <c r="CU1129" s="177">
        <f t="shared" si="3354"/>
        <v>7.3758537193332084E-3</v>
      </c>
      <c r="CV1129" s="119">
        <f>VLOOKUP($H1129,RoR!$E:$F,2,FALSE)</f>
        <v>4.6391666666666664E-2</v>
      </c>
      <c r="CW1129" s="177">
        <v>2.0840920205183799E-2</v>
      </c>
      <c r="CX1129" s="177">
        <f t="shared" si="3351"/>
        <v>2.5550746461482865E-2</v>
      </c>
      <c r="CY1129" s="177">
        <f t="shared" si="3355"/>
        <v>2.3526087889200416E-2</v>
      </c>
      <c r="CZ1129" s="177">
        <f t="shared" si="3356"/>
        <v>2.4810540821321614E-2</v>
      </c>
      <c r="DA1129" s="187">
        <f t="shared" si="3346"/>
        <v>0.85534375000000007</v>
      </c>
      <c r="DB1129" s="188">
        <f t="shared" si="3347"/>
        <v>1.1054151524782025</v>
      </c>
      <c r="DC1129" s="188">
        <f t="shared" si="3348"/>
        <v>0.43611011316687626</v>
      </c>
      <c r="DD1129" s="188">
        <f t="shared" si="3349"/>
        <v>0.83698442246886229</v>
      </c>
      <c r="DE1129" s="188">
        <f t="shared" si="3350"/>
        <v>0.40349573304423936</v>
      </c>
      <c r="DF1129" s="189">
        <f>INDEX('State Tax Lookup'!$D$7:$Z$91,MATCH(Calculation!$C1129,'State Tax Lookup'!$B$7:$B$91,0),MATCH($H1129,'State Tax Lookup'!$D$6:$Z$6,0))</f>
        <v>0.38574999999999998</v>
      </c>
      <c r="DG1129" s="189">
        <v>0.375</v>
      </c>
      <c r="DH1129" s="190">
        <f t="shared" si="3353"/>
        <v>20.001892776240751</v>
      </c>
      <c r="DI1129" s="190">
        <v>19.638381495593052</v>
      </c>
      <c r="DJ1129" s="177"/>
      <c r="DK1129" s="189">
        <f>VLOOKUP($H1129,RoR!$E:$F,2,FALSE)</f>
        <v>4.6391666666666664E-2</v>
      </c>
      <c r="DL1129" s="191">
        <f>HLOOKUP($H1129,'GDP-PI'!$D$8:$CQ$11,3,FALSE)</f>
        <v>2.0840920205183799E-2</v>
      </c>
      <c r="DM1129" s="189">
        <f>VLOOKUP(H1129,'HW Dx Data'!$E:$F,2,FALSE)</f>
        <v>611.61109612283201</v>
      </c>
      <c r="DN1129" s="183">
        <f>VLOOKUP(H1129,'ECI - Input Price'!$G$17:$H$37,2,FALSE)</f>
        <v>114.3</v>
      </c>
      <c r="DO1129" s="177">
        <f t="shared" ref="DO1129" si="3391">LN(DN1129/DN1128)</f>
        <v>2.1444394205745516E-2</v>
      </c>
      <c r="DP1129" s="183">
        <f>HLOOKUP(H1129,'GDP-PI'!$8:$9,2,FALSE)</f>
        <v>98.111999999999995</v>
      </c>
      <c r="DQ1129" s="177">
        <f t="shared" ref="DQ1129" si="3392">LN(DP1129/DP1128)</f>
        <v>2.0626719212849295E-2</v>
      </c>
    </row>
    <row r="1130" spans="1:121" s="167" customFormat="1" ht="21" x14ac:dyDescent="0.35">
      <c r="A1130" s="167" t="s">
        <v>109</v>
      </c>
      <c r="B1130" s="167" t="s">
        <v>109</v>
      </c>
      <c r="C1130" s="167">
        <v>4063179</v>
      </c>
      <c r="D1130" s="168" t="s">
        <v>147</v>
      </c>
      <c r="E1130" s="168"/>
      <c r="F1130" s="198"/>
      <c r="G1130" s="167" t="s">
        <v>18</v>
      </c>
      <c r="H1130" s="169">
        <v>2012</v>
      </c>
      <c r="I1130" s="170"/>
      <c r="J1130" s="166">
        <f>IFERROR(INDEX('Labor Expenditures'!$F$7:$X$91,MATCH($C1130,'Labor Expenditures'!$D$7:$D$91,0),MATCH($G1130,'Labor Expenditures'!$F$5:$X$5,0)),"NA")</f>
        <v>297.50942790862143</v>
      </c>
      <c r="K1130" s="166">
        <f t="shared" si="3359"/>
        <v>2.5537289949237891</v>
      </c>
      <c r="L1130" s="172">
        <f t="shared" si="3366"/>
        <v>6.1409359464297604E-2</v>
      </c>
      <c r="M1130" s="172">
        <f t="shared" si="3370"/>
        <v>6.9741734974240933E-6</v>
      </c>
      <c r="N1130" s="196"/>
      <c r="O1130" s="172"/>
      <c r="P1130" s="166">
        <f>IFERROR(INDEX('Non-Labor Expenditures'!$F$7:$AB$91,MATCH($C1130,'Non-Labor Expenditures'!$D$7:$D$91,0),MATCH($G1130,'Non-Labor Expenditures'!$F$5:$AB$5,0)),"NA")</f>
        <v>430.84921870791993</v>
      </c>
      <c r="Q1130" s="166">
        <f t="shared" si="3360"/>
        <v>4.3084921870791995</v>
      </c>
      <c r="R1130" s="172">
        <f t="shared" si="3371"/>
        <v>6.141355893054521E-2</v>
      </c>
      <c r="S1130" s="172">
        <f t="shared" si="3376"/>
        <v>6.9746504248251093E-6</v>
      </c>
      <c r="T1130" s="172"/>
      <c r="U1130" s="172"/>
      <c r="V1130" s="166">
        <f t="shared" si="3340"/>
        <v>485.28362630309908</v>
      </c>
      <c r="W1130" s="170"/>
      <c r="X1130" s="174">
        <v>22.420109989055334</v>
      </c>
      <c r="Y1130" s="175">
        <v>-3.9059062788403781E-3</v>
      </c>
      <c r="Z1130" s="175">
        <f t="shared" si="3377"/>
        <v>-4.435882134407881E-7</v>
      </c>
      <c r="AA1130" s="175"/>
      <c r="AB1130" s="175"/>
      <c r="AC1130" s="170">
        <f t="shared" si="3252"/>
        <v>1213.6422729196404</v>
      </c>
      <c r="AD1130" s="175">
        <f t="shared" si="3372"/>
        <v>7.8589327491751418E-2</v>
      </c>
      <c r="AE1130" s="170"/>
      <c r="AF1130" s="170"/>
      <c r="AG1130" s="121">
        <f t="shared" si="3373"/>
        <v>417.48960196754058</v>
      </c>
      <c r="AH1130" s="119">
        <f>+AZ1130/$BB$50</f>
        <v>8.0285850173499845E-5</v>
      </c>
      <c r="AI1130" s="119"/>
      <c r="AJ1130" s="176">
        <f t="shared" si="3378"/>
        <v>3.3518507632560049E-2</v>
      </c>
      <c r="AK1130" s="176">
        <f t="shared" si="3379"/>
        <v>0</v>
      </c>
      <c r="AL1130" s="120">
        <f t="shared" si="3361"/>
        <v>0.24513766086353239</v>
      </c>
      <c r="AM1130" s="120">
        <f t="shared" si="3362"/>
        <v>0.35500511832982928</v>
      </c>
      <c r="AN1130" s="120">
        <f t="shared" si="3363"/>
        <v>0.39985722080663832</v>
      </c>
      <c r="AO1130" s="120">
        <f t="shared" si="3367"/>
        <v>3.5257163682709536E-2</v>
      </c>
      <c r="AP1130" s="173">
        <f t="shared" si="3383"/>
        <v>100.09380387305184</v>
      </c>
      <c r="AQ1130" s="175">
        <f t="shared" si="3384"/>
        <v>3.5257163682709487E-2</v>
      </c>
      <c r="AR1130" s="177">
        <f>+AC1130/$AE$50</f>
        <v>1.1356857583702308E-4</v>
      </c>
      <c r="AS1130" s="177">
        <f t="shared" si="3380"/>
        <v>4.0041058674981279E-6</v>
      </c>
      <c r="AT1130" s="177"/>
      <c r="AU1130" s="177"/>
      <c r="AV1130" s="177"/>
      <c r="AW1130" s="190"/>
      <c r="AX1130" s="120"/>
      <c r="AY1130" s="120"/>
      <c r="AZ1130" s="118">
        <f>IFERROR(INDEX('Total Customers'!$F$7:$AB$91,MATCH($C1130,'Total Customers'!$D$7:$D$91,0),MATCH($G1130,'Total Customers'!$F$5:$AB$5,0)),"NA")</f>
        <v>2907</v>
      </c>
      <c r="BA1130" s="119">
        <f t="shared" si="3341"/>
        <v>3.4459027895256066E-3</v>
      </c>
      <c r="BB1130" s="119"/>
      <c r="BC1130" s="121"/>
      <c r="BD1130" s="119"/>
      <c r="BE1130" s="119"/>
      <c r="BF1130" s="119"/>
      <c r="BG1130" s="173"/>
      <c r="BH1130" s="173"/>
      <c r="BI1130" s="173"/>
      <c r="BJ1130" s="173"/>
      <c r="BK1130" s="173"/>
      <c r="BL1130" s="173"/>
      <c r="BM1130" s="173"/>
      <c r="BN1130" s="173"/>
      <c r="BO1130" s="173"/>
      <c r="BP1130" s="173"/>
      <c r="BQ1130" s="118"/>
      <c r="BR1130" s="118"/>
      <c r="BS1130" s="118">
        <f>INDEX('Dist. Plant Gas Additions'!$F$7:$AE$91,MATCH($C1130,'Dist. Plant Gas Additions'!$D$7:$D$91,0),MATCH(Calculation!$G1130,'Dist. Plant Gas Additions'!$F$5:$AE$5,0))</f>
        <v>47</v>
      </c>
      <c r="BT1130" s="118">
        <f>INDEX('Gen. Plant Additions'!$F$7:$AE$91,MATCH($C1130,'Gen. Plant Additions'!$D$7:$D$91,0),MATCH(Calculation!$G1130,'Gen. Plant Additions'!$F$5:$AE$5,0))</f>
        <v>14</v>
      </c>
      <c r="BU1130" s="118"/>
      <c r="BV1130" s="118"/>
      <c r="BW1130" s="118">
        <f>INDEX('Dist Plant Depreciation'!$E$7:$AD$94,MATCH($C1130,'Dist Plant Depreciation'!$D$7:$D$94,0),MATCH(Calculation!$G1130,'Dist Plant Depreciation'!$E$5:$AD$5,0))</f>
        <v>3699</v>
      </c>
      <c r="BX1130" s="118">
        <f>INDEX('Gen. Plant Depreciation'!$E$7:$AD$94,MATCH($C1130,'Gen. Plant Depreciation'!$D$7:$D$94,0),MATCH(Calculation!$G1130,'Gen. Plant Depreciation'!$E$5:$AD$5,0))</f>
        <v>409</v>
      </c>
      <c r="BY1130" s="118"/>
      <c r="BZ1130" s="118"/>
      <c r="CA1130" s="118"/>
      <c r="CB1130" s="118"/>
      <c r="CC1130" s="118"/>
      <c r="CD1130" s="183"/>
      <c r="CE1130" s="118">
        <f>INDEX('Gross Dx Plant'!$E$7:$AD$91,MATCH($C1130,'Gross Dx Plant'!$D$7:$D$91,0),MATCH(Calculation!$G1130,'Gross Dx Plant'!$E$5:$AD$5,0))</f>
        <v>6015</v>
      </c>
      <c r="CF1130" s="118">
        <f>INDEX('Gross Gen Plant'!$E$7:$AD$91,MATCH($C1130,'Gross Gen Plant'!$D$7:$D$91,0),MATCH(Calculation!$G1130,'Gross Gen Plant'!$E$5:$AD$5,0))</f>
        <v>622</v>
      </c>
      <c r="CG1130" s="118">
        <f t="shared" si="3352"/>
        <v>2529</v>
      </c>
      <c r="CH1130" s="118"/>
      <c r="CI1130" s="121">
        <v>2012</v>
      </c>
      <c r="CJ1130" s="118"/>
      <c r="CK1130" s="118"/>
      <c r="CL1130" s="118"/>
      <c r="CM1130" s="183"/>
      <c r="CN1130" s="118">
        <f t="shared" si="3342"/>
        <v>61</v>
      </c>
      <c r="CO1130" s="118">
        <f t="shared" si="3343"/>
        <v>9.1191864225637992E-2</v>
      </c>
      <c r="CP1130" s="186">
        <v>0.9135802469135802</v>
      </c>
      <c r="CQ1130" s="118">
        <f>+CQ1116*CP1130+CO1117*CP1129+CO1118*CP1128+CO1119*CP1127+CO1120*CP1126+CO1121*CP1125+CO1122*CP1124+CO1123*CP1123+CO1124*CP1122+CO1125*CP1121+CO1126*CP1120+CO1127*CP1119+CO1128*CP1118+CO1129*CP1117+CO1130</f>
        <v>22.420109989055334</v>
      </c>
      <c r="CR1130" s="119">
        <f t="shared" si="3344"/>
        <v>-3.9059062788403781E-3</v>
      </c>
      <c r="CS1130" s="119"/>
      <c r="CT1130" s="177">
        <f t="shared" si="3345"/>
        <v>7.949845973641222E-3</v>
      </c>
      <c r="CU1130" s="177">
        <f t="shared" si="3354"/>
        <v>7.6547239189527772E-3</v>
      </c>
      <c r="CV1130" s="119">
        <f>VLOOKUP($H1130,RoR!$E:$F,2,FALSE)</f>
        <v>3.6733333333333333E-2</v>
      </c>
      <c r="CW1130" s="177">
        <v>1.924331376386168E-2</v>
      </c>
      <c r="CX1130" s="177">
        <f t="shared" si="3351"/>
        <v>1.7490019569471653E-2</v>
      </c>
      <c r="CY1130" s="177">
        <f t="shared" si="3355"/>
        <v>2.3247217689580848E-2</v>
      </c>
      <c r="CZ1130" s="177">
        <f t="shared" si="3356"/>
        <v>6.7122682943869583E-2</v>
      </c>
      <c r="DA1130" s="187">
        <f t="shared" si="3346"/>
        <v>0.85534375000000007</v>
      </c>
      <c r="DB1130" s="188">
        <f t="shared" si="3347"/>
        <v>1.3960631020522127</v>
      </c>
      <c r="DC1130" s="188">
        <f t="shared" si="3348"/>
        <v>0.29441923774954631</v>
      </c>
      <c r="DD1130" s="188">
        <f t="shared" si="3349"/>
        <v>0.76377954189366437</v>
      </c>
      <c r="DE1130" s="188">
        <f t="shared" si="3350"/>
        <v>0.31393465103033691</v>
      </c>
      <c r="DF1130" s="189">
        <f>INDEX('State Tax Lookup'!$D$7:$Z$91,MATCH(Calculation!$C1130,'State Tax Lookup'!$B$7:$B$91,0),MATCH($H1130,'State Tax Lookup'!$D$6:$Z$6,0))</f>
        <v>0.38574999999999998</v>
      </c>
      <c r="DG1130" s="189">
        <v>0.375</v>
      </c>
      <c r="DH1130" s="190">
        <f t="shared" si="3353"/>
        <v>21.560636907218328</v>
      </c>
      <c r="DI1130" s="190">
        <v>21.179693261829954</v>
      </c>
      <c r="DJ1130" s="177"/>
      <c r="DK1130" s="189">
        <f>VLOOKUP($H1130,RoR!$E:$F,2,FALSE)</f>
        <v>3.6733333333333333E-2</v>
      </c>
      <c r="DL1130" s="191">
        <f>HLOOKUP($H1130,'GDP-PI'!$D$8:$CQ$11,3,FALSE)</f>
        <v>1.924331376386168E-2</v>
      </c>
      <c r="DM1130" s="189">
        <f>VLOOKUP(H1130,'HW Dx Data'!$E:$F,2,FALSE)</f>
        <v>668.91932211262167</v>
      </c>
      <c r="DN1130" s="183">
        <f>VLOOKUP(H1130,'ECI - Input Price'!$G$17:$H$37,2,FALSE)</f>
        <v>116.5</v>
      </c>
      <c r="DO1130" s="177">
        <f t="shared" ref="DO1130" si="3393">LN(DN1130/DN1129)</f>
        <v>1.9064702204990347E-2</v>
      </c>
      <c r="DP1130" s="183">
        <f>HLOOKUP(H1130,'GDP-PI'!$8:$9,2,FALSE)</f>
        <v>100</v>
      </c>
      <c r="DQ1130" s="177">
        <f t="shared" ref="DQ1130" si="3394">LN(DP1130/DP1129)</f>
        <v>1.9060502738742411E-2</v>
      </c>
    </row>
    <row r="1131" spans="1:121" s="167" customFormat="1" ht="21" x14ac:dyDescent="0.35">
      <c r="A1131" s="167" t="s">
        <v>109</v>
      </c>
      <c r="B1131" s="167" t="s">
        <v>109</v>
      </c>
      <c r="C1131" s="167">
        <v>4063179</v>
      </c>
      <c r="D1131" s="168" t="s">
        <v>147</v>
      </c>
      <c r="E1131" s="168"/>
      <c r="F1131" s="198"/>
      <c r="G1131" s="167" t="s">
        <v>19</v>
      </c>
      <c r="H1131" s="169">
        <v>2013</v>
      </c>
      <c r="I1131" s="170"/>
      <c r="J1131" s="166">
        <f>IFERROR(INDEX('Labor Expenditures'!$F$7:$X$91,MATCH($C1131,'Labor Expenditures'!$D$7:$D$91,0),MATCH($G1131,'Labor Expenditures'!$F$5:$X$5,0)),"NA")</f>
        <v>301.07589240416377</v>
      </c>
      <c r="K1131" s="166">
        <f t="shared" si="3359"/>
        <v>2.5359098117849128</v>
      </c>
      <c r="L1131" s="172">
        <f t="shared" si="3366"/>
        <v>-7.0021691606466938E-3</v>
      </c>
      <c r="M1131" s="172">
        <f t="shared" si="3370"/>
        <v>-7.6462822700227933E-7</v>
      </c>
      <c r="N1131" s="196"/>
      <c r="O1131" s="172"/>
      <c r="P1131" s="166">
        <f>IFERROR(INDEX('Non-Labor Expenditures'!$F$7:$AB$91,MATCH($C1131,'Non-Labor Expenditures'!$D$7:$D$91,0),MATCH($G1131,'Non-Labor Expenditures'!$F$5:$AB$5,0)),"NA")</f>
        <v>436.01412542114821</v>
      </c>
      <c r="Q1131" s="166">
        <f t="shared" si="3360"/>
        <v>4.2841826950286244</v>
      </c>
      <c r="R1131" s="172">
        <f t="shared" si="3371"/>
        <v>-5.6582047477270435E-3</v>
      </c>
      <c r="S1131" s="172">
        <f t="shared" si="3376"/>
        <v>-6.1786897245864827E-7</v>
      </c>
      <c r="T1131" s="172"/>
      <c r="U1131" s="172"/>
      <c r="V1131" s="166">
        <f t="shared" si="3340"/>
        <v>473.364035371932</v>
      </c>
      <c r="W1131" s="170"/>
      <c r="X1131" s="174">
        <v>22.408960804671455</v>
      </c>
      <c r="Y1131" s="175">
        <v>-4.9740868665567879E-4</v>
      </c>
      <c r="Z1131" s="175">
        <f t="shared" si="3377"/>
        <v>-5.43164144491959E-8</v>
      </c>
      <c r="AA1131" s="175"/>
      <c r="AB1131" s="175"/>
      <c r="AC1131" s="170">
        <f t="shared" si="3252"/>
        <v>1210.4540531972439</v>
      </c>
      <c r="AD1131" s="175">
        <f t="shared" si="3372"/>
        <v>-2.6304413124017246E-3</v>
      </c>
      <c r="AE1131" s="170"/>
      <c r="AF1131" s="170"/>
      <c r="AG1131" s="121">
        <f t="shared" si="3373"/>
        <v>416.39286315694665</v>
      </c>
      <c r="AH1131" s="119">
        <f>+AZ1131/$BB$51</f>
        <v>7.9772557422066724E-5</v>
      </c>
      <c r="AI1131" s="119"/>
      <c r="AJ1131" s="176">
        <f t="shared" si="3378"/>
        <v>3.3216723586326297E-2</v>
      </c>
      <c r="AK1131" s="176">
        <f t="shared" si="3379"/>
        <v>0</v>
      </c>
      <c r="AL1131" s="120">
        <f t="shared" si="3361"/>
        <v>0.24872971560458176</v>
      </c>
      <c r="AM1131" s="120">
        <f t="shared" si="3362"/>
        <v>0.36020708449815037</v>
      </c>
      <c r="AN1131" s="120">
        <f t="shared" si="3363"/>
        <v>0.39106319989726795</v>
      </c>
      <c r="AO1131" s="120">
        <f t="shared" si="3367"/>
        <v>-3.949185341169799E-3</v>
      </c>
      <c r="AP1131" s="173">
        <f t="shared" si="3383"/>
        <v>99.699294398304588</v>
      </c>
      <c r="AQ1131" s="175">
        <f t="shared" si="3384"/>
        <v>-3.9491853411697669E-3</v>
      </c>
      <c r="AR1131" s="177">
        <f>+AC1131/$AE$51</f>
        <v>1.0919876533397848E-4</v>
      </c>
      <c r="AS1131" s="177">
        <f t="shared" si="3380"/>
        <v>-4.3124616333078511E-7</v>
      </c>
      <c r="AT1131" s="177"/>
      <c r="AU1131" s="177"/>
      <c r="AV1131" s="177"/>
      <c r="AW1131" s="190"/>
      <c r="AX1131" s="120"/>
      <c r="AY1131" s="120"/>
      <c r="AZ1131" s="118">
        <f>IFERROR(INDEX('Total Customers'!$F$7:$AB$91,MATCH($C1131,'Total Customers'!$D$7:$D$91,0),MATCH($G1131,'Total Customers'!$F$5:$AB$5,0)),"NA")</f>
        <v>2907</v>
      </c>
      <c r="BA1131" s="119">
        <f t="shared" si="3341"/>
        <v>0</v>
      </c>
      <c r="BB1131" s="119"/>
      <c r="BC1131" s="121"/>
      <c r="BD1131" s="119"/>
      <c r="BE1131" s="119"/>
      <c r="BF1131" s="119"/>
      <c r="BG1131" s="173"/>
      <c r="BH1131" s="173"/>
      <c r="BI1131" s="173"/>
      <c r="BJ1131" s="173"/>
      <c r="BK1131" s="173"/>
      <c r="BL1131" s="173"/>
      <c r="BM1131" s="173"/>
      <c r="BN1131" s="173"/>
      <c r="BO1131" s="173"/>
      <c r="BP1131" s="173"/>
      <c r="BQ1131" s="118"/>
      <c r="BR1131" s="118"/>
      <c r="BS1131" s="118">
        <f>INDEX('Dist. Plant Gas Additions'!$F$7:$AE$91,MATCH($C1131,'Dist. Plant Gas Additions'!$D$7:$D$91,0),MATCH(Calculation!$G1131,'Dist. Plant Gas Additions'!$F$5:$AE$5,0))</f>
        <v>85</v>
      </c>
      <c r="BT1131" s="118">
        <f>INDEX('Gen. Plant Additions'!$F$7:$AE$91,MATCH($C1131,'Gen. Plant Additions'!$D$7:$D$91,0),MATCH(Calculation!$G1131,'Gen. Plant Additions'!$F$5:$AE$5,0))</f>
        <v>31</v>
      </c>
      <c r="BU1131" s="118"/>
      <c r="BV1131" s="118"/>
      <c r="BW1131" s="118">
        <f>INDEX('Dist Plant Depreciation'!$E$7:$AD$94,MATCH($C1131,'Dist Plant Depreciation'!$D$7:$D$94,0),MATCH(Calculation!$G1131,'Dist Plant Depreciation'!$E$5:$AD$5,0))</f>
        <v>3897</v>
      </c>
      <c r="BX1131" s="118">
        <f>INDEX('Gen. Plant Depreciation'!$E$7:$AD$94,MATCH($C1131,'Gen. Plant Depreciation'!$D$7:$D$94,0),MATCH(Calculation!$G1131,'Gen. Plant Depreciation'!$E$5:$AD$5,0))</f>
        <v>424</v>
      </c>
      <c r="BY1131" s="118"/>
      <c r="BZ1131" s="118"/>
      <c r="CA1131" s="118"/>
      <c r="CB1131" s="118"/>
      <c r="CC1131" s="118"/>
      <c r="CD1131" s="183"/>
      <c r="CE1131" s="118">
        <f>INDEX('Gross Dx Plant'!$E$7:$AD$91,MATCH($C1131,'Gross Dx Plant'!$D$7:$D$91,0),MATCH(Calculation!$G1131,'Gross Dx Plant'!$E$5:$AD$5,0))</f>
        <v>6078</v>
      </c>
      <c r="CF1131" s="118">
        <f>INDEX('Gross Gen Plant'!$E$7:$AD$91,MATCH($C1131,'Gross Gen Plant'!$D$7:$D$91,0),MATCH(Calculation!$G1131,'Gross Gen Plant'!$E$5:$AD$5,0))</f>
        <v>640</v>
      </c>
      <c r="CG1131" s="118">
        <f t="shared" si="3352"/>
        <v>2397</v>
      </c>
      <c r="CH1131" s="118"/>
      <c r="CI1131" s="121">
        <v>2013</v>
      </c>
      <c r="CJ1131" s="118"/>
      <c r="CK1131" s="118"/>
      <c r="CL1131" s="118"/>
      <c r="CM1131" s="183"/>
      <c r="CN1131" s="118">
        <f t="shared" si="3342"/>
        <v>116</v>
      </c>
      <c r="CO1131" s="118">
        <f t="shared" si="3343"/>
        <v>0.174896764229102</v>
      </c>
      <c r="CP1131" s="186">
        <v>0.90566037735849059</v>
      </c>
      <c r="CQ1131" s="118">
        <f>+CQ1116*CP1131+CO1117*CP1130+CO1118*CP1129+CO1119*CP1128+CO1120*CP1127+CO1121*CP1126+CO1122*CP1125+CO1123*CP1124+CO1124*CP1123+CO1125*CP1122+CO1126*CP1121+CO1127*CP1120+CO1128*CP1119+CO1129*CP1118+CO1130*CP1117+CO1131</f>
        <v>22.408960804671455</v>
      </c>
      <c r="CR1131" s="119">
        <f t="shared" si="3344"/>
        <v>-4.9740868665567879E-4</v>
      </c>
      <c r="CS1131" s="119"/>
      <c r="CT1131" s="177">
        <f t="shared" si="3345"/>
        <v>8.2981728771090411E-3</v>
      </c>
      <c r="CU1131" s="177">
        <f t="shared" si="3354"/>
        <v>7.960960745555341E-3</v>
      </c>
      <c r="CV1131" s="119">
        <f>VLOOKUP($H1131,RoR!$E:$F,2,FALSE)</f>
        <v>4.2350000000000006E-2</v>
      </c>
      <c r="CW1131" s="177">
        <v>1.7730000000000024E-2</v>
      </c>
      <c r="CX1131" s="177">
        <f t="shared" si="3351"/>
        <v>2.4619999999999982E-2</v>
      </c>
      <c r="CY1131" s="177">
        <f t="shared" si="3355"/>
        <v>2.2940980862978286E-2</v>
      </c>
      <c r="CZ1131" s="177">
        <f t="shared" si="3356"/>
        <v>5.3376742735721204E-2</v>
      </c>
      <c r="DA1131" s="187">
        <f t="shared" si="3346"/>
        <v>0.85534375000000007</v>
      </c>
      <c r="DB1131" s="188">
        <f t="shared" si="3347"/>
        <v>1.2109103018193925</v>
      </c>
      <c r="DC1131" s="188">
        <f t="shared" si="3348"/>
        <v>0.38468122786304604</v>
      </c>
      <c r="DD1131" s="188">
        <f t="shared" si="3349"/>
        <v>0.80969194503422559</v>
      </c>
      <c r="DE1131" s="188">
        <f t="shared" si="3350"/>
        <v>0.37716621754800816</v>
      </c>
      <c r="DF1131" s="189">
        <f>INDEX('State Tax Lookup'!$D$7:$Z$91,MATCH(Calculation!$C1131,'State Tax Lookup'!$B$7:$B$91,0),MATCH($H1131,'State Tax Lookup'!$D$6:$Z$6,0))</f>
        <v>0.38574999999999998</v>
      </c>
      <c r="DG1131" s="189">
        <v>0.375</v>
      </c>
      <c r="DH1131" s="190">
        <f t="shared" si="3353"/>
        <v>21.113368114742112</v>
      </c>
      <c r="DI1131" s="190">
        <v>20.695522519195961</v>
      </c>
      <c r="DJ1131" s="177"/>
      <c r="DK1131" s="189">
        <f>VLOOKUP($H1131,RoR!$E:$F,2,FALSE)</f>
        <v>4.2350000000000006E-2</v>
      </c>
      <c r="DL1131" s="191">
        <f>HLOOKUP($H1131,'GDP-PI'!$D$8:$CQ$11,3,FALSE)</f>
        <v>1.7730000000000024E-2</v>
      </c>
      <c r="DM1131" s="189">
        <f>VLOOKUP(H1131,'HW Dx Data'!$E:$F,2,FALSE)</f>
        <v>663.24840548821396</v>
      </c>
      <c r="DN1131" s="183">
        <f>VLOOKUP(H1131,'ECI - Input Price'!$G$17:$H$37,2,FALSE)</f>
        <v>118.72499999999999</v>
      </c>
      <c r="DO1131" s="177">
        <f t="shared" ref="DO1131" si="3395">LN(DN1131/DN1130)</f>
        <v>1.8918621429430321E-2</v>
      </c>
      <c r="DP1131" s="183">
        <f>HLOOKUP(H1131,'GDP-PI'!$8:$9,2,FALSE)</f>
        <v>101.773</v>
      </c>
      <c r="DQ1131" s="177">
        <f t="shared" ref="DQ1131" si="3396">LN(DP1131/DP1130)</f>
        <v>1.7574657016510519E-2</v>
      </c>
    </row>
    <row r="1132" spans="1:121" s="167" customFormat="1" ht="21" x14ac:dyDescent="0.35">
      <c r="A1132" s="167" t="s">
        <v>109</v>
      </c>
      <c r="B1132" s="167" t="s">
        <v>109</v>
      </c>
      <c r="C1132" s="167">
        <v>4063179</v>
      </c>
      <c r="D1132" s="168" t="s">
        <v>147</v>
      </c>
      <c r="E1132" s="168"/>
      <c r="F1132" s="198"/>
      <c r="G1132" s="167" t="s">
        <v>20</v>
      </c>
      <c r="H1132" s="169">
        <v>2014</v>
      </c>
      <c r="I1132" s="170"/>
      <c r="J1132" s="166">
        <f>IFERROR(INDEX('Labor Expenditures'!$F$7:$X$91,MATCH($C1132,'Labor Expenditures'!$D$7:$D$91,0),MATCH($G1132,'Labor Expenditures'!$F$5:$X$5,0)),"NA")</f>
        <v>316.35515587842258</v>
      </c>
      <c r="K1132" s="166">
        <f t="shared" si="3359"/>
        <v>2.6101910551024963</v>
      </c>
      <c r="L1132" s="172">
        <f t="shared" si="3366"/>
        <v>2.8870947077923217E-2</v>
      </c>
      <c r="M1132" s="172">
        <f t="shared" si="3370"/>
        <v>3.1864989127878984E-6</v>
      </c>
      <c r="N1132" s="196"/>
      <c r="O1132" s="172"/>
      <c r="P1132" s="166">
        <f>IFERROR(INDEX('Non-Labor Expenditures'!$F$7:$AB$91,MATCH($C1132,'Non-Labor Expenditures'!$D$7:$D$91,0),MATCH($G1132,'Non-Labor Expenditures'!$F$5:$AB$5,0)),"NA")</f>
        <v>458.14135270464408</v>
      </c>
      <c r="Q1132" s="166">
        <f t="shared" si="3360"/>
        <v>4.4202085222403351</v>
      </c>
      <c r="R1132" s="172">
        <f t="shared" si="3371"/>
        <v>3.1257074379695951E-2</v>
      </c>
      <c r="S1132" s="172">
        <f t="shared" si="3376"/>
        <v>3.449856814846E-6</v>
      </c>
      <c r="T1132" s="172"/>
      <c r="U1132" s="172"/>
      <c r="V1132" s="166">
        <f t="shared" si="3340"/>
        <v>481.4975347249981</v>
      </c>
      <c r="W1132" s="170"/>
      <c r="X1132" s="174">
        <v>22.451673064861996</v>
      </c>
      <c r="Y1132" s="175">
        <v>1.9042206679995366E-3</v>
      </c>
      <c r="Z1132" s="175">
        <f t="shared" si="3377"/>
        <v>2.1016965851212548E-7</v>
      </c>
      <c r="AA1132" s="175"/>
      <c r="AB1132" s="175"/>
      <c r="AC1132" s="170">
        <f t="shared" si="3252"/>
        <v>1255.9940433080646</v>
      </c>
      <c r="AD1132" s="175">
        <f t="shared" si="3372"/>
        <v>3.6931785649645027E-2</v>
      </c>
      <c r="AE1132" s="170"/>
      <c r="AF1132" s="170"/>
      <c r="AG1132" s="121">
        <f t="shared" si="3373"/>
        <v>429.10626693135106</v>
      </c>
      <c r="AH1132" s="119">
        <f>+AZ1132/$BB$52</f>
        <v>7.9890216720610203E-5</v>
      </c>
      <c r="AI1132" s="119"/>
      <c r="AJ1132" s="176">
        <f t="shared" si="3378"/>
        <v>3.4281392661317647E-2</v>
      </c>
      <c r="AK1132" s="176">
        <f t="shared" si="3379"/>
        <v>0</v>
      </c>
      <c r="AL1132" s="120">
        <f t="shared" si="3361"/>
        <v>0.25187631865291288</v>
      </c>
      <c r="AM1132" s="120">
        <f t="shared" si="3362"/>
        <v>0.36476395341651568</v>
      </c>
      <c r="AN1132" s="120">
        <f t="shared" si="3363"/>
        <v>0.38335972793057149</v>
      </c>
      <c r="AO1132" s="120">
        <f t="shared" si="3367"/>
        <v>1.9294058061051861E-2</v>
      </c>
      <c r="AP1132" s="173">
        <f t="shared" si="3383"/>
        <v>101.64157536137932</v>
      </c>
      <c r="AQ1132" s="175">
        <f t="shared" si="3384"/>
        <v>1.9294058061051843E-2</v>
      </c>
      <c r="AR1132" s="177">
        <f>+AC1132/$AE$52</f>
        <v>1.1037043239999988E-4</v>
      </c>
      <c r="AS1132" s="177">
        <f t="shared" si="3380"/>
        <v>2.1294935309489951E-6</v>
      </c>
      <c r="AT1132" s="177"/>
      <c r="AU1132" s="177"/>
      <c r="AV1132" s="177"/>
      <c r="AW1132" s="190"/>
      <c r="AX1132" s="120"/>
      <c r="AY1132" s="120"/>
      <c r="AZ1132" s="118">
        <f>IFERROR(INDEX('Total Customers'!$F$7:$AB$91,MATCH($C1132,'Total Customers'!$D$7:$D$91,0),MATCH($G1132,'Total Customers'!$F$5:$AB$5,0)),"NA")</f>
        <v>2927</v>
      </c>
      <c r="BA1132" s="119">
        <f t="shared" si="3341"/>
        <v>6.8563861330100291E-3</v>
      </c>
      <c r="BB1132" s="119"/>
      <c r="BC1132" s="121"/>
      <c r="BD1132" s="119"/>
      <c r="BE1132" s="119"/>
      <c r="BF1132" s="119"/>
      <c r="BG1132" s="173"/>
      <c r="BH1132" s="173"/>
      <c r="BI1132" s="173"/>
      <c r="BJ1132" s="173"/>
      <c r="BK1132" s="173"/>
      <c r="BL1132" s="173"/>
      <c r="BM1132" s="173"/>
      <c r="BN1132" s="173"/>
      <c r="BO1132" s="173"/>
      <c r="BP1132" s="173"/>
      <c r="BQ1132" s="118"/>
      <c r="BR1132" s="118"/>
      <c r="BS1132" s="118">
        <f>INDEX('Dist. Plant Gas Additions'!$F$7:$AE$91,MATCH($C1132,'Dist. Plant Gas Additions'!$D$7:$D$91,0),MATCH(Calculation!$G1132,'Dist. Plant Gas Additions'!$F$5:$AE$5,0))</f>
        <v>93</v>
      </c>
      <c r="BT1132" s="118">
        <f>INDEX('Gen. Plant Additions'!$F$7:$AE$91,MATCH($C1132,'Gen. Plant Additions'!$D$7:$D$91,0),MATCH(Calculation!$G1132,'Gen. Plant Additions'!$F$5:$AE$5,0))</f>
        <v>69</v>
      </c>
      <c r="BU1132" s="118"/>
      <c r="BV1132" s="118"/>
      <c r="BW1132" s="118">
        <f>INDEX('Dist Plant Depreciation'!$E$7:$AD$94,MATCH($C1132,'Dist Plant Depreciation'!$D$7:$D$94,0),MATCH(Calculation!$G1132,'Dist Plant Depreciation'!$E$5:$AD$5,0))</f>
        <v>4069</v>
      </c>
      <c r="BX1132" s="118">
        <f>INDEX('Gen. Plant Depreciation'!$E$7:$AD$94,MATCH($C1132,'Gen. Plant Depreciation'!$D$7:$D$94,0),MATCH(Calculation!$G1132,'Gen. Plant Depreciation'!$E$5:$AD$5,0))</f>
        <v>479</v>
      </c>
      <c r="BY1132" s="118"/>
      <c r="BZ1132" s="118"/>
      <c r="CA1132" s="118"/>
      <c r="CB1132" s="118"/>
      <c r="CC1132" s="118"/>
      <c r="CD1132" s="183"/>
      <c r="CE1132" s="118">
        <f>INDEX('Gross Dx Plant'!$E$7:$AD$91,MATCH($C1132,'Gross Dx Plant'!$D$7:$D$91,0),MATCH(Calculation!$G1132,'Gross Dx Plant'!$E$5:$AD$5,0))</f>
        <v>6151</v>
      </c>
      <c r="CF1132" s="118">
        <f>INDEX('Gross Gen Plant'!$E$7:$AD$91,MATCH($C1132,'Gross Gen Plant'!$D$7:$D$91,0),MATCH(Calculation!$G1132,'Gross Gen Plant'!$E$5:$AD$5,0))</f>
        <v>709</v>
      </c>
      <c r="CG1132" s="118">
        <f t="shared" si="3352"/>
        <v>2312</v>
      </c>
      <c r="CH1132" s="118"/>
      <c r="CI1132" s="121">
        <v>2014</v>
      </c>
      <c r="CJ1132" s="118"/>
      <c r="CK1132" s="118"/>
      <c r="CL1132" s="118"/>
      <c r="CM1132" s="183"/>
      <c r="CN1132" s="118">
        <f t="shared" si="3342"/>
        <v>162</v>
      </c>
      <c r="CO1132" s="118">
        <f t="shared" si="3343"/>
        <v>0.23667977101986096</v>
      </c>
      <c r="CP1132" s="186">
        <v>0.89743589743589747</v>
      </c>
      <c r="CQ1132" s="118">
        <f>+CQ1116*CP1132+CO1117*CP1131+CO1118*CP1130+CO1119*CP1129+CO1120*CP1128+CO1121*CP1127+CO1122*CP1126+CO1123*CP1125+CO1124*CP1124+CO1125*CP1123+CO1126*CP1122+CO1127*CP1121+CO1128*CP1120+CO1129*CP1119+CO1130*CP1118+CO1131*CP1117+CO1132</f>
        <v>22.451673064861996</v>
      </c>
      <c r="CR1132" s="119">
        <f t="shared" si="3344"/>
        <v>1.9042206679995366E-3</v>
      </c>
      <c r="CS1132" s="119"/>
      <c r="CT1132" s="177">
        <f t="shared" si="3345"/>
        <v>8.6558012448700785E-3</v>
      </c>
      <c r="CU1132" s="177">
        <f t="shared" si="3354"/>
        <v>8.3012733652067794E-3</v>
      </c>
      <c r="CV1132" s="119">
        <f>VLOOKUP($H1132,RoR!$E:$F,2,FALSE)</f>
        <v>4.1625000000000002E-2</v>
      </c>
      <c r="CW1132" s="177">
        <v>1.841352814597208E-2</v>
      </c>
      <c r="CX1132" s="177">
        <f t="shared" si="3351"/>
        <v>2.3211471854027922E-2</v>
      </c>
      <c r="CY1132" s="177">
        <f t="shared" si="3355"/>
        <v>2.2600668243326846E-2</v>
      </c>
      <c r="CZ1132" s="177">
        <f t="shared" si="3356"/>
        <v>3.9072621432650924E-2</v>
      </c>
      <c r="DA1132" s="187">
        <f t="shared" si="3346"/>
        <v>0.85534375000000007</v>
      </c>
      <c r="DB1132" s="188">
        <f t="shared" si="3347"/>
        <v>1.2320012320012319</v>
      </c>
      <c r="DC1132" s="188">
        <f t="shared" si="3348"/>
        <v>0.37439939939939942</v>
      </c>
      <c r="DD1132" s="188">
        <f t="shared" si="3349"/>
        <v>0.80432100613819935</v>
      </c>
      <c r="DE1132" s="188">
        <f t="shared" si="3350"/>
        <v>0.37100152660040037</v>
      </c>
      <c r="DF1132" s="189">
        <f>INDEX('State Tax Lookup'!$D$7:$Z$91,MATCH(Calculation!$C1132,'State Tax Lookup'!$B$7:$B$91,0),MATCH($H1132,'State Tax Lookup'!$D$6:$Z$6,0))</f>
        <v>0.38574999999999998</v>
      </c>
      <c r="DG1132" s="189">
        <v>0.375</v>
      </c>
      <c r="DH1132" s="190">
        <f t="shared" si="3353"/>
        <v>21.486830153436806</v>
      </c>
      <c r="DI1132" s="190">
        <v>21.029271224129218</v>
      </c>
      <c r="DJ1132" s="177"/>
      <c r="DK1132" s="189">
        <f>VLOOKUP($H1132,RoR!$E:$F,2,FALSE)</f>
        <v>4.1625000000000002E-2</v>
      </c>
      <c r="DL1132" s="191">
        <f>HLOOKUP($H1132,'GDP-PI'!$D$8:$CQ$11,3,FALSE)</f>
        <v>1.841352814597208E-2</v>
      </c>
      <c r="DM1132" s="189">
        <f>VLOOKUP(H1132,'HW Dx Data'!$E:$F,2,FALSE)</f>
        <v>684.46914285042885</v>
      </c>
      <c r="DN1132" s="183">
        <f>VLOOKUP(H1132,'ECI - Input Price'!$G$17:$H$37,2,FALSE)</f>
        <v>121.2</v>
      </c>
      <c r="DO1132" s="177">
        <f t="shared" ref="DO1132" si="3397">LN(DN1132/DN1131)</f>
        <v>2.0632179200028689E-2</v>
      </c>
      <c r="DP1132" s="183">
        <f>HLOOKUP(H1132,'GDP-PI'!$8:$9,2,FALSE)</f>
        <v>103.64700000000001</v>
      </c>
      <c r="DQ1132" s="177">
        <f t="shared" ref="DQ1132" si="3398">LN(DP1132/DP1131)</f>
        <v>1.8246051898256087E-2</v>
      </c>
    </row>
    <row r="1133" spans="1:121" s="167" customFormat="1" ht="21" x14ac:dyDescent="0.35">
      <c r="A1133" s="167" t="s">
        <v>109</v>
      </c>
      <c r="B1133" s="167" t="s">
        <v>109</v>
      </c>
      <c r="C1133" s="167">
        <v>4063179</v>
      </c>
      <c r="D1133" s="168" t="s">
        <v>147</v>
      </c>
      <c r="E1133" s="168"/>
      <c r="F1133" s="198"/>
      <c r="G1133" s="167" t="s">
        <v>21</v>
      </c>
      <c r="H1133" s="169">
        <v>2015</v>
      </c>
      <c r="I1133" s="170"/>
      <c r="J1133" s="166">
        <f>IFERROR(INDEX('Labor Expenditures'!$F$7:$X$91,MATCH($C1133,'Labor Expenditures'!$D$7:$D$91,0),MATCH($G1133,'Labor Expenditures'!$F$5:$X$5,0)),"NA")</f>
        <v>374.38762073845709</v>
      </c>
      <c r="K1133" s="166">
        <f t="shared" si="3359"/>
        <v>3.0253545110178353</v>
      </c>
      <c r="L1133" s="172">
        <f t="shared" si="3366"/>
        <v>0.14760485849683924</v>
      </c>
      <c r="M1133" s="172">
        <f t="shared" si="3370"/>
        <v>1.7801193539276827E-5</v>
      </c>
      <c r="N1133" s="196"/>
      <c r="O1133" s="172"/>
      <c r="P1133" s="166">
        <f>IFERROR(INDEX('Non-Labor Expenditures'!$F$7:$AB$91,MATCH($C1133,'Non-Labor Expenditures'!$D$7:$D$91,0),MATCH($G1133,'Non-Labor Expenditures'!$F$5:$AB$5,0)),"NA")</f>
        <v>542.18320079128785</v>
      </c>
      <c r="Q1133" s="166">
        <f t="shared" si="3360"/>
        <v>5.1814638976986389</v>
      </c>
      <c r="R1133" s="172">
        <f t="shared" si="3371"/>
        <v>0.15890075012498184</v>
      </c>
      <c r="S1133" s="172">
        <f t="shared" si="3376"/>
        <v>1.9163481712708252E-5</v>
      </c>
      <c r="T1133" s="172"/>
      <c r="U1133" s="172"/>
      <c r="V1133" s="166">
        <f t="shared" si="3340"/>
        <v>469.69830369442258</v>
      </c>
      <c r="W1133" s="170"/>
      <c r="X1133" s="174">
        <v>22.592431826000063</v>
      </c>
      <c r="Y1133" s="175">
        <v>6.2498397805623839E-3</v>
      </c>
      <c r="Z1133" s="175">
        <f t="shared" si="3377"/>
        <v>7.5373269319346125E-7</v>
      </c>
      <c r="AA1133" s="175"/>
      <c r="AB1133" s="175"/>
      <c r="AC1133" s="170">
        <f t="shared" si="3252"/>
        <v>1386.2691252241675</v>
      </c>
      <c r="AD1133" s="175">
        <f t="shared" si="3372"/>
        <v>9.8688730516142464E-2</v>
      </c>
      <c r="AE1133" s="170"/>
      <c r="AF1133" s="170"/>
      <c r="AG1133" s="121">
        <f t="shared" si="3373"/>
        <v>468.49243839951589</v>
      </c>
      <c r="AH1133" s="119">
        <f>+AZ1133/$BB$53</f>
        <v>8.0108787345864598E-5</v>
      </c>
      <c r="AI1133" s="119"/>
      <c r="AJ1133" s="176">
        <f t="shared" si="3378"/>
        <v>3.7530361120892392E-2</v>
      </c>
      <c r="AK1133" s="176">
        <f t="shared" si="3379"/>
        <v>0</v>
      </c>
      <c r="AL1133" s="120">
        <f t="shared" si="3361"/>
        <v>0.27006849819144352</v>
      </c>
      <c r="AM1133" s="120">
        <f t="shared" si="3362"/>
        <v>0.39110962721875075</v>
      </c>
      <c r="AN1133" s="120">
        <f t="shared" si="3363"/>
        <v>0.33882187458980573</v>
      </c>
      <c r="AO1133" s="120">
        <f t="shared" si="3367"/>
        <v>0.10083199455214591</v>
      </c>
      <c r="AP1133" s="173">
        <f t="shared" si="3383"/>
        <v>112.42481108686339</v>
      </c>
      <c r="AQ1133" s="175">
        <f t="shared" si="3384"/>
        <v>0.10083199455214582</v>
      </c>
      <c r="AR1133" s="177">
        <f>+AC1133/$AE$53</f>
        <v>1.2060032251348971E-4</v>
      </c>
      <c r="AS1133" s="177">
        <f t="shared" si="3380"/>
        <v>1.2160371062667225E-5</v>
      </c>
      <c r="AT1133" s="177"/>
      <c r="AU1133" s="177"/>
      <c r="AV1133" s="177"/>
      <c r="AW1133" s="190"/>
      <c r="AX1133" s="120"/>
      <c r="AY1133" s="120"/>
      <c r="AZ1133" s="118">
        <f>IFERROR(INDEX('Total Customers'!$F$7:$AB$91,MATCH($C1133,'Total Customers'!$D$7:$D$91,0),MATCH($G1133,'Total Customers'!$F$5:$AB$5,0)),"NA")</f>
        <v>2959</v>
      </c>
      <c r="BA1133" s="119">
        <f t="shared" si="3341"/>
        <v>1.0873365708323824E-2</v>
      </c>
      <c r="BB1133" s="119"/>
      <c r="BC1133" s="121"/>
      <c r="BD1133" s="119"/>
      <c r="BE1133" s="119"/>
      <c r="BF1133" s="119"/>
      <c r="BG1133" s="173"/>
      <c r="BH1133" s="173"/>
      <c r="BI1133" s="173"/>
      <c r="BJ1133" s="173"/>
      <c r="BK1133" s="173"/>
      <c r="BL1133" s="173"/>
      <c r="BM1133" s="173"/>
      <c r="BN1133" s="173"/>
      <c r="BO1133" s="173"/>
      <c r="BP1133" s="173"/>
      <c r="BQ1133" s="118"/>
      <c r="BR1133" s="118"/>
      <c r="BS1133" s="118">
        <f>INDEX('Dist. Plant Gas Additions'!$F$7:$AE$91,MATCH($C1133,'Dist. Plant Gas Additions'!$D$7:$D$91,0),MATCH(Calculation!$G1133,'Dist. Plant Gas Additions'!$F$5:$AE$5,0))</f>
        <v>170</v>
      </c>
      <c r="BT1133" s="118">
        <f>INDEX('Gen. Plant Additions'!$F$7:$AE$91,MATCH($C1133,'Gen. Plant Additions'!$D$7:$D$91,0),MATCH(Calculation!$G1133,'Gen. Plant Additions'!$F$5:$AE$5,0))</f>
        <v>62</v>
      </c>
      <c r="BU1133" s="118"/>
      <c r="BV1133" s="118"/>
      <c r="BW1133" s="118">
        <f>INDEX('Dist Plant Depreciation'!$E$7:$AD$94,MATCH($C1133,'Dist Plant Depreciation'!$D$7:$D$94,0),MATCH(Calculation!$G1133,'Dist Plant Depreciation'!$E$5:$AD$5,0))</f>
        <v>4265</v>
      </c>
      <c r="BX1133" s="118">
        <f>INDEX('Gen. Plant Depreciation'!$E$7:$AD$94,MATCH($C1133,'Gen. Plant Depreciation'!$D$7:$D$94,0),MATCH(Calculation!$G1133,'Gen. Plant Depreciation'!$E$5:$AD$5,0))</f>
        <v>496</v>
      </c>
      <c r="BY1133" s="118"/>
      <c r="BZ1133" s="118"/>
      <c r="CA1133" s="118"/>
      <c r="CB1133" s="118"/>
      <c r="CC1133" s="118"/>
      <c r="CD1133" s="183"/>
      <c r="CE1133" s="118">
        <f>INDEX('Gross Dx Plant'!$E$7:$AD$91,MATCH($C1133,'Gross Dx Plant'!$D$7:$D$91,0),MATCH(Calculation!$G1133,'Gross Dx Plant'!$E$5:$AD$5,0))</f>
        <v>6305</v>
      </c>
      <c r="CF1133" s="118">
        <f>INDEX('Gross Gen Plant'!$E$7:$AD$91,MATCH($C1133,'Gross Gen Plant'!$D$7:$D$91,0),MATCH(Calculation!$G1133,'Gross Gen Plant'!$E$5:$AD$5,0))</f>
        <v>742</v>
      </c>
      <c r="CG1133" s="118">
        <f t="shared" si="3352"/>
        <v>2286</v>
      </c>
      <c r="CH1133" s="118"/>
      <c r="CI1133" s="121">
        <v>2015</v>
      </c>
      <c r="CJ1133" s="118"/>
      <c r="CK1133" s="118"/>
      <c r="CL1133" s="118"/>
      <c r="CM1133" s="183"/>
      <c r="CN1133" s="118">
        <f t="shared" si="3342"/>
        <v>232</v>
      </c>
      <c r="CO1133" s="118">
        <f t="shared" si="3343"/>
        <v>0.34339102298609109</v>
      </c>
      <c r="CP1133" s="186">
        <v>0.88888888888888884</v>
      </c>
      <c r="CQ1133" s="118">
        <f>+CQ1116*CP1133+CO1117*CP1132+CO1118*CP1131+CO1119*CP1130+CO1120*CP1129+CO1121*CP1128+CO1122*CP1127+CO1123*CP1126+CO1124*CP1125+CO1125*CP1124+CO1126*CP1123+CO1127*CP1122+CO1128*CP1121+CO1129*CP1120+CO1130*CP1119+CO1131*CP1118+CO1132*CP1117+CO1133</f>
        <v>22.592431826000063</v>
      </c>
      <c r="CR1133" s="119">
        <f t="shared" si="3344"/>
        <v>6.2498397805623839E-3</v>
      </c>
      <c r="CS1133" s="119"/>
      <c r="CT1133" s="177">
        <f t="shared" si="3345"/>
        <v>9.0252633406262515E-3</v>
      </c>
      <c r="CU1133" s="177">
        <f t="shared" si="3354"/>
        <v>8.6597458208684565E-3</v>
      </c>
      <c r="CV1133" s="119">
        <f>VLOOKUP($H1133,RoR!$E:$F,2,FALSE)</f>
        <v>3.8866666666666674E-2</v>
      </c>
      <c r="CW1133" s="177">
        <v>9.5709475431029478E-3</v>
      </c>
      <c r="CX1133" s="177">
        <f t="shared" si="3351"/>
        <v>2.9295719123563727E-2</v>
      </c>
      <c r="CY1133" s="177">
        <f t="shared" si="3355"/>
        <v>2.2242195787665169E-2</v>
      </c>
      <c r="CZ1133" s="177">
        <f t="shared" si="3356"/>
        <v>3.5270373279175926E-3</v>
      </c>
      <c r="DA1133" s="187">
        <f t="shared" si="3346"/>
        <v>0.85534375000000007</v>
      </c>
      <c r="DB1133" s="188">
        <f t="shared" si="3347"/>
        <v>1.3194352816994324</v>
      </c>
      <c r="DC1133" s="188">
        <f t="shared" si="3348"/>
        <v>0.33177530017152673</v>
      </c>
      <c r="DD1133" s="188">
        <f t="shared" si="3349"/>
        <v>0.78242572977668579</v>
      </c>
      <c r="DE1133" s="188">
        <f t="shared" si="3350"/>
        <v>0.34251158643433932</v>
      </c>
      <c r="DF1133" s="189">
        <f>INDEX('State Tax Lookup'!$D$7:$Z$91,MATCH(Calculation!$C1133,'State Tax Lookup'!$B$7:$B$91,0),MATCH($H1133,'State Tax Lookup'!$D$6:$Z$6,0))</f>
        <v>0.38574999999999998</v>
      </c>
      <c r="DG1133" s="189">
        <v>0.375</v>
      </c>
      <c r="DH1133" s="190">
        <f t="shared" si="3353"/>
        <v>20.920414364554603</v>
      </c>
      <c r="DI1133" s="190">
        <v>20.43447850601294</v>
      </c>
      <c r="DJ1133" s="177"/>
      <c r="DK1133" s="189">
        <f>VLOOKUP($H1133,RoR!$E:$F,2,FALSE)</f>
        <v>3.8866666666666674E-2</v>
      </c>
      <c r="DL1133" s="191">
        <f>HLOOKUP($H1133,'GDP-PI'!$D$8:$CQ$11,3,FALSE)</f>
        <v>9.5709475431029478E-3</v>
      </c>
      <c r="DM1133" s="189">
        <f>VLOOKUP(H1133,'HW Dx Data'!$E:$F,2,FALSE)</f>
        <v>675.61463308665782</v>
      </c>
      <c r="DN1133" s="183">
        <f>VLOOKUP(H1133,'ECI - Input Price'!$G$17:$H$37,2,FALSE)</f>
        <v>123.75</v>
      </c>
      <c r="DO1133" s="177">
        <f t="shared" ref="DO1133" si="3399">LN(DN1133/DN1132)</f>
        <v>2.0821327813585516E-2</v>
      </c>
      <c r="DP1133" s="183">
        <f>HLOOKUP(H1133,'GDP-PI'!$8:$9,2,FALSE)</f>
        <v>104.639</v>
      </c>
      <c r="DQ1133" s="177">
        <f t="shared" ref="DQ1133" si="3400">LN(DP1133/DP1132)</f>
        <v>9.5254361854427965E-3</v>
      </c>
    </row>
    <row r="1134" spans="1:121" s="167" customFormat="1" ht="21" x14ac:dyDescent="0.35">
      <c r="A1134" s="167" t="s">
        <v>109</v>
      </c>
      <c r="B1134" s="167" t="s">
        <v>109</v>
      </c>
      <c r="C1134" s="167">
        <v>4063179</v>
      </c>
      <c r="D1134" s="168" t="s">
        <v>147</v>
      </c>
      <c r="E1134" s="168"/>
      <c r="F1134" s="198"/>
      <c r="G1134" s="167" t="s">
        <v>22</v>
      </c>
      <c r="H1134" s="169">
        <v>2016</v>
      </c>
      <c r="I1134" s="170"/>
      <c r="J1134" s="166">
        <f>IFERROR(INDEX('Labor Expenditures'!$F$7:$X$91,MATCH($C1134,'Labor Expenditures'!$D$7:$D$91,0),MATCH($G1134,'Labor Expenditures'!$F$5:$X$5,0)),"NA")</f>
        <v>352.54891182243318</v>
      </c>
      <c r="K1134" s="166">
        <f t="shared" si="3359"/>
        <v>2.7891527834053256</v>
      </c>
      <c r="L1134" s="172">
        <f t="shared" si="3366"/>
        <v>-8.1290390484276026E-2</v>
      </c>
      <c r="M1134" s="172">
        <f t="shared" si="3370"/>
        <v>-9.053365934348681E-6</v>
      </c>
      <c r="N1134" s="196"/>
      <c r="O1134" s="172"/>
      <c r="P1134" s="166">
        <f>IFERROR(INDEX('Non-Labor Expenditures'!$F$7:$AB$91,MATCH($C1134,'Non-Labor Expenditures'!$D$7:$D$91,0),MATCH($G1134,'Non-Labor Expenditures'!$F$5:$AB$5,0)),"NA")</f>
        <v>510.55667137270223</v>
      </c>
      <c r="Q1134" s="166">
        <f t="shared" si="3360"/>
        <v>4.8285983144123303</v>
      </c>
      <c r="R1134" s="172">
        <f t="shared" si="3371"/>
        <v>-7.0531400587523677E-2</v>
      </c>
      <c r="S1134" s="172">
        <f t="shared" si="3376"/>
        <v>-7.8551299308188373E-6</v>
      </c>
      <c r="T1134" s="172"/>
      <c r="U1134" s="172"/>
      <c r="V1134" s="166">
        <f t="shared" si="3340"/>
        <v>461.97004963791517</v>
      </c>
      <c r="W1134" s="170"/>
      <c r="X1134" s="174">
        <v>22.815000784251474</v>
      </c>
      <c r="Y1134" s="175">
        <v>9.8032735143932098E-3</v>
      </c>
      <c r="Z1134" s="175">
        <f t="shared" si="3377"/>
        <v>1.0917972216836325E-6</v>
      </c>
      <c r="AA1134" s="175"/>
      <c r="AB1134" s="175"/>
      <c r="AC1134" s="170">
        <f t="shared" si="3252"/>
        <v>1325.0756328330506</v>
      </c>
      <c r="AD1134" s="175">
        <f t="shared" si="3372"/>
        <v>-4.5146516769243125E-2</v>
      </c>
      <c r="AE1134" s="170"/>
      <c r="AF1134" s="170"/>
      <c r="AG1134" s="121">
        <f t="shared" si="3373"/>
        <v>442.7249023832444</v>
      </c>
      <c r="AH1134" s="119">
        <f>+AZ1134/$BB$54</f>
        <v>8.0329156590184066E-5</v>
      </c>
      <c r="AI1134" s="119"/>
      <c r="AJ1134" s="176">
        <f t="shared" si="3378"/>
        <v>3.5563718009917596E-2</v>
      </c>
      <c r="AK1134" s="176">
        <f t="shared" si="3379"/>
        <v>0</v>
      </c>
      <c r="AL1134" s="120">
        <f t="shared" si="3361"/>
        <v>0.26605946338977893</v>
      </c>
      <c r="AM1134" s="120">
        <f t="shared" si="3362"/>
        <v>0.38530379604152637</v>
      </c>
      <c r="AN1134" s="120">
        <f t="shared" si="3363"/>
        <v>0.34863674056869465</v>
      </c>
      <c r="AO1134" s="120">
        <f t="shared" si="3367"/>
        <v>-4.5802116344876458E-2</v>
      </c>
      <c r="AP1134" s="173">
        <f t="shared" si="3383"/>
        <v>107.39166113127338</v>
      </c>
      <c r="AQ1134" s="175">
        <f t="shared" si="3384"/>
        <v>-4.5802116344876485E-2</v>
      </c>
      <c r="AR1134" s="177">
        <f>+AC1134/$AE$54</f>
        <v>1.1137067838417963E-4</v>
      </c>
      <c r="AS1134" s="177">
        <f t="shared" si="3380"/>
        <v>-5.1010127687600161E-6</v>
      </c>
      <c r="AT1134" s="177"/>
      <c r="AU1134" s="177"/>
      <c r="AV1134" s="177"/>
      <c r="AW1134" s="190"/>
      <c r="AX1134" s="120"/>
      <c r="AY1134" s="120"/>
      <c r="AZ1134" s="118">
        <f>IFERROR(INDEX('Total Customers'!$F$7:$AB$91,MATCH($C1134,'Total Customers'!$D$7:$D$91,0),MATCH($G1134,'Total Customers'!$F$5:$AB$5,0)),"NA")</f>
        <v>2993</v>
      </c>
      <c r="BA1134" s="119">
        <f t="shared" si="3341"/>
        <v>1.1424855452489179E-2</v>
      </c>
      <c r="BB1134" s="119"/>
      <c r="BC1134" s="121"/>
      <c r="BD1134" s="119"/>
      <c r="BE1134" s="119"/>
      <c r="BF1134" s="119"/>
      <c r="BG1134" s="173"/>
      <c r="BH1134" s="173"/>
      <c r="BI1134" s="173"/>
      <c r="BJ1134" s="173"/>
      <c r="BK1134" s="173"/>
      <c r="BL1134" s="173"/>
      <c r="BM1134" s="173"/>
      <c r="BN1134" s="173"/>
      <c r="BO1134" s="173"/>
      <c r="BP1134" s="173"/>
      <c r="BQ1134" s="118"/>
      <c r="BR1134" s="118"/>
      <c r="BS1134" s="118">
        <f>INDEX('Dist. Plant Gas Additions'!$F$7:$AE$91,MATCH($C1134,'Dist. Plant Gas Additions'!$D$7:$D$91,0),MATCH(Calculation!$G1134,'Dist. Plant Gas Additions'!$F$5:$AE$5,0))</f>
        <v>124</v>
      </c>
      <c r="BT1134" s="118">
        <f>INDEX('Gen. Plant Additions'!$F$7:$AE$91,MATCH($C1134,'Gen. Plant Additions'!$D$7:$D$91,0),MATCH(Calculation!$G1134,'Gen. Plant Additions'!$F$5:$AE$5,0))</f>
        <v>168</v>
      </c>
      <c r="BU1134" s="118"/>
      <c r="BV1134" s="118"/>
      <c r="BW1134" s="118">
        <f>INDEX('Dist Plant Depreciation'!$E$7:$AD$94,MATCH($C1134,'Dist Plant Depreciation'!$D$7:$D$94,0),MATCH(Calculation!$G1134,'Dist Plant Depreciation'!$E$5:$AD$5,0))</f>
        <v>4465</v>
      </c>
      <c r="BX1134" s="118">
        <f>INDEX('Gen. Plant Depreciation'!$E$7:$AD$94,MATCH($C1134,'Gen. Plant Depreciation'!$D$7:$D$94,0),MATCH(Calculation!$G1134,'Gen. Plant Depreciation'!$E$5:$AD$5,0))</f>
        <v>437</v>
      </c>
      <c r="BY1134" s="118"/>
      <c r="BZ1134" s="118"/>
      <c r="CA1134" s="118"/>
      <c r="CB1134" s="118"/>
      <c r="CC1134" s="118"/>
      <c r="CD1134" s="183"/>
      <c r="CE1134" s="118">
        <f>INDEX('Gross Dx Plant'!$E$7:$AD$91,MATCH($C1134,'Gross Dx Plant'!$D$7:$D$91,0),MATCH(Calculation!$G1134,'Gross Dx Plant'!$E$5:$AD$5,0))</f>
        <v>6449</v>
      </c>
      <c r="CF1134" s="118">
        <f>INDEX('Gross Gen Plant'!$E$7:$AD$91,MATCH($C1134,'Gross Gen Plant'!$D$7:$D$91,0),MATCH(Calculation!$G1134,'Gross Gen Plant'!$E$5:$AD$5,0))</f>
        <v>775</v>
      </c>
      <c r="CG1134" s="118">
        <f t="shared" si="3352"/>
        <v>2322</v>
      </c>
      <c r="CH1134" s="118"/>
      <c r="CI1134" s="121">
        <v>2016</v>
      </c>
      <c r="CJ1134" s="118"/>
      <c r="CK1134" s="118"/>
      <c r="CL1134" s="118"/>
      <c r="CM1134" s="183"/>
      <c r="CN1134" s="118">
        <f t="shared" si="3342"/>
        <v>292</v>
      </c>
      <c r="CO1134" s="118">
        <f t="shared" si="3343"/>
        <v>0.43487559679267535</v>
      </c>
      <c r="CP1134" s="186">
        <v>0.88</v>
      </c>
      <c r="CQ1134" s="118">
        <f>+CQ1116*CP1134+CO1117*CP1133+CO1118*CP1132+CO1119*CP1131+CO1120*CP1130+CO1121*CP1129+CO1122*CP1128+CO1123*CP1127+CO1124*CP1126+CO1125*CP1125+CO1126*CP1124+CO1127*CP1123+CO1128*CP1122+CO1129*CP1121+CO1130*CP1120+CO1131*CP1119+CO1132*CP1118+CO1133*CP1117+CO1134</f>
        <v>22.815000784251474</v>
      </c>
      <c r="CR1134" s="119">
        <f t="shared" si="3344"/>
        <v>9.8032735143932098E-3</v>
      </c>
      <c r="CS1134" s="119"/>
      <c r="CT1134" s="177">
        <f t="shared" si="3345"/>
        <v>9.3972459528210203E-3</v>
      </c>
      <c r="CU1134" s="177">
        <f t="shared" si="3354"/>
        <v>9.0261035127724501E-3</v>
      </c>
      <c r="CV1134" s="119">
        <f>VLOOKUP($H1134,RoR!$E:$F,2,FALSE)</f>
        <v>3.6658333333333334E-2</v>
      </c>
      <c r="CW1134" s="177">
        <v>1.0483662879041455E-2</v>
      </c>
      <c r="CX1134" s="177">
        <f t="shared" si="3351"/>
        <v>2.6174670454291879E-2</v>
      </c>
      <c r="CY1134" s="177">
        <f t="shared" si="3355"/>
        <v>2.1875838095761175E-2</v>
      </c>
      <c r="CZ1134" s="177">
        <f t="shared" si="3356"/>
        <v>4.301363574220729E-3</v>
      </c>
      <c r="DA1134" s="187">
        <f t="shared" si="3346"/>
        <v>0.85534375000000007</v>
      </c>
      <c r="DB1134" s="188">
        <f t="shared" si="3347"/>
        <v>1.3989193348138562</v>
      </c>
      <c r="DC1134" s="188">
        <f t="shared" si="3348"/>
        <v>0.29302682427824522</v>
      </c>
      <c r="DD1134" s="188">
        <f t="shared" si="3349"/>
        <v>0.76309497491941802</v>
      </c>
      <c r="DE1134" s="188">
        <f t="shared" si="3350"/>
        <v>0.31280857135128509</v>
      </c>
      <c r="DF1134" s="189">
        <f>INDEX('State Tax Lookup'!$D$7:$Z$91,MATCH(Calculation!$C1134,'State Tax Lookup'!$B$7:$B$91,0),MATCH($H1134,'State Tax Lookup'!$D$6:$Z$6,0))</f>
        <v>0.38574999999999998</v>
      </c>
      <c r="DG1134" s="189">
        <v>0.375</v>
      </c>
      <c r="DH1134" s="190">
        <f t="shared" si="3353"/>
        <v>20.448000161995218</v>
      </c>
      <c r="DI1134" s="190">
        <v>19.938835796786876</v>
      </c>
      <c r="DJ1134" s="177"/>
      <c r="DK1134" s="189">
        <f>VLOOKUP($H1134,RoR!$E:$F,2,FALSE)</f>
        <v>3.6658333333333334E-2</v>
      </c>
      <c r="DL1134" s="191">
        <f>HLOOKUP($H1134,'GDP-PI'!$D$8:$CQ$11,3,FALSE)</f>
        <v>1.0483662879041455E-2</v>
      </c>
      <c r="DM1134" s="189">
        <f>VLOOKUP(H1134,'HW Dx Data'!$E:$F,2,FALSE)</f>
        <v>671.45639385971219</v>
      </c>
      <c r="DN1134" s="183">
        <f>VLOOKUP(H1134,'ECI - Input Price'!$G$17:$H$37,2,FALSE)</f>
        <v>126.4</v>
      </c>
      <c r="DO1134" s="177">
        <f t="shared" ref="DO1134" si="3401">LN(DN1134/DN1133)</f>
        <v>2.11880802639575E-2</v>
      </c>
      <c r="DP1134" s="183">
        <f>HLOOKUP(H1134,'GDP-PI'!$8:$9,2,FALSE)</f>
        <v>105.736</v>
      </c>
      <c r="DQ1134" s="177">
        <f t="shared" ref="DQ1134" si="3402">LN(DP1134/DP1133)</f>
        <v>1.0429090367205095E-2</v>
      </c>
    </row>
    <row r="1135" spans="1:121" s="167" customFormat="1" ht="21" x14ac:dyDescent="0.35">
      <c r="A1135" s="167" t="s">
        <v>109</v>
      </c>
      <c r="B1135" s="167" t="s">
        <v>109</v>
      </c>
      <c r="C1135" s="167">
        <v>4063179</v>
      </c>
      <c r="D1135" s="168" t="s">
        <v>147</v>
      </c>
      <c r="E1135" s="168"/>
      <c r="F1135" s="198"/>
      <c r="G1135" s="167" t="s">
        <v>23</v>
      </c>
      <c r="H1135" s="169">
        <v>2017</v>
      </c>
      <c r="I1135" s="170"/>
      <c r="J1135" s="166">
        <f>IFERROR(INDEX('Labor Expenditures'!$F$7:$X$91,MATCH($C1135,'Labor Expenditures'!$D$7:$D$91,0),MATCH($G1135,'Labor Expenditures'!$F$5:$X$5,0)),"NA")</f>
        <v>340.91464113955521</v>
      </c>
      <c r="K1135" s="166">
        <f t="shared" si="3359"/>
        <v>2.6325454914251369</v>
      </c>
      <c r="L1135" s="172">
        <f t="shared" si="3366"/>
        <v>-5.7786642286791465E-2</v>
      </c>
      <c r="M1135" s="172">
        <f t="shared" si="3370"/>
        <v>-6.1210504548647255E-6</v>
      </c>
      <c r="N1135" s="196"/>
      <c r="O1135" s="172"/>
      <c r="P1135" s="166">
        <f>IFERROR(INDEX('Non-Labor Expenditures'!$F$7:$AB$91,MATCH($C1135,'Non-Labor Expenditures'!$D$7:$D$91,0),MATCH($G1135,'Non-Labor Expenditures'!$F$5:$AB$5,0)),"NA")</f>
        <v>493.70807444187153</v>
      </c>
      <c r="Q1135" s="166">
        <f t="shared" si="3360"/>
        <v>4.5819349652613113</v>
      </c>
      <c r="R1135" s="172">
        <f t="shared" si="3371"/>
        <v>-5.2434831087700959E-2</v>
      </c>
      <c r="S1135" s="172">
        <f t="shared" si="3376"/>
        <v>-5.5541598192752122E-6</v>
      </c>
      <c r="T1135" s="172"/>
      <c r="U1135" s="172"/>
      <c r="V1135" s="166">
        <f t="shared" si="3340"/>
        <v>420.31018701509561</v>
      </c>
      <c r="W1135" s="170"/>
      <c r="X1135" s="174">
        <v>22.829249193872201</v>
      </c>
      <c r="Y1135" s="175">
        <v>6.2432442598448119E-4</v>
      </c>
      <c r="Z1135" s="175">
        <f t="shared" si="3377"/>
        <v>6.613156882674543E-8</v>
      </c>
      <c r="AA1135" s="175"/>
      <c r="AB1135" s="175"/>
      <c r="AC1135" s="170">
        <f t="shared" si="3252"/>
        <v>1254.9329025965224</v>
      </c>
      <c r="AD1135" s="175">
        <f t="shared" si="3372"/>
        <v>-5.438743210456274E-2</v>
      </c>
      <c r="AE1135" s="170"/>
      <c r="AF1135" s="170"/>
      <c r="AG1135" s="121">
        <f t="shared" si="3373"/>
        <v>418.72969722940354</v>
      </c>
      <c r="AH1135" s="119">
        <f>+AZ1135/$BB$55</f>
        <v>7.983217380077102E-5</v>
      </c>
      <c r="AI1135" s="119"/>
      <c r="AJ1135" s="176">
        <f t="shared" si="3378"/>
        <v>3.3428101964761973E-2</v>
      </c>
      <c r="AK1135" s="176">
        <f t="shared" si="3379"/>
        <v>0</v>
      </c>
      <c r="AL1135" s="120">
        <f t="shared" si="3361"/>
        <v>0.27165965641205586</v>
      </c>
      <c r="AM1135" s="120">
        <f t="shared" si="3362"/>
        <v>0.39341392150955917</v>
      </c>
      <c r="AN1135" s="120">
        <f t="shared" si="3363"/>
        <v>0.33492642207838497</v>
      </c>
      <c r="AO1135" s="120">
        <f t="shared" si="3367"/>
        <v>-3.5739074616202203E-2</v>
      </c>
      <c r="AP1135" s="173">
        <f t="shared" si="3383"/>
        <v>103.62135742669712</v>
      </c>
      <c r="AQ1135" s="175">
        <f t="shared" si="3384"/>
        <v>-3.5739074616202175E-2</v>
      </c>
      <c r="AR1135" s="177">
        <f>+AC1135/$AE$55</f>
        <v>1.0592500641387568E-4</v>
      </c>
      <c r="AS1135" s="177">
        <f t="shared" si="3380"/>
        <v>-3.7856617079471968E-6</v>
      </c>
      <c r="AT1135" s="177"/>
      <c r="AU1135" s="177"/>
      <c r="AV1135" s="177"/>
      <c r="AW1135" s="190"/>
      <c r="AX1135" s="120"/>
      <c r="AY1135" s="120"/>
      <c r="AZ1135" s="118">
        <f>IFERROR(INDEX('Total Customers'!$F$7:$AB$91,MATCH($C1135,'Total Customers'!$D$7:$D$91,0),MATCH($G1135,'Total Customers'!$F$5:$AB$5,0)),"NA")</f>
        <v>2997</v>
      </c>
      <c r="BA1135" s="119">
        <f t="shared" si="3341"/>
        <v>1.3355594639642174E-3</v>
      </c>
      <c r="BB1135" s="119"/>
      <c r="BC1135" s="121"/>
      <c r="BD1135" s="119"/>
      <c r="BE1135" s="119"/>
      <c r="BF1135" s="119"/>
      <c r="BG1135" s="173"/>
      <c r="BH1135" s="173"/>
      <c r="BI1135" s="173"/>
      <c r="BJ1135" s="173"/>
      <c r="BK1135" s="173"/>
      <c r="BL1135" s="173"/>
      <c r="BM1135" s="173"/>
      <c r="BN1135" s="173"/>
      <c r="BO1135" s="173"/>
      <c r="BP1135" s="173"/>
      <c r="BQ1135" s="118"/>
      <c r="BR1135" s="118"/>
      <c r="BS1135" s="118">
        <f>INDEX('Dist. Plant Gas Additions'!$F$7:$AE$91,MATCH($C1135,'Dist. Plant Gas Additions'!$D$7:$D$91,0),MATCH(Calculation!$G1135,'Dist. Plant Gas Additions'!$F$5:$AE$5,0))</f>
        <v>149</v>
      </c>
      <c r="BT1135" s="118">
        <f>INDEX('Gen. Plant Additions'!$F$7:$AE$91,MATCH($C1135,'Gen. Plant Additions'!$D$7:$D$91,0),MATCH(Calculation!$G1135,'Gen. Plant Additions'!$F$5:$AE$5,0))</f>
        <v>20</v>
      </c>
      <c r="BU1135" s="118"/>
      <c r="BV1135" s="118"/>
      <c r="BW1135" s="118">
        <f>INDEX('Dist Plant Depreciation'!$E$7:$AD$94,MATCH($C1135,'Dist Plant Depreciation'!$D$7:$D$94,0),MATCH(Calculation!$G1135,'Dist Plant Depreciation'!$E$5:$AD$5,0))</f>
        <v>4659</v>
      </c>
      <c r="BX1135" s="118">
        <f>INDEX('Gen. Plant Depreciation'!$E$7:$AD$94,MATCH($C1135,'Gen. Plant Depreciation'!$D$7:$D$94,0),MATCH(Calculation!$G1135,'Gen. Plant Depreciation'!$E$5:$AD$5,0))</f>
        <v>503</v>
      </c>
      <c r="BY1135" s="118"/>
      <c r="BZ1135" s="118"/>
      <c r="CA1135" s="118"/>
      <c r="CB1135" s="118"/>
      <c r="CC1135" s="118"/>
      <c r="CD1135" s="183"/>
      <c r="CE1135" s="118">
        <f>INDEX('Gross Dx Plant'!$E$7:$AD$91,MATCH($C1135,'Gross Dx Plant'!$D$7:$D$91,0),MATCH(Calculation!$G1135,'Gross Dx Plant'!$E$5:$AD$5,0))</f>
        <v>6579</v>
      </c>
      <c r="CF1135" s="118">
        <f>INDEX('Gross Gen Plant'!$E$7:$AD$91,MATCH($C1135,'Gross Gen Plant'!$D$7:$D$91,0),MATCH(Calculation!$G1135,'Gross Gen Plant'!$E$5:$AD$5,0))</f>
        <v>794</v>
      </c>
      <c r="CG1135" s="118">
        <f t="shared" si="3352"/>
        <v>2211</v>
      </c>
      <c r="CH1135" s="118"/>
      <c r="CI1135" s="121">
        <v>2017</v>
      </c>
      <c r="CJ1135" s="118"/>
      <c r="CK1135" s="118"/>
      <c r="CL1135" s="118"/>
      <c r="CM1135" s="183"/>
      <c r="CN1135" s="118">
        <f t="shared" si="3342"/>
        <v>169</v>
      </c>
      <c r="CO1135" s="118">
        <f t="shared" si="3343"/>
        <v>0.23721675949854937</v>
      </c>
      <c r="CP1135" s="186">
        <v>0.87074829931972786</v>
      </c>
      <c r="CQ1135" s="118">
        <f>+CQ1116*CP1135+CO1117*CP1134+CO1118*CP1133+CO1119*CP1132+CO1120*CP1131+CO1121*CP1130+CO1122*CP1129+CO1123*CP1128+CO1124*CP1127+CO1125*CP1126+CO1126*CP1125+CO1127*CP1124+CO1128*CP1123+CO1129*CP1122+CO1130*CP1121+CO1131*CP1120+CO1132*CP1119+CO1133*CP1118+CO1134*CP1117+CO1135</f>
        <v>22.829249193872201</v>
      </c>
      <c r="CR1135" s="119">
        <f t="shared" si="3344"/>
        <v>6.2432442598448119E-4</v>
      </c>
      <c r="CS1135" s="119"/>
      <c r="CT1135" s="177">
        <f t="shared" si="3345"/>
        <v>9.772883726207493E-3</v>
      </c>
      <c r="CU1135" s="177">
        <f t="shared" si="3354"/>
        <v>9.3984643398849228E-3</v>
      </c>
      <c r="CV1135" s="119">
        <f>VLOOKUP($H1135,RoR!$E:$F,2,FALSE)</f>
        <v>3.7433333333333339E-2</v>
      </c>
      <c r="CW1135" s="177">
        <v>1.9056896421275615E-2</v>
      </c>
      <c r="CX1135" s="177">
        <f t="shared" si="3351"/>
        <v>1.8376436912057724E-2</v>
      </c>
      <c r="CY1135" s="177">
        <f t="shared" si="3355"/>
        <v>2.1503477268648701E-2</v>
      </c>
      <c r="CZ1135" s="177">
        <f t="shared" si="3356"/>
        <v>1.3976271617800498E-2</v>
      </c>
      <c r="DA1135" s="187">
        <f t="shared" si="3346"/>
        <v>0.90784375000000006</v>
      </c>
      <c r="DB1135" s="188">
        <f t="shared" si="3347"/>
        <v>1.3699568463593395</v>
      </c>
      <c r="DC1135" s="188">
        <f t="shared" si="3348"/>
        <v>0.30714603739982199</v>
      </c>
      <c r="DD1135" s="188">
        <f t="shared" si="3349"/>
        <v>0.77007188472689425</v>
      </c>
      <c r="DE1135" s="188">
        <f t="shared" si="3350"/>
        <v>0.32402839633793828</v>
      </c>
      <c r="DF1135" s="189">
        <f>INDEX('State Tax Lookup'!$D$7:$Z$91,MATCH(Calculation!$C1135,'State Tax Lookup'!$B$7:$B$91,0),MATCH($H1135,'State Tax Lookup'!$D$6:$Z$6,0))</f>
        <v>0.24574999999999997</v>
      </c>
      <c r="DG1135" s="189">
        <v>0.375</v>
      </c>
      <c r="DH1135" s="190">
        <f t="shared" si="3353"/>
        <v>18.422536601674079</v>
      </c>
      <c r="DI1135" s="190">
        <v>17.98863534466124</v>
      </c>
      <c r="DJ1135" s="177"/>
      <c r="DK1135" s="189">
        <f>VLOOKUP($H1135,RoR!$E:$F,2,FALSE)</f>
        <v>3.7433333333333339E-2</v>
      </c>
      <c r="DL1135" s="191">
        <f>HLOOKUP($H1135,'GDP-PI'!$D$8:$CQ$11,3,FALSE)</f>
        <v>1.9056896421275615E-2</v>
      </c>
      <c r="DM1135" s="189">
        <f>VLOOKUP(H1135,'HW Dx Data'!$E:$F,2,FALSE)</f>
        <v>712.42858370229726</v>
      </c>
      <c r="DN1135" s="183">
        <f>VLOOKUP(H1135,'ECI - Input Price'!$G$17:$H$37,2,FALSE)</f>
        <v>129.5</v>
      </c>
      <c r="DO1135" s="177">
        <f t="shared" ref="DO1135" si="3403">LN(DN1135/DN1134)</f>
        <v>2.4229399426835413E-2</v>
      </c>
      <c r="DP1135" s="183">
        <f>HLOOKUP(H1135,'GDP-PI'!$8:$9,2,FALSE)</f>
        <v>107.751</v>
      </c>
      <c r="DQ1135" s="177">
        <f t="shared" ref="DQ1135" si="3404">LN(DP1135/DP1134)</f>
        <v>1.8877588227745139E-2</v>
      </c>
    </row>
    <row r="1136" spans="1:121" s="167" customFormat="1" ht="21" x14ac:dyDescent="0.35">
      <c r="A1136" s="167" t="s">
        <v>109</v>
      </c>
      <c r="B1136" s="167" t="s">
        <v>109</v>
      </c>
      <c r="C1136" s="167">
        <v>4063179</v>
      </c>
      <c r="D1136" s="168" t="s">
        <v>147</v>
      </c>
      <c r="E1136" s="168"/>
      <c r="F1136" s="198"/>
      <c r="G1136" s="167" t="s">
        <v>24</v>
      </c>
      <c r="H1136" s="169">
        <v>2018</v>
      </c>
      <c r="I1136" s="170"/>
      <c r="J1136" s="166">
        <f>IFERROR(INDEX('Labor Expenditures'!$F$7:$X$91,MATCH($C1136,'Labor Expenditures'!$D$7:$D$91,0),MATCH($G1136,'Labor Expenditures'!$F$5:$X$5,0)),"NA")</f>
        <v>464.25302302415827</v>
      </c>
      <c r="K1136" s="166">
        <f t="shared" si="3359"/>
        <v>3.4840752196934957</v>
      </c>
      <c r="L1136" s="172">
        <f t="shared" si="3366"/>
        <v>0.28025140322551823</v>
      </c>
      <c r="M1136" s="172">
        <f t="shared" si="3370"/>
        <v>3.4231248840923661E-5</v>
      </c>
      <c r="N1136" s="196"/>
      <c r="O1136" s="172"/>
      <c r="P1136" s="166">
        <f>IFERROR(INDEX('Non-Labor Expenditures'!$F$7:$AB$91,MATCH($C1136,'Non-Labor Expenditures'!$D$7:$D$91,0),MATCH($G1136,'Non-Labor Expenditures'!$F$5:$AB$5,0)),"NA")</f>
        <v>672.32508784287893</v>
      </c>
      <c r="Q1136" s="166">
        <f t="shared" si="3360"/>
        <v>6.0942068476176914</v>
      </c>
      <c r="R1136" s="172">
        <f t="shared" si="3371"/>
        <v>0.28521723241537089</v>
      </c>
      <c r="S1136" s="172">
        <f t="shared" si="3376"/>
        <v>3.4837799005322238E-5</v>
      </c>
      <c r="T1136" s="172"/>
      <c r="U1136" s="172"/>
      <c r="V1136" s="166">
        <f t="shared" si="3340"/>
        <v>436.90115442357006</v>
      </c>
      <c r="W1136" s="170"/>
      <c r="X1136" s="174">
        <v>23.148232512791093</v>
      </c>
      <c r="Y1136" s="175">
        <v>1.3875855098276789E-2</v>
      </c>
      <c r="Z1136" s="175">
        <f t="shared" si="3377"/>
        <v>1.6948634093635186E-6</v>
      </c>
      <c r="AA1136" s="175"/>
      <c r="AB1136" s="175"/>
      <c r="AC1136" s="170">
        <f t="shared" si="3252"/>
        <v>1573.4792652906071</v>
      </c>
      <c r="AD1136" s="175">
        <f t="shared" si="3372"/>
        <v>0.22620715290272414</v>
      </c>
      <c r="AE1136" s="170"/>
      <c r="AF1136" s="170"/>
      <c r="AG1136" s="121">
        <f t="shared" si="3373"/>
        <v>525.19334622516931</v>
      </c>
      <c r="AH1136" s="119">
        <f>+AZ1136/$BB$56</f>
        <v>7.9112323814663164E-5</v>
      </c>
      <c r="AI1136" s="119"/>
      <c r="AJ1136" s="176">
        <f t="shared" si="3378"/>
        <v>4.15492660718721E-2</v>
      </c>
      <c r="AK1136" s="176">
        <f t="shared" si="3379"/>
        <v>0</v>
      </c>
      <c r="AL1136" s="120">
        <f t="shared" si="3361"/>
        <v>0.29504870719628773</v>
      </c>
      <c r="AM1136" s="120">
        <f t="shared" si="3362"/>
        <v>0.42728563551722853</v>
      </c>
      <c r="AN1136" s="120">
        <f t="shared" si="3363"/>
        <v>0.27766565728648379</v>
      </c>
      <c r="AO1136" s="120">
        <f t="shared" si="3367"/>
        <v>0.20069935467409786</v>
      </c>
      <c r="AP1136" s="173">
        <f t="shared" si="3383"/>
        <v>126.65195543696294</v>
      </c>
      <c r="AQ1136" s="175">
        <f t="shared" si="3384"/>
        <v>0.20069935467409794</v>
      </c>
      <c r="AR1136" s="177">
        <f>+AC1136/$AE$56</f>
        <v>1.2214479016676961E-4</v>
      </c>
      <c r="AS1136" s="177">
        <f t="shared" si="3380"/>
        <v>2.4514380563273765E-5</v>
      </c>
      <c r="AT1136" s="177"/>
      <c r="AU1136" s="177"/>
      <c r="AV1136" s="177"/>
      <c r="AW1136" s="190"/>
      <c r="AX1136" s="120"/>
      <c r="AY1136" s="120"/>
      <c r="AZ1136" s="118">
        <f>IFERROR(INDEX('Total Customers'!$F$7:$AB$91,MATCH($C1136,'Total Customers'!$D$7:$D$91,0),MATCH($G1136,'Total Customers'!$F$5:$AB$5,0)),"NA")</f>
        <v>2996</v>
      </c>
      <c r="BA1136" s="119">
        <f t="shared" si="3341"/>
        <v>-3.3372267955310519E-4</v>
      </c>
      <c r="BB1136" s="119"/>
      <c r="BC1136" s="121"/>
      <c r="BD1136" s="119"/>
      <c r="BE1136" s="119"/>
      <c r="BF1136" s="119"/>
      <c r="BG1136" s="173"/>
      <c r="BH1136" s="173"/>
      <c r="BI1136" s="173"/>
      <c r="BJ1136" s="173"/>
      <c r="BK1136" s="173"/>
      <c r="BL1136" s="173"/>
      <c r="BM1136" s="173"/>
      <c r="BN1136" s="173"/>
      <c r="BO1136" s="173"/>
      <c r="BP1136" s="173"/>
      <c r="BQ1136" s="118"/>
      <c r="BR1136" s="118"/>
      <c r="BS1136" s="118">
        <f>INDEX('Dist. Plant Gas Additions'!$F$7:$AE$91,MATCH($C1136,'Dist. Plant Gas Additions'!$D$7:$D$91,0),MATCH(Calculation!$G1136,'Dist. Plant Gas Additions'!$F$5:$AE$5,0))</f>
        <v>309</v>
      </c>
      <c r="BT1136" s="118">
        <f>INDEX('Gen. Plant Additions'!$F$7:$AE$91,MATCH($C1136,'Gen. Plant Additions'!$D$7:$D$91,0),MATCH(Calculation!$G1136,'Gen. Plant Additions'!$F$5:$AE$5,0))</f>
        <v>108</v>
      </c>
      <c r="BU1136" s="118"/>
      <c r="BV1136" s="118"/>
      <c r="BW1136" s="118">
        <f>INDEX('Dist Plant Depreciation'!$E$7:$AD$94,MATCH($C1136,'Dist Plant Depreciation'!$D$7:$D$94,0),MATCH(Calculation!$G1136,'Dist Plant Depreciation'!$E$5:$AD$5,0))</f>
        <v>4806</v>
      </c>
      <c r="BX1136" s="118">
        <f>INDEX('Gen. Plant Depreciation'!$E$7:$AD$94,MATCH($C1136,'Gen. Plant Depreciation'!$D$7:$D$94,0),MATCH(Calculation!$G1136,'Gen. Plant Depreciation'!$E$5:$AD$5,0))</f>
        <v>526</v>
      </c>
      <c r="BY1136" s="118"/>
      <c r="BZ1136" s="118"/>
      <c r="CA1136" s="118"/>
      <c r="CB1136" s="118"/>
      <c r="CC1136" s="118"/>
      <c r="CD1136" s="183"/>
      <c r="CE1136" s="118">
        <f>INDEX('Gross Dx Plant'!$E$7:$AD$91,MATCH($C1136,'Gross Dx Plant'!$D$7:$D$91,0),MATCH(Calculation!$G1136,'Gross Dx Plant'!$E$5:$AD$5,0))</f>
        <v>6850</v>
      </c>
      <c r="CF1136" s="118">
        <f>INDEX('Gross Gen Plant'!$E$7:$AD$91,MATCH($C1136,'Gross Gen Plant'!$D$7:$D$91,0),MATCH(Calculation!$G1136,'Gross Gen Plant'!$E$5:$AD$5,0))</f>
        <v>875</v>
      </c>
      <c r="CG1136" s="118">
        <f t="shared" si="3352"/>
        <v>2393</v>
      </c>
      <c r="CH1136" s="118"/>
      <c r="CI1136" s="121">
        <v>2018</v>
      </c>
      <c r="CJ1136" s="118"/>
      <c r="CK1136" s="118"/>
      <c r="CL1136" s="118"/>
      <c r="CM1136" s="183"/>
      <c r="CN1136" s="118">
        <f t="shared" si="3342"/>
        <v>417</v>
      </c>
      <c r="CO1136" s="118">
        <f t="shared" si="3343"/>
        <v>0.55221788595393395</v>
      </c>
      <c r="CP1136" s="186">
        <v>0.86111111111111116</v>
      </c>
      <c r="CQ1136" s="118">
        <f>+CQ1116*CP1136++CO1117*CP1135+CO1118*CP1134+CO1119*CP1133+CO1120*CP1132+CO1121*CP1131+CO1122*CP1130+CO1123*CP1129+CO1124*CP1128+CO1125*CP1127+CO1126*CP1126+CO1127*CP1125+CO1128*CP1124+CO1129*CP1123+CO1130*CP1122+CO1131*CP1121+CO1132*CP1120+CO1133*CP1119+CO1134*CP1118+CO1135*CP1117+CO1136</f>
        <v>23.148232512791093</v>
      </c>
      <c r="CR1136" s="119">
        <f t="shared" si="3344"/>
        <v>1.3875855098276789E-2</v>
      </c>
      <c r="CS1136" s="119"/>
      <c r="CT1136" s="177">
        <f t="shared" si="3345"/>
        <v>1.0216479966307699E-2</v>
      </c>
      <c r="CU1136" s="177">
        <f t="shared" si="3354"/>
        <v>9.7955365484454059E-3</v>
      </c>
      <c r="CV1136" s="119">
        <f>VLOOKUP($H1136,RoR!$E:$F,2,FALSE)</f>
        <v>3.9299999999999995E-2</v>
      </c>
      <c r="CW1136" s="177">
        <v>2.386056741932796E-2</v>
      </c>
      <c r="CX1136" s="177">
        <f t="shared" si="3351"/>
        <v>1.5439432580672034E-2</v>
      </c>
      <c r="CY1136" s="177">
        <f t="shared" si="3355"/>
        <v>2.1106405060088221E-2</v>
      </c>
      <c r="CZ1136" s="177">
        <f t="shared" si="3356"/>
        <v>3.8270792163076606E-2</v>
      </c>
      <c r="DA1136" s="187">
        <f t="shared" si="3346"/>
        <v>0.90784375000000006</v>
      </c>
      <c r="DB1136" s="188">
        <f t="shared" si="3347"/>
        <v>1.3048868010700074</v>
      </c>
      <c r="DC1136" s="188">
        <f t="shared" si="3348"/>
        <v>0.33886768447837151</v>
      </c>
      <c r="DD1136" s="188">
        <f t="shared" si="3349"/>
        <v>0.78602506232557801</v>
      </c>
      <c r="DE1136" s="188">
        <f t="shared" si="3350"/>
        <v>0.34756768162358759</v>
      </c>
      <c r="DF1136" s="189">
        <f>INDEX('State Tax Lookup'!$D$7:$Z$91,MATCH(Calculation!$C1136,'State Tax Lookup'!$B$7:$B$91,0),MATCH($H1136,'State Tax Lookup'!$D$6:$Z$6,0))</f>
        <v>0.24574999999999997</v>
      </c>
      <c r="DG1136" s="189">
        <v>0.375</v>
      </c>
      <c r="DH1136" s="190">
        <f t="shared" si="3353"/>
        <v>19.137780253449709</v>
      </c>
      <c r="DI1136" s="190">
        <v>18.653251407454974</v>
      </c>
      <c r="DJ1136" s="177"/>
      <c r="DK1136" s="189">
        <f>VLOOKUP($H1136,RoR!$E:$F,2,FALSE)</f>
        <v>3.9299999999999995E-2</v>
      </c>
      <c r="DL1136" s="191">
        <f>HLOOKUP($H1136,'GDP-PI'!$D$8:$CQ$11,3,FALSE)</f>
        <v>2.386056741932796E-2</v>
      </c>
      <c r="DM1136" s="189">
        <f>VLOOKUP(H1136,'HW Dx Data'!$E:$F,2,FALSE)</f>
        <v>755.13671434174842</v>
      </c>
      <c r="DN1136" s="183">
        <f>VLOOKUP(H1136,'ECI - Input Price'!$G$17:$H$37,2,FALSE)</f>
        <v>133.25</v>
      </c>
      <c r="DO1136" s="177">
        <f t="shared" ref="DO1136" si="3405">LN(DN1136/DN1135)</f>
        <v>2.8546181906361531E-2</v>
      </c>
      <c r="DP1136" s="183">
        <f>HLOOKUP(H1136,'GDP-PI'!$8:$9,2,FALSE)</f>
        <v>110.322</v>
      </c>
      <c r="DQ1136" s="177">
        <f t="shared" ref="DQ1136" si="3406">LN(DP1136/DP1135)</f>
        <v>2.3580352716508712E-2</v>
      </c>
    </row>
    <row r="1137" spans="1:121" s="167" customFormat="1" ht="21" x14ac:dyDescent="0.35">
      <c r="A1137" s="167" t="s">
        <v>109</v>
      </c>
      <c r="B1137" s="167" t="s">
        <v>109</v>
      </c>
      <c r="C1137" s="167">
        <v>4063179</v>
      </c>
      <c r="D1137" s="168" t="s">
        <v>147</v>
      </c>
      <c r="E1137" s="168"/>
      <c r="F1137" s="198"/>
      <c r="G1137" s="167" t="s">
        <v>25</v>
      </c>
      <c r="H1137" s="169">
        <v>2019</v>
      </c>
      <c r="I1137" s="170"/>
      <c r="J1137" s="166">
        <f>IFERROR(INDEX('Labor Expenditures'!$F$7:$X$91,MATCH($C1137,'Labor Expenditures'!$D$7:$D$91,0),MATCH($G1137,'Labor Expenditures'!$F$5:$X$5,0)),"NA")</f>
        <v>427.26194463761101</v>
      </c>
      <c r="K1137" s="166">
        <f t="shared" si="3359"/>
        <v>3.1221187039650058</v>
      </c>
      <c r="L1137" s="172">
        <f t="shared" si="3366"/>
        <v>-0.1096908056553797</v>
      </c>
      <c r="M1137" s="172">
        <f t="shared" si="3370"/>
        <v>-1.2309152500996921E-5</v>
      </c>
      <c r="N1137" s="196"/>
      <c r="O1137" s="172"/>
      <c r="P1137" s="166">
        <f>IFERROR(INDEX('Non-Labor Expenditures'!$F$7:$AB$91,MATCH($C1137,'Non-Labor Expenditures'!$D$7:$D$91,0),MATCH($G1137,'Non-Labor Expenditures'!$F$5:$AB$5,0)),"NA")</f>
        <v>618.75509735873709</v>
      </c>
      <c r="Q1137" s="166">
        <f t="shared" si="3360"/>
        <v>5.5089575790054761</v>
      </c>
      <c r="R1137" s="172">
        <f t="shared" si="3371"/>
        <v>-0.10096320466604763</v>
      </c>
      <c r="S1137" s="172">
        <f t="shared" si="3376"/>
        <v>-1.1329768942788266E-5</v>
      </c>
      <c r="T1137" s="172"/>
      <c r="U1137" s="172"/>
      <c r="V1137" s="166">
        <f t="shared" si="3340"/>
        <v>444.80991190734426</v>
      </c>
      <c r="W1137" s="170"/>
      <c r="X1137" s="174">
        <v>23.441640192512683</v>
      </c>
      <c r="Y1137" s="175">
        <v>1.2595508066039275E-2</v>
      </c>
      <c r="Z1137" s="175">
        <f t="shared" si="3377"/>
        <v>1.4134277589273084E-6</v>
      </c>
      <c r="AA1137" s="175"/>
      <c r="AB1137" s="175"/>
      <c r="AC1137" s="170">
        <f t="shared" si="3252"/>
        <v>1490.8269539036924</v>
      </c>
      <c r="AD1137" s="175">
        <f t="shared" si="3372"/>
        <v>-5.395829137039794E-2</v>
      </c>
      <c r="AE1137" s="170"/>
      <c r="AF1137" s="170"/>
      <c r="AG1137" s="121">
        <f t="shared" si="3373"/>
        <v>591.36332959289655</v>
      </c>
      <c r="AH1137" s="119">
        <f>+AZ1137/$BB$57</f>
        <v>6.6024859289265573E-5</v>
      </c>
      <c r="AI1137" s="119"/>
      <c r="AJ1137" s="176">
        <f t="shared" si="3378"/>
        <v>3.9044680625202575E-2</v>
      </c>
      <c r="AK1137" s="176">
        <f t="shared" si="3379"/>
        <v>0</v>
      </c>
      <c r="AL1137" s="120">
        <f t="shared" si="3361"/>
        <v>0.28659392260036387</v>
      </c>
      <c r="AM1137" s="120">
        <f t="shared" si="3362"/>
        <v>0.41504152828639346</v>
      </c>
      <c r="AN1137" s="120">
        <f t="shared" si="3363"/>
        <v>0.29836454911324273</v>
      </c>
      <c r="AO1137" s="120">
        <f t="shared" si="3367"/>
        <v>-7.0794752694897489E-2</v>
      </c>
      <c r="AP1137" s="173">
        <f t="shared" si="3383"/>
        <v>117.99568586431032</v>
      </c>
      <c r="AQ1137" s="175">
        <f t="shared" si="3384"/>
        <v>-7.0794752694897503E-2</v>
      </c>
      <c r="AR1137" s="177">
        <f>+AC1137/$AE$57</f>
        <v>1.1221681185995765E-4</v>
      </c>
      <c r="AS1137" s="177">
        <f t="shared" si="3380"/>
        <v>-7.9443614438355435E-6</v>
      </c>
      <c r="AT1137" s="177"/>
      <c r="AU1137" s="177"/>
      <c r="AV1137" s="177"/>
      <c r="AW1137" s="190"/>
      <c r="AX1137" s="120"/>
      <c r="AY1137" s="120"/>
      <c r="AZ1137" s="118">
        <f>IFERROR(INDEX('Total Customers'!$F$7:$AB$91,MATCH($C1137,'Total Customers'!$D$7:$D$91,0),MATCH($G1137,'Total Customers'!$F$5:$AB$5,0)),"NA")</f>
        <v>2521</v>
      </c>
      <c r="BA1137" s="119">
        <f t="shared" si="3341"/>
        <v>-0.1726224174491903</v>
      </c>
      <c r="BB1137" s="119"/>
      <c r="BC1137" s="121"/>
      <c r="BD1137" s="119"/>
      <c r="BE1137" s="119"/>
      <c r="BF1137" s="119"/>
      <c r="BG1137" s="173"/>
      <c r="BH1137" s="173"/>
      <c r="BI1137" s="173"/>
      <c r="BJ1137" s="173"/>
      <c r="BK1137" s="173"/>
      <c r="BL1137" s="173"/>
      <c r="BM1137" s="173"/>
      <c r="BN1137" s="173"/>
      <c r="BO1137" s="173"/>
      <c r="BP1137" s="173"/>
      <c r="BQ1137" s="118"/>
      <c r="BR1137" s="118"/>
      <c r="BS1137" s="118" t="str">
        <f>INDEX('Dist. Plant Gas Additions'!$F$7:$AE$91,MATCH($C1137,'Dist. Plant Gas Additions'!$D$7:$D$91,0),MATCH(Calculation!$G1137,'Dist. Plant Gas Additions'!$F$5:$AE$5,0))</f>
        <v>NA</v>
      </c>
      <c r="BT1137" s="118" t="str">
        <f>INDEX('Gen. Plant Additions'!$F$7:$AE$91,MATCH($C1137,'Gen. Plant Additions'!$D$7:$D$91,0),MATCH(Calculation!$G1137,'Gen. Plant Additions'!$F$5:$AE$5,0))</f>
        <v>NA</v>
      </c>
      <c r="BU1137" s="118"/>
      <c r="BV1137" s="118"/>
      <c r="BW1137" s="118" t="str">
        <f>INDEX('Dist Plant Depreciation'!$E$7:$AD$94,MATCH($C1137,'Dist Plant Depreciation'!$D$7:$D$94,0),MATCH(Calculation!$G1137,'Dist Plant Depreciation'!$E$5:$AD$5,0))</f>
        <v>NA</v>
      </c>
      <c r="BX1137" s="118" t="str">
        <f>INDEX('Gen. Plant Depreciation'!$E$7:$AD$94,MATCH($C1137,'Gen. Plant Depreciation'!$D$7:$D$94,0),MATCH(Calculation!$G1137,'Gen. Plant Depreciation'!$E$5:$AD$5,0))</f>
        <v>NA</v>
      </c>
      <c r="BY1137" s="118"/>
      <c r="BZ1137" s="118"/>
      <c r="CA1137" s="118"/>
      <c r="CB1137" s="118"/>
      <c r="CC1137" s="118"/>
      <c r="CD1137" s="183"/>
      <c r="CE1137" s="118">
        <f>INDEX('Gross Dx Plant'!$E$7:$AD$91,MATCH($C1137,'Gross Dx Plant'!$D$7:$D$91,0),MATCH(Calculation!$G1137,'Gross Dx Plant'!$E$5:$AD$5,0))</f>
        <v>7262</v>
      </c>
      <c r="CF1137" s="118">
        <f>INDEX('Gross Gen Plant'!$E$7:$AD$91,MATCH($C1137,'Gross Gen Plant'!$D$7:$D$91,0),MATCH(Calculation!$G1137,'Gross Gen Plant'!$E$5:$AD$5,0))</f>
        <v>940</v>
      </c>
      <c r="CG1137" s="118" t="str">
        <f t="shared" si="3352"/>
        <v>NA</v>
      </c>
      <c r="CH1137" s="118"/>
      <c r="CI1137" s="121">
        <v>2019</v>
      </c>
      <c r="CJ1137" s="118"/>
      <c r="CK1137" s="118"/>
      <c r="CL1137" s="118"/>
      <c r="CM1137" s="183"/>
      <c r="CN1137" s="118">
        <v>417</v>
      </c>
      <c r="CO1137" s="118">
        <f t="shared" si="3343"/>
        <v>0.53908056269518079</v>
      </c>
      <c r="CP1137" s="186">
        <v>0.85106382978723405</v>
      </c>
      <c r="CQ1137" s="118">
        <f>CQ1116*CP1137+CO1117*CP1136+CO1118*CP1135+CO1119*CP1134+CO1120*CP1133+CO1121*CP1132+CO1122*CP1131+CO1123*CP1130+CO1124*CP1129+CO1125*CP1128+CO1126*CP1127+CO1127*CP1126+CO1128*CP1125+CO1129*CP1124+CO1130*CP1123+CO1131*CP1122+CO1132*CP1121+CO1133*CP1120+CO1134*CP1119+CO1135*CP1118+CO1136*CP1117+CO1137</f>
        <v>23.441640192512683</v>
      </c>
      <c r="CR1137" s="119">
        <f t="shared" si="3344"/>
        <v>1.2595508066039275E-2</v>
      </c>
      <c r="CS1137" s="119"/>
      <c r="CT1137" s="177">
        <f t="shared" si="3345"/>
        <v>1.0613029864713823E-2</v>
      </c>
      <c r="CU1137" s="177">
        <f t="shared" si="3354"/>
        <v>1.0200797852409672E-2</v>
      </c>
      <c r="CV1137" s="119">
        <f>VLOOKUP($H1137,RoR!$E:$F,2,FALSE)</f>
        <v>3.3875000000000009E-2</v>
      </c>
      <c r="CW1137" s="177">
        <v>1.8092492884465461E-2</v>
      </c>
      <c r="CX1137" s="177">
        <f t="shared" si="3351"/>
        <v>1.5782507115534548E-2</v>
      </c>
      <c r="CY1137" s="177">
        <f t="shared" si="3355"/>
        <v>2.0701143756123953E-2</v>
      </c>
      <c r="CZ1137" s="177">
        <f t="shared" si="3356"/>
        <v>4.8445665544254078E-2</v>
      </c>
      <c r="DA1137" s="187">
        <f t="shared" si="3346"/>
        <v>0.90784375000000006</v>
      </c>
      <c r="DB1137" s="188">
        <f t="shared" si="3347"/>
        <v>1.513861292459078</v>
      </c>
      <c r="DC1137" s="188">
        <f t="shared" si="3348"/>
        <v>0.23699261992619944</v>
      </c>
      <c r="DD1137" s="188">
        <f t="shared" si="3349"/>
        <v>0.73619765810468829</v>
      </c>
      <c r="DE1137" s="188">
        <f t="shared" si="3350"/>
        <v>0.26412854465362851</v>
      </c>
      <c r="DF1137" s="189">
        <f>INDEX('State Tax Lookup'!$D$7:$Z$91,MATCH(Calculation!$C1137,'State Tax Lookup'!$B$7:$B$91,0),MATCH($H1137,'State Tax Lookup'!$D$6:$Z$6,0))</f>
        <v>0.24574999999999997</v>
      </c>
      <c r="DG1137" s="189">
        <v>0.375</v>
      </c>
      <c r="DH1137" s="190">
        <f t="shared" si="3353"/>
        <v>19.21571816170216</v>
      </c>
      <c r="DI1137" s="190">
        <v>18.73969901931715</v>
      </c>
      <c r="DJ1137" s="177"/>
      <c r="DK1137" s="189">
        <f>VLOOKUP($H1137,RoR!$E:$F,2,FALSE)</f>
        <v>3.3875000000000009E-2</v>
      </c>
      <c r="DL1137" s="191">
        <f>HLOOKUP($H1137,'GDP-PI'!$D$8:$CQ$11,3,FALSE)</f>
        <v>1.8092492884465461E-2</v>
      </c>
      <c r="DM1137" s="189">
        <f>VLOOKUP(H1137,'HW Dx Data'!$E:$F,2,FALSE)</f>
        <v>773.53929793938721</v>
      </c>
      <c r="DN1137" s="183">
        <f>VLOOKUP(H1137,'ECI - Input Price'!$G$17:$H$37,2,FALSE)</f>
        <v>136.85</v>
      </c>
      <c r="DO1137" s="177">
        <f t="shared" ref="DO1137" si="3407">LN(DN1137/DN1136)</f>
        <v>2.6658372440734168E-2</v>
      </c>
      <c r="DP1137" s="183">
        <f>HLOOKUP(H1137,'GDP-PI'!$8:$9,2,FALSE)</f>
        <v>112.318</v>
      </c>
      <c r="DQ1137" s="177">
        <f t="shared" ref="DQ1137" si="3408">LN(DP1137/DP1136)</f>
        <v>1.7930771451401852E-2</v>
      </c>
    </row>
    <row r="1138" spans="1:121" s="167" customFormat="1" ht="21" x14ac:dyDescent="0.35">
      <c r="A1138" s="167" t="s">
        <v>109</v>
      </c>
      <c r="B1138" s="167" t="s">
        <v>109</v>
      </c>
      <c r="C1138" s="167">
        <v>4063179</v>
      </c>
      <c r="D1138" s="167" t="s">
        <v>147</v>
      </c>
      <c r="G1138" s="168" t="s">
        <v>26</v>
      </c>
      <c r="H1138" s="169">
        <v>2020</v>
      </c>
      <c r="I1138" s="170"/>
      <c r="J1138" s="166">
        <f>IFERROR(INDEX('Labor Expenditures'!$F$7:$X$91,MATCH($C1138,'Labor Expenditures'!$D$7:$D$91,0),MATCH($G1138,'Labor Expenditures'!$F$5:$X$5,0)),"NA")</f>
        <v>404.65343708141523</v>
      </c>
      <c r="K1138" s="166">
        <f t="shared" si="3359"/>
        <v>2.8811209475358868</v>
      </c>
      <c r="L1138" s="172">
        <f t="shared" si="3366"/>
        <v>-8.033240682350834E-2</v>
      </c>
      <c r="M1138" s="172">
        <f t="shared" si="3370"/>
        <v>-8.5315535886954314E-6</v>
      </c>
      <c r="N1138" s="196"/>
      <c r="O1138" s="172"/>
      <c r="P1138" s="166">
        <f>IFERROR(INDEX('Non-Labor Expenditures'!$F$7:$AB$91,MATCH($C1138,'Non-Labor Expenditures'!$D$7:$D$91,0),MATCH($G1138,'Non-Labor Expenditures'!$F$5:$AB$5,0)),"NA")</f>
        <v>586.01375573062955</v>
      </c>
      <c r="Q1138" s="166">
        <f t="shared" si="3360"/>
        <v>5.1575275756724386</v>
      </c>
      <c r="R1138" s="172">
        <f t="shared" si="3371"/>
        <v>-6.5918105491336518E-2</v>
      </c>
      <c r="S1138" s="172">
        <f t="shared" si="3376"/>
        <v>-7.000709572914739E-6</v>
      </c>
      <c r="T1138" s="172"/>
      <c r="U1138" s="172"/>
      <c r="V1138" s="166">
        <f t="shared" si="3340"/>
        <v>463.96204139647227</v>
      </c>
      <c r="W1138" s="170"/>
      <c r="X1138" s="174">
        <v>23.490364328830506</v>
      </c>
      <c r="Y1138" s="175">
        <v>2.0763721609681719E-3</v>
      </c>
      <c r="Z1138" s="175">
        <f t="shared" si="3377"/>
        <v>2.2051723659039308E-7</v>
      </c>
      <c r="AA1138" s="175"/>
      <c r="AB1138" s="175"/>
      <c r="AC1138" s="170">
        <f t="shared" si="3252"/>
        <v>1454.6292342085171</v>
      </c>
      <c r="AD1138" s="175">
        <f t="shared" si="3372"/>
        <v>-2.4579922319267984E-2</v>
      </c>
      <c r="AE1138" s="170"/>
      <c r="AF1138" s="170"/>
      <c r="AG1138" s="121">
        <f t="shared" si="3373"/>
        <v>539.75110731299333</v>
      </c>
      <c r="AH1138" s="119">
        <f>+AZ1138/$BB$58</f>
        <v>7.0085675642556921E-5</v>
      </c>
      <c r="AI1138" s="119"/>
      <c r="AJ1138" s="176">
        <f t="shared" si="3378"/>
        <v>3.7828821034849386E-2</v>
      </c>
      <c r="AK1138" s="176">
        <f t="shared" si="3379"/>
        <v>0</v>
      </c>
      <c r="AL1138" s="120">
        <f t="shared" si="3361"/>
        <v>0.27818321505245458</v>
      </c>
      <c r="AM1138" s="120">
        <f t="shared" si="3362"/>
        <v>0.40286125285354063</v>
      </c>
      <c r="AN1138" s="120">
        <f t="shared" si="3363"/>
        <v>0.31895553209400479</v>
      </c>
      <c r="AO1138" s="120">
        <f t="shared" si="3367"/>
        <v>-4.9001361182178571E-2</v>
      </c>
      <c r="AP1138" s="173">
        <f t="shared" si="3383"/>
        <v>112.35311253267032</v>
      </c>
      <c r="AQ1138" s="175">
        <f t="shared" si="3384"/>
        <v>-4.9001361182178578E-2</v>
      </c>
      <c r="AR1138" s="177">
        <f>+AC1138/$AE$58</f>
        <v>1.0620313676695135E-4</v>
      </c>
      <c r="AS1138" s="177">
        <f t="shared" si="3380"/>
        <v>-5.2040982633976922E-6</v>
      </c>
      <c r="AT1138" s="177"/>
      <c r="AU1138" s="177"/>
      <c r="AV1138" s="177"/>
      <c r="AW1138" s="190"/>
      <c r="AX1138" s="120"/>
      <c r="AY1138" s="120"/>
      <c r="AZ1138" s="118">
        <f>IFERROR(INDEX('Total Customers'!$F$7:$AB$91,MATCH($C1138,'Total Customers'!$D$7:$D$91,0),MATCH($G1138,'Total Customers'!$F$5:$AB$5,0)),"NA")</f>
        <v>2695</v>
      </c>
      <c r="BA1138" s="119">
        <f t="shared" si="3341"/>
        <v>6.6742556155177768E-2</v>
      </c>
      <c r="BB1138" s="119"/>
      <c r="BC1138" s="121"/>
      <c r="BD1138" s="119"/>
      <c r="BE1138" s="119"/>
      <c r="BF1138" s="119"/>
      <c r="BG1138" s="173"/>
      <c r="BH1138" s="173"/>
      <c r="BI1138" s="173"/>
      <c r="BJ1138" s="173"/>
      <c r="BK1138" s="173"/>
      <c r="BL1138" s="173"/>
      <c r="BM1138" s="173"/>
      <c r="BN1138" s="173"/>
      <c r="BO1138" s="173"/>
      <c r="BP1138" s="173"/>
      <c r="BQ1138" s="118"/>
      <c r="BR1138" s="118"/>
      <c r="BS1138" s="118">
        <f>INDEX('Dist. Plant Gas Additions'!$F$7:$AE$91,MATCH($C1138,'Dist. Plant Gas Additions'!$D$7:$D$91,0),MATCH(Calculation!$G1138,'Dist. Plant Gas Additions'!$F$5:$AE$5,0))</f>
        <v>236</v>
      </c>
      <c r="BT1138" s="118">
        <f>INDEX('Gen. Plant Additions'!$F$7:$AE$91,MATCH($C1138,'Gen. Plant Additions'!$D$7:$D$91,0),MATCH(Calculation!$G1138,'Gen. Plant Additions'!$F$5:$AE$5,0))</f>
        <v>14</v>
      </c>
      <c r="BU1138" s="118"/>
      <c r="BV1138" s="118"/>
      <c r="BW1138" s="118">
        <f>INDEX('Dist Plant Depreciation'!$E$7:$AD$94,MATCH($C1138,'Dist Plant Depreciation'!$D$7:$D$94,0),MATCH(Calculation!$G1138,'Dist Plant Depreciation'!$E$5:$AD$5,0))</f>
        <v>5071</v>
      </c>
      <c r="BX1138" s="118">
        <f>INDEX('Gen. Plant Depreciation'!$E$7:$AD$94,MATCH($C1138,'Gen. Plant Depreciation'!$D$7:$D$94,0),MATCH(Calculation!$G1138,'Gen. Plant Depreciation'!$E$5:$AD$5,0))</f>
        <v>592</v>
      </c>
      <c r="BY1138" s="118"/>
      <c r="BZ1138" s="118"/>
      <c r="CA1138" s="118"/>
      <c r="CB1138" s="118"/>
      <c r="CC1138" s="118"/>
      <c r="CD1138" s="183"/>
      <c r="CE1138" s="118">
        <f>INDEX('Gross Dx Plant'!$E$7:$AD$91,MATCH($C1138,'Gross Dx Plant'!$D$7:$D$91,0),MATCH(Calculation!$G1138,'Gross Dx Plant'!$E$5:$AD$5,0))</f>
        <v>7303</v>
      </c>
      <c r="CF1138" s="118">
        <f>INDEX('Gross Gen Plant'!$E$7:$AD$91,MATCH($C1138,'Gross Gen Plant'!$D$7:$D$91,0),MATCH(Calculation!$G1138,'Gross Gen Plant'!$E$5:$AD$5,0))</f>
        <v>919</v>
      </c>
      <c r="CG1138" s="118">
        <f t="shared" si="3352"/>
        <v>2559</v>
      </c>
      <c r="CH1138" s="118"/>
      <c r="CI1138" s="121">
        <v>2020</v>
      </c>
      <c r="CJ1138" s="118"/>
      <c r="CK1138" s="118"/>
      <c r="CL1138" s="118"/>
      <c r="CM1138" s="183"/>
      <c r="CN1138" s="118">
        <f>+BT1138+BS1138</f>
        <v>250</v>
      </c>
      <c r="CO1138" s="118">
        <f t="shared" si="3343"/>
        <v>0.30747275796764717</v>
      </c>
      <c r="CP1138" s="186">
        <v>0.84057971014492749</v>
      </c>
      <c r="CQ1138" s="118">
        <f>CQ1116*CP1138+CO1117*CP1137+CO1118*CP1136+CO1119*CP1135+CO1120*CP1134+CO1121*CP1133+CO1122*CP1132+CO1123*CP1131+CO1124*CP1130+CO1125*CP1129+CO1126*CP1128+CO1127*CP1127+CO1128*CP1126+CO1129*CP1125+CO1130*CP1124+CO1131*CP1123+CO1132*CP1122+CO1133*CP1121+CO1134*CP1120+CO1135*CP1119+CO1136*CP1118+CO1137*CP1117+CO1138</f>
        <v>23.490364328830506</v>
      </c>
      <c r="CR1138" s="119">
        <f t="shared" si="3344"/>
        <v>2.0763721609681719E-3</v>
      </c>
      <c r="CS1138" s="119"/>
      <c r="CT1138" s="177">
        <f t="shared" si="3345"/>
        <v>1.1037991348935955E-2</v>
      </c>
      <c r="CU1138" s="177">
        <f t="shared" si="3354"/>
        <v>1.062250039331916E-2</v>
      </c>
      <c r="CV1138" s="119">
        <f>VLOOKUP($H1138,RoR!$E:$F,2,FALSE)</f>
        <v>2.4766666666666666E-2</v>
      </c>
      <c r="CW1138" s="177">
        <v>1.1618796630994188E-2</v>
      </c>
      <c r="CX1138" s="177">
        <f t="shared" si="3351"/>
        <v>1.3147870035672478E-2</v>
      </c>
      <c r="CY1138" s="177">
        <f t="shared" si="3355"/>
        <v>2.0279441215214467E-2</v>
      </c>
      <c r="CZ1138" s="177">
        <f t="shared" si="3356"/>
        <v>4.5144642961987357E-2</v>
      </c>
      <c r="DA1138" s="187">
        <f t="shared" si="3346"/>
        <v>0.90784375000000006</v>
      </c>
      <c r="DB1138" s="188">
        <f t="shared" si="3347"/>
        <v>2.0706077233668081</v>
      </c>
      <c r="DC1138" s="188">
        <f t="shared" si="3348"/>
        <v>-3.4421265141318998E-2</v>
      </c>
      <c r="DD1138" s="188">
        <f t="shared" si="3349"/>
        <v>0.62416226176410472</v>
      </c>
      <c r="DE1138" s="188">
        <f t="shared" si="3350"/>
        <v>-4.4485877841158712E-2</v>
      </c>
      <c r="DF1138" s="189">
        <f>INDEX('State Tax Lookup'!$D$7:$Z$91,MATCH(Calculation!$C1138,'State Tax Lookup'!$B$7:$B$91,0),MATCH($H1138,'State Tax Lookup'!$D$6:$Z$6,0))</f>
        <v>0.24574999999999997</v>
      </c>
      <c r="DG1138" s="189">
        <v>0.375</v>
      </c>
      <c r="DH1138" s="190">
        <f t="shared" si="3353"/>
        <v>19.792217506378368</v>
      </c>
      <c r="DI1138" s="190">
        <v>19.326912877027439</v>
      </c>
      <c r="DJ1138" s="177"/>
      <c r="DK1138" s="189">
        <f>VLOOKUP($H1138,RoR!$E:$F,2,FALSE)</f>
        <v>2.4766666666666666E-2</v>
      </c>
      <c r="DL1138" s="191">
        <f>HLOOKUP($H1138,'GDP-PI'!$D$8:$CQ$11,3,FALSE)</f>
        <v>1.1618796630994188E-2</v>
      </c>
      <c r="DM1138" s="189">
        <f>VLOOKUP(H1138,'HW Dx Data'!$E:$F,2,FALSE)</f>
        <v>813.080162458833</v>
      </c>
      <c r="DN1138" s="183">
        <f>VLOOKUP(H1138,'ECI - Input Price'!$G$17:$H$37,2,FALSE)</f>
        <v>140.44999999999999</v>
      </c>
      <c r="DO1138" s="177">
        <f t="shared" ref="DO1138" si="3409">LN(DN1138/DN1137)</f>
        <v>2.5966118063564539E-2</v>
      </c>
      <c r="DP1138" s="183">
        <f>HLOOKUP(H1138,'GDP-PI'!$8:$9,2,FALSE)</f>
        <v>113.623</v>
      </c>
      <c r="DQ1138" s="177">
        <f t="shared" ref="DQ1138" si="3410">LN(DP1138/DP1137)</f>
        <v>1.1551816731392881E-2</v>
      </c>
    </row>
    <row r="1139" spans="1:121" s="167" customFormat="1" ht="21" x14ac:dyDescent="0.35">
      <c r="A1139" s="167" t="s">
        <v>109</v>
      </c>
      <c r="B1139" s="167" t="s">
        <v>109</v>
      </c>
      <c r="C1139" s="167">
        <v>4063179</v>
      </c>
      <c r="D1139" s="167" t="s">
        <v>147</v>
      </c>
      <c r="G1139" s="168" t="s">
        <v>462</v>
      </c>
      <c r="H1139" s="169">
        <v>2021</v>
      </c>
      <c r="I1139" s="170"/>
      <c r="J1139" s="166">
        <f>IFERROR(INDEX('Labor Expenditures'!$E$7:$X$91,MATCH($C1139,'Labor Expenditures'!$D$7:$D$91,0),MATCH($G1139,'Labor Expenditures'!$E$5:$X$5,0)),"NA")</f>
        <v>442.96540952827968</v>
      </c>
      <c r="K1139" s="166">
        <f t="shared" si="3359"/>
        <v>3.0449589931485108</v>
      </c>
      <c r="L1139" s="171">
        <f t="shared" si="3366"/>
        <v>5.5307997808254739E-2</v>
      </c>
      <c r="M1139" s="172">
        <f t="shared" si="3370"/>
        <v>6.2673263198835176E-6</v>
      </c>
      <c r="N1139" s="196"/>
      <c r="O1139" s="172"/>
      <c r="P1139" s="166">
        <f>IFERROR(INDEX('Non-Labor Expenditures'!$E$7:$AB$91,MATCH($C1139,'Non-Labor Expenditures'!$D$7:$D$91,0),MATCH($G1139,'Non-Labor Expenditures'!$E$5:$AB$5,0)),"NA")</f>
        <v>624.42111945552688</v>
      </c>
      <c r="Q1139" s="166">
        <f t="shared" si="3360"/>
        <v>5.2698212461433611</v>
      </c>
      <c r="R1139" s="172">
        <f t="shared" si="3371"/>
        <v>2.1539130178118201E-2</v>
      </c>
      <c r="S1139" s="172">
        <f t="shared" si="3376"/>
        <v>2.4407456936105149E-6</v>
      </c>
      <c r="T1139" s="172"/>
      <c r="U1139" s="172"/>
      <c r="V1139" s="166">
        <f t="shared" si="3340"/>
        <v>603.85831252046466</v>
      </c>
      <c r="W1139" s="170"/>
      <c r="X1139" s="174">
        <v>23.907300442845109</v>
      </c>
      <c r="Y1139" s="175"/>
      <c r="Z1139" s="175">
        <f t="shared" si="3377"/>
        <v>0</v>
      </c>
      <c r="AA1139" s="175"/>
      <c r="AB1139" s="175"/>
      <c r="AC1139" s="170">
        <f t="shared" si="3252"/>
        <v>1671.2448415042713</v>
      </c>
      <c r="AD1139" s="175">
        <f t="shared" si="3372"/>
        <v>0.13881771651895522</v>
      </c>
      <c r="AE1139" s="118"/>
      <c r="AF1139" s="119"/>
      <c r="AG1139" s="121">
        <f t="shared" si="3373"/>
        <v>620.12795603126949</v>
      </c>
      <c r="AH1139" s="119">
        <f>+AZ1139/$BB$59</f>
        <v>6.9144805212901971E-5</v>
      </c>
      <c r="AI1139" s="119"/>
      <c r="AJ1139" s="176">
        <f t="shared" si="3378"/>
        <v>4.2878626726857168E-2</v>
      </c>
      <c r="AK1139" s="176">
        <f t="shared" si="3379"/>
        <v>0</v>
      </c>
      <c r="AL1139" s="120">
        <f t="shared" si="3361"/>
        <v>0.26505117534398537</v>
      </c>
      <c r="AM1139" s="120">
        <f t="shared" si="3362"/>
        <v>0.37362635560537705</v>
      </c>
      <c r="AN1139" s="120">
        <f t="shared" si="3363"/>
        <v>0.36132246905063753</v>
      </c>
      <c r="AO1139" s="120">
        <f t="shared" si="3367"/>
        <v>2.3385037076853601E-2</v>
      </c>
      <c r="AP1139" s="173">
        <f t="shared" si="3383"/>
        <v>115.01145581908369</v>
      </c>
      <c r="AQ1139" s="175">
        <f t="shared" si="3384"/>
        <v>2.3385037076853674E-2</v>
      </c>
      <c r="AR1139" s="177">
        <f>+AC1139/$AE$59</f>
        <v>1.1331681796928322E-4</v>
      </c>
      <c r="AS1139" s="177">
        <f t="shared" si="3380"/>
        <v>2.6499179896427669E-6</v>
      </c>
      <c r="AT1139" s="177"/>
      <c r="AU1139" s="177"/>
      <c r="AV1139" s="177"/>
      <c r="AW1139" s="190"/>
      <c r="AX1139" s="120"/>
      <c r="AY1139" s="120"/>
      <c r="AZ1139" s="118">
        <f>INDEX('Total Customers'!$E$7:$E$91,MATCH(Calculation!$C1139,'Total Customers'!$D$7:$D$91,0))</f>
        <v>2695</v>
      </c>
      <c r="BA1139" s="119">
        <f t="shared" si="3341"/>
        <v>0</v>
      </c>
      <c r="BB1139" s="118"/>
      <c r="BC1139" s="121"/>
      <c r="BD1139" s="118"/>
      <c r="BE1139" s="119"/>
      <c r="BF1139" s="119"/>
      <c r="BG1139" s="173"/>
      <c r="BH1139" s="173"/>
      <c r="BI1139" s="173"/>
      <c r="BJ1139" s="173"/>
      <c r="BK1139" s="173"/>
      <c r="BL1139" s="173"/>
      <c r="BM1139" s="173"/>
      <c r="BN1139" s="173"/>
      <c r="BO1139" s="173"/>
      <c r="BP1139" s="173"/>
      <c r="BQ1139" s="118"/>
      <c r="BR1139" s="118"/>
      <c r="BS1139" s="118">
        <f>INDEX('Dist. Plant Gas Additions'!$E$7:$AE$91,MATCH($C1139,'Dist. Plant Gas Additions'!$D$7:$D$91,0),MATCH(Calculation!$G1139,'Dist. Plant Gas Additions'!$E$5:$AE$5,0))</f>
        <v>309</v>
      </c>
      <c r="BT1139" s="118">
        <f>INDEX('Gen. Plant Additions'!$E$7:$AE$91,MATCH($C1139,'Gen. Plant Additions'!$D$7:$D$91,0),MATCH(Calculation!$G1139,'Gen. Plant Additions'!$E$5:$AE$5,0))</f>
        <v>127</v>
      </c>
      <c r="BU1139" s="118"/>
      <c r="BV1139" s="118"/>
      <c r="BW1139" s="118"/>
      <c r="BX1139" s="118"/>
      <c r="BY1139" s="183"/>
      <c r="BZ1139" s="183"/>
      <c r="CA1139" s="178"/>
      <c r="CB1139" s="184"/>
      <c r="CC1139" s="185"/>
      <c r="CD1139" s="185"/>
      <c r="CE1139" s="118"/>
      <c r="CF1139" s="118"/>
      <c r="CG1139" s="118"/>
      <c r="CH1139" s="118"/>
      <c r="CI1139" s="121">
        <v>2021</v>
      </c>
      <c r="CJ1139" s="118"/>
      <c r="CK1139" s="118"/>
      <c r="CL1139" s="118"/>
      <c r="CM1139" s="183"/>
      <c r="CN1139" s="118">
        <f t="shared" ref="CN1139" si="3411">+BT1139+BS1139</f>
        <v>436</v>
      </c>
      <c r="CO1139" s="118">
        <f t="shared" si="3343"/>
        <v>0.46729848461968454</v>
      </c>
      <c r="CP1139" s="186">
        <f>+(51-23)/(51-23*0.75)</f>
        <v>0.82962962962962961</v>
      </c>
      <c r="CQ1139" s="118">
        <f>CQ1116*CP1139+CO1117*CP1138+CO1118*CP1137+CO1119*CP1136+CO1120*CP1135+CO1121*CP1134+CO1122*CP1133+CO1123*CP1132+CO1124*CP1131+CO1125*CP1130+CO1126*CP1129+CO1127*CP1128+CO1128*CP1127+CO1129*CP1126+CO1130*CP1125+CO1121*CP1124+CO1132*CP1123+CO1133*CP1122+CO1134*CP1121+CO1135*CP1120+CO1136*CP1119+CO1137*CP1118+CO1139+CO1138*CP1117</f>
        <v>23.907300442845109</v>
      </c>
      <c r="CR1139" s="119"/>
      <c r="CS1139" s="118"/>
      <c r="CT1139" s="177">
        <f t="shared" si="3345"/>
        <v>2.1439586845091794E-3</v>
      </c>
      <c r="CU1139" s="177">
        <f t="shared" si="3354"/>
        <v>7.9316599660529865E-3</v>
      </c>
      <c r="CV1139" s="119">
        <f>VLOOKUP($H1139,RoR!$E:$F,2,FALSE)</f>
        <v>2.7033333333333336E-2</v>
      </c>
      <c r="CW1139" s="177"/>
      <c r="CX1139" s="177"/>
      <c r="CY1139" s="177">
        <f t="shared" si="3355"/>
        <v>2.297028164248064E-2</v>
      </c>
      <c r="CZ1139" s="177">
        <f t="shared" si="3356"/>
        <v>7.433422950153494E-2</v>
      </c>
      <c r="DA1139" s="187">
        <f t="shared" si="3346"/>
        <v>0.90784375000000006</v>
      </c>
      <c r="DB1139" s="188">
        <f t="shared" si="3347"/>
        <v>1.8969932656739068</v>
      </c>
      <c r="DC1139" s="188">
        <f t="shared" si="3348"/>
        <v>5.0215782983970621E-2</v>
      </c>
      <c r="DD1139" s="188">
        <f t="shared" si="3349"/>
        <v>0.655952481704143</v>
      </c>
      <c r="DE1139" s="188">
        <f t="shared" si="3350"/>
        <v>6.2485378865697057E-2</v>
      </c>
      <c r="DF1139" s="189">
        <f>DF1138</f>
        <v>0.24574999999999997</v>
      </c>
      <c r="DG1139" s="189">
        <v>0.375</v>
      </c>
      <c r="DH1139" s="190">
        <f t="shared" si="3353"/>
        <v>25.70663886125126</v>
      </c>
      <c r="DI1139" s="190"/>
      <c r="DJ1139" s="177">
        <f t="shared" ref="DJ1139" si="3412">LN(DH1139/DH1138)</f>
        <v>0.26146047479078044</v>
      </c>
      <c r="DK1139" s="189">
        <f>VLOOKUP($H1139,RoR!$E:$F,2,FALSE)</f>
        <v>2.7033333333333336E-2</v>
      </c>
      <c r="DL1139" s="191">
        <f>HLOOKUP($H1139,'GDP-PI'!$D$8:$CR$11,3,FALSE)</f>
        <v>4.2834637353352578E-2</v>
      </c>
      <c r="DM1139" s="189">
        <f>VLOOKUP(H1139,'HW Dx Data'!$E:$F,2,FALSE)</f>
        <v>933.02249921662576</v>
      </c>
      <c r="DN1139" s="183">
        <f>VLOOKUP(H1139,'ECI - Input Price'!$G$17:$H$37,2,FALSE)</f>
        <v>145.47500000000002</v>
      </c>
      <c r="DO1139" s="177">
        <f t="shared" ref="DO1139" si="3413">LN(DN1139/DN1138)</f>
        <v>3.5152696992481205E-2</v>
      </c>
      <c r="DP1139" s="183">
        <f>HLOOKUP(H1139,'GDP-PI'!$8:$9,2,FALSE)</f>
        <v>118.49</v>
      </c>
      <c r="DQ1139" s="177">
        <f t="shared" ref="DQ1139" si="3414">LN(DP1139/DP1138)</f>
        <v>4.194261824609434E-2</v>
      </c>
    </row>
    <row r="1140" spans="1:121" s="167" customFormat="1" ht="21" x14ac:dyDescent="0.35">
      <c r="A1140" s="167" t="s">
        <v>110</v>
      </c>
      <c r="B1140" s="167" t="s">
        <v>110</v>
      </c>
      <c r="C1140" s="167">
        <v>4063183</v>
      </c>
      <c r="D1140" s="168" t="s">
        <v>136</v>
      </c>
      <c r="E1140" s="168" t="s">
        <v>126</v>
      </c>
      <c r="F1140" s="198"/>
      <c r="G1140" s="167" t="s">
        <v>4</v>
      </c>
      <c r="H1140" s="169">
        <v>1998</v>
      </c>
      <c r="I1140" s="170"/>
      <c r="J1140" s="166"/>
      <c r="K1140" s="166"/>
      <c r="L1140" s="166"/>
      <c r="M1140" s="166"/>
      <c r="N1140" s="196"/>
      <c r="O1140" s="166"/>
      <c r="P1140" s="172"/>
      <c r="Q1140" s="172"/>
      <c r="R1140" s="172"/>
      <c r="S1140" s="166"/>
      <c r="T1140" s="172"/>
      <c r="U1140" s="172"/>
      <c r="V1140" s="166"/>
      <c r="W1140" s="170"/>
      <c r="X1140" s="174">
        <v>126.21490603776783</v>
      </c>
      <c r="Y1140" s="175"/>
      <c r="Z1140" s="166"/>
      <c r="AA1140" s="175"/>
      <c r="AB1140" s="175"/>
      <c r="AC1140" s="170">
        <f t="shared" si="3252"/>
        <v>0</v>
      </c>
      <c r="AD1140" s="170"/>
      <c r="AE1140" s="170"/>
      <c r="AF1140" s="119"/>
      <c r="AG1140" s="174"/>
      <c r="AH1140" s="175"/>
      <c r="AI1140" s="175"/>
      <c r="AJ1140" s="174"/>
      <c r="AK1140" s="174"/>
      <c r="AL1140" s="120"/>
      <c r="AM1140" s="120"/>
      <c r="AN1140" s="120"/>
      <c r="AO1140" s="120"/>
      <c r="AP1140" s="120"/>
      <c r="AQ1140" s="175">
        <f>AVERAGE(AQ1149:AQ1163)</f>
        <v>2.0353465996544726E-2</v>
      </c>
      <c r="AR1140" s="120"/>
      <c r="AS1140" s="120"/>
      <c r="AT1140" s="120"/>
      <c r="AU1140" s="120"/>
      <c r="AV1140" s="120"/>
      <c r="AW1140" s="120"/>
      <c r="AX1140" s="120"/>
      <c r="AY1140" s="120"/>
      <c r="AZ1140" s="118">
        <f>IFERROR(INDEX('Total Customers'!$F$7:$AB$91,MATCH($C1140,'Total Customers'!$D$7:$D$91,0),MATCH($G1140,'Total Customers'!$F$5:$AB$5,0)),"NA")</f>
        <v>14428</v>
      </c>
      <c r="BA1140" s="119"/>
      <c r="BB1140" s="119"/>
      <c r="BC1140" s="121"/>
      <c r="BD1140" s="119"/>
      <c r="BE1140" s="119"/>
      <c r="BF1140" s="119"/>
      <c r="BG1140" s="173"/>
      <c r="BH1140" s="173"/>
      <c r="BI1140" s="173"/>
      <c r="BJ1140" s="173"/>
      <c r="BK1140" s="173"/>
      <c r="BL1140" s="173"/>
      <c r="BM1140" s="173"/>
      <c r="BN1140" s="173"/>
      <c r="BO1140" s="173"/>
      <c r="BP1140" s="173"/>
      <c r="BQ1140" s="118">
        <f>INDEX('Gross Dx Plant'!$E$7:$AD$91,MATCH($C1140,'Gross Dx Plant'!$D$7:$D$91,0),MATCH(Calculation!$G1140,'Gross Dx Plant'!$E$5:$AD$5,0))</f>
        <v>32263</v>
      </c>
      <c r="BR1140" s="118">
        <f>INDEX('Gross Gen Plant'!$E$7:$AD$91,MATCH($C1140,'Gross Gen Plant'!$D$7:$D$91,0),MATCH(Calculation!$G1140,'Gross Gen Plant'!$E$5:$AD$5,0))</f>
        <v>5643</v>
      </c>
      <c r="BS1140" s="118">
        <f>INDEX('Dist. Plant Gas Additions'!$F$7:$AE$91,MATCH($C1140,'Dist. Plant Gas Additions'!$D$7:$D$91,0),MATCH(Calculation!$G1140,'Dist. Plant Gas Additions'!$F$5:$AE$5,0))</f>
        <v>2156</v>
      </c>
      <c r="BT1140" s="118">
        <f>INDEX('Gen. Plant Additions'!$F$7:$AE$91,MATCH($C1140,'Gen. Plant Additions'!$D$7:$D$91,0),MATCH(Calculation!$G1140,'Gen. Plant Additions'!$F$5:$AE$5,0))</f>
        <v>287</v>
      </c>
      <c r="BU1140" s="118" t="e">
        <f>INDEX('Dist Plant Depreciation'!$E$7:$AA$94,MATCH($C1140,'Dist Plant Depreciation'!$D$7:$D$94,0),MATCH(#REF!,'Dist Plant Depreciation'!$E$5:$AA$5,0))</f>
        <v>#REF!</v>
      </c>
      <c r="BV1140" s="118" t="e">
        <f>INDEX('Gen. Plant Depreciation'!$E$7:$AA$94,MATCH($C1140,'Gen. Plant Depreciation'!$D$7:$D$94,0),MATCH(#REF!,'Gen. Plant Depreciation'!$E$5:$AA$5,0))</f>
        <v>#REF!</v>
      </c>
      <c r="BW1140" s="118">
        <f>INDEX('Dist Plant Depreciation'!$E$7:$AD$94,MATCH($C1140,'Dist Plant Depreciation'!$D$7:$D$94,0),MATCH(Calculation!$G1140,'Dist Plant Depreciation'!$E$5:$AD$5,0))</f>
        <v>11143</v>
      </c>
      <c r="BX1140" s="118">
        <f>INDEX('Gen. Plant Depreciation'!$E$7:$AD$94,MATCH($C1140,'Gen. Plant Depreciation'!$D$7:$D$94,0),MATCH(Calculation!$G1140,'Gen. Plant Depreciation'!$E$5:$AD$5,0))</f>
        <v>1303</v>
      </c>
      <c r="BY1140" s="118"/>
      <c r="BZ1140" s="118"/>
      <c r="CA1140" s="118"/>
      <c r="CB1140" s="118"/>
      <c r="CC1140" s="118"/>
      <c r="CD1140" s="183"/>
      <c r="CE1140" s="118">
        <f>INDEX('Gross Dx Plant'!$E$7:$AD$91,MATCH($C1140,'Gross Dx Plant'!$D$7:$D$91,0),MATCH(Calculation!$G1140,'Gross Dx Plant'!$E$5:$AD$5,0))</f>
        <v>32263</v>
      </c>
      <c r="CF1140" s="118">
        <f>INDEX('Gross Gen Plant'!$E$7:$AD$91,MATCH($C1140,'Gross Gen Plant'!$D$7:$D$91,0),MATCH(Calculation!$G1140,'Gross Gen Plant'!$E$5:$AD$5,0))</f>
        <v>5643</v>
      </c>
      <c r="CG1140" s="118">
        <f t="shared" si="3352"/>
        <v>25460</v>
      </c>
      <c r="CH1140" s="118"/>
      <c r="CI1140" s="121">
        <v>1998</v>
      </c>
      <c r="CJ1140" s="118">
        <f>BQ1140+BR1140</f>
        <v>37906</v>
      </c>
      <c r="CK1140" s="118">
        <f>11143+1303</f>
        <v>12446</v>
      </c>
      <c r="CL1140" s="118">
        <f>+CJ1140-CK1140</f>
        <v>25460</v>
      </c>
      <c r="CM1140" s="118">
        <f>CL1140/$CD$36</f>
        <v>126.21490603776783</v>
      </c>
      <c r="CN1140" s="183"/>
      <c r="CO1140" s="183"/>
      <c r="CP1140" s="186">
        <v>1</v>
      </c>
      <c r="CQ1140" s="118">
        <f>+CM1140</f>
        <v>126.21490603776783</v>
      </c>
      <c r="CR1140" s="119"/>
      <c r="CS1140" s="119"/>
      <c r="CT1140" s="177"/>
      <c r="CU1140" s="177"/>
      <c r="CV1140" s="119" t="e">
        <f>VLOOKUP($H1140,RoR!$E:$F,2,FALSE)</f>
        <v>#N/A</v>
      </c>
      <c r="CW1140" s="177">
        <v>1.1028127770464469E-2</v>
      </c>
      <c r="CX1140" s="177"/>
      <c r="CY1140" s="177"/>
      <c r="CZ1140" s="177"/>
      <c r="DA1140" s="187"/>
      <c r="DB1140" s="190" t="e">
        <f>2/(DK1140*39)</f>
        <v>#N/A</v>
      </c>
      <c r="DC1140" s="188" t="e">
        <f>+(DK1140*40-(1+DK1140))/(DK1140*40)</f>
        <v>#N/A</v>
      </c>
      <c r="DD1140" s="188" t="e">
        <f>+(1-(1/(1+DK1140)^40))</f>
        <v>#N/A</v>
      </c>
      <c r="DE1140" s="188" t="e">
        <f>+DD1140*DC1140*DB1140</f>
        <v>#N/A</v>
      </c>
      <c r="DF1140" s="189">
        <f>INDEX('State Tax Lookup'!$D$7:$Z$91,MATCH(Calculation!$C1140,'State Tax Lookup'!$B$7:$B$91,0),MATCH($H1140,'State Tax Lookup'!$D$6:$Z$6,0))</f>
        <v>0.39649667</v>
      </c>
      <c r="DG1140" s="189">
        <v>0.375</v>
      </c>
      <c r="DH1140" s="183"/>
      <c r="DI1140" s="183"/>
      <c r="DJ1140" s="177"/>
      <c r="DK1140" s="189" t="e">
        <f>VLOOKUP($H1140,RoR!$E:$F,2,FALSE)</f>
        <v>#N/A</v>
      </c>
      <c r="DL1140" s="191">
        <f>HLOOKUP($H1140,'GDP-PI'!$D$8:$CQ$11,3,FALSE)</f>
        <v>1.1028127770464469E-2</v>
      </c>
      <c r="DM1140" s="189">
        <f>VLOOKUP(H1140,'HW Dx Data'!$E:$F,2,FALSE)</f>
        <v>329.24564746449528</v>
      </c>
      <c r="DN1140" s="183" t="e">
        <f>VLOOKUP(H1140,'ECI - Input Price'!$G$17:$H$37,2,FALSE)</f>
        <v>#N/A</v>
      </c>
      <c r="DO1140" s="177"/>
      <c r="DP1140" s="183">
        <f>HLOOKUP(H1140,'GDP-PI'!$8:$9,2,FALSE)</f>
        <v>75.266999999999996</v>
      </c>
    </row>
    <row r="1141" spans="1:121" s="167" customFormat="1" ht="21" x14ac:dyDescent="0.35">
      <c r="A1141" s="167" t="s">
        <v>110</v>
      </c>
      <c r="B1141" s="167" t="s">
        <v>110</v>
      </c>
      <c r="C1141" s="167">
        <v>4063183</v>
      </c>
      <c r="D1141" s="168" t="s">
        <v>136</v>
      </c>
      <c r="E1141" s="168" t="s">
        <v>126</v>
      </c>
      <c r="F1141" s="198"/>
      <c r="G1141" s="167" t="s">
        <v>5</v>
      </c>
      <c r="H1141" s="169">
        <v>1999</v>
      </c>
      <c r="I1141" s="170"/>
      <c r="J1141" s="166"/>
      <c r="K1141" s="170"/>
      <c r="L1141" s="170"/>
      <c r="M1141" s="166"/>
      <c r="N1141" s="173"/>
      <c r="O1141" s="170"/>
      <c r="P1141" s="177"/>
      <c r="Q1141" s="177"/>
      <c r="R1141" s="177"/>
      <c r="S1141" s="195"/>
      <c r="T1141" s="177"/>
      <c r="U1141" s="177"/>
      <c r="V1141" s="166">
        <f t="shared" ref="V1141:V1163" si="3415">+CQ1140*DH1141</f>
        <v>0</v>
      </c>
      <c r="W1141" s="170"/>
      <c r="X1141" s="174">
        <v>128.49758036649052</v>
      </c>
      <c r="Y1141" s="175">
        <v>1.7924016789210948E-2</v>
      </c>
      <c r="Z1141" s="175"/>
      <c r="AA1141" s="175"/>
      <c r="AB1141" s="175"/>
      <c r="AC1141" s="170">
        <f t="shared" si="3252"/>
        <v>0</v>
      </c>
      <c r="AD1141" s="175"/>
      <c r="AE1141" s="170"/>
      <c r="AF1141" s="119"/>
      <c r="AG1141" s="174"/>
      <c r="AH1141" s="175"/>
      <c r="AI1141" s="175"/>
      <c r="AJ1141" s="174"/>
      <c r="AK1141" s="174"/>
      <c r="AL1141" s="120"/>
      <c r="AM1141" s="120"/>
      <c r="AN1141" s="120"/>
      <c r="AO1141" s="120"/>
      <c r="AP1141" s="120"/>
      <c r="AQ1141" s="175"/>
      <c r="AR1141" s="120"/>
      <c r="AS1141" s="120"/>
      <c r="AT1141" s="120"/>
      <c r="AU1141" s="120"/>
      <c r="AV1141" s="120"/>
      <c r="AW1141" s="120"/>
      <c r="AX1141" s="120"/>
      <c r="AY1141" s="120"/>
      <c r="AZ1141" s="118">
        <f>IFERROR(INDEX('Total Customers'!$F$7:$AB$91,MATCH($C1141,'Total Customers'!$D$7:$D$91,0),MATCH($G1141,'Total Customers'!$F$5:$AB$5,0)),"NA")</f>
        <v>14720</v>
      </c>
      <c r="BA1141" s="119">
        <f t="shared" ref="BA1141:BA1163" si="3416">LN(AZ1141/AZ1140)</f>
        <v>2.0036350259437587E-2</v>
      </c>
      <c r="BB1141" s="119"/>
      <c r="BC1141" s="121"/>
      <c r="BD1141" s="119"/>
      <c r="BE1141" s="119"/>
      <c r="BF1141" s="119"/>
      <c r="BG1141" s="173"/>
      <c r="BH1141" s="173"/>
      <c r="BI1141" s="173"/>
      <c r="BJ1141" s="173"/>
      <c r="BK1141" s="173"/>
      <c r="BL1141" s="173"/>
      <c r="BM1141" s="173"/>
      <c r="BN1141" s="173"/>
      <c r="BO1141" s="173"/>
      <c r="BP1141" s="173"/>
      <c r="BQ1141" s="118"/>
      <c r="BR1141" s="118"/>
      <c r="BS1141" s="118">
        <f>INDEX('Dist. Plant Gas Additions'!$F$7:$AE$91,MATCH($C1141,'Dist. Plant Gas Additions'!$D$7:$D$91,0),MATCH(Calculation!$G1141,'Dist. Plant Gas Additions'!$F$5:$AE$5,0))</f>
        <v>616</v>
      </c>
      <c r="BT1141" s="118">
        <f>INDEX('Gen. Plant Additions'!$F$7:$AE$91,MATCH($C1141,'Gen. Plant Additions'!$D$7:$D$91,0),MATCH(Calculation!$G1141,'Gen. Plant Additions'!$F$5:$AE$5,0))</f>
        <v>360</v>
      </c>
      <c r="BU1141" s="118"/>
      <c r="BV1141" s="118"/>
      <c r="BW1141" s="118">
        <f>INDEX('Dist Plant Depreciation'!$E$7:$AD$94,MATCH($C1141,'Dist Plant Depreciation'!$D$7:$D$94,0),MATCH(Calculation!$G1141,'Dist Plant Depreciation'!$E$5:$AD$5,0))</f>
        <v>12063</v>
      </c>
      <c r="BX1141" s="118">
        <f>INDEX('Gen. Plant Depreciation'!$E$7:$AD$94,MATCH($C1141,'Gen. Plant Depreciation'!$D$7:$D$94,0),MATCH(Calculation!$G1141,'Gen. Plant Depreciation'!$E$5:$AD$5,0))</f>
        <v>1392</v>
      </c>
      <c r="BY1141" s="118"/>
      <c r="BZ1141" s="118"/>
      <c r="CA1141" s="118"/>
      <c r="CB1141" s="118"/>
      <c r="CC1141" s="118"/>
      <c r="CD1141" s="183"/>
      <c r="CE1141" s="118">
        <f>INDEX('Gross Dx Plant'!$E$7:$AD$91,MATCH($C1141,'Gross Dx Plant'!$D$7:$D$91,0),MATCH(Calculation!$G1141,'Gross Dx Plant'!$E$5:$AD$5,0))</f>
        <v>32725</v>
      </c>
      <c r="CF1141" s="118">
        <f>INDEX('Gross Gen Plant'!$E$7:$AD$91,MATCH($C1141,'Gross Gen Plant'!$D$7:$D$91,0),MATCH(Calculation!$G1141,'Gross Gen Plant'!$E$5:$AD$5,0))</f>
        <v>5714</v>
      </c>
      <c r="CG1141" s="118">
        <f t="shared" si="3352"/>
        <v>24984</v>
      </c>
      <c r="CH1141" s="118"/>
      <c r="CI1141" s="121">
        <v>1999</v>
      </c>
      <c r="CJ1141" s="118"/>
      <c r="CK1141" s="118"/>
      <c r="CL1141" s="118"/>
      <c r="CM1141" s="183"/>
      <c r="CN1141" s="118">
        <f t="shared" ref="CN1141:CN1158" si="3417">+BT1141+BS1141</f>
        <v>976</v>
      </c>
      <c r="CO1141" s="118">
        <f t="shared" ref="CO1141:CO1163" si="3418">+CN1141/$DM1141</f>
        <v>2.9106091846319719</v>
      </c>
      <c r="CP1141" s="186">
        <v>0.99502487562189057</v>
      </c>
      <c r="CQ1141" s="118">
        <f>+CQ1140*CP1141+CO1141</f>
        <v>128.49758036649052</v>
      </c>
      <c r="CR1141" s="119">
        <f t="shared" ref="CR1141:CR1162" si="3419">LN(CQ1141/CQ1140)</f>
        <v>1.7924016789210948E-2</v>
      </c>
      <c r="CS1141" s="119"/>
      <c r="CT1141" s="177">
        <f t="shared" ref="CT1141:CT1163" si="3420">+(CQ1140-CQ1141+CO1141)/CQ1140</f>
        <v>4.9751243781093529E-3</v>
      </c>
      <c r="CU1141" s="177"/>
      <c r="CV1141" s="119">
        <f>VLOOKUP($H1141,RoR!$E:$F,2,FALSE)</f>
        <v>7.0416666666666669E-2</v>
      </c>
      <c r="CW1141" s="177">
        <v>1.4335631817396832E-2</v>
      </c>
      <c r="CX1141" s="177">
        <f>+CV1141-CW1141</f>
        <v>5.6081034849269837E-2</v>
      </c>
      <c r="CY1141" s="177"/>
      <c r="CZ1141" s="177"/>
      <c r="DA1141" s="187">
        <f t="shared" ref="DA1141:DA1163" si="3421">1-DF1141*DG1141</f>
        <v>0.85131374874999999</v>
      </c>
      <c r="DB1141" s="188">
        <f t="shared" ref="DB1141:DB1163" si="3422">2/(DK1141*39)</f>
        <v>0.72826581702321336</v>
      </c>
      <c r="DC1141" s="188">
        <f t="shared" ref="DC1141:DC1163" si="3423">+(DK1141*40-(1+DK1141))/(DK1141*40)</f>
        <v>0.61997041420118348</v>
      </c>
      <c r="DD1141" s="188">
        <f t="shared" ref="DD1141:DD1163" si="3424">+(1-(1/(1+DK1141)^40))</f>
        <v>0.93425155319585029</v>
      </c>
      <c r="DE1141" s="188">
        <f t="shared" ref="DE1141:DE1163" si="3425">+DD1141*DC1141*DB1141</f>
        <v>0.42181762214141483</v>
      </c>
      <c r="DF1141" s="189">
        <f>INDEX('State Tax Lookup'!$D$7:$Z$91,MATCH(Calculation!$C1141,'State Tax Lookup'!$B$7:$B$91,0),MATCH($H1141,'State Tax Lookup'!$D$6:$Z$6,0))</f>
        <v>0.39649667</v>
      </c>
      <c r="DG1141" s="189">
        <v>0.375</v>
      </c>
      <c r="DH1141" s="190"/>
      <c r="DI1141" s="190"/>
      <c r="DJ1141" s="177"/>
      <c r="DK1141" s="189">
        <f>VLOOKUP($H1141,RoR!$E:$F,2,FALSE)</f>
        <v>7.0416666666666669E-2</v>
      </c>
      <c r="DL1141" s="191">
        <f>HLOOKUP($H1141,'GDP-PI'!$D$8:$CQ$11,3,FALSE)</f>
        <v>1.4335631817396832E-2</v>
      </c>
      <c r="DM1141" s="189">
        <f>VLOOKUP(H1141,'HW Dx Data'!$E:$F,2,FALSE)</f>
        <v>335.32499146683239</v>
      </c>
      <c r="DN1141" s="183" t="e">
        <f>VLOOKUP(H1141,'ECI - Input Price'!$G$17:$H$37,2,FALSE)</f>
        <v>#N/A</v>
      </c>
      <c r="DO1141" s="177"/>
      <c r="DP1141" s="183">
        <f>HLOOKUP(H1141,'GDP-PI'!$8:$9,2,FALSE)</f>
        <v>76.346000000000004</v>
      </c>
    </row>
    <row r="1142" spans="1:121" s="167" customFormat="1" ht="21" x14ac:dyDescent="0.35">
      <c r="A1142" s="167" t="s">
        <v>110</v>
      </c>
      <c r="B1142" s="167" t="s">
        <v>110</v>
      </c>
      <c r="C1142" s="167">
        <v>4063183</v>
      </c>
      <c r="D1142" s="168" t="s">
        <v>136</v>
      </c>
      <c r="E1142" s="168" t="s">
        <v>126</v>
      </c>
      <c r="F1142" s="198"/>
      <c r="G1142" s="167" t="s">
        <v>6</v>
      </c>
      <c r="H1142" s="169">
        <v>2000</v>
      </c>
      <c r="I1142" s="170"/>
      <c r="J1142" s="166"/>
      <c r="K1142" s="166"/>
      <c r="L1142" s="166"/>
      <c r="M1142" s="166"/>
      <c r="N1142" s="196"/>
      <c r="O1142" s="166"/>
      <c r="P1142" s="166"/>
      <c r="Q1142" s="166"/>
      <c r="R1142" s="166"/>
      <c r="S1142" s="166"/>
      <c r="T1142" s="166"/>
      <c r="U1142" s="166"/>
      <c r="V1142" s="166">
        <f t="shared" si="3415"/>
        <v>0</v>
      </c>
      <c r="W1142" s="170"/>
      <c r="X1142" s="174">
        <v>131.04794521079066</v>
      </c>
      <c r="Y1142" s="175">
        <v>1.9653175891962613E-2</v>
      </c>
      <c r="Z1142" s="175"/>
      <c r="AA1142" s="175"/>
      <c r="AB1142" s="175"/>
      <c r="AC1142" s="170">
        <f t="shared" si="3252"/>
        <v>0</v>
      </c>
      <c r="AD1142" s="175"/>
      <c r="AE1142" s="170"/>
      <c r="AF1142" s="170"/>
      <c r="AG1142" s="174"/>
      <c r="AH1142" s="175"/>
      <c r="AI1142" s="175"/>
      <c r="AJ1142" s="174"/>
      <c r="AK1142" s="174"/>
      <c r="AL1142" s="120"/>
      <c r="AM1142" s="120"/>
      <c r="AN1142" s="120"/>
      <c r="AO1142" s="120"/>
      <c r="AP1142" s="120"/>
      <c r="AQ1142" s="175"/>
      <c r="AR1142" s="120"/>
      <c r="AS1142" s="120"/>
      <c r="AT1142" s="120"/>
      <c r="AU1142" s="120"/>
      <c r="AV1142" s="120"/>
      <c r="AW1142" s="120"/>
      <c r="AX1142" s="120"/>
      <c r="AY1142" s="120"/>
      <c r="AZ1142" s="118">
        <f>IFERROR(INDEX('Total Customers'!$F$7:$AB$91,MATCH($C1142,'Total Customers'!$D$7:$D$91,0),MATCH($G1142,'Total Customers'!$F$5:$AB$5,0)),"NA")</f>
        <v>14969</v>
      </c>
      <c r="BA1142" s="119">
        <f t="shared" si="3416"/>
        <v>1.6774282632368454E-2</v>
      </c>
      <c r="BB1142" s="119"/>
      <c r="BC1142" s="121"/>
      <c r="BD1142" s="119"/>
      <c r="BE1142" s="119"/>
      <c r="BF1142" s="119"/>
      <c r="BG1142" s="173"/>
      <c r="BH1142" s="173"/>
      <c r="BI1142" s="173"/>
      <c r="BJ1142" s="173"/>
      <c r="BK1142" s="173"/>
      <c r="BL1142" s="173"/>
      <c r="BM1142" s="173"/>
      <c r="BN1142" s="173"/>
      <c r="BO1142" s="173"/>
      <c r="BP1142" s="173"/>
      <c r="BQ1142" s="118"/>
      <c r="BR1142" s="118"/>
      <c r="BS1142" s="118">
        <f>INDEX('Dist. Plant Gas Additions'!$F$7:$AE$91,MATCH($C1142,'Dist. Plant Gas Additions'!$D$7:$D$91,0),MATCH(Calculation!$G1142,'Dist. Plant Gas Additions'!$F$5:$AE$5,0))</f>
        <v>831</v>
      </c>
      <c r="BT1142" s="118">
        <f>INDEX('Gen. Plant Additions'!$F$7:$AE$91,MATCH($C1142,'Gen. Plant Additions'!$D$7:$D$91,0),MATCH(Calculation!$G1142,'Gen. Plant Additions'!$F$5:$AE$5,0))</f>
        <v>282</v>
      </c>
      <c r="BU1142" s="118"/>
      <c r="BV1142" s="118"/>
      <c r="BW1142" s="118">
        <f>INDEX('Dist Plant Depreciation'!$E$7:$AD$94,MATCH($C1142,'Dist Plant Depreciation'!$D$7:$D$94,0),MATCH(Calculation!$G1142,'Dist Plant Depreciation'!$E$5:$AD$5,0))</f>
        <v>12962</v>
      </c>
      <c r="BX1142" s="118">
        <f>INDEX('Gen. Plant Depreciation'!$E$7:$AD$94,MATCH($C1142,'Gen. Plant Depreciation'!$D$7:$D$94,0),MATCH(Calculation!$G1142,'Gen. Plant Depreciation'!$E$5:$AD$5,0))</f>
        <v>1537</v>
      </c>
      <c r="BY1142" s="118"/>
      <c r="BZ1142" s="118"/>
      <c r="CA1142" s="118"/>
      <c r="CB1142" s="118"/>
      <c r="CC1142" s="118"/>
      <c r="CD1142" s="183"/>
      <c r="CE1142" s="118">
        <f>INDEX('Gross Dx Plant'!$E$7:$AD$91,MATCH($C1142,'Gross Dx Plant'!$D$7:$D$91,0),MATCH(Calculation!$G1142,'Gross Dx Plant'!$E$5:$AD$5,0))</f>
        <v>33504</v>
      </c>
      <c r="CF1142" s="118">
        <f>INDEX('Gross Gen Plant'!$E$7:$AD$91,MATCH($C1142,'Gross Gen Plant'!$D$7:$D$91,0),MATCH(Calculation!$G1142,'Gross Gen Plant'!$E$5:$AD$5,0))</f>
        <v>5818</v>
      </c>
      <c r="CG1142" s="118">
        <f t="shared" si="3352"/>
        <v>24823</v>
      </c>
      <c r="CH1142" s="118"/>
      <c r="CI1142" s="121">
        <v>2000</v>
      </c>
      <c r="CJ1142" s="118"/>
      <c r="CK1142" s="118"/>
      <c r="CL1142" s="118"/>
      <c r="CM1142" s="183"/>
      <c r="CN1142" s="118">
        <f t="shared" si="3417"/>
        <v>1113</v>
      </c>
      <c r="CO1142" s="118">
        <f t="shared" si="3418"/>
        <v>3.2118086718859979</v>
      </c>
      <c r="CP1142" s="186">
        <v>0.98989898989898994</v>
      </c>
      <c r="CQ1142" s="118">
        <f>+CQ1140*CP1142+CO1141*CP1141+CO1142</f>
        <v>131.04794521079066</v>
      </c>
      <c r="CR1142" s="119">
        <f t="shared" si="3419"/>
        <v>1.9653175891962613E-2</v>
      </c>
      <c r="CS1142" s="119"/>
      <c r="CT1142" s="177">
        <f t="shared" si="3420"/>
        <v>5.1475197097046255E-3</v>
      </c>
      <c r="CU1142" s="177"/>
      <c r="CV1142" s="119">
        <f>VLOOKUP($H1142,RoR!$E:$F,2,FALSE)</f>
        <v>7.6225000000000001E-2</v>
      </c>
      <c r="CW1142" s="177">
        <v>2.2568307442433211E-2</v>
      </c>
      <c r="CX1142" s="177">
        <f t="shared" ref="CX1142:CX1162" si="3426">+CV1142-CW1142</f>
        <v>5.365669255756679E-2</v>
      </c>
      <c r="CY1142" s="177"/>
      <c r="CZ1142" s="177"/>
      <c r="DA1142" s="187">
        <f t="shared" si="3421"/>
        <v>0.85131374874999999</v>
      </c>
      <c r="DB1142" s="188">
        <f t="shared" si="3422"/>
        <v>0.67277207323124022</v>
      </c>
      <c r="DC1142" s="188">
        <f t="shared" si="3423"/>
        <v>0.6470236142997704</v>
      </c>
      <c r="DD1142" s="188">
        <f t="shared" si="3424"/>
        <v>0.94704866037543145</v>
      </c>
      <c r="DE1142" s="188">
        <f t="shared" si="3425"/>
        <v>0.41224973107878493</v>
      </c>
      <c r="DF1142" s="189">
        <f>INDEX('State Tax Lookup'!$D$7:$Z$91,MATCH(Calculation!$C1142,'State Tax Lookup'!$B$7:$B$91,0),MATCH($H1142,'State Tax Lookup'!$D$6:$Z$6,0))</f>
        <v>0.39649667</v>
      </c>
      <c r="DG1142" s="189">
        <v>0.375</v>
      </c>
      <c r="DH1142" s="190"/>
      <c r="DI1142" s="190"/>
      <c r="DJ1142" s="177"/>
      <c r="DK1142" s="189">
        <f>VLOOKUP($H1142,RoR!$E:$F,2,FALSE)</f>
        <v>7.6225000000000001E-2</v>
      </c>
      <c r="DL1142" s="191">
        <f>HLOOKUP($H1142,'GDP-PI'!$D$8:$CQ$11,3,FALSE)</f>
        <v>2.2568307442433211E-2</v>
      </c>
      <c r="DM1142" s="189">
        <f>VLOOKUP(H1142,'HW Dx Data'!$E:$F,2,FALSE)</f>
        <v>346.53371782150339</v>
      </c>
      <c r="DN1142" s="183" t="e">
        <f>VLOOKUP(H1142,'ECI - Input Price'!$G$17:$H$37,2,FALSE)</f>
        <v>#N/A</v>
      </c>
      <c r="DO1142" s="177"/>
      <c r="DP1142" s="183">
        <f>HLOOKUP(H1142,'GDP-PI'!$8:$9,2,FALSE)</f>
        <v>78.069000000000003</v>
      </c>
    </row>
    <row r="1143" spans="1:121" s="167" customFormat="1" ht="21" x14ac:dyDescent="0.35">
      <c r="A1143" s="167" t="s">
        <v>110</v>
      </c>
      <c r="B1143" s="167" t="s">
        <v>110</v>
      </c>
      <c r="C1143" s="167">
        <v>4063183</v>
      </c>
      <c r="D1143" s="168" t="s">
        <v>136</v>
      </c>
      <c r="E1143" s="168" t="s">
        <v>126</v>
      </c>
      <c r="F1143" s="198"/>
      <c r="G1143" s="167" t="s">
        <v>7</v>
      </c>
      <c r="H1143" s="169">
        <v>2001</v>
      </c>
      <c r="I1143" s="170"/>
      <c r="J1143" s="166"/>
      <c r="K1143" s="166"/>
      <c r="L1143" s="166"/>
      <c r="M1143" s="166"/>
      <c r="N1143" s="196"/>
      <c r="O1143" s="166"/>
      <c r="P1143" s="166"/>
      <c r="Q1143" s="166"/>
      <c r="R1143" s="166"/>
      <c r="S1143" s="166"/>
      <c r="T1143" s="166"/>
      <c r="U1143" s="166"/>
      <c r="V1143" s="166">
        <f t="shared" si="3415"/>
        <v>1680.8673319567915</v>
      </c>
      <c r="W1143" s="170"/>
      <c r="X1143" s="174">
        <v>132.49377116408647</v>
      </c>
      <c r="Y1143" s="175">
        <v>1.0972384021706975E-2</v>
      </c>
      <c r="Z1143" s="175"/>
      <c r="AA1143" s="175"/>
      <c r="AB1143" s="175"/>
      <c r="AC1143" s="170">
        <f t="shared" si="3252"/>
        <v>1680.8673319567915</v>
      </c>
      <c r="AD1143" s="175"/>
      <c r="AE1143" s="170"/>
      <c r="AF1143" s="170"/>
      <c r="AG1143" s="174"/>
      <c r="AH1143" s="175"/>
      <c r="AI1143" s="175"/>
      <c r="AJ1143" s="174"/>
      <c r="AK1143" s="174"/>
      <c r="AL1143" s="120"/>
      <c r="AM1143" s="120"/>
      <c r="AN1143" s="120"/>
      <c r="AO1143" s="120"/>
      <c r="AP1143" s="120"/>
      <c r="AQ1143" s="175"/>
      <c r="AR1143" s="120"/>
      <c r="AS1143" s="120"/>
      <c r="AT1143" s="120"/>
      <c r="AU1143" s="120"/>
      <c r="AV1143" s="120"/>
      <c r="AW1143" s="120"/>
      <c r="AX1143" s="120"/>
      <c r="AY1143" s="120"/>
      <c r="AZ1143" s="118">
        <f>IFERROR(INDEX('Total Customers'!$F$7:$AB$91,MATCH($C1143,'Total Customers'!$D$7:$D$91,0),MATCH($G1143,'Total Customers'!$F$5:$AB$5,0)),"NA")</f>
        <v>15251</v>
      </c>
      <c r="BA1143" s="119">
        <f t="shared" si="3416"/>
        <v>1.8663678740947921E-2</v>
      </c>
      <c r="BB1143" s="119"/>
      <c r="BC1143" s="121"/>
      <c r="BD1143" s="119"/>
      <c r="BE1143" s="119"/>
      <c r="BF1143" s="119"/>
      <c r="BG1143" s="173"/>
      <c r="BH1143" s="173"/>
      <c r="BI1143" s="173"/>
      <c r="BJ1143" s="173"/>
      <c r="BK1143" s="173"/>
      <c r="BL1143" s="173"/>
      <c r="BM1143" s="173"/>
      <c r="BN1143" s="173"/>
      <c r="BO1143" s="173"/>
      <c r="BP1143" s="173"/>
      <c r="BQ1143" s="118"/>
      <c r="BR1143" s="118"/>
      <c r="BS1143" s="118">
        <f>INDEX('Dist. Plant Gas Additions'!$F$7:$AE$91,MATCH($C1143,'Dist. Plant Gas Additions'!$D$7:$D$91,0),MATCH(Calculation!$G1143,'Dist. Plant Gas Additions'!$F$5:$AE$5,0))</f>
        <v>562</v>
      </c>
      <c r="BT1143" s="118">
        <f>INDEX('Gen. Plant Additions'!$F$7:$AE$91,MATCH($C1143,'Gen. Plant Additions'!$D$7:$D$91,0),MATCH(Calculation!$G1143,'Gen. Plant Additions'!$F$5:$AE$5,0))</f>
        <v>190</v>
      </c>
      <c r="BU1143" s="118"/>
      <c r="BV1143" s="118"/>
      <c r="BW1143" s="118">
        <f>INDEX('Dist Plant Depreciation'!$E$7:$AD$94,MATCH($C1143,'Dist Plant Depreciation'!$D$7:$D$94,0),MATCH(Calculation!$G1143,'Dist Plant Depreciation'!$E$5:$AD$5,0))</f>
        <v>13757</v>
      </c>
      <c r="BX1143" s="118">
        <f>INDEX('Gen. Plant Depreciation'!$E$7:$AD$94,MATCH($C1143,'Gen. Plant Depreciation'!$D$7:$D$94,0),MATCH(Calculation!$G1143,'Gen. Plant Depreciation'!$E$5:$AD$5,0))</f>
        <v>1684</v>
      </c>
      <c r="BY1143" s="118"/>
      <c r="BZ1143" s="118"/>
      <c r="CA1143" s="118"/>
      <c r="CB1143" s="118"/>
      <c r="CC1143" s="118"/>
      <c r="CD1143" s="183"/>
      <c r="CE1143" s="118">
        <f>INDEX('Gross Dx Plant'!$E$7:$AD$91,MATCH($C1143,'Gross Dx Plant'!$D$7:$D$91,0),MATCH(Calculation!$G1143,'Gross Dx Plant'!$E$5:$AD$5,0))</f>
        <v>33940</v>
      </c>
      <c r="CF1143" s="118">
        <f>INDEX('Gross Gen Plant'!$E$7:$AD$91,MATCH($C1143,'Gross Gen Plant'!$D$7:$D$91,0),MATCH(Calculation!$G1143,'Gross Gen Plant'!$E$5:$AD$5,0))</f>
        <v>5827</v>
      </c>
      <c r="CG1143" s="118">
        <f t="shared" si="3352"/>
        <v>24326</v>
      </c>
      <c r="CH1143" s="118"/>
      <c r="CI1143" s="121">
        <v>2001</v>
      </c>
      <c r="CJ1143" s="118"/>
      <c r="CK1143" s="118"/>
      <c r="CL1143" s="118"/>
      <c r="CM1143" s="183"/>
      <c r="CN1143" s="118">
        <f t="shared" si="3417"/>
        <v>752</v>
      </c>
      <c r="CO1143" s="118">
        <f t="shared" si="3418"/>
        <v>2.1276151477711509</v>
      </c>
      <c r="CP1143" s="186">
        <v>0.98461538461538467</v>
      </c>
      <c r="CQ1143" s="118">
        <f>+CQ1140*CP1143+CO1141*CP1142+CO1142*CP1140+CO1143</f>
        <v>132.49377116408647</v>
      </c>
      <c r="CR1143" s="119">
        <f t="shared" si="3419"/>
        <v>1.0972384021706975E-2</v>
      </c>
      <c r="CS1143" s="119"/>
      <c r="CT1143" s="177">
        <f t="shared" si="3420"/>
        <v>5.2025935498544694E-3</v>
      </c>
      <c r="CU1143" s="177">
        <f>+(CT1143+CT1142+CT1141)/3</f>
        <v>5.1084125458894826E-3</v>
      </c>
      <c r="CV1143" s="119">
        <f>VLOOKUP($H1143,RoR!$E:$F,2,FALSE)</f>
        <v>7.0824999999999999E-2</v>
      </c>
      <c r="CW1143" s="177">
        <v>2.2454495382290052E-2</v>
      </c>
      <c r="CX1143" s="177">
        <f t="shared" si="3426"/>
        <v>4.8370504617709947E-2</v>
      </c>
      <c r="CY1143" s="177">
        <f>+$CX$35-CU1143</f>
        <v>2.5793529062644142E-2</v>
      </c>
      <c r="CZ1143" s="177">
        <f>+((DM1141/DM1140-1)+(DM1142/DM1141-1)+(DM1143/DM1142-1))/3</f>
        <v>2.3947275901631187E-2</v>
      </c>
      <c r="DA1143" s="187">
        <f t="shared" si="3421"/>
        <v>0.85131374874999999</v>
      </c>
      <c r="DB1143" s="188">
        <f t="shared" si="3422"/>
        <v>0.72406708481540816</v>
      </c>
      <c r="DC1143" s="188">
        <f t="shared" si="3423"/>
        <v>0.62201729615248857</v>
      </c>
      <c r="DD1143" s="188">
        <f t="shared" si="3424"/>
        <v>0.9352469954311422</v>
      </c>
      <c r="DE1143" s="188">
        <f t="shared" si="3425"/>
        <v>0.42121864641655071</v>
      </c>
      <c r="DF1143" s="189">
        <f>INDEX('State Tax Lookup'!$D$7:$Z$91,MATCH(Calculation!$C1143,'State Tax Lookup'!$B$7:$B$91,0),MATCH($H1143,'State Tax Lookup'!$D$6:$Z$6,0))</f>
        <v>0.39649667</v>
      </c>
      <c r="DG1143" s="189">
        <v>0.375</v>
      </c>
      <c r="DH1143" s="190">
        <f t="shared" ref="DH1143:DH1163" si="3427">+(DM1143*CY1143-CZ1143)*DA1143/(1-DF1143)</f>
        <v>12.826353967268361</v>
      </c>
      <c r="DI1143" s="190"/>
      <c r="DJ1143" s="177"/>
      <c r="DK1143" s="189">
        <f>VLOOKUP($H1143,RoR!$E:$F,2,FALSE)</f>
        <v>7.0824999999999999E-2</v>
      </c>
      <c r="DL1143" s="191">
        <f>HLOOKUP($H1143,'GDP-PI'!$D$8:$CQ$11,3,FALSE)</f>
        <v>2.2454495382290052E-2</v>
      </c>
      <c r="DM1143" s="189">
        <f>VLOOKUP(H1143,'HW Dx Data'!$E:$F,2,FALSE)</f>
        <v>353.44738017483138</v>
      </c>
      <c r="DN1143" s="183">
        <f>VLOOKUP(H1143,'ECI - Input Price'!$G$17:$H$37,2,FALSE)</f>
        <v>86.2</v>
      </c>
      <c r="DO1143" s="177"/>
      <c r="DP1143" s="183">
        <f>HLOOKUP(H1143,'GDP-PI'!$8:$9,2,FALSE)</f>
        <v>79.822000000000003</v>
      </c>
    </row>
    <row r="1144" spans="1:121" s="167" customFormat="1" ht="21" x14ac:dyDescent="0.35">
      <c r="A1144" s="167" t="s">
        <v>110</v>
      </c>
      <c r="B1144" s="167" t="s">
        <v>110</v>
      </c>
      <c r="C1144" s="167">
        <v>4063183</v>
      </c>
      <c r="D1144" s="168" t="s">
        <v>136</v>
      </c>
      <c r="E1144" s="168" t="s">
        <v>126</v>
      </c>
      <c r="F1144" s="198"/>
      <c r="G1144" s="167" t="s">
        <v>8</v>
      </c>
      <c r="H1144" s="169">
        <v>2002</v>
      </c>
      <c r="I1144" s="170"/>
      <c r="J1144" s="166"/>
      <c r="K1144" s="166"/>
      <c r="L1144" s="166"/>
      <c r="M1144" s="166"/>
      <c r="N1144" s="196"/>
      <c r="O1144" s="166"/>
      <c r="P1144" s="166"/>
      <c r="Q1144" s="166"/>
      <c r="R1144" s="166"/>
      <c r="S1144" s="166"/>
      <c r="T1144" s="166"/>
      <c r="U1144" s="166"/>
      <c r="V1144" s="166">
        <f t="shared" si="3415"/>
        <v>1722.4853048596428</v>
      </c>
      <c r="W1144" s="170"/>
      <c r="X1144" s="174">
        <v>133.48005677951798</v>
      </c>
      <c r="Y1144" s="175">
        <v>7.4164450226491601E-3</v>
      </c>
      <c r="Z1144" s="175"/>
      <c r="AA1144" s="175"/>
      <c r="AB1144" s="175"/>
      <c r="AC1144" s="170">
        <f t="shared" si="3252"/>
        <v>1722.4853048596428</v>
      </c>
      <c r="AD1144" s="175"/>
      <c r="AE1144" s="170"/>
      <c r="AF1144" s="170"/>
      <c r="AG1144" s="174"/>
      <c r="AH1144" s="175"/>
      <c r="AI1144" s="175"/>
      <c r="AJ1144" s="174"/>
      <c r="AK1144" s="174"/>
      <c r="AL1144" s="120"/>
      <c r="AM1144" s="120"/>
      <c r="AN1144" s="120"/>
      <c r="AO1144" s="120"/>
      <c r="AP1144" s="120"/>
      <c r="AQ1144" s="175"/>
      <c r="AR1144" s="120"/>
      <c r="AS1144" s="120"/>
      <c r="AT1144" s="120"/>
      <c r="AU1144" s="120"/>
      <c r="AV1144" s="120"/>
      <c r="AW1144" s="120"/>
      <c r="AX1144" s="120"/>
      <c r="AY1144" s="120"/>
      <c r="AZ1144" s="118">
        <f>IFERROR(INDEX('Total Customers'!$F$7:$AB$91,MATCH($C1144,'Total Customers'!$D$7:$D$91,0),MATCH($G1144,'Total Customers'!$F$5:$AB$5,0)),"NA")</f>
        <v>15291</v>
      </c>
      <c r="BA1144" s="119">
        <f t="shared" si="3416"/>
        <v>2.6193453519676511E-3</v>
      </c>
      <c r="BB1144" s="119"/>
      <c r="BC1144" s="121"/>
      <c r="BD1144" s="119"/>
      <c r="BE1144" s="119"/>
      <c r="BF1144" s="119"/>
      <c r="BG1144" s="173"/>
      <c r="BH1144" s="173"/>
      <c r="BI1144" s="173"/>
      <c r="BJ1144" s="173"/>
      <c r="BK1144" s="173"/>
      <c r="BL1144" s="173"/>
      <c r="BM1144" s="173"/>
      <c r="BN1144" s="173"/>
      <c r="BO1144" s="173"/>
      <c r="BP1144" s="173"/>
      <c r="BQ1144" s="118"/>
      <c r="BR1144" s="118"/>
      <c r="BS1144" s="118">
        <f>INDEX('Dist. Plant Gas Additions'!$F$7:$AE$91,MATCH($C1144,'Dist. Plant Gas Additions'!$D$7:$D$91,0),MATCH(Calculation!$G1144,'Dist. Plant Gas Additions'!$F$5:$AE$5,0))</f>
        <v>412</v>
      </c>
      <c r="BT1144" s="118">
        <f>INDEX('Gen. Plant Additions'!$F$7:$AE$91,MATCH($C1144,'Gen. Plant Additions'!$D$7:$D$91,0),MATCH(Calculation!$G1144,'Gen. Plant Additions'!$F$5:$AE$5,0))</f>
        <v>214</v>
      </c>
      <c r="BU1144" s="118"/>
      <c r="BV1144" s="118"/>
      <c r="BW1144" s="118">
        <f>INDEX('Dist Plant Depreciation'!$E$7:$AD$94,MATCH($C1144,'Dist Plant Depreciation'!$D$7:$D$94,0),MATCH(Calculation!$G1144,'Dist Plant Depreciation'!$E$5:$AD$5,0))</f>
        <v>14627</v>
      </c>
      <c r="BX1144" s="118">
        <f>INDEX('Gen. Plant Depreciation'!$E$7:$AD$94,MATCH($C1144,'Gen. Plant Depreciation'!$D$7:$D$94,0),MATCH(Calculation!$G1144,'Gen. Plant Depreciation'!$E$5:$AD$5,0))</f>
        <v>1868</v>
      </c>
      <c r="BY1144" s="118"/>
      <c r="BZ1144" s="118"/>
      <c r="CA1144" s="118"/>
      <c r="CB1144" s="118"/>
      <c r="CC1144" s="118"/>
      <c r="CD1144" s="183"/>
      <c r="CE1144" s="118">
        <f>INDEX('Gross Dx Plant'!$E$7:$AD$91,MATCH($C1144,'Gross Dx Plant'!$D$7:$D$91,0),MATCH(Calculation!$G1144,'Gross Dx Plant'!$E$5:$AD$5,0))</f>
        <v>34301</v>
      </c>
      <c r="CF1144" s="118">
        <f>INDEX('Gross Gen Plant'!$E$7:$AD$91,MATCH($C1144,'Gross Gen Plant'!$D$7:$D$91,0),MATCH(Calculation!$G1144,'Gross Gen Plant'!$E$5:$AD$5,0))</f>
        <v>5882</v>
      </c>
      <c r="CG1144" s="118">
        <f t="shared" si="3352"/>
        <v>23688</v>
      </c>
      <c r="CH1144" s="118"/>
      <c r="CI1144" s="121">
        <v>2002</v>
      </c>
      <c r="CJ1144" s="118"/>
      <c r="CK1144" s="118"/>
      <c r="CL1144" s="118"/>
      <c r="CM1144" s="183"/>
      <c r="CN1144" s="118">
        <f t="shared" si="3417"/>
        <v>626</v>
      </c>
      <c r="CO1144" s="118">
        <f t="shared" si="3418"/>
        <v>1.7324012112478333</v>
      </c>
      <c r="CP1144" s="186">
        <v>0.97916666666666663</v>
      </c>
      <c r="CQ1144" s="118">
        <f>+CQ1140*CP1144+CO1141*CP1143+CO1142*CP1142+CO1143*CP1141+CO1144</f>
        <v>133.48005677951798</v>
      </c>
      <c r="CR1144" s="119">
        <f t="shared" si="3419"/>
        <v>7.4164450226491601E-3</v>
      </c>
      <c r="CS1144" s="119"/>
      <c r="CT1144" s="177">
        <f t="shared" si="3420"/>
        <v>5.6313258295916145E-3</v>
      </c>
      <c r="CU1144" s="177">
        <f t="shared" ref="CU1144:CU1163" si="3428">+(CT1144+CT1143+CT1142)/3</f>
        <v>5.3271463630502362E-3</v>
      </c>
      <c r="CV1144" s="119">
        <f>VLOOKUP($H1144,RoR!$E:$F,2,FALSE)</f>
        <v>6.4916666666666664E-2</v>
      </c>
      <c r="CW1144" s="177">
        <v>1.5246423291824351E-2</v>
      </c>
      <c r="CX1144" s="177">
        <f t="shared" si="3426"/>
        <v>4.9670243374842313E-2</v>
      </c>
      <c r="CY1144" s="177">
        <f t="shared" ref="CY1144:CY1163" si="3429">+$CX$35-CU1144</f>
        <v>2.5574795245483388E-2</v>
      </c>
      <c r="CZ1144" s="177">
        <f t="shared" ref="CZ1144:CZ1163" si="3430">+((DM1142/DM1141-1)+(DM1143/DM1142-1)+(DM1144/DM1143-1))/3</f>
        <v>2.5243621214759093E-2</v>
      </c>
      <c r="DA1144" s="187">
        <f t="shared" si="3421"/>
        <v>0.85131374874999999</v>
      </c>
      <c r="DB1144" s="188">
        <f t="shared" si="3422"/>
        <v>0.78996741384417901</v>
      </c>
      <c r="DC1144" s="188">
        <f t="shared" si="3423"/>
        <v>0.58989088575096271</v>
      </c>
      <c r="DD1144" s="188">
        <f t="shared" si="3424"/>
        <v>0.91920675783645744</v>
      </c>
      <c r="DE1144" s="188">
        <f t="shared" si="3425"/>
        <v>0.42834536472275586</v>
      </c>
      <c r="DF1144" s="189">
        <f>INDEX('State Tax Lookup'!$D$7:$Z$91,MATCH(Calculation!$C1144,'State Tax Lookup'!$B$7:$B$91,0),MATCH($H1144,'State Tax Lookup'!$D$6:$Z$6,0))</f>
        <v>0.39649667</v>
      </c>
      <c r="DG1144" s="189">
        <v>0.375</v>
      </c>
      <c r="DH1144" s="190">
        <f t="shared" si="3427"/>
        <v>13.000500247867778</v>
      </c>
      <c r="DI1144" s="190"/>
      <c r="DJ1144" s="177"/>
      <c r="DK1144" s="189">
        <f>VLOOKUP($H1144,RoR!$E:$F,2,FALSE)</f>
        <v>6.4916666666666664E-2</v>
      </c>
      <c r="DL1144" s="191">
        <f>HLOOKUP($H1144,'GDP-PI'!$D$8:$CQ$11,3,FALSE)</f>
        <v>1.5246423291824351E-2</v>
      </c>
      <c r="DM1144" s="189">
        <f>VLOOKUP(H1144,'HW Dx Data'!$E:$F,2,FALSE)</f>
        <v>361.34816573413599</v>
      </c>
      <c r="DN1144" s="183">
        <f>VLOOKUP(H1144,'ECI - Input Price'!$G$17:$H$37,2,FALSE)</f>
        <v>89.275000000000006</v>
      </c>
      <c r="DO1144" s="177">
        <f>LN(DN1144/DN1143)</f>
        <v>3.5051315810864674E-2</v>
      </c>
      <c r="DP1144" s="183">
        <f>HLOOKUP(H1144,'GDP-PI'!$8:$9,2,FALSE)</f>
        <v>81.039000000000001</v>
      </c>
      <c r="DQ1144" s="177">
        <f>LN(DP1144/DP1143)</f>
        <v>1.513136459537477E-2</v>
      </c>
    </row>
    <row r="1145" spans="1:121" s="167" customFormat="1" ht="21" x14ac:dyDescent="0.35">
      <c r="A1145" s="167" t="s">
        <v>110</v>
      </c>
      <c r="B1145" s="167" t="s">
        <v>110</v>
      </c>
      <c r="C1145" s="167">
        <v>4063183</v>
      </c>
      <c r="D1145" s="168" t="s">
        <v>136</v>
      </c>
      <c r="E1145" s="168" t="s">
        <v>126</v>
      </c>
      <c r="F1145" s="198"/>
      <c r="G1145" s="167" t="s">
        <v>9</v>
      </c>
      <c r="H1145" s="169">
        <v>2003</v>
      </c>
      <c r="I1145" s="170"/>
      <c r="J1145" s="166"/>
      <c r="K1145" s="166"/>
      <c r="L1145" s="166"/>
      <c r="M1145" s="172"/>
      <c r="N1145" s="196"/>
      <c r="O1145" s="172"/>
      <c r="P1145" s="166"/>
      <c r="Q1145" s="166"/>
      <c r="R1145" s="166"/>
      <c r="S1145" s="166"/>
      <c r="T1145" s="166"/>
      <c r="U1145" s="166"/>
      <c r="V1145" s="166">
        <f t="shared" si="3415"/>
        <v>1761.0179805094244</v>
      </c>
      <c r="W1145" s="170"/>
      <c r="X1145" s="174">
        <v>135.0608555790524</v>
      </c>
      <c r="Y1145" s="175">
        <v>1.1773379672220389E-2</v>
      </c>
      <c r="Z1145" s="175"/>
      <c r="AA1145" s="175"/>
      <c r="AB1145" s="175"/>
      <c r="AC1145" s="170">
        <f t="shared" si="3252"/>
        <v>1761.0179805094244</v>
      </c>
      <c r="AD1145" s="175"/>
      <c r="AE1145" s="170"/>
      <c r="AF1145" s="170"/>
      <c r="AG1145" s="174"/>
      <c r="AH1145" s="175"/>
      <c r="AI1145" s="175"/>
      <c r="AJ1145" s="174"/>
      <c r="AK1145" s="174"/>
      <c r="AL1145" s="120"/>
      <c r="AM1145" s="120"/>
      <c r="AN1145" s="120"/>
      <c r="AO1145" s="120"/>
      <c r="AP1145" s="120"/>
      <c r="AQ1145" s="175"/>
      <c r="AR1145" s="120"/>
      <c r="AS1145" s="120"/>
      <c r="AT1145" s="120"/>
      <c r="AU1145" s="120"/>
      <c r="AV1145" s="120"/>
      <c r="AW1145" s="120"/>
      <c r="AX1145" s="120"/>
      <c r="AY1145" s="120"/>
      <c r="AZ1145" s="118">
        <f>IFERROR(INDEX('Total Customers'!$F$7:$AB$91,MATCH($C1145,'Total Customers'!$D$7:$D$91,0),MATCH($G1145,'Total Customers'!$F$5:$AB$5,0)),"NA")</f>
        <v>15474</v>
      </c>
      <c r="BA1145" s="119">
        <f t="shared" si="3416"/>
        <v>1.1896776101248408E-2</v>
      </c>
      <c r="BB1145" s="119"/>
      <c r="BC1145" s="121"/>
      <c r="BD1145" s="119"/>
      <c r="BE1145" s="119"/>
      <c r="BF1145" s="119"/>
      <c r="BG1145" s="173"/>
      <c r="BH1145" s="173"/>
      <c r="BI1145" s="173"/>
      <c r="BJ1145" s="173"/>
      <c r="BK1145" s="173"/>
      <c r="BL1145" s="173"/>
      <c r="BM1145" s="173"/>
      <c r="BN1145" s="173"/>
      <c r="BO1145" s="173"/>
      <c r="BP1145" s="173"/>
      <c r="BQ1145" s="118"/>
      <c r="BR1145" s="118"/>
      <c r="BS1145" s="118">
        <f>INDEX('Dist. Plant Gas Additions'!$F$7:$AE$91,MATCH($C1145,'Dist. Plant Gas Additions'!$D$7:$D$91,0),MATCH(Calculation!$G1145,'Dist. Plant Gas Additions'!$F$5:$AE$5,0))</f>
        <v>420</v>
      </c>
      <c r="BT1145" s="118">
        <f>INDEX('Gen. Plant Additions'!$F$7:$AE$91,MATCH($C1145,'Gen. Plant Additions'!$D$7:$D$91,0),MATCH(Calculation!$G1145,'Gen. Plant Additions'!$F$5:$AE$5,0))</f>
        <v>445</v>
      </c>
      <c r="BU1145" s="118"/>
      <c r="BV1145" s="118"/>
      <c r="BW1145" s="118">
        <f>INDEX('Dist Plant Depreciation'!$E$7:$AD$94,MATCH($C1145,'Dist Plant Depreciation'!$D$7:$D$94,0),MATCH(Calculation!$G1145,'Dist Plant Depreciation'!$E$5:$AD$5,0))</f>
        <v>15533</v>
      </c>
      <c r="BX1145" s="118">
        <f>INDEX('Gen. Plant Depreciation'!$E$7:$AD$94,MATCH($C1145,'Gen. Plant Depreciation'!$D$7:$D$94,0),MATCH(Calculation!$G1145,'Gen. Plant Depreciation'!$E$5:$AD$5,0))</f>
        <v>2028</v>
      </c>
      <c r="BY1145" s="118"/>
      <c r="BZ1145" s="118"/>
      <c r="CA1145" s="118"/>
      <c r="CB1145" s="118"/>
      <c r="CC1145" s="118"/>
      <c r="CD1145" s="183"/>
      <c r="CE1145" s="118">
        <f>INDEX('Gross Dx Plant'!$E$7:$AD$91,MATCH($C1145,'Gross Dx Plant'!$D$7:$D$91,0),MATCH(Calculation!$G1145,'Gross Dx Plant'!$E$5:$AD$5,0))</f>
        <v>34687</v>
      </c>
      <c r="CF1145" s="118">
        <f>INDEX('Gross Gen Plant'!$E$7:$AD$91,MATCH($C1145,'Gross Gen Plant'!$D$7:$D$91,0),MATCH(Calculation!$G1145,'Gross Gen Plant'!$E$5:$AD$5,0))</f>
        <v>6162</v>
      </c>
      <c r="CG1145" s="118">
        <f t="shared" si="3352"/>
        <v>23288</v>
      </c>
      <c r="CH1145" s="118"/>
      <c r="CI1145" s="121">
        <v>2003</v>
      </c>
      <c r="CJ1145" s="118"/>
      <c r="CK1145" s="118"/>
      <c r="CL1145" s="118"/>
      <c r="CM1145" s="183"/>
      <c r="CN1145" s="118">
        <f t="shared" si="3417"/>
        <v>865</v>
      </c>
      <c r="CO1145" s="118">
        <f t="shared" si="3418"/>
        <v>2.3426941100453531</v>
      </c>
      <c r="CP1145" s="186">
        <v>0.97354497354497349</v>
      </c>
      <c r="CQ1145" s="118">
        <f>+CQ1140*CP1145+CO1141*CP1144+CO1142*CP1143+CO1143*CP1142+CO1144*CP1141+CO1145</f>
        <v>135.0608555790524</v>
      </c>
      <c r="CR1145" s="119">
        <f t="shared" si="3419"/>
        <v>1.1773379672220389E-2</v>
      </c>
      <c r="CS1145" s="119"/>
      <c r="CT1145" s="177">
        <f t="shared" si="3420"/>
        <v>5.7079336710908748E-3</v>
      </c>
      <c r="CU1145" s="177">
        <f t="shared" si="3428"/>
        <v>5.5139510168456529E-3</v>
      </c>
      <c r="CV1145" s="119">
        <f>VLOOKUP($H1145,RoR!$E:$F,2,FALSE)</f>
        <v>5.6666666666666671E-2</v>
      </c>
      <c r="CW1145" s="177">
        <v>1.8855119140166909E-2</v>
      </c>
      <c r="CX1145" s="177">
        <f t="shared" si="3426"/>
        <v>3.7811547526499761E-2</v>
      </c>
      <c r="CY1145" s="177">
        <f t="shared" si="3429"/>
        <v>2.5387990591687972E-2</v>
      </c>
      <c r="CZ1145" s="177">
        <f t="shared" si="3430"/>
        <v>2.1375012817671957E-2</v>
      </c>
      <c r="DA1145" s="187">
        <f t="shared" si="3421"/>
        <v>0.85131374874999999</v>
      </c>
      <c r="DB1145" s="188">
        <f t="shared" si="3422"/>
        <v>0.90497737556561086</v>
      </c>
      <c r="DC1145" s="188">
        <f t="shared" si="3423"/>
        <v>0.5338235294117647</v>
      </c>
      <c r="DD1145" s="188">
        <f t="shared" si="3424"/>
        <v>0.88972433127405692</v>
      </c>
      <c r="DE1145" s="188">
        <f t="shared" si="3425"/>
        <v>0.42982423775949252</v>
      </c>
      <c r="DF1145" s="189">
        <f>INDEX('State Tax Lookup'!$D$7:$Z$91,MATCH(Calculation!$C1145,'State Tax Lookup'!$B$7:$B$91,0),MATCH($H1145,'State Tax Lookup'!$D$6:$Z$6,0))</f>
        <v>0.39649667</v>
      </c>
      <c r="DG1145" s="189">
        <v>0.375</v>
      </c>
      <c r="DH1145" s="190">
        <f t="shared" si="3427"/>
        <v>13.193116807091785</v>
      </c>
      <c r="DI1145" s="190"/>
      <c r="DJ1145" s="177"/>
      <c r="DK1145" s="189">
        <f>VLOOKUP($H1145,RoR!$E:$F,2,FALSE)</f>
        <v>5.6666666666666671E-2</v>
      </c>
      <c r="DL1145" s="191">
        <f>HLOOKUP($H1145,'GDP-PI'!$D$8:$CQ$11,3,FALSE)</f>
        <v>1.8855119140166909E-2</v>
      </c>
      <c r="DM1145" s="189">
        <f>VLOOKUP(H1145,'HW Dx Data'!$E:$F,2,FALSE)</f>
        <v>369.23301095560191</v>
      </c>
      <c r="DN1145" s="183">
        <f>VLOOKUP(H1145,'ECI - Input Price'!$G$17:$H$37,2,FALSE)</f>
        <v>92.625</v>
      </c>
      <c r="DO1145" s="177">
        <f t="shared" ref="DO1145" si="3431">LN(DN1145/DN1144)</f>
        <v>3.6837590135738785E-2</v>
      </c>
      <c r="DP1145" s="183">
        <f>HLOOKUP(H1145,'GDP-PI'!$8:$9,2,FALSE)</f>
        <v>82.566999999999993</v>
      </c>
      <c r="DQ1145" s="177">
        <f t="shared" ref="DQ1145" si="3432">LN(DP1145/DP1144)</f>
        <v>1.8679564681853753E-2</v>
      </c>
    </row>
    <row r="1146" spans="1:121" s="167" customFormat="1" ht="21" x14ac:dyDescent="0.35">
      <c r="A1146" s="167" t="s">
        <v>110</v>
      </c>
      <c r="B1146" s="167" t="s">
        <v>110</v>
      </c>
      <c r="C1146" s="167">
        <v>4063183</v>
      </c>
      <c r="D1146" s="168" t="s">
        <v>136</v>
      </c>
      <c r="E1146" s="168" t="s">
        <v>126</v>
      </c>
      <c r="F1146" s="198"/>
      <c r="G1146" s="167" t="s">
        <v>10</v>
      </c>
      <c r="H1146" s="169">
        <v>2004</v>
      </c>
      <c r="I1146" s="170"/>
      <c r="J1146" s="166">
        <f>IFERROR(INDEX('Labor Expenditures'!$F$7:$X$91,MATCH($C1146,'Labor Expenditures'!$D$7:$D$91,0),MATCH($G1146,'Labor Expenditures'!$F$5:$X$5,0)),"NA")</f>
        <v>1883.1984048662632</v>
      </c>
      <c r="K1146" s="166">
        <f t="shared" ref="K1146:K1163" si="3433">+J1146/DN1146</f>
        <v>19.580955600377056</v>
      </c>
      <c r="L1146" s="172"/>
      <c r="M1146" s="172"/>
      <c r="N1146" s="196"/>
      <c r="O1146" s="172"/>
      <c r="P1146" s="166">
        <f>IFERROR(INDEX('Non-Labor Expenditures'!$F$7:$AB$91,MATCH($C1146,'Non-Labor Expenditures'!$D$7:$D$91,0),MATCH($G1146,'Non-Labor Expenditures'!$F$5:$AB$5,0)),"NA")</f>
        <v>2727.2230231905132</v>
      </c>
      <c r="Q1146" s="166">
        <f t="shared" ref="Q1146:Q1163" si="3434">+P1146/DP1146</f>
        <v>32.168994588106742</v>
      </c>
      <c r="R1146" s="166"/>
      <c r="S1146" s="166"/>
      <c r="T1146" s="166"/>
      <c r="U1146" s="166"/>
      <c r="V1146" s="166">
        <f t="shared" si="3415"/>
        <v>1977.5019687628364</v>
      </c>
      <c r="W1146" s="170"/>
      <c r="X1146" s="174">
        <v>135.94758144445004</v>
      </c>
      <c r="Y1146" s="175">
        <v>6.5439219493178555E-3</v>
      </c>
      <c r="Z1146" s="175"/>
      <c r="AA1146" s="175"/>
      <c r="AB1146" s="175"/>
      <c r="AC1146" s="170">
        <f t="shared" si="3252"/>
        <v>6587.9233968196131</v>
      </c>
      <c r="AD1146" s="175"/>
      <c r="AE1146" s="170"/>
      <c r="AF1146" s="170"/>
      <c r="AG1146" s="174"/>
      <c r="AH1146" s="175"/>
      <c r="AI1146" s="175"/>
      <c r="AJ1146" s="174"/>
      <c r="AK1146" s="174"/>
      <c r="AL1146" s="120">
        <f t="shared" ref="AL1146:AL1163" si="3435">+J1146/AC1146</f>
        <v>0.28585614789865293</v>
      </c>
      <c r="AM1146" s="120">
        <f t="shared" ref="AM1146:AM1163" si="3436">+P1146/AC1146</f>
        <v>0.41397309272100946</v>
      </c>
      <c r="AN1146" s="120">
        <f t="shared" ref="AN1146:AN1163" si="3437">+V1146/AC1146</f>
        <v>0.3001707593803376</v>
      </c>
      <c r="AO1146" s="120"/>
      <c r="AP1146" s="120"/>
      <c r="AQ1146" s="175"/>
      <c r="AR1146" s="120"/>
      <c r="AS1146" s="120"/>
      <c r="AT1146" s="120"/>
      <c r="AU1146" s="120"/>
      <c r="AV1146" s="120"/>
      <c r="AW1146" s="120"/>
      <c r="AX1146" s="120"/>
      <c r="AY1146" s="120"/>
      <c r="AZ1146" s="118">
        <f>IFERROR(INDEX('Total Customers'!$F$7:$AB$91,MATCH($C1146,'Total Customers'!$D$7:$D$91,0),MATCH($G1146,'Total Customers'!$F$5:$AB$5,0)),"NA")</f>
        <v>15476</v>
      </c>
      <c r="BA1146" s="119">
        <f t="shared" si="3416"/>
        <v>1.2924071100382429E-4</v>
      </c>
      <c r="BB1146" s="119"/>
      <c r="BC1146" s="121"/>
      <c r="BD1146" s="119"/>
      <c r="BE1146" s="119"/>
      <c r="BF1146" s="119"/>
      <c r="BG1146" s="173"/>
      <c r="BH1146" s="173"/>
      <c r="BI1146" s="173"/>
      <c r="BJ1146" s="173"/>
      <c r="BK1146" s="173"/>
      <c r="BL1146" s="173"/>
      <c r="BM1146" s="173"/>
      <c r="BN1146" s="173"/>
      <c r="BO1146" s="173"/>
      <c r="BP1146" s="173"/>
      <c r="BQ1146" s="118"/>
      <c r="BR1146" s="118"/>
      <c r="BS1146" s="118">
        <f>INDEX('Dist. Plant Gas Additions'!$F$7:$AE$91,MATCH($C1146,'Dist. Plant Gas Additions'!$D$7:$D$91,0),MATCH(Calculation!$G1146,'Dist. Plant Gas Additions'!$F$5:$AE$5,0))</f>
        <v>460</v>
      </c>
      <c r="BT1146" s="118">
        <f>INDEX('Gen. Plant Additions'!$F$7:$AE$91,MATCH($C1146,'Gen. Plant Additions'!$D$7:$D$91,0),MATCH(Calculation!$G1146,'Gen. Plant Additions'!$F$5:$AE$5,0))</f>
        <v>239</v>
      </c>
      <c r="BU1146" s="118"/>
      <c r="BV1146" s="118"/>
      <c r="BW1146" s="118">
        <f>INDEX('Dist Plant Depreciation'!$E$7:$AD$94,MATCH($C1146,'Dist Plant Depreciation'!$D$7:$D$94,0),MATCH(Calculation!$G1146,'Dist Plant Depreciation'!$E$5:$AD$5,0))</f>
        <v>16346</v>
      </c>
      <c r="BX1146" s="118">
        <f>INDEX('Gen. Plant Depreciation'!$E$7:$AD$94,MATCH($C1146,'Gen. Plant Depreciation'!$D$7:$D$94,0),MATCH(Calculation!$G1146,'Gen. Plant Depreciation'!$E$5:$AD$5,0))</f>
        <v>2166</v>
      </c>
      <c r="BY1146" s="118"/>
      <c r="BZ1146" s="118"/>
      <c r="CA1146" s="118"/>
      <c r="CB1146" s="118"/>
      <c r="CC1146" s="118"/>
      <c r="CD1146" s="183"/>
      <c r="CE1146" s="118">
        <f>INDEX('Gross Dx Plant'!$E$7:$AD$91,MATCH($C1146,'Gross Dx Plant'!$D$7:$D$91,0),MATCH(Calculation!$G1146,'Gross Dx Plant'!$E$5:$AD$5,0))</f>
        <v>35025</v>
      </c>
      <c r="CF1146" s="118">
        <f>INDEX('Gross Gen Plant'!$E$7:$AD$91,MATCH($C1146,'Gross Gen Plant'!$D$7:$D$91,0),MATCH(Calculation!$G1146,'Gross Gen Plant'!$E$5:$AD$5,0))</f>
        <v>6201</v>
      </c>
      <c r="CG1146" s="118">
        <f t="shared" si="3352"/>
        <v>22714</v>
      </c>
      <c r="CH1146" s="118"/>
      <c r="CI1146" s="121">
        <v>2004</v>
      </c>
      <c r="CJ1146" s="118"/>
      <c r="CK1146" s="118"/>
      <c r="CL1146" s="118"/>
      <c r="CM1146" s="183"/>
      <c r="CN1146" s="118">
        <f t="shared" si="3417"/>
        <v>699</v>
      </c>
      <c r="CO1146" s="118">
        <f t="shared" si="3418"/>
        <v>1.6847953240534586</v>
      </c>
      <c r="CP1146" s="186">
        <v>0.967741935483871</v>
      </c>
      <c r="CQ1146" s="118">
        <f>+CQ1140*CP1146+CO1141*CP1145+CO1142*CP1144+CO1143*CP1143+CO1144*CP1142+CO1145*CP1141+CO1146</f>
        <v>135.94758144445004</v>
      </c>
      <c r="CR1146" s="119">
        <f t="shared" si="3419"/>
        <v>6.5439219493178555E-3</v>
      </c>
      <c r="CS1146" s="119"/>
      <c r="CT1146" s="177">
        <f t="shared" si="3420"/>
        <v>5.9089619655837622E-3</v>
      </c>
      <c r="CU1146" s="177">
        <f t="shared" si="3428"/>
        <v>5.7494071554220838E-3</v>
      </c>
      <c r="CV1146" s="119">
        <f>VLOOKUP($H1146,RoR!$E:$F,2,FALSE)</f>
        <v>5.6283333333333331E-2</v>
      </c>
      <c r="CW1146" s="177">
        <v>2.6778252812867276E-2</v>
      </c>
      <c r="CX1146" s="177">
        <f t="shared" si="3426"/>
        <v>2.9505080520466055E-2</v>
      </c>
      <c r="CY1146" s="177">
        <f t="shared" si="3429"/>
        <v>2.5152534453111542E-2</v>
      </c>
      <c r="CZ1146" s="177">
        <f t="shared" si="3430"/>
        <v>5.5940039414565046E-2</v>
      </c>
      <c r="DA1146" s="187">
        <f t="shared" si="3421"/>
        <v>0.85131374874999999</v>
      </c>
      <c r="DB1146" s="188">
        <f t="shared" si="3422"/>
        <v>0.91114097628755619</v>
      </c>
      <c r="DC1146" s="188">
        <f t="shared" si="3423"/>
        <v>0.53081877405981637</v>
      </c>
      <c r="DD1146" s="188">
        <f t="shared" si="3424"/>
        <v>0.88811215519385678</v>
      </c>
      <c r="DE1146" s="188">
        <f t="shared" si="3425"/>
        <v>0.42953609753547711</v>
      </c>
      <c r="DF1146" s="189">
        <f>INDEX('State Tax Lookup'!$D$7:$Z$91,MATCH(Calculation!$C1146,'State Tax Lookup'!$B$7:$B$91,0),MATCH($H1146,'State Tax Lookup'!$D$6:$Z$6,0))</f>
        <v>0.39649667</v>
      </c>
      <c r="DG1146" s="189">
        <v>0.375</v>
      </c>
      <c r="DH1146" s="190">
        <f t="shared" si="3427"/>
        <v>14.641562577732863</v>
      </c>
      <c r="DI1146" s="190"/>
      <c r="DJ1146" s="177"/>
      <c r="DK1146" s="189">
        <f>VLOOKUP($H1146,RoR!$E:$F,2,FALSE)</f>
        <v>5.6283333333333331E-2</v>
      </c>
      <c r="DL1146" s="191">
        <f>HLOOKUP($H1146,'GDP-PI'!$D$8:$CQ$11,3,FALSE)</f>
        <v>2.6778252812867276E-2</v>
      </c>
      <c r="DM1146" s="189">
        <f>VLOOKUP(H1146,'HW Dx Data'!$E:$F,2,FALSE)</f>
        <v>414.88719135228365</v>
      </c>
      <c r="DN1146" s="183">
        <f>VLOOKUP(H1146,'ECI - Input Price'!$G$17:$H$37,2,FALSE)</f>
        <v>96.174999999999997</v>
      </c>
      <c r="DO1146" s="177">
        <f t="shared" ref="DO1146" si="3438">LN(DN1146/DN1145)</f>
        <v>3.7610365022107912E-2</v>
      </c>
      <c r="DP1146" s="183">
        <f>HLOOKUP(H1146,'GDP-PI'!$8:$9,2,FALSE)</f>
        <v>84.778000000000006</v>
      </c>
      <c r="DQ1146" s="177">
        <f t="shared" ref="DQ1146" si="3439">LN(DP1146/DP1145)</f>
        <v>2.6425990216022755E-2</v>
      </c>
    </row>
    <row r="1147" spans="1:121" s="167" customFormat="1" ht="21" x14ac:dyDescent="0.35">
      <c r="A1147" s="167" t="s">
        <v>110</v>
      </c>
      <c r="B1147" s="167" t="s">
        <v>110</v>
      </c>
      <c r="C1147" s="167">
        <v>4063183</v>
      </c>
      <c r="D1147" s="168" t="s">
        <v>136</v>
      </c>
      <c r="E1147" s="168" t="s">
        <v>126</v>
      </c>
      <c r="F1147" s="198"/>
      <c r="G1147" s="167" t="s">
        <v>11</v>
      </c>
      <c r="H1147" s="169">
        <v>2005</v>
      </c>
      <c r="I1147" s="170"/>
      <c r="J1147" s="166">
        <f>IFERROR(INDEX('Labor Expenditures'!$F$7:$X$91,MATCH($C1147,'Labor Expenditures'!$D$7:$D$91,0),MATCH($G1147,'Labor Expenditures'!$F$5:$X$5,0)),"NA")</f>
        <v>1902.9459375134886</v>
      </c>
      <c r="K1147" s="166">
        <f t="shared" si="3433"/>
        <v>19.192596444916678</v>
      </c>
      <c r="L1147" s="172">
        <f t="shared" ref="L1147:L1163" si="3440">LN(K1147/K1146)</f>
        <v>-2.0032837990684421E-2</v>
      </c>
      <c r="M1147" s="172"/>
      <c r="N1147" s="196"/>
      <c r="O1147" s="172"/>
      <c r="P1147" s="166">
        <f>IFERROR(INDEX('Non-Labor Expenditures'!$F$7:$AB$91,MATCH($C1147,'Non-Labor Expenditures'!$D$7:$D$91,0),MATCH($G1147,'Non-Labor Expenditures'!$F$5:$AB$5,0)),"NA")</f>
        <v>2755.8211387940282</v>
      </c>
      <c r="Q1147" s="166">
        <f t="shared" si="3434"/>
        <v>31.528609136499689</v>
      </c>
      <c r="R1147" s="172">
        <f>LN(Q1147/Q1146)</f>
        <v>-2.0107727473971718E-2</v>
      </c>
      <c r="S1147" s="172"/>
      <c r="T1147" s="172"/>
      <c r="U1147" s="172"/>
      <c r="V1147" s="166">
        <f t="shared" si="3415"/>
        <v>2230.7748310807515</v>
      </c>
      <c r="W1147" s="170"/>
      <c r="X1147" s="174">
        <v>136.88187253258781</v>
      </c>
      <c r="Y1147" s="175">
        <v>6.8489287109282865E-3</v>
      </c>
      <c r="Z1147" s="175"/>
      <c r="AA1147" s="175"/>
      <c r="AB1147" s="175"/>
      <c r="AC1147" s="170">
        <f t="shared" si="3252"/>
        <v>6889.5419073882676</v>
      </c>
      <c r="AD1147" s="175">
        <f>LN(AC1147/AC1146)</f>
        <v>4.4766411660207429E-2</v>
      </c>
      <c r="AE1147" s="170"/>
      <c r="AF1147" s="170"/>
      <c r="AG1147" s="121"/>
      <c r="AH1147" s="119"/>
      <c r="AI1147" s="119"/>
      <c r="AJ1147" s="121"/>
      <c r="AK1147" s="121"/>
      <c r="AL1147" s="120">
        <f t="shared" si="3435"/>
        <v>0.27620790512541782</v>
      </c>
      <c r="AM1147" s="120">
        <f t="shared" si="3436"/>
        <v>0.40000063514218798</v>
      </c>
      <c r="AN1147" s="120">
        <f t="shared" si="3437"/>
        <v>0.32379145973239432</v>
      </c>
      <c r="AO1147" s="120">
        <f t="shared" ref="AO1147:AO1163" si="3441">+(((AL1147+AL1146)/2)*L1147+((AM1146+AM1147)/2)*R1147+((AN1146+AN1147)/2)*Y1147)</f>
        <v>-1.1676713624224472E-2</v>
      </c>
      <c r="AP1147" s="173">
        <v>100</v>
      </c>
      <c r="AQ1147" s="175"/>
      <c r="AR1147" s="120"/>
      <c r="AS1147" s="120"/>
      <c r="AT1147" s="120"/>
      <c r="AU1147" s="120"/>
      <c r="AV1147" s="120"/>
      <c r="AW1147" s="120"/>
      <c r="AX1147" s="120"/>
      <c r="AY1147" s="120"/>
      <c r="AZ1147" s="118">
        <f>IFERROR(INDEX('Total Customers'!$F$7:$AB$91,MATCH($C1147,'Total Customers'!$D$7:$D$91,0),MATCH($G1147,'Total Customers'!$F$5:$AB$5,0)),"NA")</f>
        <v>15511</v>
      </c>
      <c r="BA1147" s="119">
        <f t="shared" si="3416"/>
        <v>2.2590128043473226E-3</v>
      </c>
      <c r="BB1147" s="119"/>
      <c r="BC1147" s="121"/>
      <c r="BD1147" s="119"/>
      <c r="BE1147" s="119"/>
      <c r="BF1147" s="119"/>
      <c r="BG1147" s="173"/>
      <c r="BH1147" s="173"/>
      <c r="BI1147" s="173"/>
      <c r="BJ1147" s="173"/>
      <c r="BK1147" s="173"/>
      <c r="BL1147" s="173"/>
      <c r="BM1147" s="173"/>
      <c r="BN1147" s="173"/>
      <c r="BO1147" s="173"/>
      <c r="BP1147" s="173"/>
      <c r="BQ1147" s="118"/>
      <c r="BR1147" s="118"/>
      <c r="BS1147" s="118">
        <f>INDEX('Dist. Plant Gas Additions'!$F$7:$AE$91,MATCH($C1147,'Dist. Plant Gas Additions'!$D$7:$D$91,0),MATCH(Calculation!$G1147,'Dist. Plant Gas Additions'!$F$5:$AE$5,0))</f>
        <v>686</v>
      </c>
      <c r="BT1147" s="118">
        <f>INDEX('Gen. Plant Additions'!$F$7:$AE$91,MATCH($C1147,'Gen. Plant Additions'!$D$7:$D$91,0),MATCH(Calculation!$G1147,'Gen. Plant Additions'!$F$5:$AE$5,0))</f>
        <v>143</v>
      </c>
      <c r="BU1147" s="118"/>
      <c r="BV1147" s="118"/>
      <c r="BW1147" s="118">
        <f>INDEX('Dist Plant Depreciation'!$E$7:$AD$94,MATCH($C1147,'Dist Plant Depreciation'!$D$7:$D$94,0),MATCH(Calculation!$G1147,'Dist Plant Depreciation'!$E$5:$AD$5,0))</f>
        <v>17185</v>
      </c>
      <c r="BX1147" s="118">
        <f>INDEX('Gen. Plant Depreciation'!$E$7:$AD$94,MATCH($C1147,'Gen. Plant Depreciation'!$D$7:$D$94,0),MATCH(Calculation!$G1147,'Gen. Plant Depreciation'!$E$5:$AD$5,0))</f>
        <v>2136</v>
      </c>
      <c r="BY1147" s="118"/>
      <c r="BZ1147" s="118"/>
      <c r="CA1147" s="118"/>
      <c r="CB1147" s="118"/>
      <c r="CC1147" s="118"/>
      <c r="CD1147" s="183"/>
      <c r="CE1147" s="118">
        <f>INDEX('Gross Dx Plant'!$E$7:$AD$91,MATCH($C1147,'Gross Dx Plant'!$D$7:$D$91,0),MATCH(Calculation!$G1147,'Gross Dx Plant'!$E$5:$AD$5,0))</f>
        <v>35616</v>
      </c>
      <c r="CF1147" s="118">
        <f>INDEX('Gross Gen Plant'!$E$7:$AD$91,MATCH($C1147,'Gross Gen Plant'!$D$7:$D$91,0),MATCH(Calculation!$G1147,'Gross Gen Plant'!$E$5:$AD$5,0))</f>
        <v>5961</v>
      </c>
      <c r="CG1147" s="118">
        <f t="shared" si="3352"/>
        <v>22256</v>
      </c>
      <c r="CH1147" s="118"/>
      <c r="CI1147" s="121">
        <v>2005</v>
      </c>
      <c r="CJ1147" s="118"/>
      <c r="CK1147" s="118"/>
      <c r="CL1147" s="118"/>
      <c r="CM1147" s="183"/>
      <c r="CN1147" s="118">
        <f t="shared" si="3417"/>
        <v>829</v>
      </c>
      <c r="CO1147" s="118">
        <f t="shared" si="3418"/>
        <v>1.7668178131696084</v>
      </c>
      <c r="CP1147" s="186">
        <v>0.96174863387978138</v>
      </c>
      <c r="CQ1147" s="118">
        <f>+CQ1140*CP1147+CO1141*CP1146+CO1142*CP1145+CO1143*CP1144+CO1144*CP1143+CO1145*CP1142+CO1146*CP1141+CO1147</f>
        <v>136.88187253258781</v>
      </c>
      <c r="CR1147" s="119">
        <f t="shared" si="3419"/>
        <v>6.8489287109282865E-3</v>
      </c>
      <c r="CS1147" s="119"/>
      <c r="CT1147" s="177">
        <f t="shared" si="3420"/>
        <v>6.1238803676108107E-3</v>
      </c>
      <c r="CU1147" s="177">
        <f t="shared" si="3428"/>
        <v>5.913592001428482E-3</v>
      </c>
      <c r="CV1147" s="119">
        <f>VLOOKUP($H1147,RoR!$E:$F,2,FALSE)</f>
        <v>5.2350000000000001E-2</v>
      </c>
      <c r="CW1147" s="177">
        <v>3.1010403642454332E-2</v>
      </c>
      <c r="CX1147" s="177">
        <f t="shared" si="3426"/>
        <v>2.1339596357545669E-2</v>
      </c>
      <c r="CY1147" s="177">
        <f t="shared" si="3429"/>
        <v>2.4988349607105144E-2</v>
      </c>
      <c r="CZ1147" s="177">
        <f t="shared" si="3430"/>
        <v>9.2129610649277341E-2</v>
      </c>
      <c r="DA1147" s="187">
        <f t="shared" si="3421"/>
        <v>0.85131374874999999</v>
      </c>
      <c r="DB1147" s="188">
        <f t="shared" si="3422"/>
        <v>0.97959983346802826</v>
      </c>
      <c r="DC1147" s="188">
        <f t="shared" si="3423"/>
        <v>0.49744508118433622</v>
      </c>
      <c r="DD1147" s="188">
        <f t="shared" si="3424"/>
        <v>0.87010519444335932</v>
      </c>
      <c r="DE1147" s="188">
        <f t="shared" si="3425"/>
        <v>0.42399975420741998</v>
      </c>
      <c r="DF1147" s="189">
        <f>INDEX('State Tax Lookup'!$D$7:$Z$91,MATCH(Calculation!$C1147,'State Tax Lookup'!$B$7:$B$91,0),MATCH($H1147,'State Tax Lookup'!$D$6:$Z$6,0))</f>
        <v>0.39649667</v>
      </c>
      <c r="DG1147" s="189">
        <v>0.375</v>
      </c>
      <c r="DH1147" s="190">
        <f t="shared" si="3427"/>
        <v>16.409080671966755</v>
      </c>
      <c r="DI1147" s="190"/>
      <c r="DJ1147" s="177"/>
      <c r="DK1147" s="189">
        <f>VLOOKUP($H1147,RoR!$E:$F,2,FALSE)</f>
        <v>5.2350000000000001E-2</v>
      </c>
      <c r="DL1147" s="191">
        <f>HLOOKUP($H1147,'GDP-PI'!$D$8:$CQ$11,3,FALSE)</f>
        <v>3.1010403642454332E-2</v>
      </c>
      <c r="DM1147" s="189">
        <f>VLOOKUP(H1147,'HW Dx Data'!$E:$F,2,FALSE)</f>
        <v>469.20514034936258</v>
      </c>
      <c r="DN1147" s="183">
        <f>VLOOKUP(H1147,'ECI - Input Price'!$G$17:$H$37,2,FALSE)</f>
        <v>99.15</v>
      </c>
      <c r="DO1147" s="177">
        <f t="shared" ref="DO1147" si="3442">LN(DN1147/DN1146)</f>
        <v>3.046440632744625E-2</v>
      </c>
      <c r="DP1147" s="183">
        <f>HLOOKUP(H1147,'GDP-PI'!$8:$9,2,FALSE)</f>
        <v>87.406999999999996</v>
      </c>
      <c r="DQ1147" s="177">
        <f t="shared" ref="DQ1147" si="3443">LN(DP1147/DP1146)</f>
        <v>3.0539295810733648E-2</v>
      </c>
    </row>
    <row r="1148" spans="1:121" s="167" customFormat="1" ht="21" x14ac:dyDescent="0.35">
      <c r="A1148" s="167" t="s">
        <v>110</v>
      </c>
      <c r="B1148" s="167" t="s">
        <v>110</v>
      </c>
      <c r="C1148" s="167">
        <v>4063183</v>
      </c>
      <c r="D1148" s="168" t="s">
        <v>136</v>
      </c>
      <c r="E1148" s="168" t="s">
        <v>126</v>
      </c>
      <c r="F1148" s="198"/>
      <c r="G1148" s="167" t="s">
        <v>12</v>
      </c>
      <c r="H1148" s="169">
        <v>2006</v>
      </c>
      <c r="I1148" s="170"/>
      <c r="J1148" s="166">
        <f>IFERROR(INDEX('Labor Expenditures'!$F$7:$X$91,MATCH($C1148,'Labor Expenditures'!$D$7:$D$91,0),MATCH($G1148,'Labor Expenditures'!$F$5:$X$5,0)),"NA")</f>
        <v>1831.3221798897846</v>
      </c>
      <c r="K1148" s="166">
        <f t="shared" si="3433"/>
        <v>17.945342282114499</v>
      </c>
      <c r="L1148" s="172">
        <f t="shared" si="3440"/>
        <v>-6.719400447075731E-2</v>
      </c>
      <c r="M1148" s="172">
        <f t="shared" ref="M1148:M1163" si="3444">+L1148*AR1148</f>
        <v>-5.6375851067873851E-5</v>
      </c>
      <c r="N1148" s="196"/>
      <c r="O1148" s="172"/>
      <c r="P1148" s="166">
        <f>IFERROR(INDEX('Non-Labor Expenditures'!$F$7:$AB$91,MATCH($C1148,'Non-Labor Expenditures'!$D$7:$D$91,0),MATCH($G1148,'Non-Labor Expenditures'!$F$5:$AB$5,0)),"NA")</f>
        <v>2652.0965602822616</v>
      </c>
      <c r="Q1148" s="166">
        <f t="shared" si="3434"/>
        <v>29.44353043366856</v>
      </c>
      <c r="R1148" s="172">
        <f t="shared" ref="R1148:R1163" si="3445">LN(Q1148/Q1147)</f>
        <v>-6.8421153906163171E-2</v>
      </c>
      <c r="S1148" s="172">
        <f>+R1148*AR1148</f>
        <v>-5.7405430929252314E-5</v>
      </c>
      <c r="T1148" s="172"/>
      <c r="U1148" s="172"/>
      <c r="V1148" s="166">
        <f t="shared" si="3415"/>
        <v>2190.4485441667566</v>
      </c>
      <c r="W1148" s="170"/>
      <c r="X1148" s="174">
        <v>139.73240938773219</v>
      </c>
      <c r="Y1148" s="175">
        <v>2.0610922516729278E-2</v>
      </c>
      <c r="Z1148" s="175">
        <f>+Y1148*AR1148</f>
        <v>1.7292588934482975E-5</v>
      </c>
      <c r="AA1148" s="175"/>
      <c r="AB1148" s="175"/>
      <c r="AC1148" s="170">
        <f t="shared" si="3252"/>
        <v>6673.8672843388031</v>
      </c>
      <c r="AD1148" s="175">
        <f t="shared" ref="AD1148:AD1163" si="3446">LN(AC1148/AC1147)</f>
        <v>-3.180510156796653E-2</v>
      </c>
      <c r="AE1148" s="170"/>
      <c r="AF1148" s="170"/>
      <c r="AG1148" s="121">
        <f t="shared" ref="AG1148:AG1163" si="3447">+(AC1148*1000)/AZ1148</f>
        <v>437.37252010870981</v>
      </c>
      <c r="AH1148" s="119">
        <f>+AZ1148/$BB$44</f>
        <v>4.3405648298303165E-4</v>
      </c>
      <c r="AI1148" s="119">
        <f>+AZ1148/$BC$44</f>
        <v>1.8501639975958416E-3</v>
      </c>
      <c r="AJ1148" s="176">
        <f>+AH1148*AG1148</f>
        <v>0.18984437783181188</v>
      </c>
      <c r="AK1148" s="176">
        <f>+AI1148*AG1148</f>
        <v>0.80921089024289816</v>
      </c>
      <c r="AL1148" s="120">
        <f t="shared" si="3435"/>
        <v>0.27440194745664892</v>
      </c>
      <c r="AM1148" s="120">
        <f t="shared" si="3436"/>
        <v>0.39738527113144589</v>
      </c>
      <c r="AN1148" s="120">
        <f t="shared" si="3437"/>
        <v>0.32821278141190513</v>
      </c>
      <c r="AO1148" s="120">
        <f t="shared" si="3441"/>
        <v>-3.9058667908496048E-2</v>
      </c>
      <c r="AP1148" s="173">
        <f>+AP1147*EXP(AO1148)</f>
        <v>96.169428689887042</v>
      </c>
      <c r="AQ1148" s="175">
        <f>LN(AP1148/AP1147)</f>
        <v>-3.9058667908495992E-2</v>
      </c>
      <c r="AR1148" s="177">
        <f>+AC1148/$AE$44</f>
        <v>8.39001210181014E-4</v>
      </c>
      <c r="AS1148" s="177">
        <f>+AR1148*AQ1148</f>
        <v>-3.2770269643286472E-5</v>
      </c>
      <c r="AT1148" s="177"/>
      <c r="AU1148" s="177"/>
      <c r="AV1148" s="177"/>
      <c r="AW1148" s="190"/>
      <c r="AX1148" s="120"/>
      <c r="AY1148" s="120"/>
      <c r="AZ1148" s="118">
        <f>IFERROR(INDEX('Total Customers'!$F$7:$AB$91,MATCH($C1148,'Total Customers'!$D$7:$D$91,0),MATCH($G1148,'Total Customers'!$F$5:$AB$5,0)),"NA")</f>
        <v>15259</v>
      </c>
      <c r="BA1148" s="119">
        <f t="shared" si="3416"/>
        <v>-1.6379956733015229E-2</v>
      </c>
      <c r="BB1148" s="119"/>
      <c r="BC1148" s="121">
        <v>8247377</v>
      </c>
      <c r="BD1148" s="119"/>
      <c r="BE1148" s="119"/>
      <c r="BF1148" s="119"/>
      <c r="BG1148" s="173"/>
      <c r="BH1148" s="173"/>
      <c r="BI1148" s="173"/>
      <c r="BJ1148" s="173"/>
      <c r="BK1148" s="173"/>
      <c r="BL1148" s="173"/>
      <c r="BM1148" s="173"/>
      <c r="BN1148" s="173"/>
      <c r="BO1148" s="173"/>
      <c r="BP1148" s="173"/>
      <c r="BQ1148" s="118"/>
      <c r="BR1148" s="118"/>
      <c r="BS1148" s="118">
        <f>INDEX('Dist. Plant Gas Additions'!$F$7:$AE$91,MATCH($C1148,'Dist. Plant Gas Additions'!$D$7:$D$91,0),MATCH(Calculation!$G1148,'Dist. Plant Gas Additions'!$F$5:$AE$5,0))</f>
        <v>513</v>
      </c>
      <c r="BT1148" s="118">
        <f>INDEX('Gen. Plant Additions'!$F$7:$AE$91,MATCH($C1148,'Gen. Plant Additions'!$D$7:$D$91,0),MATCH(Calculation!$G1148,'Gen. Plant Additions'!$F$5:$AE$5,0))</f>
        <v>1202</v>
      </c>
      <c r="BU1148" s="118"/>
      <c r="BV1148" s="118"/>
      <c r="BW1148" s="118">
        <f>INDEX('Dist Plant Depreciation'!$E$7:$AD$94,MATCH($C1148,'Dist Plant Depreciation'!$D$7:$D$94,0),MATCH(Calculation!$G1148,'Dist Plant Depreciation'!$E$5:$AD$5,0))</f>
        <v>18071</v>
      </c>
      <c r="BX1148" s="118">
        <f>INDEX('Gen. Plant Depreciation'!$E$7:$AD$94,MATCH($C1148,'Gen. Plant Depreciation'!$D$7:$D$94,0),MATCH(Calculation!$G1148,'Gen. Plant Depreciation'!$E$5:$AD$5,0))</f>
        <v>2013</v>
      </c>
      <c r="BY1148" s="118"/>
      <c r="BZ1148" s="118"/>
      <c r="CA1148" s="118"/>
      <c r="CB1148" s="118"/>
      <c r="CC1148" s="118"/>
      <c r="CD1148" s="183"/>
      <c r="CE1148" s="118">
        <f>INDEX('Gross Dx Plant'!$E$7:$AD$91,MATCH($C1148,'Gross Dx Plant'!$D$7:$D$91,0),MATCH(Calculation!$G1148,'Gross Dx Plant'!$E$5:$AD$5,0))</f>
        <v>36088</v>
      </c>
      <c r="CF1148" s="118">
        <f>INDEX('Gross Gen Plant'!$E$7:$AD$91,MATCH($C1148,'Gross Gen Plant'!$D$7:$D$91,0),MATCH(Calculation!$G1148,'Gross Gen Plant'!$E$5:$AD$5,0))</f>
        <v>6745</v>
      </c>
      <c r="CG1148" s="118">
        <f t="shared" si="3352"/>
        <v>22749</v>
      </c>
      <c r="CH1148" s="119" t="e">
        <f>SUM(#REF!)/15</f>
        <v>#REF!</v>
      </c>
      <c r="CI1148" s="121">
        <v>2006</v>
      </c>
      <c r="CJ1148" s="118"/>
      <c r="CK1148" s="118"/>
      <c r="CL1148" s="118"/>
      <c r="CM1148" s="183"/>
      <c r="CN1148" s="118">
        <f t="shared" si="3417"/>
        <v>1715</v>
      </c>
      <c r="CO1148" s="118">
        <f t="shared" si="3418"/>
        <v>3.719482303249332</v>
      </c>
      <c r="CP1148" s="186">
        <v>0.9555555555555556</v>
      </c>
      <c r="CQ1148" s="118">
        <f>+CQ1140*CP1148+CO1141*CP1147+CO1142*CP1146+CO1143*CP1145+CO1144*CP1144+CO1145*CP1143+CO1146*CP1142+CO1147*CP1141+CO1148</f>
        <v>139.73240938773219</v>
      </c>
      <c r="CR1148" s="119">
        <f t="shared" si="3419"/>
        <v>2.0610922516729278E-2</v>
      </c>
      <c r="CS1148" s="119"/>
      <c r="CT1148" s="177">
        <f t="shared" si="3420"/>
        <v>6.3481411528621247E-3</v>
      </c>
      <c r="CU1148" s="177">
        <f t="shared" si="3428"/>
        <v>6.1269944953522325E-3</v>
      </c>
      <c r="CV1148" s="119">
        <f>VLOOKUP($H1148,RoR!$E:$F,2,FALSE)</f>
        <v>5.5874999999999994E-2</v>
      </c>
      <c r="CW1148" s="177">
        <v>3.0512430354548314E-2</v>
      </c>
      <c r="CX1148" s="177">
        <f t="shared" si="3426"/>
        <v>2.536256964545168E-2</v>
      </c>
      <c r="CY1148" s="177">
        <f t="shared" si="3429"/>
        <v>2.4774947113181393E-2</v>
      </c>
      <c r="CZ1148" s="177">
        <f t="shared" si="3430"/>
        <v>7.9087823893859641E-2</v>
      </c>
      <c r="DA1148" s="187">
        <f t="shared" si="3421"/>
        <v>0.85131374874999999</v>
      </c>
      <c r="DB1148" s="188">
        <f t="shared" si="3422"/>
        <v>0.91779957551769631</v>
      </c>
      <c r="DC1148" s="188">
        <f t="shared" si="3423"/>
        <v>0.52757270693512304</v>
      </c>
      <c r="DD1148" s="188">
        <f t="shared" si="3424"/>
        <v>0.88636824549024895</v>
      </c>
      <c r="DE1148" s="188">
        <f t="shared" si="3425"/>
        <v>0.42918482841932087</v>
      </c>
      <c r="DF1148" s="189">
        <f>INDEX('State Tax Lookup'!$D$7:$Z$91,MATCH(Calculation!$C1148,'State Tax Lookup'!$B$7:$B$91,0),MATCH($H1148,'State Tax Lookup'!$D$6:$Z$6,0))</f>
        <v>0.39649667</v>
      </c>
      <c r="DG1148" s="189">
        <v>0.375</v>
      </c>
      <c r="DH1148" s="190">
        <f t="shared" si="3427"/>
        <v>16.002473546270863</v>
      </c>
      <c r="DI1148" s="190">
        <v>15.519470091399231</v>
      </c>
      <c r="DJ1148" s="177"/>
      <c r="DK1148" s="189">
        <f>VLOOKUP($H1148,RoR!$E:$F,2,FALSE)</f>
        <v>5.5874999999999994E-2</v>
      </c>
      <c r="DL1148" s="191">
        <f>HLOOKUP($H1148,'GDP-PI'!$D$8:$CQ$11,3,FALSE)</f>
        <v>3.0512430354548314E-2</v>
      </c>
      <c r="DM1148" s="189">
        <f>VLOOKUP(H1148,'HW Dx Data'!$E:$F,2,FALSE)</f>
        <v>461.08567272971823</v>
      </c>
      <c r="DN1148" s="183">
        <f>VLOOKUP(H1148,'ECI - Input Price'!$G$17:$H$37,2,FALSE)</f>
        <v>102.05</v>
      </c>
      <c r="DO1148" s="177">
        <f t="shared" ref="DO1148" si="3448">LN(DN1148/DN1147)</f>
        <v>2.8829034290048662E-2</v>
      </c>
      <c r="DP1148" s="183">
        <f>HLOOKUP(H1148,'GDP-PI'!$8:$9,2,FALSE)</f>
        <v>90.073999999999998</v>
      </c>
      <c r="DQ1148" s="177">
        <f t="shared" ref="DQ1148" si="3449">LN(DP1148/DP1147)</f>
        <v>3.005618372545445E-2</v>
      </c>
    </row>
    <row r="1149" spans="1:121" s="167" customFormat="1" ht="21" x14ac:dyDescent="0.35">
      <c r="A1149" s="167" t="s">
        <v>110</v>
      </c>
      <c r="B1149" s="167" t="s">
        <v>110</v>
      </c>
      <c r="C1149" s="167">
        <v>4063183</v>
      </c>
      <c r="D1149" s="168" t="s">
        <v>136</v>
      </c>
      <c r="E1149" s="168" t="s">
        <v>126</v>
      </c>
      <c r="F1149" s="198"/>
      <c r="G1149" s="167" t="s">
        <v>13</v>
      </c>
      <c r="H1149" s="169">
        <v>2007</v>
      </c>
      <c r="I1149" s="170"/>
      <c r="J1149" s="166">
        <f>IFERROR(INDEX('Labor Expenditures'!$F$7:$X$91,MATCH($C1149,'Labor Expenditures'!$D$7:$D$91,0),MATCH($G1149,'Labor Expenditures'!$F$5:$X$5,0)),"NA")</f>
        <v>2220.3464244936977</v>
      </c>
      <c r="K1149" s="166">
        <f t="shared" si="3433"/>
        <v>21.100940123484889</v>
      </c>
      <c r="L1149" s="172">
        <f t="shared" si="3440"/>
        <v>0.1619869967326259</v>
      </c>
      <c r="M1149" s="172">
        <f t="shared" si="3444"/>
        <v>1.5103300903112881E-4</v>
      </c>
      <c r="N1149" s="196"/>
      <c r="O1149" s="172"/>
      <c r="P1149" s="166">
        <f>IFERROR(INDEX('Non-Labor Expenditures'!$F$7:$AB$91,MATCH($C1149,'Non-Labor Expenditures'!$D$7:$D$91,0),MATCH($G1149,'Non-Labor Expenditures'!$F$5:$AB$5,0)),"NA")</f>
        <v>3215.4763261749767</v>
      </c>
      <c r="Q1149" s="166">
        <f t="shared" si="3434"/>
        <v>34.762657853953343</v>
      </c>
      <c r="R1149" s="172">
        <f t="shared" si="3445"/>
        <v>0.1660695541833685</v>
      </c>
      <c r="S1149" s="172">
        <f t="shared" ref="S1149:S1163" si="3450">+R1149*AR1149</f>
        <v>1.5483949318581601E-4</v>
      </c>
      <c r="T1149" s="172"/>
      <c r="U1149" s="172"/>
      <c r="V1149" s="166">
        <f t="shared" si="3415"/>
        <v>2397.9738192919608</v>
      </c>
      <c r="W1149" s="170"/>
      <c r="X1149" s="174">
        <v>141.84364195151321</v>
      </c>
      <c r="Y1149" s="175">
        <v>1.4996105802679894E-2</v>
      </c>
      <c r="Z1149" s="175">
        <f t="shared" ref="Z1149:Z1163" si="3451">+Y1149*AR1149</f>
        <v>1.3982029599982942E-5</v>
      </c>
      <c r="AA1149" s="175"/>
      <c r="AB1149" s="175"/>
      <c r="AC1149" s="170">
        <f t="shared" si="3252"/>
        <v>7833.7965699606357</v>
      </c>
      <c r="AD1149" s="175">
        <f t="shared" si="3446"/>
        <v>0.16024777266791704</v>
      </c>
      <c r="AE1149" s="170"/>
      <c r="AF1149" s="170"/>
      <c r="AG1149" s="121">
        <f t="shared" si="3447"/>
        <v>510.07921408781328</v>
      </c>
      <c r="AH1149" s="119">
        <f>+AZ1149/$BB$45</f>
        <v>4.3359705264328711E-4</v>
      </c>
      <c r="AI1149" s="119">
        <f>+AZ1149/$BC$45</f>
        <v>1.8757273817481394E-3</v>
      </c>
      <c r="AJ1149" s="176">
        <f t="shared" ref="AJ1149:AJ1163" si="3452">+AH1149*AG1149</f>
        <v>0.22116884384308008</v>
      </c>
      <c r="AK1149" s="176">
        <f t="shared" ref="AK1149:AK1163" si="3453">+AI1149*AG1149</f>
        <v>0.95676954872508269</v>
      </c>
      <c r="AL1149" s="120">
        <f t="shared" si="3435"/>
        <v>0.28343171853706367</v>
      </c>
      <c r="AM1149" s="120">
        <f t="shared" si="3436"/>
        <v>0.41046206618448533</v>
      </c>
      <c r="AN1149" s="120">
        <f t="shared" si="3437"/>
        <v>0.30610621527845094</v>
      </c>
      <c r="AO1149" s="120">
        <f t="shared" si="3441"/>
        <v>0.11701648108698429</v>
      </c>
      <c r="AP1149" s="173">
        <f>+AP1148*EXP(AO1149)</f>
        <v>108.10770505034883</v>
      </c>
      <c r="AQ1149" s="175">
        <f>LN(AP1149/AP1148)</f>
        <v>0.11701648108698437</v>
      </c>
      <c r="AR1149" s="177">
        <f>+AC1149/$AE$45</f>
        <v>9.3237736409436845E-4</v>
      </c>
      <c r="AS1149" s="177">
        <f t="shared" ref="AS1149:AS1163" si="3454">+AR1149*AQ1149</f>
        <v>1.0910351819148101E-4</v>
      </c>
      <c r="AT1149" s="177"/>
      <c r="AU1149" s="177"/>
      <c r="AV1149" s="177"/>
      <c r="AW1149" s="190"/>
      <c r="AX1149" s="120"/>
      <c r="AY1149" s="120"/>
      <c r="AZ1149" s="118">
        <f>IFERROR(INDEX('Total Customers'!$F$7:$AB$91,MATCH($C1149,'Total Customers'!$D$7:$D$91,0),MATCH($G1149,'Total Customers'!$F$5:$AB$5,0)),"NA")</f>
        <v>15358</v>
      </c>
      <c r="BA1149" s="119">
        <f t="shared" si="3416"/>
        <v>6.4670179987531889E-3</v>
      </c>
      <c r="BB1149" s="119"/>
      <c r="BC1149" s="121">
        <v>8187757</v>
      </c>
      <c r="BD1149" s="119"/>
      <c r="BE1149" s="119"/>
      <c r="BF1149" s="119"/>
      <c r="BG1149" s="173"/>
      <c r="BH1149" s="173"/>
      <c r="BI1149" s="173"/>
      <c r="BJ1149" s="173"/>
      <c r="BK1149" s="173"/>
      <c r="BL1149" s="173"/>
      <c r="BM1149" s="173"/>
      <c r="BN1149" s="173"/>
      <c r="BO1149" s="173"/>
      <c r="BP1149" s="173"/>
      <c r="BQ1149" s="118"/>
      <c r="BR1149" s="118"/>
      <c r="BS1149" s="118">
        <f>INDEX('Dist. Plant Gas Additions'!$F$7:$AE$91,MATCH($C1149,'Dist. Plant Gas Additions'!$D$7:$D$91,0),MATCH(Calculation!$G1149,'Dist. Plant Gas Additions'!$F$5:$AE$5,0))</f>
        <v>1106</v>
      </c>
      <c r="BT1149" s="118">
        <f>INDEX('Gen. Plant Additions'!$F$7:$AE$91,MATCH($C1149,'Gen. Plant Additions'!$D$7:$D$91,0),MATCH(Calculation!$G1149,'Gen. Plant Additions'!$F$5:$AE$5,0))</f>
        <v>402</v>
      </c>
      <c r="BU1149" s="118"/>
      <c r="BV1149" s="118"/>
      <c r="BW1149" s="118">
        <f>INDEX('Dist Plant Depreciation'!$E$7:$AD$94,MATCH($C1149,'Dist Plant Depreciation'!$D$7:$D$94,0),MATCH(Calculation!$G1149,'Dist Plant Depreciation'!$E$5:$AD$5,0))</f>
        <v>18649</v>
      </c>
      <c r="BX1149" s="118">
        <f>INDEX('Gen. Plant Depreciation'!$E$7:$AD$94,MATCH($C1149,'Gen. Plant Depreciation'!$D$7:$D$94,0),MATCH(Calculation!$G1149,'Gen. Plant Depreciation'!$E$5:$AD$5,0))</f>
        <v>2220</v>
      </c>
      <c r="BY1149" s="118"/>
      <c r="BZ1149" s="118"/>
      <c r="CA1149" s="118"/>
      <c r="CB1149" s="118"/>
      <c r="CC1149" s="118"/>
      <c r="CD1149" s="183"/>
      <c r="CE1149" s="118">
        <f>INDEX('Gross Dx Plant'!$E$7:$AD$91,MATCH($C1149,'Gross Dx Plant'!$D$7:$D$91,0),MATCH(Calculation!$G1149,'Gross Dx Plant'!$E$5:$AD$5,0))</f>
        <v>37122</v>
      </c>
      <c r="CF1149" s="118">
        <f>INDEX('Gross Gen Plant'!$E$7:$AD$91,MATCH($C1149,'Gross Gen Plant'!$D$7:$D$91,0),MATCH(Calculation!$G1149,'Gross Gen Plant'!$E$5:$AD$5,0))</f>
        <v>6957</v>
      </c>
      <c r="CG1149" s="118">
        <f t="shared" si="3352"/>
        <v>23210</v>
      </c>
      <c r="CH1149" s="118"/>
      <c r="CI1149" s="121">
        <v>2007</v>
      </c>
      <c r="CJ1149" s="118"/>
      <c r="CK1149" s="118"/>
      <c r="CL1149" s="118"/>
      <c r="CM1149" s="183"/>
      <c r="CN1149" s="118">
        <f t="shared" si="3417"/>
        <v>1508</v>
      </c>
      <c r="CO1149" s="118">
        <f t="shared" si="3418"/>
        <v>3.0279767655689418</v>
      </c>
      <c r="CP1149" s="186">
        <v>0.94915254237288138</v>
      </c>
      <c r="CQ1149" s="118">
        <f>+CQ1140*CP1149+CO1141*CP1148+CO1142*CP1147+CO1143*CP1146+CO1144*CP1145+CO1145*CP1144+CO1146*CP1143+CO1147*CP1142+CO1148*CP1141+CO1149</f>
        <v>141.84364195151321</v>
      </c>
      <c r="CR1149" s="119">
        <f t="shared" si="3419"/>
        <v>1.4996105802679894E-2</v>
      </c>
      <c r="CS1149" s="119"/>
      <c r="CT1149" s="177">
        <f t="shared" si="3420"/>
        <v>6.560712763809335E-3</v>
      </c>
      <c r="CU1149" s="177">
        <f t="shared" si="3428"/>
        <v>6.3442447614274235E-3</v>
      </c>
      <c r="CV1149" s="119">
        <f>VLOOKUP($H1149,RoR!$E:$F,2,FALSE)</f>
        <v>5.5558333333333321E-2</v>
      </c>
      <c r="CW1149" s="177">
        <v>2.691120634145272E-2</v>
      </c>
      <c r="CX1149" s="177">
        <f t="shared" si="3426"/>
        <v>2.86471269918806E-2</v>
      </c>
      <c r="CY1149" s="177">
        <f t="shared" si="3429"/>
        <v>2.4557696847106202E-2</v>
      </c>
      <c r="CZ1149" s="177">
        <f t="shared" si="3430"/>
        <v>6.4575155250632399E-2</v>
      </c>
      <c r="DA1149" s="187">
        <f t="shared" si="3421"/>
        <v>0.85131374874999999</v>
      </c>
      <c r="DB1149" s="188">
        <f t="shared" si="3422"/>
        <v>0.92303077153834634</v>
      </c>
      <c r="DC1149" s="188">
        <f t="shared" si="3423"/>
        <v>0.52502249887505614</v>
      </c>
      <c r="DD1149" s="188">
        <f t="shared" si="3424"/>
        <v>0.88499666072084604</v>
      </c>
      <c r="DE1149" s="188">
        <f t="shared" si="3425"/>
        <v>0.42887993290280618</v>
      </c>
      <c r="DF1149" s="189">
        <f>INDEX('State Tax Lookup'!$D$7:$Z$91,MATCH(Calculation!$C1149,'State Tax Lookup'!$B$7:$B$91,0),MATCH($H1149,'State Tax Lookup'!$D$6:$Z$6,0))</f>
        <v>0.39649667</v>
      </c>
      <c r="DG1149" s="189">
        <v>0.375</v>
      </c>
      <c r="DH1149" s="190">
        <f t="shared" si="3427"/>
        <v>17.161185653344148</v>
      </c>
      <c r="DI1149" s="190">
        <v>16.899155460210242</v>
      </c>
      <c r="DJ1149" s="177"/>
      <c r="DK1149" s="189">
        <f>VLOOKUP($H1149,RoR!$E:$F,2,FALSE)</f>
        <v>5.5558333333333321E-2</v>
      </c>
      <c r="DL1149" s="191">
        <f>HLOOKUP($H1149,'GDP-PI'!$D$8:$CQ$11,3,FALSE)</f>
        <v>2.691120634145272E-2</v>
      </c>
      <c r="DM1149" s="189">
        <f>VLOOKUP(H1149,'HW Dx Data'!$E:$F,2,FALSE)</f>
        <v>498.0223154772637</v>
      </c>
      <c r="DN1149" s="183">
        <f>VLOOKUP(H1149,'ECI - Input Price'!$G$17:$H$37,2,FALSE)</f>
        <v>105.22500000000001</v>
      </c>
      <c r="DO1149" s="177">
        <f t="shared" ref="DO1149" si="3455">LN(DN1149/DN1148)</f>
        <v>3.0638025400780679E-2</v>
      </c>
      <c r="DP1149" s="183">
        <f>HLOOKUP(H1149,'GDP-PI'!$8:$9,2,FALSE)</f>
        <v>92.498000000000005</v>
      </c>
      <c r="DQ1149" s="177">
        <f t="shared" ref="DQ1149" si="3456">LN(DP1149/DP1148)</f>
        <v>2.6555467950038037E-2</v>
      </c>
    </row>
    <row r="1150" spans="1:121" s="167" customFormat="1" ht="21" x14ac:dyDescent="0.35">
      <c r="A1150" s="167" t="s">
        <v>110</v>
      </c>
      <c r="B1150" s="167" t="s">
        <v>110</v>
      </c>
      <c r="C1150" s="167">
        <v>4063183</v>
      </c>
      <c r="D1150" s="168" t="s">
        <v>136</v>
      </c>
      <c r="E1150" s="168" t="s">
        <v>126</v>
      </c>
      <c r="F1150" s="198"/>
      <c r="G1150" s="167" t="s">
        <v>14</v>
      </c>
      <c r="H1150" s="169">
        <v>2008</v>
      </c>
      <c r="I1150" s="170"/>
      <c r="J1150" s="166">
        <f>IFERROR(INDEX('Labor Expenditures'!$F$7:$X$91,MATCH($C1150,'Labor Expenditures'!$D$7:$D$91,0),MATCH($G1150,'Labor Expenditures'!$F$5:$X$5,0)),"NA")</f>
        <v>2364.537472897724</v>
      </c>
      <c r="K1150" s="166">
        <f t="shared" si="3433"/>
        <v>21.848348097923068</v>
      </c>
      <c r="L1150" s="172">
        <f t="shared" si="3440"/>
        <v>3.4807721653065338E-2</v>
      </c>
      <c r="M1150" s="172">
        <f t="shared" si="3444"/>
        <v>3.3133057803649274E-5</v>
      </c>
      <c r="N1150" s="196"/>
      <c r="O1150" s="172"/>
      <c r="P1150" s="166">
        <f>IFERROR(INDEX('Non-Labor Expenditures'!$F$7:$AB$91,MATCH($C1150,'Non-Labor Expenditures'!$D$7:$D$91,0),MATCH($G1150,'Non-Labor Expenditures'!$F$5:$AB$5,0)),"NA")</f>
        <v>3424.2918954369761</v>
      </c>
      <c r="Q1150" s="166">
        <f t="shared" si="3434"/>
        <v>36.326613505017569</v>
      </c>
      <c r="R1150" s="172">
        <f t="shared" si="3445"/>
        <v>4.4006866576442989E-2</v>
      </c>
      <c r="S1150" s="172">
        <f t="shared" si="3450"/>
        <v>4.1889614855224546E-5</v>
      </c>
      <c r="T1150" s="172"/>
      <c r="U1150" s="172"/>
      <c r="V1150" s="166">
        <f t="shared" si="3415"/>
        <v>2761.0733139710705</v>
      </c>
      <c r="W1150" s="170"/>
      <c r="X1150" s="174">
        <v>142.7703388342955</v>
      </c>
      <c r="Y1150" s="175">
        <v>6.5119791726596906E-3</v>
      </c>
      <c r="Z1150" s="175">
        <f t="shared" si="3451"/>
        <v>6.1986758137872162E-6</v>
      </c>
      <c r="AA1150" s="175"/>
      <c r="AB1150" s="175"/>
      <c r="AC1150" s="170">
        <f t="shared" ref="AC1150:AC1213" si="3457">+J1150+P1150+V1150</f>
        <v>8549.9026823057702</v>
      </c>
      <c r="AD1150" s="175">
        <f t="shared" si="3446"/>
        <v>8.7472633373207889E-2</v>
      </c>
      <c r="AE1150" s="170"/>
      <c r="AF1150" s="170"/>
      <c r="AG1150" s="121">
        <f t="shared" si="3447"/>
        <v>558.34275989719652</v>
      </c>
      <c r="AH1150" s="119">
        <f>+AZ1150/$BB$46</f>
        <v>4.3002146970791991E-4</v>
      </c>
      <c r="AI1150" s="119">
        <f>+AZ1150/$BC$46</f>
        <v>1.8574479928511361E-3</v>
      </c>
      <c r="AJ1150" s="176">
        <f t="shared" si="3452"/>
        <v>0.24009937421176869</v>
      </c>
      <c r="AK1150" s="176">
        <f t="shared" si="3453"/>
        <v>1.0370926386940114</v>
      </c>
      <c r="AL1150" s="120">
        <f t="shared" si="3435"/>
        <v>0.27655723822344686</v>
      </c>
      <c r="AM1150" s="120">
        <f t="shared" si="3436"/>
        <v>0.40050653471455655</v>
      </c>
      <c r="AN1150" s="120">
        <f t="shared" si="3437"/>
        <v>0.32293622706199665</v>
      </c>
      <c r="AO1150" s="120">
        <f t="shared" si="3441"/>
        <v>2.9638219018199526E-2</v>
      </c>
      <c r="AP1150" s="173">
        <f t="shared" ref="AP1150:AP1163" si="3458">+AP1149*EXP(AO1150)</f>
        <v>111.35977968544582</v>
      </c>
      <c r="AQ1150" s="175">
        <f t="shared" ref="AQ1150:AQ1163" si="3459">LN(AP1150/AP1149)</f>
        <v>2.9638219018199585E-2</v>
      </c>
      <c r="AR1150" s="177">
        <f>+AC1150/$AE$46</f>
        <v>9.5188815096524466E-4</v>
      </c>
      <c r="AS1150" s="177">
        <f t="shared" si="3454"/>
        <v>2.8212269499136952E-5</v>
      </c>
      <c r="AT1150" s="177"/>
      <c r="AU1150" s="177"/>
      <c r="AV1150" s="177"/>
      <c r="AW1150" s="190"/>
      <c r="AX1150" s="120"/>
      <c r="AY1150" s="120"/>
      <c r="AZ1150" s="118">
        <f>IFERROR(INDEX('Total Customers'!$F$7:$AB$91,MATCH($C1150,'Total Customers'!$D$7:$D$91,0),MATCH($G1150,'Total Customers'!$F$5:$AB$5,0)),"NA")</f>
        <v>15313</v>
      </c>
      <c r="BA1150" s="119">
        <f t="shared" si="3416"/>
        <v>-2.9343700752811159E-3</v>
      </c>
      <c r="BB1150" s="119"/>
      <c r="BC1150" s="121">
        <v>8244107</v>
      </c>
      <c r="BD1150" s="119"/>
      <c r="BE1150" s="119"/>
      <c r="BF1150" s="119"/>
      <c r="BG1150" s="173"/>
      <c r="BH1150" s="173"/>
      <c r="BI1150" s="173"/>
      <c r="BJ1150" s="173"/>
      <c r="BK1150" s="173"/>
      <c r="BL1150" s="173"/>
      <c r="BM1150" s="173"/>
      <c r="BN1150" s="173"/>
      <c r="BO1150" s="173"/>
      <c r="BP1150" s="173"/>
      <c r="BQ1150" s="118"/>
      <c r="BR1150" s="118"/>
      <c r="BS1150" s="118">
        <f>INDEX('Dist. Plant Gas Additions'!$F$7:$AE$91,MATCH($C1150,'Dist. Plant Gas Additions'!$D$7:$D$91,0),MATCH(Calculation!$G1150,'Dist. Plant Gas Additions'!$F$5:$AE$5,0))</f>
        <v>761</v>
      </c>
      <c r="BT1150" s="118">
        <f>INDEX('Gen. Plant Additions'!$F$7:$AE$91,MATCH($C1150,'Gen. Plant Additions'!$D$7:$D$91,0),MATCH(Calculation!$G1150,'Gen. Plant Additions'!$F$5:$AE$5,0))</f>
        <v>316</v>
      </c>
      <c r="BU1150" s="118"/>
      <c r="BV1150" s="118"/>
      <c r="BW1150" s="118">
        <f>INDEX('Dist Plant Depreciation'!$E$7:$AD$94,MATCH($C1150,'Dist Plant Depreciation'!$D$7:$D$94,0),MATCH(Calculation!$G1150,'Dist Plant Depreciation'!$E$5:$AD$5,0))</f>
        <v>19190</v>
      </c>
      <c r="BX1150" s="118">
        <f>INDEX('Gen. Plant Depreciation'!$E$7:$AD$94,MATCH($C1150,'Gen. Plant Depreciation'!$D$7:$D$94,0),MATCH(Calculation!$G1150,'Gen. Plant Depreciation'!$E$5:$AD$5,0))</f>
        <v>2291</v>
      </c>
      <c r="BY1150" s="118"/>
      <c r="BZ1150" s="118"/>
      <c r="CA1150" s="118"/>
      <c r="CB1150" s="118"/>
      <c r="CC1150" s="118"/>
      <c r="CD1150" s="183"/>
      <c r="CE1150" s="118">
        <f>INDEX('Gross Dx Plant'!$E$7:$AD$91,MATCH($C1150,'Gross Dx Plant'!$D$7:$D$91,0),MATCH(Calculation!$G1150,'Gross Dx Plant'!$E$5:$AD$5,0))</f>
        <v>37777</v>
      </c>
      <c r="CF1150" s="118">
        <f>INDEX('Gross Gen Plant'!$E$7:$AD$91,MATCH($C1150,'Gross Gen Plant'!$D$7:$D$91,0),MATCH(Calculation!$G1150,'Gross Gen Plant'!$E$5:$AD$5,0))</f>
        <v>6911</v>
      </c>
      <c r="CG1150" s="118">
        <f t="shared" si="3352"/>
        <v>23207</v>
      </c>
      <c r="CH1150" s="118"/>
      <c r="CI1150" s="121">
        <v>2008</v>
      </c>
      <c r="CJ1150" s="118"/>
      <c r="CK1150" s="118"/>
      <c r="CL1150" s="118"/>
      <c r="CM1150" s="183"/>
      <c r="CN1150" s="118">
        <f t="shared" si="3417"/>
        <v>1077</v>
      </c>
      <c r="CO1150" s="118">
        <f t="shared" si="3418"/>
        <v>1.889867561339112</v>
      </c>
      <c r="CP1150" s="186">
        <v>0.94252873563218387</v>
      </c>
      <c r="CQ1150" s="118">
        <f>+CQ1140*CP1150+CO1141*CP1149+CO1142*CP1148+CO1143*CP1147+CO1144*CP1146+CO1145*CP1145+CO1146*CP1144+CO1147*CP1143+CO1148*CP1142+CO1149*CP1141+CO1150</f>
        <v>142.7703388342955</v>
      </c>
      <c r="CR1150" s="119">
        <f t="shared" si="3419"/>
        <v>6.5119791726596906E-3</v>
      </c>
      <c r="CS1150" s="119"/>
      <c r="CT1150" s="177">
        <f t="shared" si="3420"/>
        <v>6.7903690662853983E-3</v>
      </c>
      <c r="CU1150" s="177">
        <f t="shared" si="3428"/>
        <v>6.5664076609856193E-3</v>
      </c>
      <c r="CV1150" s="119">
        <f>VLOOKUP($H1150,RoR!$E:$F,2,FALSE)</f>
        <v>5.6316666666666668E-2</v>
      </c>
      <c r="CW1150" s="177">
        <v>1.9092304698479889E-2</v>
      </c>
      <c r="CX1150" s="177">
        <f t="shared" si="3426"/>
        <v>3.7224361968186778E-2</v>
      </c>
      <c r="CY1150" s="177">
        <f t="shared" si="3429"/>
        <v>2.4335533947548005E-2</v>
      </c>
      <c r="CZ1150" s="177">
        <f t="shared" si="3430"/>
        <v>6.9030581091053131E-2</v>
      </c>
      <c r="DA1150" s="187">
        <f t="shared" si="3421"/>
        <v>0.85131374874999999</v>
      </c>
      <c r="DB1150" s="188">
        <f t="shared" si="3422"/>
        <v>0.91060168006009956</v>
      </c>
      <c r="DC1150" s="188">
        <f t="shared" si="3423"/>
        <v>0.53108168097070152</v>
      </c>
      <c r="DD1150" s="188">
        <f t="shared" si="3424"/>
        <v>0.88825329850328805</v>
      </c>
      <c r="DE1150" s="188">
        <f t="shared" si="3425"/>
        <v>0.4295627335323573</v>
      </c>
      <c r="DF1150" s="189">
        <f>INDEX('State Tax Lookup'!$D$7:$Z$91,MATCH(Calculation!$C1150,'State Tax Lookup'!$B$7:$B$91,0),MATCH($H1150,'State Tax Lookup'!$D$6:$Z$6,0))</f>
        <v>0.39649667</v>
      </c>
      <c r="DG1150" s="189">
        <v>0.375</v>
      </c>
      <c r="DH1150" s="190">
        <f t="shared" si="3427"/>
        <v>19.465612106285988</v>
      </c>
      <c r="DI1150" s="190">
        <v>19.175163396448959</v>
      </c>
      <c r="DJ1150" s="177"/>
      <c r="DK1150" s="189">
        <f>VLOOKUP($H1150,RoR!$E:$F,2,FALSE)</f>
        <v>5.6316666666666668E-2</v>
      </c>
      <c r="DL1150" s="191">
        <f>HLOOKUP($H1150,'GDP-PI'!$D$8:$CQ$11,3,FALSE)</f>
        <v>1.9092304698479889E-2</v>
      </c>
      <c r="DM1150" s="189">
        <f>VLOOKUP(H1150,'HW Dx Data'!$E:$F,2,FALSE)</f>
        <v>569.88120333515076</v>
      </c>
      <c r="DN1150" s="183">
        <f>VLOOKUP(H1150,'ECI - Input Price'!$G$17:$H$37,2,FALSE)</f>
        <v>108.22499999999999</v>
      </c>
      <c r="DO1150" s="177">
        <f t="shared" ref="DO1150" si="3460">LN(DN1150/DN1149)</f>
        <v>2.8111478671409691E-2</v>
      </c>
      <c r="DP1150" s="183">
        <f>HLOOKUP(H1150,'GDP-PI'!$8:$9,2,FALSE)</f>
        <v>94.263999999999996</v>
      </c>
      <c r="DQ1150" s="177">
        <f t="shared" ref="DQ1150" si="3461">LN(DP1150/DP1149)</f>
        <v>1.8912333748032254E-2</v>
      </c>
    </row>
    <row r="1151" spans="1:121" s="167" customFormat="1" ht="21" x14ac:dyDescent="0.35">
      <c r="A1151" s="167" t="s">
        <v>110</v>
      </c>
      <c r="B1151" s="167" t="s">
        <v>110</v>
      </c>
      <c r="C1151" s="167">
        <v>4063183</v>
      </c>
      <c r="D1151" s="168" t="s">
        <v>136</v>
      </c>
      <c r="E1151" s="168" t="s">
        <v>126</v>
      </c>
      <c r="F1151" s="198"/>
      <c r="G1151" s="167" t="s">
        <v>15</v>
      </c>
      <c r="H1151" s="169">
        <v>2009</v>
      </c>
      <c r="I1151" s="170"/>
      <c r="J1151" s="166">
        <f>IFERROR(INDEX('Labor Expenditures'!$F$7:$X$91,MATCH($C1151,'Labor Expenditures'!$D$7:$D$91,0),MATCH($G1151,'Labor Expenditures'!$F$5:$X$5,0)),"NA")</f>
        <v>2844.0477732678492</v>
      </c>
      <c r="K1151" s="166">
        <f t="shared" si="3433"/>
        <v>25.907973338809832</v>
      </c>
      <c r="L1151" s="172">
        <f t="shared" si="3440"/>
        <v>0.17042545549050742</v>
      </c>
      <c r="M1151" s="172">
        <f t="shared" si="3444"/>
        <v>1.75071307391583E-4</v>
      </c>
      <c r="N1151" s="196"/>
      <c r="O1151" s="172"/>
      <c r="P1151" s="166">
        <f>IFERROR(INDEX('Non-Labor Expenditures'!$F$7:$AB$91,MATCH($C1151,'Non-Labor Expenditures'!$D$7:$D$91,0),MATCH($G1151,'Non-Labor Expenditures'!$F$5:$AB$5,0)),"NA")</f>
        <v>4118.7123705431422</v>
      </c>
      <c r="Q1151" s="166">
        <f t="shared" si="3434"/>
        <v>43.355323430174451</v>
      </c>
      <c r="R1151" s="172">
        <f t="shared" si="3445"/>
        <v>0.17687886979193485</v>
      </c>
      <c r="S1151" s="172">
        <f t="shared" si="3450"/>
        <v>1.8170064381106742E-4</v>
      </c>
      <c r="T1151" s="172"/>
      <c r="U1151" s="172"/>
      <c r="V1151" s="166">
        <f t="shared" si="3415"/>
        <v>2661.5241194108958</v>
      </c>
      <c r="W1151" s="170"/>
      <c r="X1151" s="174">
        <v>145.07319542028802</v>
      </c>
      <c r="Y1151" s="175">
        <v>1.6001093969833249E-2</v>
      </c>
      <c r="Z1151" s="175">
        <f t="shared" si="3451"/>
        <v>1.6437288859998467E-5</v>
      </c>
      <c r="AA1151" s="175"/>
      <c r="AB1151" s="175"/>
      <c r="AC1151" s="170">
        <f t="shared" si="3457"/>
        <v>9624.2842632218872</v>
      </c>
      <c r="AD1151" s="175">
        <f t="shared" si="3446"/>
        <v>0.11836961444874512</v>
      </c>
      <c r="AE1151" s="170"/>
      <c r="AF1151" s="170"/>
      <c r="AG1151" s="121">
        <f t="shared" si="3447"/>
        <v>622.64891396919768</v>
      </c>
      <c r="AH1151" s="119">
        <f>+AZ1151/$BB$47</f>
        <v>4.3343899688280311E-4</v>
      </c>
      <c r="AI1151" s="119">
        <f>+AZ1151/$BC$47</f>
        <v>1.8540660386728164E-3</v>
      </c>
      <c r="AJ1151" s="176">
        <f t="shared" si="3452"/>
        <v>0.26988032068097584</v>
      </c>
      <c r="AK1151" s="176">
        <f t="shared" si="3453"/>
        <v>1.1544322054068017</v>
      </c>
      <c r="AL1151" s="120">
        <f t="shared" si="3435"/>
        <v>0.29550745754009528</v>
      </c>
      <c r="AM1151" s="120">
        <f t="shared" si="3436"/>
        <v>0.42794999169780712</v>
      </c>
      <c r="AN1151" s="120">
        <f t="shared" si="3437"/>
        <v>0.27654255076209761</v>
      </c>
      <c r="AO1151" s="120">
        <f t="shared" si="3441"/>
        <v>0.12681157833299772</v>
      </c>
      <c r="AP1151" s="173">
        <f t="shared" si="3458"/>
        <v>126.41596719978016</v>
      </c>
      <c r="AQ1151" s="175">
        <f t="shared" si="3459"/>
        <v>0.12681157833299764</v>
      </c>
      <c r="AR1151" s="177">
        <f>+AC1151/$AE$47</f>
        <v>1.0272603167625646E-3</v>
      </c>
      <c r="AS1151" s="177">
        <f t="shared" si="3454"/>
        <v>1.3026850212751592E-4</v>
      </c>
      <c r="AT1151" s="177"/>
      <c r="AU1151" s="177"/>
      <c r="AV1151" s="177"/>
      <c r="AW1151" s="190"/>
      <c r="AX1151" s="120"/>
      <c r="AY1151" s="120"/>
      <c r="AZ1151" s="118">
        <f>IFERROR(INDEX('Total Customers'!$F$7:$AB$91,MATCH($C1151,'Total Customers'!$D$7:$D$91,0),MATCH($G1151,'Total Customers'!$F$5:$AB$5,0)),"NA")</f>
        <v>15457</v>
      </c>
      <c r="BA1151" s="119">
        <f t="shared" si="3416"/>
        <v>9.3598343371109668E-3</v>
      </c>
      <c r="BB1151" s="119"/>
      <c r="BC1151" s="121">
        <v>8336812</v>
      </c>
      <c r="BD1151" s="119"/>
      <c r="BE1151" s="119"/>
      <c r="BF1151" s="119"/>
      <c r="BG1151" s="173"/>
      <c r="BH1151" s="173"/>
      <c r="BI1151" s="173"/>
      <c r="BJ1151" s="173"/>
      <c r="BK1151" s="173"/>
      <c r="BL1151" s="173"/>
      <c r="BM1151" s="173"/>
      <c r="BN1151" s="173"/>
      <c r="BO1151" s="173"/>
      <c r="BP1151" s="173"/>
      <c r="BQ1151" s="118"/>
      <c r="BR1151" s="118"/>
      <c r="BS1151" s="118">
        <f>INDEX('Dist. Plant Gas Additions'!$F$7:$AE$91,MATCH($C1151,'Dist. Plant Gas Additions'!$D$7:$D$91,0),MATCH(Calculation!$G1151,'Dist. Plant Gas Additions'!$F$5:$AE$5,0))</f>
        <v>1510</v>
      </c>
      <c r="BT1151" s="118">
        <f>INDEX('Gen. Plant Additions'!$F$7:$AE$91,MATCH($C1151,'Gen. Plant Additions'!$D$7:$D$91,0),MATCH(Calculation!$G1151,'Gen. Plant Additions'!$F$5:$AE$5,0))</f>
        <v>313</v>
      </c>
      <c r="BU1151" s="118"/>
      <c r="BV1151" s="118"/>
      <c r="BW1151" s="118">
        <f>INDEX('Dist Plant Depreciation'!$E$7:$AD$94,MATCH($C1151,'Dist Plant Depreciation'!$D$7:$D$94,0),MATCH(Calculation!$G1151,'Dist Plant Depreciation'!$E$5:$AD$5,0))</f>
        <v>19678</v>
      </c>
      <c r="BX1151" s="118">
        <f>INDEX('Gen. Plant Depreciation'!$E$7:$AD$94,MATCH($C1151,'Gen. Plant Depreciation'!$D$7:$D$94,0),MATCH(Calculation!$G1151,'Gen. Plant Depreciation'!$E$5:$AD$5,0))</f>
        <v>2640</v>
      </c>
      <c r="BY1151" s="118"/>
      <c r="BZ1151" s="118"/>
      <c r="CA1151" s="118"/>
      <c r="CB1151" s="118"/>
      <c r="CC1151" s="118"/>
      <c r="CD1151" s="183"/>
      <c r="CE1151" s="118">
        <f>INDEX('Gross Dx Plant'!$E$7:$AD$91,MATCH($C1151,'Gross Dx Plant'!$D$7:$D$91,0),MATCH(Calculation!$G1151,'Gross Dx Plant'!$E$5:$AD$5,0))</f>
        <v>39128</v>
      </c>
      <c r="CF1151" s="118">
        <f>INDEX('Gross Gen Plant'!$E$7:$AD$91,MATCH($C1151,'Gross Gen Plant'!$D$7:$D$91,0),MATCH(Calculation!$G1151,'Gross Gen Plant'!$E$5:$AD$5,0))</f>
        <v>7185</v>
      </c>
      <c r="CG1151" s="118">
        <f t="shared" si="3352"/>
        <v>23995</v>
      </c>
      <c r="CH1151" s="118"/>
      <c r="CI1151" s="121">
        <v>2009</v>
      </c>
      <c r="CJ1151" s="118"/>
      <c r="CK1151" s="118"/>
      <c r="CL1151" s="118"/>
      <c r="CM1151" s="183"/>
      <c r="CN1151" s="118">
        <f t="shared" si="3417"/>
        <v>1823</v>
      </c>
      <c r="CO1151" s="118">
        <f t="shared" si="3418"/>
        <v>3.3088864357485068</v>
      </c>
      <c r="CP1151" s="186">
        <v>0.93567251461988299</v>
      </c>
      <c r="CQ1151" s="118">
        <f>+CQ1140*CP1151+CO1141*CP1150+CO1142*CP1149+CO1143*CP1148+CO1144*CP1147+CO1145*CP1146+CO1146*CP1145+CO1147*CP1144+CO1148*CP1143+CO1149*CP1142+CO1150*CP1141+CO1151</f>
        <v>145.07319542028802</v>
      </c>
      <c r="CR1151" s="119">
        <f t="shared" si="3419"/>
        <v>1.6001093969833249E-2</v>
      </c>
      <c r="CS1151" s="119"/>
      <c r="CT1151" s="177">
        <f t="shared" si="3420"/>
        <v>7.0464905944057944E-3</v>
      </c>
      <c r="CU1151" s="177">
        <f t="shared" si="3428"/>
        <v>6.7991908081668426E-3</v>
      </c>
      <c r="CV1151" s="119">
        <f>VLOOKUP($H1151,RoR!$E:$F,2,FALSE)</f>
        <v>5.3133333333333324E-2</v>
      </c>
      <c r="CW1151" s="177">
        <v>7.7972502758210105E-3</v>
      </c>
      <c r="CX1151" s="177">
        <f t="shared" si="3426"/>
        <v>4.5336083057512314E-2</v>
      </c>
      <c r="CY1151" s="177">
        <f t="shared" si="3429"/>
        <v>2.4102750800366782E-2</v>
      </c>
      <c r="CZ1151" s="177">
        <f t="shared" si="3430"/>
        <v>6.3720160300892073E-2</v>
      </c>
      <c r="DA1151" s="187">
        <f t="shared" si="3421"/>
        <v>0.85131374874999999</v>
      </c>
      <c r="DB1151" s="188">
        <f t="shared" si="3422"/>
        <v>0.96515780330083989</v>
      </c>
      <c r="DC1151" s="188">
        <f t="shared" si="3423"/>
        <v>0.50448557089084056</v>
      </c>
      <c r="DD1151" s="188">
        <f t="shared" si="3424"/>
        <v>0.87391435735465484</v>
      </c>
      <c r="DE1151" s="188">
        <f t="shared" si="3425"/>
        <v>0.42551605393279146</v>
      </c>
      <c r="DF1151" s="189">
        <f>INDEX('State Tax Lookup'!$D$7:$Z$91,MATCH(Calculation!$C1151,'State Tax Lookup'!$B$7:$B$91,0),MATCH($H1151,'State Tax Lookup'!$D$6:$Z$6,0))</f>
        <v>0.39649667</v>
      </c>
      <c r="DG1151" s="189">
        <v>0.375</v>
      </c>
      <c r="DH1151" s="190">
        <f t="shared" si="3427"/>
        <v>18.641996237747662</v>
      </c>
      <c r="DI1151" s="190">
        <v>18.281535041470882</v>
      </c>
      <c r="DJ1151" s="177"/>
      <c r="DK1151" s="189">
        <f>VLOOKUP($H1151,RoR!$E:$F,2,FALSE)</f>
        <v>5.3133333333333324E-2</v>
      </c>
      <c r="DL1151" s="191">
        <f>HLOOKUP($H1151,'GDP-PI'!$D$8:$CQ$11,3,FALSE)</f>
        <v>7.7972502758210105E-3</v>
      </c>
      <c r="DM1151" s="189">
        <f>VLOOKUP(H1151,'HW Dx Data'!$E:$F,2,FALSE)</f>
        <v>550.94063679692806</v>
      </c>
      <c r="DN1151" s="183">
        <f>VLOOKUP(H1151,'ECI - Input Price'!$G$17:$H$37,2,FALSE)</f>
        <v>109.77499999999999</v>
      </c>
      <c r="DO1151" s="177">
        <f t="shared" ref="DO1151" si="3462">LN(DN1151/DN1150)</f>
        <v>1.4220423119736749E-2</v>
      </c>
      <c r="DP1151" s="183">
        <f>HLOOKUP(H1151,'GDP-PI'!$8:$9,2,FALSE)</f>
        <v>94.998999999999995</v>
      </c>
      <c r="DQ1151" s="177">
        <f t="shared" ref="DQ1151" si="3463">LN(DP1151/DP1150)</f>
        <v>7.7670088183096342E-3</v>
      </c>
    </row>
    <row r="1152" spans="1:121" s="167" customFormat="1" ht="21" x14ac:dyDescent="0.35">
      <c r="A1152" s="167" t="s">
        <v>110</v>
      </c>
      <c r="B1152" s="167" t="s">
        <v>110</v>
      </c>
      <c r="C1152" s="167">
        <v>4063183</v>
      </c>
      <c r="D1152" s="168" t="s">
        <v>136</v>
      </c>
      <c r="E1152" s="168" t="s">
        <v>126</v>
      </c>
      <c r="F1152" s="198"/>
      <c r="G1152" s="167" t="s">
        <v>16</v>
      </c>
      <c r="H1152" s="169">
        <v>2010</v>
      </c>
      <c r="I1152" s="170"/>
      <c r="J1152" s="166">
        <f>IFERROR(INDEX('Labor Expenditures'!$F$7:$X$91,MATCH($C1152,'Labor Expenditures'!$D$7:$D$91,0),MATCH($G1152,'Labor Expenditures'!$F$5:$X$5,0)),"NA")</f>
        <v>3042.3826098550239</v>
      </c>
      <c r="K1152" s="166">
        <f t="shared" si="3433"/>
        <v>27.194481428871722</v>
      </c>
      <c r="L1152" s="172">
        <f t="shared" si="3440"/>
        <v>4.8463291824424888E-2</v>
      </c>
      <c r="M1152" s="172">
        <f t="shared" si="3444"/>
        <v>5.098573415677611E-5</v>
      </c>
      <c r="N1152" s="196"/>
      <c r="O1152" s="172"/>
      <c r="P1152" s="166">
        <f>IFERROR(INDEX('Non-Labor Expenditures'!$F$7:$AB$91,MATCH($C1152,'Non-Labor Expenditures'!$D$7:$D$91,0),MATCH($G1152,'Non-Labor Expenditures'!$F$5:$AB$5,0)),"NA")</f>
        <v>4405.9382577590368</v>
      </c>
      <c r="Q1152" s="166">
        <f t="shared" si="3434"/>
        <v>45.843139120779917</v>
      </c>
      <c r="R1152" s="172">
        <f t="shared" si="3445"/>
        <v>5.57960531645127E-2</v>
      </c>
      <c r="S1152" s="172">
        <f t="shared" si="3450"/>
        <v>5.8700154829545571E-5</v>
      </c>
      <c r="T1152" s="172"/>
      <c r="U1152" s="172"/>
      <c r="V1152" s="166">
        <f t="shared" si="3415"/>
        <v>2768.2891652579938</v>
      </c>
      <c r="W1152" s="170"/>
      <c r="X1152" s="174">
        <v>146.95197125324171</v>
      </c>
      <c r="Y1152" s="175">
        <v>1.2867396167769217E-2</v>
      </c>
      <c r="Z1152" s="175">
        <f t="shared" si="3451"/>
        <v>1.3537125019831158E-5</v>
      </c>
      <c r="AA1152" s="175"/>
      <c r="AB1152" s="175"/>
      <c r="AC1152" s="170">
        <f t="shared" si="3457"/>
        <v>10216.610032872053</v>
      </c>
      <c r="AD1152" s="175">
        <f t="shared" si="3446"/>
        <v>5.972531527740399E-2</v>
      </c>
      <c r="AE1152" s="170"/>
      <c r="AF1152" s="170"/>
      <c r="AG1152" s="121">
        <f t="shared" si="3447"/>
        <v>658.8385911441319</v>
      </c>
      <c r="AH1152" s="119">
        <f>+AZ1152/$BB$48</f>
        <v>4.3244722506981194E-4</v>
      </c>
      <c r="AI1152" s="119">
        <f>+AZ1152/$BC$48</f>
        <v>1.8453155082542973E-3</v>
      </c>
      <c r="AJ1152" s="176">
        <f t="shared" si="3452"/>
        <v>0.28491292050918421</v>
      </c>
      <c r="AK1152" s="176">
        <f t="shared" si="3453"/>
        <v>1.2157650696746789</v>
      </c>
      <c r="AL1152" s="120">
        <f t="shared" si="3435"/>
        <v>0.29778787680709407</v>
      </c>
      <c r="AM1152" s="120">
        <f t="shared" si="3436"/>
        <v>0.43125246471998863</v>
      </c>
      <c r="AN1152" s="120">
        <f t="shared" si="3437"/>
        <v>0.27095965847291748</v>
      </c>
      <c r="AO1152" s="120">
        <f t="shared" si="3441"/>
        <v>4.1869039346430319E-2</v>
      </c>
      <c r="AP1152" s="173">
        <f t="shared" si="3458"/>
        <v>131.82124969111217</v>
      </c>
      <c r="AQ1152" s="175">
        <f t="shared" si="3459"/>
        <v>4.186903934643036E-2</v>
      </c>
      <c r="AR1152" s="177">
        <f>+AC1152/$AE$48</f>
        <v>1.0520485141927553E-3</v>
      </c>
      <c r="AS1152" s="177">
        <f t="shared" si="3454"/>
        <v>4.4048260635090071E-5</v>
      </c>
      <c r="AT1152" s="177"/>
      <c r="AU1152" s="177"/>
      <c r="AV1152" s="177"/>
      <c r="AW1152" s="190"/>
      <c r="AX1152" s="120"/>
      <c r="AY1152" s="120"/>
      <c r="AZ1152" s="118">
        <f>IFERROR(INDEX('Total Customers'!$F$7:$AB$91,MATCH($C1152,'Total Customers'!$D$7:$D$91,0),MATCH($G1152,'Total Customers'!$F$5:$AB$5,0)),"NA")</f>
        <v>15507</v>
      </c>
      <c r="BA1152" s="119">
        <f t="shared" si="3416"/>
        <v>3.2295597118303983E-3</v>
      </c>
      <c r="BB1152" s="119"/>
      <c r="BC1152" s="121">
        <v>8403441</v>
      </c>
      <c r="BD1152" s="119"/>
      <c r="BE1152" s="119"/>
      <c r="BF1152" s="119"/>
      <c r="BG1152" s="173"/>
      <c r="BH1152" s="173"/>
      <c r="BI1152" s="173"/>
      <c r="BJ1152" s="173"/>
      <c r="BK1152" s="173"/>
      <c r="BL1152" s="173"/>
      <c r="BM1152" s="173"/>
      <c r="BN1152" s="173"/>
      <c r="BO1152" s="173"/>
      <c r="BP1152" s="173"/>
      <c r="BQ1152" s="118"/>
      <c r="BR1152" s="118"/>
      <c r="BS1152" s="118">
        <f>INDEX('Dist. Plant Gas Additions'!$F$7:$AE$91,MATCH($C1152,'Dist. Plant Gas Additions'!$D$7:$D$91,0),MATCH(Calculation!$G1152,'Dist. Plant Gas Additions'!$F$5:$AE$5,0))</f>
        <v>1074</v>
      </c>
      <c r="BT1152" s="118">
        <f>INDEX('Gen. Plant Additions'!$F$7:$AE$91,MATCH($C1152,'Gen. Plant Additions'!$D$7:$D$91,0),MATCH(Calculation!$G1152,'Gen. Plant Additions'!$F$5:$AE$5,0))</f>
        <v>597</v>
      </c>
      <c r="BU1152" s="118"/>
      <c r="BV1152" s="118"/>
      <c r="BW1152" s="118">
        <f>INDEX('Dist Plant Depreciation'!$E$7:$AD$94,MATCH($C1152,'Dist Plant Depreciation'!$D$7:$D$94,0),MATCH(Calculation!$G1152,'Dist Plant Depreciation'!$E$5:$AD$5,0))</f>
        <v>20337</v>
      </c>
      <c r="BX1152" s="118">
        <f>INDEX('Gen. Plant Depreciation'!$E$7:$AD$94,MATCH($C1152,'Gen. Plant Depreciation'!$D$7:$D$94,0),MATCH(Calculation!$G1152,'Gen. Plant Depreciation'!$E$5:$AD$5,0))</f>
        <v>2877</v>
      </c>
      <c r="BY1152" s="118"/>
      <c r="BZ1152" s="118"/>
      <c r="CA1152" s="118"/>
      <c r="CB1152" s="118"/>
      <c r="CC1152" s="118"/>
      <c r="CD1152" s="183"/>
      <c r="CE1152" s="118">
        <f>INDEX('Gross Dx Plant'!$E$7:$AD$91,MATCH($C1152,'Gross Dx Plant'!$D$7:$D$91,0),MATCH(Calculation!$G1152,'Gross Dx Plant'!$E$5:$AD$5,0))</f>
        <v>40140</v>
      </c>
      <c r="CF1152" s="118">
        <f>INDEX('Gross Gen Plant'!$E$7:$AD$91,MATCH($C1152,'Gross Gen Plant'!$D$7:$D$91,0),MATCH(Calculation!$G1152,'Gross Gen Plant'!$E$5:$AD$5,0))</f>
        <v>7577</v>
      </c>
      <c r="CG1152" s="118">
        <f t="shared" si="3352"/>
        <v>24503</v>
      </c>
      <c r="CH1152" s="118"/>
      <c r="CI1152" s="121">
        <v>2010</v>
      </c>
      <c r="CJ1152" s="118"/>
      <c r="CK1152" s="118"/>
      <c r="CL1152" s="118"/>
      <c r="CM1152" s="183"/>
      <c r="CN1152" s="118">
        <f t="shared" si="3417"/>
        <v>1671</v>
      </c>
      <c r="CO1152" s="118">
        <f t="shared" si="3418"/>
        <v>2.9367852873859439</v>
      </c>
      <c r="CP1152" s="186">
        <v>0.9285714285714286</v>
      </c>
      <c r="CQ1152" s="118">
        <f>+CQ1140*CP1152+CO1141*CP1151+CO1142*CP1150+CO1143*CP1149+CO1144*CP1148+CO1145*CP1147+CO1146*CP1146+CO1147*CP1145+CO1148*CP1144+CO1149*CP1143+CO1150*CP1142+CO1151*CP1141+CO1152</f>
        <v>146.95197125324171</v>
      </c>
      <c r="CR1152" s="119">
        <f t="shared" si="3419"/>
        <v>1.2867396167769217E-2</v>
      </c>
      <c r="CS1152" s="119"/>
      <c r="CT1152" s="177">
        <f t="shared" si="3420"/>
        <v>7.2929354824446914E-3</v>
      </c>
      <c r="CU1152" s="177">
        <f t="shared" si="3428"/>
        <v>7.0432650477119619E-3</v>
      </c>
      <c r="CV1152" s="119">
        <f>VLOOKUP($H1152,RoR!$E:$F,2,FALSE)</f>
        <v>4.9433333333333322E-2</v>
      </c>
      <c r="CW1152" s="177">
        <v>1.1684333519300205E-2</v>
      </c>
      <c r="CX1152" s="177">
        <f t="shared" si="3426"/>
        <v>3.7748999814033117E-2</v>
      </c>
      <c r="CY1152" s="177">
        <f t="shared" si="3429"/>
        <v>2.3858676560821662E-2</v>
      </c>
      <c r="CZ1152" s="177">
        <f t="shared" si="3430"/>
        <v>4.7937530248493419E-2</v>
      </c>
      <c r="DA1152" s="187">
        <f t="shared" si="3421"/>
        <v>0.85131374874999999</v>
      </c>
      <c r="DB1152" s="188">
        <f t="shared" si="3422"/>
        <v>1.037398205301105</v>
      </c>
      <c r="DC1152" s="188">
        <f t="shared" si="3423"/>
        <v>0.46926837491571133</v>
      </c>
      <c r="DD1152" s="188">
        <f t="shared" si="3424"/>
        <v>0.8548537519972772</v>
      </c>
      <c r="DE1152" s="188">
        <f t="shared" si="3425"/>
        <v>0.41615833911547367</v>
      </c>
      <c r="DF1152" s="189">
        <f>INDEX('State Tax Lookup'!$D$7:$Z$91,MATCH(Calculation!$C1152,'State Tax Lookup'!$B$7:$B$91,0),MATCH($H1152,'State Tax Lookup'!$D$6:$Z$6,0))</f>
        <v>0.39649667</v>
      </c>
      <c r="DG1152" s="189">
        <v>0.375</v>
      </c>
      <c r="DH1152" s="190">
        <f t="shared" si="3427"/>
        <v>19.082016889736597</v>
      </c>
      <c r="DI1152" s="190">
        <v>18.740166504338433</v>
      </c>
      <c r="DJ1152" s="177"/>
      <c r="DK1152" s="189">
        <f>VLOOKUP($H1152,RoR!$E:$F,2,FALSE)</f>
        <v>4.9433333333333322E-2</v>
      </c>
      <c r="DL1152" s="191">
        <f>HLOOKUP($H1152,'GDP-PI'!$D$8:$CQ$11,3,FALSE)</f>
        <v>1.1684333519300205E-2</v>
      </c>
      <c r="DM1152" s="189">
        <f>VLOOKUP(H1152,'HW Dx Data'!$E:$F,2,FALSE)</f>
        <v>568.98950262971744</v>
      </c>
      <c r="DN1152" s="183">
        <f>VLOOKUP(H1152,'ECI - Input Price'!$G$17:$H$37,2,FALSE)</f>
        <v>111.875</v>
      </c>
      <c r="DO1152" s="177">
        <f t="shared" ref="DO1152" si="3464">LN(DN1152/DN1151)</f>
        <v>1.8949360147238387E-2</v>
      </c>
      <c r="DP1152" s="183">
        <f>HLOOKUP(H1152,'GDP-PI'!$8:$9,2,FALSE)</f>
        <v>96.108999999999995</v>
      </c>
      <c r="DQ1152" s="177">
        <f t="shared" ref="DQ1152" si="3465">LN(DP1152/DP1151)</f>
        <v>1.1616598807150427E-2</v>
      </c>
    </row>
    <row r="1153" spans="1:121" s="167" customFormat="1" ht="21" x14ac:dyDescent="0.35">
      <c r="A1153" s="167" t="s">
        <v>110</v>
      </c>
      <c r="B1153" s="167" t="s">
        <v>110</v>
      </c>
      <c r="C1153" s="167">
        <v>4063183</v>
      </c>
      <c r="D1153" s="168" t="s">
        <v>136</v>
      </c>
      <c r="E1153" s="168" t="s">
        <v>126</v>
      </c>
      <c r="F1153" s="198"/>
      <c r="G1153" s="167" t="s">
        <v>17</v>
      </c>
      <c r="H1153" s="169">
        <v>2011</v>
      </c>
      <c r="I1153" s="170"/>
      <c r="J1153" s="166">
        <f>IFERROR(INDEX('Labor Expenditures'!$F$7:$X$91,MATCH($C1153,'Labor Expenditures'!$D$7:$D$91,0),MATCH($G1153,'Labor Expenditures'!$F$5:$X$5,0)),"NA")</f>
        <v>2902.5576366865143</v>
      </c>
      <c r="K1153" s="166">
        <f t="shared" si="3433"/>
        <v>25.394205045376328</v>
      </c>
      <c r="L1153" s="172">
        <f t="shared" si="3440"/>
        <v>-6.8493063897855977E-2</v>
      </c>
      <c r="M1153" s="172">
        <f t="shared" si="3444"/>
        <v>-6.7784368223435521E-5</v>
      </c>
      <c r="N1153" s="196"/>
      <c r="O1153" s="172"/>
      <c r="P1153" s="166">
        <f>IFERROR(INDEX('Non-Labor Expenditures'!$F$7:$AB$91,MATCH($C1153,'Non-Labor Expenditures'!$D$7:$D$91,0),MATCH($G1153,'Non-Labor Expenditures'!$F$5:$AB$5,0)),"NA")</f>
        <v>4203.4455809084347</v>
      </c>
      <c r="Q1153" s="166">
        <f t="shared" si="3434"/>
        <v>42.843338031111742</v>
      </c>
      <c r="R1153" s="172">
        <f t="shared" si="3445"/>
        <v>-6.7675388904959471E-2</v>
      </c>
      <c r="S1153" s="172">
        <f t="shared" si="3450"/>
        <v>-6.6975153689125189E-5</v>
      </c>
      <c r="T1153" s="172"/>
      <c r="U1153" s="172"/>
      <c r="V1153" s="166">
        <f t="shared" si="3415"/>
        <v>2987.3202525490183</v>
      </c>
      <c r="W1153" s="170"/>
      <c r="X1153" s="174">
        <v>147.9358858992677</v>
      </c>
      <c r="Y1153" s="175">
        <v>6.6731692974060204E-3</v>
      </c>
      <c r="Z1153" s="175">
        <f t="shared" si="3451"/>
        <v>6.6041222151671567E-6</v>
      </c>
      <c r="AA1153" s="175"/>
      <c r="AB1153" s="175"/>
      <c r="AC1153" s="170">
        <f t="shared" si="3457"/>
        <v>10093.323470143967</v>
      </c>
      <c r="AD1153" s="175">
        <f t="shared" si="3446"/>
        <v>-1.2140667721337803E-2</v>
      </c>
      <c r="AE1153" s="170"/>
      <c r="AF1153" s="170"/>
      <c r="AG1153" s="121">
        <f t="shared" si="3447"/>
        <v>650.97216834208098</v>
      </c>
      <c r="AH1153" s="119">
        <f>+AZ1153/$BB$49</f>
        <v>4.3028943083997891E-4</v>
      </c>
      <c r="AI1153" s="119">
        <f>+AZ1153/$BC$49</f>
        <v>1.8375553651698343E-3</v>
      </c>
      <c r="AJ1153" s="176">
        <f t="shared" si="3452"/>
        <v>0.28010644380858096</v>
      </c>
      <c r="AK1153" s="176">
        <f t="shared" si="3453"/>
        <v>1.1961974005132314</v>
      </c>
      <c r="AL1153" s="120">
        <f t="shared" si="3435"/>
        <v>0.28757204158494226</v>
      </c>
      <c r="AM1153" s="120">
        <f t="shared" si="3436"/>
        <v>0.41645802726348952</v>
      </c>
      <c r="AN1153" s="120">
        <f t="shared" si="3437"/>
        <v>0.29596993115156828</v>
      </c>
      <c r="AO1153" s="120">
        <f t="shared" si="3441"/>
        <v>-4.6839507193096402E-2</v>
      </c>
      <c r="AP1153" s="173">
        <f t="shared" si="3458"/>
        <v>125.78917970348397</v>
      </c>
      <c r="AQ1153" s="175">
        <f t="shared" si="3459"/>
        <v>-4.6839507193096368E-2</v>
      </c>
      <c r="AR1153" s="177">
        <f>+AC1153/$AE$49</f>
        <v>9.8965303004290572E-4</v>
      </c>
      <c r="AS1153" s="177">
        <f t="shared" si="3454"/>
        <v>-4.6354860219364297E-5</v>
      </c>
      <c r="AT1153" s="177"/>
      <c r="AU1153" s="177"/>
      <c r="AV1153" s="177"/>
      <c r="AW1153" s="190"/>
      <c r="AX1153" s="120"/>
      <c r="AY1153" s="120"/>
      <c r="AZ1153" s="118">
        <f>IFERROR(INDEX('Total Customers'!$F$7:$AB$91,MATCH($C1153,'Total Customers'!$D$7:$D$91,0),MATCH($G1153,'Total Customers'!$F$5:$AB$5,0)),"NA")</f>
        <v>15505</v>
      </c>
      <c r="BA1153" s="119">
        <f t="shared" si="3416"/>
        <v>-1.2898232959966712E-4</v>
      </c>
      <c r="BB1153" s="119"/>
      <c r="BC1153" s="121">
        <v>8437841</v>
      </c>
      <c r="BD1153" s="119"/>
      <c r="BE1153" s="119"/>
      <c r="BF1153" s="119"/>
      <c r="BG1153" s="173"/>
      <c r="BH1153" s="173"/>
      <c r="BI1153" s="173"/>
      <c r="BJ1153" s="173"/>
      <c r="BK1153" s="173"/>
      <c r="BL1153" s="173"/>
      <c r="BM1153" s="173"/>
      <c r="BN1153" s="173"/>
      <c r="BO1153" s="173"/>
      <c r="BP1153" s="173"/>
      <c r="BQ1153" s="118"/>
      <c r="BR1153" s="118"/>
      <c r="BS1153" s="118">
        <f>INDEX('Dist. Plant Gas Additions'!$F$7:$AE$91,MATCH($C1153,'Dist. Plant Gas Additions'!$D$7:$D$91,0),MATCH(Calculation!$G1153,'Dist. Plant Gas Additions'!$F$5:$AE$5,0))</f>
        <v>667</v>
      </c>
      <c r="BT1153" s="118">
        <f>INDEX('Gen. Plant Additions'!$F$7:$AE$91,MATCH($C1153,'Gen. Plant Additions'!$D$7:$D$91,0),MATCH(Calculation!$G1153,'Gen. Plant Additions'!$F$5:$AE$5,0))</f>
        <v>614</v>
      </c>
      <c r="BU1153" s="118"/>
      <c r="BV1153" s="118"/>
      <c r="BW1153" s="118">
        <f>INDEX('Dist Plant Depreciation'!$E$7:$AD$94,MATCH($C1153,'Dist Plant Depreciation'!$D$7:$D$94,0),MATCH(Calculation!$G1153,'Dist Plant Depreciation'!$E$5:$AD$5,0))</f>
        <v>20919</v>
      </c>
      <c r="BX1153" s="118">
        <f>INDEX('Gen. Plant Depreciation'!$E$7:$AD$94,MATCH($C1153,'Gen. Plant Depreciation'!$D$7:$D$94,0),MATCH(Calculation!$G1153,'Gen. Plant Depreciation'!$E$5:$AD$5,0))</f>
        <v>3153</v>
      </c>
      <c r="BY1153" s="118"/>
      <c r="BZ1153" s="118"/>
      <c r="CA1153" s="118"/>
      <c r="CB1153" s="118"/>
      <c r="CC1153" s="118"/>
      <c r="CD1153" s="183"/>
      <c r="CE1153" s="118">
        <f>INDEX('Gross Dx Plant'!$E$7:$AD$91,MATCH($C1153,'Gross Dx Plant'!$D$7:$D$91,0),MATCH(Calculation!$G1153,'Gross Dx Plant'!$E$5:$AD$5,0))</f>
        <v>40681</v>
      </c>
      <c r="CF1153" s="118">
        <f>INDEX('Gross Gen Plant'!$E$7:$AD$91,MATCH($C1153,'Gross Gen Plant'!$D$7:$D$91,0),MATCH(Calculation!$G1153,'Gross Gen Plant'!$E$5:$AD$5,0))</f>
        <v>8009</v>
      </c>
      <c r="CG1153" s="118">
        <f t="shared" si="3352"/>
        <v>24618</v>
      </c>
      <c r="CH1153" s="118"/>
      <c r="CI1153" s="121">
        <v>2011</v>
      </c>
      <c r="CJ1153" s="118"/>
      <c r="CK1153" s="118"/>
      <c r="CL1153" s="118"/>
      <c r="CM1153" s="183"/>
      <c r="CN1153" s="118">
        <f t="shared" si="3417"/>
        <v>1281</v>
      </c>
      <c r="CO1153" s="118">
        <f t="shared" si="3418"/>
        <v>2.0944682137400794</v>
      </c>
      <c r="CP1153" s="186">
        <v>0.92121212121212126</v>
      </c>
      <c r="CQ1153" s="118">
        <f>+CQ1140*CP1153+CO1141*CP1152+CO1142*CP1151+CO1143*CP1150+CO1144*CP1149+CO1145*CP1148+CO1146*CP1147+CO1147*CP1146+CO1148*CP1145+CO1149*CP1144+CO1150*CP1143+CO1151*CP1142+CO1152*CP1141+CO1153</f>
        <v>147.9358858992677</v>
      </c>
      <c r="CR1153" s="119">
        <f t="shared" si="3419"/>
        <v>6.6731692974060204E-3</v>
      </c>
      <c r="CS1153" s="119"/>
      <c r="CT1153" s="177">
        <f t="shared" si="3420"/>
        <v>7.5572553280028694E-3</v>
      </c>
      <c r="CU1153" s="177">
        <f t="shared" si="3428"/>
        <v>7.2988938016177842E-3</v>
      </c>
      <c r="CV1153" s="119">
        <f>VLOOKUP($H1153,RoR!$E:$F,2,FALSE)</f>
        <v>4.6391666666666664E-2</v>
      </c>
      <c r="CW1153" s="177">
        <v>2.0840920205183799E-2</v>
      </c>
      <c r="CX1153" s="177">
        <f t="shared" si="3426"/>
        <v>2.5550746461482865E-2</v>
      </c>
      <c r="CY1153" s="177">
        <f t="shared" si="3429"/>
        <v>2.3603047806915842E-2</v>
      </c>
      <c r="CZ1153" s="177">
        <f t="shared" si="3430"/>
        <v>2.4810540821321614E-2</v>
      </c>
      <c r="DA1153" s="187">
        <f t="shared" si="3421"/>
        <v>0.85131374874999999</v>
      </c>
      <c r="DB1153" s="188">
        <f t="shared" si="3422"/>
        <v>1.1054151524782025</v>
      </c>
      <c r="DC1153" s="188">
        <f t="shared" si="3423"/>
        <v>0.43611011316687626</v>
      </c>
      <c r="DD1153" s="188">
        <f t="shared" si="3424"/>
        <v>0.83698442246886229</v>
      </c>
      <c r="DE1153" s="188">
        <f t="shared" si="3425"/>
        <v>0.40349573304423936</v>
      </c>
      <c r="DF1153" s="189">
        <f>INDEX('State Tax Lookup'!$D$7:$Z$91,MATCH(Calculation!$C1153,'State Tax Lookup'!$B$7:$B$91,0),MATCH($H1153,'State Tax Lookup'!$D$6:$Z$6,0))</f>
        <v>0.39649667</v>
      </c>
      <c r="DG1153" s="189">
        <v>0.375</v>
      </c>
      <c r="DH1153" s="190">
        <f t="shared" si="3427"/>
        <v>20.328548348636861</v>
      </c>
      <c r="DI1153" s="190">
        <v>19.960777285618416</v>
      </c>
      <c r="DJ1153" s="177"/>
      <c r="DK1153" s="189">
        <f>VLOOKUP($H1153,RoR!$E:$F,2,FALSE)</f>
        <v>4.6391666666666664E-2</v>
      </c>
      <c r="DL1153" s="191">
        <f>HLOOKUP($H1153,'GDP-PI'!$D$8:$CQ$11,3,FALSE)</f>
        <v>2.0840920205183799E-2</v>
      </c>
      <c r="DM1153" s="189">
        <f>VLOOKUP(H1153,'HW Dx Data'!$E:$F,2,FALSE)</f>
        <v>611.61109612283201</v>
      </c>
      <c r="DN1153" s="183">
        <f>VLOOKUP(H1153,'ECI - Input Price'!$G$17:$H$37,2,FALSE)</f>
        <v>114.3</v>
      </c>
      <c r="DO1153" s="177">
        <f t="shared" ref="DO1153" si="3466">LN(DN1153/DN1152)</f>
        <v>2.1444394205745516E-2</v>
      </c>
      <c r="DP1153" s="183">
        <f>HLOOKUP(H1153,'GDP-PI'!$8:$9,2,FALSE)</f>
        <v>98.111999999999995</v>
      </c>
      <c r="DQ1153" s="177">
        <f t="shared" ref="DQ1153" si="3467">LN(DP1153/DP1152)</f>
        <v>2.0626719212849295E-2</v>
      </c>
    </row>
    <row r="1154" spans="1:121" s="167" customFormat="1" ht="21" x14ac:dyDescent="0.35">
      <c r="A1154" s="167" t="s">
        <v>110</v>
      </c>
      <c r="B1154" s="167" t="s">
        <v>110</v>
      </c>
      <c r="C1154" s="167">
        <v>4063183</v>
      </c>
      <c r="D1154" s="168" t="s">
        <v>136</v>
      </c>
      <c r="E1154" s="168" t="s">
        <v>126</v>
      </c>
      <c r="F1154" s="198"/>
      <c r="G1154" s="167" t="s">
        <v>18</v>
      </c>
      <c r="H1154" s="169">
        <v>2012</v>
      </c>
      <c r="I1154" s="170"/>
      <c r="J1154" s="166">
        <f>IFERROR(INDEX('Labor Expenditures'!$F$7:$X$91,MATCH($C1154,'Labor Expenditures'!$D$7:$D$91,0),MATCH($G1154,'Labor Expenditures'!$F$5:$X$5,0)),"NA")</f>
        <v>2625.7623630045978</v>
      </c>
      <c r="K1154" s="166">
        <f t="shared" si="3433"/>
        <v>22.538732729653201</v>
      </c>
      <c r="L1154" s="172">
        <f t="shared" si="3440"/>
        <v>-0.11928571631815464</v>
      </c>
      <c r="M1154" s="172">
        <f t="shared" si="3444"/>
        <v>-1.079588798757134E-4</v>
      </c>
      <c r="N1154" s="196"/>
      <c r="O1154" s="172"/>
      <c r="P1154" s="166">
        <f>IFERROR(INDEX('Non-Labor Expenditures'!$F$7:$AB$91,MATCH($C1154,'Non-Labor Expenditures'!$D$7:$D$91,0),MATCH($G1154,'Non-Labor Expenditures'!$F$5:$AB$5,0)),"NA")</f>
        <v>3802.5943263911226</v>
      </c>
      <c r="Q1154" s="166">
        <f t="shared" si="3434"/>
        <v>38.025943263911223</v>
      </c>
      <c r="R1154" s="172">
        <f t="shared" si="3445"/>
        <v>-0.11928151685190712</v>
      </c>
      <c r="S1154" s="172">
        <f t="shared" si="3450"/>
        <v>-1.0795507917193971E-4</v>
      </c>
      <c r="T1154" s="172"/>
      <c r="U1154" s="172"/>
      <c r="V1154" s="166">
        <f t="shared" si="3415"/>
        <v>3243.3349703096187</v>
      </c>
      <c r="W1154" s="170"/>
      <c r="X1154" s="174">
        <v>150.12314039715585</v>
      </c>
      <c r="Y1154" s="175">
        <v>1.4676916772562925E-2</v>
      </c>
      <c r="Z1154" s="175">
        <f t="shared" si="3451"/>
        <v>1.328326260429063E-5</v>
      </c>
      <c r="AA1154" s="175"/>
      <c r="AB1154" s="175"/>
      <c r="AC1154" s="170">
        <f t="shared" si="3457"/>
        <v>9671.6916597053387</v>
      </c>
      <c r="AD1154" s="175">
        <f t="shared" si="3446"/>
        <v>-4.2670929580990044E-2</v>
      </c>
      <c r="AE1154" s="170"/>
      <c r="AF1154" s="170"/>
      <c r="AG1154" s="121">
        <f t="shared" si="3447"/>
        <v>621.0551377194721</v>
      </c>
      <c r="AH1154" s="119">
        <f>+AZ1154/$BB$50</f>
        <v>4.3009685061985313E-4</v>
      </c>
      <c r="AI1154" s="119">
        <f>+AZ1154/$BC$50</f>
        <v>1.8353409375901583E-3</v>
      </c>
      <c r="AJ1154" s="176">
        <f t="shared" si="3452"/>
        <v>0.26711385879442412</v>
      </c>
      <c r="AK1154" s="176">
        <f t="shared" si="3453"/>
        <v>1.1398479187572408</v>
      </c>
      <c r="AL1154" s="120">
        <f t="shared" si="3435"/>
        <v>0.27148946176025995</v>
      </c>
      <c r="AM1154" s="120">
        <f t="shared" si="3436"/>
        <v>0.39316744786578256</v>
      </c>
      <c r="AN1154" s="120">
        <f t="shared" si="3437"/>
        <v>0.33534309037395754</v>
      </c>
      <c r="AO1154" s="120">
        <f t="shared" si="3441"/>
        <v>-7.6997838986718525E-2</v>
      </c>
      <c r="AP1154" s="173">
        <f t="shared" si="3458"/>
        <v>116.46717686778403</v>
      </c>
      <c r="AQ1154" s="175">
        <f t="shared" si="3459"/>
        <v>-7.6997838986718484E-2</v>
      </c>
      <c r="AR1154" s="177">
        <f>+AC1154/$AE$50</f>
        <v>9.0504448653155834E-4</v>
      </c>
      <c r="AS1154" s="177">
        <f t="shared" si="3454"/>
        <v>-6.968646964977424E-5</v>
      </c>
      <c r="AT1154" s="177"/>
      <c r="AU1154" s="177"/>
      <c r="AV1154" s="177"/>
      <c r="AW1154" s="190"/>
      <c r="AX1154" s="120"/>
      <c r="AY1154" s="120"/>
      <c r="AZ1154" s="118">
        <f>IFERROR(INDEX('Total Customers'!$F$7:$AB$91,MATCH($C1154,'Total Customers'!$D$7:$D$91,0),MATCH($G1154,'Total Customers'!$F$5:$AB$5,0)),"NA")</f>
        <v>15573</v>
      </c>
      <c r="BA1154" s="119">
        <f t="shared" si="3416"/>
        <v>4.3760929607894964E-3</v>
      </c>
      <c r="BB1154" s="119"/>
      <c r="BC1154" s="121">
        <v>8485072</v>
      </c>
      <c r="BD1154" s="119"/>
      <c r="BE1154" s="119"/>
      <c r="BF1154" s="119"/>
      <c r="BG1154" s="173"/>
      <c r="BH1154" s="173"/>
      <c r="BI1154" s="173"/>
      <c r="BJ1154" s="173"/>
      <c r="BK1154" s="173"/>
      <c r="BL1154" s="173"/>
      <c r="BM1154" s="173"/>
      <c r="BN1154" s="173"/>
      <c r="BO1154" s="173"/>
      <c r="BP1154" s="173"/>
      <c r="BQ1154" s="118"/>
      <c r="BR1154" s="118"/>
      <c r="BS1154" s="118">
        <f>INDEX('Dist. Plant Gas Additions'!$F$7:$AE$91,MATCH($C1154,'Dist. Plant Gas Additions'!$D$7:$D$91,0),MATCH(Calculation!$G1154,'Dist. Plant Gas Additions'!$F$5:$AE$5,0))</f>
        <v>1518</v>
      </c>
      <c r="BT1154" s="118">
        <f>INDEX('Gen. Plant Additions'!$F$7:$AE$91,MATCH($C1154,'Gen. Plant Additions'!$D$7:$D$91,0),MATCH(Calculation!$G1154,'Gen. Plant Additions'!$F$5:$AE$5,0))</f>
        <v>722</v>
      </c>
      <c r="BU1154" s="118"/>
      <c r="BV1154" s="118"/>
      <c r="BW1154" s="118">
        <f>INDEX('Dist Plant Depreciation'!$E$7:$AD$94,MATCH($C1154,'Dist Plant Depreciation'!$D$7:$D$94,0),MATCH(Calculation!$G1154,'Dist Plant Depreciation'!$E$5:$AD$5,0))</f>
        <v>21139</v>
      </c>
      <c r="BX1154" s="118">
        <f>INDEX('Gen. Plant Depreciation'!$E$7:$AD$94,MATCH($C1154,'Gen. Plant Depreciation'!$D$7:$D$94,0),MATCH(Calculation!$G1154,'Gen. Plant Depreciation'!$E$5:$AD$5,0))</f>
        <v>3492</v>
      </c>
      <c r="BY1154" s="118"/>
      <c r="BZ1154" s="118"/>
      <c r="CA1154" s="118"/>
      <c r="CB1154" s="118"/>
      <c r="CC1154" s="118"/>
      <c r="CD1154" s="183"/>
      <c r="CE1154" s="118">
        <f>INDEX('Gross Dx Plant'!$E$7:$AD$91,MATCH($C1154,'Gross Dx Plant'!$D$7:$D$91,0),MATCH(Calculation!$G1154,'Gross Dx Plant'!$E$5:$AD$5,0))</f>
        <v>42050</v>
      </c>
      <c r="CF1154" s="118">
        <f>INDEX('Gross Gen Plant'!$E$7:$AD$91,MATCH($C1154,'Gross Gen Plant'!$D$7:$D$91,0),MATCH(Calculation!$G1154,'Gross Gen Plant'!$E$5:$AD$5,0))</f>
        <v>8571</v>
      </c>
      <c r="CG1154" s="118">
        <f t="shared" si="3352"/>
        <v>25990</v>
      </c>
      <c r="CH1154" s="118"/>
      <c r="CI1154" s="121">
        <v>2012</v>
      </c>
      <c r="CJ1154" s="118"/>
      <c r="CK1154" s="118"/>
      <c r="CL1154" s="118"/>
      <c r="CM1154" s="183"/>
      <c r="CN1154" s="118">
        <f t="shared" si="3417"/>
        <v>2240</v>
      </c>
      <c r="CO1154" s="118">
        <f t="shared" si="3418"/>
        <v>3.3486848502529361</v>
      </c>
      <c r="CP1154" s="186">
        <v>0.9135802469135802</v>
      </c>
      <c r="CQ1154" s="118">
        <f>+CQ1140*CP1154+CO1141*CP1153+CO1142*CP1152+CO1143*CP1151+CO1144*CP1150+CO1145*CP1149+CO1146*CP1148+CO1147*CP1147+CO1148*CP1146+CO1149*CP1145+CO1150*CP1144+CO1151*CP1143+CO1152*CP1142+CO1153*CP1141+CO1154</f>
        <v>150.12314039715585</v>
      </c>
      <c r="CR1154" s="119">
        <f t="shared" si="3419"/>
        <v>1.4676916772562925E-2</v>
      </c>
      <c r="CS1154" s="119"/>
      <c r="CT1154" s="177">
        <f t="shared" si="3420"/>
        <v>7.8509034187663421E-3</v>
      </c>
      <c r="CU1154" s="177">
        <f t="shared" si="3428"/>
        <v>7.5670314097379676E-3</v>
      </c>
      <c r="CV1154" s="119">
        <f>VLOOKUP($H1154,RoR!$E:$F,2,FALSE)</f>
        <v>3.6733333333333333E-2</v>
      </c>
      <c r="CW1154" s="177">
        <v>1.924331376386168E-2</v>
      </c>
      <c r="CX1154" s="177">
        <f t="shared" si="3426"/>
        <v>1.7490019569471653E-2</v>
      </c>
      <c r="CY1154" s="177">
        <f t="shared" si="3429"/>
        <v>2.3334910198795657E-2</v>
      </c>
      <c r="CZ1154" s="177">
        <f t="shared" si="3430"/>
        <v>6.7122682943869583E-2</v>
      </c>
      <c r="DA1154" s="187">
        <f t="shared" si="3421"/>
        <v>0.85131374874999999</v>
      </c>
      <c r="DB1154" s="188">
        <f t="shared" si="3422"/>
        <v>1.3960631020522127</v>
      </c>
      <c r="DC1154" s="188">
        <f t="shared" si="3423"/>
        <v>0.29441923774954631</v>
      </c>
      <c r="DD1154" s="188">
        <f t="shared" si="3424"/>
        <v>0.76377954189366437</v>
      </c>
      <c r="DE1154" s="188">
        <f t="shared" si="3425"/>
        <v>0.31393465103033691</v>
      </c>
      <c r="DF1154" s="189">
        <f>INDEX('State Tax Lookup'!$D$7:$Z$91,MATCH(Calculation!$C1154,'State Tax Lookup'!$B$7:$B$91,0),MATCH($H1154,'State Tax Lookup'!$D$6:$Z$6,0))</f>
        <v>0.39649667</v>
      </c>
      <c r="DG1154" s="189">
        <v>0.375</v>
      </c>
      <c r="DH1154" s="190">
        <f t="shared" si="3427"/>
        <v>21.923922992681206</v>
      </c>
      <c r="DI1154" s="190">
        <v>21.54865919444326</v>
      </c>
      <c r="DJ1154" s="177"/>
      <c r="DK1154" s="189">
        <f>VLOOKUP($H1154,RoR!$E:$F,2,FALSE)</f>
        <v>3.6733333333333333E-2</v>
      </c>
      <c r="DL1154" s="191">
        <f>HLOOKUP($H1154,'GDP-PI'!$D$8:$CQ$11,3,FALSE)</f>
        <v>1.924331376386168E-2</v>
      </c>
      <c r="DM1154" s="189">
        <f>VLOOKUP(H1154,'HW Dx Data'!$E:$F,2,FALSE)</f>
        <v>668.91932211262167</v>
      </c>
      <c r="DN1154" s="183">
        <f>VLOOKUP(H1154,'ECI - Input Price'!$G$17:$H$37,2,FALSE)</f>
        <v>116.5</v>
      </c>
      <c r="DO1154" s="177">
        <f t="shared" ref="DO1154" si="3468">LN(DN1154/DN1153)</f>
        <v>1.9064702204990347E-2</v>
      </c>
      <c r="DP1154" s="183">
        <f>HLOOKUP(H1154,'GDP-PI'!$8:$9,2,FALSE)</f>
        <v>100</v>
      </c>
      <c r="DQ1154" s="177">
        <f t="shared" ref="DQ1154" si="3469">LN(DP1154/DP1153)</f>
        <v>1.9060502738742411E-2</v>
      </c>
    </row>
    <row r="1155" spans="1:121" s="167" customFormat="1" ht="21" x14ac:dyDescent="0.35">
      <c r="A1155" s="167" t="s">
        <v>110</v>
      </c>
      <c r="B1155" s="167" t="s">
        <v>110</v>
      </c>
      <c r="C1155" s="167">
        <v>4063183</v>
      </c>
      <c r="D1155" s="168" t="s">
        <v>136</v>
      </c>
      <c r="E1155" s="168" t="s">
        <v>126</v>
      </c>
      <c r="F1155" s="198"/>
      <c r="G1155" s="167" t="s">
        <v>19</v>
      </c>
      <c r="H1155" s="169">
        <v>2013</v>
      </c>
      <c r="I1155" s="170"/>
      <c r="J1155" s="166">
        <f>IFERROR(INDEX('Labor Expenditures'!$F$7:$X$91,MATCH($C1155,'Labor Expenditures'!$D$7:$D$91,0),MATCH($G1155,'Labor Expenditures'!$F$5:$X$5,0)),"NA")</f>
        <v>2641.0400699098532</v>
      </c>
      <c r="K1155" s="166">
        <f t="shared" si="3433"/>
        <v>22.245020593049933</v>
      </c>
      <c r="L1155" s="172">
        <f t="shared" si="3440"/>
        <v>-1.3117093860891936E-2</v>
      </c>
      <c r="M1155" s="172">
        <f t="shared" si="3444"/>
        <v>-1.1469519613392459E-5</v>
      </c>
      <c r="N1155" s="196"/>
      <c r="O1155" s="172"/>
      <c r="P1155" s="166">
        <f>IFERROR(INDEX('Non-Labor Expenditures'!$F$7:$AB$91,MATCH($C1155,'Non-Labor Expenditures'!$D$7:$D$91,0),MATCH($G1155,'Non-Labor Expenditures'!$F$5:$AB$5,0)),"NA")</f>
        <v>3824.7192994719749</v>
      </c>
      <c r="Q1155" s="166">
        <f t="shared" si="3434"/>
        <v>37.580883922769054</v>
      </c>
      <c r="R1155" s="172">
        <f t="shared" si="3445"/>
        <v>-1.1773129447971924E-2</v>
      </c>
      <c r="S1155" s="172">
        <f t="shared" si="3450"/>
        <v>-1.0294364021981649E-5</v>
      </c>
      <c r="T1155" s="172"/>
      <c r="U1155" s="172"/>
      <c r="V1155" s="166">
        <f t="shared" si="3415"/>
        <v>3226.793602378732</v>
      </c>
      <c r="W1155" s="170"/>
      <c r="X1155" s="174">
        <v>170.56509649229227</v>
      </c>
      <c r="Y1155" s="175">
        <v>0.12766112817250477</v>
      </c>
      <c r="Z1155" s="175">
        <f t="shared" si="3451"/>
        <v>1.1162623588505668E-4</v>
      </c>
      <c r="AA1155" s="175"/>
      <c r="AB1155" s="175"/>
      <c r="AC1155" s="170">
        <f t="shared" si="3457"/>
        <v>9692.5529717605605</v>
      </c>
      <c r="AD1155" s="175">
        <f t="shared" si="3446"/>
        <v>2.1546226586981188E-3</v>
      </c>
      <c r="AE1155" s="170"/>
      <c r="AF1155" s="170"/>
      <c r="AG1155" s="121">
        <f t="shared" si="3447"/>
        <v>619.56999308108925</v>
      </c>
      <c r="AH1155" s="119">
        <f>+AZ1155/$BB$51</f>
        <v>4.2929545521527758E-4</v>
      </c>
      <c r="AI1155" s="119">
        <f>+AZ1155/$BC$51</f>
        <v>1.8329402228796259E-3</v>
      </c>
      <c r="AJ1155" s="176">
        <f t="shared" si="3452"/>
        <v>0.26597858221747261</v>
      </c>
      <c r="AK1155" s="176">
        <f t="shared" si="3453"/>
        <v>1.1356347612075801</v>
      </c>
      <c r="AL1155" s="120">
        <f t="shared" si="3435"/>
        <v>0.2724813656014648</v>
      </c>
      <c r="AM1155" s="120">
        <f t="shared" si="3436"/>
        <v>0.39460390988992972</v>
      </c>
      <c r="AN1155" s="120">
        <f t="shared" si="3437"/>
        <v>0.33291472450860543</v>
      </c>
      <c r="AO1155" s="120">
        <f t="shared" si="3441"/>
        <v>3.4450347993823724E-2</v>
      </c>
      <c r="AP1155" s="173">
        <f t="shared" si="3458"/>
        <v>120.54942534567209</v>
      </c>
      <c r="AQ1155" s="175">
        <f t="shared" si="3459"/>
        <v>3.4450347993823793E-2</v>
      </c>
      <c r="AR1155" s="177">
        <f>+AC1155/$AE$51</f>
        <v>8.7439487244871745E-4</v>
      </c>
      <c r="AS1155" s="177">
        <f t="shared" si="3454"/>
        <v>3.0123207639873485E-5</v>
      </c>
      <c r="AT1155" s="177"/>
      <c r="AU1155" s="177"/>
      <c r="AV1155" s="177"/>
      <c r="AW1155" s="190"/>
      <c r="AX1155" s="120"/>
      <c r="AY1155" s="120"/>
      <c r="AZ1155" s="118">
        <f>IFERROR(INDEX('Total Customers'!$F$7:$AB$91,MATCH($C1155,'Total Customers'!$D$7:$D$91,0),MATCH($G1155,'Total Customers'!$F$5:$AB$5,0)),"NA")</f>
        <v>15644</v>
      </c>
      <c r="BA1155" s="119">
        <f t="shared" si="3416"/>
        <v>4.5488113800660358E-3</v>
      </c>
      <c r="BB1155" s="119"/>
      <c r="BC1155" s="121">
        <v>8534921</v>
      </c>
      <c r="BD1155" s="119"/>
      <c r="BE1155" s="119"/>
      <c r="BF1155" s="119"/>
      <c r="BG1155" s="173"/>
      <c r="BH1155" s="173"/>
      <c r="BI1155" s="173"/>
      <c r="BJ1155" s="173"/>
      <c r="BK1155" s="173"/>
      <c r="BL1155" s="173"/>
      <c r="BM1155" s="173"/>
      <c r="BN1155" s="173"/>
      <c r="BO1155" s="173"/>
      <c r="BP1155" s="173"/>
      <c r="BQ1155" s="118"/>
      <c r="BR1155" s="118"/>
      <c r="BS1155" s="118">
        <f>INDEX('Dist. Plant Gas Additions'!$F$7:$AE$91,MATCH($C1155,'Dist. Plant Gas Additions'!$D$7:$D$91,0),MATCH(Calculation!$G1155,'Dist. Plant Gas Additions'!$F$5:$AE$5,0))</f>
        <v>13145</v>
      </c>
      <c r="BT1155" s="118">
        <f>INDEX('Gen. Plant Additions'!$F$7:$AE$91,MATCH($C1155,'Gen. Plant Additions'!$D$7:$D$91,0),MATCH(Calculation!$G1155,'Gen. Plant Additions'!$F$5:$AE$5,0))</f>
        <v>1223</v>
      </c>
      <c r="BU1155" s="118"/>
      <c r="BV1155" s="118"/>
      <c r="BW1155" s="118">
        <f>INDEX('Dist Plant Depreciation'!$E$7:$AD$94,MATCH($C1155,'Dist Plant Depreciation'!$D$7:$D$94,0),MATCH(Calculation!$G1155,'Dist Plant Depreciation'!$E$5:$AD$5,0))</f>
        <v>21856</v>
      </c>
      <c r="BX1155" s="118">
        <f>INDEX('Gen. Plant Depreciation'!$E$7:$AD$94,MATCH($C1155,'Gen. Plant Depreciation'!$D$7:$D$94,0),MATCH(Calculation!$G1155,'Gen. Plant Depreciation'!$E$5:$AD$5,0))</f>
        <v>3724</v>
      </c>
      <c r="BY1155" s="118"/>
      <c r="BZ1155" s="118"/>
      <c r="CA1155" s="118"/>
      <c r="CB1155" s="118"/>
      <c r="CC1155" s="118"/>
      <c r="CD1155" s="183"/>
      <c r="CE1155" s="118">
        <f>INDEX('Gross Dx Plant'!$E$7:$AD$91,MATCH($C1155,'Gross Dx Plant'!$D$7:$D$91,0),MATCH(Calculation!$G1155,'Gross Dx Plant'!$E$5:$AD$5,0))</f>
        <v>55155</v>
      </c>
      <c r="CF1155" s="118">
        <f>INDEX('Gross Gen Plant'!$E$7:$AD$91,MATCH($C1155,'Gross Gen Plant'!$D$7:$D$91,0),MATCH(Calculation!$G1155,'Gross Gen Plant'!$E$5:$AD$5,0))</f>
        <v>9509</v>
      </c>
      <c r="CG1155" s="118">
        <f t="shared" si="3352"/>
        <v>39084</v>
      </c>
      <c r="CH1155" s="118"/>
      <c r="CI1155" s="121">
        <v>2013</v>
      </c>
      <c r="CJ1155" s="118"/>
      <c r="CK1155" s="118"/>
      <c r="CL1155" s="118"/>
      <c r="CM1155" s="183"/>
      <c r="CN1155" s="118">
        <f t="shared" si="3417"/>
        <v>14368</v>
      </c>
      <c r="CO1155" s="118">
        <f t="shared" si="3418"/>
        <v>21.663075072790843</v>
      </c>
      <c r="CP1155" s="186">
        <v>0.90566037735849059</v>
      </c>
      <c r="CQ1155" s="118">
        <f>+CQ1140*CP1155+CO1141*CP1154+CO1142*CP1153+CO1143*CP1152+CO1144*CP1151+CO1145*CP1150+CO1146*CP1149+CO1147*CP1148+CO1148*CP1147+CO1149*CP1146+CO1150*CP1145+CO1151*CP1144+CO1152*CP1143+CO1153*CP1142+CO1154*CP1141+CO1155</f>
        <v>170.56509649229227</v>
      </c>
      <c r="CR1155" s="119">
        <f t="shared" si="3419"/>
        <v>0.12766112817250477</v>
      </c>
      <c r="CS1155" s="119"/>
      <c r="CT1155" s="177">
        <f t="shared" si="3420"/>
        <v>8.1341155961959771E-3</v>
      </c>
      <c r="CU1155" s="177">
        <f t="shared" si="3428"/>
        <v>7.8474247809883959E-3</v>
      </c>
      <c r="CV1155" s="119">
        <f>VLOOKUP($H1155,RoR!$E:$F,2,FALSE)</f>
        <v>4.2350000000000006E-2</v>
      </c>
      <c r="CW1155" s="177">
        <v>1.7730000000000024E-2</v>
      </c>
      <c r="CX1155" s="177">
        <f t="shared" si="3426"/>
        <v>2.4619999999999982E-2</v>
      </c>
      <c r="CY1155" s="177">
        <f t="shared" si="3429"/>
        <v>2.3054516827545231E-2</v>
      </c>
      <c r="CZ1155" s="177">
        <f t="shared" si="3430"/>
        <v>5.3376742735721204E-2</v>
      </c>
      <c r="DA1155" s="187">
        <f t="shared" si="3421"/>
        <v>0.85131374874999999</v>
      </c>
      <c r="DB1155" s="188">
        <f t="shared" si="3422"/>
        <v>1.2109103018193925</v>
      </c>
      <c r="DC1155" s="188">
        <f t="shared" si="3423"/>
        <v>0.38468122786304604</v>
      </c>
      <c r="DD1155" s="188">
        <f t="shared" si="3424"/>
        <v>0.80969194503422559</v>
      </c>
      <c r="DE1155" s="188">
        <f t="shared" si="3425"/>
        <v>0.37716621754800816</v>
      </c>
      <c r="DF1155" s="189">
        <f>INDEX('State Tax Lookup'!$D$7:$Z$91,MATCH(Calculation!$C1155,'State Tax Lookup'!$B$7:$B$91,0),MATCH($H1155,'State Tax Lookup'!$D$6:$Z$6,0))</f>
        <v>0.39649667</v>
      </c>
      <c r="DG1155" s="189">
        <v>0.375</v>
      </c>
      <c r="DH1155" s="190">
        <f t="shared" si="3427"/>
        <v>21.494311895169126</v>
      </c>
      <c r="DI1155" s="190">
        <v>21.118018643425543</v>
      </c>
      <c r="DJ1155" s="177"/>
      <c r="DK1155" s="189">
        <f>VLOOKUP($H1155,RoR!$E:$F,2,FALSE)</f>
        <v>4.2350000000000006E-2</v>
      </c>
      <c r="DL1155" s="191">
        <f>HLOOKUP($H1155,'GDP-PI'!$D$8:$CQ$11,3,FALSE)</f>
        <v>1.7730000000000024E-2</v>
      </c>
      <c r="DM1155" s="189">
        <f>VLOOKUP(H1155,'HW Dx Data'!$E:$F,2,FALSE)</f>
        <v>663.24840548821396</v>
      </c>
      <c r="DN1155" s="183">
        <f>VLOOKUP(H1155,'ECI - Input Price'!$G$17:$H$37,2,FALSE)</f>
        <v>118.72499999999999</v>
      </c>
      <c r="DO1155" s="177">
        <f t="shared" ref="DO1155" si="3470">LN(DN1155/DN1154)</f>
        <v>1.8918621429430321E-2</v>
      </c>
      <c r="DP1155" s="183">
        <f>HLOOKUP(H1155,'GDP-PI'!$8:$9,2,FALSE)</f>
        <v>101.773</v>
      </c>
      <c r="DQ1155" s="177">
        <f t="shared" ref="DQ1155" si="3471">LN(DP1155/DP1154)</f>
        <v>1.7574657016510519E-2</v>
      </c>
    </row>
    <row r="1156" spans="1:121" s="167" customFormat="1" ht="21" x14ac:dyDescent="0.35">
      <c r="A1156" s="167" t="s">
        <v>110</v>
      </c>
      <c r="B1156" s="167" t="s">
        <v>110</v>
      </c>
      <c r="C1156" s="167">
        <v>4063183</v>
      </c>
      <c r="D1156" s="168" t="s">
        <v>136</v>
      </c>
      <c r="E1156" s="168" t="s">
        <v>126</v>
      </c>
      <c r="F1156" s="198"/>
      <c r="G1156" s="167" t="s">
        <v>20</v>
      </c>
      <c r="H1156" s="169">
        <v>2014</v>
      </c>
      <c r="I1156" s="170"/>
      <c r="J1156" s="166">
        <f>IFERROR(INDEX('Labor Expenditures'!$F$7:$X$91,MATCH($C1156,'Labor Expenditures'!$D$7:$D$91,0),MATCH($G1156,'Labor Expenditures'!$F$5:$X$5,0)),"NA")</f>
        <v>2731.1089743870057</v>
      </c>
      <c r="K1156" s="166">
        <f t="shared" si="3433"/>
        <v>22.53390242893569</v>
      </c>
      <c r="L1156" s="172">
        <f t="shared" si="3440"/>
        <v>1.2902759787944537E-2</v>
      </c>
      <c r="M1156" s="172">
        <f t="shared" si="3444"/>
        <v>1.1843939613640906E-5</v>
      </c>
      <c r="N1156" s="196"/>
      <c r="O1156" s="172"/>
      <c r="P1156" s="166">
        <f>IFERROR(INDEX('Non-Labor Expenditures'!$F$7:$AB$91,MATCH($C1156,'Non-Labor Expenditures'!$D$7:$D$91,0),MATCH($G1156,'Non-Labor Expenditures'!$F$5:$AB$5,0)),"NA")</f>
        <v>3955.1558957057537</v>
      </c>
      <c r="Q1156" s="166">
        <f t="shared" si="3434"/>
        <v>38.159868551002475</v>
      </c>
      <c r="R1156" s="172">
        <f t="shared" si="3445"/>
        <v>1.5288887089717325E-2</v>
      </c>
      <c r="S1156" s="172">
        <f t="shared" si="3450"/>
        <v>1.4034257664749793E-5</v>
      </c>
      <c r="T1156" s="172"/>
      <c r="U1156" s="172"/>
      <c r="V1156" s="166">
        <f t="shared" si="3415"/>
        <v>3759.6963243273835</v>
      </c>
      <c r="W1156" s="170"/>
      <c r="X1156" s="174">
        <v>173.81132513000605</v>
      </c>
      <c r="Y1156" s="175">
        <v>1.8853351094926429E-2</v>
      </c>
      <c r="Z1156" s="175">
        <f t="shared" si="3451"/>
        <v>1.7306216309762948E-5</v>
      </c>
      <c r="AA1156" s="175"/>
      <c r="AB1156" s="175"/>
      <c r="AC1156" s="170">
        <f t="shared" si="3457"/>
        <v>10445.961194420142</v>
      </c>
      <c r="AD1156" s="175">
        <f t="shared" si="3446"/>
        <v>7.4857559352676267E-2</v>
      </c>
      <c r="AE1156" s="170"/>
      <c r="AF1156" s="170"/>
      <c r="AG1156" s="121">
        <f t="shared" si="3447"/>
        <v>661.30420324260206</v>
      </c>
      <c r="AH1156" s="119">
        <f>+AZ1156/$BB$52</f>
        <v>4.3113968681884483E-4</v>
      </c>
      <c r="AI1156" s="119">
        <f>+AZ1156/$BC$52</f>
        <v>1.8367967269761437E-3</v>
      </c>
      <c r="AJ1156" s="176">
        <f t="shared" si="3452"/>
        <v>0.28511448707800119</v>
      </c>
      <c r="AK1156" s="176">
        <f t="shared" si="3453"/>
        <v>1.2146813960515779</v>
      </c>
      <c r="AL1156" s="120">
        <f t="shared" si="3435"/>
        <v>0.26145118898640618</v>
      </c>
      <c r="AM1156" s="120">
        <f t="shared" si="3436"/>
        <v>0.37863015399850958</v>
      </c>
      <c r="AN1156" s="120">
        <f t="shared" si="3437"/>
        <v>0.3599186570150843</v>
      </c>
      <c r="AO1156" s="120">
        <f t="shared" si="3441"/>
        <v>1.5886661391837871E-2</v>
      </c>
      <c r="AP1156" s="173">
        <f t="shared" si="3458"/>
        <v>122.47984662091829</v>
      </c>
      <c r="AQ1156" s="175">
        <f t="shared" si="3459"/>
        <v>1.5886661391837933E-2</v>
      </c>
      <c r="AR1156" s="177">
        <f>+AC1156/$AE$52</f>
        <v>9.1793847272171017E-4</v>
      </c>
      <c r="AS1156" s="177">
        <f t="shared" si="3454"/>
        <v>1.4582977694670671E-5</v>
      </c>
      <c r="AT1156" s="177"/>
      <c r="AU1156" s="177"/>
      <c r="AV1156" s="177"/>
      <c r="AW1156" s="190"/>
      <c r="AX1156" s="120"/>
      <c r="AY1156" s="120"/>
      <c r="AZ1156" s="118">
        <f>IFERROR(INDEX('Total Customers'!$F$7:$AB$91,MATCH($C1156,'Total Customers'!$D$7:$D$91,0),MATCH($G1156,'Total Customers'!$F$5:$AB$5,0)),"NA")</f>
        <v>15796</v>
      </c>
      <c r="BA1156" s="119">
        <f t="shared" si="3416"/>
        <v>9.6692865311352565E-3</v>
      </c>
      <c r="BB1156" s="119"/>
      <c r="BC1156" s="121">
        <v>8599754</v>
      </c>
      <c r="BD1156" s="119"/>
      <c r="BE1156" s="119"/>
      <c r="BF1156" s="119"/>
      <c r="BG1156" s="173"/>
      <c r="BH1156" s="173"/>
      <c r="BI1156" s="173"/>
      <c r="BJ1156" s="173"/>
      <c r="BK1156" s="173"/>
      <c r="BL1156" s="173"/>
      <c r="BM1156" s="173"/>
      <c r="BN1156" s="173"/>
      <c r="BO1156" s="173"/>
      <c r="BP1156" s="173"/>
      <c r="BQ1156" s="118"/>
      <c r="BR1156" s="118"/>
      <c r="BS1156" s="118">
        <f>INDEX('Dist. Plant Gas Additions'!$F$7:$AE$91,MATCH($C1156,'Dist. Plant Gas Additions'!$D$7:$D$91,0),MATCH(Calculation!$G1156,'Dist. Plant Gas Additions'!$F$5:$AE$5,0))</f>
        <v>2787</v>
      </c>
      <c r="BT1156" s="118">
        <f>INDEX('Gen. Plant Additions'!$F$7:$AE$91,MATCH($C1156,'Gen. Plant Additions'!$D$7:$D$91,0),MATCH(Calculation!$G1156,'Gen. Plant Additions'!$F$5:$AE$5,0))</f>
        <v>376</v>
      </c>
      <c r="BU1156" s="118"/>
      <c r="BV1156" s="118"/>
      <c r="BW1156" s="118">
        <f>INDEX('Dist Plant Depreciation'!$E$7:$AD$94,MATCH($C1156,'Dist Plant Depreciation'!$D$7:$D$94,0),MATCH(Calculation!$G1156,'Dist Plant Depreciation'!$E$5:$AD$5,0))</f>
        <v>22673</v>
      </c>
      <c r="BX1156" s="118">
        <f>INDEX('Gen. Plant Depreciation'!$E$7:$AD$94,MATCH($C1156,'Gen. Plant Depreciation'!$D$7:$D$94,0),MATCH(Calculation!$G1156,'Gen. Plant Depreciation'!$E$5:$AD$5,0))</f>
        <v>4306</v>
      </c>
      <c r="BY1156" s="118"/>
      <c r="BZ1156" s="118"/>
      <c r="CA1156" s="118"/>
      <c r="CB1156" s="118"/>
      <c r="CC1156" s="118"/>
      <c r="CD1156" s="183"/>
      <c r="CE1156" s="118">
        <f>INDEX('Gross Dx Plant'!$E$7:$AD$91,MATCH($C1156,'Gross Dx Plant'!$D$7:$D$91,0),MATCH(Calculation!$G1156,'Gross Dx Plant'!$E$5:$AD$5,0))</f>
        <v>57942</v>
      </c>
      <c r="CF1156" s="118">
        <f>INDEX('Gross Gen Plant'!$E$7:$AD$91,MATCH($C1156,'Gross Gen Plant'!$D$7:$D$91,0),MATCH(Calculation!$G1156,'Gross Gen Plant'!$E$5:$AD$5,0))</f>
        <v>9885</v>
      </c>
      <c r="CG1156" s="118">
        <f t="shared" si="3352"/>
        <v>40848</v>
      </c>
      <c r="CH1156" s="118"/>
      <c r="CI1156" s="121">
        <v>2014</v>
      </c>
      <c r="CJ1156" s="118"/>
      <c r="CK1156" s="118"/>
      <c r="CL1156" s="118"/>
      <c r="CM1156" s="183"/>
      <c r="CN1156" s="118">
        <f t="shared" si="3417"/>
        <v>3163</v>
      </c>
      <c r="CO1156" s="118">
        <f t="shared" si="3418"/>
        <v>4.6210994798507423</v>
      </c>
      <c r="CP1156" s="186">
        <v>0.89743589743589747</v>
      </c>
      <c r="CQ1156" s="118">
        <f>+CQ1140*CP1156+CO1141*CP1155+CO1142*CP1154+CO1143*CP1153+CO1144*CP1152+CO1145*CP1151+CO1146*CP1150+CO1147*CP1149+CO1148*CP1148+CO1149*CP1147+CO1150*CP1146+CO1151*CP1145+CO1152*CP1144+CO1153*CP1143+CO1154*CP1142+CO1155*CP1141+CO1156</f>
        <v>173.81132513000605</v>
      </c>
      <c r="CR1156" s="119">
        <f t="shared" si="3419"/>
        <v>1.8853351094926429E-2</v>
      </c>
      <c r="CS1156" s="119"/>
      <c r="CT1156" s="177">
        <f t="shared" si="3420"/>
        <v>8.0606810561566888E-3</v>
      </c>
      <c r="CU1156" s="177">
        <f t="shared" si="3428"/>
        <v>8.0152333570396705E-3</v>
      </c>
      <c r="CV1156" s="119">
        <f>VLOOKUP($H1156,RoR!$E:$F,2,FALSE)</f>
        <v>4.1625000000000002E-2</v>
      </c>
      <c r="CW1156" s="177">
        <v>1.841352814597208E-2</v>
      </c>
      <c r="CX1156" s="177">
        <f t="shared" si="3426"/>
        <v>2.3211471854027922E-2</v>
      </c>
      <c r="CY1156" s="177">
        <f t="shared" si="3429"/>
        <v>2.2886708251493956E-2</v>
      </c>
      <c r="CZ1156" s="177">
        <f t="shared" si="3430"/>
        <v>3.9072621432650924E-2</v>
      </c>
      <c r="DA1156" s="187">
        <f t="shared" si="3421"/>
        <v>0.85131374874999999</v>
      </c>
      <c r="DB1156" s="188">
        <f t="shared" si="3422"/>
        <v>1.2320012320012319</v>
      </c>
      <c r="DC1156" s="188">
        <f t="shared" si="3423"/>
        <v>0.37439939939939942</v>
      </c>
      <c r="DD1156" s="188">
        <f t="shared" si="3424"/>
        <v>0.80432100613819935</v>
      </c>
      <c r="DE1156" s="188">
        <f t="shared" si="3425"/>
        <v>0.37100152660040037</v>
      </c>
      <c r="DF1156" s="189">
        <f>INDEX('State Tax Lookup'!$D$7:$Z$91,MATCH(Calculation!$C1156,'State Tax Lookup'!$B$7:$B$91,0),MATCH($H1156,'State Tax Lookup'!$D$6:$Z$6,0))</f>
        <v>0.39649667</v>
      </c>
      <c r="DG1156" s="189">
        <v>0.375</v>
      </c>
      <c r="DH1156" s="190">
        <f t="shared" si="3427"/>
        <v>22.042589026983499</v>
      </c>
      <c r="DI1156" s="190">
        <v>21.874572942927244</v>
      </c>
      <c r="DJ1156" s="177"/>
      <c r="DK1156" s="189">
        <f>VLOOKUP($H1156,RoR!$E:$F,2,FALSE)</f>
        <v>4.1625000000000002E-2</v>
      </c>
      <c r="DL1156" s="191">
        <f>HLOOKUP($H1156,'GDP-PI'!$D$8:$CQ$11,3,FALSE)</f>
        <v>1.841352814597208E-2</v>
      </c>
      <c r="DM1156" s="189">
        <f>VLOOKUP(H1156,'HW Dx Data'!$E:$F,2,FALSE)</f>
        <v>684.46914285042885</v>
      </c>
      <c r="DN1156" s="183">
        <f>VLOOKUP(H1156,'ECI - Input Price'!$G$17:$H$37,2,FALSE)</f>
        <v>121.2</v>
      </c>
      <c r="DO1156" s="177">
        <f t="shared" ref="DO1156" si="3472">LN(DN1156/DN1155)</f>
        <v>2.0632179200028689E-2</v>
      </c>
      <c r="DP1156" s="183">
        <f>HLOOKUP(H1156,'GDP-PI'!$8:$9,2,FALSE)</f>
        <v>103.64700000000001</v>
      </c>
      <c r="DQ1156" s="177">
        <f t="shared" ref="DQ1156" si="3473">LN(DP1156/DP1155)</f>
        <v>1.8246051898256087E-2</v>
      </c>
    </row>
    <row r="1157" spans="1:121" s="167" customFormat="1" ht="21" x14ac:dyDescent="0.35">
      <c r="A1157" s="167" t="s">
        <v>110</v>
      </c>
      <c r="B1157" s="167" t="s">
        <v>110</v>
      </c>
      <c r="C1157" s="167">
        <v>4063183</v>
      </c>
      <c r="D1157" s="168" t="s">
        <v>136</v>
      </c>
      <c r="E1157" s="168" t="s">
        <v>126</v>
      </c>
      <c r="F1157" s="198"/>
      <c r="G1157" s="167" t="s">
        <v>21</v>
      </c>
      <c r="H1157" s="169">
        <v>2015</v>
      </c>
      <c r="I1157" s="170"/>
      <c r="J1157" s="166">
        <f>IFERROR(INDEX('Labor Expenditures'!$F$7:$X$91,MATCH($C1157,'Labor Expenditures'!$D$7:$D$91,0),MATCH($G1157,'Labor Expenditures'!$F$5:$X$5,0)),"NA")</f>
        <v>2935.5606901592691</v>
      </c>
      <c r="K1157" s="166">
        <f t="shared" si="3433"/>
        <v>23.721702546741568</v>
      </c>
      <c r="L1157" s="172">
        <f t="shared" si="3440"/>
        <v>5.1369398613883538E-2</v>
      </c>
      <c r="M1157" s="172">
        <f t="shared" si="3444"/>
        <v>4.8935086686424198E-5</v>
      </c>
      <c r="N1157" s="196"/>
      <c r="O1157" s="172"/>
      <c r="P1157" s="166">
        <f>IFERROR(INDEX('Non-Labor Expenditures'!$F$7:$AB$91,MATCH($C1157,'Non-Labor Expenditures'!$D$7:$D$91,0),MATCH($G1157,'Non-Labor Expenditures'!$F$5:$AB$5,0)),"NA")</f>
        <v>4251.2401664570962</v>
      </c>
      <c r="Q1157" s="166">
        <f t="shared" si="3434"/>
        <v>40.627683430242037</v>
      </c>
      <c r="R1157" s="172">
        <f t="shared" si="3445"/>
        <v>6.2665290242026203E-2</v>
      </c>
      <c r="S1157" s="172">
        <f t="shared" si="3450"/>
        <v>5.9695684453559039E-5</v>
      </c>
      <c r="T1157" s="172"/>
      <c r="U1157" s="172"/>
      <c r="V1157" s="166">
        <f t="shared" si="3415"/>
        <v>3763.2203976685278</v>
      </c>
      <c r="W1157" s="170"/>
      <c r="X1157" s="174">
        <v>220.31790086686428</v>
      </c>
      <c r="Y1157" s="175">
        <v>0.23710113471802205</v>
      </c>
      <c r="Z1157" s="175">
        <f t="shared" si="3451"/>
        <v>2.2586529906815266E-4</v>
      </c>
      <c r="AA1157" s="175"/>
      <c r="AB1157" s="175"/>
      <c r="AC1157" s="170">
        <f t="shared" si="3457"/>
        <v>10950.021254284893</v>
      </c>
      <c r="AD1157" s="175">
        <f t="shared" si="3446"/>
        <v>4.7125982158582581E-2</v>
      </c>
      <c r="AE1157" s="170"/>
      <c r="AF1157" s="170"/>
      <c r="AG1157" s="121">
        <f t="shared" si="3447"/>
        <v>687.08171263631129</v>
      </c>
      <c r="AH1157" s="119">
        <f>+AZ1157/$BB$53</f>
        <v>4.314612179557432E-4</v>
      </c>
      <c r="AI1157" s="119">
        <f>+AZ1157/$BC$53</f>
        <v>1.840489593097858E-3</v>
      </c>
      <c r="AJ1157" s="176">
        <f t="shared" si="3452"/>
        <v>0.29644911256918083</v>
      </c>
      <c r="AK1157" s="176">
        <f t="shared" si="3453"/>
        <v>1.264566741714984</v>
      </c>
      <c r="AL1157" s="120">
        <f t="shared" si="3435"/>
        <v>0.26808721389563916</v>
      </c>
      <c r="AM1157" s="120">
        <f t="shared" si="3436"/>
        <v>0.38824035750556446</v>
      </c>
      <c r="AN1157" s="120">
        <f t="shared" si="3437"/>
        <v>0.34367242859879638</v>
      </c>
      <c r="AO1157" s="120">
        <f t="shared" si="3441"/>
        <v>0.12104023862849853</v>
      </c>
      <c r="AP1157" s="173">
        <f t="shared" si="3458"/>
        <v>138.23936860998356</v>
      </c>
      <c r="AQ1157" s="175">
        <f t="shared" si="3459"/>
        <v>0.12104023862849837</v>
      </c>
      <c r="AR1157" s="177">
        <f>+AC1157/$AE$53</f>
        <v>9.5261163273962449E-4</v>
      </c>
      <c r="AS1157" s="177">
        <f t="shared" si="3454"/>
        <v>1.153043393470876E-4</v>
      </c>
      <c r="AT1157" s="177"/>
      <c r="AU1157" s="177"/>
      <c r="AV1157" s="177"/>
      <c r="AW1157" s="190"/>
      <c r="AX1157" s="120"/>
      <c r="AY1157" s="120"/>
      <c r="AZ1157" s="118">
        <f>IFERROR(INDEX('Total Customers'!$F$7:$AB$91,MATCH($C1157,'Total Customers'!$D$7:$D$91,0),MATCH($G1157,'Total Customers'!$F$5:$AB$5,0)),"NA")</f>
        <v>15937</v>
      </c>
      <c r="BA1157" s="119">
        <f t="shared" si="3416"/>
        <v>8.886706453093635E-3</v>
      </c>
      <c r="BB1157" s="119"/>
      <c r="BC1157" s="121">
        <v>8659109</v>
      </c>
      <c r="BD1157" s="119"/>
      <c r="BE1157" s="119"/>
      <c r="BF1157" s="119"/>
      <c r="BG1157" s="173"/>
      <c r="BH1157" s="173"/>
      <c r="BI1157" s="173"/>
      <c r="BJ1157" s="173"/>
      <c r="BK1157" s="173"/>
      <c r="BL1157" s="173"/>
      <c r="BM1157" s="173"/>
      <c r="BN1157" s="173"/>
      <c r="BO1157" s="173"/>
      <c r="BP1157" s="173"/>
      <c r="BQ1157" s="118"/>
      <c r="BR1157" s="118"/>
      <c r="BS1157" s="118">
        <f>INDEX('Dist. Plant Gas Additions'!$F$7:$AE$91,MATCH($C1157,'Dist. Plant Gas Additions'!$D$7:$D$91,0),MATCH(Calculation!$G1157,'Dist. Plant Gas Additions'!$F$5:$AE$5,0))</f>
        <v>31793</v>
      </c>
      <c r="BT1157" s="118">
        <f>INDEX('Gen. Plant Additions'!$F$7:$AE$91,MATCH($C1157,'Gen. Plant Additions'!$D$7:$D$91,0),MATCH(Calculation!$G1157,'Gen. Plant Additions'!$F$5:$AE$5,0))</f>
        <v>607</v>
      </c>
      <c r="BU1157" s="118"/>
      <c r="BV1157" s="118"/>
      <c r="BW1157" s="118">
        <f>INDEX('Dist Plant Depreciation'!$E$7:$AD$94,MATCH($C1157,'Dist Plant Depreciation'!$D$7:$D$94,0),MATCH(Calculation!$G1157,'Dist Plant Depreciation'!$E$5:$AD$5,0))</f>
        <v>23580</v>
      </c>
      <c r="BX1157" s="118">
        <f>INDEX('Gen. Plant Depreciation'!$E$7:$AD$94,MATCH($C1157,'Gen. Plant Depreciation'!$D$7:$D$94,0),MATCH(Calculation!$G1157,'Gen. Plant Depreciation'!$E$5:$AD$5,0))</f>
        <v>4799</v>
      </c>
      <c r="BY1157" s="118"/>
      <c r="BZ1157" s="118"/>
      <c r="CA1157" s="118"/>
      <c r="CB1157" s="118"/>
      <c r="CC1157" s="118"/>
      <c r="CD1157" s="183"/>
      <c r="CE1157" s="118">
        <f>INDEX('Gross Dx Plant'!$E$7:$AD$91,MATCH($C1157,'Gross Dx Plant'!$D$7:$D$91,0),MATCH(Calculation!$G1157,'Gross Dx Plant'!$E$5:$AD$5,0))</f>
        <v>89594</v>
      </c>
      <c r="CF1157" s="118">
        <f>INDEX('Gross Gen Plant'!$E$7:$AD$91,MATCH($C1157,'Gross Gen Plant'!$D$7:$D$91,0),MATCH(Calculation!$G1157,'Gross Gen Plant'!$E$5:$AD$5,0))</f>
        <v>10385</v>
      </c>
      <c r="CG1157" s="118">
        <f t="shared" si="3352"/>
        <v>71600</v>
      </c>
      <c r="CH1157" s="118"/>
      <c r="CI1157" s="121">
        <v>2015</v>
      </c>
      <c r="CJ1157" s="118"/>
      <c r="CK1157" s="118"/>
      <c r="CL1157" s="118"/>
      <c r="CM1157" s="183"/>
      <c r="CN1157" s="118">
        <f t="shared" si="3417"/>
        <v>32400</v>
      </c>
      <c r="CO1157" s="118">
        <f t="shared" si="3418"/>
        <v>47.956332520471342</v>
      </c>
      <c r="CP1157" s="186">
        <v>0.88888888888888884</v>
      </c>
      <c r="CQ1157" s="118">
        <f>+CQ1140*CP1157+CO1141*CP1156+CO1142*CP1155+CO1143*CP1154+CO1144*CP1153+CO1145*CP1152+CO1146*CP1151+CO1147*CP1150+CO1148*CP1149+CO1149*CP1148+CO1150*CP1147+CO1151*CP1146+CO1152*CP1145+CO1153*CP1144+CO1154*CP1143+CO1155*CP1142+CO1156*CP1141+CO1157</f>
        <v>220.31790086686428</v>
      </c>
      <c r="CR1157" s="119">
        <f t="shared" si="3419"/>
        <v>0.23710113471802205</v>
      </c>
      <c r="CS1157" s="119"/>
      <c r="CT1157" s="177">
        <f t="shared" si="3420"/>
        <v>8.3409799823385526E-3</v>
      </c>
      <c r="CU1157" s="177">
        <f t="shared" si="3428"/>
        <v>8.1785922115637389E-3</v>
      </c>
      <c r="CV1157" s="119">
        <f>VLOOKUP($H1157,RoR!$E:$F,2,FALSE)</f>
        <v>3.8866666666666674E-2</v>
      </c>
      <c r="CW1157" s="177">
        <v>9.5709475431029478E-3</v>
      </c>
      <c r="CX1157" s="177">
        <f t="shared" si="3426"/>
        <v>2.9295719123563727E-2</v>
      </c>
      <c r="CY1157" s="177">
        <f t="shared" si="3429"/>
        <v>2.2723349396969884E-2</v>
      </c>
      <c r="CZ1157" s="177">
        <f t="shared" si="3430"/>
        <v>3.5270373279175926E-3</v>
      </c>
      <c r="DA1157" s="187">
        <f t="shared" si="3421"/>
        <v>0.85131374874999999</v>
      </c>
      <c r="DB1157" s="188">
        <f t="shared" si="3422"/>
        <v>1.3194352816994324</v>
      </c>
      <c r="DC1157" s="188">
        <f t="shared" si="3423"/>
        <v>0.33177530017152673</v>
      </c>
      <c r="DD1157" s="188">
        <f t="shared" si="3424"/>
        <v>0.78242572977668579</v>
      </c>
      <c r="DE1157" s="188">
        <f t="shared" si="3425"/>
        <v>0.34251158643433932</v>
      </c>
      <c r="DF1157" s="189">
        <f>INDEX('State Tax Lookup'!$D$7:$Z$91,MATCH(Calculation!$C1157,'State Tax Lookup'!$B$7:$B$91,0),MATCH($H1157,'State Tax Lookup'!$D$6:$Z$6,0))</f>
        <v>0.39649667</v>
      </c>
      <c r="DG1157" s="189">
        <v>0.375</v>
      </c>
      <c r="DH1157" s="190">
        <f t="shared" si="3427"/>
        <v>21.651180640005727</v>
      </c>
      <c r="DI1157" s="190">
        <v>21.348066880340447</v>
      </c>
      <c r="DJ1157" s="177"/>
      <c r="DK1157" s="189">
        <f>VLOOKUP($H1157,RoR!$E:$F,2,FALSE)</f>
        <v>3.8866666666666674E-2</v>
      </c>
      <c r="DL1157" s="191">
        <f>HLOOKUP($H1157,'GDP-PI'!$D$8:$CQ$11,3,FALSE)</f>
        <v>9.5709475431029478E-3</v>
      </c>
      <c r="DM1157" s="189">
        <f>VLOOKUP(H1157,'HW Dx Data'!$E:$F,2,FALSE)</f>
        <v>675.61463308665782</v>
      </c>
      <c r="DN1157" s="183">
        <f>VLOOKUP(H1157,'ECI - Input Price'!$G$17:$H$37,2,FALSE)</f>
        <v>123.75</v>
      </c>
      <c r="DO1157" s="177">
        <f t="shared" ref="DO1157" si="3474">LN(DN1157/DN1156)</f>
        <v>2.0821327813585516E-2</v>
      </c>
      <c r="DP1157" s="183">
        <f>HLOOKUP(H1157,'GDP-PI'!$8:$9,2,FALSE)</f>
        <v>104.639</v>
      </c>
      <c r="DQ1157" s="177">
        <f t="shared" ref="DQ1157" si="3475">LN(DP1157/DP1156)</f>
        <v>9.5254361854427965E-3</v>
      </c>
    </row>
    <row r="1158" spans="1:121" s="167" customFormat="1" ht="21" x14ac:dyDescent="0.35">
      <c r="A1158" s="167" t="s">
        <v>110</v>
      </c>
      <c r="B1158" s="167" t="s">
        <v>110</v>
      </c>
      <c r="C1158" s="167">
        <v>4063183</v>
      </c>
      <c r="D1158" s="168" t="s">
        <v>136</v>
      </c>
      <c r="E1158" s="168" t="s">
        <v>126</v>
      </c>
      <c r="F1158" s="198"/>
      <c r="G1158" s="167" t="s">
        <v>22</v>
      </c>
      <c r="H1158" s="169">
        <v>2016</v>
      </c>
      <c r="I1158" s="170"/>
      <c r="J1158" s="166">
        <f>IFERROR(INDEX('Labor Expenditures'!$F$7:$X$91,MATCH($C1158,'Labor Expenditures'!$D$7:$D$91,0),MATCH($G1158,'Labor Expenditures'!$F$5:$X$5,0)),"NA")</f>
        <v>2884.9848998582529</v>
      </c>
      <c r="K1158" s="166">
        <f t="shared" si="3433"/>
        <v>22.82424762546086</v>
      </c>
      <c r="L1158" s="172">
        <f t="shared" si="3440"/>
        <v>-3.8566885199961189E-2</v>
      </c>
      <c r="M1158" s="172">
        <f t="shared" si="3444"/>
        <v>-3.8310259844164026E-5</v>
      </c>
      <c r="N1158" s="196"/>
      <c r="O1158" s="172"/>
      <c r="P1158" s="166">
        <f>IFERROR(INDEX('Non-Labor Expenditures'!$F$7:$AB$91,MATCH($C1158,'Non-Labor Expenditures'!$D$7:$D$91,0),MATCH($G1158,'Non-Labor Expenditures'!$F$5:$AB$5,0)),"NA")</f>
        <v>4177.9969758466086</v>
      </c>
      <c r="Q1158" s="166">
        <f t="shared" si="3434"/>
        <v>39.513476733057885</v>
      </c>
      <c r="R1158" s="172">
        <f t="shared" si="3445"/>
        <v>-2.7807895303208614E-2</v>
      </c>
      <c r="S1158" s="172">
        <f t="shared" si="3450"/>
        <v>-2.7622860629312693E-5</v>
      </c>
      <c r="T1158" s="172"/>
      <c r="U1158" s="172"/>
      <c r="V1158" s="166">
        <f t="shared" si="3415"/>
        <v>4755.7351685502372</v>
      </c>
      <c r="W1158" s="170"/>
      <c r="X1158" s="174">
        <v>219.08180093332956</v>
      </c>
      <c r="Y1158" s="175">
        <v>-5.6263269604168963E-3</v>
      </c>
      <c r="Z1158" s="175">
        <f t="shared" si="3451"/>
        <v>-5.5888891909272926E-6</v>
      </c>
      <c r="AA1158" s="175"/>
      <c r="AB1158" s="175"/>
      <c r="AC1158" s="170">
        <f t="shared" si="3457"/>
        <v>11818.7170442551</v>
      </c>
      <c r="AD1158" s="175">
        <f t="shared" si="3446"/>
        <v>7.6343067700562137E-2</v>
      </c>
      <c r="AE1158" s="170"/>
      <c r="AF1158" s="170"/>
      <c r="AG1158" s="121">
        <f t="shared" si="3447"/>
        <v>730.0461451760516</v>
      </c>
      <c r="AH1158" s="119">
        <f>+AZ1158/$BB$54</f>
        <v>4.3449673105195116E-4</v>
      </c>
      <c r="AI1158" s="119">
        <f>+AZ1158/$BC$54</f>
        <v>1.8482536805524874E-3</v>
      </c>
      <c r="AJ1158" s="176">
        <f t="shared" si="3452"/>
        <v>0.31720266359607258</v>
      </c>
      <c r="AK1158" s="176">
        <f t="shared" si="3453"/>
        <v>1.3493104747947928</v>
      </c>
      <c r="AL1158" s="120">
        <f t="shared" si="3435"/>
        <v>0.24410305188418066</v>
      </c>
      <c r="AM1158" s="120">
        <f t="shared" si="3436"/>
        <v>0.35350681128942585</v>
      </c>
      <c r="AN1158" s="120">
        <f t="shared" si="3437"/>
        <v>0.40239013682639341</v>
      </c>
      <c r="AO1158" s="120">
        <f t="shared" si="3441"/>
        <v>-2.228880135908998E-2</v>
      </c>
      <c r="AP1158" s="173">
        <f t="shared" si="3458"/>
        <v>135.19226309456008</v>
      </c>
      <c r="AQ1158" s="175">
        <f t="shared" si="3459"/>
        <v>-2.2288801359090029E-2</v>
      </c>
      <c r="AR1158" s="177">
        <f>+AC1158/$AE$54</f>
        <v>9.9334596624885271E-4</v>
      </c>
      <c r="AS1158" s="177">
        <f t="shared" si="3454"/>
        <v>-2.2140490922574027E-5</v>
      </c>
      <c r="AT1158" s="177"/>
      <c r="AU1158" s="177"/>
      <c r="AV1158" s="177"/>
      <c r="AW1158" s="190"/>
      <c r="AX1158" s="120"/>
      <c r="AY1158" s="120"/>
      <c r="AZ1158" s="118">
        <f>IFERROR(INDEX('Total Customers'!$F$7:$AB$91,MATCH($C1158,'Total Customers'!$D$7:$D$91,0),MATCH($G1158,'Total Customers'!$F$5:$AB$5,0)),"NA")</f>
        <v>16189</v>
      </c>
      <c r="BA1158" s="119">
        <f t="shared" si="3416"/>
        <v>1.5688549381872249E-2</v>
      </c>
      <c r="BB1158" s="119"/>
      <c r="BC1158" s="121">
        <v>8759079</v>
      </c>
      <c r="BD1158" s="119"/>
      <c r="BE1158" s="119"/>
      <c r="BF1158" s="119"/>
      <c r="BG1158" s="173"/>
      <c r="BH1158" s="173"/>
      <c r="BI1158" s="173"/>
      <c r="BJ1158" s="173"/>
      <c r="BK1158" s="173"/>
      <c r="BL1158" s="173"/>
      <c r="BM1158" s="173"/>
      <c r="BN1158" s="173"/>
      <c r="BO1158" s="173"/>
      <c r="BP1158" s="173"/>
      <c r="BQ1158" s="118"/>
      <c r="BR1158" s="118"/>
      <c r="BS1158" s="118">
        <f>INDEX('Dist. Plant Gas Additions'!$F$7:$AE$91,MATCH($C1158,'Dist. Plant Gas Additions'!$D$7:$D$91,0),MATCH(Calculation!$G1158,'Dist. Plant Gas Additions'!$F$5:$AE$5,0))</f>
        <v>-404</v>
      </c>
      <c r="BT1158" s="118">
        <f>INDEX('Gen. Plant Additions'!$F$7:$AE$91,MATCH($C1158,'Gen. Plant Additions'!$D$7:$D$91,0),MATCH(Calculation!$G1158,'Gen. Plant Additions'!$F$5:$AE$5,0))</f>
        <v>745</v>
      </c>
      <c r="BU1158" s="118"/>
      <c r="BV1158" s="118"/>
      <c r="BW1158" s="118">
        <f>INDEX('Dist Plant Depreciation'!$E$7:$AD$94,MATCH($C1158,'Dist Plant Depreciation'!$D$7:$D$94,0),MATCH(Calculation!$G1158,'Dist Plant Depreciation'!$E$5:$AD$5,0))</f>
        <v>24081</v>
      </c>
      <c r="BX1158" s="118">
        <f>INDEX('Gen. Plant Depreciation'!$E$7:$AD$94,MATCH($C1158,'Gen. Plant Depreciation'!$D$7:$D$94,0),MATCH(Calculation!$G1158,'Gen. Plant Depreciation'!$E$5:$AD$5,0))</f>
        <v>5170</v>
      </c>
      <c r="BY1158" s="118"/>
      <c r="BZ1158" s="118"/>
      <c r="CA1158" s="118"/>
      <c r="CB1158" s="118"/>
      <c r="CC1158" s="118"/>
      <c r="CD1158" s="183"/>
      <c r="CE1158" s="118">
        <f>INDEX('Gross Dx Plant'!$E$7:$AD$91,MATCH($C1158,'Gross Dx Plant'!$D$7:$D$91,0),MATCH(Calculation!$G1158,'Gross Dx Plant'!$E$5:$AD$5,0))</f>
        <v>88909</v>
      </c>
      <c r="CF1158" s="118">
        <f>INDEX('Gross Gen Plant'!$E$7:$AD$91,MATCH($C1158,'Gross Gen Plant'!$D$7:$D$91,0),MATCH(Calculation!$G1158,'Gross Gen Plant'!$E$5:$AD$5,0))</f>
        <v>10873</v>
      </c>
      <c r="CG1158" s="118">
        <f t="shared" si="3352"/>
        <v>70531</v>
      </c>
      <c r="CH1158" s="118"/>
      <c r="CI1158" s="121">
        <v>2016</v>
      </c>
      <c r="CJ1158" s="118"/>
      <c r="CK1158" s="118"/>
      <c r="CL1158" s="118"/>
      <c r="CM1158" s="183"/>
      <c r="CN1158" s="118">
        <f t="shared" si="3417"/>
        <v>341</v>
      </c>
      <c r="CO1158" s="118">
        <f t="shared" si="3418"/>
        <v>0.50785129625445991</v>
      </c>
      <c r="CP1158" s="186">
        <v>0.88</v>
      </c>
      <c r="CQ1158" s="118">
        <f>+CQ1140*CP1158+CO1141*CP1157+CO1142*CP1156+CO1143*CP1155+CO1144*CP1154+CO1145*CP1153+CO1146*CP1152+CO1147*CP1151+CO1148*CP1150+CO1149*CP1149+CO1150*CP1148+CO1151*CP1147+CO1152*CP1146+CO1153*CP1145+CO1154*CP1144+CO1155*CP1143+CO1156*CP1142+CO1157*CP1141+CO1158</f>
        <v>219.08180093332956</v>
      </c>
      <c r="CR1158" s="119">
        <f t="shared" si="3419"/>
        <v>-5.6263269604168963E-3</v>
      </c>
      <c r="CS1158" s="119"/>
      <c r="CT1158" s="177">
        <f t="shared" si="3420"/>
        <v>7.9156129525899399E-3</v>
      </c>
      <c r="CU1158" s="177">
        <f t="shared" si="3428"/>
        <v>8.1057579970283938E-3</v>
      </c>
      <c r="CV1158" s="119">
        <f>VLOOKUP($H1158,RoR!$E:$F,2,FALSE)</f>
        <v>3.6658333333333334E-2</v>
      </c>
      <c r="CW1158" s="177">
        <v>1.0483662879041455E-2</v>
      </c>
      <c r="CX1158" s="177">
        <f t="shared" si="3426"/>
        <v>2.6174670454291879E-2</v>
      </c>
      <c r="CY1158" s="177">
        <f t="shared" si="3429"/>
        <v>2.2796183611505233E-2</v>
      </c>
      <c r="CZ1158" s="177">
        <f t="shared" si="3430"/>
        <v>4.301363574220729E-3</v>
      </c>
      <c r="DA1158" s="187">
        <f t="shared" si="3421"/>
        <v>0.85131374874999999</v>
      </c>
      <c r="DB1158" s="188">
        <f t="shared" si="3422"/>
        <v>1.3989193348138562</v>
      </c>
      <c r="DC1158" s="188">
        <f t="shared" si="3423"/>
        <v>0.29302682427824522</v>
      </c>
      <c r="DD1158" s="188">
        <f t="shared" si="3424"/>
        <v>0.76309497491941802</v>
      </c>
      <c r="DE1158" s="188">
        <f t="shared" si="3425"/>
        <v>0.31280857135128509</v>
      </c>
      <c r="DF1158" s="189">
        <f>INDEX('State Tax Lookup'!$D$7:$Z$91,MATCH(Calculation!$C1158,'State Tax Lookup'!$B$7:$B$91,0),MATCH($H1158,'State Tax Lookup'!$D$6:$Z$6,0))</f>
        <v>0.39649667</v>
      </c>
      <c r="DG1158" s="189">
        <v>0.375</v>
      </c>
      <c r="DH1158" s="190">
        <f t="shared" si="3427"/>
        <v>21.585786492328992</v>
      </c>
      <c r="DI1158" s="190">
        <v>21.589129579409825</v>
      </c>
      <c r="DJ1158" s="177"/>
      <c r="DK1158" s="189">
        <f>VLOOKUP($H1158,RoR!$E:$F,2,FALSE)</f>
        <v>3.6658333333333334E-2</v>
      </c>
      <c r="DL1158" s="191">
        <f>HLOOKUP($H1158,'GDP-PI'!$D$8:$CQ$11,3,FALSE)</f>
        <v>1.0483662879041455E-2</v>
      </c>
      <c r="DM1158" s="189">
        <f>VLOOKUP(H1158,'HW Dx Data'!$E:$F,2,FALSE)</f>
        <v>671.45639385971219</v>
      </c>
      <c r="DN1158" s="183">
        <f>VLOOKUP(H1158,'ECI - Input Price'!$G$17:$H$37,2,FALSE)</f>
        <v>126.4</v>
      </c>
      <c r="DO1158" s="177">
        <f t="shared" ref="DO1158" si="3476">LN(DN1158/DN1157)</f>
        <v>2.11880802639575E-2</v>
      </c>
      <c r="DP1158" s="183">
        <f>HLOOKUP(H1158,'GDP-PI'!$8:$9,2,FALSE)</f>
        <v>105.736</v>
      </c>
      <c r="DQ1158" s="177">
        <f t="shared" ref="DQ1158" si="3477">LN(DP1158/DP1157)</f>
        <v>1.0429090367205095E-2</v>
      </c>
    </row>
    <row r="1159" spans="1:121" s="167" customFormat="1" ht="21" x14ac:dyDescent="0.35">
      <c r="A1159" s="167" t="s">
        <v>110</v>
      </c>
      <c r="B1159" s="167" t="s">
        <v>110</v>
      </c>
      <c r="C1159" s="167">
        <v>4063183</v>
      </c>
      <c r="D1159" s="168" t="s">
        <v>136</v>
      </c>
      <c r="E1159" s="168" t="s">
        <v>126</v>
      </c>
      <c r="F1159" s="198"/>
      <c r="G1159" s="167" t="s">
        <v>23</v>
      </c>
      <c r="H1159" s="169">
        <v>2017</v>
      </c>
      <c r="I1159" s="170"/>
      <c r="J1159" s="166">
        <f>IFERROR(INDEX('Labor Expenditures'!$F$7:$X$91,MATCH($C1159,'Labor Expenditures'!$D$7:$D$91,0),MATCH($G1159,'Labor Expenditures'!$F$5:$X$5,0)),"NA")</f>
        <v>3451.6752516023721</v>
      </c>
      <c r="K1159" s="166">
        <f t="shared" si="3433"/>
        <v>26.653862946736464</v>
      </c>
      <c r="L1159" s="172">
        <f t="shared" si="3440"/>
        <v>0.15511062800670272</v>
      </c>
      <c r="M1159" s="172">
        <f t="shared" si="3444"/>
        <v>1.6703756724772257E-4</v>
      </c>
      <c r="N1159" s="196"/>
      <c r="O1159" s="172"/>
      <c r="P1159" s="166">
        <f>IFERROR(INDEX('Non-Labor Expenditures'!$F$7:$AB$91,MATCH($C1159,'Non-Labor Expenditures'!$D$7:$D$91,0),MATCH($G1159,'Non-Labor Expenditures'!$F$5:$AB$5,0)),"NA")</f>
        <v>4998.6704483298472</v>
      </c>
      <c r="Q1159" s="166">
        <f t="shared" si="3434"/>
        <v>46.390942527956554</v>
      </c>
      <c r="R1159" s="172">
        <f t="shared" si="3445"/>
        <v>0.16046243920579284</v>
      </c>
      <c r="S1159" s="172">
        <f t="shared" si="3450"/>
        <v>1.7280089587679947E-4</v>
      </c>
      <c r="T1159" s="172"/>
      <c r="U1159" s="172"/>
      <c r="V1159" s="166">
        <f t="shared" si="3415"/>
        <v>4308.0070951963144</v>
      </c>
      <c r="W1159" s="170"/>
      <c r="X1159" s="174">
        <v>217.74784679437997</v>
      </c>
      <c r="Y1159" s="175">
        <v>-6.1074530649159872E-3</v>
      </c>
      <c r="Z1159" s="175">
        <f t="shared" si="3451"/>
        <v>-6.5770741512253379E-6</v>
      </c>
      <c r="AA1159" s="175"/>
      <c r="AB1159" s="175"/>
      <c r="AC1159" s="170">
        <f t="shared" si="3457"/>
        <v>12758.352795128532</v>
      </c>
      <c r="AD1159" s="175">
        <f t="shared" si="3446"/>
        <v>7.6501713301006621E-2</v>
      </c>
      <c r="AE1159" s="170"/>
      <c r="AF1159" s="170"/>
      <c r="AG1159" s="121">
        <f t="shared" si="3447"/>
        <v>789.062576234061</v>
      </c>
      <c r="AH1159" s="119">
        <f>+AZ1159/$BB$55</f>
        <v>4.3069950556712266E-4</v>
      </c>
      <c r="AI1159" s="119">
        <f>+AZ1159/$BC$56</f>
        <v>1.8144264464353124E-3</v>
      </c>
      <c r="AJ1159" s="176">
        <f t="shared" si="3452"/>
        <v>0.33984886144553011</v>
      </c>
      <c r="AK1159" s="176">
        <f t="shared" si="3453"/>
        <v>1.4316960062114601</v>
      </c>
      <c r="AL1159" s="120">
        <f t="shared" si="3435"/>
        <v>0.27054238952541826</v>
      </c>
      <c r="AM1159" s="120">
        <f t="shared" si="3436"/>
        <v>0.39179591038103823</v>
      </c>
      <c r="AN1159" s="120">
        <f t="shared" si="3437"/>
        <v>0.33766170009354363</v>
      </c>
      <c r="AO1159" s="120">
        <f t="shared" si="3441"/>
        <v>9.7450119212097508E-2</v>
      </c>
      <c r="AP1159" s="173">
        <f t="shared" si="3458"/>
        <v>149.03006372387929</v>
      </c>
      <c r="AQ1159" s="175">
        <f t="shared" si="3459"/>
        <v>9.7450119212097494E-2</v>
      </c>
      <c r="AR1159" s="177">
        <f>+AC1159/$AE$55</f>
        <v>1.0768931142520063E-3</v>
      </c>
      <c r="AS1159" s="177">
        <f t="shared" si="3454"/>
        <v>1.0494336236254493E-4</v>
      </c>
      <c r="AT1159" s="177"/>
      <c r="AU1159" s="177"/>
      <c r="AV1159" s="177"/>
      <c r="AW1159" s="190"/>
      <c r="AX1159" s="120"/>
      <c r="AY1159" s="120"/>
      <c r="AZ1159" s="118">
        <f>IFERROR(INDEX('Total Customers'!$F$7:$AB$91,MATCH($C1159,'Total Customers'!$D$7:$D$91,0),MATCH($G1159,'Total Customers'!$F$5:$AB$5,0)),"NA")</f>
        <v>16169</v>
      </c>
      <c r="BA1159" s="119">
        <f t="shared" si="3416"/>
        <v>-1.2361705016912408E-3</v>
      </c>
      <c r="BB1159" s="119"/>
      <c r="BC1159" s="121">
        <v>8824403</v>
      </c>
      <c r="BD1159" s="119"/>
      <c r="BE1159" s="119"/>
      <c r="BF1159" s="119"/>
      <c r="BG1159" s="173"/>
      <c r="BH1159" s="173"/>
      <c r="BI1159" s="173"/>
      <c r="BJ1159" s="173"/>
      <c r="BK1159" s="173"/>
      <c r="BL1159" s="173"/>
      <c r="BM1159" s="173"/>
      <c r="BN1159" s="173"/>
      <c r="BO1159" s="173"/>
      <c r="BP1159" s="173"/>
      <c r="BQ1159" s="118"/>
      <c r="BR1159" s="118"/>
      <c r="BS1159" s="118" t="str">
        <f>INDEX('Dist. Plant Gas Additions'!$F$7:$AE$91,MATCH($C1159,'Dist. Plant Gas Additions'!$D$7:$D$91,0),MATCH(Calculation!$G1159,'Dist. Plant Gas Additions'!$F$5:$AE$5,0))</f>
        <v>NA</v>
      </c>
      <c r="BT1159" s="118" t="str">
        <f>INDEX('Gen. Plant Additions'!$F$7:$AE$91,MATCH($C1159,'Gen. Plant Additions'!$D$7:$D$91,0),MATCH(Calculation!$G1159,'Gen. Plant Additions'!$F$5:$AE$5,0))</f>
        <v>NA</v>
      </c>
      <c r="BU1159" s="118"/>
      <c r="BV1159" s="118"/>
      <c r="BW1159" s="118" t="str">
        <f>INDEX('Dist Plant Depreciation'!$E$7:$AD$94,MATCH($C1159,'Dist Plant Depreciation'!$D$7:$D$94,0),MATCH(Calculation!$G1159,'Dist Plant Depreciation'!$E$5:$AD$5,0))</f>
        <v>NA</v>
      </c>
      <c r="BX1159" s="118" t="str">
        <f>INDEX('Gen. Plant Depreciation'!$E$7:$AD$94,MATCH($C1159,'Gen. Plant Depreciation'!$D$7:$D$94,0),MATCH(Calculation!$G1159,'Gen. Plant Depreciation'!$E$5:$AD$5,0))</f>
        <v>NA</v>
      </c>
      <c r="BY1159" s="118"/>
      <c r="BZ1159" s="118"/>
      <c r="CA1159" s="118"/>
      <c r="CB1159" s="118"/>
      <c r="CC1159" s="118"/>
      <c r="CD1159" s="183"/>
      <c r="CE1159" s="118">
        <f>INDEX('Gross Dx Plant'!$E$7:$AD$91,MATCH($C1159,'Gross Dx Plant'!$D$7:$D$91,0),MATCH(Calculation!$G1159,'Gross Dx Plant'!$E$5:$AD$5,0))</f>
        <v>88590</v>
      </c>
      <c r="CF1159" s="118">
        <f>INDEX('Gross Gen Plant'!$E$7:$AD$91,MATCH($C1159,'Gross Gen Plant'!$D$7:$D$91,0),MATCH(Calculation!$G1159,'Gross Gen Plant'!$E$5:$AD$5,0))</f>
        <v>11319</v>
      </c>
      <c r="CG1159" s="118" t="str">
        <f t="shared" si="3352"/>
        <v>NA</v>
      </c>
      <c r="CH1159" s="118"/>
      <c r="CI1159" s="121">
        <v>2017</v>
      </c>
      <c r="CJ1159" s="118"/>
      <c r="CK1159" s="118"/>
      <c r="CL1159" s="118"/>
      <c r="CM1159" s="183"/>
      <c r="CN1159" s="118">
        <v>341</v>
      </c>
      <c r="CO1159" s="118">
        <f t="shared" si="3418"/>
        <v>0.4786444673905641</v>
      </c>
      <c r="CP1159" s="186">
        <v>0.87074829931972786</v>
      </c>
      <c r="CQ1159" s="118">
        <f>+CQ1140*CP1159+CO1141*CP1158+CO1142*CP1157+CO1143*CP1156+CO1144*CP1155+CO1145*CP1154+CO1146*CP1153+CO1147*CP1152+CO1148*CP1151+CO1149*CP1150+CO1150*CP1149+CO1151*CP1148+CO1152*CP1147+CO1153*CP1146+CO1154*CP1145+CO1155*CP1144+CO1156*CP1143+CO1157*CP1142+CO1158*CP1141+CO1159</f>
        <v>217.74784679437997</v>
      </c>
      <c r="CR1159" s="119">
        <f t="shared" si="3419"/>
        <v>-6.1074530649159872E-3</v>
      </c>
      <c r="CS1159" s="119"/>
      <c r="CT1159" s="177">
        <f t="shared" si="3420"/>
        <v>8.2736156021091089E-3</v>
      </c>
      <c r="CU1159" s="177">
        <f t="shared" si="3428"/>
        <v>8.1767361790125344E-3</v>
      </c>
      <c r="CV1159" s="119">
        <f>VLOOKUP($H1159,RoR!$E:$F,2,FALSE)</f>
        <v>3.7433333333333339E-2</v>
      </c>
      <c r="CW1159" s="177">
        <v>1.9056896421275615E-2</v>
      </c>
      <c r="CX1159" s="177">
        <f t="shared" si="3426"/>
        <v>1.8376436912057724E-2</v>
      </c>
      <c r="CY1159" s="177">
        <f t="shared" si="3429"/>
        <v>2.2725205429521091E-2</v>
      </c>
      <c r="CZ1159" s="177">
        <f t="shared" si="3430"/>
        <v>1.3976271617800498E-2</v>
      </c>
      <c r="DA1159" s="187">
        <f t="shared" si="3421"/>
        <v>0.90381374874999998</v>
      </c>
      <c r="DB1159" s="188">
        <f t="shared" si="3422"/>
        <v>1.3699568463593395</v>
      </c>
      <c r="DC1159" s="188">
        <f t="shared" si="3423"/>
        <v>0.30714603739982199</v>
      </c>
      <c r="DD1159" s="188">
        <f t="shared" si="3424"/>
        <v>0.77007188472689425</v>
      </c>
      <c r="DE1159" s="188">
        <f t="shared" si="3425"/>
        <v>0.32402839633793828</v>
      </c>
      <c r="DF1159" s="189">
        <f>INDEX('State Tax Lookup'!$D$7:$Z$91,MATCH(Calculation!$C1159,'State Tax Lookup'!$B$7:$B$91,0),MATCH($H1159,'State Tax Lookup'!$D$6:$Z$6,0))</f>
        <v>0.25649666999999998</v>
      </c>
      <c r="DG1159" s="189">
        <v>0.375</v>
      </c>
      <c r="DH1159" s="190">
        <f t="shared" si="3427"/>
        <v>19.663920402531822</v>
      </c>
      <c r="DI1159" s="190">
        <v>19.456342316352064</v>
      </c>
      <c r="DJ1159" s="177"/>
      <c r="DK1159" s="189">
        <f>VLOOKUP($H1159,RoR!$E:$F,2,FALSE)</f>
        <v>3.7433333333333339E-2</v>
      </c>
      <c r="DL1159" s="191">
        <f>HLOOKUP($H1159,'GDP-PI'!$D$8:$CQ$11,3,FALSE)</f>
        <v>1.9056896421275615E-2</v>
      </c>
      <c r="DM1159" s="189">
        <f>VLOOKUP(H1159,'HW Dx Data'!$E:$F,2,FALSE)</f>
        <v>712.42858370229726</v>
      </c>
      <c r="DN1159" s="183">
        <f>VLOOKUP(H1159,'ECI - Input Price'!$G$17:$H$37,2,FALSE)</f>
        <v>129.5</v>
      </c>
      <c r="DO1159" s="177">
        <f t="shared" ref="DO1159" si="3478">LN(DN1159/DN1158)</f>
        <v>2.4229399426835413E-2</v>
      </c>
      <c r="DP1159" s="183">
        <f>HLOOKUP(H1159,'GDP-PI'!$8:$9,2,FALSE)</f>
        <v>107.751</v>
      </c>
      <c r="DQ1159" s="177">
        <f t="shared" ref="DQ1159" si="3479">LN(DP1159/DP1158)</f>
        <v>1.8877588227745139E-2</v>
      </c>
    </row>
    <row r="1160" spans="1:121" s="167" customFormat="1" ht="21" x14ac:dyDescent="0.35">
      <c r="A1160" s="167" t="s">
        <v>110</v>
      </c>
      <c r="B1160" s="167" t="s">
        <v>110</v>
      </c>
      <c r="C1160" s="167">
        <v>4063183</v>
      </c>
      <c r="D1160" s="168" t="s">
        <v>136</v>
      </c>
      <c r="E1160" s="168" t="s">
        <v>126</v>
      </c>
      <c r="F1160" s="198"/>
      <c r="G1160" s="167" t="s">
        <v>24</v>
      </c>
      <c r="H1160" s="169">
        <v>2018</v>
      </c>
      <c r="I1160" s="170"/>
      <c r="J1160" s="166">
        <f>IFERROR(INDEX('Labor Expenditures'!$F$7:$X$91,MATCH($C1160,'Labor Expenditures'!$D$7:$D$91,0),MATCH($G1160,'Labor Expenditures'!$F$5:$X$5,0)),"NA")</f>
        <v>3450.2757797063036</v>
      </c>
      <c r="K1160" s="166">
        <f t="shared" si="3433"/>
        <v>25.893251630066068</v>
      </c>
      <c r="L1160" s="172">
        <f t="shared" si="3440"/>
        <v>-2.8951711273028789E-2</v>
      </c>
      <c r="M1160" s="172">
        <f t="shared" si="3444"/>
        <v>-2.9122570214750692E-5</v>
      </c>
      <c r="N1160" s="196"/>
      <c r="O1160" s="172"/>
      <c r="P1160" s="166">
        <f>IFERROR(INDEX('Non-Labor Expenditures'!$F$7:$AB$91,MATCH($C1160,'Non-Labor Expenditures'!$D$7:$D$91,0),MATCH($G1160,'Non-Labor Expenditures'!$F$5:$AB$5,0)),"NA")</f>
        <v>4996.6437516390451</v>
      </c>
      <c r="Q1160" s="166">
        <f t="shared" si="3434"/>
        <v>45.291453668706559</v>
      </c>
      <c r="R1160" s="172">
        <f t="shared" si="3445"/>
        <v>-2.3985882083175845E-2</v>
      </c>
      <c r="S1160" s="172">
        <f t="shared" si="3450"/>
        <v>-2.4127435112299053E-5</v>
      </c>
      <c r="T1160" s="172"/>
      <c r="U1160" s="172"/>
      <c r="V1160" s="166">
        <f t="shared" si="3415"/>
        <v>4511.1867760296291</v>
      </c>
      <c r="W1160" s="170"/>
      <c r="X1160" s="174">
        <v>214.63254437924178</v>
      </c>
      <c r="Y1160" s="175">
        <v>-1.4410257207265591E-2</v>
      </c>
      <c r="Z1160" s="175">
        <f t="shared" si="3451"/>
        <v>-1.4495299548050038E-5</v>
      </c>
      <c r="AA1160" s="175"/>
      <c r="AB1160" s="175"/>
      <c r="AC1160" s="170">
        <f t="shared" si="3457"/>
        <v>12958.106307374979</v>
      </c>
      <c r="AD1160" s="175">
        <f t="shared" si="3446"/>
        <v>1.5535383696933991E-2</v>
      </c>
      <c r="AE1160" s="170"/>
      <c r="AF1160" s="170"/>
      <c r="AG1160" s="121">
        <f t="shared" si="3447"/>
        <v>801.41668052291288</v>
      </c>
      <c r="AH1160" s="119">
        <f>+AZ1160/$BB$56</f>
        <v>4.2695833236291346E-4</v>
      </c>
      <c r="AI1160" s="119">
        <f>+AZ1160/$BC$57</f>
        <v>1.8038430816052406E-3</v>
      </c>
      <c r="AJ1160" s="176">
        <f t="shared" si="3452"/>
        <v>0.34217152944388468</v>
      </c>
      <c r="AK1160" s="176">
        <f t="shared" si="3453"/>
        <v>1.4456299346442938</v>
      </c>
      <c r="AL1160" s="120">
        <f t="shared" si="3435"/>
        <v>0.26626388901768872</v>
      </c>
      <c r="AM1160" s="120">
        <f t="shared" si="3436"/>
        <v>0.38559984253218038</v>
      </c>
      <c r="AN1160" s="120">
        <f t="shared" si="3437"/>
        <v>0.34813626845013079</v>
      </c>
      <c r="AO1160" s="120">
        <f t="shared" si="3441"/>
        <v>-2.2035254183100927E-2</v>
      </c>
      <c r="AP1160" s="173">
        <f t="shared" si="3458"/>
        <v>145.7820650487362</v>
      </c>
      <c r="AQ1160" s="175">
        <f t="shared" si="3459"/>
        <v>-2.2035254183101007E-2</v>
      </c>
      <c r="AR1160" s="177">
        <f>+AC1160/$AE$56</f>
        <v>1.0059015144255419E-3</v>
      </c>
      <c r="AS1160" s="177">
        <f t="shared" si="3454"/>
        <v>-2.2165295553533059E-5</v>
      </c>
      <c r="AT1160" s="177"/>
      <c r="AU1160" s="177"/>
      <c r="AV1160" s="177"/>
      <c r="AW1160" s="190"/>
      <c r="AX1160" s="120"/>
      <c r="AY1160" s="120"/>
      <c r="AZ1160" s="118">
        <f>IFERROR(INDEX('Total Customers'!$F$7:$AB$91,MATCH($C1160,'Total Customers'!$D$7:$D$91,0),MATCH($G1160,'Total Customers'!$F$5:$AB$5,0)),"NA")</f>
        <v>16169</v>
      </c>
      <c r="BA1160" s="119">
        <f t="shared" si="3416"/>
        <v>0</v>
      </c>
      <c r="BB1160" s="119"/>
      <c r="BC1160" s="121">
        <v>8911356</v>
      </c>
      <c r="BD1160" s="119"/>
      <c r="BE1160" s="119"/>
      <c r="BF1160" s="119"/>
      <c r="BG1160" s="173"/>
      <c r="BH1160" s="173"/>
      <c r="BI1160" s="173"/>
      <c r="BJ1160" s="173"/>
      <c r="BK1160" s="173"/>
      <c r="BL1160" s="173"/>
      <c r="BM1160" s="173"/>
      <c r="BN1160" s="173"/>
      <c r="BO1160" s="173"/>
      <c r="BP1160" s="173"/>
      <c r="BQ1160" s="118"/>
      <c r="BR1160" s="118"/>
      <c r="BS1160" s="118">
        <f>INDEX('Dist. Plant Gas Additions'!$F$7:$AE$91,MATCH($C1160,'Dist. Plant Gas Additions'!$D$7:$D$91,0),MATCH(Calculation!$G1160,'Dist. Plant Gas Additions'!$F$5:$AE$5,0))</f>
        <v>-1827</v>
      </c>
      <c r="BT1160" s="118">
        <f>INDEX('Gen. Plant Additions'!$F$7:$AE$91,MATCH($C1160,'Gen. Plant Additions'!$D$7:$D$91,0),MATCH(Calculation!$G1160,'Gen. Plant Additions'!$F$5:$AE$5,0))</f>
        <v>898</v>
      </c>
      <c r="BU1160" s="118"/>
      <c r="BV1160" s="118"/>
      <c r="BW1160" s="118">
        <f>INDEX('Dist Plant Depreciation'!$E$7:$AD$94,MATCH($C1160,'Dist Plant Depreciation'!$D$7:$D$94,0),MATCH(Calculation!$G1160,'Dist Plant Depreciation'!$E$5:$AD$5,0))</f>
        <v>25692</v>
      </c>
      <c r="BX1160" s="118">
        <f>INDEX('Gen. Plant Depreciation'!$E$7:$AD$94,MATCH($C1160,'Gen. Plant Depreciation'!$D$7:$D$94,0),MATCH(Calculation!$G1160,'Gen. Plant Depreciation'!$E$5:$AD$5,0))</f>
        <v>5439</v>
      </c>
      <c r="BY1160" s="118"/>
      <c r="BZ1160" s="118"/>
      <c r="CA1160" s="118"/>
      <c r="CB1160" s="118"/>
      <c r="CC1160" s="118"/>
      <c r="CD1160" s="183"/>
      <c r="CE1160" s="118">
        <f>INDEX('Gross Dx Plant'!$E$7:$AD$91,MATCH($C1160,'Gross Dx Plant'!$D$7:$D$91,0),MATCH(Calculation!$G1160,'Gross Dx Plant'!$E$5:$AD$5,0))</f>
        <v>86120</v>
      </c>
      <c r="CF1160" s="118">
        <f>INDEX('Gross Gen Plant'!$E$7:$AD$91,MATCH($C1160,'Gross Gen Plant'!$D$7:$D$91,0),MATCH(Calculation!$G1160,'Gross Gen Plant'!$E$5:$AD$5,0))</f>
        <v>11789</v>
      </c>
      <c r="CG1160" s="118">
        <f t="shared" si="3352"/>
        <v>66778</v>
      </c>
      <c r="CH1160" s="118"/>
      <c r="CI1160" s="121">
        <v>2018</v>
      </c>
      <c r="CJ1160" s="118"/>
      <c r="CK1160" s="118"/>
      <c r="CL1160" s="118"/>
      <c r="CM1160" s="183"/>
      <c r="CN1160" s="118">
        <f>+BT1160+BS1160</f>
        <v>-929</v>
      </c>
      <c r="CO1160" s="118">
        <f t="shared" si="3418"/>
        <v>-1.2302408058781884</v>
      </c>
      <c r="CP1160" s="186">
        <v>0.86111111111111116</v>
      </c>
      <c r="CQ1160" s="118">
        <f>+CQ1140*CP1160++CO1141*CP1159+CO1142*CP1158+CO1143*CP1157+CO1144*CP1156+CO1145*CP1155+CO1146*CP1154+CO1147*CP1153+CO1148*CP1152+CO1149*CP1151+CO1150*CP1150+CO1151*CP1149+CO1152*CP1148+CO1153*CP1147+CO1154*CP1146+CO1155*CP1145+CO1156*CP1144+CO1157*CP1143+CO1158*CP1142+CO1159*CP1141+CO1160</f>
        <v>214.63254437924178</v>
      </c>
      <c r="CR1160" s="119">
        <f t="shared" si="3419"/>
        <v>-1.4410257207265591E-2</v>
      </c>
      <c r="CS1160" s="119"/>
      <c r="CT1160" s="177">
        <f t="shared" si="3420"/>
        <v>8.657084958640579E-3</v>
      </c>
      <c r="CU1160" s="177">
        <f t="shared" si="3428"/>
        <v>8.2821045044465438E-3</v>
      </c>
      <c r="CV1160" s="119">
        <f>VLOOKUP($H1160,RoR!$E:$F,2,FALSE)</f>
        <v>3.9299999999999995E-2</v>
      </c>
      <c r="CW1160" s="177">
        <v>2.386056741932796E-2</v>
      </c>
      <c r="CX1160" s="177">
        <f t="shared" si="3426"/>
        <v>1.5439432580672034E-2</v>
      </c>
      <c r="CY1160" s="177">
        <f t="shared" si="3429"/>
        <v>2.2619837104087083E-2</v>
      </c>
      <c r="CZ1160" s="177">
        <f t="shared" si="3430"/>
        <v>3.8270792163076606E-2</v>
      </c>
      <c r="DA1160" s="187">
        <f t="shared" si="3421"/>
        <v>0.90381374874999998</v>
      </c>
      <c r="DB1160" s="188">
        <f t="shared" si="3422"/>
        <v>1.3048868010700074</v>
      </c>
      <c r="DC1160" s="188">
        <f t="shared" si="3423"/>
        <v>0.33886768447837151</v>
      </c>
      <c r="DD1160" s="188">
        <f t="shared" si="3424"/>
        <v>0.78602506232557801</v>
      </c>
      <c r="DE1160" s="188">
        <f t="shared" si="3425"/>
        <v>0.34756768162358759</v>
      </c>
      <c r="DF1160" s="189">
        <f>INDEX('State Tax Lookup'!$D$7:$Z$91,MATCH(Calculation!$C1160,'State Tax Lookup'!$B$7:$B$91,0),MATCH($H1160,'State Tax Lookup'!$D$6:$Z$6,0))</f>
        <v>0.25649666999999998</v>
      </c>
      <c r="DG1160" s="189">
        <v>0.375</v>
      </c>
      <c r="DH1160" s="190">
        <f t="shared" si="3427"/>
        <v>20.717480528244021</v>
      </c>
      <c r="DI1160" s="190">
        <v>20.26040829149489</v>
      </c>
      <c r="DJ1160" s="177"/>
      <c r="DK1160" s="189">
        <f>VLOOKUP($H1160,RoR!$E:$F,2,FALSE)</f>
        <v>3.9299999999999995E-2</v>
      </c>
      <c r="DL1160" s="191">
        <f>HLOOKUP($H1160,'GDP-PI'!$D$8:$CQ$11,3,FALSE)</f>
        <v>2.386056741932796E-2</v>
      </c>
      <c r="DM1160" s="189">
        <f>VLOOKUP(H1160,'HW Dx Data'!$E:$F,2,FALSE)</f>
        <v>755.13671434174842</v>
      </c>
      <c r="DN1160" s="183">
        <f>VLOOKUP(H1160,'ECI - Input Price'!$G$17:$H$37,2,FALSE)</f>
        <v>133.25</v>
      </c>
      <c r="DO1160" s="177">
        <f t="shared" ref="DO1160" si="3480">LN(DN1160/DN1159)</f>
        <v>2.8546181906361531E-2</v>
      </c>
      <c r="DP1160" s="183">
        <f>HLOOKUP(H1160,'GDP-PI'!$8:$9,2,FALSE)</f>
        <v>110.322</v>
      </c>
      <c r="DQ1160" s="177">
        <f t="shared" ref="DQ1160" si="3481">LN(DP1160/DP1159)</f>
        <v>2.3580352716508712E-2</v>
      </c>
    </row>
    <row r="1161" spans="1:121" s="167" customFormat="1" ht="21" x14ac:dyDescent="0.35">
      <c r="A1161" s="167" t="s">
        <v>110</v>
      </c>
      <c r="B1161" s="167" t="s">
        <v>110</v>
      </c>
      <c r="C1161" s="167">
        <v>4063183</v>
      </c>
      <c r="D1161" s="168" t="s">
        <v>136</v>
      </c>
      <c r="E1161" s="168" t="s">
        <v>126</v>
      </c>
      <c r="F1161" s="198"/>
      <c r="G1161" s="167" t="s">
        <v>25</v>
      </c>
      <c r="H1161" s="169">
        <v>2019</v>
      </c>
      <c r="I1161" s="170"/>
      <c r="J1161" s="166">
        <f>IFERROR(INDEX('Labor Expenditures'!$F$7:$X$91,MATCH($C1161,'Labor Expenditures'!$D$7:$D$91,0),MATCH($G1161,'Labor Expenditures'!$F$5:$X$5,0)),"NA")</f>
        <v>4021.7937134548392</v>
      </c>
      <c r="K1161" s="166">
        <f t="shared" si="3433"/>
        <v>29.388335502044864</v>
      </c>
      <c r="L1161" s="172">
        <f t="shared" si="3440"/>
        <v>0.12661546405527374</v>
      </c>
      <c r="M1161" s="172">
        <f t="shared" si="3444"/>
        <v>1.3646756168127799E-4</v>
      </c>
      <c r="N1161" s="196"/>
      <c r="O1161" s="172"/>
      <c r="P1161" s="166">
        <f>IFERROR(INDEX('Non-Labor Expenditures'!$F$7:$AB$91,MATCH($C1161,'Non-Labor Expenditures'!$D$7:$D$91,0),MATCH($G1161,'Non-Labor Expenditures'!$F$5:$AB$5,0)),"NA")</f>
        <v>5824.3084645326217</v>
      </c>
      <c r="Q1161" s="166">
        <f t="shared" si="3434"/>
        <v>51.855521506193327</v>
      </c>
      <c r="R1161" s="172">
        <f t="shared" si="3445"/>
        <v>0.13534306504460616</v>
      </c>
      <c r="S1161" s="172">
        <f t="shared" si="3450"/>
        <v>1.4587426753058375E-4</v>
      </c>
      <c r="T1161" s="172"/>
      <c r="U1161" s="172"/>
      <c r="V1161" s="166">
        <f t="shared" si="3415"/>
        <v>4472.8748050835693</v>
      </c>
      <c r="W1161" s="170"/>
      <c r="X1161" s="174">
        <v>186.33540178330267</v>
      </c>
      <c r="Y1161" s="175">
        <v>-0.14137918481629266</v>
      </c>
      <c r="Z1161" s="175">
        <f t="shared" si="3451"/>
        <v>-1.5238006485482377E-4</v>
      </c>
      <c r="AA1161" s="175"/>
      <c r="AB1161" s="175"/>
      <c r="AC1161" s="170">
        <f t="shared" si="3457"/>
        <v>14318.97698307103</v>
      </c>
      <c r="AD1161" s="175">
        <f t="shared" si="3446"/>
        <v>9.9864157261171399E-2</v>
      </c>
      <c r="AE1161" s="170"/>
      <c r="AF1161" s="170"/>
      <c r="AG1161" s="121">
        <f t="shared" si="3447"/>
        <v>869.02815943867392</v>
      </c>
      <c r="AH1161" s="119">
        <f>+AZ1161/$BB$57</f>
        <v>4.3153177568791302E-4</v>
      </c>
      <c r="AI1161" s="119">
        <f>+AZ1161/$BC$58</f>
        <v>1.818602837978458E-3</v>
      </c>
      <c r="AJ1161" s="176">
        <f t="shared" si="3452"/>
        <v>0.37501326476536972</v>
      </c>
      <c r="AK1161" s="176">
        <f t="shared" si="3453"/>
        <v>1.5804170770383683</v>
      </c>
      <c r="AL1161" s="120">
        <f t="shared" si="3435"/>
        <v>0.2808715816925822</v>
      </c>
      <c r="AM1161" s="120">
        <f t="shared" si="3436"/>
        <v>0.40675450986607187</v>
      </c>
      <c r="AN1161" s="120">
        <f t="shared" si="3437"/>
        <v>0.31237390844134588</v>
      </c>
      <c r="AO1161" s="120">
        <f t="shared" si="3441"/>
        <v>4.1566543904156386E-2</v>
      </c>
      <c r="AP1161" s="173">
        <f t="shared" si="3458"/>
        <v>151.96942438843976</v>
      </c>
      <c r="AQ1161" s="175">
        <f t="shared" si="3459"/>
        <v>4.15665439041564E-2</v>
      </c>
      <c r="AR1161" s="177">
        <f>+AC1161/$AE$57</f>
        <v>1.0778111717989151E-3</v>
      </c>
      <c r="AS1161" s="177">
        <f t="shared" si="3454"/>
        <v>4.4800885392969862E-5</v>
      </c>
      <c r="AT1161" s="177"/>
      <c r="AU1161" s="177"/>
      <c r="AV1161" s="177"/>
      <c r="AW1161" s="190"/>
      <c r="AX1161" s="120"/>
      <c r="AY1161" s="120"/>
      <c r="AZ1161" s="118">
        <f>IFERROR(INDEX('Total Customers'!$F$7:$AB$91,MATCH($C1161,'Total Customers'!$D$7:$D$91,0),MATCH($G1161,'Total Customers'!$F$5:$AB$5,0)),"NA")</f>
        <v>16477</v>
      </c>
      <c r="BA1161" s="119">
        <f t="shared" si="3416"/>
        <v>1.8869640317616881E-2</v>
      </c>
      <c r="BB1161" s="119"/>
      <c r="BC1161" s="121">
        <v>8963640</v>
      </c>
      <c r="BD1161" s="119"/>
      <c r="BE1161" s="119"/>
      <c r="BF1161" s="119"/>
      <c r="BG1161" s="173"/>
      <c r="BH1161" s="173"/>
      <c r="BI1161" s="173"/>
      <c r="BJ1161" s="173"/>
      <c r="BK1161" s="173"/>
      <c r="BL1161" s="173"/>
      <c r="BM1161" s="173"/>
      <c r="BN1161" s="173"/>
      <c r="BO1161" s="173"/>
      <c r="BP1161" s="173"/>
      <c r="BQ1161" s="118"/>
      <c r="BR1161" s="118"/>
      <c r="BS1161" s="118">
        <f>INDEX('Dist. Plant Gas Additions'!$F$7:$AE$91,MATCH($C1161,'Dist. Plant Gas Additions'!$D$7:$D$91,0),MATCH(Calculation!$G1161,'Dist. Plant Gas Additions'!$F$5:$AE$5,0))</f>
        <v>-21150</v>
      </c>
      <c r="BT1161" s="118">
        <f>INDEX('Gen. Plant Additions'!$F$7:$AE$91,MATCH($C1161,'Gen. Plant Additions'!$D$7:$D$91,0),MATCH(Calculation!$G1161,'Gen. Plant Additions'!$F$5:$AE$5,0))</f>
        <v>772</v>
      </c>
      <c r="BU1161" s="118"/>
      <c r="BV1161" s="118"/>
      <c r="BW1161" s="118">
        <f>INDEX('Dist Plant Depreciation'!$E$7:$AD$94,MATCH($C1161,'Dist Plant Depreciation'!$D$7:$D$94,0),MATCH(Calculation!$G1161,'Dist Plant Depreciation'!$E$5:$AD$5,0))</f>
        <v>26977</v>
      </c>
      <c r="BX1161" s="118">
        <f>INDEX('Gen. Plant Depreciation'!$E$7:$AD$94,MATCH($C1161,'Gen. Plant Depreciation'!$D$7:$D$94,0),MATCH(Calculation!$G1161,'Gen. Plant Depreciation'!$E$5:$AD$5,0))</f>
        <v>5829</v>
      </c>
      <c r="BY1161" s="118"/>
      <c r="BZ1161" s="118"/>
      <c r="CA1161" s="118"/>
      <c r="CB1161" s="118"/>
      <c r="CC1161" s="118"/>
      <c r="CD1161" s="183"/>
      <c r="CE1161" s="118">
        <f>INDEX('Gross Dx Plant'!$E$7:$AD$91,MATCH($C1161,'Gross Dx Plant'!$D$7:$D$91,0),MATCH(Calculation!$G1161,'Gross Dx Plant'!$E$5:$AD$5,0))</f>
        <v>64755</v>
      </c>
      <c r="CF1161" s="118">
        <f>INDEX('Gross Gen Plant'!$E$7:$AD$91,MATCH($C1161,'Gross Gen Plant'!$D$7:$D$91,0),MATCH(Calculation!$G1161,'Gross Gen Plant'!$E$5:$AD$5,0))</f>
        <v>12195</v>
      </c>
      <c r="CG1161" s="118">
        <f t="shared" si="3352"/>
        <v>44144</v>
      </c>
      <c r="CH1161" s="118"/>
      <c r="CI1161" s="121">
        <v>2019</v>
      </c>
      <c r="CJ1161" s="118"/>
      <c r="CK1161" s="118"/>
      <c r="CL1161" s="118"/>
      <c r="CM1161" s="183"/>
      <c r="CN1161" s="118">
        <f>+BT1161+BS1161</f>
        <v>-20378</v>
      </c>
      <c r="CO1161" s="118">
        <f t="shared" si="3418"/>
        <v>-26.343845819190395</v>
      </c>
      <c r="CP1161" s="186">
        <v>0.85106382978723405</v>
      </c>
      <c r="CQ1161" s="118">
        <f>CQ1140*CP1161+CO1141*CP1160+CO1142*CP1159+CO1143*CP1158+CO1144*CP1157+CO1145*CP1156+CO1146*CP1155+CO1147*CP1154+CO1148*CP1153+CO1149*CP1152+CO1150*CP1151+CO1151*CP1150+CO1152*CP1149+CO1153*CP1148+CO1154*CP1147+CO1155*CP1146+CO1156*CP1145+CO1157*CP1144+CO1158*CP1143+CO1159*CP1142+CO1160*CP1141+CO1161</f>
        <v>186.33540178330267</v>
      </c>
      <c r="CR1161" s="119">
        <f t="shared" si="3419"/>
        <v>-0.14137918481629266</v>
      </c>
      <c r="CS1161" s="119"/>
      <c r="CT1161" s="177">
        <f t="shared" si="3420"/>
        <v>9.1006551797539279E-3</v>
      </c>
      <c r="CU1161" s="177">
        <f t="shared" si="3428"/>
        <v>8.6771185801678714E-3</v>
      </c>
      <c r="CV1161" s="119">
        <f>VLOOKUP($H1161,RoR!$E:$F,2,FALSE)</f>
        <v>3.3875000000000009E-2</v>
      </c>
      <c r="CW1161" s="177">
        <v>1.8092492884465461E-2</v>
      </c>
      <c r="CX1161" s="177">
        <f t="shared" si="3426"/>
        <v>1.5782507115534548E-2</v>
      </c>
      <c r="CY1161" s="177">
        <f t="shared" si="3429"/>
        <v>2.2224823028365752E-2</v>
      </c>
      <c r="CZ1161" s="177">
        <f t="shared" si="3430"/>
        <v>4.8445665544254078E-2</v>
      </c>
      <c r="DA1161" s="187">
        <f t="shared" si="3421"/>
        <v>0.90381374874999998</v>
      </c>
      <c r="DB1161" s="188">
        <f t="shared" si="3422"/>
        <v>1.513861292459078</v>
      </c>
      <c r="DC1161" s="188">
        <f t="shared" si="3423"/>
        <v>0.23699261992619944</v>
      </c>
      <c r="DD1161" s="188">
        <f t="shared" si="3424"/>
        <v>0.73619765810468829</v>
      </c>
      <c r="DE1161" s="188">
        <f t="shared" si="3425"/>
        <v>0.26412854465362851</v>
      </c>
      <c r="DF1161" s="189">
        <f>INDEX('State Tax Lookup'!$D$7:$Z$91,MATCH(Calculation!$C1161,'State Tax Lookup'!$B$7:$B$91,0),MATCH($H1161,'State Tax Lookup'!$D$6:$Z$6,0))</f>
        <v>0.25649666999999998</v>
      </c>
      <c r="DG1161" s="189">
        <v>0.375</v>
      </c>
      <c r="DH1161" s="190">
        <f t="shared" si="3427"/>
        <v>20.839685882772233</v>
      </c>
      <c r="DI1161" s="190">
        <v>20.338728655814034</v>
      </c>
      <c r="DJ1161" s="177"/>
      <c r="DK1161" s="189">
        <f>VLOOKUP($H1161,RoR!$E:$F,2,FALSE)</f>
        <v>3.3875000000000009E-2</v>
      </c>
      <c r="DL1161" s="191">
        <f>HLOOKUP($H1161,'GDP-PI'!$D$8:$CQ$11,3,FALSE)</f>
        <v>1.8092492884465461E-2</v>
      </c>
      <c r="DM1161" s="189">
        <f>VLOOKUP(H1161,'HW Dx Data'!$E:$F,2,FALSE)</f>
        <v>773.53929793938721</v>
      </c>
      <c r="DN1161" s="183">
        <f>VLOOKUP(H1161,'ECI - Input Price'!$G$17:$H$37,2,FALSE)</f>
        <v>136.85</v>
      </c>
      <c r="DO1161" s="177">
        <f t="shared" ref="DO1161" si="3482">LN(DN1161/DN1160)</f>
        <v>2.6658372440734168E-2</v>
      </c>
      <c r="DP1161" s="183">
        <f>HLOOKUP(H1161,'GDP-PI'!$8:$9,2,FALSE)</f>
        <v>112.318</v>
      </c>
      <c r="DQ1161" s="177">
        <f t="shared" ref="DQ1161" si="3483">LN(DP1161/DP1160)</f>
        <v>1.7930771451401852E-2</v>
      </c>
    </row>
    <row r="1162" spans="1:121" s="167" customFormat="1" ht="21" x14ac:dyDescent="0.35">
      <c r="A1162" s="167" t="s">
        <v>110</v>
      </c>
      <c r="B1162" s="167" t="s">
        <v>110</v>
      </c>
      <c r="C1162" s="167">
        <v>4063183</v>
      </c>
      <c r="D1162" s="167" t="s">
        <v>136</v>
      </c>
      <c r="E1162" s="167" t="s">
        <v>126</v>
      </c>
      <c r="G1162" s="168" t="s">
        <v>26</v>
      </c>
      <c r="H1162" s="169">
        <v>2020</v>
      </c>
      <c r="I1162" s="170"/>
      <c r="J1162" s="166">
        <f>IFERROR(INDEX('Labor Expenditures'!$F$7:$X$91,MATCH($C1162,'Labor Expenditures'!$D$7:$D$91,0),MATCH($G1162,'Labor Expenditures'!$F$5:$X$5,0)),"NA")</f>
        <v>3625.2895969231431</v>
      </c>
      <c r="K1162" s="166">
        <f t="shared" si="3433"/>
        <v>25.811958682258052</v>
      </c>
      <c r="L1162" s="172">
        <f t="shared" si="3440"/>
        <v>-0.12975994463279036</v>
      </c>
      <c r="M1162" s="172">
        <f t="shared" si="3444"/>
        <v>-1.2164389830163454E-4</v>
      </c>
      <c r="N1162" s="196"/>
      <c r="O1162" s="172"/>
      <c r="P1162" s="166">
        <f>IFERROR(INDEX('Non-Labor Expenditures'!$F$7:$AB$91,MATCH($C1162,'Non-Labor Expenditures'!$D$7:$D$91,0),MATCH($G1162,'Non-Labor Expenditures'!$F$5:$AB$5,0)),"NA")</f>
        <v>5250.0964470411091</v>
      </c>
      <c r="Q1162" s="166">
        <f t="shared" si="3434"/>
        <v>46.206282592794672</v>
      </c>
      <c r="R1162" s="172">
        <f t="shared" si="3445"/>
        <v>-0.11534564330061853</v>
      </c>
      <c r="S1162" s="172">
        <f t="shared" si="3450"/>
        <v>-1.0813116283999549E-4</v>
      </c>
      <c r="T1162" s="172"/>
      <c r="U1162" s="172"/>
      <c r="V1162" s="166">
        <f t="shared" si="3415"/>
        <v>3964.6027687445167</v>
      </c>
      <c r="W1162" s="170"/>
      <c r="X1162" s="174">
        <v>188.14748743782408</v>
      </c>
      <c r="Y1162" s="175">
        <v>9.6778776824520581E-3</v>
      </c>
      <c r="Z1162" s="175">
        <f t="shared" si="3451"/>
        <v>9.0725591160769052E-6</v>
      </c>
      <c r="AA1162" s="175"/>
      <c r="AB1162" s="175"/>
      <c r="AC1162" s="170">
        <f t="shared" si="3457"/>
        <v>12839.988812708769</v>
      </c>
      <c r="AD1162" s="175">
        <f t="shared" si="3446"/>
        <v>-0.10902129227381212</v>
      </c>
      <c r="AE1162" s="170"/>
      <c r="AF1162" s="170"/>
      <c r="AG1162" s="121">
        <f t="shared" si="3447"/>
        <v>780.87872120104419</v>
      </c>
      <c r="AH1162" s="119">
        <f>+AZ1162/$BB$58</f>
        <v>4.2761364177757452E-4</v>
      </c>
      <c r="AI1162" s="119">
        <f>+AZ1162/$BC$59</f>
        <v>1.8041314313533092E-3</v>
      </c>
      <c r="AJ1162" s="176">
        <f t="shared" si="3452"/>
        <v>0.3339143937593938</v>
      </c>
      <c r="AK1162" s="176">
        <f t="shared" si="3453"/>
        <v>1.4088078449937815</v>
      </c>
      <c r="AL1162" s="120">
        <f t="shared" si="3435"/>
        <v>0.28234367255327375</v>
      </c>
      <c r="AM1162" s="120">
        <f t="shared" si="3436"/>
        <v>0.40888637238099979</v>
      </c>
      <c r="AN1162" s="120">
        <f t="shared" si="3437"/>
        <v>0.30876995506572641</v>
      </c>
      <c r="AO1162" s="120">
        <f t="shared" si="3441"/>
        <v>-8.0576024069065291E-2</v>
      </c>
      <c r="AP1162" s="173">
        <f t="shared" si="3458"/>
        <v>140.20467527170086</v>
      </c>
      <c r="AQ1162" s="175">
        <f t="shared" si="3459"/>
        <v>-8.0576024069065263E-2</v>
      </c>
      <c r="AR1162" s="177">
        <f>+AC1162/$AE$58</f>
        <v>9.3745337704849094E-4</v>
      </c>
      <c r="AS1162" s="177">
        <f t="shared" si="3454"/>
        <v>-7.5536265872685714E-5</v>
      </c>
      <c r="AT1162" s="177"/>
      <c r="AU1162" s="177"/>
      <c r="AV1162" s="177"/>
      <c r="AW1162" s="190"/>
      <c r="AX1162" s="120"/>
      <c r="AY1162" s="120"/>
      <c r="AZ1162" s="118">
        <f>IFERROR(INDEX('Total Customers'!$F$7:$AB$91,MATCH($C1162,'Total Customers'!$D$7:$D$91,0),MATCH($G1162,'Total Customers'!$F$5:$AB$5,0)),"NA")</f>
        <v>16443</v>
      </c>
      <c r="BA1162" s="119">
        <f t="shared" si="3416"/>
        <v>-2.0656143432053777E-3</v>
      </c>
      <c r="BB1162" s="119"/>
      <c r="BC1162" s="121">
        <v>9060252</v>
      </c>
      <c r="BD1162" s="119"/>
      <c r="BE1162" s="119"/>
      <c r="BF1162" s="119"/>
      <c r="BG1162" s="173"/>
      <c r="BH1162" s="173"/>
      <c r="BI1162" s="173"/>
      <c r="BJ1162" s="173"/>
      <c r="BK1162" s="173"/>
      <c r="BL1162" s="173"/>
      <c r="BM1162" s="173"/>
      <c r="BN1162" s="173"/>
      <c r="BO1162" s="173"/>
      <c r="BP1162" s="173"/>
      <c r="BQ1162" s="118"/>
      <c r="BR1162" s="118"/>
      <c r="BS1162" s="118">
        <f>INDEX('Dist. Plant Gas Additions'!$F$7:$AE$91,MATCH($C1162,'Dist. Plant Gas Additions'!$D$7:$D$91,0),MATCH(Calculation!$G1162,'Dist. Plant Gas Additions'!$F$5:$AE$5,0))</f>
        <v>32</v>
      </c>
      <c r="BT1162" s="118">
        <f>INDEX('Gen. Plant Additions'!$F$7:$AE$91,MATCH($C1162,'Gen. Plant Additions'!$D$7:$D$91,0),MATCH(Calculation!$G1162,'Gen. Plant Additions'!$F$5:$AE$5,0))</f>
        <v>2987</v>
      </c>
      <c r="BU1162" s="118"/>
      <c r="BV1162" s="118"/>
      <c r="BW1162" s="118">
        <f>INDEX('Dist Plant Depreciation'!$E$7:$AD$94,MATCH($C1162,'Dist Plant Depreciation'!$D$7:$D$94,0),MATCH(Calculation!$G1162,'Dist Plant Depreciation'!$E$5:$AD$5,0))</f>
        <v>28377</v>
      </c>
      <c r="BX1162" s="118">
        <f>INDEX('Gen. Plant Depreciation'!$E$7:$AD$94,MATCH($C1162,'Gen. Plant Depreciation'!$D$7:$D$94,0),MATCH(Calculation!$G1162,'Gen. Plant Depreciation'!$E$5:$AD$5,0))</f>
        <v>6497</v>
      </c>
      <c r="BY1162" s="118"/>
      <c r="BZ1162" s="118"/>
      <c r="CA1162" s="118"/>
      <c r="CB1162" s="118"/>
      <c r="CC1162" s="118"/>
      <c r="CD1162" s="183"/>
      <c r="CE1162" s="118">
        <f>INDEX('Gross Dx Plant'!$E$7:$AD$91,MATCH($C1162,'Gross Dx Plant'!$D$7:$D$91,0),MATCH(Calculation!$G1162,'Gross Dx Plant'!$E$5:$AD$5,0))</f>
        <v>64722</v>
      </c>
      <c r="CF1162" s="118">
        <f>INDEX('Gross Gen Plant'!$E$7:$AD$91,MATCH($C1162,'Gross Gen Plant'!$D$7:$D$91,0),MATCH(Calculation!$G1162,'Gross Gen Plant'!$E$5:$AD$5,0))</f>
        <v>15179</v>
      </c>
      <c r="CG1162" s="118">
        <f t="shared" si="3352"/>
        <v>45027</v>
      </c>
      <c r="CH1162" s="118"/>
      <c r="CI1162" s="121">
        <v>2020</v>
      </c>
      <c r="CJ1162" s="118"/>
      <c r="CK1162" s="118"/>
      <c r="CL1162" s="118"/>
      <c r="CM1162" s="183"/>
      <c r="CN1162" s="118">
        <f>+BT1162+BS1162</f>
        <v>3019</v>
      </c>
      <c r="CO1162" s="118">
        <f t="shared" si="3418"/>
        <v>3.7130410252173074</v>
      </c>
      <c r="CP1162" s="186">
        <v>0.84057971014492749</v>
      </c>
      <c r="CQ1162" s="118">
        <f>CQ1140*CP1162+CO1141*CP1161+CO1142*CP1160+CO1143*CP1159+CO1144*CP1158+CO1145*CP1157+CO1146*CP1156+CO1147*CP1155+CO1148*CP1154+CO1149*CP1153+CO1150*CP1152+CO1151*CP1151+CO1152*CP1150+CO1153*CP1149+CO1154*CP1148+CO1155*CP1147+CO1156*CP1146+CO1157*CP1145+CO1158*CP1144+CO1159*CP1143+CO1160*CP1142+CO1161*CP1141+CO1162</f>
        <v>188.14748743782408</v>
      </c>
      <c r="CR1162" s="119">
        <f t="shared" si="3419"/>
        <v>9.6778776824520581E-3</v>
      </c>
      <c r="CS1162" s="119"/>
      <c r="CT1162" s="177">
        <f t="shared" si="3420"/>
        <v>1.0201793929135365E-2</v>
      </c>
      <c r="CU1162" s="177">
        <f t="shared" si="3428"/>
        <v>9.3198446891766245E-3</v>
      </c>
      <c r="CV1162" s="119">
        <f>VLOOKUP($H1162,RoR!$E:$F,2,FALSE)</f>
        <v>2.4766666666666666E-2</v>
      </c>
      <c r="CW1162" s="177">
        <v>1.1618796630994188E-2</v>
      </c>
      <c r="CX1162" s="177">
        <f t="shared" si="3426"/>
        <v>1.3147870035672478E-2</v>
      </c>
      <c r="CY1162" s="177">
        <f t="shared" si="3429"/>
        <v>2.1582096919357002E-2</v>
      </c>
      <c r="CZ1162" s="177">
        <f t="shared" si="3430"/>
        <v>4.5144642961987357E-2</v>
      </c>
      <c r="DA1162" s="187">
        <f t="shared" si="3421"/>
        <v>0.90381374874999998</v>
      </c>
      <c r="DB1162" s="188">
        <f t="shared" si="3422"/>
        <v>2.0706077233668081</v>
      </c>
      <c r="DC1162" s="188">
        <f t="shared" si="3423"/>
        <v>-3.4421265141318998E-2</v>
      </c>
      <c r="DD1162" s="188">
        <f t="shared" si="3424"/>
        <v>0.62416226176410472</v>
      </c>
      <c r="DE1162" s="188">
        <f t="shared" si="3425"/>
        <v>-4.4485877841158712E-2</v>
      </c>
      <c r="DF1162" s="189">
        <f>INDEX('State Tax Lookup'!$D$7:$Z$91,MATCH(Calculation!$C1162,'State Tax Lookup'!$B$7:$B$91,0),MATCH($H1162,'State Tax Lookup'!$D$6:$Z$6,0))</f>
        <v>0.25649666999999998</v>
      </c>
      <c r="DG1162" s="189">
        <v>0.375</v>
      </c>
      <c r="DH1162" s="190">
        <f t="shared" si="3427"/>
        <v>21.276701747503253</v>
      </c>
      <c r="DI1162" s="190">
        <v>20.342326928230634</v>
      </c>
      <c r="DJ1162" s="177"/>
      <c r="DK1162" s="189">
        <f>VLOOKUP($H1162,RoR!$E:$F,2,FALSE)</f>
        <v>2.4766666666666666E-2</v>
      </c>
      <c r="DL1162" s="191">
        <f>HLOOKUP($H1162,'GDP-PI'!$D$8:$CQ$11,3,FALSE)</f>
        <v>1.1618796630994188E-2</v>
      </c>
      <c r="DM1162" s="189">
        <f>VLOOKUP(H1162,'HW Dx Data'!$E:$F,2,FALSE)</f>
        <v>813.080162458833</v>
      </c>
      <c r="DN1162" s="183">
        <f>VLOOKUP(H1162,'ECI - Input Price'!$G$17:$H$37,2,FALSE)</f>
        <v>140.44999999999999</v>
      </c>
      <c r="DO1162" s="177">
        <f t="shared" ref="DO1162" si="3484">LN(DN1162/DN1161)</f>
        <v>2.5966118063564539E-2</v>
      </c>
      <c r="DP1162" s="183">
        <f>HLOOKUP(H1162,'GDP-PI'!$8:$9,2,FALSE)</f>
        <v>113.623</v>
      </c>
      <c r="DQ1162" s="177">
        <f t="shared" ref="DQ1162" si="3485">LN(DP1162/DP1161)</f>
        <v>1.1551816731392881E-2</v>
      </c>
    </row>
    <row r="1163" spans="1:121" s="167" customFormat="1" ht="21" x14ac:dyDescent="0.35">
      <c r="A1163" s="167" t="s">
        <v>110</v>
      </c>
      <c r="B1163" s="167" t="s">
        <v>110</v>
      </c>
      <c r="C1163" s="167">
        <v>4063183</v>
      </c>
      <c r="D1163" s="167" t="s">
        <v>136</v>
      </c>
      <c r="E1163" s="167" t="s">
        <v>126</v>
      </c>
      <c r="G1163" s="168" t="s">
        <v>462</v>
      </c>
      <c r="H1163" s="169">
        <v>2021</v>
      </c>
      <c r="I1163" s="170"/>
      <c r="J1163" s="166">
        <f>IFERROR(INDEX('Labor Expenditures'!$E$7:$X$91,MATCH($C1163,'Labor Expenditures'!$D$7:$D$91,0),MATCH($G1163,'Labor Expenditures'!$E$5:$X$5,0)),"NA")</f>
        <v>3578.194154465094</v>
      </c>
      <c r="K1163" s="166">
        <f t="shared" si="3433"/>
        <v>24.596625911428724</v>
      </c>
      <c r="L1163" s="171">
        <f t="shared" si="3440"/>
        <v>-4.8228623894680578E-2</v>
      </c>
      <c r="M1163" s="172">
        <f t="shared" si="3444"/>
        <v>-1.991797663835918E-5</v>
      </c>
      <c r="N1163" s="196"/>
      <c r="O1163" s="172"/>
      <c r="P1163" s="166">
        <f>IFERROR(INDEX('Non-Labor Expenditures'!$E$7:$AB$91,MATCH($C1163,'Non-Labor Expenditures'!$D$7:$D$91,0),MATCH($G1163,'Non-Labor Expenditures'!$E$5:$AB$5,0)),"NA")</f>
        <v>5043.9604346074211</v>
      </c>
      <c r="Q1163" s="166">
        <f t="shared" si="3434"/>
        <v>42.568659250632301</v>
      </c>
      <c r="R1163" s="172">
        <f t="shared" si="3445"/>
        <v>-8.1997491524817487E-2</v>
      </c>
      <c r="S1163" s="172">
        <f t="shared" si="3450"/>
        <v>-3.3864207367017735E-5</v>
      </c>
      <c r="T1163" s="172"/>
      <c r="U1163" s="172"/>
      <c r="V1163" s="166">
        <f t="shared" si="3415"/>
        <v>-2531.190242556258</v>
      </c>
      <c r="W1163" s="170"/>
      <c r="X1163" s="174">
        <v>168.20221206085887</v>
      </c>
      <c r="Y1163" s="175"/>
      <c r="Z1163" s="175">
        <f t="shared" si="3451"/>
        <v>0</v>
      </c>
      <c r="AA1163" s="175"/>
      <c r="AB1163" s="175"/>
      <c r="AC1163" s="170">
        <f t="shared" si="3457"/>
        <v>6090.9643465162571</v>
      </c>
      <c r="AD1163" s="175">
        <f t="shared" si="3446"/>
        <v>-0.74575800860952302</v>
      </c>
      <c r="AE1163" s="118"/>
      <c r="AF1163" s="119"/>
      <c r="AG1163" s="121">
        <f t="shared" si="3447"/>
        <v>365.38478383420858</v>
      </c>
      <c r="AH1163" s="119">
        <f>+AZ1163/$BB$59</f>
        <v>4.2769718103861812E-4</v>
      </c>
      <c r="AI1163" s="119">
        <f>+AZ1163/$BC$44</f>
        <v>2.0212486951912104E-3</v>
      </c>
      <c r="AJ1163" s="176">
        <f t="shared" si="3452"/>
        <v>0.15627404204029585</v>
      </c>
      <c r="AK1163" s="176">
        <f t="shared" si="3453"/>
        <v>0.73853351756761654</v>
      </c>
      <c r="AL1163" s="120">
        <f t="shared" si="3435"/>
        <v>0.58745938260361863</v>
      </c>
      <c r="AM1163" s="120">
        <f t="shared" si="3436"/>
        <v>0.82810539475449851</v>
      </c>
      <c r="AN1163" s="120">
        <f t="shared" si="3437"/>
        <v>-0.41556477735811714</v>
      </c>
      <c r="AO1163" s="120">
        <f t="shared" si="3441"/>
        <v>-7.1689813175783948E-2</v>
      </c>
      <c r="AP1163" s="173">
        <f t="shared" si="3458"/>
        <v>130.50525681095965</v>
      </c>
      <c r="AQ1163" s="175">
        <f t="shared" si="3459"/>
        <v>-7.1689813175783976E-2</v>
      </c>
      <c r="AR1163" s="177">
        <f>+AC1163/$AE$59</f>
        <v>4.1299077248928208E-4</v>
      </c>
      <c r="AS1163" s="177">
        <f t="shared" si="3454"/>
        <v>-2.9607231323079337E-5</v>
      </c>
      <c r="AT1163" s="177"/>
      <c r="AU1163" s="177"/>
      <c r="AV1163" s="177"/>
      <c r="AW1163" s="190"/>
      <c r="AX1163" s="120"/>
      <c r="AY1163" s="120"/>
      <c r="AZ1163" s="118">
        <f>INDEX('Total Customers'!$E$7:$E$91,MATCH(Calculation!$C1163,'Total Customers'!$D$7:$D$91,0))</f>
        <v>16670</v>
      </c>
      <c r="BA1163" s="119">
        <f t="shared" si="3416"/>
        <v>1.3710842030613665E-2</v>
      </c>
      <c r="BB1163" s="118"/>
      <c r="BC1163" s="121"/>
      <c r="BD1163" s="118"/>
      <c r="BE1163" s="119"/>
      <c r="BF1163" s="119"/>
      <c r="BG1163" s="173"/>
      <c r="BH1163" s="173"/>
      <c r="BI1163" s="173"/>
      <c r="BJ1163" s="173"/>
      <c r="BK1163" s="173"/>
      <c r="BL1163" s="173"/>
      <c r="BM1163" s="173"/>
      <c r="BN1163" s="173"/>
      <c r="BO1163" s="173"/>
      <c r="BP1163" s="173"/>
      <c r="BQ1163" s="118"/>
      <c r="BR1163" s="118"/>
      <c r="BS1163" s="118">
        <f>INDEX('Dist. Plant Gas Additions'!$E$7:$AE$91,MATCH($C1163,'Dist. Plant Gas Additions'!$D$7:$D$91,0),MATCH(Calculation!$G1163,'Dist. Plant Gas Additions'!$E$5:$AE$5,0))</f>
        <v>-105</v>
      </c>
      <c r="BT1163" s="118">
        <f>INDEX('Gen. Plant Additions'!$E$7:$AE$91,MATCH($C1163,'Gen. Plant Additions'!$D$7:$D$91,0),MATCH(Calculation!$G1163,'Gen. Plant Additions'!$E$5:$AE$5,0))</f>
        <v>586</v>
      </c>
      <c r="BU1163" s="118"/>
      <c r="BV1163" s="118"/>
      <c r="BW1163" s="118"/>
      <c r="BX1163" s="118"/>
      <c r="BY1163" s="183"/>
      <c r="BZ1163" s="183"/>
      <c r="CA1163" s="178"/>
      <c r="CB1163" s="184"/>
      <c r="CC1163" s="185"/>
      <c r="CD1163" s="185"/>
      <c r="CE1163" s="118"/>
      <c r="CF1163" s="118"/>
      <c r="CG1163" s="118"/>
      <c r="CH1163" s="118"/>
      <c r="CI1163" s="121">
        <v>2021</v>
      </c>
      <c r="CJ1163" s="118"/>
      <c r="CK1163" s="118"/>
      <c r="CL1163" s="118"/>
      <c r="CM1163" s="183"/>
      <c r="CN1163" s="118">
        <f t="shared" ref="CN1163" si="3486">+BT1163+BS1163</f>
        <v>481</v>
      </c>
      <c r="CO1163" s="118">
        <f t="shared" si="3418"/>
        <v>0.51552883280290884</v>
      </c>
      <c r="CP1163" s="186">
        <f>+(51-23)/(51-23*0.75)</f>
        <v>0.82962962962962961</v>
      </c>
      <c r="CQ1163" s="118">
        <f>CQ1140*CP1163+CO1141*CP1162+CO1142*CP1161+CO1143*CP1160+CO1144*CP1159+CO1145*CP1158+CO1146*CP1157+CO1147*CP1156+CO1148*CP1155+CO1149*CP1154+CO1150*CP1153+CO1151*CP1152+CO1152*CP1151+CO1153*CP1150+CO1154*CP1149+CO1145*CP1148+CO1156*CP1147+CO1157*CP1146+CO1158*CP1145+CO1159*CP1144+CO1160*CP1143+CO1161*CP1142+CO1163+CO1162*CP1141</f>
        <v>168.20221206085887</v>
      </c>
      <c r="CR1163" s="119"/>
      <c r="CS1163" s="118"/>
      <c r="CT1163" s="177">
        <f t="shared" si="3420"/>
        <v>0.10874875071892562</v>
      </c>
      <c r="CU1163" s="177">
        <f t="shared" si="3428"/>
        <v>4.2683733275938301E-2</v>
      </c>
      <c r="CV1163" s="119">
        <f>VLOOKUP($H1163,RoR!$E:$F,2,FALSE)</f>
        <v>2.7033333333333336E-2</v>
      </c>
      <c r="CW1163" s="177"/>
      <c r="CX1163" s="177"/>
      <c r="CY1163" s="177">
        <f t="shared" si="3429"/>
        <v>-1.1781791667404676E-2</v>
      </c>
      <c r="CZ1163" s="177">
        <f t="shared" si="3430"/>
        <v>7.433422950153494E-2</v>
      </c>
      <c r="DA1163" s="187">
        <f t="shared" si="3421"/>
        <v>0.90381374874999998</v>
      </c>
      <c r="DB1163" s="188">
        <f t="shared" si="3422"/>
        <v>1.8969932656739068</v>
      </c>
      <c r="DC1163" s="188">
        <f t="shared" si="3423"/>
        <v>5.0215782983970621E-2</v>
      </c>
      <c r="DD1163" s="188">
        <f t="shared" si="3424"/>
        <v>0.655952481704143</v>
      </c>
      <c r="DE1163" s="188">
        <f t="shared" si="3425"/>
        <v>6.2485378865697057E-2</v>
      </c>
      <c r="DF1163" s="189">
        <f>DF1162</f>
        <v>0.25649666999999998</v>
      </c>
      <c r="DG1163" s="189">
        <v>0.375</v>
      </c>
      <c r="DH1163" s="190">
        <f t="shared" si="3427"/>
        <v>-13.453223729031857</v>
      </c>
      <c r="DI1163" s="190"/>
      <c r="DJ1163" s="177" t="e">
        <f t="shared" ref="DJ1163" si="3487">LN(DH1163/DH1162)</f>
        <v>#NUM!</v>
      </c>
      <c r="DK1163" s="189">
        <f>VLOOKUP($H1163,RoR!$E:$F,2,FALSE)</f>
        <v>2.7033333333333336E-2</v>
      </c>
      <c r="DL1163" s="191">
        <f>HLOOKUP($H1163,'GDP-PI'!$D$8:$CR$11,3,FALSE)</f>
        <v>4.2834637353352578E-2</v>
      </c>
      <c r="DM1163" s="189">
        <f>VLOOKUP(H1163,'HW Dx Data'!$E:$F,2,FALSE)</f>
        <v>933.02249921662576</v>
      </c>
      <c r="DN1163" s="183">
        <f>VLOOKUP(H1163,'ECI - Input Price'!$G$17:$H$37,2,FALSE)</f>
        <v>145.47500000000002</v>
      </c>
      <c r="DO1163" s="177">
        <f t="shared" ref="DO1163" si="3488">LN(DN1163/DN1162)</f>
        <v>3.5152696992481205E-2</v>
      </c>
      <c r="DP1163" s="183">
        <f>HLOOKUP(H1163,'GDP-PI'!$8:$9,2,FALSE)</f>
        <v>118.49</v>
      </c>
      <c r="DQ1163" s="177">
        <f t="shared" ref="DQ1163" si="3489">LN(DP1163/DP1162)</f>
        <v>4.194261824609434E-2</v>
      </c>
    </row>
    <row r="1164" spans="1:121" s="167" customFormat="1" ht="21" x14ac:dyDescent="0.35">
      <c r="A1164" s="167" t="s">
        <v>111</v>
      </c>
      <c r="B1164" s="167" t="s">
        <v>111</v>
      </c>
      <c r="C1164" s="167">
        <v>4063281</v>
      </c>
      <c r="D1164" s="168" t="s">
        <v>144</v>
      </c>
      <c r="E1164" s="168"/>
      <c r="F1164" s="198"/>
      <c r="G1164" s="167" t="s">
        <v>4</v>
      </c>
      <c r="H1164" s="169">
        <v>1998</v>
      </c>
      <c r="I1164" s="170"/>
      <c r="J1164" s="166"/>
      <c r="K1164" s="166"/>
      <c r="L1164" s="166"/>
      <c r="M1164" s="166"/>
      <c r="N1164" s="196"/>
      <c r="O1164" s="166"/>
      <c r="P1164" s="166"/>
      <c r="Q1164" s="166"/>
      <c r="R1164" s="166"/>
      <c r="S1164" s="166"/>
      <c r="T1164" s="166"/>
      <c r="U1164" s="166"/>
      <c r="V1164" s="166"/>
      <c r="W1164" s="170"/>
      <c r="X1164" s="174">
        <v>42.360815871670312</v>
      </c>
      <c r="Y1164" s="175"/>
      <c r="Z1164" s="166"/>
      <c r="AA1164" s="175"/>
      <c r="AB1164" s="175"/>
      <c r="AC1164" s="170">
        <f t="shared" si="3457"/>
        <v>0</v>
      </c>
      <c r="AD1164" s="170"/>
      <c r="AE1164" s="170"/>
      <c r="AF1164" s="119"/>
      <c r="AG1164" s="174"/>
      <c r="AH1164" s="175"/>
      <c r="AI1164" s="175"/>
      <c r="AJ1164" s="174"/>
      <c r="AK1164" s="174"/>
      <c r="AL1164" s="120"/>
      <c r="AM1164" s="120"/>
      <c r="AN1164" s="120"/>
      <c r="AO1164" s="120"/>
      <c r="AP1164" s="120"/>
      <c r="AQ1164" s="175">
        <f>AVERAGE(AQ1173:AQ1187)</f>
        <v>-1.0935730101085225E-2</v>
      </c>
      <c r="AR1164" s="120"/>
      <c r="AS1164" s="120"/>
      <c r="AT1164" s="120"/>
      <c r="AU1164" s="120"/>
      <c r="AV1164" s="120"/>
      <c r="AW1164" s="120"/>
      <c r="AX1164" s="120"/>
      <c r="AY1164" s="120"/>
      <c r="AZ1164" s="118">
        <f>IFERROR(INDEX('Total Customers'!$F$7:$AB$91,MATCH($C1164,'Total Customers'!$D$7:$D$91,0),MATCH($G1164,'Total Customers'!$F$5:$AB$5,0)),"NA")</f>
        <v>11232</v>
      </c>
      <c r="BA1164" s="119"/>
      <c r="BB1164" s="119"/>
      <c r="BC1164" s="121"/>
      <c r="BD1164" s="119"/>
      <c r="BE1164" s="119"/>
      <c r="BF1164" s="119"/>
      <c r="BG1164" s="173"/>
      <c r="BH1164" s="173"/>
      <c r="BI1164" s="173"/>
      <c r="BJ1164" s="173"/>
      <c r="BK1164" s="173"/>
      <c r="BL1164" s="173"/>
      <c r="BM1164" s="173"/>
      <c r="BN1164" s="173"/>
      <c r="BO1164" s="173"/>
      <c r="BP1164" s="173"/>
      <c r="BQ1164" s="118">
        <f>INDEX('Gross Dx Plant'!$E$7:$AD$91,MATCH($C1164,'Gross Dx Plant'!$D$7:$D$91,0),MATCH(Calculation!$G1164,'Gross Dx Plant'!$E$5:$AD$5,0))</f>
        <v>14321</v>
      </c>
      <c r="BR1164" s="118">
        <f>INDEX('Gross Gen Plant'!$E$7:$AD$91,MATCH($C1164,'Gross Gen Plant'!$D$7:$D$91,0),MATCH(Calculation!$G1164,'Gross Gen Plant'!$E$5:$AD$5,0))</f>
        <v>221</v>
      </c>
      <c r="BS1164" s="118">
        <f>INDEX('Dist. Plant Gas Additions'!$F$7:$AE$91,MATCH($C1164,'Dist. Plant Gas Additions'!$D$7:$D$91,0),MATCH(Calculation!$G1164,'Dist. Plant Gas Additions'!$F$5:$AE$5,0))</f>
        <v>337</v>
      </c>
      <c r="BT1164" s="118">
        <f>INDEX('Gen. Plant Additions'!$F$7:$AE$91,MATCH($C1164,'Gen. Plant Additions'!$D$7:$D$91,0),MATCH(Calculation!$G1164,'Gen. Plant Additions'!$F$5:$AE$5,0))</f>
        <v>3</v>
      </c>
      <c r="BU1164" s="118" t="e">
        <f>INDEX('Dist Plant Depreciation'!$E$7:$AA$94,MATCH($C1164,'Dist Plant Depreciation'!$D$7:$D$94,0),MATCH(#REF!,'Dist Plant Depreciation'!$E$5:$AA$5,0))</f>
        <v>#REF!</v>
      </c>
      <c r="BV1164" s="118" t="e">
        <f>INDEX('Gen. Plant Depreciation'!$E$7:$AA$94,MATCH($C1164,'Gen. Plant Depreciation'!$D$7:$D$94,0),MATCH(#REF!,'Gen. Plant Depreciation'!$E$5:$AA$5,0))</f>
        <v>#REF!</v>
      </c>
      <c r="BW1164" s="118">
        <f>INDEX('Dist Plant Depreciation'!$E$7:$AD$94,MATCH($C1164,'Dist Plant Depreciation'!$D$7:$D$94,0),MATCH(Calculation!$G1164,'Dist Plant Depreciation'!$E$5:$AD$5,0))</f>
        <v>5923</v>
      </c>
      <c r="BX1164" s="118">
        <f>INDEX('Gen. Plant Depreciation'!$E$7:$AD$94,MATCH($C1164,'Gen. Plant Depreciation'!$D$7:$D$94,0),MATCH(Calculation!$G1164,'Gen. Plant Depreciation'!$E$5:$AD$5,0))</f>
        <v>74</v>
      </c>
      <c r="BY1164" s="118"/>
      <c r="BZ1164" s="118"/>
      <c r="CA1164" s="118"/>
      <c r="CB1164" s="118"/>
      <c r="CC1164" s="118"/>
      <c r="CD1164" s="183"/>
      <c r="CE1164" s="118">
        <f>INDEX('Gross Dx Plant'!$E$7:$AD$91,MATCH($C1164,'Gross Dx Plant'!$D$7:$D$91,0),MATCH(Calculation!$G1164,'Gross Dx Plant'!$E$5:$AD$5,0))</f>
        <v>14321</v>
      </c>
      <c r="CF1164" s="118">
        <f>INDEX('Gross Gen Plant'!$E$7:$AD$91,MATCH($C1164,'Gross Gen Plant'!$D$7:$D$91,0),MATCH(Calculation!$G1164,'Gross Gen Plant'!$E$5:$AD$5,0))</f>
        <v>221</v>
      </c>
      <c r="CG1164" s="118">
        <f t="shared" si="3352"/>
        <v>8545</v>
      </c>
      <c r="CH1164" s="118"/>
      <c r="CI1164" s="121">
        <v>1998</v>
      </c>
      <c r="CJ1164" s="118">
        <f>BQ1164+BR1164</f>
        <v>14542</v>
      </c>
      <c r="CK1164" s="118">
        <f>5923+74</f>
        <v>5997</v>
      </c>
      <c r="CL1164" s="118">
        <f>+CJ1164-CK1164</f>
        <v>8545</v>
      </c>
      <c r="CM1164" s="118">
        <f>CL1164/$CD$36</f>
        <v>42.360815871670312</v>
      </c>
      <c r="CN1164" s="183"/>
      <c r="CO1164" s="183"/>
      <c r="CP1164" s="186">
        <v>1</v>
      </c>
      <c r="CQ1164" s="118">
        <f>+CM1164</f>
        <v>42.360815871670312</v>
      </c>
      <c r="CR1164" s="119"/>
      <c r="CS1164" s="119"/>
      <c r="CT1164" s="177"/>
      <c r="CU1164" s="177"/>
      <c r="CV1164" s="119" t="e">
        <f>VLOOKUP($H1164,RoR!$E:$F,2,FALSE)</f>
        <v>#N/A</v>
      </c>
      <c r="CW1164" s="177">
        <v>1.1028127770464469E-2</v>
      </c>
      <c r="CX1164" s="177"/>
      <c r="CY1164" s="177"/>
      <c r="CZ1164" s="177"/>
      <c r="DA1164" s="187"/>
      <c r="DB1164" s="190" t="e">
        <f>2/(DK1164*39)</f>
        <v>#N/A</v>
      </c>
      <c r="DC1164" s="188" t="e">
        <f>+(DK1164*40-(1+DK1164))/(DK1164*40)</f>
        <v>#N/A</v>
      </c>
      <c r="DD1164" s="188" t="e">
        <f>+(1-(1/(1+DK1164)^40))</f>
        <v>#N/A</v>
      </c>
      <c r="DE1164" s="188" t="e">
        <f>+DD1164*DC1164*DB1164</f>
        <v>#N/A</v>
      </c>
      <c r="DF1164" s="189">
        <f>INDEX('State Tax Lookup'!$D$7:$Z$91,MATCH(Calculation!$C1164,'State Tax Lookup'!$B$7:$B$91,0),MATCH($H1164,'State Tax Lookup'!$D$6:$Z$6,0))</f>
        <v>0.40134999999999998</v>
      </c>
      <c r="DG1164" s="189">
        <v>0.375</v>
      </c>
      <c r="DH1164" s="183"/>
      <c r="DI1164" s="183"/>
      <c r="DJ1164" s="177"/>
      <c r="DK1164" s="189" t="e">
        <f>VLOOKUP($H1164,RoR!$E:$F,2,FALSE)</f>
        <v>#N/A</v>
      </c>
      <c r="DL1164" s="191">
        <f>HLOOKUP($H1164,'GDP-PI'!$D$8:$CQ$11,3,FALSE)</f>
        <v>1.1028127770464469E-2</v>
      </c>
      <c r="DM1164" s="189">
        <f>VLOOKUP(H1164,'HW Dx Data'!$E:$F,2,FALSE)</f>
        <v>329.24564746449528</v>
      </c>
      <c r="DN1164" s="183" t="e">
        <f>VLOOKUP(H1164,'ECI - Input Price'!$G$17:$H$37,2,FALSE)</f>
        <v>#N/A</v>
      </c>
      <c r="DO1164" s="177"/>
      <c r="DP1164" s="183">
        <f>HLOOKUP(H1164,'GDP-PI'!$8:$9,2,FALSE)</f>
        <v>75.266999999999996</v>
      </c>
    </row>
    <row r="1165" spans="1:121" s="167" customFormat="1" ht="21" x14ac:dyDescent="0.35">
      <c r="A1165" s="167" t="s">
        <v>111</v>
      </c>
      <c r="B1165" s="167" t="s">
        <v>111</v>
      </c>
      <c r="C1165" s="167">
        <v>4063281</v>
      </c>
      <c r="D1165" s="168" t="s">
        <v>144</v>
      </c>
      <c r="E1165" s="168"/>
      <c r="F1165" s="198"/>
      <c r="G1165" s="167" t="s">
        <v>5</v>
      </c>
      <c r="H1165" s="169">
        <v>1999</v>
      </c>
      <c r="I1165" s="170"/>
      <c r="J1165" s="166"/>
      <c r="K1165" s="166"/>
      <c r="L1165" s="166"/>
      <c r="M1165" s="166"/>
      <c r="N1165" s="196"/>
      <c r="O1165" s="166"/>
      <c r="P1165" s="166"/>
      <c r="Q1165" s="166"/>
      <c r="R1165" s="166"/>
      <c r="S1165" s="195"/>
      <c r="T1165" s="166"/>
      <c r="U1165" s="166"/>
      <c r="V1165" s="166">
        <f t="shared" ref="V1165:V1187" si="3490">+CQ1164*DH1165</f>
        <v>0</v>
      </c>
      <c r="W1165" s="170"/>
      <c r="X1165" s="174">
        <v>43.116292363439044</v>
      </c>
      <c r="Y1165" s="175">
        <v>1.7677157779277263E-2</v>
      </c>
      <c r="Z1165" s="175"/>
      <c r="AA1165" s="175"/>
      <c r="AB1165" s="175"/>
      <c r="AC1165" s="170">
        <f t="shared" si="3457"/>
        <v>0</v>
      </c>
      <c r="AD1165" s="175"/>
      <c r="AE1165" s="170"/>
      <c r="AF1165" s="119"/>
      <c r="AG1165" s="174"/>
      <c r="AH1165" s="175"/>
      <c r="AI1165" s="175"/>
      <c r="AJ1165" s="174"/>
      <c r="AK1165" s="174"/>
      <c r="AL1165" s="120"/>
      <c r="AM1165" s="120"/>
      <c r="AN1165" s="120"/>
      <c r="AO1165" s="120"/>
      <c r="AP1165" s="120"/>
      <c r="AQ1165" s="175"/>
      <c r="AR1165" s="120"/>
      <c r="AS1165" s="120"/>
      <c r="AT1165" s="120"/>
      <c r="AU1165" s="120"/>
      <c r="AV1165" s="120"/>
      <c r="AW1165" s="120"/>
      <c r="AX1165" s="120"/>
      <c r="AY1165" s="120"/>
      <c r="AZ1165" s="118">
        <f>IFERROR(INDEX('Total Customers'!$F$7:$AB$91,MATCH($C1165,'Total Customers'!$D$7:$D$91,0),MATCH($G1165,'Total Customers'!$F$5:$AB$5,0)),"NA")</f>
        <v>11379</v>
      </c>
      <c r="BA1165" s="119">
        <f t="shared" ref="BA1165:BA1187" si="3491">LN(AZ1165/AZ1164)</f>
        <v>1.3002704091416335E-2</v>
      </c>
      <c r="BB1165" s="119"/>
      <c r="BC1165" s="121"/>
      <c r="BD1165" s="119"/>
      <c r="BE1165" s="119"/>
      <c r="BF1165" s="119"/>
      <c r="BG1165" s="173"/>
      <c r="BH1165" s="173"/>
      <c r="BI1165" s="173"/>
      <c r="BJ1165" s="173"/>
      <c r="BK1165" s="173"/>
      <c r="BL1165" s="173"/>
      <c r="BM1165" s="173"/>
      <c r="BN1165" s="173"/>
      <c r="BO1165" s="173"/>
      <c r="BP1165" s="173"/>
      <c r="BQ1165" s="118"/>
      <c r="BR1165" s="118"/>
      <c r="BS1165" s="118">
        <f>INDEX('Dist. Plant Gas Additions'!$F$7:$AE$91,MATCH($C1165,'Dist. Plant Gas Additions'!$D$7:$D$91,0),MATCH(Calculation!$G1165,'Dist. Plant Gas Additions'!$F$5:$AE$5,0))</f>
        <v>316</v>
      </c>
      <c r="BT1165" s="118">
        <f>INDEX('Gen. Plant Additions'!$F$7:$AE$91,MATCH($C1165,'Gen. Plant Additions'!$D$7:$D$91,0),MATCH(Calculation!$G1165,'Gen. Plant Additions'!$F$5:$AE$5,0))</f>
        <v>8</v>
      </c>
      <c r="BU1165" s="118"/>
      <c r="BV1165" s="118"/>
      <c r="BW1165" s="118">
        <f>INDEX('Dist Plant Depreciation'!$E$7:$AD$94,MATCH($C1165,'Dist Plant Depreciation'!$D$7:$D$94,0),MATCH(Calculation!$G1165,'Dist Plant Depreciation'!$E$5:$AD$5,0))</f>
        <v>6236</v>
      </c>
      <c r="BX1165" s="118">
        <f>INDEX('Gen. Plant Depreciation'!$E$7:$AD$94,MATCH($C1165,'Gen. Plant Depreciation'!$D$7:$D$94,0),MATCH(Calculation!$G1165,'Gen. Plant Depreciation'!$E$5:$AD$5,0))</f>
        <v>83</v>
      </c>
      <c r="BY1165" s="118"/>
      <c r="BZ1165" s="118"/>
      <c r="CA1165" s="118"/>
      <c r="CB1165" s="118"/>
      <c r="CC1165" s="118"/>
      <c r="CD1165" s="183"/>
      <c r="CE1165" s="118">
        <f>INDEX('Gross Dx Plant'!$E$7:$AD$91,MATCH($C1165,'Gross Dx Plant'!$D$7:$D$91,0),MATCH(Calculation!$G1165,'Gross Dx Plant'!$E$5:$AD$5,0))</f>
        <v>14565</v>
      </c>
      <c r="CF1165" s="118">
        <f>INDEX('Gross Gen Plant'!$E$7:$AD$91,MATCH($C1165,'Gross Gen Plant'!$D$7:$D$91,0),MATCH(Calculation!$G1165,'Gross Gen Plant'!$E$5:$AD$5,0))</f>
        <v>225</v>
      </c>
      <c r="CG1165" s="118">
        <f t="shared" si="3352"/>
        <v>8471</v>
      </c>
      <c r="CH1165" s="118"/>
      <c r="CI1165" s="121">
        <v>1999</v>
      </c>
      <c r="CJ1165" s="118"/>
      <c r="CK1165" s="118"/>
      <c r="CL1165" s="118"/>
      <c r="CM1165" s="183"/>
      <c r="CN1165" s="118">
        <f t="shared" ref="CN1165:CN1187" si="3492">+BT1165+BS1165</f>
        <v>324</v>
      </c>
      <c r="CO1165" s="118">
        <f t="shared" ref="CO1165:CO1187" si="3493">+CN1165/$DM1165</f>
        <v>0.96622681948848255</v>
      </c>
      <c r="CP1165" s="186">
        <v>0.99502487562189057</v>
      </c>
      <c r="CQ1165" s="118">
        <f>+CQ1164*CP1165+CO1165</f>
        <v>43.116292363439044</v>
      </c>
      <c r="CR1165" s="119">
        <f t="shared" ref="CR1165:CR1186" si="3494">LN(CQ1165/CQ1164)</f>
        <v>1.7677157779277263E-2</v>
      </c>
      <c r="CS1165" s="119"/>
      <c r="CT1165" s="177">
        <f t="shared" ref="CT1165:CT1187" si="3495">+(CQ1164-CQ1165+CO1165)/CQ1164</f>
        <v>4.9751243781093945E-3</v>
      </c>
      <c r="CU1165" s="177"/>
      <c r="CV1165" s="119">
        <f>VLOOKUP($H1165,RoR!$E:$F,2,FALSE)</f>
        <v>7.0416666666666669E-2</v>
      </c>
      <c r="CW1165" s="177">
        <v>1.4335631817396832E-2</v>
      </c>
      <c r="CX1165" s="177">
        <f>+CV1165-CW1165</f>
        <v>5.6081034849269837E-2</v>
      </c>
      <c r="CY1165" s="177"/>
      <c r="CZ1165" s="177"/>
      <c r="DA1165" s="187">
        <f t="shared" ref="DA1165:DA1187" si="3496">1-DF1165*DG1165</f>
        <v>0.84949374999999994</v>
      </c>
      <c r="DB1165" s="188">
        <f t="shared" ref="DB1165:DB1187" si="3497">2/(DK1165*39)</f>
        <v>0.72826581702321336</v>
      </c>
      <c r="DC1165" s="188">
        <f t="shared" ref="DC1165:DC1187" si="3498">+(DK1165*40-(1+DK1165))/(DK1165*40)</f>
        <v>0.61997041420118348</v>
      </c>
      <c r="DD1165" s="188">
        <f t="shared" ref="DD1165:DD1187" si="3499">+(1-(1/(1+DK1165)^40))</f>
        <v>0.93425155319585029</v>
      </c>
      <c r="DE1165" s="188">
        <f t="shared" ref="DE1165:DE1187" si="3500">+DD1165*DC1165*DB1165</f>
        <v>0.42181762214141483</v>
      </c>
      <c r="DF1165" s="189">
        <f>INDEX('State Tax Lookup'!$D$7:$Z$91,MATCH(Calculation!$C1165,'State Tax Lookup'!$B$7:$B$91,0),MATCH($H1165,'State Tax Lookup'!$D$6:$Z$6,0))</f>
        <v>0.40134999999999998</v>
      </c>
      <c r="DG1165" s="189">
        <v>0.375</v>
      </c>
      <c r="DH1165" s="190"/>
      <c r="DI1165" s="190"/>
      <c r="DJ1165" s="177"/>
      <c r="DK1165" s="189">
        <f>VLOOKUP($H1165,RoR!$E:$F,2,FALSE)</f>
        <v>7.0416666666666669E-2</v>
      </c>
      <c r="DL1165" s="191">
        <f>HLOOKUP($H1165,'GDP-PI'!$D$8:$CQ$11,3,FALSE)</f>
        <v>1.4335631817396832E-2</v>
      </c>
      <c r="DM1165" s="189">
        <f>VLOOKUP(H1165,'HW Dx Data'!$E:$F,2,FALSE)</f>
        <v>335.32499146683239</v>
      </c>
      <c r="DN1165" s="183" t="e">
        <f>VLOOKUP(H1165,'ECI - Input Price'!$G$17:$H$37,2,FALSE)</f>
        <v>#N/A</v>
      </c>
      <c r="DO1165" s="177"/>
      <c r="DP1165" s="183">
        <f>HLOOKUP(H1165,'GDP-PI'!$8:$9,2,FALSE)</f>
        <v>76.346000000000004</v>
      </c>
    </row>
    <row r="1166" spans="1:121" s="167" customFormat="1" ht="21" x14ac:dyDescent="0.35">
      <c r="A1166" s="167" t="s">
        <v>111</v>
      </c>
      <c r="B1166" s="167" t="s">
        <v>111</v>
      </c>
      <c r="C1166" s="167">
        <v>4063281</v>
      </c>
      <c r="D1166" s="168" t="s">
        <v>144</v>
      </c>
      <c r="E1166" s="168"/>
      <c r="F1166" s="198"/>
      <c r="G1166" s="167" t="s">
        <v>6</v>
      </c>
      <c r="H1166" s="169">
        <v>2000</v>
      </c>
      <c r="I1166" s="170"/>
      <c r="J1166" s="166"/>
      <c r="K1166" s="166"/>
      <c r="L1166" s="166"/>
      <c r="M1166" s="166"/>
      <c r="N1166" s="196"/>
      <c r="O1166" s="166"/>
      <c r="P1166" s="166"/>
      <c r="Q1166" s="166"/>
      <c r="R1166" s="166"/>
      <c r="S1166" s="166"/>
      <c r="T1166" s="166"/>
      <c r="U1166" s="166"/>
      <c r="V1166" s="166">
        <f t="shared" si="3490"/>
        <v>0</v>
      </c>
      <c r="W1166" s="170"/>
      <c r="X1166" s="174">
        <v>44.204466386581061</v>
      </c>
      <c r="Y1166" s="175">
        <v>2.4924894695066153E-2</v>
      </c>
      <c r="Z1166" s="175"/>
      <c r="AA1166" s="175"/>
      <c r="AB1166" s="175"/>
      <c r="AC1166" s="170">
        <f t="shared" si="3457"/>
        <v>0</v>
      </c>
      <c r="AD1166" s="175"/>
      <c r="AE1166" s="170"/>
      <c r="AF1166" s="170"/>
      <c r="AG1166" s="174"/>
      <c r="AH1166" s="175"/>
      <c r="AI1166" s="175"/>
      <c r="AJ1166" s="174"/>
      <c r="AK1166" s="174"/>
      <c r="AL1166" s="120"/>
      <c r="AM1166" s="120"/>
      <c r="AN1166" s="120"/>
      <c r="AO1166" s="120"/>
      <c r="AP1166" s="120"/>
      <c r="AQ1166" s="175"/>
      <c r="AR1166" s="120"/>
      <c r="AS1166" s="120"/>
      <c r="AT1166" s="120"/>
      <c r="AU1166" s="120"/>
      <c r="AV1166" s="120"/>
      <c r="AW1166" s="120"/>
      <c r="AX1166" s="120"/>
      <c r="AY1166" s="120"/>
      <c r="AZ1166" s="118">
        <f>IFERROR(INDEX('Total Customers'!$F$7:$AB$91,MATCH($C1166,'Total Customers'!$D$7:$D$91,0),MATCH($G1166,'Total Customers'!$F$5:$AB$5,0)),"NA")</f>
        <v>11478</v>
      </c>
      <c r="BA1166" s="119">
        <f t="shared" si="3491"/>
        <v>8.6626083112991657E-3</v>
      </c>
      <c r="BB1166" s="119"/>
      <c r="BC1166" s="121"/>
      <c r="BD1166" s="119"/>
      <c r="BE1166" s="119"/>
      <c r="BF1166" s="119"/>
      <c r="BG1166" s="173"/>
      <c r="BH1166" s="173"/>
      <c r="BI1166" s="173"/>
      <c r="BJ1166" s="173"/>
      <c r="BK1166" s="173"/>
      <c r="BL1166" s="173"/>
      <c r="BM1166" s="173"/>
      <c r="BN1166" s="173"/>
      <c r="BO1166" s="173"/>
      <c r="BP1166" s="173"/>
      <c r="BQ1166" s="118"/>
      <c r="BR1166" s="118"/>
      <c r="BS1166" s="118">
        <f>INDEX('Dist. Plant Gas Additions'!$F$7:$AE$91,MATCH($C1166,'Dist. Plant Gas Additions'!$D$7:$D$91,0),MATCH(Calculation!$G1166,'Dist. Plant Gas Additions'!$F$5:$AE$5,0))</f>
        <v>442</v>
      </c>
      <c r="BT1166" s="118">
        <f>INDEX('Gen. Plant Additions'!$F$7:$AE$91,MATCH($C1166,'Gen. Plant Additions'!$D$7:$D$91,0),MATCH(Calculation!$G1166,'Gen. Plant Additions'!$F$5:$AE$5,0))</f>
        <v>12</v>
      </c>
      <c r="BU1166" s="118"/>
      <c r="BV1166" s="118"/>
      <c r="BW1166" s="118">
        <f>INDEX('Dist Plant Depreciation'!$E$7:$AD$94,MATCH($C1166,'Dist Plant Depreciation'!$D$7:$D$94,0),MATCH(Calculation!$G1166,'Dist Plant Depreciation'!$E$5:$AD$5,0))</f>
        <v>6718</v>
      </c>
      <c r="BX1166" s="118">
        <f>INDEX('Gen. Plant Depreciation'!$E$7:$AD$94,MATCH($C1166,'Gen. Plant Depreciation'!$D$7:$D$94,0),MATCH(Calculation!$G1166,'Gen. Plant Depreciation'!$E$5:$AD$5,0))</f>
        <v>93</v>
      </c>
      <c r="BY1166" s="118"/>
      <c r="BZ1166" s="118"/>
      <c r="CA1166" s="118"/>
      <c r="CB1166" s="118"/>
      <c r="CC1166" s="118"/>
      <c r="CD1166" s="183"/>
      <c r="CE1166" s="118">
        <f>INDEX('Gross Dx Plant'!$E$7:$AD$91,MATCH($C1166,'Gross Dx Plant'!$D$7:$D$91,0),MATCH(Calculation!$G1166,'Gross Dx Plant'!$E$5:$AD$5,0))</f>
        <v>14968</v>
      </c>
      <c r="CF1166" s="118">
        <f>INDEX('Gross Gen Plant'!$E$7:$AD$91,MATCH($C1166,'Gross Gen Plant'!$D$7:$D$91,0),MATCH(Calculation!$G1166,'Gross Gen Plant'!$E$5:$AD$5,0))</f>
        <v>237</v>
      </c>
      <c r="CG1166" s="118">
        <f t="shared" si="3352"/>
        <v>8394</v>
      </c>
      <c r="CH1166" s="118"/>
      <c r="CI1166" s="121">
        <v>2000</v>
      </c>
      <c r="CJ1166" s="118"/>
      <c r="CK1166" s="118"/>
      <c r="CL1166" s="118"/>
      <c r="CM1166" s="183"/>
      <c r="CN1166" s="118">
        <f t="shared" si="3492"/>
        <v>454</v>
      </c>
      <c r="CO1166" s="118">
        <f t="shared" si="3493"/>
        <v>1.3101178230334618</v>
      </c>
      <c r="CP1166" s="186">
        <v>0.98989898989898994</v>
      </c>
      <c r="CQ1166" s="118">
        <f>+CQ1164*CP1166+CO1165*CP1165+CO1166</f>
        <v>44.204466386581061</v>
      </c>
      <c r="CR1166" s="119">
        <f t="shared" si="3494"/>
        <v>2.4924894695066153E-2</v>
      </c>
      <c r="CS1166" s="119"/>
      <c r="CT1166" s="177">
        <f t="shared" si="3495"/>
        <v>5.1475622722988324E-3</v>
      </c>
      <c r="CU1166" s="177"/>
      <c r="CV1166" s="119">
        <f>VLOOKUP($H1166,RoR!$E:$F,2,FALSE)</f>
        <v>7.6225000000000001E-2</v>
      </c>
      <c r="CW1166" s="177">
        <v>2.2568307442433211E-2</v>
      </c>
      <c r="CX1166" s="177">
        <f t="shared" ref="CX1166:CX1186" si="3501">+CV1166-CW1166</f>
        <v>5.365669255756679E-2</v>
      </c>
      <c r="CY1166" s="177"/>
      <c r="CZ1166" s="177"/>
      <c r="DA1166" s="187">
        <f t="shared" si="3496"/>
        <v>0.84949374999999994</v>
      </c>
      <c r="DB1166" s="188">
        <f t="shared" si="3497"/>
        <v>0.67277207323124022</v>
      </c>
      <c r="DC1166" s="188">
        <f t="shared" si="3498"/>
        <v>0.6470236142997704</v>
      </c>
      <c r="DD1166" s="188">
        <f t="shared" si="3499"/>
        <v>0.94704866037543145</v>
      </c>
      <c r="DE1166" s="188">
        <f t="shared" si="3500"/>
        <v>0.41224973107878493</v>
      </c>
      <c r="DF1166" s="189">
        <f>INDEX('State Tax Lookup'!$D$7:$Z$91,MATCH(Calculation!$C1166,'State Tax Lookup'!$B$7:$B$91,0),MATCH($H1166,'State Tax Lookup'!$D$6:$Z$6,0))</f>
        <v>0.40134999999999998</v>
      </c>
      <c r="DG1166" s="189">
        <v>0.375</v>
      </c>
      <c r="DH1166" s="190"/>
      <c r="DI1166" s="190"/>
      <c r="DJ1166" s="177"/>
      <c r="DK1166" s="189">
        <f>VLOOKUP($H1166,RoR!$E:$F,2,FALSE)</f>
        <v>7.6225000000000001E-2</v>
      </c>
      <c r="DL1166" s="191">
        <f>HLOOKUP($H1166,'GDP-PI'!$D$8:$CQ$11,3,FALSE)</f>
        <v>2.2568307442433211E-2</v>
      </c>
      <c r="DM1166" s="189">
        <f>VLOOKUP(H1166,'HW Dx Data'!$E:$F,2,FALSE)</f>
        <v>346.53371782150339</v>
      </c>
      <c r="DN1166" s="183" t="e">
        <f>VLOOKUP(H1166,'ECI - Input Price'!$G$17:$H$37,2,FALSE)</f>
        <v>#N/A</v>
      </c>
      <c r="DO1166" s="177"/>
      <c r="DP1166" s="183">
        <f>HLOOKUP(H1166,'GDP-PI'!$8:$9,2,FALSE)</f>
        <v>78.069000000000003</v>
      </c>
    </row>
    <row r="1167" spans="1:121" s="167" customFormat="1" ht="21" x14ac:dyDescent="0.35">
      <c r="A1167" s="167" t="s">
        <v>111</v>
      </c>
      <c r="B1167" s="167" t="s">
        <v>111</v>
      </c>
      <c r="C1167" s="167">
        <v>4063281</v>
      </c>
      <c r="D1167" s="168" t="s">
        <v>144</v>
      </c>
      <c r="E1167" s="168"/>
      <c r="F1167" s="198"/>
      <c r="G1167" s="167" t="s">
        <v>7</v>
      </c>
      <c r="H1167" s="169">
        <v>2001</v>
      </c>
      <c r="I1167" s="170"/>
      <c r="J1167" s="166"/>
      <c r="K1167" s="166"/>
      <c r="L1167" s="166"/>
      <c r="M1167" s="166"/>
      <c r="N1167" s="196"/>
      <c r="O1167" s="166"/>
      <c r="P1167" s="166"/>
      <c r="Q1167" s="166"/>
      <c r="R1167" s="166"/>
      <c r="S1167" s="166"/>
      <c r="T1167" s="166"/>
      <c r="U1167" s="166"/>
      <c r="V1167" s="166">
        <f t="shared" si="3490"/>
        <v>570.55828634100237</v>
      </c>
      <c r="W1167" s="170"/>
      <c r="X1167" s="174">
        <v>45.155503655611085</v>
      </c>
      <c r="Y1167" s="175">
        <v>2.1286336119727425E-2</v>
      </c>
      <c r="Z1167" s="175"/>
      <c r="AA1167" s="175"/>
      <c r="AB1167" s="175"/>
      <c r="AC1167" s="170">
        <f t="shared" si="3457"/>
        <v>570.55828634100237</v>
      </c>
      <c r="AD1167" s="175"/>
      <c r="AE1167" s="170"/>
      <c r="AF1167" s="170"/>
      <c r="AG1167" s="174"/>
      <c r="AH1167" s="175"/>
      <c r="AI1167" s="175"/>
      <c r="AJ1167" s="174"/>
      <c r="AK1167" s="174"/>
      <c r="AL1167" s="120"/>
      <c r="AM1167" s="120"/>
      <c r="AN1167" s="120"/>
      <c r="AO1167" s="120"/>
      <c r="AP1167" s="120"/>
      <c r="AQ1167" s="175"/>
      <c r="AR1167" s="120"/>
      <c r="AS1167" s="120"/>
      <c r="AT1167" s="120"/>
      <c r="AU1167" s="120"/>
      <c r="AV1167" s="120"/>
      <c r="AW1167" s="120"/>
      <c r="AX1167" s="120"/>
      <c r="AY1167" s="120"/>
      <c r="AZ1167" s="118">
        <f>IFERROR(INDEX('Total Customers'!$F$7:$AB$91,MATCH($C1167,'Total Customers'!$D$7:$D$91,0),MATCH($G1167,'Total Customers'!$F$5:$AB$5,0)),"NA")</f>
        <v>11650</v>
      </c>
      <c r="BA1167" s="119">
        <f t="shared" si="3491"/>
        <v>1.4874020325538839E-2</v>
      </c>
      <c r="BB1167" s="119"/>
      <c r="BC1167" s="121"/>
      <c r="BD1167" s="119"/>
      <c r="BE1167" s="119"/>
      <c r="BF1167" s="119"/>
      <c r="BG1167" s="173"/>
      <c r="BH1167" s="173"/>
      <c r="BI1167" s="173"/>
      <c r="BJ1167" s="173"/>
      <c r="BK1167" s="173"/>
      <c r="BL1167" s="173"/>
      <c r="BM1167" s="173"/>
      <c r="BN1167" s="173"/>
      <c r="BO1167" s="173"/>
      <c r="BP1167" s="173"/>
      <c r="BQ1167" s="118"/>
      <c r="BR1167" s="118"/>
      <c r="BS1167" s="118">
        <f>INDEX('Dist. Plant Gas Additions'!$F$7:$AE$91,MATCH($C1167,'Dist. Plant Gas Additions'!$D$7:$D$91,0),MATCH(Calculation!$G1167,'Dist. Plant Gas Additions'!$F$5:$AE$5,0))</f>
        <v>417</v>
      </c>
      <c r="BT1167" s="118">
        <f>INDEX('Gen. Plant Additions'!$F$7:$AE$91,MATCH($C1167,'Gen. Plant Additions'!$D$7:$D$91,0),MATCH(Calculation!$G1167,'Gen. Plant Additions'!$F$5:$AE$5,0))</f>
        <v>0</v>
      </c>
      <c r="BU1167" s="118"/>
      <c r="BV1167" s="118"/>
      <c r="BW1167" s="118">
        <f>INDEX('Dist Plant Depreciation'!$E$7:$AD$94,MATCH($C1167,'Dist Plant Depreciation'!$D$7:$D$94,0),MATCH(Calculation!$G1167,'Dist Plant Depreciation'!$E$5:$AD$5,0))</f>
        <v>7237</v>
      </c>
      <c r="BX1167" s="118">
        <f>INDEX('Gen. Plant Depreciation'!$E$7:$AD$94,MATCH($C1167,'Gen. Plant Depreciation'!$D$7:$D$94,0),MATCH(Calculation!$G1167,'Gen. Plant Depreciation'!$E$5:$AD$5,0))</f>
        <v>102</v>
      </c>
      <c r="BY1167" s="118"/>
      <c r="BZ1167" s="118"/>
      <c r="CA1167" s="118"/>
      <c r="CB1167" s="118"/>
      <c r="CC1167" s="118"/>
      <c r="CD1167" s="183"/>
      <c r="CE1167" s="118">
        <f>INDEX('Gross Dx Plant'!$E$7:$AD$91,MATCH($C1167,'Gross Dx Plant'!$D$7:$D$91,0),MATCH(Calculation!$G1167,'Gross Dx Plant'!$E$5:$AD$5,0))</f>
        <v>15351</v>
      </c>
      <c r="CF1167" s="118">
        <f>INDEX('Gross Gen Plant'!$E$7:$AD$91,MATCH($C1167,'Gross Gen Plant'!$D$7:$D$91,0),MATCH(Calculation!$G1167,'Gross Gen Plant'!$E$5:$AD$5,0))</f>
        <v>237</v>
      </c>
      <c r="CG1167" s="118">
        <f t="shared" si="3352"/>
        <v>8249</v>
      </c>
      <c r="CH1167" s="118"/>
      <c r="CI1167" s="121">
        <v>2001</v>
      </c>
      <c r="CJ1167" s="118"/>
      <c r="CK1167" s="118"/>
      <c r="CL1167" s="118"/>
      <c r="CM1167" s="183"/>
      <c r="CN1167" s="118">
        <f t="shared" si="3492"/>
        <v>417</v>
      </c>
      <c r="CO1167" s="118">
        <f t="shared" si="3493"/>
        <v>1.1798078678465025</v>
      </c>
      <c r="CP1167" s="186">
        <v>0.98461538461538467</v>
      </c>
      <c r="CQ1167" s="118">
        <f>+CQ1164*CP1167+CO1165*CP1166+CO1166*CP1164+CO1167</f>
        <v>45.155503655611085</v>
      </c>
      <c r="CR1167" s="119">
        <f t="shared" si="3494"/>
        <v>2.1286336119727425E-2</v>
      </c>
      <c r="CS1167" s="119"/>
      <c r="CT1167" s="177">
        <f t="shared" si="3495"/>
        <v>5.1752824435388929E-3</v>
      </c>
      <c r="CU1167" s="177">
        <f>+(CT1167+CT1166+CT1165)/3</f>
        <v>5.0993230313157063E-3</v>
      </c>
      <c r="CV1167" s="119">
        <f>VLOOKUP($H1167,RoR!$E:$F,2,FALSE)</f>
        <v>7.0824999999999999E-2</v>
      </c>
      <c r="CW1167" s="177">
        <v>2.2454495382290052E-2</v>
      </c>
      <c r="CX1167" s="177">
        <f t="shared" si="3501"/>
        <v>4.8370504617709947E-2</v>
      </c>
      <c r="CY1167" s="177">
        <f>+$CX$35-CU1167</f>
        <v>2.5802618577217919E-2</v>
      </c>
      <c r="CZ1167" s="177">
        <f>+((DM1165/DM1164-1)+(DM1166/DM1165-1)+(DM1167/DM1166-1))/3</f>
        <v>2.3947275901631187E-2</v>
      </c>
      <c r="DA1167" s="187">
        <f t="shared" si="3496"/>
        <v>0.84949374999999994</v>
      </c>
      <c r="DB1167" s="188">
        <f t="shared" si="3497"/>
        <v>0.72406708481540816</v>
      </c>
      <c r="DC1167" s="188">
        <f t="shared" si="3498"/>
        <v>0.62201729615248857</v>
      </c>
      <c r="DD1167" s="188">
        <f t="shared" si="3499"/>
        <v>0.9352469954311422</v>
      </c>
      <c r="DE1167" s="188">
        <f t="shared" si="3500"/>
        <v>0.42121864641655071</v>
      </c>
      <c r="DF1167" s="189">
        <f>INDEX('State Tax Lookup'!$D$7:$Z$91,MATCH(Calculation!$C1167,'State Tax Lookup'!$B$7:$B$91,0),MATCH($H1167,'State Tax Lookup'!$D$6:$Z$6,0))</f>
        <v>0.40134999999999998</v>
      </c>
      <c r="DG1167" s="189">
        <v>0.375</v>
      </c>
      <c r="DH1167" s="190">
        <f t="shared" ref="DH1167:DH1187" si="3502">+(DM1167*CY1167-CZ1167)*DA1167/(1-DF1167)</f>
        <v>12.907254243299814</v>
      </c>
      <c r="DI1167" s="190"/>
      <c r="DJ1167" s="177"/>
      <c r="DK1167" s="189">
        <f>VLOOKUP($H1167,RoR!$E:$F,2,FALSE)</f>
        <v>7.0824999999999999E-2</v>
      </c>
      <c r="DL1167" s="191">
        <f>HLOOKUP($H1167,'GDP-PI'!$D$8:$CQ$11,3,FALSE)</f>
        <v>2.2454495382290052E-2</v>
      </c>
      <c r="DM1167" s="189">
        <f>VLOOKUP(H1167,'HW Dx Data'!$E:$F,2,FALSE)</f>
        <v>353.44738017483138</v>
      </c>
      <c r="DN1167" s="183">
        <f>VLOOKUP(H1167,'ECI - Input Price'!$G$17:$H$37,2,FALSE)</f>
        <v>86.2</v>
      </c>
      <c r="DO1167" s="177"/>
      <c r="DP1167" s="183">
        <f>HLOOKUP(H1167,'GDP-PI'!$8:$9,2,FALSE)</f>
        <v>79.822000000000003</v>
      </c>
    </row>
    <row r="1168" spans="1:121" s="167" customFormat="1" ht="21" x14ac:dyDescent="0.35">
      <c r="A1168" s="167" t="s">
        <v>111</v>
      </c>
      <c r="B1168" s="167" t="s">
        <v>111</v>
      </c>
      <c r="C1168" s="167">
        <v>4063281</v>
      </c>
      <c r="D1168" s="168" t="s">
        <v>144</v>
      </c>
      <c r="E1168" s="168"/>
      <c r="F1168" s="198"/>
      <c r="G1168" s="167" t="s">
        <v>8</v>
      </c>
      <c r="H1168" s="169">
        <v>2002</v>
      </c>
      <c r="I1168" s="170"/>
      <c r="J1168" s="166"/>
      <c r="K1168" s="166"/>
      <c r="L1168" s="166"/>
      <c r="M1168" s="166"/>
      <c r="N1168" s="196"/>
      <c r="O1168" s="166"/>
      <c r="P1168" s="166"/>
      <c r="Q1168" s="166"/>
      <c r="R1168" s="166"/>
      <c r="S1168" s="166"/>
      <c r="T1168" s="166"/>
      <c r="U1168" s="166"/>
      <c r="V1168" s="166">
        <f t="shared" si="3490"/>
        <v>590.6229833202442</v>
      </c>
      <c r="W1168" s="170"/>
      <c r="X1168" s="174">
        <v>47.612548946437627</v>
      </c>
      <c r="Y1168" s="175">
        <v>5.2984190252350759E-2</v>
      </c>
      <c r="Z1168" s="175"/>
      <c r="AA1168" s="175"/>
      <c r="AB1168" s="175"/>
      <c r="AC1168" s="170">
        <f t="shared" si="3457"/>
        <v>590.6229833202442</v>
      </c>
      <c r="AD1168" s="175"/>
      <c r="AE1168" s="170"/>
      <c r="AF1168" s="170"/>
      <c r="AG1168" s="174"/>
      <c r="AH1168" s="175"/>
      <c r="AI1168" s="175"/>
      <c r="AJ1168" s="174"/>
      <c r="AK1168" s="174"/>
      <c r="AL1168" s="120"/>
      <c r="AM1168" s="120"/>
      <c r="AN1168" s="120"/>
      <c r="AO1168" s="120"/>
      <c r="AP1168" s="120"/>
      <c r="AQ1168" s="175"/>
      <c r="AR1168" s="120"/>
      <c r="AS1168" s="120"/>
      <c r="AT1168" s="120"/>
      <c r="AU1168" s="120"/>
      <c r="AV1168" s="120"/>
      <c r="AW1168" s="120"/>
      <c r="AX1168" s="120"/>
      <c r="AY1168" s="120"/>
      <c r="AZ1168" s="118">
        <f>IFERROR(INDEX('Total Customers'!$F$7:$AB$91,MATCH($C1168,'Total Customers'!$D$7:$D$91,0),MATCH($G1168,'Total Customers'!$F$5:$AB$5,0)),"NA")</f>
        <v>11775</v>
      </c>
      <c r="BA1168" s="119">
        <f t="shared" si="3491"/>
        <v>1.0672459890771979E-2</v>
      </c>
      <c r="BB1168" s="119"/>
      <c r="BC1168" s="121"/>
      <c r="BD1168" s="119"/>
      <c r="BE1168" s="119"/>
      <c r="BF1168" s="119"/>
      <c r="BG1168" s="173"/>
      <c r="BH1168" s="173"/>
      <c r="BI1168" s="173"/>
      <c r="BJ1168" s="173"/>
      <c r="BK1168" s="173"/>
      <c r="BL1168" s="173"/>
      <c r="BM1168" s="173"/>
      <c r="BN1168" s="173"/>
      <c r="BO1168" s="173"/>
      <c r="BP1168" s="173"/>
      <c r="BQ1168" s="118"/>
      <c r="BR1168" s="118"/>
      <c r="BS1168" s="118">
        <f>INDEX('Dist. Plant Gas Additions'!$F$7:$AE$91,MATCH($C1168,'Dist. Plant Gas Additions'!$D$7:$D$91,0),MATCH(Calculation!$G1168,'Dist. Plant Gas Additions'!$F$5:$AE$5,0))</f>
        <v>948</v>
      </c>
      <c r="BT1168" s="118">
        <f>INDEX('Gen. Plant Additions'!$F$7:$AE$91,MATCH($C1168,'Gen. Plant Additions'!$D$7:$D$91,0),MATCH(Calculation!$G1168,'Gen. Plant Additions'!$F$5:$AE$5,0))</f>
        <v>32</v>
      </c>
      <c r="BU1168" s="118"/>
      <c r="BV1168" s="118"/>
      <c r="BW1168" s="118">
        <f>INDEX('Dist Plant Depreciation'!$E$7:$AD$94,MATCH($C1168,'Dist Plant Depreciation'!$D$7:$D$94,0),MATCH(Calculation!$G1168,'Dist Plant Depreciation'!$E$5:$AD$5,0))</f>
        <v>7719</v>
      </c>
      <c r="BX1168" s="118">
        <f>INDEX('Gen. Plant Depreciation'!$E$7:$AD$94,MATCH($C1168,'Gen. Plant Depreciation'!$D$7:$D$94,0),MATCH(Calculation!$G1168,'Gen. Plant Depreciation'!$E$5:$AD$5,0))</f>
        <v>112</v>
      </c>
      <c r="BY1168" s="118"/>
      <c r="BZ1168" s="118"/>
      <c r="CA1168" s="118"/>
      <c r="CB1168" s="118"/>
      <c r="CC1168" s="118"/>
      <c r="CD1168" s="183"/>
      <c r="CE1168" s="118">
        <f>INDEX('Gross Dx Plant'!$E$7:$AD$91,MATCH($C1168,'Gross Dx Plant'!$D$7:$D$91,0),MATCH(Calculation!$G1168,'Gross Dx Plant'!$E$5:$AD$5,0))</f>
        <v>16235</v>
      </c>
      <c r="CF1168" s="118">
        <f>INDEX('Gross Gen Plant'!$E$7:$AD$91,MATCH($C1168,'Gross Gen Plant'!$D$7:$D$91,0),MATCH(Calculation!$G1168,'Gross Gen Plant'!$E$5:$AD$5,0))</f>
        <v>258</v>
      </c>
      <c r="CG1168" s="118">
        <f t="shared" si="3352"/>
        <v>8662</v>
      </c>
      <c r="CH1168" s="118"/>
      <c r="CI1168" s="121">
        <v>2002</v>
      </c>
      <c r="CJ1168" s="118"/>
      <c r="CK1168" s="118"/>
      <c r="CL1168" s="118"/>
      <c r="CM1168" s="183"/>
      <c r="CN1168" s="118">
        <f t="shared" si="3492"/>
        <v>980</v>
      </c>
      <c r="CO1168" s="118">
        <f t="shared" si="3493"/>
        <v>2.7120657939662567</v>
      </c>
      <c r="CP1168" s="186">
        <v>0.97916666666666663</v>
      </c>
      <c r="CQ1168" s="118">
        <f>+CQ1164*CP1168+CO1165*CP1167+CO1166*CP1166+CO1167*CP1165+CO1168</f>
        <v>47.612548946437627</v>
      </c>
      <c r="CR1168" s="119">
        <f t="shared" si="3494"/>
        <v>5.2984190252350759E-2</v>
      </c>
      <c r="CS1168" s="119"/>
      <c r="CT1168" s="177">
        <f t="shared" si="3495"/>
        <v>5.6476062161699564E-3</v>
      </c>
      <c r="CU1168" s="177">
        <f t="shared" ref="CU1168:CU1187" si="3503">+(CT1168+CT1167+CT1166)/3</f>
        <v>5.3234836440025609E-3</v>
      </c>
      <c r="CV1168" s="119">
        <f>VLOOKUP($H1168,RoR!$E:$F,2,FALSE)</f>
        <v>6.4916666666666664E-2</v>
      </c>
      <c r="CW1168" s="177">
        <v>1.5246423291824351E-2</v>
      </c>
      <c r="CX1168" s="177">
        <f t="shared" si="3501"/>
        <v>4.9670243374842313E-2</v>
      </c>
      <c r="CY1168" s="177">
        <f t="shared" ref="CY1168:CY1187" si="3504">+$CX$35-CU1168</f>
        <v>2.5578457964531065E-2</v>
      </c>
      <c r="CZ1168" s="177">
        <f t="shared" ref="CZ1168:CZ1187" si="3505">+((DM1166/DM1165-1)+(DM1167/DM1166-1)+(DM1168/DM1167-1))/3</f>
        <v>2.5243621214759093E-2</v>
      </c>
      <c r="DA1168" s="187">
        <f t="shared" si="3496"/>
        <v>0.84949374999999994</v>
      </c>
      <c r="DB1168" s="188">
        <f t="shared" si="3497"/>
        <v>0.78996741384417901</v>
      </c>
      <c r="DC1168" s="188">
        <f t="shared" si="3498"/>
        <v>0.58989088575096271</v>
      </c>
      <c r="DD1168" s="188">
        <f t="shared" si="3499"/>
        <v>0.91920675783645744</v>
      </c>
      <c r="DE1168" s="188">
        <f t="shared" si="3500"/>
        <v>0.42834536472275586</v>
      </c>
      <c r="DF1168" s="189">
        <f>INDEX('State Tax Lookup'!$D$7:$Z$91,MATCH(Calculation!$C1168,'State Tax Lookup'!$B$7:$B$91,0),MATCH($H1168,'State Tax Lookup'!$D$6:$Z$6,0))</f>
        <v>0.40134999999999998</v>
      </c>
      <c r="DG1168" s="189">
        <v>0.375</v>
      </c>
      <c r="DH1168" s="190">
        <f t="shared" si="3502"/>
        <v>13.079756297809615</v>
      </c>
      <c r="DI1168" s="190"/>
      <c r="DJ1168" s="177"/>
      <c r="DK1168" s="189">
        <f>VLOOKUP($H1168,RoR!$E:$F,2,FALSE)</f>
        <v>6.4916666666666664E-2</v>
      </c>
      <c r="DL1168" s="191">
        <f>HLOOKUP($H1168,'GDP-PI'!$D$8:$CQ$11,3,FALSE)</f>
        <v>1.5246423291824351E-2</v>
      </c>
      <c r="DM1168" s="189">
        <f>VLOOKUP(H1168,'HW Dx Data'!$E:$F,2,FALSE)</f>
        <v>361.34816573413599</v>
      </c>
      <c r="DN1168" s="183">
        <f>VLOOKUP(H1168,'ECI - Input Price'!$G$17:$H$37,2,FALSE)</f>
        <v>89.275000000000006</v>
      </c>
      <c r="DO1168" s="177">
        <f>LN(DN1168/DN1167)</f>
        <v>3.5051315810864674E-2</v>
      </c>
      <c r="DP1168" s="183">
        <f>HLOOKUP(H1168,'GDP-PI'!$8:$9,2,FALSE)</f>
        <v>81.039000000000001</v>
      </c>
      <c r="DQ1168" s="177">
        <f>LN(DP1168/DP1167)</f>
        <v>1.513136459537477E-2</v>
      </c>
    </row>
    <row r="1169" spans="1:121" s="167" customFormat="1" ht="21" x14ac:dyDescent="0.35">
      <c r="A1169" s="167" t="s">
        <v>111</v>
      </c>
      <c r="B1169" s="167" t="s">
        <v>111</v>
      </c>
      <c r="C1169" s="167">
        <v>4063281</v>
      </c>
      <c r="D1169" s="168" t="s">
        <v>144</v>
      </c>
      <c r="E1169" s="168"/>
      <c r="F1169" s="198"/>
      <c r="G1169" s="167" t="s">
        <v>9</v>
      </c>
      <c r="H1169" s="169">
        <v>2003</v>
      </c>
      <c r="I1169" s="170"/>
      <c r="J1169" s="166"/>
      <c r="K1169" s="166"/>
      <c r="L1169" s="166"/>
      <c r="M1169" s="172"/>
      <c r="N1169" s="196"/>
      <c r="O1169" s="172"/>
      <c r="P1169" s="166"/>
      <c r="Q1169" s="166"/>
      <c r="R1169" s="166"/>
      <c r="S1169" s="166"/>
      <c r="T1169" s="166"/>
      <c r="U1169" s="166"/>
      <c r="V1169" s="166">
        <f t="shared" si="3490"/>
        <v>632.32066165256651</v>
      </c>
      <c r="W1169" s="170"/>
      <c r="X1169" s="174">
        <v>49.157254487855909</v>
      </c>
      <c r="Y1169" s="175">
        <v>3.1928074819870061E-2</v>
      </c>
      <c r="Z1169" s="175"/>
      <c r="AA1169" s="175"/>
      <c r="AB1169" s="175"/>
      <c r="AC1169" s="170">
        <f t="shared" si="3457"/>
        <v>632.32066165256651</v>
      </c>
      <c r="AD1169" s="175"/>
      <c r="AE1169" s="170"/>
      <c r="AF1169" s="170"/>
      <c r="AG1169" s="174"/>
      <c r="AH1169" s="175"/>
      <c r="AI1169" s="175"/>
      <c r="AJ1169" s="174"/>
      <c r="AK1169" s="174"/>
      <c r="AL1169" s="120"/>
      <c r="AM1169" s="120"/>
      <c r="AN1169" s="120"/>
      <c r="AO1169" s="120"/>
      <c r="AP1169" s="120"/>
      <c r="AQ1169" s="175"/>
      <c r="AR1169" s="120"/>
      <c r="AS1169" s="120"/>
      <c r="AT1169" s="120"/>
      <c r="AU1169" s="120"/>
      <c r="AV1169" s="120"/>
      <c r="AW1169" s="120"/>
      <c r="AX1169" s="120"/>
      <c r="AY1169" s="120"/>
      <c r="AZ1169" s="118">
        <f>IFERROR(INDEX('Total Customers'!$F$7:$AB$91,MATCH($C1169,'Total Customers'!$D$7:$D$91,0),MATCH($G1169,'Total Customers'!$F$5:$AB$5,0)),"NA")</f>
        <v>11874</v>
      </c>
      <c r="BA1169" s="119">
        <f t="shared" si="3491"/>
        <v>8.3724959460021835E-3</v>
      </c>
      <c r="BB1169" s="119"/>
      <c r="BC1169" s="121"/>
      <c r="BD1169" s="119"/>
      <c r="BE1169" s="119"/>
      <c r="BF1169" s="119"/>
      <c r="BG1169" s="173"/>
      <c r="BH1169" s="173"/>
      <c r="BI1169" s="173"/>
      <c r="BJ1169" s="173"/>
      <c r="BK1169" s="173"/>
      <c r="BL1169" s="173"/>
      <c r="BM1169" s="173"/>
      <c r="BN1169" s="173"/>
      <c r="BO1169" s="173"/>
      <c r="BP1169" s="173"/>
      <c r="BQ1169" s="118"/>
      <c r="BR1169" s="118"/>
      <c r="BS1169" s="118">
        <f>INDEX('Dist. Plant Gas Additions'!$F$7:$AE$91,MATCH($C1169,'Dist. Plant Gas Additions'!$D$7:$D$91,0),MATCH(Calculation!$G1169,'Dist. Plant Gas Additions'!$F$5:$AE$5,0))</f>
        <v>618</v>
      </c>
      <c r="BT1169" s="118">
        <f>INDEX('Gen. Plant Additions'!$F$7:$AE$91,MATCH($C1169,'Gen. Plant Additions'!$D$7:$D$91,0),MATCH(Calculation!$G1169,'Gen. Plant Additions'!$F$5:$AE$5,0))</f>
        <v>52</v>
      </c>
      <c r="BU1169" s="118"/>
      <c r="BV1169" s="118"/>
      <c r="BW1169" s="118">
        <f>INDEX('Dist Plant Depreciation'!$E$7:$AD$94,MATCH($C1169,'Dist Plant Depreciation'!$D$7:$D$94,0),MATCH(Calculation!$G1169,'Dist Plant Depreciation'!$E$5:$AD$5,0))</f>
        <v>8152</v>
      </c>
      <c r="BX1169" s="118">
        <f>INDEX('Gen. Plant Depreciation'!$E$7:$AD$94,MATCH($C1169,'Gen. Plant Depreciation'!$D$7:$D$94,0),MATCH(Calculation!$G1169,'Gen. Plant Depreciation'!$E$5:$AD$5,0))</f>
        <v>126</v>
      </c>
      <c r="BY1169" s="118"/>
      <c r="BZ1169" s="118"/>
      <c r="CA1169" s="118"/>
      <c r="CB1169" s="118"/>
      <c r="CC1169" s="118"/>
      <c r="CD1169" s="183"/>
      <c r="CE1169" s="118">
        <f>INDEX('Gross Dx Plant'!$E$7:$AD$91,MATCH($C1169,'Gross Dx Plant'!$D$7:$D$91,0),MATCH(Calculation!$G1169,'Gross Dx Plant'!$E$5:$AD$5,0))</f>
        <v>16708</v>
      </c>
      <c r="CF1169" s="118">
        <f>INDEX('Gross Gen Plant'!$E$7:$AD$91,MATCH($C1169,'Gross Gen Plant'!$D$7:$D$91,0),MATCH(Calculation!$G1169,'Gross Gen Plant'!$E$5:$AD$5,0))</f>
        <v>310</v>
      </c>
      <c r="CG1169" s="118">
        <f t="shared" si="3352"/>
        <v>8740</v>
      </c>
      <c r="CH1169" s="118"/>
      <c r="CI1169" s="121">
        <v>2003</v>
      </c>
      <c r="CJ1169" s="118"/>
      <c r="CK1169" s="118"/>
      <c r="CL1169" s="118"/>
      <c r="CM1169" s="183"/>
      <c r="CN1169" s="118">
        <f t="shared" si="3492"/>
        <v>670</v>
      </c>
      <c r="CO1169" s="118">
        <f t="shared" si="3493"/>
        <v>1.8145723164513141</v>
      </c>
      <c r="CP1169" s="186">
        <v>0.97354497354497349</v>
      </c>
      <c r="CQ1169" s="118">
        <f>+CQ1164*CP1169+CO1165*CP1168+CO1166*CP1167+CO1167*CP1166+CO1168*CP1165+CO1169</f>
        <v>49.157254487855909</v>
      </c>
      <c r="CR1169" s="119">
        <f t="shared" si="3494"/>
        <v>3.1928074819870061E-2</v>
      </c>
      <c r="CS1169" s="119"/>
      <c r="CT1169" s="177">
        <f t="shared" si="3495"/>
        <v>5.6679757963939937E-3</v>
      </c>
      <c r="CU1169" s="177">
        <f t="shared" si="3503"/>
        <v>5.4969548187009483E-3</v>
      </c>
      <c r="CV1169" s="119">
        <f>VLOOKUP($H1169,RoR!$E:$F,2,FALSE)</f>
        <v>5.6666666666666671E-2</v>
      </c>
      <c r="CW1169" s="177">
        <v>1.8855119140166909E-2</v>
      </c>
      <c r="CX1169" s="177">
        <f t="shared" si="3501"/>
        <v>3.7811547526499761E-2</v>
      </c>
      <c r="CY1169" s="177">
        <f t="shared" si="3504"/>
        <v>2.5404986789832676E-2</v>
      </c>
      <c r="CZ1169" s="177">
        <f t="shared" si="3505"/>
        <v>2.1375012817671957E-2</v>
      </c>
      <c r="DA1169" s="187">
        <f t="shared" si="3496"/>
        <v>0.84949374999999994</v>
      </c>
      <c r="DB1169" s="188">
        <f t="shared" si="3497"/>
        <v>0.90497737556561086</v>
      </c>
      <c r="DC1169" s="188">
        <f t="shared" si="3498"/>
        <v>0.5338235294117647</v>
      </c>
      <c r="DD1169" s="188">
        <f t="shared" si="3499"/>
        <v>0.88972433127405692</v>
      </c>
      <c r="DE1169" s="188">
        <f t="shared" si="3500"/>
        <v>0.42982423775949252</v>
      </c>
      <c r="DF1169" s="189">
        <f>INDEX('State Tax Lookup'!$D$7:$Z$91,MATCH(Calculation!$C1169,'State Tax Lookup'!$B$7:$B$91,0),MATCH($H1169,'State Tax Lookup'!$D$6:$Z$6,0))</f>
        <v>0.40134999999999998</v>
      </c>
      <c r="DG1169" s="189">
        <v>0.375</v>
      </c>
      <c r="DH1169" s="190">
        <f t="shared" si="3502"/>
        <v>13.280546319078697</v>
      </c>
      <c r="DI1169" s="190"/>
      <c r="DJ1169" s="177"/>
      <c r="DK1169" s="189">
        <f>VLOOKUP($H1169,RoR!$E:$F,2,FALSE)</f>
        <v>5.6666666666666671E-2</v>
      </c>
      <c r="DL1169" s="191">
        <f>HLOOKUP($H1169,'GDP-PI'!$D$8:$CQ$11,3,FALSE)</f>
        <v>1.8855119140166909E-2</v>
      </c>
      <c r="DM1169" s="189">
        <f>VLOOKUP(H1169,'HW Dx Data'!$E:$F,2,FALSE)</f>
        <v>369.23301095560191</v>
      </c>
      <c r="DN1169" s="183">
        <f>VLOOKUP(H1169,'ECI - Input Price'!$G$17:$H$37,2,FALSE)</f>
        <v>92.625</v>
      </c>
      <c r="DO1169" s="177">
        <f t="shared" ref="DO1169" si="3506">LN(DN1169/DN1168)</f>
        <v>3.6837590135738785E-2</v>
      </c>
      <c r="DP1169" s="183">
        <f>HLOOKUP(H1169,'GDP-PI'!$8:$9,2,FALSE)</f>
        <v>82.566999999999993</v>
      </c>
      <c r="DQ1169" s="177">
        <f t="shared" ref="DQ1169" si="3507">LN(DP1169/DP1168)</f>
        <v>1.8679564681853753E-2</v>
      </c>
    </row>
    <row r="1170" spans="1:121" s="167" customFormat="1" ht="21" x14ac:dyDescent="0.35">
      <c r="A1170" s="167" t="s">
        <v>111</v>
      </c>
      <c r="B1170" s="167" t="s">
        <v>111</v>
      </c>
      <c r="C1170" s="167">
        <v>4063281</v>
      </c>
      <c r="D1170" s="168" t="s">
        <v>144</v>
      </c>
      <c r="E1170" s="168"/>
      <c r="F1170" s="198"/>
      <c r="G1170" s="167" t="s">
        <v>10</v>
      </c>
      <c r="H1170" s="169">
        <v>2004</v>
      </c>
      <c r="I1170" s="170"/>
      <c r="J1170" s="166">
        <f>IFERROR(INDEX('Labor Expenditures'!$F$7:$X$91,MATCH($C1170,'Labor Expenditures'!$D$7:$D$91,0),MATCH($G1170,'Labor Expenditures'!$F$5:$X$5,0)),"NA")</f>
        <v>1387.230690759362</v>
      </c>
      <c r="K1170" s="166">
        <f t="shared" ref="K1170:K1187" si="3508">+J1170/DN1170</f>
        <v>14.424025898199762</v>
      </c>
      <c r="L1170" s="172"/>
      <c r="M1170" s="172"/>
      <c r="N1170" s="196"/>
      <c r="O1170" s="172"/>
      <c r="P1170" s="166">
        <f>IFERROR(INDEX('Non-Labor Expenditures'!$F$7:$AB$91,MATCH($C1170,'Non-Labor Expenditures'!$D$7:$D$91,0),MATCH($G1170,'Non-Labor Expenditures'!$F$5:$AB$5,0)),"NA")</f>
        <v>2008.969139172611</v>
      </c>
      <c r="Q1170" s="166">
        <f t="shared" ref="Q1170:Q1187" si="3509">+P1170/DP1170</f>
        <v>23.69682157131108</v>
      </c>
      <c r="R1170" s="166"/>
      <c r="S1170" s="166"/>
      <c r="T1170" s="166"/>
      <c r="U1170" s="166"/>
      <c r="V1170" s="166">
        <f t="shared" si="3490"/>
        <v>724.82302153350986</v>
      </c>
      <c r="W1170" s="170"/>
      <c r="X1170" s="174">
        <v>50.258028860576182</v>
      </c>
      <c r="Y1170" s="175">
        <v>2.2145877855306466E-2</v>
      </c>
      <c r="Z1170" s="175"/>
      <c r="AA1170" s="175"/>
      <c r="AB1170" s="175"/>
      <c r="AC1170" s="170">
        <f t="shared" si="3457"/>
        <v>4121.0228514654827</v>
      </c>
      <c r="AD1170" s="175"/>
      <c r="AE1170" s="170"/>
      <c r="AF1170" s="170"/>
      <c r="AG1170" s="174"/>
      <c r="AH1170" s="175"/>
      <c r="AI1170" s="175"/>
      <c r="AJ1170" s="174"/>
      <c r="AK1170" s="174"/>
      <c r="AL1170" s="120">
        <f t="shared" ref="AL1170:AL1187" si="3510">+J1170/AC1170</f>
        <v>0.33662290668105538</v>
      </c>
      <c r="AM1170" s="120">
        <f t="shared" ref="AM1170:AM1187" si="3511">+P1170/AC1170</f>
        <v>0.48749284136053717</v>
      </c>
      <c r="AN1170" s="120">
        <f t="shared" ref="AN1170:AN1187" si="3512">+V1170/AC1170</f>
        <v>0.17588425195840748</v>
      </c>
      <c r="AO1170" s="120"/>
      <c r="AP1170" s="120"/>
      <c r="AQ1170" s="175"/>
      <c r="AR1170" s="120"/>
      <c r="AS1170" s="120"/>
      <c r="AT1170" s="120"/>
      <c r="AU1170" s="120"/>
      <c r="AV1170" s="120"/>
      <c r="AW1170" s="120"/>
      <c r="AX1170" s="120"/>
      <c r="AY1170" s="120"/>
      <c r="AZ1170" s="118">
        <f>IFERROR(INDEX('Total Customers'!$F$7:$AB$91,MATCH($C1170,'Total Customers'!$D$7:$D$91,0),MATCH($G1170,'Total Customers'!$F$5:$AB$5,0)),"NA")</f>
        <v>11884</v>
      </c>
      <c r="BA1170" s="119">
        <f t="shared" si="3491"/>
        <v>8.4182175187754327E-4</v>
      </c>
      <c r="BB1170" s="119"/>
      <c r="BC1170" s="121"/>
      <c r="BD1170" s="119"/>
      <c r="BE1170" s="119"/>
      <c r="BF1170" s="119"/>
      <c r="BG1170" s="173"/>
      <c r="BH1170" s="173"/>
      <c r="BI1170" s="173"/>
      <c r="BJ1170" s="173"/>
      <c r="BK1170" s="173"/>
      <c r="BL1170" s="173"/>
      <c r="BM1170" s="173"/>
      <c r="BN1170" s="173"/>
      <c r="BO1170" s="173"/>
      <c r="BP1170" s="173"/>
      <c r="BQ1170" s="118"/>
      <c r="BR1170" s="118"/>
      <c r="BS1170" s="118">
        <f>INDEX('Dist. Plant Gas Additions'!$F$7:$AE$91,MATCH($C1170,'Dist. Plant Gas Additions'!$D$7:$D$91,0),MATCH(Calculation!$G1170,'Dist. Plant Gas Additions'!$F$5:$AE$5,0))</f>
        <v>525</v>
      </c>
      <c r="BT1170" s="118">
        <f>INDEX('Gen. Plant Additions'!$F$7:$AE$91,MATCH($C1170,'Gen. Plant Additions'!$D$7:$D$91,0),MATCH(Calculation!$G1170,'Gen. Plant Additions'!$F$5:$AE$5,0))</f>
        <v>51</v>
      </c>
      <c r="BU1170" s="118"/>
      <c r="BV1170" s="118"/>
      <c r="BW1170" s="118">
        <f>INDEX('Dist Plant Depreciation'!$E$7:$AD$94,MATCH($C1170,'Dist Plant Depreciation'!$D$7:$D$94,0),MATCH(Calculation!$G1170,'Dist Plant Depreciation'!$E$5:$AD$5,0))</f>
        <v>8683</v>
      </c>
      <c r="BX1170" s="118">
        <f>INDEX('Gen. Plant Depreciation'!$E$7:$AD$94,MATCH($C1170,'Gen. Plant Depreciation'!$D$7:$D$94,0),MATCH(Calculation!$G1170,'Gen. Plant Depreciation'!$E$5:$AD$5,0))</f>
        <v>148</v>
      </c>
      <c r="BY1170" s="118"/>
      <c r="BZ1170" s="118"/>
      <c r="CA1170" s="118"/>
      <c r="CB1170" s="118"/>
      <c r="CC1170" s="118"/>
      <c r="CD1170" s="183"/>
      <c r="CE1170" s="118">
        <f>INDEX('Gross Dx Plant'!$E$7:$AD$91,MATCH($C1170,'Gross Dx Plant'!$D$7:$D$91,0),MATCH(Calculation!$G1170,'Gross Dx Plant'!$E$5:$AD$5,0))</f>
        <v>16976</v>
      </c>
      <c r="CF1170" s="118">
        <f>INDEX('Gross Gen Plant'!$E$7:$AD$91,MATCH($C1170,'Gross Gen Plant'!$D$7:$D$91,0),MATCH(Calculation!$G1170,'Gross Gen Plant'!$E$5:$AD$5,0))</f>
        <v>380</v>
      </c>
      <c r="CG1170" s="118">
        <f t="shared" si="3352"/>
        <v>8525</v>
      </c>
      <c r="CH1170" s="118"/>
      <c r="CI1170" s="121">
        <v>2004</v>
      </c>
      <c r="CJ1170" s="118"/>
      <c r="CK1170" s="118"/>
      <c r="CL1170" s="118"/>
      <c r="CM1170" s="183"/>
      <c r="CN1170" s="118">
        <f t="shared" si="3492"/>
        <v>576</v>
      </c>
      <c r="CO1170" s="118">
        <f t="shared" si="3493"/>
        <v>1.3883291940698028</v>
      </c>
      <c r="CP1170" s="186">
        <v>0.967741935483871</v>
      </c>
      <c r="CQ1170" s="118">
        <f>+CQ1164*CP1170+CO1165*CP1169+CO1166*CP1168+CO1167*CP1167+CO1168*CP1166+CO1169*CP1165+CO1170</f>
        <v>50.258028860576182</v>
      </c>
      <c r="CR1170" s="119">
        <f t="shared" si="3494"/>
        <v>2.2145877855306466E-2</v>
      </c>
      <c r="CS1170" s="119"/>
      <c r="CT1170" s="177">
        <f t="shared" si="3495"/>
        <v>5.8496924684955367E-3</v>
      </c>
      <c r="CU1170" s="177">
        <f t="shared" si="3503"/>
        <v>5.7217581603531617E-3</v>
      </c>
      <c r="CV1170" s="119">
        <f>VLOOKUP($H1170,RoR!$E:$F,2,FALSE)</f>
        <v>5.6283333333333331E-2</v>
      </c>
      <c r="CW1170" s="177">
        <v>2.6778252812867276E-2</v>
      </c>
      <c r="CX1170" s="177">
        <f t="shared" si="3501"/>
        <v>2.9505080520466055E-2</v>
      </c>
      <c r="CY1170" s="177">
        <f t="shared" si="3504"/>
        <v>2.5180183448180463E-2</v>
      </c>
      <c r="CZ1170" s="177">
        <f t="shared" si="3505"/>
        <v>5.5940039414565046E-2</v>
      </c>
      <c r="DA1170" s="187">
        <f t="shared" si="3496"/>
        <v>0.84949374999999994</v>
      </c>
      <c r="DB1170" s="188">
        <f t="shared" si="3497"/>
        <v>0.91114097628755619</v>
      </c>
      <c r="DC1170" s="188">
        <f t="shared" si="3498"/>
        <v>0.53081877405981637</v>
      </c>
      <c r="DD1170" s="188">
        <f t="shared" si="3499"/>
        <v>0.88811215519385678</v>
      </c>
      <c r="DE1170" s="188">
        <f t="shared" si="3500"/>
        <v>0.42953609753547711</v>
      </c>
      <c r="DF1170" s="189">
        <f>INDEX('State Tax Lookup'!$D$7:$Z$91,MATCH(Calculation!$C1170,'State Tax Lookup'!$B$7:$B$91,0),MATCH($H1170,'State Tax Lookup'!$D$6:$Z$6,0))</f>
        <v>0.40134999999999998</v>
      </c>
      <c r="DG1170" s="189">
        <v>0.375</v>
      </c>
      <c r="DH1170" s="190">
        <f t="shared" si="3502"/>
        <v>14.744985843596581</v>
      </c>
      <c r="DI1170" s="190"/>
      <c r="DJ1170" s="177"/>
      <c r="DK1170" s="189">
        <f>VLOOKUP($H1170,RoR!$E:$F,2,FALSE)</f>
        <v>5.6283333333333331E-2</v>
      </c>
      <c r="DL1170" s="191">
        <f>HLOOKUP($H1170,'GDP-PI'!$D$8:$CQ$11,3,FALSE)</f>
        <v>2.6778252812867276E-2</v>
      </c>
      <c r="DM1170" s="189">
        <f>VLOOKUP(H1170,'HW Dx Data'!$E:$F,2,FALSE)</f>
        <v>414.88719135228365</v>
      </c>
      <c r="DN1170" s="183">
        <f>VLOOKUP(H1170,'ECI - Input Price'!$G$17:$H$37,2,FALSE)</f>
        <v>96.174999999999997</v>
      </c>
      <c r="DO1170" s="177">
        <f t="shared" ref="DO1170" si="3513">LN(DN1170/DN1169)</f>
        <v>3.7610365022107912E-2</v>
      </c>
      <c r="DP1170" s="183">
        <f>HLOOKUP(H1170,'GDP-PI'!$8:$9,2,FALSE)</f>
        <v>84.778000000000006</v>
      </c>
      <c r="DQ1170" s="177">
        <f t="shared" ref="DQ1170" si="3514">LN(DP1170/DP1169)</f>
        <v>2.6425990216022755E-2</v>
      </c>
    </row>
    <row r="1171" spans="1:121" s="167" customFormat="1" ht="21" x14ac:dyDescent="0.35">
      <c r="A1171" s="167" t="s">
        <v>111</v>
      </c>
      <c r="B1171" s="167" t="s">
        <v>111</v>
      </c>
      <c r="C1171" s="167">
        <v>4063281</v>
      </c>
      <c r="D1171" s="168" t="s">
        <v>144</v>
      </c>
      <c r="E1171" s="168"/>
      <c r="F1171" s="198"/>
      <c r="G1171" s="167" t="s">
        <v>11</v>
      </c>
      <c r="H1171" s="169">
        <v>2005</v>
      </c>
      <c r="I1171" s="170"/>
      <c r="J1171" s="166">
        <f>IFERROR(INDEX('Labor Expenditures'!$F$7:$X$91,MATCH($C1171,'Labor Expenditures'!$D$7:$D$91,0),MATCH($G1171,'Labor Expenditures'!$F$5:$X$5,0)),"NA")</f>
        <v>1537.4452186554706</v>
      </c>
      <c r="K1171" s="166">
        <f t="shared" si="3508"/>
        <v>15.506255357089969</v>
      </c>
      <c r="L1171" s="172">
        <f t="shared" ref="L1171:L1187" si="3515">LN(K1171/K1170)</f>
        <v>7.2348232544306376E-2</v>
      </c>
      <c r="M1171" s="172"/>
      <c r="N1171" s="196"/>
      <c r="O1171" s="172"/>
      <c r="P1171" s="166">
        <f>IFERROR(INDEX('Non-Labor Expenditures'!$F$7:$AB$91,MATCH($C1171,'Non-Labor Expenditures'!$D$7:$D$91,0),MATCH($G1171,'Non-Labor Expenditures'!$F$5:$AB$5,0)),"NA")</f>
        <v>2226.507831769929</v>
      </c>
      <c r="Q1171" s="166">
        <f t="shared" si="3509"/>
        <v>25.47287782179836</v>
      </c>
      <c r="R1171" s="172">
        <f>LN(Q1171/Q1170)</f>
        <v>7.2273343061019443E-2</v>
      </c>
      <c r="S1171" s="172"/>
      <c r="T1171" s="172"/>
      <c r="U1171" s="172"/>
      <c r="V1171" s="166">
        <f t="shared" si="3490"/>
        <v>831.58097930770782</v>
      </c>
      <c r="W1171" s="170"/>
      <c r="X1171" s="174">
        <v>51.088041677800206</v>
      </c>
      <c r="Y1171" s="175">
        <v>1.6380139280287271E-2</v>
      </c>
      <c r="Z1171" s="175"/>
      <c r="AA1171" s="175"/>
      <c r="AB1171" s="175"/>
      <c r="AC1171" s="170">
        <f t="shared" si="3457"/>
        <v>4595.5340297331077</v>
      </c>
      <c r="AD1171" s="175">
        <f>LN(AC1171/AC1170)</f>
        <v>0.10898357133310428</v>
      </c>
      <c r="AE1171" s="170"/>
      <c r="AF1171" s="170"/>
      <c r="AG1171" s="121"/>
      <c r="AH1171" s="119"/>
      <c r="AI1171" s="119"/>
      <c r="AJ1171" s="121"/>
      <c r="AK1171" s="121"/>
      <c r="AL1171" s="120">
        <f t="shared" si="3510"/>
        <v>0.3345520256640902</v>
      </c>
      <c r="AM1171" s="120">
        <f t="shared" si="3511"/>
        <v>0.48449381886075094</v>
      </c>
      <c r="AN1171" s="120">
        <f t="shared" si="3512"/>
        <v>0.18095415547515881</v>
      </c>
      <c r="AO1171" s="120">
        <f t="shared" ref="AO1171:AO1187" si="3516">+(((AL1171+AL1170)/2)*L1171+((AM1170+AM1171)/2)*R1171+((AN1170+AN1171)/2)*Y1171)</f>
        <v>6.2326054121220553E-2</v>
      </c>
      <c r="AP1171" s="173">
        <v>100</v>
      </c>
      <c r="AQ1171" s="175"/>
      <c r="AR1171" s="120"/>
      <c r="AS1171" s="120"/>
      <c r="AT1171" s="120"/>
      <c r="AU1171" s="120"/>
      <c r="AV1171" s="120"/>
      <c r="AW1171" s="120"/>
      <c r="AX1171" s="120"/>
      <c r="AY1171" s="120"/>
      <c r="AZ1171" s="118">
        <f>IFERROR(INDEX('Total Customers'!$F$7:$AB$91,MATCH($C1171,'Total Customers'!$D$7:$D$91,0),MATCH($G1171,'Total Customers'!$F$5:$AB$5,0)),"NA")</f>
        <v>11979</v>
      </c>
      <c r="BA1171" s="119">
        <f t="shared" si="3491"/>
        <v>7.9621591488326648E-3</v>
      </c>
      <c r="BB1171" s="119"/>
      <c r="BC1171" s="121"/>
      <c r="BD1171" s="119"/>
      <c r="BE1171" s="119"/>
      <c r="BF1171" s="119"/>
      <c r="BG1171" s="173"/>
      <c r="BH1171" s="173"/>
      <c r="BI1171" s="173"/>
      <c r="BJ1171" s="173"/>
      <c r="BK1171" s="173"/>
      <c r="BL1171" s="173"/>
      <c r="BM1171" s="173"/>
      <c r="BN1171" s="173"/>
      <c r="BO1171" s="173"/>
      <c r="BP1171" s="173"/>
      <c r="BQ1171" s="118"/>
      <c r="BR1171" s="118"/>
      <c r="BS1171" s="118">
        <f>INDEX('Dist. Plant Gas Additions'!$F$7:$AE$91,MATCH($C1171,'Dist. Plant Gas Additions'!$D$7:$D$91,0),MATCH(Calculation!$G1171,'Dist. Plant Gas Additions'!$F$5:$AE$5,0))</f>
        <v>507</v>
      </c>
      <c r="BT1171" s="118">
        <f>INDEX('Gen. Plant Additions'!$F$7:$AE$91,MATCH($C1171,'Gen. Plant Additions'!$D$7:$D$91,0),MATCH(Calculation!$G1171,'Gen. Plant Additions'!$F$5:$AE$5,0))</f>
        <v>25</v>
      </c>
      <c r="BU1171" s="118"/>
      <c r="BV1171" s="118"/>
      <c r="BW1171" s="118">
        <f>INDEX('Dist Plant Depreciation'!$E$7:$AD$94,MATCH($C1171,'Dist Plant Depreciation'!$D$7:$D$94,0),MATCH(Calculation!$G1171,'Dist Plant Depreciation'!$E$5:$AD$5,0))</f>
        <v>9200</v>
      </c>
      <c r="BX1171" s="118">
        <f>INDEX('Gen. Plant Depreciation'!$E$7:$AD$94,MATCH($C1171,'Gen. Plant Depreciation'!$D$7:$D$94,0),MATCH(Calculation!$G1171,'Gen. Plant Depreciation'!$E$5:$AD$5,0))</f>
        <v>168</v>
      </c>
      <c r="BY1171" s="118"/>
      <c r="BZ1171" s="118"/>
      <c r="CA1171" s="118"/>
      <c r="CB1171" s="118"/>
      <c r="CC1171" s="118"/>
      <c r="CD1171" s="183"/>
      <c r="CE1171" s="118">
        <f>INDEX('Gross Dx Plant'!$E$7:$AD$91,MATCH($C1171,'Gross Dx Plant'!$D$7:$D$91,0),MATCH(Calculation!$G1171,'Gross Dx Plant'!$E$5:$AD$5,0))</f>
        <v>17345</v>
      </c>
      <c r="CF1171" s="118">
        <f>INDEX('Gross Gen Plant'!$E$7:$AD$91,MATCH($C1171,'Gross Gen Plant'!$D$7:$D$91,0),MATCH(Calculation!$G1171,'Gross Gen Plant'!$E$5:$AD$5,0))</f>
        <v>423</v>
      </c>
      <c r="CG1171" s="118">
        <f t="shared" si="3352"/>
        <v>8400</v>
      </c>
      <c r="CH1171" s="118"/>
      <c r="CI1171" s="121">
        <v>2005</v>
      </c>
      <c r="CJ1171" s="118"/>
      <c r="CK1171" s="118"/>
      <c r="CL1171" s="118"/>
      <c r="CM1171" s="183"/>
      <c r="CN1171" s="118">
        <f t="shared" si="3492"/>
        <v>532</v>
      </c>
      <c r="CO1171" s="118">
        <f t="shared" si="3493"/>
        <v>1.1338324205141517</v>
      </c>
      <c r="CP1171" s="186">
        <v>0.96174863387978138</v>
      </c>
      <c r="CQ1171" s="118">
        <f>+CQ1164*CP1171+CO1165*CP1170+CO1166*CP1169+CO1167*CP1168+CO1168*CP1167+CO1169*CP1166+CO1170*CP1165+CO1171</f>
        <v>51.088041677800206</v>
      </c>
      <c r="CR1171" s="119">
        <f t="shared" si="3494"/>
        <v>1.6380139280287271E-2</v>
      </c>
      <c r="CS1171" s="119"/>
      <c r="CT1171" s="177">
        <f t="shared" si="3495"/>
        <v>6.045195368345471E-3</v>
      </c>
      <c r="CU1171" s="177">
        <f t="shared" si="3503"/>
        <v>5.8542878777450005E-3</v>
      </c>
      <c r="CV1171" s="119">
        <f>VLOOKUP($H1171,RoR!$E:$F,2,FALSE)</f>
        <v>5.2350000000000001E-2</v>
      </c>
      <c r="CW1171" s="177">
        <v>3.1010403642454332E-2</v>
      </c>
      <c r="CX1171" s="177">
        <f t="shared" si="3501"/>
        <v>2.1339596357545669E-2</v>
      </c>
      <c r="CY1171" s="177">
        <f t="shared" si="3504"/>
        <v>2.5047653730788624E-2</v>
      </c>
      <c r="CZ1171" s="177">
        <f t="shared" si="3505"/>
        <v>9.2129610649277341E-2</v>
      </c>
      <c r="DA1171" s="187">
        <f t="shared" si="3496"/>
        <v>0.84949374999999994</v>
      </c>
      <c r="DB1171" s="188">
        <f t="shared" si="3497"/>
        <v>0.97959983346802826</v>
      </c>
      <c r="DC1171" s="188">
        <f t="shared" si="3498"/>
        <v>0.49744508118433622</v>
      </c>
      <c r="DD1171" s="188">
        <f t="shared" si="3499"/>
        <v>0.87010519444335932</v>
      </c>
      <c r="DE1171" s="188">
        <f t="shared" si="3500"/>
        <v>0.42399975420741998</v>
      </c>
      <c r="DF1171" s="189">
        <f>INDEX('State Tax Lookup'!$D$7:$Z$91,MATCH(Calculation!$C1171,'State Tax Lookup'!$B$7:$B$91,0),MATCH($H1171,'State Tax Lookup'!$D$6:$Z$6,0))</f>
        <v>0.40134999999999998</v>
      </c>
      <c r="DG1171" s="189">
        <v>0.375</v>
      </c>
      <c r="DH1171" s="190">
        <f t="shared" si="3502"/>
        <v>16.546231481036525</v>
      </c>
      <c r="DI1171" s="190"/>
      <c r="DJ1171" s="177"/>
      <c r="DK1171" s="189">
        <f>VLOOKUP($H1171,RoR!$E:$F,2,FALSE)</f>
        <v>5.2350000000000001E-2</v>
      </c>
      <c r="DL1171" s="191">
        <f>HLOOKUP($H1171,'GDP-PI'!$D$8:$CQ$11,3,FALSE)</f>
        <v>3.1010403642454332E-2</v>
      </c>
      <c r="DM1171" s="189">
        <f>VLOOKUP(H1171,'HW Dx Data'!$E:$F,2,FALSE)</f>
        <v>469.20514034936258</v>
      </c>
      <c r="DN1171" s="183">
        <f>VLOOKUP(H1171,'ECI - Input Price'!$G$17:$H$37,2,FALSE)</f>
        <v>99.15</v>
      </c>
      <c r="DO1171" s="177">
        <f t="shared" ref="DO1171" si="3517">LN(DN1171/DN1170)</f>
        <v>3.046440632744625E-2</v>
      </c>
      <c r="DP1171" s="183">
        <f>HLOOKUP(H1171,'GDP-PI'!$8:$9,2,FALSE)</f>
        <v>87.406999999999996</v>
      </c>
      <c r="DQ1171" s="177">
        <f t="shared" ref="DQ1171" si="3518">LN(DP1171/DP1170)</f>
        <v>3.0539295810733648E-2</v>
      </c>
    </row>
    <row r="1172" spans="1:121" s="167" customFormat="1" ht="21" x14ac:dyDescent="0.35">
      <c r="A1172" s="167" t="s">
        <v>111</v>
      </c>
      <c r="B1172" s="167" t="s">
        <v>111</v>
      </c>
      <c r="C1172" s="167">
        <v>4063281</v>
      </c>
      <c r="D1172" s="168" t="s">
        <v>144</v>
      </c>
      <c r="E1172" s="168"/>
      <c r="F1172" s="198"/>
      <c r="G1172" s="167" t="s">
        <v>12</v>
      </c>
      <c r="H1172" s="169">
        <v>2006</v>
      </c>
      <c r="I1172" s="170"/>
      <c r="J1172" s="166">
        <f>IFERROR(INDEX('Labor Expenditures'!$F$7:$X$91,MATCH($C1172,'Labor Expenditures'!$D$7:$D$91,0),MATCH($G1172,'Labor Expenditures'!$F$5:$X$5,0)),"NA")</f>
        <v>1621.2258941285252</v>
      </c>
      <c r="K1172" s="166">
        <f t="shared" si="3508"/>
        <v>15.886583969902256</v>
      </c>
      <c r="L1172" s="172">
        <f t="shared" si="3515"/>
        <v>2.4231463632125194E-2</v>
      </c>
      <c r="M1172" s="172">
        <f t="shared" ref="M1172:M1187" si="3519">+L1172*AR1172</f>
        <v>1.4603856096152028E-5</v>
      </c>
      <c r="N1172" s="196"/>
      <c r="O1172" s="172"/>
      <c r="P1172" s="166">
        <f>IFERROR(INDEX('Non-Labor Expenditures'!$F$7:$AB$91,MATCH($C1172,'Non-Labor Expenditures'!$D$7:$D$91,0),MATCH($G1172,'Non-Labor Expenditures'!$F$5:$AB$5,0)),"NA")</f>
        <v>2347.8378979266026</v>
      </c>
      <c r="Q1172" s="166">
        <f t="shared" si="3509"/>
        <v>26.065655993145665</v>
      </c>
      <c r="R1172" s="172">
        <f t="shared" ref="R1172:R1187" si="3520">LN(Q1172/Q1171)</f>
        <v>2.3004314196718934E-2</v>
      </c>
      <c r="S1172" s="172">
        <f>+R1172*AR1172</f>
        <v>1.3864275770538181E-5</v>
      </c>
      <c r="T1172" s="172"/>
      <c r="U1172" s="172"/>
      <c r="V1172" s="166">
        <f t="shared" si="3490"/>
        <v>824.98970919036708</v>
      </c>
      <c r="W1172" s="170"/>
      <c r="X1172" s="174">
        <v>51.857284379206398</v>
      </c>
      <c r="Y1172" s="175">
        <v>1.4944962505218755E-2</v>
      </c>
      <c r="Z1172" s="175">
        <f>+Y1172*AR1172</f>
        <v>9.0070531892778065E-6</v>
      </c>
      <c r="AA1172" s="175"/>
      <c r="AB1172" s="175"/>
      <c r="AC1172" s="170">
        <f t="shared" si="3457"/>
        <v>4794.0535012454948</v>
      </c>
      <c r="AD1172" s="175">
        <f t="shared" ref="AD1172:AD1187" si="3521">LN(AC1172/AC1171)</f>
        <v>4.2291327192074138E-2</v>
      </c>
      <c r="AE1172" s="170"/>
      <c r="AF1172" s="170"/>
      <c r="AG1172" s="121">
        <f t="shared" ref="AG1172:AG1187" si="3522">+(AC1172*1000)/AZ1172</f>
        <v>398.2433544812672</v>
      </c>
      <c r="AH1172" s="119">
        <f>+AZ1172/$BB$44</f>
        <v>3.4243213461889604E-4</v>
      </c>
      <c r="AI1172" s="119"/>
      <c r="AJ1172" s="176">
        <f>+AH1172*AG1172</f>
        <v>0.13637132197281002</v>
      </c>
      <c r="AK1172" s="176">
        <f>+AI1172*AG1172</f>
        <v>0</v>
      </c>
      <c r="AL1172" s="120">
        <f t="shared" si="3510"/>
        <v>0.33817434321651413</v>
      </c>
      <c r="AM1172" s="120">
        <f t="shared" si="3511"/>
        <v>0.48973961123225562</v>
      </c>
      <c r="AN1172" s="120">
        <f t="shared" si="3512"/>
        <v>0.17208604555123025</v>
      </c>
      <c r="AO1172" s="120">
        <f t="shared" si="3516"/>
        <v>2.1994444517941504E-2</v>
      </c>
      <c r="AP1172" s="173">
        <f>+AP1171*EXP(AO1172)</f>
        <v>102.22381054292092</v>
      </c>
      <c r="AQ1172" s="175">
        <f>LN(AP1172/AP1171)</f>
        <v>2.1994444517941504E-2</v>
      </c>
      <c r="AR1172" s="177">
        <f>+AC1172/$AE$44</f>
        <v>6.0268155146809893E-4</v>
      </c>
      <c r="AS1172" s="177">
        <f>+AR1172*AQ1172</f>
        <v>1.3255645945752008E-5</v>
      </c>
      <c r="AT1172" s="177"/>
      <c r="AU1172" s="177"/>
      <c r="AV1172" s="177"/>
      <c r="AW1172" s="190"/>
      <c r="AX1172" s="120"/>
      <c r="AY1172" s="120"/>
      <c r="AZ1172" s="118">
        <f>IFERROR(INDEX('Total Customers'!$F$7:$AB$91,MATCH($C1172,'Total Customers'!$D$7:$D$91,0),MATCH($G1172,'Total Customers'!$F$5:$AB$5,0)),"NA")</f>
        <v>12038</v>
      </c>
      <c r="BA1172" s="119">
        <f t="shared" si="3491"/>
        <v>4.9131963763851105E-3</v>
      </c>
      <c r="BB1172" s="119"/>
      <c r="BC1172" s="121"/>
      <c r="BD1172" s="119"/>
      <c r="BE1172" s="119"/>
      <c r="BF1172" s="119"/>
      <c r="BG1172" s="173"/>
      <c r="BH1172" s="173"/>
      <c r="BI1172" s="173"/>
      <c r="BJ1172" s="173"/>
      <c r="BK1172" s="173"/>
      <c r="BL1172" s="173"/>
      <c r="BM1172" s="173"/>
      <c r="BN1172" s="173"/>
      <c r="BO1172" s="173"/>
      <c r="BP1172" s="173"/>
      <c r="BQ1172" s="118"/>
      <c r="BR1172" s="118"/>
      <c r="BS1172" s="118">
        <f>INDEX('Dist. Plant Gas Additions'!$F$7:$AE$91,MATCH($C1172,'Dist. Plant Gas Additions'!$D$7:$D$91,0),MATCH(Calculation!$G1172,'Dist. Plant Gas Additions'!$F$5:$AE$5,0))</f>
        <v>476</v>
      </c>
      <c r="BT1172" s="118">
        <f>INDEX('Gen. Plant Additions'!$F$7:$AE$91,MATCH($C1172,'Gen. Plant Additions'!$D$7:$D$91,0),MATCH(Calculation!$G1172,'Gen. Plant Additions'!$F$5:$AE$5,0))</f>
        <v>26</v>
      </c>
      <c r="BU1172" s="118"/>
      <c r="BV1172" s="118"/>
      <c r="BW1172" s="118">
        <f>INDEX('Dist Plant Depreciation'!$E$7:$AD$94,MATCH($C1172,'Dist Plant Depreciation'!$D$7:$D$94,0),MATCH(Calculation!$G1172,'Dist Plant Depreciation'!$E$5:$AD$5,0))</f>
        <v>9786</v>
      </c>
      <c r="BX1172" s="118">
        <f>INDEX('Gen. Plant Depreciation'!$E$7:$AD$94,MATCH($C1172,'Gen. Plant Depreciation'!$D$7:$D$94,0),MATCH(Calculation!$G1172,'Gen. Plant Depreciation'!$E$5:$AD$5,0))</f>
        <v>169</v>
      </c>
      <c r="BY1172" s="118"/>
      <c r="BZ1172" s="118"/>
      <c r="CA1172" s="118"/>
      <c r="CB1172" s="118"/>
      <c r="CC1172" s="118"/>
      <c r="CD1172" s="183"/>
      <c r="CE1172" s="118">
        <f>INDEX('Gross Dx Plant'!$E$7:$AD$91,MATCH($C1172,'Gross Dx Plant'!$D$7:$D$91,0),MATCH(Calculation!$G1172,'Gross Dx Plant'!$E$5:$AD$5,0))</f>
        <v>17779</v>
      </c>
      <c r="CF1172" s="118">
        <f>INDEX('Gross Gen Plant'!$E$7:$AD$91,MATCH($C1172,'Gross Gen Plant'!$D$7:$D$91,0),MATCH(Calculation!$G1172,'Gross Gen Plant'!$E$5:$AD$5,0))</f>
        <v>449</v>
      </c>
      <c r="CG1172" s="118">
        <f t="shared" si="3352"/>
        <v>8273</v>
      </c>
      <c r="CH1172" s="119" t="e">
        <f>SUM(#REF!)/15</f>
        <v>#REF!</v>
      </c>
      <c r="CI1172" s="121">
        <v>2006</v>
      </c>
      <c r="CJ1172" s="118"/>
      <c r="CK1172" s="118"/>
      <c r="CL1172" s="118"/>
      <c r="CM1172" s="183"/>
      <c r="CN1172" s="118">
        <f t="shared" si="3492"/>
        <v>502</v>
      </c>
      <c r="CO1172" s="118">
        <f t="shared" si="3493"/>
        <v>1.0887347616508249</v>
      </c>
      <c r="CP1172" s="186">
        <v>0.9555555555555556</v>
      </c>
      <c r="CQ1172" s="118">
        <f>+CQ1164*CP1172+CO1165*CP1171+CO1166*CP1170+CO1167*CP1169+CO1168*CP1168+CO1169*CP1167+CO1170*CP1166+CO1171*CP1165+CO1172</f>
        <v>51.857284379206398</v>
      </c>
      <c r="CR1172" s="119">
        <f t="shared" si="3494"/>
        <v>1.4944962505218755E-2</v>
      </c>
      <c r="CS1172" s="119"/>
      <c r="CT1172" s="177">
        <f t="shared" si="3495"/>
        <v>6.2537542985027948E-3</v>
      </c>
      <c r="CU1172" s="177">
        <f t="shared" si="3503"/>
        <v>6.0495473784479342E-3</v>
      </c>
      <c r="CV1172" s="119">
        <f>VLOOKUP($H1172,RoR!$E:$F,2,FALSE)</f>
        <v>5.5874999999999994E-2</v>
      </c>
      <c r="CW1172" s="177">
        <v>3.0512430354548314E-2</v>
      </c>
      <c r="CX1172" s="177">
        <f t="shared" si="3501"/>
        <v>2.536256964545168E-2</v>
      </c>
      <c r="CY1172" s="177">
        <f t="shared" si="3504"/>
        <v>2.485239423008569E-2</v>
      </c>
      <c r="CZ1172" s="177">
        <f t="shared" si="3505"/>
        <v>7.9087823893859641E-2</v>
      </c>
      <c r="DA1172" s="187">
        <f t="shared" si="3496"/>
        <v>0.84949374999999994</v>
      </c>
      <c r="DB1172" s="188">
        <f t="shared" si="3497"/>
        <v>0.91779957551769631</v>
      </c>
      <c r="DC1172" s="188">
        <f t="shared" si="3498"/>
        <v>0.52757270693512304</v>
      </c>
      <c r="DD1172" s="188">
        <f t="shared" si="3499"/>
        <v>0.88636824549024895</v>
      </c>
      <c r="DE1172" s="188">
        <f t="shared" si="3500"/>
        <v>0.42918482841932087</v>
      </c>
      <c r="DF1172" s="189">
        <f>INDEX('State Tax Lookup'!$D$7:$Z$91,MATCH(Calculation!$C1172,'State Tax Lookup'!$B$7:$B$91,0),MATCH($H1172,'State Tax Lookup'!$D$6:$Z$6,0))</f>
        <v>0.40134999999999998</v>
      </c>
      <c r="DG1172" s="189">
        <v>0.375</v>
      </c>
      <c r="DH1172" s="190">
        <f t="shared" si="3502"/>
        <v>16.148391719404231</v>
      </c>
      <c r="DI1172" s="190">
        <v>15.672552411924615</v>
      </c>
      <c r="DJ1172" s="177"/>
      <c r="DK1172" s="189">
        <f>VLOOKUP($H1172,RoR!$E:$F,2,FALSE)</f>
        <v>5.5874999999999994E-2</v>
      </c>
      <c r="DL1172" s="191">
        <f>HLOOKUP($H1172,'GDP-PI'!$D$8:$CQ$11,3,FALSE)</f>
        <v>3.0512430354548314E-2</v>
      </c>
      <c r="DM1172" s="189">
        <f>VLOOKUP(H1172,'HW Dx Data'!$E:$F,2,FALSE)</f>
        <v>461.08567272971823</v>
      </c>
      <c r="DN1172" s="183">
        <f>VLOOKUP(H1172,'ECI - Input Price'!$G$17:$H$37,2,FALSE)</f>
        <v>102.05</v>
      </c>
      <c r="DO1172" s="177">
        <f t="shared" ref="DO1172" si="3523">LN(DN1172/DN1171)</f>
        <v>2.8829034290048662E-2</v>
      </c>
      <c r="DP1172" s="183">
        <f>HLOOKUP(H1172,'GDP-PI'!$8:$9,2,FALSE)</f>
        <v>90.073999999999998</v>
      </c>
      <c r="DQ1172" s="177">
        <f t="shared" ref="DQ1172" si="3524">LN(DP1172/DP1171)</f>
        <v>3.005618372545445E-2</v>
      </c>
    </row>
    <row r="1173" spans="1:121" s="167" customFormat="1" ht="21" x14ac:dyDescent="0.35">
      <c r="A1173" s="167" t="s">
        <v>111</v>
      </c>
      <c r="B1173" s="167" t="s">
        <v>111</v>
      </c>
      <c r="C1173" s="167">
        <v>4063281</v>
      </c>
      <c r="D1173" s="168" t="s">
        <v>144</v>
      </c>
      <c r="E1173" s="168"/>
      <c r="F1173" s="198"/>
      <c r="G1173" s="167" t="s">
        <v>13</v>
      </c>
      <c r="H1173" s="169">
        <v>2007</v>
      </c>
      <c r="I1173" s="170"/>
      <c r="J1173" s="166">
        <f>IFERROR(INDEX('Labor Expenditures'!$F$7:$X$91,MATCH($C1173,'Labor Expenditures'!$D$7:$D$91,0),MATCH($G1173,'Labor Expenditures'!$F$5:$X$5,0)),"NA")</f>
        <v>1591.4363480371192</v>
      </c>
      <c r="K1173" s="166">
        <f t="shared" si="3508"/>
        <v>15.124127802681103</v>
      </c>
      <c r="L1173" s="172">
        <f t="shared" si="3515"/>
        <v>-4.9183641253719497E-2</v>
      </c>
      <c r="M1173" s="172">
        <f t="shared" si="3519"/>
        <v>-2.8066548403073968E-5</v>
      </c>
      <c r="N1173" s="196"/>
      <c r="O1173" s="172"/>
      <c r="P1173" s="166">
        <f>IFERROR(INDEX('Non-Labor Expenditures'!$F$7:$AB$91,MATCH($C1173,'Non-Labor Expenditures'!$D$7:$D$91,0),MATCH($G1173,'Non-Labor Expenditures'!$F$5:$AB$5,0)),"NA")</f>
        <v>2304.6970712665216</v>
      </c>
      <c r="Q1173" s="166">
        <f t="shared" si="3509"/>
        <v>24.916182741967624</v>
      </c>
      <c r="R1173" s="172">
        <f t="shared" si="3520"/>
        <v>-4.5101083802976748E-2</v>
      </c>
      <c r="S1173" s="172">
        <f t="shared" ref="S1173:S1187" si="3525">+R1173*AR1173</f>
        <v>-2.5736845002129933E-5</v>
      </c>
      <c r="T1173" s="172"/>
      <c r="U1173" s="172"/>
      <c r="V1173" s="166">
        <f t="shared" si="3490"/>
        <v>898.42811561493386</v>
      </c>
      <c r="W1173" s="170"/>
      <c r="X1173" s="174">
        <v>52.47343241322087</v>
      </c>
      <c r="Y1173" s="175">
        <v>1.1811577958029108E-2</v>
      </c>
      <c r="Z1173" s="175">
        <f t="shared" ref="Z1173:Z1187" si="3526">+Y1173*AR1173</f>
        <v>6.7402537922227381E-6</v>
      </c>
      <c r="AA1173" s="175"/>
      <c r="AB1173" s="175"/>
      <c r="AC1173" s="170">
        <f t="shared" si="3457"/>
        <v>4794.5615349185746</v>
      </c>
      <c r="AD1173" s="175">
        <f t="shared" si="3521"/>
        <v>1.0596601733176037E-4</v>
      </c>
      <c r="AE1173" s="170"/>
      <c r="AF1173" s="170"/>
      <c r="AG1173" s="121">
        <f t="shared" si="3522"/>
        <v>395.98294804415053</v>
      </c>
      <c r="AH1173" s="119">
        <f>+AZ1173/$BB$45</f>
        <v>3.4184093719266315E-4</v>
      </c>
      <c r="AI1173" s="119"/>
      <c r="AJ1173" s="176">
        <f t="shared" ref="AJ1173:AJ1187" si="3527">+AH1173*AG1173</f>
        <v>0.13536318207172607</v>
      </c>
      <c r="AK1173" s="176">
        <f t="shared" ref="AK1173:AK1187" si="3528">+AI1173*AG1173</f>
        <v>0</v>
      </c>
      <c r="AL1173" s="120">
        <f t="shared" si="3510"/>
        <v>0.33192531505681183</v>
      </c>
      <c r="AM1173" s="120">
        <f t="shared" si="3511"/>
        <v>0.48068985129954367</v>
      </c>
      <c r="AN1173" s="120">
        <f t="shared" si="3512"/>
        <v>0.18738483364364447</v>
      </c>
      <c r="AO1173" s="120">
        <f t="shared" si="3516"/>
        <v>-3.6239721699014064E-2</v>
      </c>
      <c r="AP1173" s="173">
        <f>+AP1172*EXP(AO1173)</f>
        <v>98.585570669677324</v>
      </c>
      <c r="AQ1173" s="175">
        <f>LN(AP1173/AP1172)</f>
        <v>-3.6239721699014078E-2</v>
      </c>
      <c r="AR1173" s="177">
        <f>+AC1173/$AE$45</f>
        <v>5.7064803840548191E-4</v>
      </c>
      <c r="AS1173" s="177">
        <f t="shared" ref="AS1173:AS1187" si="3529">+AR1173*AQ1173</f>
        <v>-2.0680126099902962E-5</v>
      </c>
      <c r="AT1173" s="177"/>
      <c r="AU1173" s="177"/>
      <c r="AV1173" s="177"/>
      <c r="AW1173" s="190"/>
      <c r="AX1173" s="120"/>
      <c r="AY1173" s="120"/>
      <c r="AZ1173" s="118">
        <f>IFERROR(INDEX('Total Customers'!$F$7:$AB$91,MATCH($C1173,'Total Customers'!$D$7:$D$91,0),MATCH($G1173,'Total Customers'!$F$5:$AB$5,0)),"NA")</f>
        <v>12108</v>
      </c>
      <c r="BA1173" s="119">
        <f t="shared" si="3491"/>
        <v>5.7980780338931556E-3</v>
      </c>
      <c r="BB1173" s="119"/>
      <c r="BC1173" s="121"/>
      <c r="BD1173" s="119"/>
      <c r="BE1173" s="119"/>
      <c r="BF1173" s="119"/>
      <c r="BG1173" s="173"/>
      <c r="BH1173" s="173"/>
      <c r="BI1173" s="173"/>
      <c r="BJ1173" s="173"/>
      <c r="BK1173" s="173"/>
      <c r="BL1173" s="173"/>
      <c r="BM1173" s="173"/>
      <c r="BN1173" s="173"/>
      <c r="BO1173" s="173"/>
      <c r="BP1173" s="173"/>
      <c r="BQ1173" s="118"/>
      <c r="BR1173" s="118"/>
      <c r="BS1173" s="118">
        <f>INDEX('Dist. Plant Gas Additions'!$F$7:$AE$91,MATCH($C1173,'Dist. Plant Gas Additions'!$D$7:$D$91,0),MATCH(Calculation!$G1173,'Dist. Plant Gas Additions'!$F$5:$AE$5,0))</f>
        <v>396</v>
      </c>
      <c r="BT1173" s="118">
        <f>INDEX('Gen. Plant Additions'!$F$7:$AE$91,MATCH($C1173,'Gen. Plant Additions'!$D$7:$D$91,0),MATCH(Calculation!$G1173,'Gen. Plant Additions'!$F$5:$AE$5,0))</f>
        <v>78</v>
      </c>
      <c r="BU1173" s="118"/>
      <c r="BV1173" s="118"/>
      <c r="BW1173" s="118">
        <f>INDEX('Dist Plant Depreciation'!$E$7:$AD$94,MATCH($C1173,'Dist Plant Depreciation'!$D$7:$D$94,0),MATCH(Calculation!$G1173,'Dist Plant Depreciation'!$E$5:$AD$5,0))</f>
        <v>10337</v>
      </c>
      <c r="BX1173" s="118">
        <f>INDEX('Gen. Plant Depreciation'!$E$7:$AD$94,MATCH($C1173,'Gen. Plant Depreciation'!$D$7:$D$94,0),MATCH(Calculation!$G1173,'Gen. Plant Depreciation'!$E$5:$AD$5,0))</f>
        <v>179</v>
      </c>
      <c r="BY1173" s="118"/>
      <c r="BZ1173" s="118"/>
      <c r="CA1173" s="118"/>
      <c r="CB1173" s="118"/>
      <c r="CC1173" s="118"/>
      <c r="CD1173" s="183"/>
      <c r="CE1173" s="118">
        <f>INDEX('Gross Dx Plant'!$E$7:$AD$91,MATCH($C1173,'Gross Dx Plant'!$D$7:$D$91,0),MATCH(Calculation!$G1173,'Gross Dx Plant'!$E$5:$AD$5,0))</f>
        <v>18128</v>
      </c>
      <c r="CF1173" s="118">
        <f>INDEX('Gross Gen Plant'!$E$7:$AD$91,MATCH($C1173,'Gross Gen Plant'!$D$7:$D$91,0),MATCH(Calculation!$G1173,'Gross Gen Plant'!$E$5:$AD$5,0))</f>
        <v>526</v>
      </c>
      <c r="CG1173" s="118">
        <f t="shared" si="3352"/>
        <v>8138</v>
      </c>
      <c r="CH1173" s="118"/>
      <c r="CI1173" s="121">
        <v>2007</v>
      </c>
      <c r="CJ1173" s="118"/>
      <c r="CK1173" s="118"/>
      <c r="CL1173" s="118"/>
      <c r="CM1173" s="183"/>
      <c r="CN1173" s="118">
        <f t="shared" si="3492"/>
        <v>474</v>
      </c>
      <c r="CO1173" s="118">
        <f t="shared" si="3493"/>
        <v>0.95176458015893783</v>
      </c>
      <c r="CP1173" s="186">
        <v>0.94915254237288138</v>
      </c>
      <c r="CQ1173" s="118">
        <f>+CQ1164*CP1173+CO1165*CP1172+CO1166*CP1171+CO1167*CP1170+CO1168*CP1169+CO1169*CP1168+CO1170*CP1167+CO1171*CP1166+CO1172*CP1165+CO1173</f>
        <v>52.47343241322087</v>
      </c>
      <c r="CR1173" s="119">
        <f t="shared" si="3494"/>
        <v>1.1811577958029108E-2</v>
      </c>
      <c r="CS1173" s="119"/>
      <c r="CT1173" s="177">
        <f t="shared" si="3495"/>
        <v>6.4719267536315584E-3</v>
      </c>
      <c r="CU1173" s="177">
        <f t="shared" si="3503"/>
        <v>6.2569588068266081E-3</v>
      </c>
      <c r="CV1173" s="119">
        <f>VLOOKUP($H1173,RoR!$E:$F,2,FALSE)</f>
        <v>5.5558333333333321E-2</v>
      </c>
      <c r="CW1173" s="177">
        <v>2.691120634145272E-2</v>
      </c>
      <c r="CX1173" s="177">
        <f t="shared" si="3501"/>
        <v>2.86471269918806E-2</v>
      </c>
      <c r="CY1173" s="177">
        <f t="shared" si="3504"/>
        <v>2.4644982801707016E-2</v>
      </c>
      <c r="CZ1173" s="177">
        <f t="shared" si="3505"/>
        <v>6.4575155250632399E-2</v>
      </c>
      <c r="DA1173" s="187">
        <f t="shared" si="3496"/>
        <v>0.84949374999999994</v>
      </c>
      <c r="DB1173" s="188">
        <f t="shared" si="3497"/>
        <v>0.92303077153834634</v>
      </c>
      <c r="DC1173" s="188">
        <f t="shared" si="3498"/>
        <v>0.52502249887505614</v>
      </c>
      <c r="DD1173" s="188">
        <f t="shared" si="3499"/>
        <v>0.88499666072084604</v>
      </c>
      <c r="DE1173" s="188">
        <f t="shared" si="3500"/>
        <v>0.42887993290280618</v>
      </c>
      <c r="DF1173" s="189">
        <f>INDEX('State Tax Lookup'!$D$7:$Z$91,MATCH(Calculation!$C1173,'State Tax Lookup'!$B$7:$B$91,0),MATCH($H1173,'State Tax Lookup'!$D$6:$Z$6,0))</f>
        <v>0.40134999999999998</v>
      </c>
      <c r="DG1173" s="189">
        <v>0.375</v>
      </c>
      <c r="DH1173" s="190">
        <f t="shared" si="3502"/>
        <v>17.325012799458957</v>
      </c>
      <c r="DI1173" s="190">
        <v>17.0622275614469</v>
      </c>
      <c r="DJ1173" s="177"/>
      <c r="DK1173" s="189">
        <f>VLOOKUP($H1173,RoR!$E:$F,2,FALSE)</f>
        <v>5.5558333333333321E-2</v>
      </c>
      <c r="DL1173" s="191">
        <f>HLOOKUP($H1173,'GDP-PI'!$D$8:$CQ$11,3,FALSE)</f>
        <v>2.691120634145272E-2</v>
      </c>
      <c r="DM1173" s="189">
        <f>VLOOKUP(H1173,'HW Dx Data'!$E:$F,2,FALSE)</f>
        <v>498.0223154772637</v>
      </c>
      <c r="DN1173" s="183">
        <f>VLOOKUP(H1173,'ECI - Input Price'!$G$17:$H$37,2,FALSE)</f>
        <v>105.22500000000001</v>
      </c>
      <c r="DO1173" s="177">
        <f t="shared" ref="DO1173" si="3530">LN(DN1173/DN1172)</f>
        <v>3.0638025400780679E-2</v>
      </c>
      <c r="DP1173" s="183">
        <f>HLOOKUP(H1173,'GDP-PI'!$8:$9,2,FALSE)</f>
        <v>92.498000000000005</v>
      </c>
      <c r="DQ1173" s="177">
        <f t="shared" ref="DQ1173" si="3531">LN(DP1173/DP1172)</f>
        <v>2.6555467950038037E-2</v>
      </c>
    </row>
    <row r="1174" spans="1:121" s="167" customFormat="1" ht="21" x14ac:dyDescent="0.35">
      <c r="A1174" s="167" t="s">
        <v>111</v>
      </c>
      <c r="B1174" s="167" t="s">
        <v>111</v>
      </c>
      <c r="C1174" s="167">
        <v>4063281</v>
      </c>
      <c r="D1174" s="168" t="s">
        <v>144</v>
      </c>
      <c r="E1174" s="168"/>
      <c r="F1174" s="198"/>
      <c r="G1174" s="167" t="s">
        <v>14</v>
      </c>
      <c r="H1174" s="169">
        <v>2008</v>
      </c>
      <c r="I1174" s="170"/>
      <c r="J1174" s="166">
        <f>IFERROR(INDEX('Labor Expenditures'!$F$7:$X$91,MATCH($C1174,'Labor Expenditures'!$D$7:$D$91,0),MATCH($G1174,'Labor Expenditures'!$F$5:$X$5,0)),"NA")</f>
        <v>1615.5188599493317</v>
      </c>
      <c r="K1174" s="166">
        <f t="shared" si="3508"/>
        <v>14.927409193341019</v>
      </c>
      <c r="L1174" s="172">
        <f t="shared" si="3515"/>
        <v>-1.3092270074512439E-2</v>
      </c>
      <c r="M1174" s="172">
        <f t="shared" si="3519"/>
        <v>-7.2682197998513542E-6</v>
      </c>
      <c r="N1174" s="196"/>
      <c r="O1174" s="172"/>
      <c r="P1174" s="166">
        <f>IFERROR(INDEX('Non-Labor Expenditures'!$F$7:$AB$91,MATCH($C1174,'Non-Labor Expenditures'!$D$7:$D$91,0),MATCH($G1174,'Non-Labor Expenditures'!$F$5:$AB$5,0)),"NA")</f>
        <v>2339.5730465081797</v>
      </c>
      <c r="Q1174" s="166">
        <f t="shared" si="3509"/>
        <v>24.819369499577569</v>
      </c>
      <c r="R1174" s="172">
        <f t="shared" si="3520"/>
        <v>-3.8931251511346646E-3</v>
      </c>
      <c r="S1174" s="172">
        <f t="shared" si="3525"/>
        <v>-2.1612821264558292E-6</v>
      </c>
      <c r="T1174" s="172"/>
      <c r="U1174" s="172"/>
      <c r="V1174" s="166">
        <f t="shared" si="3490"/>
        <v>1031.3222578032296</v>
      </c>
      <c r="W1174" s="170"/>
      <c r="X1174" s="174">
        <v>53.304363415286907</v>
      </c>
      <c r="Y1174" s="175">
        <v>1.5711200783959083E-2</v>
      </c>
      <c r="Z1174" s="175">
        <f t="shared" si="3526"/>
        <v>8.7221283984751666E-6</v>
      </c>
      <c r="AA1174" s="175"/>
      <c r="AB1174" s="175"/>
      <c r="AC1174" s="170">
        <f t="shared" si="3457"/>
        <v>4986.414164260741</v>
      </c>
      <c r="AD1174" s="175">
        <f t="shared" si="3521"/>
        <v>3.9234785076874508E-2</v>
      </c>
      <c r="AE1174" s="170"/>
      <c r="AF1174" s="170"/>
      <c r="AG1174" s="121">
        <f t="shared" si="3522"/>
        <v>410.06695429775834</v>
      </c>
      <c r="AH1174" s="119">
        <f>+AZ1174/$BB$46</f>
        <v>3.4147855231818103E-4</v>
      </c>
      <c r="AI1174" s="119"/>
      <c r="AJ1174" s="176">
        <f t="shared" si="3527"/>
        <v>0.14002906990712422</v>
      </c>
      <c r="AK1174" s="176">
        <f t="shared" si="3528"/>
        <v>0</v>
      </c>
      <c r="AL1174" s="120">
        <f t="shared" si="3510"/>
        <v>0.32398409091813574</v>
      </c>
      <c r="AM1174" s="120">
        <f t="shared" si="3511"/>
        <v>0.4691894755306657</v>
      </c>
      <c r="AN1174" s="120">
        <f t="shared" si="3512"/>
        <v>0.20682643355119859</v>
      </c>
      <c r="AO1174" s="120">
        <f t="shared" si="3516"/>
        <v>-3.0459049075327329E-3</v>
      </c>
      <c r="AP1174" s="173">
        <f t="shared" ref="AP1174:AP1187" si="3532">+AP1173*EXP(AO1174)</f>
        <v>98.285745247827961</v>
      </c>
      <c r="AQ1174" s="175">
        <f t="shared" ref="AQ1174:AQ1187" si="3533">LN(AP1174/AP1173)</f>
        <v>-3.0459049075327264E-3</v>
      </c>
      <c r="AR1174" s="177">
        <f>+AC1174/$AE$46</f>
        <v>5.5515351871642665E-4</v>
      </c>
      <c r="AS1174" s="177">
        <f t="shared" si="3529"/>
        <v>-1.6909448270924251E-6</v>
      </c>
      <c r="AT1174" s="177"/>
      <c r="AU1174" s="177"/>
      <c r="AV1174" s="177"/>
      <c r="AW1174" s="190"/>
      <c r="AX1174" s="120"/>
      <c r="AY1174" s="120"/>
      <c r="AZ1174" s="118">
        <f>IFERROR(INDEX('Total Customers'!$F$7:$AB$91,MATCH($C1174,'Total Customers'!$D$7:$D$91,0),MATCH($G1174,'Total Customers'!$F$5:$AB$5,0)),"NA")</f>
        <v>12160</v>
      </c>
      <c r="BA1174" s="119">
        <f t="shared" si="3491"/>
        <v>4.285485378548639E-3</v>
      </c>
      <c r="BB1174" s="119"/>
      <c r="BC1174" s="121"/>
      <c r="BD1174" s="119"/>
      <c r="BE1174" s="119"/>
      <c r="BF1174" s="119"/>
      <c r="BG1174" s="173"/>
      <c r="BH1174" s="173"/>
      <c r="BI1174" s="173"/>
      <c r="BJ1174" s="173"/>
      <c r="BK1174" s="173"/>
      <c r="BL1174" s="173"/>
      <c r="BM1174" s="173"/>
      <c r="BN1174" s="173"/>
      <c r="BO1174" s="173"/>
      <c r="BP1174" s="173"/>
      <c r="BQ1174" s="118"/>
      <c r="BR1174" s="118"/>
      <c r="BS1174" s="118">
        <f>INDEX('Dist. Plant Gas Additions'!$F$7:$AE$91,MATCH($C1174,'Dist. Plant Gas Additions'!$D$7:$D$91,0),MATCH(Calculation!$G1174,'Dist. Plant Gas Additions'!$F$5:$AE$5,0))</f>
        <v>642</v>
      </c>
      <c r="BT1174" s="118">
        <f>INDEX('Gen. Plant Additions'!$F$7:$AE$91,MATCH($C1174,'Gen. Plant Additions'!$D$7:$D$91,0),MATCH(Calculation!$G1174,'Gen. Plant Additions'!$F$5:$AE$5,0))</f>
        <v>32</v>
      </c>
      <c r="BU1174" s="118"/>
      <c r="BV1174" s="118"/>
      <c r="BW1174" s="118">
        <f>INDEX('Dist Plant Depreciation'!$E$7:$AD$94,MATCH($C1174,'Dist Plant Depreciation'!$D$7:$D$94,0),MATCH(Calculation!$G1174,'Dist Plant Depreciation'!$E$5:$AD$5,0))</f>
        <v>10866</v>
      </c>
      <c r="BX1174" s="118">
        <f>INDEX('Gen. Plant Depreciation'!$E$7:$AD$94,MATCH($C1174,'Gen. Plant Depreciation'!$D$7:$D$94,0),MATCH(Calculation!$G1174,'Gen. Plant Depreciation'!$E$5:$AD$5,0))</f>
        <v>198</v>
      </c>
      <c r="BY1174" s="118"/>
      <c r="BZ1174" s="118"/>
      <c r="CA1174" s="118"/>
      <c r="CB1174" s="118"/>
      <c r="CC1174" s="118"/>
      <c r="CD1174" s="183"/>
      <c r="CE1174" s="118">
        <f>INDEX('Gross Dx Plant'!$E$7:$AD$91,MATCH($C1174,'Gross Dx Plant'!$D$7:$D$91,0),MATCH(Calculation!$G1174,'Gross Dx Plant'!$E$5:$AD$5,0))</f>
        <v>18716</v>
      </c>
      <c r="CF1174" s="118">
        <f>INDEX('Gross Gen Plant'!$E$7:$AD$91,MATCH($C1174,'Gross Gen Plant'!$D$7:$D$91,0),MATCH(Calculation!$G1174,'Gross Gen Plant'!$E$5:$AD$5,0))</f>
        <v>558</v>
      </c>
      <c r="CG1174" s="118">
        <f t="shared" si="3352"/>
        <v>8210</v>
      </c>
      <c r="CH1174" s="118"/>
      <c r="CI1174" s="121">
        <v>2008</v>
      </c>
      <c r="CJ1174" s="118"/>
      <c r="CK1174" s="118"/>
      <c r="CL1174" s="118"/>
      <c r="CM1174" s="183"/>
      <c r="CN1174" s="118">
        <f t="shared" si="3492"/>
        <v>674</v>
      </c>
      <c r="CO1174" s="118">
        <f t="shared" si="3493"/>
        <v>1.1827026335585529</v>
      </c>
      <c r="CP1174" s="186">
        <v>0.94252873563218387</v>
      </c>
      <c r="CQ1174" s="118">
        <f>+CQ1164*CP1174+CO1165*CP1173+CO1166*CP1172+CO1167*CP1171+CO1168*CP1170+CO1169*CP1169+CO1170*CP1168+CO1171*CP1167+CO1172*CP1166+CO1173*CP1165+CO1174</f>
        <v>53.304363415286907</v>
      </c>
      <c r="CR1174" s="119">
        <f t="shared" si="3494"/>
        <v>1.5711200783959083E-2</v>
      </c>
      <c r="CS1174" s="119"/>
      <c r="CT1174" s="177">
        <f t="shared" si="3495"/>
        <v>6.7038044838074115E-3</v>
      </c>
      <c r="CU1174" s="177">
        <f t="shared" si="3503"/>
        <v>6.4764951786472555E-3</v>
      </c>
      <c r="CV1174" s="119">
        <f>VLOOKUP($H1174,RoR!$E:$F,2,FALSE)</f>
        <v>5.6316666666666668E-2</v>
      </c>
      <c r="CW1174" s="177">
        <v>1.9092304698479889E-2</v>
      </c>
      <c r="CX1174" s="177">
        <f t="shared" si="3501"/>
        <v>3.7224361968186778E-2</v>
      </c>
      <c r="CY1174" s="177">
        <f t="shared" si="3504"/>
        <v>2.442544642988637E-2</v>
      </c>
      <c r="CZ1174" s="177">
        <f t="shared" si="3505"/>
        <v>6.9030581091053131E-2</v>
      </c>
      <c r="DA1174" s="187">
        <f t="shared" si="3496"/>
        <v>0.84949374999999994</v>
      </c>
      <c r="DB1174" s="188">
        <f t="shared" si="3497"/>
        <v>0.91060168006009956</v>
      </c>
      <c r="DC1174" s="188">
        <f t="shared" si="3498"/>
        <v>0.53108168097070152</v>
      </c>
      <c r="DD1174" s="188">
        <f t="shared" si="3499"/>
        <v>0.88825329850328805</v>
      </c>
      <c r="DE1174" s="188">
        <f t="shared" si="3500"/>
        <v>0.4295627335323573</v>
      </c>
      <c r="DF1174" s="189">
        <f>INDEX('State Tax Lookup'!$D$7:$Z$91,MATCH(Calculation!$C1174,'State Tax Lookup'!$B$7:$B$91,0),MATCH($H1174,'State Tax Lookup'!$D$6:$Z$6,0))</f>
        <v>0.40134999999999998</v>
      </c>
      <c r="DG1174" s="189">
        <v>0.375</v>
      </c>
      <c r="DH1174" s="190">
        <f t="shared" si="3502"/>
        <v>19.65417946517606</v>
      </c>
      <c r="DI1174" s="190">
        <v>19.359013469482829</v>
      </c>
      <c r="DJ1174" s="177"/>
      <c r="DK1174" s="189">
        <f>VLOOKUP($H1174,RoR!$E:$F,2,FALSE)</f>
        <v>5.6316666666666668E-2</v>
      </c>
      <c r="DL1174" s="191">
        <f>HLOOKUP($H1174,'GDP-PI'!$D$8:$CQ$11,3,FALSE)</f>
        <v>1.9092304698479889E-2</v>
      </c>
      <c r="DM1174" s="189">
        <f>VLOOKUP(H1174,'HW Dx Data'!$E:$F,2,FALSE)</f>
        <v>569.88120333515076</v>
      </c>
      <c r="DN1174" s="183">
        <f>VLOOKUP(H1174,'ECI - Input Price'!$G$17:$H$37,2,FALSE)</f>
        <v>108.22499999999999</v>
      </c>
      <c r="DO1174" s="177">
        <f t="shared" ref="DO1174" si="3534">LN(DN1174/DN1173)</f>
        <v>2.8111478671409691E-2</v>
      </c>
      <c r="DP1174" s="183">
        <f>HLOOKUP(H1174,'GDP-PI'!$8:$9,2,FALSE)</f>
        <v>94.263999999999996</v>
      </c>
      <c r="DQ1174" s="177">
        <f t="shared" ref="DQ1174" si="3535">LN(DP1174/DP1173)</f>
        <v>1.8912333748032254E-2</v>
      </c>
    </row>
    <row r="1175" spans="1:121" s="167" customFormat="1" ht="21" x14ac:dyDescent="0.35">
      <c r="A1175" s="167" t="s">
        <v>111</v>
      </c>
      <c r="B1175" s="167" t="s">
        <v>111</v>
      </c>
      <c r="C1175" s="167">
        <v>4063281</v>
      </c>
      <c r="D1175" s="168" t="s">
        <v>144</v>
      </c>
      <c r="E1175" s="168"/>
      <c r="F1175" s="198"/>
      <c r="G1175" s="167" t="s">
        <v>15</v>
      </c>
      <c r="H1175" s="169">
        <v>2009</v>
      </c>
      <c r="I1175" s="170"/>
      <c r="J1175" s="166">
        <f>IFERROR(INDEX('Labor Expenditures'!$F$7:$X$91,MATCH($C1175,'Labor Expenditures'!$D$7:$D$91,0),MATCH($G1175,'Labor Expenditures'!$F$5:$X$5,0)),"NA")</f>
        <v>1550.9284016796626</v>
      </c>
      <c r="K1175" s="166">
        <f t="shared" si="3508"/>
        <v>14.128247794850036</v>
      </c>
      <c r="L1175" s="172">
        <f t="shared" si="3515"/>
        <v>-5.5022883260338849E-2</v>
      </c>
      <c r="M1175" s="172">
        <f t="shared" si="3519"/>
        <v>-2.8193172559029111E-5</v>
      </c>
      <c r="N1175" s="196"/>
      <c r="O1175" s="172"/>
      <c r="P1175" s="166">
        <f>IFERROR(INDEX('Non-Labor Expenditures'!$F$7:$AB$91,MATCH($C1175,'Non-Labor Expenditures'!$D$7:$D$91,0),MATCH($G1175,'Non-Labor Expenditures'!$F$5:$AB$5,0)),"NA")</f>
        <v>2246.0339991001729</v>
      </c>
      <c r="Q1175" s="166">
        <f t="shared" si="3509"/>
        <v>23.642712019075706</v>
      </c>
      <c r="R1175" s="172">
        <f t="shared" si="3520"/>
        <v>-4.8569468958911996E-2</v>
      </c>
      <c r="S1175" s="172">
        <f t="shared" si="3525"/>
        <v>-2.4886507909447219E-5</v>
      </c>
      <c r="T1175" s="172"/>
      <c r="U1175" s="172"/>
      <c r="V1175" s="166">
        <f t="shared" si="3490"/>
        <v>1003.5603871707956</v>
      </c>
      <c r="W1175" s="170"/>
      <c r="X1175" s="174">
        <v>54.393873104903747</v>
      </c>
      <c r="Y1175" s="175">
        <v>2.023332774752859E-2</v>
      </c>
      <c r="Z1175" s="175">
        <f t="shared" si="3526"/>
        <v>1.0367353850405119E-5</v>
      </c>
      <c r="AA1175" s="175"/>
      <c r="AB1175" s="175"/>
      <c r="AC1175" s="170">
        <f t="shared" si="3457"/>
        <v>4800.522787950631</v>
      </c>
      <c r="AD1175" s="175">
        <f t="shared" si="3521"/>
        <v>-3.7992220947480518E-2</v>
      </c>
      <c r="AE1175" s="170"/>
      <c r="AF1175" s="170"/>
      <c r="AG1175" s="121">
        <f t="shared" si="3522"/>
        <v>391.46398009872229</v>
      </c>
      <c r="AH1175" s="119">
        <f>+AZ1175/$BB$47</f>
        <v>3.4387412944127674E-4</v>
      </c>
      <c r="AI1175" s="119"/>
      <c r="AJ1175" s="176">
        <f t="shared" si="3527"/>
        <v>0.13461433536406542</v>
      </c>
      <c r="AK1175" s="176">
        <f t="shared" si="3528"/>
        <v>0</v>
      </c>
      <c r="AL1175" s="120">
        <f t="shared" si="3510"/>
        <v>0.32307489625348956</v>
      </c>
      <c r="AM1175" s="120">
        <f t="shared" si="3511"/>
        <v>0.46787279184211872</v>
      </c>
      <c r="AN1175" s="120">
        <f t="shared" si="3512"/>
        <v>0.20905231190439175</v>
      </c>
      <c r="AO1175" s="120">
        <f t="shared" si="3516"/>
        <v>-3.6350528430696798E-2</v>
      </c>
      <c r="AP1175" s="173">
        <f t="shared" si="3532"/>
        <v>94.777162227806699</v>
      </c>
      <c r="AQ1175" s="175">
        <f t="shared" si="3533"/>
        <v>-3.6350528430696846E-2</v>
      </c>
      <c r="AR1175" s="177">
        <f>+AC1175/$AE$47</f>
        <v>5.1238995284260368E-4</v>
      </c>
      <c r="AS1175" s="177">
        <f t="shared" si="3529"/>
        <v>-1.8625645548408483E-5</v>
      </c>
      <c r="AT1175" s="177"/>
      <c r="AU1175" s="177"/>
      <c r="AV1175" s="177"/>
      <c r="AW1175" s="190"/>
      <c r="AX1175" s="120"/>
      <c r="AY1175" s="120"/>
      <c r="AZ1175" s="118">
        <f>IFERROR(INDEX('Total Customers'!$F$7:$AB$91,MATCH($C1175,'Total Customers'!$D$7:$D$91,0),MATCH($G1175,'Total Customers'!$F$5:$AB$5,0)),"NA")</f>
        <v>12263</v>
      </c>
      <c r="BA1175" s="119">
        <f t="shared" si="3491"/>
        <v>8.4347222418680139E-3</v>
      </c>
      <c r="BB1175" s="119"/>
      <c r="BC1175" s="121"/>
      <c r="BD1175" s="119"/>
      <c r="BE1175" s="119"/>
      <c r="BF1175" s="119"/>
      <c r="BG1175" s="173"/>
      <c r="BH1175" s="173"/>
      <c r="BI1175" s="173"/>
      <c r="BJ1175" s="173"/>
      <c r="BK1175" s="173"/>
      <c r="BL1175" s="173"/>
      <c r="BM1175" s="173"/>
      <c r="BN1175" s="173"/>
      <c r="BO1175" s="173"/>
      <c r="BP1175" s="173"/>
      <c r="BQ1175" s="118"/>
      <c r="BR1175" s="118"/>
      <c r="BS1175" s="118">
        <f>INDEX('Dist. Plant Gas Additions'!$F$7:$AE$91,MATCH($C1175,'Dist. Plant Gas Additions'!$D$7:$D$91,0),MATCH(Calculation!$G1175,'Dist. Plant Gas Additions'!$F$5:$AE$5,0))</f>
        <v>563</v>
      </c>
      <c r="BT1175" s="118">
        <f>INDEX('Gen. Plant Additions'!$F$7:$AE$91,MATCH($C1175,'Gen. Plant Additions'!$D$7:$D$91,0),MATCH(Calculation!$G1175,'Gen. Plant Additions'!$F$5:$AE$5,0))</f>
        <v>241</v>
      </c>
      <c r="BU1175" s="118"/>
      <c r="BV1175" s="118"/>
      <c r="BW1175" s="118">
        <f>INDEX('Dist Plant Depreciation'!$E$7:$AD$94,MATCH($C1175,'Dist Plant Depreciation'!$D$7:$D$94,0),MATCH(Calculation!$G1175,'Dist Plant Depreciation'!$E$5:$AD$5,0))</f>
        <v>11468</v>
      </c>
      <c r="BX1175" s="118">
        <f>INDEX('Gen. Plant Depreciation'!$E$7:$AD$94,MATCH($C1175,'Gen. Plant Depreciation'!$D$7:$D$94,0),MATCH(Calculation!$G1175,'Gen. Plant Depreciation'!$E$5:$AD$5,0))</f>
        <v>246</v>
      </c>
      <c r="BY1175" s="118"/>
      <c r="BZ1175" s="118"/>
      <c r="CA1175" s="118"/>
      <c r="CB1175" s="118"/>
      <c r="CC1175" s="118"/>
      <c r="CD1175" s="183"/>
      <c r="CE1175" s="118">
        <f>INDEX('Gross Dx Plant'!$E$7:$AD$91,MATCH($C1175,'Gross Dx Plant'!$D$7:$D$91,0),MATCH(Calculation!$G1175,'Gross Dx Plant'!$E$5:$AD$5,0))</f>
        <v>19236</v>
      </c>
      <c r="CF1175" s="118">
        <f>INDEX('Gross Gen Plant'!$E$7:$AD$91,MATCH($C1175,'Gross Gen Plant'!$D$7:$D$91,0),MATCH(Calculation!$G1175,'Gross Gen Plant'!$E$5:$AD$5,0))</f>
        <v>799</v>
      </c>
      <c r="CG1175" s="118">
        <f t="shared" si="3352"/>
        <v>8321</v>
      </c>
      <c r="CH1175" s="118"/>
      <c r="CI1175" s="121">
        <v>2009</v>
      </c>
      <c r="CJ1175" s="118"/>
      <c r="CK1175" s="118"/>
      <c r="CL1175" s="118"/>
      <c r="CM1175" s="183"/>
      <c r="CN1175" s="118">
        <f t="shared" si="3492"/>
        <v>804</v>
      </c>
      <c r="CO1175" s="118">
        <f t="shared" si="3493"/>
        <v>1.4593223775873831</v>
      </c>
      <c r="CP1175" s="186">
        <v>0.93567251461988299</v>
      </c>
      <c r="CQ1175" s="118">
        <f>+CQ1164*CP1175+CO1165*CP1174+CO1166*CP1173+CO1167*CP1172+CO1168*CP1171+CO1169*CP1170+CO1170*CP1169+CO1171*CP1168+CO1172*CP1167+CO1173*CP1166+CO1174*CP1165+CO1175</f>
        <v>54.393873104903747</v>
      </c>
      <c r="CR1175" s="119">
        <f t="shared" si="3494"/>
        <v>2.023332774752859E-2</v>
      </c>
      <c r="CS1175" s="119"/>
      <c r="CT1175" s="177">
        <f t="shared" si="3495"/>
        <v>6.9377563913367475E-3</v>
      </c>
      <c r="CU1175" s="177">
        <f t="shared" si="3503"/>
        <v>6.7044958762585731E-3</v>
      </c>
      <c r="CV1175" s="119">
        <f>VLOOKUP($H1175,RoR!$E:$F,2,FALSE)</f>
        <v>5.3133333333333324E-2</v>
      </c>
      <c r="CW1175" s="177">
        <v>7.7972502758210105E-3</v>
      </c>
      <c r="CX1175" s="177">
        <f t="shared" si="3501"/>
        <v>4.5336083057512314E-2</v>
      </c>
      <c r="CY1175" s="177">
        <f t="shared" si="3504"/>
        <v>2.4197445732275051E-2</v>
      </c>
      <c r="CZ1175" s="177">
        <f t="shared" si="3505"/>
        <v>6.3720160300892073E-2</v>
      </c>
      <c r="DA1175" s="187">
        <f t="shared" si="3496"/>
        <v>0.84949374999999994</v>
      </c>
      <c r="DB1175" s="188">
        <f t="shared" si="3497"/>
        <v>0.96515780330083989</v>
      </c>
      <c r="DC1175" s="188">
        <f t="shared" si="3498"/>
        <v>0.50448557089084056</v>
      </c>
      <c r="DD1175" s="188">
        <f t="shared" si="3499"/>
        <v>0.87391435735465484</v>
      </c>
      <c r="DE1175" s="188">
        <f t="shared" si="3500"/>
        <v>0.42551605393279146</v>
      </c>
      <c r="DF1175" s="189">
        <f>INDEX('State Tax Lookup'!$D$7:$Z$91,MATCH(Calculation!$C1175,'State Tax Lookup'!$B$7:$B$91,0),MATCH($H1175,'State Tax Lookup'!$D$6:$Z$6,0))</f>
        <v>0.40134999999999998</v>
      </c>
      <c r="DG1175" s="189">
        <v>0.375</v>
      </c>
      <c r="DH1175" s="190">
        <f t="shared" si="3502"/>
        <v>18.826983812792129</v>
      </c>
      <c r="DI1175" s="190">
        <v>18.474710107682402</v>
      </c>
      <c r="DJ1175" s="177"/>
      <c r="DK1175" s="189">
        <f>VLOOKUP($H1175,RoR!$E:$F,2,FALSE)</f>
        <v>5.3133333333333324E-2</v>
      </c>
      <c r="DL1175" s="191">
        <f>HLOOKUP($H1175,'GDP-PI'!$D$8:$CQ$11,3,FALSE)</f>
        <v>7.7972502758210105E-3</v>
      </c>
      <c r="DM1175" s="189">
        <f>VLOOKUP(H1175,'HW Dx Data'!$E:$F,2,FALSE)</f>
        <v>550.94063679692806</v>
      </c>
      <c r="DN1175" s="183">
        <f>VLOOKUP(H1175,'ECI - Input Price'!$G$17:$H$37,2,FALSE)</f>
        <v>109.77499999999999</v>
      </c>
      <c r="DO1175" s="177">
        <f t="shared" ref="DO1175" si="3536">LN(DN1175/DN1174)</f>
        <v>1.4220423119736749E-2</v>
      </c>
      <c r="DP1175" s="183">
        <f>HLOOKUP(H1175,'GDP-PI'!$8:$9,2,FALSE)</f>
        <v>94.998999999999995</v>
      </c>
      <c r="DQ1175" s="177">
        <f t="shared" ref="DQ1175" si="3537">LN(DP1175/DP1174)</f>
        <v>7.7670088183096342E-3</v>
      </c>
    </row>
    <row r="1176" spans="1:121" s="167" customFormat="1" ht="21" x14ac:dyDescent="0.35">
      <c r="A1176" s="167" t="s">
        <v>111</v>
      </c>
      <c r="B1176" s="167" t="s">
        <v>111</v>
      </c>
      <c r="C1176" s="167">
        <v>4063281</v>
      </c>
      <c r="D1176" s="168" t="s">
        <v>144</v>
      </c>
      <c r="E1176" s="168"/>
      <c r="F1176" s="198"/>
      <c r="G1176" s="167" t="s">
        <v>16</v>
      </c>
      <c r="H1176" s="169">
        <v>2010</v>
      </c>
      <c r="I1176" s="170"/>
      <c r="J1176" s="166">
        <f>IFERROR(INDEX('Labor Expenditures'!$F$7:$X$91,MATCH($C1176,'Labor Expenditures'!$D$7:$D$91,0),MATCH($G1176,'Labor Expenditures'!$F$5:$X$5,0)),"NA")</f>
        <v>1568.1777202576584</v>
      </c>
      <c r="K1176" s="166">
        <f t="shared" si="3508"/>
        <v>14.017231019062868</v>
      </c>
      <c r="L1176" s="172">
        <f t="shared" si="3515"/>
        <v>-7.8888230871982795E-3</v>
      </c>
      <c r="M1176" s="172">
        <f t="shared" si="3519"/>
        <v>-3.9707165138595716E-6</v>
      </c>
      <c r="N1176" s="196"/>
      <c r="O1176" s="172"/>
      <c r="P1176" s="166">
        <f>IFERROR(INDEX('Non-Labor Expenditures'!$F$7:$AB$91,MATCH($C1176,'Non-Labor Expenditures'!$D$7:$D$91,0),MATCH($G1176,'Non-Labor Expenditures'!$F$5:$AB$5,0)),"NA")</f>
        <v>2271.0142341294177</v>
      </c>
      <c r="Q1176" s="166">
        <f t="shared" si="3509"/>
        <v>23.629568865864986</v>
      </c>
      <c r="R1176" s="172">
        <f t="shared" si="3520"/>
        <v>-5.5606174711015049E-4</v>
      </c>
      <c r="S1176" s="172">
        <f t="shared" si="3525"/>
        <v>-2.7988503957692876E-7</v>
      </c>
      <c r="T1176" s="172"/>
      <c r="U1176" s="172"/>
      <c r="V1176" s="166">
        <f t="shared" si="3490"/>
        <v>1048.7688490594076</v>
      </c>
      <c r="W1176" s="170"/>
      <c r="X1176" s="174">
        <v>55.060081285607268</v>
      </c>
      <c r="Y1176" s="175">
        <v>1.217345525204855E-2</v>
      </c>
      <c r="Z1176" s="175">
        <f t="shared" si="3526"/>
        <v>6.1273195336931747E-6</v>
      </c>
      <c r="AA1176" s="175"/>
      <c r="AB1176" s="175"/>
      <c r="AC1176" s="170">
        <f t="shared" si="3457"/>
        <v>4887.9608034464836</v>
      </c>
      <c r="AD1176" s="175">
        <f t="shared" si="3521"/>
        <v>1.8050376762787982E-2</v>
      </c>
      <c r="AE1176" s="170"/>
      <c r="AF1176" s="170"/>
      <c r="AG1176" s="121">
        <f t="shared" si="3522"/>
        <v>396.55693683648252</v>
      </c>
      <c r="AH1176" s="119">
        <f>+AZ1176/$BB$48</f>
        <v>3.437379568072807E-4</v>
      </c>
      <c r="AI1176" s="119"/>
      <c r="AJ1176" s="176">
        <f t="shared" si="3527"/>
        <v>0.13631167122592636</v>
      </c>
      <c r="AK1176" s="176">
        <f t="shared" si="3528"/>
        <v>0</v>
      </c>
      <c r="AL1176" s="120">
        <f t="shared" si="3510"/>
        <v>0.32082452853385035</v>
      </c>
      <c r="AM1176" s="120">
        <f t="shared" si="3511"/>
        <v>0.46461383907336851</v>
      </c>
      <c r="AN1176" s="120">
        <f t="shared" si="3512"/>
        <v>0.21456163239278114</v>
      </c>
      <c r="AO1176" s="120">
        <f t="shared" si="3516"/>
        <v>-2.2064169909718091E-4</v>
      </c>
      <c r="AP1176" s="173">
        <f t="shared" si="3532"/>
        <v>94.756252740534379</v>
      </c>
      <c r="AQ1176" s="175">
        <f t="shared" si="3533"/>
        <v>-2.2064169909717226E-4</v>
      </c>
      <c r="AR1176" s="177">
        <f>+AC1176/$AE$48</f>
        <v>5.0333446066284828E-4</v>
      </c>
      <c r="AS1176" s="177">
        <f t="shared" si="3529"/>
        <v>-1.1105657061480965E-7</v>
      </c>
      <c r="AT1176" s="177"/>
      <c r="AU1176" s="177"/>
      <c r="AV1176" s="177"/>
      <c r="AW1176" s="190"/>
      <c r="AX1176" s="120"/>
      <c r="AY1176" s="120"/>
      <c r="AZ1176" s="118">
        <f>IFERROR(INDEX('Total Customers'!$F$7:$AB$91,MATCH($C1176,'Total Customers'!$D$7:$D$91,0),MATCH($G1176,'Total Customers'!$F$5:$AB$5,0)),"NA")</f>
        <v>12326</v>
      </c>
      <c r="BA1176" s="119">
        <f t="shared" si="3491"/>
        <v>5.1242537601623745E-3</v>
      </c>
      <c r="BB1176" s="119"/>
      <c r="BC1176" s="121"/>
      <c r="BD1176" s="119"/>
      <c r="BE1176" s="119"/>
      <c r="BF1176" s="119"/>
      <c r="BG1176" s="173"/>
      <c r="BH1176" s="173"/>
      <c r="BI1176" s="173"/>
      <c r="BJ1176" s="173"/>
      <c r="BK1176" s="173"/>
      <c r="BL1176" s="173"/>
      <c r="BM1176" s="173"/>
      <c r="BN1176" s="173"/>
      <c r="BO1176" s="173"/>
      <c r="BP1176" s="173"/>
      <c r="BQ1176" s="118"/>
      <c r="BR1176" s="118"/>
      <c r="BS1176" s="118">
        <f>INDEX('Dist. Plant Gas Additions'!$F$7:$AE$91,MATCH($C1176,'Dist. Plant Gas Additions'!$D$7:$D$91,0),MATCH(Calculation!$G1176,'Dist. Plant Gas Additions'!$F$5:$AE$5,0))</f>
        <v>402</v>
      </c>
      <c r="BT1176" s="118">
        <f>INDEX('Gen. Plant Additions'!$F$7:$AE$91,MATCH($C1176,'Gen. Plant Additions'!$D$7:$D$91,0),MATCH(Calculation!$G1176,'Gen. Plant Additions'!$F$5:$AE$5,0))</f>
        <v>199</v>
      </c>
      <c r="BU1176" s="118"/>
      <c r="BV1176" s="118"/>
      <c r="BW1176" s="118">
        <f>INDEX('Dist Plant Depreciation'!$E$7:$AD$94,MATCH($C1176,'Dist Plant Depreciation'!$D$7:$D$94,0),MATCH(Calculation!$G1176,'Dist Plant Depreciation'!$E$5:$AD$5,0))</f>
        <v>12109</v>
      </c>
      <c r="BX1176" s="118">
        <f>INDEX('Gen. Plant Depreciation'!$E$7:$AD$94,MATCH($C1176,'Gen. Plant Depreciation'!$D$7:$D$94,0),MATCH(Calculation!$G1176,'Gen. Plant Depreciation'!$E$5:$AD$5,0))</f>
        <v>262</v>
      </c>
      <c r="BY1176" s="118"/>
      <c r="BZ1176" s="118"/>
      <c r="CA1176" s="118"/>
      <c r="CB1176" s="118"/>
      <c r="CC1176" s="118"/>
      <c r="CD1176" s="183"/>
      <c r="CE1176" s="118">
        <f>INDEX('Gross Dx Plant'!$E$7:$AD$91,MATCH($C1176,'Gross Dx Plant'!$D$7:$D$91,0),MATCH(Calculation!$G1176,'Gross Dx Plant'!$E$5:$AD$5,0))</f>
        <v>19593</v>
      </c>
      <c r="CF1176" s="118">
        <f>INDEX('Gross Gen Plant'!$E$7:$AD$91,MATCH($C1176,'Gross Gen Plant'!$D$7:$D$91,0),MATCH(Calculation!$G1176,'Gross Gen Plant'!$E$5:$AD$5,0))</f>
        <v>998</v>
      </c>
      <c r="CG1176" s="118">
        <f t="shared" si="3352"/>
        <v>8220</v>
      </c>
      <c r="CH1176" s="118"/>
      <c r="CI1176" s="121">
        <v>2010</v>
      </c>
      <c r="CJ1176" s="118"/>
      <c r="CK1176" s="118"/>
      <c r="CL1176" s="118"/>
      <c r="CM1176" s="183"/>
      <c r="CN1176" s="118">
        <f t="shared" si="3492"/>
        <v>601</v>
      </c>
      <c r="CO1176" s="118">
        <f t="shared" si="3493"/>
        <v>1.0562585025248068</v>
      </c>
      <c r="CP1176" s="186">
        <v>0.9285714285714286</v>
      </c>
      <c r="CQ1176" s="118">
        <f>+CQ1164*CP1176+CO1165*CP1175+CO1166*CP1174+CO1167*CP1173+CO1168*CP1172+CO1169*CP1171+CO1170*CP1170+CO1171*CP1169+CO1172*CP1168+CO1173*CP1167+CO1174*CP1166+CO1175*CP1165+CO1176</f>
        <v>55.060081285607268</v>
      </c>
      <c r="CR1176" s="119">
        <f t="shared" si="3494"/>
        <v>1.217345525204855E-2</v>
      </c>
      <c r="CS1176" s="119"/>
      <c r="CT1176" s="177">
        <f t="shared" si="3495"/>
        <v>7.1708503100898335E-3</v>
      </c>
      <c r="CU1176" s="177">
        <f t="shared" si="3503"/>
        <v>6.9374703950779966E-3</v>
      </c>
      <c r="CV1176" s="119">
        <f>VLOOKUP($H1176,RoR!$E:$F,2,FALSE)</f>
        <v>4.9433333333333322E-2</v>
      </c>
      <c r="CW1176" s="177">
        <v>1.1684333519300205E-2</v>
      </c>
      <c r="CX1176" s="177">
        <f t="shared" si="3501"/>
        <v>3.7748999814033117E-2</v>
      </c>
      <c r="CY1176" s="177">
        <f t="shared" si="3504"/>
        <v>2.3964471213455629E-2</v>
      </c>
      <c r="CZ1176" s="177">
        <f t="shared" si="3505"/>
        <v>4.7937530248493419E-2</v>
      </c>
      <c r="DA1176" s="187">
        <f t="shared" si="3496"/>
        <v>0.84949374999999994</v>
      </c>
      <c r="DB1176" s="188">
        <f t="shared" si="3497"/>
        <v>1.037398205301105</v>
      </c>
      <c r="DC1176" s="188">
        <f t="shared" si="3498"/>
        <v>0.46926837491571133</v>
      </c>
      <c r="DD1176" s="188">
        <f t="shared" si="3499"/>
        <v>0.8548537519972772</v>
      </c>
      <c r="DE1176" s="188">
        <f t="shared" si="3500"/>
        <v>0.41615833911547367</v>
      </c>
      <c r="DF1176" s="189">
        <f>INDEX('State Tax Lookup'!$D$7:$Z$91,MATCH(Calculation!$C1176,'State Tax Lookup'!$B$7:$B$91,0),MATCH($H1176,'State Tax Lookup'!$D$6:$Z$6,0))</f>
        <v>0.40134999999999998</v>
      </c>
      <c r="DG1176" s="189">
        <v>0.375</v>
      </c>
      <c r="DH1176" s="190">
        <f t="shared" si="3502"/>
        <v>19.281010694655944</v>
      </c>
      <c r="DI1176" s="190">
        <v>18.949602093455628</v>
      </c>
      <c r="DJ1176" s="177"/>
      <c r="DK1176" s="189">
        <f>VLOOKUP($H1176,RoR!$E:$F,2,FALSE)</f>
        <v>4.9433333333333322E-2</v>
      </c>
      <c r="DL1176" s="191">
        <f>HLOOKUP($H1176,'GDP-PI'!$D$8:$CQ$11,3,FALSE)</f>
        <v>1.1684333519300205E-2</v>
      </c>
      <c r="DM1176" s="189">
        <f>VLOOKUP(H1176,'HW Dx Data'!$E:$F,2,FALSE)</f>
        <v>568.98950262971744</v>
      </c>
      <c r="DN1176" s="183">
        <f>VLOOKUP(H1176,'ECI - Input Price'!$G$17:$H$37,2,FALSE)</f>
        <v>111.875</v>
      </c>
      <c r="DO1176" s="177">
        <f t="shared" ref="DO1176" si="3538">LN(DN1176/DN1175)</f>
        <v>1.8949360147238387E-2</v>
      </c>
      <c r="DP1176" s="183">
        <f>HLOOKUP(H1176,'GDP-PI'!$8:$9,2,FALSE)</f>
        <v>96.108999999999995</v>
      </c>
      <c r="DQ1176" s="177">
        <f t="shared" ref="DQ1176" si="3539">LN(DP1176/DP1175)</f>
        <v>1.1616598807150427E-2</v>
      </c>
    </row>
    <row r="1177" spans="1:121" s="167" customFormat="1" ht="21" x14ac:dyDescent="0.35">
      <c r="A1177" s="167" t="s">
        <v>111</v>
      </c>
      <c r="B1177" s="167" t="s">
        <v>111</v>
      </c>
      <c r="C1177" s="167">
        <v>4063281</v>
      </c>
      <c r="D1177" s="168" t="s">
        <v>144</v>
      </c>
      <c r="E1177" s="168"/>
      <c r="F1177" s="198"/>
      <c r="G1177" s="167" t="s">
        <v>17</v>
      </c>
      <c r="H1177" s="169">
        <v>2011</v>
      </c>
      <c r="I1177" s="170"/>
      <c r="J1177" s="166">
        <f>IFERROR(INDEX('Labor Expenditures'!$F$7:$X$91,MATCH($C1177,'Labor Expenditures'!$D$7:$D$91,0),MATCH($G1177,'Labor Expenditures'!$F$5:$X$5,0)),"NA")</f>
        <v>1619.2926589918366</v>
      </c>
      <c r="K1177" s="166">
        <f t="shared" si="3508"/>
        <v>14.167039886192796</v>
      </c>
      <c r="L1177" s="172">
        <f t="shared" si="3515"/>
        <v>1.0630771929295181E-2</v>
      </c>
      <c r="M1177" s="172">
        <f t="shared" si="3519"/>
        <v>5.3117720766728038E-6</v>
      </c>
      <c r="N1177" s="196"/>
      <c r="O1177" s="172"/>
      <c r="P1177" s="166">
        <f>IFERROR(INDEX('Non-Labor Expenditures'!$F$7:$AB$91,MATCH($C1177,'Non-Labor Expenditures'!$D$7:$D$91,0),MATCH($G1177,'Non-Labor Expenditures'!$F$5:$AB$5,0)),"NA")</f>
        <v>2345.0382123701615</v>
      </c>
      <c r="Q1177" s="166">
        <f t="shared" si="3509"/>
        <v>23.901645184790461</v>
      </c>
      <c r="R1177" s="172">
        <f t="shared" si="3520"/>
        <v>1.1448446922191484E-2</v>
      </c>
      <c r="S1177" s="172">
        <f t="shared" si="3525"/>
        <v>5.7203316078100855E-6</v>
      </c>
      <c r="T1177" s="172"/>
      <c r="U1177" s="172"/>
      <c r="V1177" s="166">
        <f t="shared" si="3490"/>
        <v>1131.6274063701865</v>
      </c>
      <c r="W1177" s="170"/>
      <c r="X1177" s="174">
        <v>55.78395522295331</v>
      </c>
      <c r="Y1177" s="175">
        <v>1.3061311209208514E-2</v>
      </c>
      <c r="Z1177" s="175">
        <f t="shared" si="3526"/>
        <v>6.5262154646193298E-6</v>
      </c>
      <c r="AA1177" s="175"/>
      <c r="AB1177" s="175"/>
      <c r="AC1177" s="170">
        <f t="shared" si="3457"/>
        <v>5095.9582777321848</v>
      </c>
      <c r="AD1177" s="175">
        <f t="shared" si="3521"/>
        <v>4.1672528075842374E-2</v>
      </c>
      <c r="AE1177" s="170"/>
      <c r="AF1177" s="170"/>
      <c r="AG1177" s="121">
        <f t="shared" si="3522"/>
        <v>413.43163051534844</v>
      </c>
      <c r="AH1177" s="119">
        <f>+AZ1177/$BB$49</f>
        <v>3.4206691548104354E-4</v>
      </c>
      <c r="AI1177" s="119"/>
      <c r="AJ1177" s="176">
        <f t="shared" si="3527"/>
        <v>0.14142128261268372</v>
      </c>
      <c r="AK1177" s="176">
        <f t="shared" si="3528"/>
        <v>0</v>
      </c>
      <c r="AL1177" s="120">
        <f t="shared" si="3510"/>
        <v>0.31776018772909931</v>
      </c>
      <c r="AM1177" s="120">
        <f t="shared" si="3511"/>
        <v>0.46017610124817504</v>
      </c>
      <c r="AN1177" s="120">
        <f t="shared" si="3512"/>
        <v>0.22206371102272562</v>
      </c>
      <c r="AO1177" s="120">
        <f t="shared" si="3516"/>
        <v>1.1539478257125195E-2</v>
      </c>
      <c r="AP1177" s="173">
        <f t="shared" si="3532"/>
        <v>95.856023646264077</v>
      </c>
      <c r="AQ1177" s="175">
        <f t="shared" si="3533"/>
        <v>1.1539478257125219E-2</v>
      </c>
      <c r="AR1177" s="177">
        <f>+AC1177/$AE$49</f>
        <v>4.9966005403945994E-4</v>
      </c>
      <c r="AS1177" s="177">
        <f t="shared" si="3529"/>
        <v>5.7658163295423605E-6</v>
      </c>
      <c r="AT1177" s="177"/>
      <c r="AU1177" s="177"/>
      <c r="AV1177" s="177"/>
      <c r="AW1177" s="190"/>
      <c r="AX1177" s="120"/>
      <c r="AY1177" s="120"/>
      <c r="AZ1177" s="118">
        <f>IFERROR(INDEX('Total Customers'!$F$7:$AB$91,MATCH($C1177,'Total Customers'!$D$7:$D$91,0),MATCH($G1177,'Total Customers'!$F$5:$AB$5,0)),"NA")</f>
        <v>12326</v>
      </c>
      <c r="BA1177" s="119">
        <f t="shared" si="3491"/>
        <v>0</v>
      </c>
      <c r="BB1177" s="119"/>
      <c r="BC1177" s="121"/>
      <c r="BD1177" s="119"/>
      <c r="BE1177" s="119"/>
      <c r="BF1177" s="119"/>
      <c r="BG1177" s="173"/>
      <c r="BH1177" s="173"/>
      <c r="BI1177" s="173"/>
      <c r="BJ1177" s="173"/>
      <c r="BK1177" s="173"/>
      <c r="BL1177" s="173"/>
      <c r="BM1177" s="173"/>
      <c r="BN1177" s="173"/>
      <c r="BO1177" s="173"/>
      <c r="BP1177" s="173"/>
      <c r="BQ1177" s="118"/>
      <c r="BR1177" s="118"/>
      <c r="BS1177" s="118">
        <f>INDEX('Dist. Plant Gas Additions'!$F$7:$AE$91,MATCH($C1177,'Dist. Plant Gas Additions'!$D$7:$D$91,0),MATCH(Calculation!$G1177,'Dist. Plant Gas Additions'!$F$5:$AE$5,0))</f>
        <v>547</v>
      </c>
      <c r="BT1177" s="118">
        <f>INDEX('Gen. Plant Additions'!$F$7:$AE$91,MATCH($C1177,'Gen. Plant Additions'!$D$7:$D$91,0),MATCH(Calculation!$G1177,'Gen. Plant Additions'!$F$5:$AE$5,0))</f>
        <v>146</v>
      </c>
      <c r="BU1177" s="118"/>
      <c r="BV1177" s="118"/>
      <c r="BW1177" s="118">
        <f>INDEX('Dist Plant Depreciation'!$E$7:$AD$94,MATCH($C1177,'Dist Plant Depreciation'!$D$7:$D$94,0),MATCH(Calculation!$G1177,'Dist Plant Depreciation'!$E$5:$AD$5,0))</f>
        <v>12633</v>
      </c>
      <c r="BX1177" s="118">
        <f>INDEX('Gen. Plant Depreciation'!$E$7:$AD$94,MATCH($C1177,'Gen. Plant Depreciation'!$D$7:$D$94,0),MATCH(Calculation!$G1177,'Gen. Plant Depreciation'!$E$5:$AD$5,0))</f>
        <v>365</v>
      </c>
      <c r="BY1177" s="118"/>
      <c r="BZ1177" s="118"/>
      <c r="CA1177" s="118"/>
      <c r="CB1177" s="118"/>
      <c r="CC1177" s="118"/>
      <c r="CD1177" s="183"/>
      <c r="CE1177" s="118">
        <f>INDEX('Gross Dx Plant'!$E$7:$AD$91,MATCH($C1177,'Gross Dx Plant'!$D$7:$D$91,0),MATCH(Calculation!$G1177,'Gross Dx Plant'!$E$5:$AD$5,0))</f>
        <v>20080</v>
      </c>
      <c r="CF1177" s="118">
        <f>INDEX('Gross Gen Plant'!$E$7:$AD$91,MATCH($C1177,'Gross Gen Plant'!$D$7:$D$91,0),MATCH(Calculation!$G1177,'Gross Gen Plant'!$E$5:$AD$5,0))</f>
        <v>1144</v>
      </c>
      <c r="CG1177" s="118">
        <f t="shared" si="3352"/>
        <v>8226</v>
      </c>
      <c r="CH1177" s="118"/>
      <c r="CI1177" s="121">
        <v>2011</v>
      </c>
      <c r="CJ1177" s="118"/>
      <c r="CK1177" s="118"/>
      <c r="CL1177" s="118"/>
      <c r="CM1177" s="183"/>
      <c r="CN1177" s="118">
        <f t="shared" si="3492"/>
        <v>693</v>
      </c>
      <c r="CO1177" s="118">
        <f t="shared" si="3493"/>
        <v>1.1330729680888953</v>
      </c>
      <c r="CP1177" s="186">
        <v>0.92121212121212126</v>
      </c>
      <c r="CQ1177" s="118">
        <f>+CQ1164*CP1177+CO1165*CP1176+CO1166*CP1175+CO1167*CP1174+CO1168*CP1173+CO1169*CP1172+CO1170*CP1171+CO1171*CP1170+CO1172*CP1169+CO1173*CP1168+CO1174*CP1167+CO1175*CP1166+CO1176*CP1165+CO1177</f>
        <v>55.78395522295331</v>
      </c>
      <c r="CR1177" s="119">
        <f t="shared" si="3494"/>
        <v>1.3061311209208514E-2</v>
      </c>
      <c r="CS1177" s="119"/>
      <c r="CT1177" s="177">
        <f t="shared" si="3495"/>
        <v>7.4318639055445468E-3</v>
      </c>
      <c r="CU1177" s="177">
        <f t="shared" si="3503"/>
        <v>7.1801568689903762E-3</v>
      </c>
      <c r="CV1177" s="119">
        <f>VLOOKUP($H1177,RoR!$E:$F,2,FALSE)</f>
        <v>4.6391666666666664E-2</v>
      </c>
      <c r="CW1177" s="177">
        <v>2.0840920205183799E-2</v>
      </c>
      <c r="CX1177" s="177">
        <f t="shared" si="3501"/>
        <v>2.5550746461482865E-2</v>
      </c>
      <c r="CY1177" s="177">
        <f t="shared" si="3504"/>
        <v>2.3721784739543249E-2</v>
      </c>
      <c r="CZ1177" s="177">
        <f t="shared" si="3505"/>
        <v>2.4810540821321614E-2</v>
      </c>
      <c r="DA1177" s="187">
        <f t="shared" si="3496"/>
        <v>0.84949374999999994</v>
      </c>
      <c r="DB1177" s="188">
        <f t="shared" si="3497"/>
        <v>1.1054151524782025</v>
      </c>
      <c r="DC1177" s="188">
        <f t="shared" si="3498"/>
        <v>0.43611011316687626</v>
      </c>
      <c r="DD1177" s="188">
        <f t="shared" si="3499"/>
        <v>0.83698442246886229</v>
      </c>
      <c r="DE1177" s="188">
        <f t="shared" si="3500"/>
        <v>0.40349573304423936</v>
      </c>
      <c r="DF1177" s="189">
        <f>INDEX('State Tax Lookup'!$D$7:$Z$91,MATCH(Calculation!$C1177,'State Tax Lookup'!$B$7:$B$91,0),MATCH($H1177,'State Tax Lookup'!$D$6:$Z$6,0))</f>
        <v>0.40134999999999998</v>
      </c>
      <c r="DG1177" s="189">
        <v>0.375</v>
      </c>
      <c r="DH1177" s="190">
        <f t="shared" si="3502"/>
        <v>20.55259236724001</v>
      </c>
      <c r="DI1177" s="190">
        <v>20.187617110476996</v>
      </c>
      <c r="DJ1177" s="177"/>
      <c r="DK1177" s="189">
        <f>VLOOKUP($H1177,RoR!$E:$F,2,FALSE)</f>
        <v>4.6391666666666664E-2</v>
      </c>
      <c r="DL1177" s="191">
        <f>HLOOKUP($H1177,'GDP-PI'!$D$8:$CQ$11,3,FALSE)</f>
        <v>2.0840920205183799E-2</v>
      </c>
      <c r="DM1177" s="189">
        <f>VLOOKUP(H1177,'HW Dx Data'!$E:$F,2,FALSE)</f>
        <v>611.61109612283201</v>
      </c>
      <c r="DN1177" s="183">
        <f>VLOOKUP(H1177,'ECI - Input Price'!$G$17:$H$37,2,FALSE)</f>
        <v>114.3</v>
      </c>
      <c r="DO1177" s="177">
        <f t="shared" ref="DO1177" si="3540">LN(DN1177/DN1176)</f>
        <v>2.1444394205745516E-2</v>
      </c>
      <c r="DP1177" s="183">
        <f>HLOOKUP(H1177,'GDP-PI'!$8:$9,2,FALSE)</f>
        <v>98.111999999999995</v>
      </c>
      <c r="DQ1177" s="177">
        <f t="shared" ref="DQ1177" si="3541">LN(DP1177/DP1176)</f>
        <v>2.0626719212849295E-2</v>
      </c>
    </row>
    <row r="1178" spans="1:121" s="167" customFormat="1" ht="21" x14ac:dyDescent="0.35">
      <c r="A1178" s="167" t="s">
        <v>111</v>
      </c>
      <c r="B1178" s="167" t="s">
        <v>111</v>
      </c>
      <c r="C1178" s="167">
        <v>4063281</v>
      </c>
      <c r="D1178" s="168" t="s">
        <v>144</v>
      </c>
      <c r="E1178" s="168"/>
      <c r="F1178" s="198"/>
      <c r="G1178" s="167" t="s">
        <v>18</v>
      </c>
      <c r="H1178" s="169">
        <v>2012</v>
      </c>
      <c r="I1178" s="170"/>
      <c r="J1178" s="166">
        <f>IFERROR(INDEX('Labor Expenditures'!$F$7:$X$91,MATCH($C1178,'Labor Expenditures'!$D$7:$D$91,0),MATCH($G1178,'Labor Expenditures'!$F$5:$X$5,0)),"NA")</f>
        <v>1598.5986349579066</v>
      </c>
      <c r="K1178" s="166">
        <f t="shared" si="3508"/>
        <v>13.721876694917654</v>
      </c>
      <c r="L1178" s="172">
        <f t="shared" si="3515"/>
        <v>-3.1926733535637887E-2</v>
      </c>
      <c r="M1178" s="172">
        <f t="shared" si="3519"/>
        <v>-1.5388952488468596E-5</v>
      </c>
      <c r="N1178" s="196"/>
      <c r="O1178" s="172"/>
      <c r="P1178" s="166">
        <f>IFERROR(INDEX('Non-Labor Expenditures'!$F$7:$AB$91,MATCH($C1178,'Non-Labor Expenditures'!$D$7:$D$91,0),MATCH($G1178,'Non-Labor Expenditures'!$F$5:$AB$5,0)),"NA")</f>
        <v>2315.0694004584925</v>
      </c>
      <c r="Q1178" s="166">
        <f t="shared" si="3509"/>
        <v>23.150694004584924</v>
      </c>
      <c r="R1178" s="172">
        <f t="shared" si="3520"/>
        <v>-3.1922534069390267E-2</v>
      </c>
      <c r="S1178" s="172">
        <f t="shared" si="3525"/>
        <v>-1.5386928310627497E-5</v>
      </c>
      <c r="T1178" s="172"/>
      <c r="U1178" s="172"/>
      <c r="V1178" s="166">
        <f t="shared" si="3490"/>
        <v>1237.279028274279</v>
      </c>
      <c r="W1178" s="170"/>
      <c r="X1178" s="174">
        <v>56.360409166950923</v>
      </c>
      <c r="Y1178" s="175">
        <v>1.0280659653958791E-2</v>
      </c>
      <c r="Z1178" s="175">
        <f t="shared" si="3526"/>
        <v>4.9553639049321822E-6</v>
      </c>
      <c r="AA1178" s="175"/>
      <c r="AB1178" s="175"/>
      <c r="AC1178" s="170">
        <f t="shared" si="3457"/>
        <v>5150.9470636906781</v>
      </c>
      <c r="AD1178" s="175">
        <f t="shared" si="3521"/>
        <v>1.0732862653000096E-2</v>
      </c>
      <c r="AE1178" s="170"/>
      <c r="AF1178" s="170"/>
      <c r="AG1178" s="121">
        <f t="shared" si="3522"/>
        <v>416.03643192720119</v>
      </c>
      <c r="AH1178" s="119">
        <f>+AZ1178/$BB$50</f>
        <v>3.4193983866463766E-4</v>
      </c>
      <c r="AI1178" s="119"/>
      <c r="AJ1178" s="176">
        <f t="shared" si="3527"/>
        <v>0.1422594304117987</v>
      </c>
      <c r="AK1178" s="176">
        <f t="shared" si="3528"/>
        <v>0</v>
      </c>
      <c r="AL1178" s="120">
        <f t="shared" si="3510"/>
        <v>0.31035042977368577</v>
      </c>
      <c r="AM1178" s="120">
        <f t="shared" si="3511"/>
        <v>0.44944538777685172</v>
      </c>
      <c r="AN1178" s="120">
        <f t="shared" si="3512"/>
        <v>0.24020418244946254</v>
      </c>
      <c r="AO1178" s="120">
        <f t="shared" si="3516"/>
        <v>-2.2169262203913635E-2</v>
      </c>
      <c r="AP1178" s="173">
        <f t="shared" si="3532"/>
        <v>93.75434869201716</v>
      </c>
      <c r="AQ1178" s="175">
        <f t="shared" si="3533"/>
        <v>-2.2169262203913607E-2</v>
      </c>
      <c r="AR1178" s="177">
        <f>+AC1178/$AE$50</f>
        <v>4.8200836052616645E-4</v>
      </c>
      <c r="AS1178" s="177">
        <f t="shared" si="3529"/>
        <v>-1.0685769728983106E-5</v>
      </c>
      <c r="AT1178" s="177"/>
      <c r="AU1178" s="177"/>
      <c r="AV1178" s="177"/>
      <c r="AW1178" s="190"/>
      <c r="AX1178" s="120"/>
      <c r="AY1178" s="120"/>
      <c r="AZ1178" s="118">
        <f>IFERROR(INDEX('Total Customers'!$F$7:$AB$91,MATCH($C1178,'Total Customers'!$D$7:$D$91,0),MATCH($G1178,'Total Customers'!$F$5:$AB$5,0)),"NA")</f>
        <v>12381</v>
      </c>
      <c r="BA1178" s="119">
        <f t="shared" si="3491"/>
        <v>4.4521868985031091E-3</v>
      </c>
      <c r="BB1178" s="119"/>
      <c r="BC1178" s="121"/>
      <c r="BD1178" s="119"/>
      <c r="BE1178" s="119"/>
      <c r="BF1178" s="119"/>
      <c r="BG1178" s="173"/>
      <c r="BH1178" s="173"/>
      <c r="BI1178" s="173"/>
      <c r="BJ1178" s="173"/>
      <c r="BK1178" s="173"/>
      <c r="BL1178" s="173"/>
      <c r="BM1178" s="173"/>
      <c r="BN1178" s="173"/>
      <c r="BO1178" s="173"/>
      <c r="BP1178" s="173"/>
      <c r="BQ1178" s="118"/>
      <c r="BR1178" s="118"/>
      <c r="BS1178" s="118">
        <f>INDEX('Dist. Plant Gas Additions'!$F$7:$AE$91,MATCH($C1178,'Dist. Plant Gas Additions'!$D$7:$D$91,0),MATCH(Calculation!$G1178,'Dist. Plant Gas Additions'!$F$5:$AE$5,0))</f>
        <v>662</v>
      </c>
      <c r="BT1178" s="118">
        <f>INDEX('Gen. Plant Additions'!$F$7:$AE$91,MATCH($C1178,'Gen. Plant Additions'!$D$7:$D$91,0),MATCH(Calculation!$G1178,'Gen. Plant Additions'!$F$5:$AE$5,0))</f>
        <v>11</v>
      </c>
      <c r="BU1178" s="118"/>
      <c r="BV1178" s="118"/>
      <c r="BW1178" s="118">
        <f>INDEX('Dist Plant Depreciation'!$E$7:$AD$94,MATCH($C1178,'Dist Plant Depreciation'!$D$7:$D$94,0),MATCH(Calculation!$G1178,'Dist Plant Depreciation'!$E$5:$AD$5,0))</f>
        <v>13304</v>
      </c>
      <c r="BX1178" s="118">
        <f>INDEX('Gen. Plant Depreciation'!$E$7:$AD$94,MATCH($C1178,'Gen. Plant Depreciation'!$D$7:$D$94,0),MATCH(Calculation!$G1178,'Gen. Plant Depreciation'!$E$5:$AD$5,0))</f>
        <v>270</v>
      </c>
      <c r="BY1178" s="118"/>
      <c r="BZ1178" s="118"/>
      <c r="CA1178" s="118"/>
      <c r="CB1178" s="118"/>
      <c r="CC1178" s="118"/>
      <c r="CD1178" s="183"/>
      <c r="CE1178" s="118">
        <f>INDEX('Gross Dx Plant'!$E$7:$AD$91,MATCH($C1178,'Gross Dx Plant'!$D$7:$D$91,0),MATCH(Calculation!$G1178,'Gross Dx Plant'!$E$5:$AD$5,0))</f>
        <v>20668</v>
      </c>
      <c r="CF1178" s="118">
        <f>INDEX('Gross Gen Plant'!$E$7:$AD$91,MATCH($C1178,'Gross Gen Plant'!$D$7:$D$91,0),MATCH(Calculation!$G1178,'Gross Gen Plant'!$E$5:$AD$5,0))</f>
        <v>1155</v>
      </c>
      <c r="CG1178" s="118">
        <f t="shared" si="3352"/>
        <v>8249</v>
      </c>
      <c r="CH1178" s="118"/>
      <c r="CI1178" s="121">
        <v>2012</v>
      </c>
      <c r="CJ1178" s="118"/>
      <c r="CK1178" s="118"/>
      <c r="CL1178" s="118"/>
      <c r="CM1178" s="183"/>
      <c r="CN1178" s="118">
        <f t="shared" si="3492"/>
        <v>673</v>
      </c>
      <c r="CO1178" s="118">
        <f t="shared" si="3493"/>
        <v>1.0061004036697436</v>
      </c>
      <c r="CP1178" s="186">
        <v>0.9135802469135802</v>
      </c>
      <c r="CQ1178" s="118">
        <f>+CQ1164*CP1178+CO1165*CP1177+CO1166*CP1176+CO1167*CP1175+CO1168*CP1174+CO1169*CP1173+CO1170*CP1172+CO1171*CP1171+CO1172*CP1170+CO1173*CP1169+CO1174*CP1168+CO1175*CP1167+CO1176*CP1166+CO1177*CP1165+CO1178</f>
        <v>56.360409166950923</v>
      </c>
      <c r="CR1178" s="119">
        <f t="shared" si="3494"/>
        <v>1.0280659653958791E-2</v>
      </c>
      <c r="CS1178" s="119"/>
      <c r="CT1178" s="177">
        <f t="shared" si="3495"/>
        <v>7.7019719730332887E-3</v>
      </c>
      <c r="CU1178" s="177">
        <f t="shared" si="3503"/>
        <v>7.434895396222556E-3</v>
      </c>
      <c r="CV1178" s="119">
        <f>VLOOKUP($H1178,RoR!$E:$F,2,FALSE)</f>
        <v>3.6733333333333333E-2</v>
      </c>
      <c r="CW1178" s="177">
        <v>1.924331376386168E-2</v>
      </c>
      <c r="CX1178" s="177">
        <f t="shared" si="3501"/>
        <v>1.7490019569471653E-2</v>
      </c>
      <c r="CY1178" s="177">
        <f t="shared" si="3504"/>
        <v>2.346704621231107E-2</v>
      </c>
      <c r="CZ1178" s="177">
        <f t="shared" si="3505"/>
        <v>6.7122682943869583E-2</v>
      </c>
      <c r="DA1178" s="187">
        <f t="shared" si="3496"/>
        <v>0.84949374999999994</v>
      </c>
      <c r="DB1178" s="188">
        <f t="shared" si="3497"/>
        <v>1.3960631020522127</v>
      </c>
      <c r="DC1178" s="188">
        <f t="shared" si="3498"/>
        <v>0.29441923774954631</v>
      </c>
      <c r="DD1178" s="188">
        <f t="shared" si="3499"/>
        <v>0.76377954189366437</v>
      </c>
      <c r="DE1178" s="188">
        <f t="shared" si="3500"/>
        <v>0.31393465103033691</v>
      </c>
      <c r="DF1178" s="189">
        <f>INDEX('State Tax Lookup'!$D$7:$Z$91,MATCH(Calculation!$C1178,'State Tax Lookup'!$B$7:$B$91,0),MATCH($H1178,'State Tax Lookup'!$D$6:$Z$6,0))</f>
        <v>0.40134999999999998</v>
      </c>
      <c r="DG1178" s="189">
        <v>0.375</v>
      </c>
      <c r="DH1178" s="190">
        <f t="shared" si="3502"/>
        <v>22.179836896276196</v>
      </c>
      <c r="DI1178" s="190">
        <v>21.817554759216108</v>
      </c>
      <c r="DJ1178" s="177"/>
      <c r="DK1178" s="189">
        <f>VLOOKUP($H1178,RoR!$E:$F,2,FALSE)</f>
        <v>3.6733333333333333E-2</v>
      </c>
      <c r="DL1178" s="191">
        <f>HLOOKUP($H1178,'GDP-PI'!$D$8:$CQ$11,3,FALSE)</f>
        <v>1.924331376386168E-2</v>
      </c>
      <c r="DM1178" s="189">
        <f>VLOOKUP(H1178,'HW Dx Data'!$E:$F,2,FALSE)</f>
        <v>668.91932211262167</v>
      </c>
      <c r="DN1178" s="183">
        <f>VLOOKUP(H1178,'ECI - Input Price'!$G$17:$H$37,2,FALSE)</f>
        <v>116.5</v>
      </c>
      <c r="DO1178" s="177">
        <f t="shared" ref="DO1178" si="3542">LN(DN1178/DN1177)</f>
        <v>1.9064702204990347E-2</v>
      </c>
      <c r="DP1178" s="183">
        <f>HLOOKUP(H1178,'GDP-PI'!$8:$9,2,FALSE)</f>
        <v>100</v>
      </c>
      <c r="DQ1178" s="177">
        <f t="shared" ref="DQ1178" si="3543">LN(DP1178/DP1177)</f>
        <v>1.9060502738742411E-2</v>
      </c>
    </row>
    <row r="1179" spans="1:121" s="167" customFormat="1" ht="21" x14ac:dyDescent="0.35">
      <c r="A1179" s="167" t="s">
        <v>111</v>
      </c>
      <c r="B1179" s="167" t="s">
        <v>111</v>
      </c>
      <c r="C1179" s="167">
        <v>4063281</v>
      </c>
      <c r="D1179" s="168" t="s">
        <v>144</v>
      </c>
      <c r="E1179" s="168"/>
      <c r="F1179" s="198"/>
      <c r="G1179" s="167" t="s">
        <v>19</v>
      </c>
      <c r="H1179" s="169">
        <v>2013</v>
      </c>
      <c r="I1179" s="170"/>
      <c r="J1179" s="166">
        <f>IFERROR(INDEX('Labor Expenditures'!$F$7:$X$91,MATCH($C1179,'Labor Expenditures'!$D$7:$D$91,0),MATCH($G1179,'Labor Expenditures'!$F$5:$X$5,0)),"NA")</f>
        <v>1547.7991506599569</v>
      </c>
      <c r="K1179" s="166">
        <f t="shared" si="3508"/>
        <v>13.036842709285803</v>
      </c>
      <c r="L1179" s="172">
        <f t="shared" si="3515"/>
        <v>-5.1211994626481752E-2</v>
      </c>
      <c r="M1179" s="172">
        <f t="shared" si="3519"/>
        <v>-2.3170623340401414E-5</v>
      </c>
      <c r="N1179" s="196"/>
      <c r="O1179" s="172"/>
      <c r="P1179" s="166">
        <f>IFERROR(INDEX('Non-Labor Expenditures'!$F$7:$AB$91,MATCH($C1179,'Non-Labor Expenditures'!$D$7:$D$91,0),MATCH($G1179,'Non-Labor Expenditures'!$F$5:$AB$5,0)),"NA")</f>
        <v>2241.5022591601696</v>
      </c>
      <c r="Q1179" s="166">
        <f t="shared" si="3509"/>
        <v>22.024527715211004</v>
      </c>
      <c r="R1179" s="172">
        <f t="shared" si="3520"/>
        <v>-4.9868030213561794E-2</v>
      </c>
      <c r="S1179" s="172">
        <f t="shared" si="3525"/>
        <v>-2.2562553035352812E-5</v>
      </c>
      <c r="T1179" s="172"/>
      <c r="U1179" s="172"/>
      <c r="V1179" s="166">
        <f t="shared" si="3490"/>
        <v>1225.9950201298641</v>
      </c>
      <c r="W1179" s="170"/>
      <c r="X1179" s="174">
        <v>57.955945926466349</v>
      </c>
      <c r="Y1179" s="175">
        <v>2.7916222061784037E-2</v>
      </c>
      <c r="Z1179" s="175">
        <f t="shared" si="3526"/>
        <v>1.2630561867358367E-5</v>
      </c>
      <c r="AA1179" s="175"/>
      <c r="AB1179" s="175"/>
      <c r="AC1179" s="170">
        <f t="shared" si="3457"/>
        <v>5015.2964299499909</v>
      </c>
      <c r="AD1179" s="175">
        <f t="shared" si="3521"/>
        <v>-2.6688065300084191E-2</v>
      </c>
      <c r="AE1179" s="170"/>
      <c r="AF1179" s="170"/>
      <c r="AG1179" s="121">
        <f t="shared" si="3522"/>
        <v>403.41831000241234</v>
      </c>
      <c r="AH1179" s="119">
        <f>+AZ1179/$BB$51</f>
        <v>3.4115322802584573E-4</v>
      </c>
      <c r="AI1179" s="119"/>
      <c r="AJ1179" s="176">
        <f t="shared" si="3527"/>
        <v>0.13762745870205428</v>
      </c>
      <c r="AK1179" s="176">
        <f t="shared" si="3528"/>
        <v>0</v>
      </c>
      <c r="AL1179" s="120">
        <f t="shared" si="3510"/>
        <v>0.30861568648603099</v>
      </c>
      <c r="AM1179" s="120">
        <f t="shared" si="3511"/>
        <v>0.44693315549097473</v>
      </c>
      <c r="AN1179" s="120">
        <f t="shared" si="3512"/>
        <v>0.24445115802299425</v>
      </c>
      <c r="AO1179" s="120">
        <f t="shared" si="3516"/>
        <v>-3.1434687795138361E-2</v>
      </c>
      <c r="AP1179" s="173">
        <f t="shared" si="3532"/>
        <v>90.853049629993876</v>
      </c>
      <c r="AQ1179" s="175">
        <f t="shared" si="3533"/>
        <v>-3.1434687795138354E-2</v>
      </c>
      <c r="AR1179" s="177">
        <f>+AC1179/$AE$51</f>
        <v>4.5244524274826566E-4</v>
      </c>
      <c r="AS1179" s="177">
        <f t="shared" si="3529"/>
        <v>-1.4222474950187317E-5</v>
      </c>
      <c r="AT1179" s="177"/>
      <c r="AU1179" s="177"/>
      <c r="AV1179" s="177"/>
      <c r="AW1179" s="190"/>
      <c r="AX1179" s="120"/>
      <c r="AY1179" s="120"/>
      <c r="AZ1179" s="118">
        <f>IFERROR(INDEX('Total Customers'!$F$7:$AB$91,MATCH($C1179,'Total Customers'!$D$7:$D$91,0),MATCH($G1179,'Total Customers'!$F$5:$AB$5,0)),"NA")</f>
        <v>12432</v>
      </c>
      <c r="BA1179" s="119">
        <f t="shared" si="3491"/>
        <v>4.110754186737192E-3</v>
      </c>
      <c r="BB1179" s="119"/>
      <c r="BC1179" s="121"/>
      <c r="BD1179" s="119"/>
      <c r="BE1179" s="119"/>
      <c r="BF1179" s="119"/>
      <c r="BG1179" s="173"/>
      <c r="BH1179" s="173"/>
      <c r="BI1179" s="173"/>
      <c r="BJ1179" s="173"/>
      <c r="BK1179" s="173"/>
      <c r="BL1179" s="173"/>
      <c r="BM1179" s="173"/>
      <c r="BN1179" s="173"/>
      <c r="BO1179" s="173"/>
      <c r="BP1179" s="173"/>
      <c r="BQ1179" s="118"/>
      <c r="BR1179" s="118"/>
      <c r="BS1179" s="118">
        <f>INDEX('Dist. Plant Gas Additions'!$F$7:$AE$91,MATCH($C1179,'Dist. Plant Gas Additions'!$D$7:$D$91,0),MATCH(Calculation!$G1179,'Dist. Plant Gas Additions'!$F$5:$AE$5,0))</f>
        <v>1344</v>
      </c>
      <c r="BT1179" s="118">
        <f>INDEX('Gen. Plant Additions'!$F$7:$AE$91,MATCH($C1179,'Gen. Plant Additions'!$D$7:$D$91,0),MATCH(Calculation!$G1179,'Gen. Plant Additions'!$F$5:$AE$5,0))</f>
        <v>13</v>
      </c>
      <c r="BU1179" s="118"/>
      <c r="BV1179" s="118"/>
      <c r="BW1179" s="118">
        <f>INDEX('Dist Plant Depreciation'!$E$7:$AD$94,MATCH($C1179,'Dist Plant Depreciation'!$D$7:$D$94,0),MATCH(Calculation!$G1179,'Dist Plant Depreciation'!$E$5:$AD$5,0))</f>
        <v>13849</v>
      </c>
      <c r="BX1179" s="118">
        <f>INDEX('Gen. Plant Depreciation'!$E$7:$AD$94,MATCH($C1179,'Gen. Plant Depreciation'!$D$7:$D$94,0),MATCH(Calculation!$G1179,'Gen. Plant Depreciation'!$E$5:$AD$5,0))</f>
        <v>420</v>
      </c>
      <c r="BY1179" s="118"/>
      <c r="BZ1179" s="118"/>
      <c r="CA1179" s="118"/>
      <c r="CB1179" s="118"/>
      <c r="CC1179" s="118"/>
      <c r="CD1179" s="183"/>
      <c r="CE1179" s="118">
        <f>INDEX('Gross Dx Plant'!$E$7:$AD$91,MATCH($C1179,'Gross Dx Plant'!$D$7:$D$91,0),MATCH(Calculation!$G1179,'Gross Dx Plant'!$E$5:$AD$5,0))</f>
        <v>21960</v>
      </c>
      <c r="CF1179" s="118">
        <f>INDEX('Gross Gen Plant'!$E$7:$AD$91,MATCH($C1179,'Gross Gen Plant'!$D$7:$D$91,0),MATCH(Calculation!$G1179,'Gross Gen Plant'!$E$5:$AD$5,0))</f>
        <v>1168</v>
      </c>
      <c r="CG1179" s="118">
        <f t="shared" si="3352"/>
        <v>8859</v>
      </c>
      <c r="CH1179" s="118"/>
      <c r="CI1179" s="121">
        <v>2013</v>
      </c>
      <c r="CJ1179" s="118"/>
      <c r="CK1179" s="118"/>
      <c r="CL1179" s="118"/>
      <c r="CM1179" s="183"/>
      <c r="CN1179" s="118">
        <f t="shared" si="3492"/>
        <v>1357</v>
      </c>
      <c r="CO1179" s="118">
        <f t="shared" si="3493"/>
        <v>2.0459905953352711</v>
      </c>
      <c r="CP1179" s="186">
        <v>0.90566037735849059</v>
      </c>
      <c r="CQ1179" s="118">
        <f>+CQ1164*CP1179+CO1165*CP1178+CO1166*CP1177+CO1167*CP1176+CO1168*CP1175+CO1169*CP1174+CO1170*CP1173+CO1171*CP1172+CO1172*CP1171+CO1173*CP1170+CO1174*CP1169+CO1175*CP1168+CO1176*CP1167+CO1177*CP1166+CO1178*CP1165+CO1179</f>
        <v>57.955945926466349</v>
      </c>
      <c r="CR1179" s="119">
        <f t="shared" si="3494"/>
        <v>2.7916222061784037E-2</v>
      </c>
      <c r="CS1179" s="119"/>
      <c r="CT1179" s="177">
        <f t="shared" si="3495"/>
        <v>7.9923805110340852E-3</v>
      </c>
      <c r="CU1179" s="177">
        <f t="shared" si="3503"/>
        <v>7.7087387965373072E-3</v>
      </c>
      <c r="CV1179" s="119">
        <f>VLOOKUP($H1179,RoR!$E:$F,2,FALSE)</f>
        <v>4.2350000000000006E-2</v>
      </c>
      <c r="CW1179" s="177">
        <v>1.7730000000000024E-2</v>
      </c>
      <c r="CX1179" s="177">
        <f t="shared" si="3501"/>
        <v>2.4619999999999982E-2</v>
      </c>
      <c r="CY1179" s="177">
        <f t="shared" si="3504"/>
        <v>2.3193202811996317E-2</v>
      </c>
      <c r="CZ1179" s="177">
        <f t="shared" si="3505"/>
        <v>5.3376742735721204E-2</v>
      </c>
      <c r="DA1179" s="187">
        <f t="shared" si="3496"/>
        <v>0.84949374999999994</v>
      </c>
      <c r="DB1179" s="188">
        <f t="shared" si="3497"/>
        <v>1.2109103018193925</v>
      </c>
      <c r="DC1179" s="188">
        <f t="shared" si="3498"/>
        <v>0.38468122786304604</v>
      </c>
      <c r="DD1179" s="188">
        <f t="shared" si="3499"/>
        <v>0.80969194503422559</v>
      </c>
      <c r="DE1179" s="188">
        <f t="shared" si="3500"/>
        <v>0.37716621754800816</v>
      </c>
      <c r="DF1179" s="189">
        <f>INDEX('State Tax Lookup'!$D$7:$Z$91,MATCH(Calculation!$C1179,'State Tax Lookup'!$B$7:$B$91,0),MATCH($H1179,'State Tax Lookup'!$D$6:$Z$6,0))</f>
        <v>0.40134999999999998</v>
      </c>
      <c r="DG1179" s="189">
        <v>0.375</v>
      </c>
      <c r="DH1179" s="190">
        <f t="shared" si="3502"/>
        <v>21.752770042854355</v>
      </c>
      <c r="DI1179" s="190">
        <v>21.376313719642631</v>
      </c>
      <c r="DJ1179" s="177"/>
      <c r="DK1179" s="189">
        <f>VLOOKUP($H1179,RoR!$E:$F,2,FALSE)</f>
        <v>4.2350000000000006E-2</v>
      </c>
      <c r="DL1179" s="191">
        <f>HLOOKUP($H1179,'GDP-PI'!$D$8:$CQ$11,3,FALSE)</f>
        <v>1.7730000000000024E-2</v>
      </c>
      <c r="DM1179" s="189">
        <f>VLOOKUP(H1179,'HW Dx Data'!$E:$F,2,FALSE)</f>
        <v>663.24840548821396</v>
      </c>
      <c r="DN1179" s="183">
        <f>VLOOKUP(H1179,'ECI - Input Price'!$G$17:$H$37,2,FALSE)</f>
        <v>118.72499999999999</v>
      </c>
      <c r="DO1179" s="177">
        <f t="shared" ref="DO1179" si="3544">LN(DN1179/DN1178)</f>
        <v>1.8918621429430321E-2</v>
      </c>
      <c r="DP1179" s="183">
        <f>HLOOKUP(H1179,'GDP-PI'!$8:$9,2,FALSE)</f>
        <v>101.773</v>
      </c>
      <c r="DQ1179" s="177">
        <f t="shared" ref="DQ1179" si="3545">LN(DP1179/DP1178)</f>
        <v>1.7574657016510519E-2</v>
      </c>
    </row>
    <row r="1180" spans="1:121" s="167" customFormat="1" ht="21" x14ac:dyDescent="0.35">
      <c r="A1180" s="167" t="s">
        <v>111</v>
      </c>
      <c r="B1180" s="167" t="s">
        <v>111</v>
      </c>
      <c r="C1180" s="167">
        <v>4063281</v>
      </c>
      <c r="D1180" s="168" t="s">
        <v>144</v>
      </c>
      <c r="E1180" s="168"/>
      <c r="F1180" s="198"/>
      <c r="G1180" s="167" t="s">
        <v>20</v>
      </c>
      <c r="H1180" s="169">
        <v>2014</v>
      </c>
      <c r="I1180" s="170"/>
      <c r="J1180" s="166">
        <f>IFERROR(INDEX('Labor Expenditures'!$F$7:$X$91,MATCH($C1180,'Labor Expenditures'!$D$7:$D$91,0),MATCH($G1180,'Labor Expenditures'!$F$5:$X$5,0)),"NA")</f>
        <v>1464.4265597298224</v>
      </c>
      <c r="K1180" s="166">
        <f t="shared" si="3508"/>
        <v>12.082727390510085</v>
      </c>
      <c r="L1180" s="172">
        <f t="shared" si="3515"/>
        <v>-7.6002459277944787E-2</v>
      </c>
      <c r="M1180" s="172">
        <f t="shared" si="3519"/>
        <v>-3.2541413813927209E-5</v>
      </c>
      <c r="N1180" s="196"/>
      <c r="O1180" s="172"/>
      <c r="P1180" s="166">
        <f>IFERROR(INDEX('Non-Labor Expenditures'!$F$7:$AB$91,MATCH($C1180,'Non-Labor Expenditures'!$D$7:$D$91,0),MATCH($G1180,'Non-Labor Expenditures'!$F$5:$AB$5,0)),"NA")</f>
        <v>2120.7631756413221</v>
      </c>
      <c r="Q1180" s="166">
        <f t="shared" si="3509"/>
        <v>20.461404340128723</v>
      </c>
      <c r="R1180" s="172">
        <f t="shared" si="3520"/>
        <v>-7.3616331976172303E-2</v>
      </c>
      <c r="S1180" s="172">
        <f t="shared" si="3525"/>
        <v>-3.1519763242651278E-5</v>
      </c>
      <c r="T1180" s="172"/>
      <c r="U1180" s="172"/>
      <c r="V1180" s="166">
        <f t="shared" si="3490"/>
        <v>1287.2178204191882</v>
      </c>
      <c r="W1180" s="170"/>
      <c r="X1180" s="174">
        <v>59.054872956280299</v>
      </c>
      <c r="Y1180" s="175">
        <v>1.8783892835604828E-2</v>
      </c>
      <c r="Z1180" s="175">
        <f t="shared" si="3526"/>
        <v>8.0425611961382884E-6</v>
      </c>
      <c r="AA1180" s="175"/>
      <c r="AB1180" s="175"/>
      <c r="AC1180" s="170">
        <f t="shared" si="3457"/>
        <v>4872.4075557903325</v>
      </c>
      <c r="AD1180" s="175">
        <f t="shared" si="3521"/>
        <v>-2.8904348755825586E-2</v>
      </c>
      <c r="AE1180" s="170"/>
      <c r="AF1180" s="170"/>
      <c r="AG1180" s="121">
        <f t="shared" si="3522"/>
        <v>390.26091756430372</v>
      </c>
      <c r="AH1180" s="119">
        <f>+AZ1180/$BB$52</f>
        <v>3.4076848505528476E-4</v>
      </c>
      <c r="AI1180" s="119"/>
      <c r="AJ1180" s="176">
        <f t="shared" si="3527"/>
        <v>0.13298862165467315</v>
      </c>
      <c r="AK1180" s="176">
        <f t="shared" si="3528"/>
        <v>0</v>
      </c>
      <c r="AL1180" s="120">
        <f t="shared" si="3510"/>
        <v>0.30055502191919659</v>
      </c>
      <c r="AM1180" s="120">
        <f t="shared" si="3511"/>
        <v>0.43525980767372857</v>
      </c>
      <c r="AN1180" s="120">
        <f t="shared" si="3512"/>
        <v>0.2641851704070749</v>
      </c>
      <c r="AO1180" s="120">
        <f t="shared" si="3516"/>
        <v>-5.0844055858367557E-2</v>
      </c>
      <c r="AP1180" s="173">
        <f t="shared" si="3532"/>
        <v>86.349179815044167</v>
      </c>
      <c r="AQ1180" s="175">
        <f t="shared" si="3533"/>
        <v>-5.0844055858367536E-2</v>
      </c>
      <c r="AR1180" s="177">
        <f>+AC1180/$AE$52</f>
        <v>4.2816264267083294E-4</v>
      </c>
      <c r="AS1180" s="177">
        <f t="shared" si="3529"/>
        <v>-2.1769525320422088E-5</v>
      </c>
      <c r="AT1180" s="177"/>
      <c r="AU1180" s="177"/>
      <c r="AV1180" s="177"/>
      <c r="AW1180" s="190"/>
      <c r="AX1180" s="120"/>
      <c r="AY1180" s="120"/>
      <c r="AZ1180" s="118">
        <f>IFERROR(INDEX('Total Customers'!$F$7:$AB$91,MATCH($C1180,'Total Customers'!$D$7:$D$91,0),MATCH($G1180,'Total Customers'!$F$5:$AB$5,0)),"NA")</f>
        <v>12485</v>
      </c>
      <c r="BA1180" s="119">
        <f t="shared" si="3491"/>
        <v>4.2541301064448287E-3</v>
      </c>
      <c r="BB1180" s="119"/>
      <c r="BC1180" s="121"/>
      <c r="BD1180" s="119"/>
      <c r="BE1180" s="119"/>
      <c r="BF1180" s="119"/>
      <c r="BG1180" s="173"/>
      <c r="BH1180" s="173"/>
      <c r="BI1180" s="173"/>
      <c r="BJ1180" s="173"/>
      <c r="BK1180" s="173"/>
      <c r="BL1180" s="173"/>
      <c r="BM1180" s="173"/>
      <c r="BN1180" s="173"/>
      <c r="BO1180" s="173"/>
      <c r="BP1180" s="173"/>
      <c r="BQ1180" s="118"/>
      <c r="BR1180" s="118"/>
      <c r="BS1180" s="118">
        <f>INDEX('Dist. Plant Gas Additions'!$F$7:$AE$91,MATCH($C1180,'Dist. Plant Gas Additions'!$D$7:$D$91,0),MATCH(Calculation!$G1180,'Dist. Plant Gas Additions'!$F$5:$AE$5,0))</f>
        <v>1048</v>
      </c>
      <c r="BT1180" s="118">
        <f>INDEX('Gen. Plant Additions'!$F$7:$AE$91,MATCH($C1180,'Gen. Plant Additions'!$D$7:$D$91,0),MATCH(Calculation!$G1180,'Gen. Plant Additions'!$F$5:$AE$5,0))</f>
        <v>31</v>
      </c>
      <c r="BU1180" s="118"/>
      <c r="BV1180" s="118"/>
      <c r="BW1180" s="118">
        <f>INDEX('Dist Plant Depreciation'!$E$7:$AD$94,MATCH($C1180,'Dist Plant Depreciation'!$D$7:$D$94,0),MATCH(Calculation!$G1180,'Dist Plant Depreciation'!$E$5:$AD$5,0))</f>
        <v>14424</v>
      </c>
      <c r="BX1180" s="118">
        <f>INDEX('Gen. Plant Depreciation'!$E$7:$AD$94,MATCH($C1180,'Gen. Plant Depreciation'!$D$7:$D$94,0),MATCH(Calculation!$G1180,'Gen. Plant Depreciation'!$E$5:$AD$5,0))</f>
        <v>478</v>
      </c>
      <c r="BY1180" s="118"/>
      <c r="BZ1180" s="118"/>
      <c r="CA1180" s="118"/>
      <c r="CB1180" s="118"/>
      <c r="CC1180" s="118"/>
      <c r="CD1180" s="183"/>
      <c r="CE1180" s="118">
        <f>INDEX('Gross Dx Plant'!$E$7:$AD$91,MATCH($C1180,'Gross Dx Plant'!$D$7:$D$91,0),MATCH(Calculation!$G1180,'Gross Dx Plant'!$E$5:$AD$5,0))</f>
        <v>22828</v>
      </c>
      <c r="CF1180" s="118">
        <f>INDEX('Gross Gen Plant'!$E$7:$AD$91,MATCH($C1180,'Gross Gen Plant'!$D$7:$D$91,0),MATCH(Calculation!$G1180,'Gross Gen Plant'!$E$5:$AD$5,0))</f>
        <v>1200</v>
      </c>
      <c r="CG1180" s="118">
        <f t="shared" si="3352"/>
        <v>9126</v>
      </c>
      <c r="CH1180" s="118"/>
      <c r="CI1180" s="121">
        <v>2014</v>
      </c>
      <c r="CJ1180" s="118"/>
      <c r="CK1180" s="118"/>
      <c r="CL1180" s="118"/>
      <c r="CM1180" s="183"/>
      <c r="CN1180" s="118">
        <f t="shared" si="3492"/>
        <v>1079</v>
      </c>
      <c r="CO1180" s="118">
        <f t="shared" si="3493"/>
        <v>1.576404153891543</v>
      </c>
      <c r="CP1180" s="186">
        <v>0.89743589743589747</v>
      </c>
      <c r="CQ1180" s="118">
        <f>+CQ1164*CP1180+CO1165*CP1179+CO1166*CP1178+CO1167*CP1177+CO1168*CP1176+CO1169*CP1175+CO1170*CP1174+CO1171*CP1173+CO1172*CP1172+CO1173*CP1171+CO1174*CP1170+CO1175*CP1169+CO1176*CP1168+CO1177*CP1167+CO1178*CP1166+CO1179*CP1165+CO1180</f>
        <v>59.054872956280299</v>
      </c>
      <c r="CR1180" s="119">
        <f t="shared" si="3494"/>
        <v>1.8783892835604828E-2</v>
      </c>
      <c r="CS1180" s="119"/>
      <c r="CT1180" s="177">
        <f t="shared" si="3495"/>
        <v>8.2386218781315169E-3</v>
      </c>
      <c r="CU1180" s="177">
        <f t="shared" si="3503"/>
        <v>7.9776581207329639E-3</v>
      </c>
      <c r="CV1180" s="119">
        <f>VLOOKUP($H1180,RoR!$E:$F,2,FALSE)</f>
        <v>4.1625000000000002E-2</v>
      </c>
      <c r="CW1180" s="177">
        <v>1.841352814597208E-2</v>
      </c>
      <c r="CX1180" s="177">
        <f t="shared" si="3501"/>
        <v>2.3211471854027922E-2</v>
      </c>
      <c r="CY1180" s="177">
        <f t="shared" si="3504"/>
        <v>2.2924283487800661E-2</v>
      </c>
      <c r="CZ1180" s="177">
        <f t="shared" si="3505"/>
        <v>3.9072621432650924E-2</v>
      </c>
      <c r="DA1180" s="187">
        <f t="shared" si="3496"/>
        <v>0.84949374999999994</v>
      </c>
      <c r="DB1180" s="188">
        <f t="shared" si="3497"/>
        <v>1.2320012320012319</v>
      </c>
      <c r="DC1180" s="188">
        <f t="shared" si="3498"/>
        <v>0.37439939939939942</v>
      </c>
      <c r="DD1180" s="188">
        <f t="shared" si="3499"/>
        <v>0.80432100613819935</v>
      </c>
      <c r="DE1180" s="188">
        <f t="shared" si="3500"/>
        <v>0.37100152660040037</v>
      </c>
      <c r="DF1180" s="189">
        <f>INDEX('State Tax Lookup'!$D$7:$Z$91,MATCH(Calculation!$C1180,'State Tax Lookup'!$B$7:$B$91,0),MATCH($H1180,'State Tax Lookup'!$D$6:$Z$6,0))</f>
        <v>0.40134999999999998</v>
      </c>
      <c r="DG1180" s="189">
        <v>0.375</v>
      </c>
      <c r="DH1180" s="190">
        <f t="shared" si="3502"/>
        <v>22.210280581950837</v>
      </c>
      <c r="DI1180" s="190">
        <v>21.832841017268578</v>
      </c>
      <c r="DJ1180" s="177"/>
      <c r="DK1180" s="189">
        <f>VLOOKUP($H1180,RoR!$E:$F,2,FALSE)</f>
        <v>4.1625000000000002E-2</v>
      </c>
      <c r="DL1180" s="191">
        <f>HLOOKUP($H1180,'GDP-PI'!$D$8:$CQ$11,3,FALSE)</f>
        <v>1.841352814597208E-2</v>
      </c>
      <c r="DM1180" s="189">
        <f>VLOOKUP(H1180,'HW Dx Data'!$E:$F,2,FALSE)</f>
        <v>684.46914285042885</v>
      </c>
      <c r="DN1180" s="183">
        <f>VLOOKUP(H1180,'ECI - Input Price'!$G$17:$H$37,2,FALSE)</f>
        <v>121.2</v>
      </c>
      <c r="DO1180" s="177">
        <f t="shared" ref="DO1180" si="3546">LN(DN1180/DN1179)</f>
        <v>2.0632179200028689E-2</v>
      </c>
      <c r="DP1180" s="183">
        <f>HLOOKUP(H1180,'GDP-PI'!$8:$9,2,FALSE)</f>
        <v>103.64700000000001</v>
      </c>
      <c r="DQ1180" s="177">
        <f t="shared" ref="DQ1180" si="3547">LN(DP1180/DP1179)</f>
        <v>1.8246051898256087E-2</v>
      </c>
    </row>
    <row r="1181" spans="1:121" s="167" customFormat="1" ht="21" x14ac:dyDescent="0.35">
      <c r="A1181" s="167" t="s">
        <v>111</v>
      </c>
      <c r="B1181" s="167" t="s">
        <v>111</v>
      </c>
      <c r="C1181" s="167">
        <v>4063281</v>
      </c>
      <c r="D1181" s="168" t="s">
        <v>144</v>
      </c>
      <c r="E1181" s="168"/>
      <c r="F1181" s="198"/>
      <c r="G1181" s="167" t="s">
        <v>21</v>
      </c>
      <c r="H1181" s="169">
        <v>2015</v>
      </c>
      <c r="I1181" s="170"/>
      <c r="J1181" s="166">
        <f>IFERROR(INDEX('Labor Expenditures'!$F$7:$X$91,MATCH($C1181,'Labor Expenditures'!$D$7:$D$91,0),MATCH($G1181,'Labor Expenditures'!$F$5:$X$5,0)),"NA")</f>
        <v>1605.1418520042516</v>
      </c>
      <c r="K1181" s="166">
        <f t="shared" si="3508"/>
        <v>12.970843248519206</v>
      </c>
      <c r="L1181" s="172">
        <f t="shared" si="3515"/>
        <v>7.092706713807613E-2</v>
      </c>
      <c r="M1181" s="172">
        <f t="shared" si="3519"/>
        <v>3.2158553598340549E-5</v>
      </c>
      <c r="N1181" s="196"/>
      <c r="O1181" s="172"/>
      <c r="P1181" s="166">
        <f>IFERROR(INDEX('Non-Labor Expenditures'!$F$7:$AB$91,MATCH($C1181,'Non-Labor Expenditures'!$D$7:$D$91,0),MATCH($G1181,'Non-Labor Expenditures'!$F$5:$AB$5,0)),"NA")</f>
        <v>2324.5452008459679</v>
      </c>
      <c r="Q1181" s="166">
        <f t="shared" si="3509"/>
        <v>22.21490267343885</v>
      </c>
      <c r="R1181" s="172">
        <f t="shared" si="3520"/>
        <v>8.2222958766218879E-2</v>
      </c>
      <c r="S1181" s="172">
        <f t="shared" si="3525"/>
        <v>3.7280146116151908E-5</v>
      </c>
      <c r="T1181" s="172"/>
      <c r="U1181" s="172"/>
      <c r="V1181" s="166">
        <f t="shared" si="3490"/>
        <v>1282.0630877512149</v>
      </c>
      <c r="W1181" s="170"/>
      <c r="X1181" s="174">
        <v>59.273739550176025</v>
      </c>
      <c r="Y1181" s="175">
        <v>3.6993054994253075E-3</v>
      </c>
      <c r="Z1181" s="175">
        <f t="shared" si="3526"/>
        <v>1.6772766586881821E-6</v>
      </c>
      <c r="AA1181" s="175"/>
      <c r="AB1181" s="175"/>
      <c r="AC1181" s="170">
        <f t="shared" si="3457"/>
        <v>5211.7501406014344</v>
      </c>
      <c r="AD1181" s="175">
        <f t="shared" si="3521"/>
        <v>6.7327539282955873E-2</v>
      </c>
      <c r="AE1181" s="170"/>
      <c r="AF1181" s="170"/>
      <c r="AG1181" s="121">
        <f t="shared" si="3522"/>
        <v>414.61814961029711</v>
      </c>
      <c r="AH1181" s="119">
        <f>+AZ1181/$BB$53</f>
        <v>3.4030667689676175E-4</v>
      </c>
      <c r="AI1181" s="119"/>
      <c r="AJ1181" s="176">
        <f t="shared" si="3527"/>
        <v>0.14109732467496461</v>
      </c>
      <c r="AK1181" s="176">
        <f t="shared" si="3528"/>
        <v>0</v>
      </c>
      <c r="AL1181" s="120">
        <f t="shared" si="3510"/>
        <v>0.30798518898663446</v>
      </c>
      <c r="AM1181" s="120">
        <f t="shared" si="3511"/>
        <v>0.44602007735115945</v>
      </c>
      <c r="AN1181" s="120">
        <f t="shared" si="3512"/>
        <v>0.24599473366220606</v>
      </c>
      <c r="AO1181" s="120">
        <f t="shared" si="3516"/>
        <v>5.8755361683928066E-2</v>
      </c>
      <c r="AP1181" s="173">
        <f t="shared" si="3532"/>
        <v>91.574666593289038</v>
      </c>
      <c r="AQ1181" s="175">
        <f t="shared" si="3533"/>
        <v>5.8755361683928004E-2</v>
      </c>
      <c r="AR1181" s="177">
        <f>+AC1181/$AE$53</f>
        <v>4.5340312092330561E-4</v>
      </c>
      <c r="AS1181" s="177">
        <f t="shared" si="3529"/>
        <v>2.6639864358470564E-5</v>
      </c>
      <c r="AT1181" s="177"/>
      <c r="AU1181" s="177"/>
      <c r="AV1181" s="177"/>
      <c r="AW1181" s="190"/>
      <c r="AX1181" s="120"/>
      <c r="AY1181" s="120"/>
      <c r="AZ1181" s="118">
        <f>IFERROR(INDEX('Total Customers'!$F$7:$AB$91,MATCH($C1181,'Total Customers'!$D$7:$D$91,0),MATCH($G1181,'Total Customers'!$F$5:$AB$5,0)),"NA")</f>
        <v>12570</v>
      </c>
      <c r="BA1181" s="119">
        <f t="shared" si="3491"/>
        <v>6.7850988704195253E-3</v>
      </c>
      <c r="BB1181" s="119"/>
      <c r="BC1181" s="121"/>
      <c r="BD1181" s="119"/>
      <c r="BE1181" s="119"/>
      <c r="BF1181" s="119"/>
      <c r="BG1181" s="173"/>
      <c r="BH1181" s="173"/>
      <c r="BI1181" s="173"/>
      <c r="BJ1181" s="173"/>
      <c r="BK1181" s="173"/>
      <c r="BL1181" s="173"/>
      <c r="BM1181" s="173"/>
      <c r="BN1181" s="173"/>
      <c r="BO1181" s="173"/>
      <c r="BP1181" s="173"/>
      <c r="BQ1181" s="118"/>
      <c r="BR1181" s="118"/>
      <c r="BS1181" s="118">
        <f>INDEX('Dist. Plant Gas Additions'!$F$7:$AE$91,MATCH($C1181,'Dist. Plant Gas Additions'!$D$7:$D$91,0),MATCH(Calculation!$G1181,'Dist. Plant Gas Additions'!$F$5:$AE$5,0))</f>
        <v>488</v>
      </c>
      <c r="BT1181" s="118">
        <f>INDEX('Gen. Plant Additions'!$F$7:$AE$91,MATCH($C1181,'Gen. Plant Additions'!$D$7:$D$91,0),MATCH(Calculation!$G1181,'Gen. Plant Additions'!$F$5:$AE$5,0))</f>
        <v>0</v>
      </c>
      <c r="BU1181" s="118"/>
      <c r="BV1181" s="118"/>
      <c r="BW1181" s="118">
        <f>INDEX('Dist Plant Depreciation'!$E$7:$AD$94,MATCH($C1181,'Dist Plant Depreciation'!$D$7:$D$94,0),MATCH(Calculation!$G1181,'Dist Plant Depreciation'!$E$5:$AD$5,0))</f>
        <v>15137</v>
      </c>
      <c r="BX1181" s="118">
        <f>INDEX('Gen. Plant Depreciation'!$E$7:$AD$94,MATCH($C1181,'Gen. Plant Depreciation'!$D$7:$D$94,0),MATCH(Calculation!$G1181,'Gen. Plant Depreciation'!$E$5:$AD$5,0))</f>
        <v>549</v>
      </c>
      <c r="BY1181" s="118"/>
      <c r="BZ1181" s="118"/>
      <c r="CA1181" s="118"/>
      <c r="CB1181" s="118"/>
      <c r="CC1181" s="118"/>
      <c r="CD1181" s="183"/>
      <c r="CE1181" s="118">
        <f>INDEX('Gross Dx Plant'!$E$7:$AD$91,MATCH($C1181,'Gross Dx Plant'!$D$7:$D$91,0),MATCH(Calculation!$G1181,'Gross Dx Plant'!$E$5:$AD$5,0))</f>
        <v>23242</v>
      </c>
      <c r="CF1181" s="118">
        <f>INDEX('Gross Gen Plant'!$E$7:$AD$91,MATCH($C1181,'Gross Gen Plant'!$D$7:$D$91,0),MATCH(Calculation!$G1181,'Gross Gen Plant'!$E$5:$AD$5,0))</f>
        <v>1200</v>
      </c>
      <c r="CG1181" s="118">
        <f t="shared" si="3352"/>
        <v>8756</v>
      </c>
      <c r="CH1181" s="118"/>
      <c r="CI1181" s="121">
        <v>2015</v>
      </c>
      <c r="CJ1181" s="118"/>
      <c r="CK1181" s="118"/>
      <c r="CL1181" s="118"/>
      <c r="CM1181" s="183"/>
      <c r="CN1181" s="118">
        <f t="shared" si="3492"/>
        <v>488</v>
      </c>
      <c r="CO1181" s="118">
        <f t="shared" si="3493"/>
        <v>0.72230525524660538</v>
      </c>
      <c r="CP1181" s="186">
        <v>0.88888888888888884</v>
      </c>
      <c r="CQ1181" s="118">
        <f>+CQ1164*CP1181+CO1165*CP1180+CO1166*CP1179+CO1167*CP1178+CO1168*CP1177+CO1169*CP1176+CO1170*CP1175+CO1171*CP1174+CO1172*CP1173+CO1173*CP1172+CO1174*CP1171+CO1175*CP1170+CO1176*CP1169+CO1177*CP1168+CO1178*CP1167+CO1179*CP1166+CO1180*CP1165+CO1181</f>
        <v>59.273739550176025</v>
      </c>
      <c r="CR1181" s="119">
        <f t="shared" si="3494"/>
        <v>3.6993054994253075E-3</v>
      </c>
      <c r="CS1181" s="119"/>
      <c r="CT1181" s="177">
        <f t="shared" si="3495"/>
        <v>8.5249300548590982E-3</v>
      </c>
      <c r="CU1181" s="177">
        <f t="shared" si="3503"/>
        <v>8.2519774813415662E-3</v>
      </c>
      <c r="CV1181" s="119">
        <f>VLOOKUP($H1181,RoR!$E:$F,2,FALSE)</f>
        <v>3.8866666666666674E-2</v>
      </c>
      <c r="CW1181" s="177">
        <v>9.5709475431029478E-3</v>
      </c>
      <c r="CX1181" s="177">
        <f t="shared" si="3501"/>
        <v>2.9295719123563727E-2</v>
      </c>
      <c r="CY1181" s="177">
        <f t="shared" si="3504"/>
        <v>2.2649964127192057E-2</v>
      </c>
      <c r="CZ1181" s="177">
        <f t="shared" si="3505"/>
        <v>3.5270373279175926E-3</v>
      </c>
      <c r="DA1181" s="187">
        <f t="shared" si="3496"/>
        <v>0.84949374999999994</v>
      </c>
      <c r="DB1181" s="188">
        <f t="shared" si="3497"/>
        <v>1.3194352816994324</v>
      </c>
      <c r="DC1181" s="188">
        <f t="shared" si="3498"/>
        <v>0.33177530017152673</v>
      </c>
      <c r="DD1181" s="188">
        <f t="shared" si="3499"/>
        <v>0.78242572977668579</v>
      </c>
      <c r="DE1181" s="188">
        <f t="shared" si="3500"/>
        <v>0.34251158643433932</v>
      </c>
      <c r="DF1181" s="189">
        <f>INDEX('State Tax Lookup'!$D$7:$Z$91,MATCH(Calculation!$C1181,'State Tax Lookup'!$B$7:$B$91,0),MATCH($H1181,'State Tax Lookup'!$D$6:$Z$6,0))</f>
        <v>0.40134999999999998</v>
      </c>
      <c r="DG1181" s="189">
        <v>0.375</v>
      </c>
      <c r="DH1181" s="190">
        <f t="shared" si="3502"/>
        <v>21.709691742125262</v>
      </c>
      <c r="DI1181" s="190">
        <v>21.299953699776449</v>
      </c>
      <c r="DJ1181" s="177"/>
      <c r="DK1181" s="189">
        <f>VLOOKUP($H1181,RoR!$E:$F,2,FALSE)</f>
        <v>3.8866666666666674E-2</v>
      </c>
      <c r="DL1181" s="191">
        <f>HLOOKUP($H1181,'GDP-PI'!$D$8:$CQ$11,3,FALSE)</f>
        <v>9.5709475431029478E-3</v>
      </c>
      <c r="DM1181" s="189">
        <f>VLOOKUP(H1181,'HW Dx Data'!$E:$F,2,FALSE)</f>
        <v>675.61463308665782</v>
      </c>
      <c r="DN1181" s="183">
        <f>VLOOKUP(H1181,'ECI - Input Price'!$G$17:$H$37,2,FALSE)</f>
        <v>123.75</v>
      </c>
      <c r="DO1181" s="177">
        <f t="shared" ref="DO1181" si="3548">LN(DN1181/DN1180)</f>
        <v>2.0821327813585516E-2</v>
      </c>
      <c r="DP1181" s="183">
        <f>HLOOKUP(H1181,'GDP-PI'!$8:$9,2,FALSE)</f>
        <v>104.639</v>
      </c>
      <c r="DQ1181" s="177">
        <f t="shared" ref="DQ1181" si="3549">LN(DP1181/DP1180)</f>
        <v>9.5254361854427965E-3</v>
      </c>
    </row>
    <row r="1182" spans="1:121" s="167" customFormat="1" ht="21" x14ac:dyDescent="0.35">
      <c r="A1182" s="167" t="s">
        <v>111</v>
      </c>
      <c r="B1182" s="167" t="s">
        <v>111</v>
      </c>
      <c r="C1182" s="167">
        <v>4063281</v>
      </c>
      <c r="D1182" s="168" t="s">
        <v>144</v>
      </c>
      <c r="E1182" s="168"/>
      <c r="F1182" s="198"/>
      <c r="G1182" s="167" t="s">
        <v>22</v>
      </c>
      <c r="H1182" s="169">
        <v>2016</v>
      </c>
      <c r="I1182" s="170"/>
      <c r="J1182" s="166">
        <f>IFERROR(INDEX('Labor Expenditures'!$F$7:$X$91,MATCH($C1182,'Labor Expenditures'!$D$7:$D$91,0),MATCH($G1182,'Labor Expenditures'!$F$5:$X$5,0)),"NA")</f>
        <v>1400.6314451372921</v>
      </c>
      <c r="K1182" s="166">
        <f t="shared" si="3508"/>
        <v>11.080944977351994</v>
      </c>
      <c r="L1182" s="172">
        <f t="shared" si="3515"/>
        <v>-0.15747704707393004</v>
      </c>
      <c r="M1182" s="172">
        <f t="shared" si="3519"/>
        <v>-6.2090009520481622E-5</v>
      </c>
      <c r="N1182" s="196"/>
      <c r="O1182" s="172"/>
      <c r="P1182" s="166">
        <f>IFERROR(INDEX('Non-Labor Expenditures'!$F$7:$AB$91,MATCH($C1182,'Non-Labor Expenditures'!$D$7:$D$91,0),MATCH($G1182,'Non-Labor Expenditures'!$F$5:$AB$5,0)),"NA")</f>
        <v>2028.3759344275206</v>
      </c>
      <c r="Q1182" s="166">
        <f t="shared" si="3509"/>
        <v>19.183399546299469</v>
      </c>
      <c r="R1182" s="172">
        <f t="shared" si="3520"/>
        <v>-0.14671805717717742</v>
      </c>
      <c r="S1182" s="172">
        <f t="shared" si="3525"/>
        <v>-5.7847957757810964E-5</v>
      </c>
      <c r="T1182" s="172"/>
      <c r="U1182" s="172"/>
      <c r="V1182" s="166">
        <f t="shared" si="3490"/>
        <v>1262.0880368409789</v>
      </c>
      <c r="W1182" s="170"/>
      <c r="X1182" s="174">
        <v>61.079538899173663</v>
      </c>
      <c r="Y1182" s="175">
        <v>3.00105639095288E-2</v>
      </c>
      <c r="Z1182" s="175">
        <f t="shared" si="3526"/>
        <v>1.1832557401097849E-5</v>
      </c>
      <c r="AA1182" s="175"/>
      <c r="AB1182" s="175"/>
      <c r="AC1182" s="170">
        <f t="shared" si="3457"/>
        <v>4691.0954164057912</v>
      </c>
      <c r="AD1182" s="175">
        <f t="shared" si="3521"/>
        <v>-0.10524959940625855</v>
      </c>
      <c r="AE1182" s="170"/>
      <c r="AF1182" s="170"/>
      <c r="AG1182" s="121">
        <f t="shared" si="3522"/>
        <v>370.77896114494081</v>
      </c>
      <c r="AH1182" s="119">
        <f>+AZ1182/$BB$54</f>
        <v>3.3956715308353113E-4</v>
      </c>
      <c r="AI1182" s="119"/>
      <c r="AJ1182" s="176">
        <f t="shared" si="3527"/>
        <v>0.12590435625925675</v>
      </c>
      <c r="AK1182" s="176">
        <f t="shared" si="3528"/>
        <v>0</v>
      </c>
      <c r="AL1182" s="120">
        <f t="shared" si="3510"/>
        <v>0.29857236334161447</v>
      </c>
      <c r="AM1182" s="120">
        <f t="shared" si="3511"/>
        <v>0.43238854774384772</v>
      </c>
      <c r="AN1182" s="120">
        <f t="shared" si="3512"/>
        <v>0.26903908891453793</v>
      </c>
      <c r="AO1182" s="120">
        <f t="shared" si="3516"/>
        <v>-0.10447042182732509</v>
      </c>
      <c r="AP1182" s="173">
        <f t="shared" si="3532"/>
        <v>82.490591633052333</v>
      </c>
      <c r="AQ1182" s="175">
        <f t="shared" si="3533"/>
        <v>-0.10447042182732519</v>
      </c>
      <c r="AR1182" s="177">
        <f>+AC1182/$AE$54</f>
        <v>3.9427974218574535E-4</v>
      </c>
      <c r="AS1182" s="177">
        <f t="shared" si="3529"/>
        <v>-4.1190570984113842E-5</v>
      </c>
      <c r="AT1182" s="177"/>
      <c r="AU1182" s="177"/>
      <c r="AV1182" s="177"/>
      <c r="AW1182" s="190"/>
      <c r="AX1182" s="120"/>
      <c r="AY1182" s="120"/>
      <c r="AZ1182" s="118">
        <f>IFERROR(INDEX('Total Customers'!$F$7:$AB$91,MATCH($C1182,'Total Customers'!$D$7:$D$91,0),MATCH($G1182,'Total Customers'!$F$5:$AB$5,0)),"NA")</f>
        <v>12652</v>
      </c>
      <c r="BA1182" s="119">
        <f t="shared" si="3491"/>
        <v>6.5022828412463329E-3</v>
      </c>
      <c r="BB1182" s="119"/>
      <c r="BC1182" s="121"/>
      <c r="BD1182" s="119"/>
      <c r="BE1182" s="119"/>
      <c r="BF1182" s="119"/>
      <c r="BG1182" s="173"/>
      <c r="BH1182" s="173"/>
      <c r="BI1182" s="173"/>
      <c r="BJ1182" s="173"/>
      <c r="BK1182" s="173"/>
      <c r="BL1182" s="173"/>
      <c r="BM1182" s="173"/>
      <c r="BN1182" s="173"/>
      <c r="BO1182" s="173"/>
      <c r="BP1182" s="173"/>
      <c r="BQ1182" s="118"/>
      <c r="BR1182" s="118"/>
      <c r="BS1182" s="118">
        <f>INDEX('Dist. Plant Gas Additions'!$F$7:$AE$91,MATCH($C1182,'Dist. Plant Gas Additions'!$D$7:$D$91,0),MATCH(Calculation!$G1182,'Dist. Plant Gas Additions'!$F$5:$AE$5,0))</f>
        <v>1438</v>
      </c>
      <c r="BT1182" s="118">
        <f>INDEX('Gen. Plant Additions'!$F$7:$AE$91,MATCH($C1182,'Gen. Plant Additions'!$D$7:$D$91,0),MATCH(Calculation!$G1182,'Gen. Plant Additions'!$F$5:$AE$5,0))</f>
        <v>128</v>
      </c>
      <c r="BU1182" s="118"/>
      <c r="BV1182" s="118"/>
      <c r="BW1182" s="118">
        <f>INDEX('Dist Plant Depreciation'!$E$7:$AD$94,MATCH($C1182,'Dist Plant Depreciation'!$D$7:$D$94,0),MATCH(Calculation!$G1182,'Dist Plant Depreciation'!$E$5:$AD$5,0))</f>
        <v>15821</v>
      </c>
      <c r="BX1182" s="118">
        <f>INDEX('Gen. Plant Depreciation'!$E$7:$AD$94,MATCH($C1182,'Gen. Plant Depreciation'!$D$7:$D$94,0),MATCH(Calculation!$G1182,'Gen. Plant Depreciation'!$E$5:$AD$5,0))</f>
        <v>521</v>
      </c>
      <c r="BY1182" s="118"/>
      <c r="BZ1182" s="118"/>
      <c r="CA1182" s="118"/>
      <c r="CB1182" s="118"/>
      <c r="CC1182" s="118"/>
      <c r="CD1182" s="183"/>
      <c r="CE1182" s="118">
        <f>INDEX('Gross Dx Plant'!$E$7:$AD$91,MATCH($C1182,'Gross Dx Plant'!$D$7:$D$91,0),MATCH(Calculation!$G1182,'Gross Dx Plant'!$E$5:$AD$5,0))</f>
        <v>24782</v>
      </c>
      <c r="CF1182" s="118">
        <f>INDEX('Gross Gen Plant'!$E$7:$AD$91,MATCH($C1182,'Gross Gen Plant'!$D$7:$D$91,0),MATCH(Calculation!$G1182,'Gross Gen Plant'!$E$5:$AD$5,0))</f>
        <v>1327</v>
      </c>
      <c r="CG1182" s="118">
        <f t="shared" si="3352"/>
        <v>9767</v>
      </c>
      <c r="CH1182" s="118"/>
      <c r="CI1182" s="121">
        <v>2016</v>
      </c>
      <c r="CJ1182" s="118"/>
      <c r="CK1182" s="118"/>
      <c r="CL1182" s="118"/>
      <c r="CM1182" s="183"/>
      <c r="CN1182" s="118">
        <f t="shared" si="3492"/>
        <v>1566</v>
      </c>
      <c r="CO1182" s="118">
        <f t="shared" si="3493"/>
        <v>2.3322437827990741</v>
      </c>
      <c r="CP1182" s="186">
        <v>0.88</v>
      </c>
      <c r="CQ1182" s="118">
        <f>+CQ1164*CP1182+CO1165*CP1181+CO1166*CP1180+CO1167*CP1179+CO1168*CP1178+CO1169*CP1177+CO1170*CP1176+CO1171*CP1175+CO1172*CP1174+CO1173*CP1173+CO1174*CP1172+CO1175*CP1171+CO1176*CP1170+CO1177*CP1169+CO1178*CP1168+CO1179*CP1167+CO1180*CP1166+CO1181*CP1165+CO1182</f>
        <v>61.079538899173663</v>
      </c>
      <c r="CR1182" s="119">
        <f t="shared" si="3494"/>
        <v>3.00105639095288E-2</v>
      </c>
      <c r="CS1182" s="119"/>
      <c r="CT1182" s="177">
        <f t="shared" si="3495"/>
        <v>8.8815795628314192E-3</v>
      </c>
      <c r="CU1182" s="177">
        <f t="shared" si="3503"/>
        <v>8.5483771652740109E-3</v>
      </c>
      <c r="CV1182" s="119">
        <f>VLOOKUP($H1182,RoR!$E:$F,2,FALSE)</f>
        <v>3.6658333333333334E-2</v>
      </c>
      <c r="CW1182" s="177">
        <v>1.0483662879041455E-2</v>
      </c>
      <c r="CX1182" s="177">
        <f t="shared" si="3501"/>
        <v>2.6174670454291879E-2</v>
      </c>
      <c r="CY1182" s="177">
        <f t="shared" si="3504"/>
        <v>2.2353564443259616E-2</v>
      </c>
      <c r="CZ1182" s="177">
        <f t="shared" si="3505"/>
        <v>4.301363574220729E-3</v>
      </c>
      <c r="DA1182" s="187">
        <f t="shared" si="3496"/>
        <v>0.84949374999999994</v>
      </c>
      <c r="DB1182" s="188">
        <f t="shared" si="3497"/>
        <v>1.3989193348138562</v>
      </c>
      <c r="DC1182" s="188">
        <f t="shared" si="3498"/>
        <v>0.29302682427824522</v>
      </c>
      <c r="DD1182" s="188">
        <f t="shared" si="3499"/>
        <v>0.76309497491941802</v>
      </c>
      <c r="DE1182" s="188">
        <f t="shared" si="3500"/>
        <v>0.31280857135128509</v>
      </c>
      <c r="DF1182" s="189">
        <f>INDEX('State Tax Lookup'!$D$7:$Z$91,MATCH(Calculation!$C1182,'State Tax Lookup'!$B$7:$B$91,0),MATCH($H1182,'State Tax Lookup'!$D$6:$Z$6,0))</f>
        <v>0.40134999999999998</v>
      </c>
      <c r="DG1182" s="189">
        <v>0.375</v>
      </c>
      <c r="DH1182" s="190">
        <f t="shared" si="3502"/>
        <v>21.292532686799763</v>
      </c>
      <c r="DI1182" s="190">
        <v>20.805618413798992</v>
      </c>
      <c r="DJ1182" s="177"/>
      <c r="DK1182" s="189">
        <f>VLOOKUP($H1182,RoR!$E:$F,2,FALSE)</f>
        <v>3.6658333333333334E-2</v>
      </c>
      <c r="DL1182" s="191">
        <f>HLOOKUP($H1182,'GDP-PI'!$D$8:$CQ$11,3,FALSE)</f>
        <v>1.0483662879041455E-2</v>
      </c>
      <c r="DM1182" s="189">
        <f>VLOOKUP(H1182,'HW Dx Data'!$E:$F,2,FALSE)</f>
        <v>671.45639385971219</v>
      </c>
      <c r="DN1182" s="183">
        <f>VLOOKUP(H1182,'ECI - Input Price'!$G$17:$H$37,2,FALSE)</f>
        <v>126.4</v>
      </c>
      <c r="DO1182" s="177">
        <f t="shared" ref="DO1182" si="3550">LN(DN1182/DN1181)</f>
        <v>2.11880802639575E-2</v>
      </c>
      <c r="DP1182" s="183">
        <f>HLOOKUP(H1182,'GDP-PI'!$8:$9,2,FALSE)</f>
        <v>105.736</v>
      </c>
      <c r="DQ1182" s="177">
        <f t="shared" ref="DQ1182" si="3551">LN(DP1182/DP1181)</f>
        <v>1.0429090367205095E-2</v>
      </c>
    </row>
    <row r="1183" spans="1:121" s="167" customFormat="1" ht="21" x14ac:dyDescent="0.35">
      <c r="A1183" s="167" t="s">
        <v>111</v>
      </c>
      <c r="B1183" s="167" t="s">
        <v>111</v>
      </c>
      <c r="C1183" s="167">
        <v>4063281</v>
      </c>
      <c r="D1183" s="168" t="s">
        <v>144</v>
      </c>
      <c r="E1183" s="168"/>
      <c r="F1183" s="198"/>
      <c r="G1183" s="167" t="s">
        <v>23</v>
      </c>
      <c r="H1183" s="169">
        <v>2017</v>
      </c>
      <c r="I1183" s="170"/>
      <c r="J1183" s="166">
        <f>IFERROR(INDEX('Labor Expenditures'!$F$7:$X$91,MATCH($C1183,'Labor Expenditures'!$D$7:$D$91,0),MATCH($G1183,'Labor Expenditures'!$F$5:$X$5,0)),"NA")</f>
        <v>1383.0778572526083</v>
      </c>
      <c r="K1183" s="166">
        <f t="shared" si="3508"/>
        <v>10.680137893842534</v>
      </c>
      <c r="L1183" s="172">
        <f t="shared" si="3515"/>
        <v>-3.6841219589874546E-2</v>
      </c>
      <c r="M1183" s="172">
        <f t="shared" si="3519"/>
        <v>-1.4169783517949517E-5</v>
      </c>
      <c r="N1183" s="196"/>
      <c r="O1183" s="172"/>
      <c r="P1183" s="166">
        <f>IFERROR(INDEX('Non-Labor Expenditures'!$F$7:$AB$91,MATCH($C1183,'Non-Labor Expenditures'!$D$7:$D$91,0),MATCH($G1183,'Non-Labor Expenditures'!$F$5:$AB$5,0)),"NA")</f>
        <v>2002.9550606125244</v>
      </c>
      <c r="Q1183" s="166">
        <f t="shared" si="3509"/>
        <v>18.588737558004329</v>
      </c>
      <c r="R1183" s="172">
        <f t="shared" si="3520"/>
        <v>-3.1489408390784249E-2</v>
      </c>
      <c r="S1183" s="172">
        <f t="shared" si="3525"/>
        <v>-1.2111382439911113E-5</v>
      </c>
      <c r="T1183" s="172"/>
      <c r="U1183" s="172"/>
      <c r="V1183" s="166">
        <f t="shared" si="3490"/>
        <v>1170.6753383656378</v>
      </c>
      <c r="W1183" s="170"/>
      <c r="X1183" s="174">
        <v>64.511394804252049</v>
      </c>
      <c r="Y1183" s="175">
        <v>5.4664940637865131E-2</v>
      </c>
      <c r="Z1183" s="175">
        <f t="shared" si="3526"/>
        <v>2.1025101326260075E-5</v>
      </c>
      <c r="AA1183" s="175"/>
      <c r="AB1183" s="175"/>
      <c r="AC1183" s="170">
        <f t="shared" si="3457"/>
        <v>4556.7082562307705</v>
      </c>
      <c r="AD1183" s="175">
        <f t="shared" si="3521"/>
        <v>-2.9065630235465833E-2</v>
      </c>
      <c r="AE1183" s="170"/>
      <c r="AF1183" s="170"/>
      <c r="AG1183" s="121">
        <f t="shared" si="3522"/>
        <v>358.31628970911146</v>
      </c>
      <c r="AH1183" s="119">
        <f>+AZ1183/$BB$55</f>
        <v>3.3874733207354187E-4</v>
      </c>
      <c r="AI1183" s="119"/>
      <c r="AJ1183" s="176">
        <f t="shared" si="3527"/>
        <v>0.12137868717745182</v>
      </c>
      <c r="AK1183" s="176">
        <f t="shared" si="3528"/>
        <v>0</v>
      </c>
      <c r="AL1183" s="120">
        <f t="shared" si="3510"/>
        <v>0.30352565481044558</v>
      </c>
      <c r="AM1183" s="120">
        <f t="shared" si="3511"/>
        <v>0.43956183893794726</v>
      </c>
      <c r="AN1183" s="120">
        <f t="shared" si="3512"/>
        <v>0.25691250625160716</v>
      </c>
      <c r="AO1183" s="120">
        <f t="shared" si="3516"/>
        <v>-1.0444057197972905E-2</v>
      </c>
      <c r="AP1183" s="173">
        <f t="shared" si="3532"/>
        <v>81.633538522077856</v>
      </c>
      <c r="AQ1183" s="175">
        <f t="shared" si="3533"/>
        <v>-1.044405719797304E-2</v>
      </c>
      <c r="AR1183" s="177">
        <f>+AC1183/$AE$55</f>
        <v>3.8461765586728688E-4</v>
      </c>
      <c r="AS1183" s="177">
        <f t="shared" si="3529"/>
        <v>-4.0169687972282551E-6</v>
      </c>
      <c r="AT1183" s="177"/>
      <c r="AU1183" s="177"/>
      <c r="AV1183" s="177"/>
      <c r="AW1183" s="190"/>
      <c r="AX1183" s="120"/>
      <c r="AY1183" s="120"/>
      <c r="AZ1183" s="118">
        <f>IFERROR(INDEX('Total Customers'!$F$7:$AB$91,MATCH($C1183,'Total Customers'!$D$7:$D$91,0),MATCH($G1183,'Total Customers'!$F$5:$AB$5,0)),"NA")</f>
        <v>12717</v>
      </c>
      <c r="BA1183" s="119">
        <f t="shared" si="3491"/>
        <v>5.1243755952073977E-3</v>
      </c>
      <c r="BB1183" s="119"/>
      <c r="BC1183" s="121"/>
      <c r="BD1183" s="119"/>
      <c r="BE1183" s="119"/>
      <c r="BF1183" s="119"/>
      <c r="BG1183" s="173"/>
      <c r="BH1183" s="173"/>
      <c r="BI1183" s="173"/>
      <c r="BJ1183" s="173"/>
      <c r="BK1183" s="173"/>
      <c r="BL1183" s="173"/>
      <c r="BM1183" s="173"/>
      <c r="BN1183" s="173"/>
      <c r="BO1183" s="173"/>
      <c r="BP1183" s="173"/>
      <c r="BQ1183" s="118"/>
      <c r="BR1183" s="118"/>
      <c r="BS1183" s="118">
        <f>INDEX('Dist. Plant Gas Additions'!$F$7:$AE$91,MATCH($C1183,'Dist. Plant Gas Additions'!$D$7:$D$91,0),MATCH(Calculation!$G1183,'Dist. Plant Gas Additions'!$F$5:$AE$5,0))</f>
        <v>2475</v>
      </c>
      <c r="BT1183" s="118">
        <f>INDEX('Gen. Plant Additions'!$F$7:$AE$91,MATCH($C1183,'Gen. Plant Additions'!$D$7:$D$91,0),MATCH(Calculation!$G1183,'Gen. Plant Additions'!$F$5:$AE$5,0))</f>
        <v>368</v>
      </c>
      <c r="BU1183" s="118"/>
      <c r="BV1183" s="118"/>
      <c r="BW1183" s="118">
        <f>INDEX('Dist Plant Depreciation'!$E$7:$AD$94,MATCH($C1183,'Dist Plant Depreciation'!$D$7:$D$94,0),MATCH(Calculation!$G1183,'Dist Plant Depreciation'!$E$5:$AD$5,0))</f>
        <v>16773</v>
      </c>
      <c r="BX1183" s="118">
        <f>INDEX('Gen. Plant Depreciation'!$E$7:$AD$94,MATCH($C1183,'Gen. Plant Depreciation'!$D$7:$D$94,0),MATCH(Calculation!$G1183,'Gen. Plant Depreciation'!$E$5:$AD$5,0))</f>
        <v>474</v>
      </c>
      <c r="BY1183" s="118"/>
      <c r="BZ1183" s="118"/>
      <c r="CA1183" s="118"/>
      <c r="CB1183" s="118"/>
      <c r="CC1183" s="118"/>
      <c r="CD1183" s="183"/>
      <c r="CE1183" s="118">
        <f>INDEX('Gross Dx Plant'!$E$7:$AD$91,MATCH($C1183,'Gross Dx Plant'!$D$7:$D$91,0),MATCH(Calculation!$G1183,'Gross Dx Plant'!$E$5:$AD$5,0))</f>
        <v>26746</v>
      </c>
      <c r="CF1183" s="118">
        <f>INDEX('Gross Gen Plant'!$E$7:$AD$91,MATCH($C1183,'Gross Gen Plant'!$D$7:$D$91,0),MATCH(Calculation!$G1183,'Gross Gen Plant'!$E$5:$AD$5,0))</f>
        <v>1695</v>
      </c>
      <c r="CG1183" s="118">
        <f t="shared" si="3352"/>
        <v>11194</v>
      </c>
      <c r="CH1183" s="118"/>
      <c r="CI1183" s="121">
        <v>2017</v>
      </c>
      <c r="CJ1183" s="118"/>
      <c r="CK1183" s="118"/>
      <c r="CL1183" s="118"/>
      <c r="CM1183" s="183"/>
      <c r="CN1183" s="118">
        <f t="shared" si="3492"/>
        <v>2843</v>
      </c>
      <c r="CO1183" s="118">
        <f t="shared" si="3493"/>
        <v>3.9905754275406857</v>
      </c>
      <c r="CP1183" s="186">
        <v>0.87074829931972786</v>
      </c>
      <c r="CQ1183" s="118">
        <f>+CQ1164*CP1183+CO1165*CP1182+CO1166*CP1181+CO1167*CP1180+CO1168*CP1179+CO1169*CP1178+CO1170*CP1177+CO1171*CP1176+CO1172*CP1175+CO1173*CP1174+CO1174*CP1173+CO1175*CP1172+CO1176*CP1171+CO1177*CP1170+CO1178*CP1169+CO1179*CP1168+CO1180*CP1167+CO1181*CP1166+CO1182*CP1165+CO1183</f>
        <v>64.511394804252049</v>
      </c>
      <c r="CR1183" s="119">
        <f t="shared" si="3494"/>
        <v>5.4664940637865131E-2</v>
      </c>
      <c r="CS1183" s="119"/>
      <c r="CT1183" s="177">
        <f t="shared" si="3495"/>
        <v>9.1474089774089377E-3</v>
      </c>
      <c r="CU1183" s="177">
        <f t="shared" si="3503"/>
        <v>8.8513061983664845E-3</v>
      </c>
      <c r="CV1183" s="119">
        <f>VLOOKUP($H1183,RoR!$E:$F,2,FALSE)</f>
        <v>3.7433333333333339E-2</v>
      </c>
      <c r="CW1183" s="177">
        <v>1.9056896421275615E-2</v>
      </c>
      <c r="CX1183" s="177">
        <f t="shared" si="3501"/>
        <v>1.8376436912057724E-2</v>
      </c>
      <c r="CY1183" s="177">
        <f t="shared" si="3504"/>
        <v>2.2050635410167142E-2</v>
      </c>
      <c r="CZ1183" s="177">
        <f t="shared" si="3505"/>
        <v>1.3976271617800498E-2</v>
      </c>
      <c r="DA1183" s="187">
        <f t="shared" si="3496"/>
        <v>0.90199375000000004</v>
      </c>
      <c r="DB1183" s="188">
        <f t="shared" si="3497"/>
        <v>1.3699568463593395</v>
      </c>
      <c r="DC1183" s="188">
        <f t="shared" si="3498"/>
        <v>0.30714603739982199</v>
      </c>
      <c r="DD1183" s="188">
        <f t="shared" si="3499"/>
        <v>0.77007188472689425</v>
      </c>
      <c r="DE1183" s="188">
        <f t="shared" si="3500"/>
        <v>0.32402839633793828</v>
      </c>
      <c r="DF1183" s="189">
        <f>INDEX('State Tax Lookup'!$D$7:$Z$91,MATCH(Calculation!$C1183,'State Tax Lookup'!$B$7:$B$91,0),MATCH($H1183,'State Tax Lookup'!$D$6:$Z$6,0))</f>
        <v>0.26134999999999997</v>
      </c>
      <c r="DG1183" s="189">
        <v>0.375</v>
      </c>
      <c r="DH1183" s="190">
        <f t="shared" si="3502"/>
        <v>19.166407596791398</v>
      </c>
      <c r="DI1183" s="190">
        <v>18.790516297177799</v>
      </c>
      <c r="DJ1183" s="177"/>
      <c r="DK1183" s="189">
        <f>VLOOKUP($H1183,RoR!$E:$F,2,FALSE)</f>
        <v>3.7433333333333339E-2</v>
      </c>
      <c r="DL1183" s="191">
        <f>HLOOKUP($H1183,'GDP-PI'!$D$8:$CQ$11,3,FALSE)</f>
        <v>1.9056896421275615E-2</v>
      </c>
      <c r="DM1183" s="189">
        <f>VLOOKUP(H1183,'HW Dx Data'!$E:$F,2,FALSE)</f>
        <v>712.42858370229726</v>
      </c>
      <c r="DN1183" s="183">
        <f>VLOOKUP(H1183,'ECI - Input Price'!$G$17:$H$37,2,FALSE)</f>
        <v>129.5</v>
      </c>
      <c r="DO1183" s="177">
        <f t="shared" ref="DO1183" si="3552">LN(DN1183/DN1182)</f>
        <v>2.4229399426835413E-2</v>
      </c>
      <c r="DP1183" s="183">
        <f>HLOOKUP(H1183,'GDP-PI'!$8:$9,2,FALSE)</f>
        <v>107.751</v>
      </c>
      <c r="DQ1183" s="177">
        <f t="shared" ref="DQ1183" si="3553">LN(DP1183/DP1182)</f>
        <v>1.8877588227745139E-2</v>
      </c>
    </row>
    <row r="1184" spans="1:121" s="167" customFormat="1" ht="21" x14ac:dyDescent="0.35">
      <c r="A1184" s="167" t="s">
        <v>111</v>
      </c>
      <c r="B1184" s="167" t="s">
        <v>111</v>
      </c>
      <c r="C1184" s="167">
        <v>4063281</v>
      </c>
      <c r="D1184" s="168" t="s">
        <v>144</v>
      </c>
      <c r="E1184" s="168"/>
      <c r="F1184" s="198"/>
      <c r="G1184" s="167" t="s">
        <v>24</v>
      </c>
      <c r="H1184" s="169">
        <v>2018</v>
      </c>
      <c r="I1184" s="170"/>
      <c r="J1184" s="166">
        <f>IFERROR(INDEX('Labor Expenditures'!$F$7:$X$91,MATCH($C1184,'Labor Expenditures'!$D$7:$D$91,0),MATCH($G1184,'Labor Expenditures'!$F$5:$X$5,0)),"NA")</f>
        <v>1439.1617637630518</v>
      </c>
      <c r="K1184" s="166">
        <f t="shared" si="3508"/>
        <v>10.800463517921589</v>
      </c>
      <c r="L1184" s="172">
        <f t="shared" si="3515"/>
        <v>1.1203306678107748E-2</v>
      </c>
      <c r="M1184" s="172">
        <f t="shared" si="3519"/>
        <v>4.1887505647078327E-6</v>
      </c>
      <c r="N1184" s="196"/>
      <c r="O1184" s="172"/>
      <c r="P1184" s="166">
        <f>IFERROR(INDEX('Non-Labor Expenditures'!$F$7:$AB$91,MATCH($C1184,'Non-Labor Expenditures'!$D$7:$D$91,0),MATCH($G1184,'Non-Labor Expenditures'!$F$5:$AB$5,0)),"NA")</f>
        <v>2084.1750322684629</v>
      </c>
      <c r="Q1184" s="166">
        <f t="shared" si="3509"/>
        <v>18.891744459568017</v>
      </c>
      <c r="R1184" s="172">
        <f t="shared" si="3520"/>
        <v>1.6169135867960583E-2</v>
      </c>
      <c r="S1184" s="172">
        <f t="shared" si="3525"/>
        <v>6.0454006074925174E-6</v>
      </c>
      <c r="T1184" s="172"/>
      <c r="U1184" s="172"/>
      <c r="V1184" s="166">
        <f t="shared" si="3490"/>
        <v>1293.0832079416839</v>
      </c>
      <c r="W1184" s="170"/>
      <c r="X1184" s="174">
        <v>68.117734341620917</v>
      </c>
      <c r="Y1184" s="175">
        <v>5.4395723599218779E-2</v>
      </c>
      <c r="Z1184" s="175">
        <f t="shared" si="3526"/>
        <v>2.0337756029579919E-5</v>
      </c>
      <c r="AA1184" s="175"/>
      <c r="AB1184" s="175"/>
      <c r="AC1184" s="170">
        <f t="shared" si="3457"/>
        <v>4816.4200039731986</v>
      </c>
      <c r="AD1184" s="175">
        <f t="shared" si="3521"/>
        <v>5.5430425114800543E-2</v>
      </c>
      <c r="AE1184" s="170"/>
      <c r="AF1184" s="170"/>
      <c r="AG1184" s="121">
        <f t="shared" si="3522"/>
        <v>377.19633518468157</v>
      </c>
      <c r="AH1184" s="119">
        <f>+AZ1184/$BB$56</f>
        <v>3.3717799158525832E-4</v>
      </c>
      <c r="AI1184" s="119"/>
      <c r="AJ1184" s="176">
        <f t="shared" si="3527"/>
        <v>0.12718230273089084</v>
      </c>
      <c r="AK1184" s="176">
        <f t="shared" si="3528"/>
        <v>0</v>
      </c>
      <c r="AL1184" s="120">
        <f t="shared" si="3510"/>
        <v>0.29880321121825903</v>
      </c>
      <c r="AM1184" s="120">
        <f t="shared" si="3511"/>
        <v>0.43272285858566512</v>
      </c>
      <c r="AN1184" s="120">
        <f t="shared" si="3512"/>
        <v>0.26847393019607585</v>
      </c>
      <c r="AO1184" s="120">
        <f t="shared" si="3516"/>
        <v>2.4715470088392665E-2</v>
      </c>
      <c r="AP1184" s="173">
        <f t="shared" si="3532"/>
        <v>83.676289593894808</v>
      </c>
      <c r="AQ1184" s="175">
        <f t="shared" si="3533"/>
        <v>2.4715470088392699E-2</v>
      </c>
      <c r="AR1184" s="177">
        <f>+AC1184/$AE$56</f>
        <v>3.7388520059823243E-4</v>
      </c>
      <c r="AS1184" s="177">
        <f t="shared" si="3529"/>
        <v>9.2407484918783182E-6</v>
      </c>
      <c r="AT1184" s="177"/>
      <c r="AU1184" s="177"/>
      <c r="AV1184" s="177"/>
      <c r="AW1184" s="190"/>
      <c r="AX1184" s="120"/>
      <c r="AY1184" s="120"/>
      <c r="AZ1184" s="118">
        <f>IFERROR(INDEX('Total Customers'!$F$7:$AB$91,MATCH($C1184,'Total Customers'!$D$7:$D$91,0),MATCH($G1184,'Total Customers'!$F$5:$AB$5,0)),"NA")</f>
        <v>12769</v>
      </c>
      <c r="BA1184" s="119">
        <f t="shared" si="3491"/>
        <v>4.0806774039342476E-3</v>
      </c>
      <c r="BB1184" s="119"/>
      <c r="BC1184" s="121"/>
      <c r="BD1184" s="119"/>
      <c r="BE1184" s="119"/>
      <c r="BF1184" s="119"/>
      <c r="BG1184" s="173"/>
      <c r="BH1184" s="173"/>
      <c r="BI1184" s="173"/>
      <c r="BJ1184" s="173"/>
      <c r="BK1184" s="173"/>
      <c r="BL1184" s="173"/>
      <c r="BM1184" s="173"/>
      <c r="BN1184" s="173"/>
      <c r="BO1184" s="173"/>
      <c r="BP1184" s="173"/>
      <c r="BQ1184" s="118"/>
      <c r="BR1184" s="118"/>
      <c r="BS1184" s="118">
        <f>INDEX('Dist. Plant Gas Additions'!$F$7:$AE$91,MATCH($C1184,'Dist. Plant Gas Additions'!$D$7:$D$91,0),MATCH(Calculation!$G1184,'Dist. Plant Gas Additions'!$F$5:$AE$5,0))</f>
        <v>2761</v>
      </c>
      <c r="BT1184" s="118">
        <f>INDEX('Gen. Plant Additions'!$F$7:$AE$91,MATCH($C1184,'Gen. Plant Additions'!$D$7:$D$91,0),MATCH(Calculation!$G1184,'Gen. Plant Additions'!$F$5:$AE$5,0))</f>
        <v>416</v>
      </c>
      <c r="BU1184" s="118"/>
      <c r="BV1184" s="118"/>
      <c r="BW1184" s="118">
        <f>INDEX('Dist Plant Depreciation'!$E$7:$AD$94,MATCH($C1184,'Dist Plant Depreciation'!$D$7:$D$94,0),MATCH(Calculation!$G1184,'Dist Plant Depreciation'!$E$5:$AD$5,0))</f>
        <v>17587</v>
      </c>
      <c r="BX1184" s="118">
        <f>INDEX('Gen. Plant Depreciation'!$E$7:$AD$94,MATCH($C1184,'Gen. Plant Depreciation'!$D$7:$D$94,0),MATCH(Calculation!$G1184,'Gen. Plant Depreciation'!$E$5:$AD$5,0))</f>
        <v>494</v>
      </c>
      <c r="BY1184" s="118"/>
      <c r="BZ1184" s="118"/>
      <c r="CA1184" s="118"/>
      <c r="CB1184" s="118"/>
      <c r="CC1184" s="118"/>
      <c r="CD1184" s="183"/>
      <c r="CE1184" s="118">
        <f>INDEX('Gross Dx Plant'!$E$7:$AD$91,MATCH($C1184,'Gross Dx Plant'!$D$7:$D$91,0),MATCH(Calculation!$G1184,'Gross Dx Plant'!$E$5:$AD$5,0))</f>
        <v>29372</v>
      </c>
      <c r="CF1184" s="118">
        <f>INDEX('Gross Gen Plant'!$E$7:$AD$91,MATCH($C1184,'Gross Gen Plant'!$D$7:$D$91,0),MATCH(Calculation!$G1184,'Gross Gen Plant'!$E$5:$AD$5,0))</f>
        <v>2107</v>
      </c>
      <c r="CG1184" s="118">
        <f t="shared" si="3352"/>
        <v>13398</v>
      </c>
      <c r="CH1184" s="118"/>
      <c r="CI1184" s="121">
        <v>2018</v>
      </c>
      <c r="CJ1184" s="118"/>
      <c r="CK1184" s="118"/>
      <c r="CL1184" s="118"/>
      <c r="CM1184" s="183"/>
      <c r="CN1184" s="118">
        <f t="shared" si="3492"/>
        <v>3177</v>
      </c>
      <c r="CO1184" s="118">
        <f t="shared" si="3493"/>
        <v>4.2071851886706186</v>
      </c>
      <c r="CP1184" s="186">
        <v>0.86111111111111116</v>
      </c>
      <c r="CQ1184" s="118">
        <f>+CQ1164*CP1184++CO1165*CP1183+CO1166*CP1182+CO1167*CP1181+CO1168*CP1180+CO1169*CP1179+CO1170*CP1178+CO1171*CP1177+CO1172*CP1176+CO1173*CP1175+CO1174*CP1174+CO1175*CP1173+CO1176*CP1172+CO1177*CP1171+CO1178*CP1170+CO1179*CP1169+CO1180*CP1168+CO1181*CP1167+CO1182*CP1166+CO1183*CP1165+CO1184</f>
        <v>68.117734341620917</v>
      </c>
      <c r="CR1184" s="119">
        <f t="shared" si="3494"/>
        <v>5.4395723599218779E-2</v>
      </c>
      <c r="CS1184" s="119"/>
      <c r="CT1184" s="177">
        <f t="shared" si="3495"/>
        <v>9.3137910461385358E-3</v>
      </c>
      <c r="CU1184" s="177">
        <f t="shared" si="3503"/>
        <v>9.1142598621262987E-3</v>
      </c>
      <c r="CV1184" s="119">
        <f>VLOOKUP($H1184,RoR!$E:$F,2,FALSE)</f>
        <v>3.9299999999999995E-2</v>
      </c>
      <c r="CW1184" s="177">
        <v>2.386056741932796E-2</v>
      </c>
      <c r="CX1184" s="177">
        <f t="shared" si="3501"/>
        <v>1.5439432580672034E-2</v>
      </c>
      <c r="CY1184" s="177">
        <f t="shared" si="3504"/>
        <v>2.1787681746407328E-2</v>
      </c>
      <c r="CZ1184" s="177">
        <f t="shared" si="3505"/>
        <v>3.8270792163076606E-2</v>
      </c>
      <c r="DA1184" s="187">
        <f t="shared" si="3496"/>
        <v>0.90199375000000004</v>
      </c>
      <c r="DB1184" s="188">
        <f t="shared" si="3497"/>
        <v>1.3048868010700074</v>
      </c>
      <c r="DC1184" s="188">
        <f t="shared" si="3498"/>
        <v>0.33886768447837151</v>
      </c>
      <c r="DD1184" s="188">
        <f t="shared" si="3499"/>
        <v>0.78602506232557801</v>
      </c>
      <c r="DE1184" s="188">
        <f t="shared" si="3500"/>
        <v>0.34756768162358759</v>
      </c>
      <c r="DF1184" s="189">
        <f>INDEX('State Tax Lookup'!$D$7:$Z$91,MATCH(Calculation!$C1184,'State Tax Lookup'!$B$7:$B$91,0),MATCH($H1184,'State Tax Lookup'!$D$6:$Z$6,0))</f>
        <v>0.26134999999999997</v>
      </c>
      <c r="DG1184" s="189">
        <v>0.375</v>
      </c>
      <c r="DH1184" s="190">
        <f t="shared" si="3502"/>
        <v>20.044260581643087</v>
      </c>
      <c r="DI1184" s="190">
        <v>19.751364021047184</v>
      </c>
      <c r="DJ1184" s="177"/>
      <c r="DK1184" s="189">
        <f>VLOOKUP($H1184,RoR!$E:$F,2,FALSE)</f>
        <v>3.9299999999999995E-2</v>
      </c>
      <c r="DL1184" s="191">
        <f>HLOOKUP($H1184,'GDP-PI'!$D$8:$CQ$11,3,FALSE)</f>
        <v>2.386056741932796E-2</v>
      </c>
      <c r="DM1184" s="189">
        <f>VLOOKUP(H1184,'HW Dx Data'!$E:$F,2,FALSE)</f>
        <v>755.13671434174842</v>
      </c>
      <c r="DN1184" s="183">
        <f>VLOOKUP(H1184,'ECI - Input Price'!$G$17:$H$37,2,FALSE)</f>
        <v>133.25</v>
      </c>
      <c r="DO1184" s="177">
        <f t="shared" ref="DO1184" si="3554">LN(DN1184/DN1183)</f>
        <v>2.8546181906361531E-2</v>
      </c>
      <c r="DP1184" s="183">
        <f>HLOOKUP(H1184,'GDP-PI'!$8:$9,2,FALSE)</f>
        <v>110.322</v>
      </c>
      <c r="DQ1184" s="177">
        <f t="shared" ref="DQ1184" si="3555">LN(DP1184/DP1183)</f>
        <v>2.3580352716508712E-2</v>
      </c>
    </row>
    <row r="1185" spans="1:121" s="167" customFormat="1" ht="21" x14ac:dyDescent="0.35">
      <c r="A1185" s="167" t="s">
        <v>111</v>
      </c>
      <c r="B1185" s="167" t="s">
        <v>111</v>
      </c>
      <c r="C1185" s="167">
        <v>4063281</v>
      </c>
      <c r="D1185" s="168" t="s">
        <v>144</v>
      </c>
      <c r="E1185" s="168"/>
      <c r="F1185" s="198"/>
      <c r="G1185" s="167" t="s">
        <v>25</v>
      </c>
      <c r="H1185" s="169">
        <v>2019</v>
      </c>
      <c r="I1185" s="170"/>
      <c r="J1185" s="166">
        <f>IFERROR(INDEX('Labor Expenditures'!$F$7:$X$91,MATCH($C1185,'Labor Expenditures'!$D$7:$D$91,0),MATCH($G1185,'Labor Expenditures'!$F$5:$X$5,0)),"NA")</f>
        <v>1452.8549370943911</v>
      </c>
      <c r="K1185" s="166">
        <f t="shared" si="3508"/>
        <v>10.61640436313037</v>
      </c>
      <c r="L1185" s="172">
        <f t="shared" si="3515"/>
        <v>-1.7188665259946563E-2</v>
      </c>
      <c r="M1185" s="172">
        <f t="shared" si="3519"/>
        <v>-6.3938068666901055E-6</v>
      </c>
      <c r="N1185" s="196"/>
      <c r="O1185" s="172"/>
      <c r="P1185" s="166">
        <f>IFERROR(INDEX('Non-Labor Expenditures'!$F$7:$AB$91,MATCH($C1185,'Non-Labor Expenditures'!$D$7:$D$91,0),MATCH($G1185,'Non-Labor Expenditures'!$F$5:$AB$5,0)),"NA")</f>
        <v>2104.0053047842357</v>
      </c>
      <c r="Q1185" s="166">
        <f t="shared" si="3509"/>
        <v>18.732574518636689</v>
      </c>
      <c r="R1185" s="172">
        <f t="shared" si="3520"/>
        <v>-8.4610642706143529E-3</v>
      </c>
      <c r="S1185" s="172">
        <f t="shared" si="3525"/>
        <v>-3.1473305236225504E-6</v>
      </c>
      <c r="T1185" s="172"/>
      <c r="U1185" s="172"/>
      <c r="V1185" s="166">
        <f t="shared" si="3490"/>
        <v>1384.9568806266886</v>
      </c>
      <c r="W1185" s="170"/>
      <c r="X1185" s="174">
        <v>70.883306197821355</v>
      </c>
      <c r="Y1185" s="175">
        <v>3.9797354782525635E-2</v>
      </c>
      <c r="Z1185" s="175">
        <f t="shared" si="3526"/>
        <v>1.4803744004344278E-5</v>
      </c>
      <c r="AA1185" s="175"/>
      <c r="AB1185" s="175"/>
      <c r="AC1185" s="170">
        <f t="shared" si="3457"/>
        <v>4941.8171225053156</v>
      </c>
      <c r="AD1185" s="175">
        <f t="shared" si="3521"/>
        <v>2.5702187796378232E-2</v>
      </c>
      <c r="AE1185" s="170"/>
      <c r="AF1185" s="170"/>
      <c r="AG1185" s="121">
        <f t="shared" si="3522"/>
        <v>385.65764964143244</v>
      </c>
      <c r="AH1185" s="119">
        <f>+AZ1185/$BB$57</f>
        <v>3.3559799560993611E-4</v>
      </c>
      <c r="AI1185" s="119"/>
      <c r="AJ1185" s="176">
        <f t="shared" si="3527"/>
        <v>0.12942593421130372</v>
      </c>
      <c r="AK1185" s="176">
        <f t="shared" si="3528"/>
        <v>0</v>
      </c>
      <c r="AL1185" s="120">
        <f t="shared" si="3510"/>
        <v>0.29399204808247703</v>
      </c>
      <c r="AM1185" s="120">
        <f t="shared" si="3511"/>
        <v>0.42575539576373156</v>
      </c>
      <c r="AN1185" s="120">
        <f t="shared" si="3512"/>
        <v>0.28025255615379135</v>
      </c>
      <c r="AO1185" s="120">
        <f t="shared" si="3516"/>
        <v>2.1924318455278698E-3</v>
      </c>
      <c r="AP1185" s="173">
        <f t="shared" si="3532"/>
        <v>83.859945408778913</v>
      </c>
      <c r="AQ1185" s="175">
        <f t="shared" si="3533"/>
        <v>2.1924318455278408E-3</v>
      </c>
      <c r="AR1185" s="177">
        <f>+AC1185/$AE$57</f>
        <v>3.7197808963032787E-4</v>
      </c>
      <c r="AS1185" s="177">
        <f t="shared" si="3529"/>
        <v>8.1553660954414031E-7</v>
      </c>
      <c r="AT1185" s="177"/>
      <c r="AU1185" s="177"/>
      <c r="AV1185" s="177"/>
      <c r="AW1185" s="190"/>
      <c r="AX1185" s="120"/>
      <c r="AY1185" s="120"/>
      <c r="AZ1185" s="118">
        <f>IFERROR(INDEX('Total Customers'!$F$7:$AB$91,MATCH($C1185,'Total Customers'!$D$7:$D$91,0),MATCH($G1185,'Total Customers'!$F$5:$AB$5,0)),"NA")</f>
        <v>12814</v>
      </c>
      <c r="BA1185" s="119">
        <f t="shared" si="3491"/>
        <v>3.5179647742857364E-3</v>
      </c>
      <c r="BB1185" s="119"/>
      <c r="BC1185" s="121"/>
      <c r="BD1185" s="119"/>
      <c r="BE1185" s="119"/>
      <c r="BF1185" s="119"/>
      <c r="BG1185" s="173"/>
      <c r="BH1185" s="173"/>
      <c r="BI1185" s="173"/>
      <c r="BJ1185" s="173"/>
      <c r="BK1185" s="173"/>
      <c r="BL1185" s="173"/>
      <c r="BM1185" s="173"/>
      <c r="BN1185" s="173"/>
      <c r="BO1185" s="173"/>
      <c r="BP1185" s="173"/>
      <c r="BQ1185" s="118"/>
      <c r="BR1185" s="118"/>
      <c r="BS1185" s="118">
        <f>INDEX('Dist. Plant Gas Additions'!$F$7:$AE$91,MATCH($C1185,'Dist. Plant Gas Additions'!$D$7:$D$91,0),MATCH(Calculation!$G1185,'Dist. Plant Gas Additions'!$F$5:$AE$5,0))</f>
        <v>2188</v>
      </c>
      <c r="BT1185" s="118">
        <f>INDEX('Gen. Plant Additions'!$F$7:$AE$91,MATCH($C1185,'Gen. Plant Additions'!$D$7:$D$91,0),MATCH(Calculation!$G1185,'Gen. Plant Additions'!$F$5:$AE$5,0))</f>
        <v>451</v>
      </c>
      <c r="BU1185" s="118"/>
      <c r="BV1185" s="118"/>
      <c r="BW1185" s="118">
        <f>INDEX('Dist Plant Depreciation'!$E$7:$AD$94,MATCH($C1185,'Dist Plant Depreciation'!$D$7:$D$94,0),MATCH(Calculation!$G1185,'Dist Plant Depreciation'!$E$5:$AD$5,0))</f>
        <v>18624</v>
      </c>
      <c r="BX1185" s="118">
        <f>INDEX('Gen. Plant Depreciation'!$E$7:$AD$94,MATCH($C1185,'Gen. Plant Depreciation'!$D$7:$D$94,0),MATCH(Calculation!$G1185,'Gen. Plant Depreciation'!$E$5:$AD$5,0))</f>
        <v>856</v>
      </c>
      <c r="BY1185" s="118"/>
      <c r="BZ1185" s="118"/>
      <c r="CA1185" s="118"/>
      <c r="CB1185" s="118"/>
      <c r="CC1185" s="118"/>
      <c r="CD1185" s="183"/>
      <c r="CE1185" s="118">
        <f>INDEX('Gross Dx Plant'!$E$7:$AD$91,MATCH($C1185,'Gross Dx Plant'!$D$7:$D$91,0),MATCH(Calculation!$G1185,'Gross Dx Plant'!$E$5:$AD$5,0))</f>
        <v>31529</v>
      </c>
      <c r="CF1185" s="118">
        <f>INDEX('Gross Gen Plant'!$E$7:$AD$91,MATCH($C1185,'Gross Gen Plant'!$D$7:$D$91,0),MATCH(Calculation!$G1185,'Gross Gen Plant'!$E$5:$AD$5,0))</f>
        <v>2559</v>
      </c>
      <c r="CG1185" s="118">
        <f t="shared" ref="CG1185:CG1251" si="3556">IF(OR(BW1185="NA",BX1185="NA"),"NA",(SUM(CE1185:CF1185)-SUM(BW1185:BX1185)))</f>
        <v>14608</v>
      </c>
      <c r="CH1185" s="118"/>
      <c r="CI1185" s="121">
        <v>2019</v>
      </c>
      <c r="CJ1185" s="118"/>
      <c r="CK1185" s="118"/>
      <c r="CL1185" s="118"/>
      <c r="CM1185" s="183"/>
      <c r="CN1185" s="118">
        <f t="shared" si="3492"/>
        <v>2639</v>
      </c>
      <c r="CO1185" s="118">
        <f t="shared" si="3493"/>
        <v>3.4115913787831706</v>
      </c>
      <c r="CP1185" s="186">
        <v>0.85106382978723405</v>
      </c>
      <c r="CQ1185" s="118">
        <f>CQ1164*CP1185+CO1165*CP1184+CO1166*CP1183+CO1167*CP1182+CO1168*CP1181+CO1169*CP1180+CO1170*CP1179+CO1171*CP1178+CO1172*CP1177+CO1173*CP1176+CO1174*CP1175+CO1175*CP1174+CO1176*CP1173+CO1177*CP1172+CO1178*CP1171+CO1179*CP1170+CO1180*CP1169+CO1181*CP1168+CO1182*CP1167+CO1183*CP1166+CO1184*CP1165+CO1185</f>
        <v>70.883306197821355</v>
      </c>
      <c r="CR1185" s="119">
        <f t="shared" si="3494"/>
        <v>3.9797354782525635E-2</v>
      </c>
      <c r="CS1185" s="119"/>
      <c r="CT1185" s="177">
        <f t="shared" si="3495"/>
        <v>9.4838668494586931E-3</v>
      </c>
      <c r="CU1185" s="177">
        <f t="shared" si="3503"/>
        <v>9.3150222910020567E-3</v>
      </c>
      <c r="CV1185" s="119">
        <f>VLOOKUP($H1185,RoR!$E:$F,2,FALSE)</f>
        <v>3.3875000000000009E-2</v>
      </c>
      <c r="CW1185" s="177">
        <v>1.8092492884465461E-2</v>
      </c>
      <c r="CX1185" s="177">
        <f t="shared" si="3501"/>
        <v>1.5782507115534548E-2</v>
      </c>
      <c r="CY1185" s="177">
        <f t="shared" si="3504"/>
        <v>2.1586919317531567E-2</v>
      </c>
      <c r="CZ1185" s="177">
        <f t="shared" si="3505"/>
        <v>4.8445665544254078E-2</v>
      </c>
      <c r="DA1185" s="187">
        <f t="shared" si="3496"/>
        <v>0.90199375000000004</v>
      </c>
      <c r="DB1185" s="188">
        <f t="shared" si="3497"/>
        <v>1.513861292459078</v>
      </c>
      <c r="DC1185" s="188">
        <f t="shared" si="3498"/>
        <v>0.23699261992619944</v>
      </c>
      <c r="DD1185" s="188">
        <f t="shared" si="3499"/>
        <v>0.73619765810468829</v>
      </c>
      <c r="DE1185" s="188">
        <f t="shared" si="3500"/>
        <v>0.26412854465362851</v>
      </c>
      <c r="DF1185" s="189">
        <f>INDEX('State Tax Lookup'!$D$7:$Z$91,MATCH(Calculation!$C1185,'State Tax Lookup'!$B$7:$B$91,0),MATCH($H1185,'State Tax Lookup'!$D$6:$Z$6,0))</f>
        <v>0.26134999999999997</v>
      </c>
      <c r="DG1185" s="189">
        <v>0.375</v>
      </c>
      <c r="DH1185" s="190">
        <f t="shared" si="3502"/>
        <v>20.331810709982172</v>
      </c>
      <c r="DI1185" s="190">
        <v>20.071481353604625</v>
      </c>
      <c r="DJ1185" s="177"/>
      <c r="DK1185" s="189">
        <f>VLOOKUP($H1185,RoR!$E:$F,2,FALSE)</f>
        <v>3.3875000000000009E-2</v>
      </c>
      <c r="DL1185" s="191">
        <f>HLOOKUP($H1185,'GDP-PI'!$D$8:$CQ$11,3,FALSE)</f>
        <v>1.8092492884465461E-2</v>
      </c>
      <c r="DM1185" s="189">
        <f>VLOOKUP(H1185,'HW Dx Data'!$E:$F,2,FALSE)</f>
        <v>773.53929793938721</v>
      </c>
      <c r="DN1185" s="183">
        <f>VLOOKUP(H1185,'ECI - Input Price'!$G$17:$H$37,2,FALSE)</f>
        <v>136.85</v>
      </c>
      <c r="DO1185" s="177">
        <f t="shared" ref="DO1185" si="3557">LN(DN1185/DN1184)</f>
        <v>2.6658372440734168E-2</v>
      </c>
      <c r="DP1185" s="183">
        <f>HLOOKUP(H1185,'GDP-PI'!$8:$9,2,FALSE)</f>
        <v>112.318</v>
      </c>
      <c r="DQ1185" s="177">
        <f t="shared" ref="DQ1185" si="3558">LN(DP1185/DP1184)</f>
        <v>1.7930771451401852E-2</v>
      </c>
    </row>
    <row r="1186" spans="1:121" s="167" customFormat="1" ht="21" x14ac:dyDescent="0.35">
      <c r="A1186" s="167" t="s">
        <v>111</v>
      </c>
      <c r="B1186" s="167" t="s">
        <v>111</v>
      </c>
      <c r="C1186" s="167">
        <v>4063281</v>
      </c>
      <c r="D1186" s="167" t="s">
        <v>144</v>
      </c>
      <c r="G1186" s="168" t="s">
        <v>26</v>
      </c>
      <c r="H1186" s="169">
        <v>2020</v>
      </c>
      <c r="I1186" s="170"/>
      <c r="J1186" s="166">
        <f>IFERROR(INDEX('Labor Expenditures'!$F$7:$X$91,MATCH($C1186,'Labor Expenditures'!$D$7:$D$91,0),MATCH($G1186,'Labor Expenditures'!$F$5:$X$5,0)),"NA")</f>
        <v>1485.6332152052296</v>
      </c>
      <c r="K1186" s="166">
        <f t="shared" si="3508"/>
        <v>10.577666181596509</v>
      </c>
      <c r="L1186" s="172">
        <f t="shared" si="3515"/>
        <v>-3.655571929041057E-3</v>
      </c>
      <c r="M1186" s="172">
        <f t="shared" si="3519"/>
        <v>-1.3715462039466928E-6</v>
      </c>
      <c r="N1186" s="196"/>
      <c r="O1186" s="172"/>
      <c r="P1186" s="166">
        <f>IFERROR(INDEX('Non-Labor Expenditures'!$F$7:$AB$91,MATCH($C1186,'Non-Labor Expenditures'!$D$7:$D$91,0),MATCH($G1186,'Non-Labor Expenditures'!$F$5:$AB$5,0)),"NA")</f>
        <v>2151.4743736265959</v>
      </c>
      <c r="Q1186" s="166">
        <f t="shared" si="3509"/>
        <v>18.935201267583111</v>
      </c>
      <c r="R1186" s="172">
        <f t="shared" si="3520"/>
        <v>1.0758729403130324E-2</v>
      </c>
      <c r="S1186" s="172">
        <f t="shared" si="3525"/>
        <v>4.036603507901413E-6</v>
      </c>
      <c r="T1186" s="172"/>
      <c r="U1186" s="172"/>
      <c r="V1186" s="166">
        <f t="shared" si="3490"/>
        <v>1501.7913406054506</v>
      </c>
      <c r="W1186" s="170"/>
      <c r="X1186" s="174">
        <v>72.111325440549379</v>
      </c>
      <c r="Y1186" s="175">
        <v>1.7176161362357712E-2</v>
      </c>
      <c r="Z1186" s="175">
        <f t="shared" si="3526"/>
        <v>6.4443811726876268E-6</v>
      </c>
      <c r="AA1186" s="175"/>
      <c r="AB1186" s="175"/>
      <c r="AC1186" s="170">
        <f t="shared" si="3457"/>
        <v>5138.8989294372759</v>
      </c>
      <c r="AD1186" s="175">
        <f t="shared" si="3521"/>
        <v>3.910573832910777E-2</v>
      </c>
      <c r="AE1186" s="170"/>
      <c r="AF1186" s="170"/>
      <c r="AG1186" s="121">
        <f t="shared" si="3522"/>
        <v>399.19979254542653</v>
      </c>
      <c r="AH1186" s="119">
        <f>+AZ1186/$BB$58</f>
        <v>3.3477287664068094E-4</v>
      </c>
      <c r="AI1186" s="119"/>
      <c r="AJ1186" s="176">
        <f t="shared" si="3527"/>
        <v>0.1336412629047955</v>
      </c>
      <c r="AK1186" s="176">
        <f t="shared" si="3528"/>
        <v>0</v>
      </c>
      <c r="AL1186" s="120">
        <f t="shared" si="3510"/>
        <v>0.28909562838355152</v>
      </c>
      <c r="AM1186" s="120">
        <f t="shared" si="3511"/>
        <v>0.41866446551463671</v>
      </c>
      <c r="AN1186" s="120">
        <f t="shared" si="3512"/>
        <v>0.29223990610181177</v>
      </c>
      <c r="AO1186" s="120">
        <f t="shared" si="3516"/>
        <v>8.3932943791497714E-3</v>
      </c>
      <c r="AP1186" s="173">
        <f t="shared" si="3532"/>
        <v>84.566768755944139</v>
      </c>
      <c r="AQ1186" s="175">
        <f t="shared" si="3533"/>
        <v>8.3932943791498651E-3</v>
      </c>
      <c r="AR1186" s="177">
        <f>+AC1186/$AE$58</f>
        <v>3.7519332968137818E-4</v>
      </c>
      <c r="AS1186" s="177">
        <f t="shared" si="3529"/>
        <v>3.1491080651092338E-6</v>
      </c>
      <c r="AT1186" s="177"/>
      <c r="AU1186" s="177"/>
      <c r="AV1186" s="177"/>
      <c r="AW1186" s="190"/>
      <c r="AX1186" s="120"/>
      <c r="AY1186" s="120"/>
      <c r="AZ1186" s="118">
        <f>IFERROR(INDEX('Total Customers'!$F$7:$AB$91,MATCH($C1186,'Total Customers'!$D$7:$D$91,0),MATCH($G1186,'Total Customers'!$F$5:$AB$5,0)),"NA")</f>
        <v>12873</v>
      </c>
      <c r="BA1186" s="119">
        <f t="shared" si="3491"/>
        <v>4.5937714606674677E-3</v>
      </c>
      <c r="BB1186" s="119"/>
      <c r="BC1186" s="121"/>
      <c r="BD1186" s="119"/>
      <c r="BE1186" s="119"/>
      <c r="BF1186" s="119"/>
      <c r="BG1186" s="173"/>
      <c r="BH1186" s="173"/>
      <c r="BI1186" s="173"/>
      <c r="BJ1186" s="173"/>
      <c r="BK1186" s="173"/>
      <c r="BL1186" s="173"/>
      <c r="BM1186" s="173"/>
      <c r="BN1186" s="173"/>
      <c r="BO1186" s="173"/>
      <c r="BP1186" s="173"/>
      <c r="BQ1186" s="118"/>
      <c r="BR1186" s="118"/>
      <c r="BS1186" s="118">
        <f>INDEX('Dist. Plant Gas Additions'!$F$7:$AE$91,MATCH($C1186,'Dist. Plant Gas Additions'!$D$7:$D$91,0),MATCH(Calculation!$G1186,'Dist. Plant Gas Additions'!$F$5:$AE$5,0))</f>
        <v>1436</v>
      </c>
      <c r="BT1186" s="118">
        <f>INDEX('Gen. Plant Additions'!$F$7:$AE$91,MATCH($C1186,'Gen. Plant Additions'!$D$7:$D$91,0),MATCH(Calculation!$G1186,'Gen. Plant Additions'!$F$5:$AE$5,0))</f>
        <v>123</v>
      </c>
      <c r="BU1186" s="118"/>
      <c r="BV1186" s="118"/>
      <c r="BW1186" s="118">
        <f>INDEX('Dist Plant Depreciation'!$E$7:$AD$94,MATCH($C1186,'Dist Plant Depreciation'!$D$7:$D$94,0),MATCH(Calculation!$G1186,'Dist Plant Depreciation'!$E$5:$AD$5,0))</f>
        <v>19590</v>
      </c>
      <c r="BX1186" s="118">
        <f>INDEX('Gen. Plant Depreciation'!$E$7:$AD$94,MATCH($C1186,'Gen. Plant Depreciation'!$D$7:$D$94,0),MATCH(Calculation!$G1186,'Gen. Plant Depreciation'!$E$5:$AD$5,0))</f>
        <v>1000</v>
      </c>
      <c r="BY1186" s="118"/>
      <c r="BZ1186" s="118"/>
      <c r="CA1186" s="118"/>
      <c r="CB1186" s="118"/>
      <c r="CC1186" s="118"/>
      <c r="CD1186" s="183"/>
      <c r="CE1186" s="118">
        <f>INDEX('Gross Dx Plant'!$E$7:$AD$91,MATCH($C1186,'Gross Dx Plant'!$D$7:$D$91,0),MATCH(Calculation!$G1186,'Gross Dx Plant'!$E$5:$AD$5,0))</f>
        <v>32886</v>
      </c>
      <c r="CF1186" s="118">
        <f>INDEX('Gross Gen Plant'!$E$7:$AD$91,MATCH($C1186,'Gross Gen Plant'!$D$7:$D$91,0),MATCH(Calculation!$G1186,'Gross Gen Plant'!$E$5:$AD$5,0))</f>
        <v>2682</v>
      </c>
      <c r="CG1186" s="118">
        <f t="shared" si="3556"/>
        <v>14978</v>
      </c>
      <c r="CH1186" s="118"/>
      <c r="CI1186" s="121">
        <v>2020</v>
      </c>
      <c r="CJ1186" s="118"/>
      <c r="CK1186" s="118"/>
      <c r="CL1186" s="118"/>
      <c r="CM1186" s="183"/>
      <c r="CN1186" s="118">
        <f t="shared" si="3492"/>
        <v>1559</v>
      </c>
      <c r="CO1186" s="118">
        <f t="shared" si="3493"/>
        <v>1.9174001186862477</v>
      </c>
      <c r="CP1186" s="186">
        <v>0.84057971014492749</v>
      </c>
      <c r="CQ1186" s="118">
        <f>CQ1164*CP1186+CO1165*CP1185+CO1166*CP1184+CO1167*CP1183+CO1168*CP1182+CO1169*CP1181+CO1170*CP1180+CO1171*CP1179+CO1172*CP1178+CO1173*CP1177+CO1174*CP1176+CO1175*CP1175+CO1176*CP1174+CO1177*CP1173+CO1178*CP1172+CO1179*CP1171+CO1180*CP1170+CO1181*CP1169+CO1182*CP1168+CO1183*CP1167+CO1184*CP1166+CO1185*CP1165+CO1186</f>
        <v>72.111325440549379</v>
      </c>
      <c r="CR1186" s="119">
        <f t="shared" si="3494"/>
        <v>1.7176161362357712E-2</v>
      </c>
      <c r="CS1186" s="119"/>
      <c r="CT1186" s="177">
        <f t="shared" si="3495"/>
        <v>9.7255745102280827E-3</v>
      </c>
      <c r="CU1186" s="177">
        <f t="shared" si="3503"/>
        <v>9.5077441352751039E-3</v>
      </c>
      <c r="CV1186" s="119">
        <f>VLOOKUP($H1186,RoR!$E:$F,2,FALSE)</f>
        <v>2.4766666666666666E-2</v>
      </c>
      <c r="CW1186" s="177">
        <v>1.1618796630994188E-2</v>
      </c>
      <c r="CX1186" s="177">
        <f t="shared" si="3501"/>
        <v>1.3147870035672478E-2</v>
      </c>
      <c r="CY1186" s="177">
        <f t="shared" si="3504"/>
        <v>2.1394197473258519E-2</v>
      </c>
      <c r="CZ1186" s="177">
        <f t="shared" si="3505"/>
        <v>4.5144642961987357E-2</v>
      </c>
      <c r="DA1186" s="187">
        <f t="shared" si="3496"/>
        <v>0.90199375000000004</v>
      </c>
      <c r="DB1186" s="188">
        <f t="shared" si="3497"/>
        <v>2.0706077233668081</v>
      </c>
      <c r="DC1186" s="188">
        <f t="shared" si="3498"/>
        <v>-3.4421265141318998E-2</v>
      </c>
      <c r="DD1186" s="188">
        <f t="shared" si="3499"/>
        <v>0.62416226176410472</v>
      </c>
      <c r="DE1186" s="188">
        <f t="shared" si="3500"/>
        <v>-4.4485877841158712E-2</v>
      </c>
      <c r="DF1186" s="189">
        <f>INDEX('State Tax Lookup'!$D$7:$Z$91,MATCH(Calculation!$C1186,'State Tax Lookup'!$B$7:$B$91,0),MATCH($H1186,'State Tax Lookup'!$D$6:$Z$6,0))</f>
        <v>0.26134999999999997</v>
      </c>
      <c r="DG1186" s="189">
        <v>0.375</v>
      </c>
      <c r="DH1186" s="190">
        <f t="shared" si="3502"/>
        <v>21.186812821826432</v>
      </c>
      <c r="DI1186" s="190">
        <v>20.903555704295478</v>
      </c>
      <c r="DJ1186" s="177"/>
      <c r="DK1186" s="189">
        <f>VLOOKUP($H1186,RoR!$E:$F,2,FALSE)</f>
        <v>2.4766666666666666E-2</v>
      </c>
      <c r="DL1186" s="191">
        <f>HLOOKUP($H1186,'GDP-PI'!$D$8:$CQ$11,3,FALSE)</f>
        <v>1.1618796630994188E-2</v>
      </c>
      <c r="DM1186" s="189">
        <f>VLOOKUP(H1186,'HW Dx Data'!$E:$F,2,FALSE)</f>
        <v>813.080162458833</v>
      </c>
      <c r="DN1186" s="183">
        <f>VLOOKUP(H1186,'ECI - Input Price'!$G$17:$H$37,2,FALSE)</f>
        <v>140.44999999999999</v>
      </c>
      <c r="DO1186" s="177">
        <f t="shared" ref="DO1186" si="3559">LN(DN1186/DN1185)</f>
        <v>2.5966118063564539E-2</v>
      </c>
      <c r="DP1186" s="183">
        <f>HLOOKUP(H1186,'GDP-PI'!$8:$9,2,FALSE)</f>
        <v>113.623</v>
      </c>
      <c r="DQ1186" s="177">
        <f t="shared" ref="DQ1186" si="3560">LN(DP1186/DP1185)</f>
        <v>1.1551816731392881E-2</v>
      </c>
    </row>
    <row r="1187" spans="1:121" s="167" customFormat="1" ht="21" x14ac:dyDescent="0.35">
      <c r="A1187" s="167" t="s">
        <v>111</v>
      </c>
      <c r="B1187" s="167" t="s">
        <v>111</v>
      </c>
      <c r="C1187" s="167">
        <v>4063281</v>
      </c>
      <c r="D1187" s="167" t="s">
        <v>144</v>
      </c>
      <c r="G1187" s="168" t="s">
        <v>462</v>
      </c>
      <c r="H1187" s="169">
        <v>2021</v>
      </c>
      <c r="I1187" s="170"/>
      <c r="J1187" s="166">
        <f>IFERROR(INDEX('Labor Expenditures'!$E$7:$X$91,MATCH($C1187,'Labor Expenditures'!$D$7:$D$91,0),MATCH($G1187,'Labor Expenditures'!$E$5:$X$5,0)),"NA")</f>
        <v>1627.5865850867478</v>
      </c>
      <c r="K1187" s="166">
        <f t="shared" si="3508"/>
        <v>11.188084448095877</v>
      </c>
      <c r="L1187" s="171">
        <f t="shared" si="3515"/>
        <v>5.6104509060738092E-2</v>
      </c>
      <c r="M1187" s="172">
        <f t="shared" si="3519"/>
        <v>2.1180849127198785E-5</v>
      </c>
      <c r="N1187" s="196"/>
      <c r="O1187" s="172"/>
      <c r="P1187" s="166">
        <f>IFERROR(INDEX('Non-Labor Expenditures'!$E$7:$AB$91,MATCH($C1187,'Non-Labor Expenditures'!$D$7:$D$91,0),MATCH($G1187,'Non-Labor Expenditures'!$E$5:$AB$5,0)),"NA")</f>
        <v>2294.3088006644521</v>
      </c>
      <c r="Q1187" s="166">
        <f t="shared" si="3509"/>
        <v>19.362889700940602</v>
      </c>
      <c r="R1187" s="172">
        <f t="shared" si="3520"/>
        <v>2.2335641430601724E-2</v>
      </c>
      <c r="S1187" s="172">
        <f t="shared" si="3525"/>
        <v>8.4322607794076963E-6</v>
      </c>
      <c r="T1187" s="172"/>
      <c r="U1187" s="172"/>
      <c r="V1187" s="166">
        <f t="shared" si="3490"/>
        <v>1646.0031099506848</v>
      </c>
      <c r="W1187" s="170"/>
      <c r="X1187" s="174">
        <v>73.644954910789011</v>
      </c>
      <c r="Y1187" s="175"/>
      <c r="Z1187" s="175">
        <f t="shared" si="3526"/>
        <v>0</v>
      </c>
      <c r="AA1187" s="175"/>
      <c r="AB1187" s="175"/>
      <c r="AC1187" s="170">
        <f t="shared" si="3457"/>
        <v>5567.8984957018847</v>
      </c>
      <c r="AD1187" s="175">
        <f t="shared" si="3521"/>
        <v>8.0178852470603995E-2</v>
      </c>
      <c r="AE1187" s="118"/>
      <c r="AF1187" s="119"/>
      <c r="AG1187" s="121">
        <f t="shared" si="3522"/>
        <v>429.85397172098237</v>
      </c>
      <c r="AH1187" s="119">
        <f>+AZ1187/$BB$59</f>
        <v>3.3233122891381049E-4</v>
      </c>
      <c r="AI1187" s="119"/>
      <c r="AJ1187" s="176">
        <f t="shared" si="3527"/>
        <v>0.1428538986755164</v>
      </c>
      <c r="AK1187" s="176">
        <f t="shared" si="3528"/>
        <v>0</v>
      </c>
      <c r="AL1187" s="120">
        <f t="shared" si="3510"/>
        <v>0.29231613800847056</v>
      </c>
      <c r="AM1187" s="120">
        <f t="shared" si="3511"/>
        <v>0.41206009815651884</v>
      </c>
      <c r="AN1187" s="120">
        <f t="shared" si="3512"/>
        <v>0.2956237638350106</v>
      </c>
      <c r="AO1187" s="120">
        <f t="shared" si="3516"/>
        <v>2.5587293848656475E-2</v>
      </c>
      <c r="AP1187" s="173">
        <f t="shared" si="3532"/>
        <v>86.758524487923609</v>
      </c>
      <c r="AQ1187" s="175">
        <f t="shared" si="3533"/>
        <v>2.5587293848656538E-2</v>
      </c>
      <c r="AR1187" s="177">
        <f>+AC1187/$AE$59</f>
        <v>3.7752489918891621E-4</v>
      </c>
      <c r="AS1187" s="177">
        <f t="shared" si="3529"/>
        <v>9.6598405307312356E-6</v>
      </c>
      <c r="AT1187" s="177"/>
      <c r="AU1187" s="177"/>
      <c r="AV1187" s="177"/>
      <c r="AW1187" s="190"/>
      <c r="AX1187" s="120"/>
      <c r="AY1187" s="120"/>
      <c r="AZ1187" s="118">
        <f>INDEX('Total Customers'!$E$7:$E$91,MATCH(Calculation!$C1187,'Total Customers'!$D$7:$D$91,0))</f>
        <v>12953</v>
      </c>
      <c r="BA1187" s="119">
        <f t="shared" si="3491"/>
        <v>6.1953268706215463E-3</v>
      </c>
      <c r="BB1187" s="118"/>
      <c r="BC1187" s="121"/>
      <c r="BD1187" s="118"/>
      <c r="BE1187" s="119"/>
      <c r="BF1187" s="119"/>
      <c r="BG1187" s="173"/>
      <c r="BH1187" s="173"/>
      <c r="BI1187" s="173"/>
      <c r="BJ1187" s="173"/>
      <c r="BK1187" s="173"/>
      <c r="BL1187" s="173"/>
      <c r="BM1187" s="173"/>
      <c r="BN1187" s="173"/>
      <c r="BO1187" s="173"/>
      <c r="BP1187" s="173"/>
      <c r="BQ1187" s="118"/>
      <c r="BR1187" s="118"/>
      <c r="BS1187" s="118">
        <f>INDEX('Dist. Plant Gas Additions'!$E$7:$AE$91,MATCH($C1187,'Dist. Plant Gas Additions'!$D$7:$D$91,0),MATCH(Calculation!$G1187,'Dist. Plant Gas Additions'!$E$5:$AE$5,0))</f>
        <v>2722</v>
      </c>
      <c r="BT1187" s="118">
        <f>INDEX('Gen. Plant Additions'!$E$7:$AE$91,MATCH($C1187,'Gen. Plant Additions'!$D$7:$D$91,0),MATCH(Calculation!$G1187,'Gen. Plant Additions'!$E$5:$AE$5,0))</f>
        <v>-406</v>
      </c>
      <c r="BU1187" s="118"/>
      <c r="BV1187" s="118"/>
      <c r="BW1187" s="118"/>
      <c r="BX1187" s="118"/>
      <c r="BY1187" s="183"/>
      <c r="BZ1187" s="183"/>
      <c r="CA1187" s="178"/>
      <c r="CB1187" s="184"/>
      <c r="CC1187" s="185"/>
      <c r="CD1187" s="185"/>
      <c r="CE1187" s="118"/>
      <c r="CF1187" s="118"/>
      <c r="CG1187" s="118"/>
      <c r="CH1187" s="118"/>
      <c r="CI1187" s="121">
        <v>2021</v>
      </c>
      <c r="CJ1187" s="118"/>
      <c r="CK1187" s="118"/>
      <c r="CL1187" s="118"/>
      <c r="CM1187" s="183"/>
      <c r="CN1187" s="118">
        <f t="shared" si="3492"/>
        <v>2316</v>
      </c>
      <c r="CO1187" s="118">
        <f t="shared" si="3493"/>
        <v>2.4822552531632782</v>
      </c>
      <c r="CP1187" s="186">
        <f>+(51-23)/(51-23*0.75)</f>
        <v>0.82962962962962961</v>
      </c>
      <c r="CQ1187" s="118">
        <f>CQ1164*CP1187+CO1165*CP1186+CO1166*CP1185+CO1167*CP1184+CO1168*CP1183+CO1169*CP1182+CO1170*CP1181+CO1171*CP1180+CO1172*CP1179+CO1173*CP1178+CO1174*CP1177+CO1175*CP1176+CO1176*CP1175+CO1177*CP1174+CO1178*CP1173+CO1169*CP1172+CO1180*CP1171+CO1181*CP1170+CO1182*CP1169+CO1183*CP1168+CO1184*CP1167+CO1185*CP1166+CO1187+CO1186*CP1165</f>
        <v>73.644954910789011</v>
      </c>
      <c r="CR1187" s="119"/>
      <c r="CS1187" s="118"/>
      <c r="CT1187" s="177">
        <f t="shared" si="3495"/>
        <v>1.3155017982656838E-2</v>
      </c>
      <c r="CU1187" s="177">
        <f t="shared" si="3503"/>
        <v>1.0788153114114537E-2</v>
      </c>
      <c r="CV1187" s="119">
        <f>VLOOKUP($H1187,RoR!$E:$F,2,FALSE)</f>
        <v>2.7033333333333336E-2</v>
      </c>
      <c r="CW1187" s="177"/>
      <c r="CX1187" s="177"/>
      <c r="CY1187" s="177">
        <f t="shared" si="3504"/>
        <v>2.011378849441909E-2</v>
      </c>
      <c r="CZ1187" s="177">
        <f t="shared" si="3505"/>
        <v>7.433422950153494E-2</v>
      </c>
      <c r="DA1187" s="187">
        <f t="shared" si="3496"/>
        <v>0.90199375000000004</v>
      </c>
      <c r="DB1187" s="188">
        <f t="shared" si="3497"/>
        <v>1.8969932656739068</v>
      </c>
      <c r="DC1187" s="188">
        <f t="shared" si="3498"/>
        <v>5.0215782983970621E-2</v>
      </c>
      <c r="DD1187" s="188">
        <f t="shared" si="3499"/>
        <v>0.655952481704143</v>
      </c>
      <c r="DE1187" s="188">
        <f t="shared" si="3500"/>
        <v>6.2485378865697057E-2</v>
      </c>
      <c r="DF1187" s="189">
        <f>DF1186</f>
        <v>0.26134999999999997</v>
      </c>
      <c r="DG1187" s="189">
        <v>0.375</v>
      </c>
      <c r="DH1187" s="190">
        <f t="shared" si="3502"/>
        <v>22.825861262357414</v>
      </c>
      <c r="DI1187" s="190"/>
      <c r="DJ1187" s="177">
        <f t="shared" ref="DJ1187" si="3561">LN(DH1187/DH1186)</f>
        <v>7.4515207633157401E-2</v>
      </c>
      <c r="DK1187" s="189">
        <f>VLOOKUP($H1187,RoR!$E:$F,2,FALSE)</f>
        <v>2.7033333333333336E-2</v>
      </c>
      <c r="DL1187" s="191">
        <f>HLOOKUP($H1187,'GDP-PI'!$D$8:$CR$11,3,FALSE)</f>
        <v>4.2834637353352578E-2</v>
      </c>
      <c r="DM1187" s="189">
        <f>VLOOKUP(H1187,'HW Dx Data'!$E:$F,2,FALSE)</f>
        <v>933.02249921662576</v>
      </c>
      <c r="DN1187" s="183">
        <f>VLOOKUP(H1187,'ECI - Input Price'!$G$17:$H$37,2,FALSE)</f>
        <v>145.47500000000002</v>
      </c>
      <c r="DO1187" s="177">
        <f t="shared" ref="DO1187" si="3562">LN(DN1187/DN1186)</f>
        <v>3.5152696992481205E-2</v>
      </c>
      <c r="DP1187" s="183">
        <f>HLOOKUP(H1187,'GDP-PI'!$8:$9,2,FALSE)</f>
        <v>118.49</v>
      </c>
      <c r="DQ1187" s="177">
        <f t="shared" ref="DQ1187" si="3563">LN(DP1187/DP1186)</f>
        <v>4.194261824609434E-2</v>
      </c>
    </row>
    <row r="1188" spans="1:121" s="167" customFormat="1" ht="21" x14ac:dyDescent="0.35">
      <c r="A1188" s="167" t="s">
        <v>112</v>
      </c>
      <c r="B1188" s="167" t="s">
        <v>112</v>
      </c>
      <c r="C1188" s="167">
        <v>4059746</v>
      </c>
      <c r="D1188" s="168" t="s">
        <v>138</v>
      </c>
      <c r="E1188" s="168"/>
      <c r="F1188" s="198"/>
      <c r="G1188" s="167" t="s">
        <v>4</v>
      </c>
      <c r="H1188" s="169">
        <v>1998</v>
      </c>
      <c r="I1188" s="170"/>
      <c r="J1188" s="166"/>
      <c r="K1188" s="166"/>
      <c r="L1188" s="166"/>
      <c r="M1188" s="166"/>
      <c r="N1188" s="196"/>
      <c r="O1188" s="166"/>
      <c r="P1188" s="172"/>
      <c r="Q1188" s="172"/>
      <c r="R1188" s="172"/>
      <c r="S1188" s="166"/>
      <c r="T1188" s="172"/>
      <c r="U1188" s="172"/>
      <c r="V1188" s="166"/>
      <c r="W1188" s="170"/>
      <c r="X1188" s="174">
        <v>3146.5633858998472</v>
      </c>
      <c r="Y1188" s="175"/>
      <c r="Z1188" s="166"/>
      <c r="AA1188" s="175"/>
      <c r="AB1188" s="175"/>
      <c r="AC1188" s="170">
        <f t="shared" si="3457"/>
        <v>0</v>
      </c>
      <c r="AD1188" s="170"/>
      <c r="AE1188" s="170"/>
      <c r="AF1188" s="119"/>
      <c r="AG1188" s="174"/>
      <c r="AH1188" s="175"/>
      <c r="AI1188" s="175"/>
      <c r="AJ1188" s="174"/>
      <c r="AK1188" s="174"/>
      <c r="AL1188" s="120"/>
      <c r="AM1188" s="120"/>
      <c r="AN1188" s="120"/>
      <c r="AO1188" s="120"/>
      <c r="AP1188" s="120"/>
      <c r="AQ1188" s="175">
        <f>AVERAGE(AQ1197:AQ1211)</f>
        <v>-4.4773131189023031E-3</v>
      </c>
      <c r="AR1188" s="120"/>
      <c r="AS1188" s="120"/>
      <c r="AT1188" s="120"/>
      <c r="AU1188" s="120"/>
      <c r="AV1188" s="120"/>
      <c r="AW1188" s="120"/>
      <c r="AX1188" s="120"/>
      <c r="AY1188" s="120"/>
      <c r="AZ1188" s="118">
        <f>IFERROR(INDEX('Total Customers'!$F$7:$AB$91,MATCH($C1188,'Total Customers'!$D$7:$D$91,0),MATCH($G1188,'Total Customers'!$F$5:$AB$5,0)),"NA")</f>
        <v>1171867</v>
      </c>
      <c r="BA1188" s="119"/>
      <c r="BB1188" s="119"/>
      <c r="BC1188" s="121"/>
      <c r="BD1188" s="119"/>
      <c r="BE1188" s="119"/>
      <c r="BF1188" s="119"/>
      <c r="BG1188" s="173"/>
      <c r="BH1188" s="173"/>
      <c r="BI1188" s="173"/>
      <c r="BJ1188" s="173"/>
      <c r="BK1188" s="173"/>
      <c r="BL1188" s="173"/>
      <c r="BM1188" s="173"/>
      <c r="BN1188" s="173"/>
      <c r="BO1188" s="173"/>
      <c r="BP1188" s="173"/>
      <c r="BQ1188" s="118">
        <f>INDEX('Gross Dx Plant'!$E$7:$AD$91,MATCH($C1188,'Gross Dx Plant'!$D$7:$D$91,0),MATCH(Calculation!$G1188,'Gross Dx Plant'!$E$5:$AD$5,0))</f>
        <v>960981</v>
      </c>
      <c r="BR1188" s="118">
        <f>INDEX('Gross Gen Plant'!$E$7:$AD$91,MATCH($C1188,'Gross Gen Plant'!$D$7:$D$91,0),MATCH(Calculation!$G1188,'Gross Gen Plant'!$E$5:$AD$5,0))</f>
        <v>83637</v>
      </c>
      <c r="BS1188" s="118">
        <f>INDEX('Dist. Plant Gas Additions'!$F$7:$AE$91,MATCH($C1188,'Dist. Plant Gas Additions'!$D$7:$D$91,0),MATCH(Calculation!$G1188,'Dist. Plant Gas Additions'!$F$5:$AE$5,0))</f>
        <v>42230</v>
      </c>
      <c r="BT1188" s="118">
        <f>INDEX('Gen. Plant Additions'!$F$7:$AE$91,MATCH($C1188,'Gen. Plant Additions'!$D$7:$D$91,0),MATCH(Calculation!$G1188,'Gen. Plant Additions'!$F$5:$AE$5,0))</f>
        <v>5870</v>
      </c>
      <c r="BU1188" s="118" t="e">
        <f>INDEX('Dist Plant Depreciation'!$E$7:$AA$94,MATCH($C1188,'Dist Plant Depreciation'!$D$7:$D$94,0),MATCH(#REF!,'Dist Plant Depreciation'!$E$5:$AA$5,0))</f>
        <v>#REF!</v>
      </c>
      <c r="BV1188" s="118" t="e">
        <f>INDEX('Gen. Plant Depreciation'!$E$7:$AA$94,MATCH($C1188,'Gen. Plant Depreciation'!$D$7:$D$94,0),MATCH(#REF!,'Gen. Plant Depreciation'!$E$5:$AA$5,0))</f>
        <v>#REF!</v>
      </c>
      <c r="BW1188" s="118">
        <f>INDEX('Dist Plant Depreciation'!$E$7:$AD$94,MATCH($C1188,'Dist Plant Depreciation'!$D$7:$D$94,0),MATCH(Calculation!$G1188,'Dist Plant Depreciation'!$E$5:$AD$5,0))</f>
        <v>373335</v>
      </c>
      <c r="BX1188" s="118">
        <f>INDEX('Gen. Plant Depreciation'!$E$7:$AD$94,MATCH($C1188,'Gen. Plant Depreciation'!$D$7:$D$94,0),MATCH(Calculation!$G1188,'Gen. Plant Depreciation'!$E$5:$AD$5,0))</f>
        <v>36560</v>
      </c>
      <c r="BY1188" s="118"/>
      <c r="BZ1188" s="118"/>
      <c r="CA1188" s="118"/>
      <c r="CB1188" s="118"/>
      <c r="CC1188" s="118"/>
      <c r="CD1188" s="183"/>
      <c r="CE1188" s="118">
        <f>INDEX('Gross Dx Plant'!$E$7:$AD$91,MATCH($C1188,'Gross Dx Plant'!$D$7:$D$91,0),MATCH(Calculation!$G1188,'Gross Dx Plant'!$E$5:$AD$5,0))</f>
        <v>960981</v>
      </c>
      <c r="CF1188" s="118">
        <f>INDEX('Gross Gen Plant'!$E$7:$AD$91,MATCH($C1188,'Gross Gen Plant'!$D$7:$D$91,0),MATCH(Calculation!$G1188,'Gross Gen Plant'!$E$5:$AD$5,0))</f>
        <v>83637</v>
      </c>
      <c r="CG1188" s="118">
        <f t="shared" si="3556"/>
        <v>634723</v>
      </c>
      <c r="CH1188" s="118"/>
      <c r="CI1188" s="121">
        <v>1998</v>
      </c>
      <c r="CJ1188" s="118">
        <f>BQ1188+BR1188</f>
        <v>1044618</v>
      </c>
      <c r="CK1188" s="118">
        <f>373335+36560</f>
        <v>409895</v>
      </c>
      <c r="CL1188" s="118">
        <f>+CJ1188-CK1188</f>
        <v>634723</v>
      </c>
      <c r="CM1188" s="118">
        <f>CL1188/$CD$36</f>
        <v>3146.5633858998472</v>
      </c>
      <c r="CN1188" s="183"/>
      <c r="CO1188" s="183"/>
      <c r="CP1188" s="186">
        <v>1</v>
      </c>
      <c r="CQ1188" s="118">
        <f>+CM1188</f>
        <v>3146.5633858998472</v>
      </c>
      <c r="CR1188" s="119"/>
      <c r="CS1188" s="119"/>
      <c r="CT1188" s="177"/>
      <c r="CU1188" s="177"/>
      <c r="CV1188" s="119" t="e">
        <f>VLOOKUP($H1188,RoR!$E:$F,2,FALSE)</f>
        <v>#N/A</v>
      </c>
      <c r="CW1188" s="177">
        <v>1.1028127770464469E-2</v>
      </c>
      <c r="CX1188" s="177"/>
      <c r="CY1188" s="177"/>
      <c r="CZ1188" s="177"/>
      <c r="DA1188" s="187"/>
      <c r="DB1188" s="190" t="e">
        <f>2/(DK1188*39)</f>
        <v>#N/A</v>
      </c>
      <c r="DC1188" s="188" t="e">
        <f>+(DK1188*40-(1+DK1188))/(DK1188*40)</f>
        <v>#N/A</v>
      </c>
      <c r="DD1188" s="188" t="e">
        <f>+(1-(1/(1+DK1188)^40))</f>
        <v>#N/A</v>
      </c>
      <c r="DE1188" s="188" t="e">
        <f>+DD1188*DC1188*DB1188</f>
        <v>#N/A</v>
      </c>
      <c r="DF1188" s="189">
        <f>INDEX('State Tax Lookup'!$D$7:$Z$91,MATCH(Calculation!$C1188,'State Tax Lookup'!$B$7:$B$91,0),MATCH($H1188,'State Tax Lookup'!$D$6:$Z$6,0))</f>
        <v>0.35</v>
      </c>
      <c r="DG1188" s="189">
        <v>0.375</v>
      </c>
      <c r="DH1188" s="183"/>
      <c r="DI1188" s="183"/>
      <c r="DJ1188" s="177"/>
      <c r="DK1188" s="189" t="e">
        <f>VLOOKUP($H1188,RoR!$E:$F,2,FALSE)</f>
        <v>#N/A</v>
      </c>
      <c r="DL1188" s="191">
        <f>HLOOKUP($H1188,'GDP-PI'!$D$8:$CQ$11,3,FALSE)</f>
        <v>1.1028127770464469E-2</v>
      </c>
      <c r="DM1188" s="189">
        <f>VLOOKUP(H1188,'HW Dx Data'!$E:$F,2,FALSE)</f>
        <v>329.24564746449528</v>
      </c>
      <c r="DN1188" s="183" t="e">
        <f>VLOOKUP(H1188,'ECI - Input Price'!$G$17:$H$37,2,FALSE)</f>
        <v>#N/A</v>
      </c>
      <c r="DO1188" s="177"/>
      <c r="DP1188" s="183">
        <f>HLOOKUP(H1188,'GDP-PI'!$8:$9,2,FALSE)</f>
        <v>75.266999999999996</v>
      </c>
    </row>
    <row r="1189" spans="1:121" s="167" customFormat="1" ht="21" x14ac:dyDescent="0.35">
      <c r="A1189" s="167" t="s">
        <v>112</v>
      </c>
      <c r="B1189" s="167" t="s">
        <v>112</v>
      </c>
      <c r="C1189" s="167">
        <v>4059746</v>
      </c>
      <c r="D1189" s="168" t="s">
        <v>138</v>
      </c>
      <c r="E1189" s="168"/>
      <c r="F1189" s="198"/>
      <c r="G1189" s="167" t="s">
        <v>5</v>
      </c>
      <c r="H1189" s="169">
        <v>1999</v>
      </c>
      <c r="I1189" s="170"/>
      <c r="J1189" s="166"/>
      <c r="K1189" s="170"/>
      <c r="L1189" s="170"/>
      <c r="M1189" s="166"/>
      <c r="N1189" s="173"/>
      <c r="O1189" s="170"/>
      <c r="P1189" s="177"/>
      <c r="Q1189" s="177"/>
      <c r="R1189" s="177"/>
      <c r="S1189" s="195"/>
      <c r="T1189" s="177"/>
      <c r="U1189" s="177"/>
      <c r="V1189" s="166">
        <f t="shared" ref="V1189:V1211" si="3564">+CQ1188*DH1189</f>
        <v>0</v>
      </c>
      <c r="W1189" s="170"/>
      <c r="X1189" s="174">
        <v>3247.8849126618707</v>
      </c>
      <c r="Y1189" s="175">
        <v>3.1693119704852474E-2</v>
      </c>
      <c r="Z1189" s="175"/>
      <c r="AA1189" s="175"/>
      <c r="AB1189" s="175"/>
      <c r="AC1189" s="170">
        <f t="shared" si="3457"/>
        <v>0</v>
      </c>
      <c r="AD1189" s="175"/>
      <c r="AE1189" s="170"/>
      <c r="AF1189" s="119"/>
      <c r="AG1189" s="174"/>
      <c r="AH1189" s="175"/>
      <c r="AI1189" s="175"/>
      <c r="AJ1189" s="174"/>
      <c r="AK1189" s="174"/>
      <c r="AL1189" s="120"/>
      <c r="AM1189" s="120"/>
      <c r="AN1189" s="120"/>
      <c r="AO1189" s="120"/>
      <c r="AP1189" s="120"/>
      <c r="AQ1189" s="175"/>
      <c r="AR1189" s="120"/>
      <c r="AS1189" s="120"/>
      <c r="AT1189" s="120"/>
      <c r="AU1189" s="120"/>
      <c r="AV1189" s="120"/>
      <c r="AW1189" s="120"/>
      <c r="AX1189" s="120"/>
      <c r="AY1189" s="120"/>
      <c r="AZ1189" s="118">
        <f>IFERROR(INDEX('Total Customers'!$F$7:$AB$91,MATCH($C1189,'Total Customers'!$D$7:$D$91,0),MATCH($G1189,'Total Customers'!$F$5:$AB$5,0)),"NA")</f>
        <v>1201730</v>
      </c>
      <c r="BA1189" s="119">
        <f t="shared" ref="BA1189:BA1211" si="3565">LN(AZ1189/AZ1188)</f>
        <v>2.5163981770271598E-2</v>
      </c>
      <c r="BB1189" s="119"/>
      <c r="BC1189" s="121"/>
      <c r="BD1189" s="119"/>
      <c r="BE1189" s="119"/>
      <c r="BF1189" s="119"/>
      <c r="BG1189" s="173"/>
      <c r="BH1189" s="173"/>
      <c r="BI1189" s="173"/>
      <c r="BJ1189" s="173"/>
      <c r="BK1189" s="173"/>
      <c r="BL1189" s="173"/>
      <c r="BM1189" s="173"/>
      <c r="BN1189" s="173"/>
      <c r="BO1189" s="173"/>
      <c r="BP1189" s="173"/>
      <c r="BQ1189" s="118"/>
      <c r="BR1189" s="118"/>
      <c r="BS1189" s="118">
        <f>INDEX('Dist. Plant Gas Additions'!$F$7:$AE$91,MATCH($C1189,'Dist. Plant Gas Additions'!$D$7:$D$91,0),MATCH(Calculation!$G1189,'Dist. Plant Gas Additions'!$F$5:$AE$5,0))</f>
        <v>35618</v>
      </c>
      <c r="BT1189" s="118">
        <f>INDEX('Gen. Plant Additions'!$F$7:$AE$91,MATCH($C1189,'Gen. Plant Additions'!$D$7:$D$91,0),MATCH(Calculation!$G1189,'Gen. Plant Additions'!$F$5:$AE$5,0))</f>
        <v>3607</v>
      </c>
      <c r="BU1189" s="118"/>
      <c r="BV1189" s="118"/>
      <c r="BW1189" s="118">
        <f>INDEX('Dist Plant Depreciation'!$E$7:$AD$94,MATCH($C1189,'Dist Plant Depreciation'!$D$7:$D$94,0),MATCH(Calculation!$G1189,'Dist Plant Depreciation'!$E$5:$AD$5,0))</f>
        <v>392864</v>
      </c>
      <c r="BX1189" s="118">
        <f>INDEX('Gen. Plant Depreciation'!$E$7:$AD$94,MATCH($C1189,'Gen. Plant Depreciation'!$D$7:$D$94,0),MATCH(Calculation!$G1189,'Gen. Plant Depreciation'!$E$5:$AD$5,0))</f>
        <v>38602</v>
      </c>
      <c r="BY1189" s="118"/>
      <c r="BZ1189" s="118"/>
      <c r="CA1189" s="118"/>
      <c r="CB1189" s="118"/>
      <c r="CC1189" s="118"/>
      <c r="CD1189" s="183"/>
      <c r="CE1189" s="118">
        <f>INDEX('Gross Dx Plant'!$E$7:$AD$91,MATCH($C1189,'Gross Dx Plant'!$D$7:$D$91,0),MATCH(Calculation!$G1189,'Gross Dx Plant'!$E$5:$AD$5,0))</f>
        <v>994073</v>
      </c>
      <c r="CF1189" s="118">
        <f>INDEX('Gross Gen Plant'!$E$7:$AD$91,MATCH($C1189,'Gross Gen Plant'!$D$7:$D$91,0),MATCH(Calculation!$G1189,'Gross Gen Plant'!$E$5:$AD$5,0))</f>
        <v>83448</v>
      </c>
      <c r="CG1189" s="118">
        <f t="shared" si="3556"/>
        <v>646055</v>
      </c>
      <c r="CH1189" s="118"/>
      <c r="CI1189" s="121">
        <v>1999</v>
      </c>
      <c r="CJ1189" s="118"/>
      <c r="CK1189" s="118"/>
      <c r="CL1189" s="118"/>
      <c r="CM1189" s="183"/>
      <c r="CN1189" s="118">
        <f t="shared" ref="CN1189:CN1211" si="3566">+BT1189+BS1189</f>
        <v>39225</v>
      </c>
      <c r="CO1189" s="118">
        <f t="shared" ref="CO1189:CO1211" si="3567">+CN1189/$DM1189</f>
        <v>116.97607097048063</v>
      </c>
      <c r="CP1189" s="186">
        <v>0.99502487562189057</v>
      </c>
      <c r="CQ1189" s="118">
        <f>+CQ1188*CP1189+CO1189</f>
        <v>3247.8849126618707</v>
      </c>
      <c r="CR1189" s="119">
        <f t="shared" ref="CR1189:CR1210" si="3568">LN(CQ1189/CQ1188)</f>
        <v>3.1693119704852474E-2</v>
      </c>
      <c r="CS1189" s="119"/>
      <c r="CT1189" s="177">
        <f t="shared" ref="CT1189:CT1211" si="3569">+(CQ1188-CQ1189+CO1189)/CQ1188</f>
        <v>4.9751243781095125E-3</v>
      </c>
      <c r="CU1189" s="177"/>
      <c r="CV1189" s="119">
        <f>VLOOKUP($H1189,RoR!$E:$F,2,FALSE)</f>
        <v>7.0416666666666669E-2</v>
      </c>
      <c r="CW1189" s="177">
        <v>1.4335631817396832E-2</v>
      </c>
      <c r="CX1189" s="177">
        <f>+CV1189-CW1189</f>
        <v>5.6081034849269837E-2</v>
      </c>
      <c r="CY1189" s="177"/>
      <c r="CZ1189" s="177"/>
      <c r="DA1189" s="187">
        <f t="shared" ref="DA1189:DA1211" si="3570">1-DF1189*DG1189</f>
        <v>0.86875000000000002</v>
      </c>
      <c r="DB1189" s="188">
        <f t="shared" ref="DB1189:DB1211" si="3571">2/(DK1189*39)</f>
        <v>0.72826581702321336</v>
      </c>
      <c r="DC1189" s="188">
        <f t="shared" ref="DC1189:DC1211" si="3572">+(DK1189*40-(1+DK1189))/(DK1189*40)</f>
        <v>0.61997041420118348</v>
      </c>
      <c r="DD1189" s="188">
        <f t="shared" ref="DD1189:DD1211" si="3573">+(1-(1/(1+DK1189)^40))</f>
        <v>0.93425155319585029</v>
      </c>
      <c r="DE1189" s="188">
        <f t="shared" ref="DE1189:DE1211" si="3574">+DD1189*DC1189*DB1189</f>
        <v>0.42181762214141483</v>
      </c>
      <c r="DF1189" s="189">
        <f>INDEX('State Tax Lookup'!$D$7:$Z$91,MATCH(Calculation!$C1189,'State Tax Lookup'!$B$7:$B$91,0),MATCH($H1189,'State Tax Lookup'!$D$6:$Z$6,0))</f>
        <v>0.35</v>
      </c>
      <c r="DG1189" s="189">
        <v>0.375</v>
      </c>
      <c r="DH1189" s="190"/>
      <c r="DI1189" s="190"/>
      <c r="DJ1189" s="177"/>
      <c r="DK1189" s="189">
        <f>VLOOKUP($H1189,RoR!$E:$F,2,FALSE)</f>
        <v>7.0416666666666669E-2</v>
      </c>
      <c r="DL1189" s="191">
        <f>HLOOKUP($H1189,'GDP-PI'!$D$8:$CQ$11,3,FALSE)</f>
        <v>1.4335631817396832E-2</v>
      </c>
      <c r="DM1189" s="189">
        <f>VLOOKUP(H1189,'HW Dx Data'!$E:$F,2,FALSE)</f>
        <v>335.32499146683239</v>
      </c>
      <c r="DN1189" s="183" t="e">
        <f>VLOOKUP(H1189,'ECI - Input Price'!$G$17:$H$37,2,FALSE)</f>
        <v>#N/A</v>
      </c>
      <c r="DO1189" s="177"/>
      <c r="DP1189" s="183">
        <f>HLOOKUP(H1189,'GDP-PI'!$8:$9,2,FALSE)</f>
        <v>76.346000000000004</v>
      </c>
    </row>
    <row r="1190" spans="1:121" s="167" customFormat="1" ht="21" x14ac:dyDescent="0.35">
      <c r="A1190" s="167" t="s">
        <v>112</v>
      </c>
      <c r="B1190" s="167" t="s">
        <v>112</v>
      </c>
      <c r="C1190" s="167">
        <v>4059746</v>
      </c>
      <c r="D1190" s="168" t="s">
        <v>138</v>
      </c>
      <c r="E1190" s="168"/>
      <c r="F1190" s="198"/>
      <c r="G1190" s="167" t="s">
        <v>6</v>
      </c>
      <c r="H1190" s="169">
        <v>2000</v>
      </c>
      <c r="I1190" s="170"/>
      <c r="J1190" s="166"/>
      <c r="K1190" s="166"/>
      <c r="L1190" s="166"/>
      <c r="M1190" s="166"/>
      <c r="N1190" s="196"/>
      <c r="O1190" s="166"/>
      <c r="P1190" s="166"/>
      <c r="Q1190" s="166"/>
      <c r="R1190" s="166"/>
      <c r="S1190" s="166"/>
      <c r="T1190" s="166"/>
      <c r="U1190" s="166"/>
      <c r="V1190" s="166">
        <f t="shared" si="3564"/>
        <v>0</v>
      </c>
      <c r="W1190" s="170"/>
      <c r="X1190" s="174">
        <v>3381.1363370076415</v>
      </c>
      <c r="Y1190" s="175">
        <v>4.0207858997320246E-2</v>
      </c>
      <c r="Z1190" s="175"/>
      <c r="AA1190" s="175"/>
      <c r="AB1190" s="175"/>
      <c r="AC1190" s="170">
        <f t="shared" si="3457"/>
        <v>0</v>
      </c>
      <c r="AD1190" s="175"/>
      <c r="AE1190" s="170"/>
      <c r="AF1190" s="170"/>
      <c r="AG1190" s="174"/>
      <c r="AH1190" s="175"/>
      <c r="AI1190" s="175"/>
      <c r="AJ1190" s="174"/>
      <c r="AK1190" s="174"/>
      <c r="AL1190" s="120"/>
      <c r="AM1190" s="120"/>
      <c r="AN1190" s="120"/>
      <c r="AO1190" s="120"/>
      <c r="AP1190" s="120"/>
      <c r="AQ1190" s="175"/>
      <c r="AR1190" s="120"/>
      <c r="AS1190" s="120"/>
      <c r="AT1190" s="120"/>
      <c r="AU1190" s="120"/>
      <c r="AV1190" s="120"/>
      <c r="AW1190" s="120"/>
      <c r="AX1190" s="120"/>
      <c r="AY1190" s="120"/>
      <c r="AZ1190" s="118">
        <f>IFERROR(INDEX('Total Customers'!$F$7:$AB$91,MATCH($C1190,'Total Customers'!$D$7:$D$91,0),MATCH($G1190,'Total Customers'!$F$5:$AB$5,0)),"NA")</f>
        <v>1234870</v>
      </c>
      <c r="BA1190" s="119">
        <f t="shared" si="3565"/>
        <v>2.720351612454901E-2</v>
      </c>
      <c r="BB1190" s="119"/>
      <c r="BC1190" s="121"/>
      <c r="BD1190" s="119"/>
      <c r="BE1190" s="119"/>
      <c r="BF1190" s="119"/>
      <c r="BG1190" s="173"/>
      <c r="BH1190" s="173"/>
      <c r="BI1190" s="173"/>
      <c r="BJ1190" s="173"/>
      <c r="BK1190" s="173"/>
      <c r="BL1190" s="173"/>
      <c r="BM1190" s="173"/>
      <c r="BN1190" s="173"/>
      <c r="BO1190" s="173"/>
      <c r="BP1190" s="173"/>
      <c r="BQ1190" s="118"/>
      <c r="BR1190" s="118"/>
      <c r="BS1190" s="118">
        <f>INDEX('Dist. Plant Gas Additions'!$F$7:$AE$91,MATCH($C1190,'Dist. Plant Gas Additions'!$D$7:$D$91,0),MATCH(Calculation!$G1190,'Dist. Plant Gas Additions'!$F$5:$AE$5,0))</f>
        <v>46321</v>
      </c>
      <c r="BT1190" s="118">
        <f>INDEX('Gen. Plant Additions'!$F$7:$AE$91,MATCH($C1190,'Gen. Plant Additions'!$D$7:$D$91,0),MATCH(Calculation!$G1190,'Gen. Plant Additions'!$F$5:$AE$5,0))</f>
        <v>5646</v>
      </c>
      <c r="BU1190" s="118"/>
      <c r="BV1190" s="118"/>
      <c r="BW1190" s="118">
        <f>INDEX('Dist Plant Depreciation'!$E$7:$AD$94,MATCH($C1190,'Dist Plant Depreciation'!$D$7:$D$94,0),MATCH(Calculation!$G1190,'Dist Plant Depreciation'!$E$5:$AD$5,0))</f>
        <v>410935</v>
      </c>
      <c r="BX1190" s="118">
        <f>INDEX('Gen. Plant Depreciation'!$E$7:$AD$94,MATCH($C1190,'Gen. Plant Depreciation'!$D$7:$D$94,0),MATCH(Calculation!$G1190,'Gen. Plant Depreciation'!$E$5:$AD$5,0))</f>
        <v>41638</v>
      </c>
      <c r="BY1190" s="118"/>
      <c r="BZ1190" s="118"/>
      <c r="CA1190" s="118"/>
      <c r="CB1190" s="118"/>
      <c r="CC1190" s="118"/>
      <c r="CD1190" s="183"/>
      <c r="CE1190" s="118">
        <f>INDEX('Gross Dx Plant'!$E$7:$AD$91,MATCH($C1190,'Gross Dx Plant'!$D$7:$D$91,0),MATCH(Calculation!$G1190,'Gross Dx Plant'!$E$5:$AD$5,0))</f>
        <v>1036541</v>
      </c>
      <c r="CF1190" s="118">
        <f>INDEX('Gross Gen Plant'!$E$7:$AD$91,MATCH($C1190,'Gross Gen Plant'!$D$7:$D$91,0),MATCH(Calculation!$G1190,'Gross Gen Plant'!$E$5:$AD$5,0))</f>
        <v>86148</v>
      </c>
      <c r="CG1190" s="118">
        <f t="shared" si="3556"/>
        <v>670116</v>
      </c>
      <c r="CH1190" s="118"/>
      <c r="CI1190" s="121">
        <v>2000</v>
      </c>
      <c r="CJ1190" s="118"/>
      <c r="CK1190" s="118"/>
      <c r="CL1190" s="118"/>
      <c r="CM1190" s="183"/>
      <c r="CN1190" s="118">
        <f t="shared" si="3566"/>
        <v>51967</v>
      </c>
      <c r="CO1190" s="118">
        <f t="shared" si="3567"/>
        <v>149.96231918409674</v>
      </c>
      <c r="CP1190" s="186">
        <v>0.98989898989898994</v>
      </c>
      <c r="CQ1190" s="118">
        <f>+CQ1188*CP1190+CO1189*CP1189+CO1190</f>
        <v>3381.1363370076415</v>
      </c>
      <c r="CR1190" s="119">
        <f t="shared" si="3568"/>
        <v>4.0207858997320246E-2</v>
      </c>
      <c r="CS1190" s="119"/>
      <c r="CT1190" s="177">
        <f t="shared" si="3569"/>
        <v>5.1451622479535943E-3</v>
      </c>
      <c r="CU1190" s="177"/>
      <c r="CV1190" s="119">
        <f>VLOOKUP($H1190,RoR!$E:$F,2,FALSE)</f>
        <v>7.6225000000000001E-2</v>
      </c>
      <c r="CW1190" s="177">
        <v>2.2568307442433211E-2</v>
      </c>
      <c r="CX1190" s="177">
        <f t="shared" ref="CX1190:CX1210" si="3575">+CV1190-CW1190</f>
        <v>5.365669255756679E-2</v>
      </c>
      <c r="CY1190" s="177"/>
      <c r="CZ1190" s="177"/>
      <c r="DA1190" s="187">
        <f t="shared" si="3570"/>
        <v>0.86875000000000002</v>
      </c>
      <c r="DB1190" s="188">
        <f t="shared" si="3571"/>
        <v>0.67277207323124022</v>
      </c>
      <c r="DC1190" s="188">
        <f t="shared" si="3572"/>
        <v>0.6470236142997704</v>
      </c>
      <c r="DD1190" s="188">
        <f t="shared" si="3573"/>
        <v>0.94704866037543145</v>
      </c>
      <c r="DE1190" s="188">
        <f t="shared" si="3574"/>
        <v>0.41224973107878493</v>
      </c>
      <c r="DF1190" s="189">
        <f>INDEX('State Tax Lookup'!$D$7:$Z$91,MATCH(Calculation!$C1190,'State Tax Lookup'!$B$7:$B$91,0),MATCH($H1190,'State Tax Lookup'!$D$6:$Z$6,0))</f>
        <v>0.35</v>
      </c>
      <c r="DG1190" s="189">
        <v>0.375</v>
      </c>
      <c r="DH1190" s="190"/>
      <c r="DI1190" s="190"/>
      <c r="DJ1190" s="177"/>
      <c r="DK1190" s="189">
        <f>VLOOKUP($H1190,RoR!$E:$F,2,FALSE)</f>
        <v>7.6225000000000001E-2</v>
      </c>
      <c r="DL1190" s="191">
        <f>HLOOKUP($H1190,'GDP-PI'!$D$8:$CQ$11,3,FALSE)</f>
        <v>2.2568307442433211E-2</v>
      </c>
      <c r="DM1190" s="189">
        <f>VLOOKUP(H1190,'HW Dx Data'!$E:$F,2,FALSE)</f>
        <v>346.53371782150339</v>
      </c>
      <c r="DN1190" s="183" t="e">
        <f>VLOOKUP(H1190,'ECI - Input Price'!$G$17:$H$37,2,FALSE)</f>
        <v>#N/A</v>
      </c>
      <c r="DO1190" s="177"/>
      <c r="DP1190" s="183">
        <f>HLOOKUP(H1190,'GDP-PI'!$8:$9,2,FALSE)</f>
        <v>78.069000000000003</v>
      </c>
    </row>
    <row r="1191" spans="1:121" s="167" customFormat="1" ht="21" x14ac:dyDescent="0.35">
      <c r="A1191" s="167" t="s">
        <v>112</v>
      </c>
      <c r="B1191" s="167" t="s">
        <v>112</v>
      </c>
      <c r="C1191" s="167">
        <v>4059746</v>
      </c>
      <c r="D1191" s="168" t="s">
        <v>138</v>
      </c>
      <c r="E1191" s="168"/>
      <c r="F1191" s="198"/>
      <c r="G1191" s="167" t="s">
        <v>7</v>
      </c>
      <c r="H1191" s="169">
        <v>2001</v>
      </c>
      <c r="I1191" s="170"/>
      <c r="J1191" s="166"/>
      <c r="K1191" s="166"/>
      <c r="L1191" s="166"/>
      <c r="M1191" s="166"/>
      <c r="N1191" s="196"/>
      <c r="O1191" s="166"/>
      <c r="P1191" s="166"/>
      <c r="Q1191" s="166"/>
      <c r="R1191" s="166"/>
      <c r="S1191" s="166"/>
      <c r="T1191" s="166"/>
      <c r="U1191" s="166"/>
      <c r="V1191" s="166">
        <f t="shared" si="3564"/>
        <v>41148.985486585771</v>
      </c>
      <c r="W1191" s="170"/>
      <c r="X1191" s="174">
        <v>3466.3369623966296</v>
      </c>
      <c r="Y1191" s="175">
        <v>2.4886558580068805E-2</v>
      </c>
      <c r="Z1191" s="175"/>
      <c r="AA1191" s="175"/>
      <c r="AB1191" s="175"/>
      <c r="AC1191" s="170">
        <f t="shared" si="3457"/>
        <v>41148.985486585771</v>
      </c>
      <c r="AD1191" s="175"/>
      <c r="AE1191" s="170"/>
      <c r="AF1191" s="170"/>
      <c r="AG1191" s="174"/>
      <c r="AH1191" s="175"/>
      <c r="AI1191" s="175"/>
      <c r="AJ1191" s="174"/>
      <c r="AK1191" s="174"/>
      <c r="AL1191" s="120"/>
      <c r="AM1191" s="120"/>
      <c r="AN1191" s="120"/>
      <c r="AO1191" s="120"/>
      <c r="AP1191" s="120"/>
      <c r="AQ1191" s="175"/>
      <c r="AR1191" s="120"/>
      <c r="AS1191" s="120"/>
      <c r="AT1191" s="120"/>
      <c r="AU1191" s="120"/>
      <c r="AV1191" s="120"/>
      <c r="AW1191" s="120"/>
      <c r="AX1191" s="120"/>
      <c r="AY1191" s="120"/>
      <c r="AZ1191" s="118">
        <f>IFERROR(INDEX('Total Customers'!$F$7:$AB$91,MATCH($C1191,'Total Customers'!$D$7:$D$91,0),MATCH($G1191,'Total Customers'!$F$5:$AB$5,0)),"NA")</f>
        <v>1221538</v>
      </c>
      <c r="BA1191" s="119">
        <f t="shared" si="3565"/>
        <v>-1.0854980857862318E-2</v>
      </c>
      <c r="BB1191" s="119"/>
      <c r="BC1191" s="121"/>
      <c r="BD1191" s="119"/>
      <c r="BE1191" s="119"/>
      <c r="BF1191" s="119"/>
      <c r="BG1191" s="173"/>
      <c r="BH1191" s="173"/>
      <c r="BI1191" s="173"/>
      <c r="BJ1191" s="173"/>
      <c r="BK1191" s="173"/>
      <c r="BL1191" s="173"/>
      <c r="BM1191" s="173"/>
      <c r="BN1191" s="173"/>
      <c r="BO1191" s="173"/>
      <c r="BP1191" s="173"/>
      <c r="BQ1191" s="118"/>
      <c r="BR1191" s="118"/>
      <c r="BS1191" s="118">
        <f>INDEX('Dist. Plant Gas Additions'!$F$7:$AE$91,MATCH($C1191,'Dist. Plant Gas Additions'!$D$7:$D$91,0),MATCH(Calculation!$G1191,'Dist. Plant Gas Additions'!$F$5:$AE$5,0))</f>
        <v>34271</v>
      </c>
      <c r="BT1191" s="118">
        <f>INDEX('Gen. Plant Additions'!$F$7:$AE$91,MATCH($C1191,'Gen. Plant Additions'!$D$7:$D$91,0),MATCH(Calculation!$G1191,'Gen. Plant Additions'!$F$5:$AE$5,0))</f>
        <v>1931</v>
      </c>
      <c r="BU1191" s="118"/>
      <c r="BV1191" s="118"/>
      <c r="BW1191" s="118">
        <f>INDEX('Dist Plant Depreciation'!$E$7:$AD$94,MATCH($C1191,'Dist Plant Depreciation'!$D$7:$D$94,0),MATCH(Calculation!$G1191,'Dist Plant Depreciation'!$E$5:$AD$5,0))</f>
        <v>412027</v>
      </c>
      <c r="BX1191" s="118">
        <f>INDEX('Gen. Plant Depreciation'!$E$7:$AD$94,MATCH($C1191,'Gen. Plant Depreciation'!$D$7:$D$94,0),MATCH(Calculation!$G1191,'Gen. Plant Depreciation'!$E$5:$AD$5,0))</f>
        <v>41761</v>
      </c>
      <c r="BY1191" s="118"/>
      <c r="BZ1191" s="118"/>
      <c r="CA1191" s="118"/>
      <c r="CB1191" s="118"/>
      <c r="CC1191" s="118"/>
      <c r="CD1191" s="183"/>
      <c r="CE1191" s="118">
        <f>INDEX('Gross Dx Plant'!$E$7:$AD$91,MATCH($C1191,'Gross Dx Plant'!$D$7:$D$91,0),MATCH(Calculation!$G1191,'Gross Dx Plant'!$E$5:$AD$5,0))</f>
        <v>1055071</v>
      </c>
      <c r="CF1191" s="118">
        <f>INDEX('Gross Gen Plant'!$E$7:$AD$91,MATCH($C1191,'Gross Gen Plant'!$D$7:$D$91,0),MATCH(Calculation!$G1191,'Gross Gen Plant'!$E$5:$AD$5,0))</f>
        <v>81317</v>
      </c>
      <c r="CG1191" s="118">
        <f t="shared" si="3556"/>
        <v>682600</v>
      </c>
      <c r="CH1191" s="118"/>
      <c r="CI1191" s="121">
        <v>2001</v>
      </c>
      <c r="CJ1191" s="118"/>
      <c r="CK1191" s="118"/>
      <c r="CL1191" s="118"/>
      <c r="CM1191" s="183"/>
      <c r="CN1191" s="118">
        <f t="shared" si="3566"/>
        <v>36202</v>
      </c>
      <c r="CO1191" s="118">
        <f t="shared" si="3567"/>
        <v>102.42543029203617</v>
      </c>
      <c r="CP1191" s="186">
        <v>0.98461538461538467</v>
      </c>
      <c r="CQ1191" s="118">
        <f>+CQ1188*CP1191+CO1189*CP1190+CO1190*CP1188+CO1191</f>
        <v>3466.3369623966296</v>
      </c>
      <c r="CR1191" s="119">
        <f t="shared" si="3568"/>
        <v>2.4886558580068805E-2</v>
      </c>
      <c r="CS1191" s="119"/>
      <c r="CT1191" s="177">
        <f t="shared" si="3569"/>
        <v>5.0943834220811956E-3</v>
      </c>
      <c r="CU1191" s="177">
        <f>+(CT1191+CT1190+CT1189)/3</f>
        <v>5.071556682714768E-3</v>
      </c>
      <c r="CV1191" s="119">
        <f>VLOOKUP($H1191,RoR!$E:$F,2,FALSE)</f>
        <v>7.0824999999999999E-2</v>
      </c>
      <c r="CW1191" s="177">
        <v>2.2454495382290052E-2</v>
      </c>
      <c r="CX1191" s="177">
        <f t="shared" si="3575"/>
        <v>4.8370504617709947E-2</v>
      </c>
      <c r="CY1191" s="177">
        <f>+$CX$35-CU1191</f>
        <v>2.5830384925818857E-2</v>
      </c>
      <c r="CZ1191" s="177">
        <f>+((DM1189/DM1188-1)+(DM1190/DM1189-1)+(DM1191/DM1190-1))/3</f>
        <v>2.3947275901631187E-2</v>
      </c>
      <c r="DA1191" s="187">
        <f t="shared" si="3570"/>
        <v>0.86875000000000002</v>
      </c>
      <c r="DB1191" s="188">
        <f t="shared" si="3571"/>
        <v>0.72406708481540816</v>
      </c>
      <c r="DC1191" s="188">
        <f t="shared" si="3572"/>
        <v>0.62201729615248857</v>
      </c>
      <c r="DD1191" s="188">
        <f t="shared" si="3573"/>
        <v>0.9352469954311422</v>
      </c>
      <c r="DE1191" s="188">
        <f t="shared" si="3574"/>
        <v>0.42121864641655071</v>
      </c>
      <c r="DF1191" s="189">
        <f>INDEX('State Tax Lookup'!$D$7:$Z$91,MATCH(Calculation!$C1191,'State Tax Lookup'!$B$7:$B$91,0),MATCH($H1191,'State Tax Lookup'!$D$6:$Z$6,0))</f>
        <v>0.35</v>
      </c>
      <c r="DG1191" s="189">
        <v>0.375</v>
      </c>
      <c r="DH1191" s="190">
        <f t="shared" ref="DH1191:DH1211" si="3576">+(DM1191*CY1191-CZ1191)*DA1191/(1-DF1191)</f>
        <v>12.170164520193014</v>
      </c>
      <c r="DI1191" s="190"/>
      <c r="DJ1191" s="177"/>
      <c r="DK1191" s="189">
        <f>VLOOKUP($H1191,RoR!$E:$F,2,FALSE)</f>
        <v>7.0824999999999999E-2</v>
      </c>
      <c r="DL1191" s="191">
        <f>HLOOKUP($H1191,'GDP-PI'!$D$8:$CQ$11,3,FALSE)</f>
        <v>2.2454495382290052E-2</v>
      </c>
      <c r="DM1191" s="189">
        <f>VLOOKUP(H1191,'HW Dx Data'!$E:$F,2,FALSE)</f>
        <v>353.44738017483138</v>
      </c>
      <c r="DN1191" s="183">
        <f>VLOOKUP(H1191,'ECI - Input Price'!$G$17:$H$37,2,FALSE)</f>
        <v>86.2</v>
      </c>
      <c r="DO1191" s="177"/>
      <c r="DP1191" s="183">
        <f>HLOOKUP(H1191,'GDP-PI'!$8:$9,2,FALSE)</f>
        <v>79.822000000000003</v>
      </c>
    </row>
    <row r="1192" spans="1:121" s="167" customFormat="1" ht="21" x14ac:dyDescent="0.35">
      <c r="A1192" s="167" t="s">
        <v>112</v>
      </c>
      <c r="B1192" s="167" t="s">
        <v>112</v>
      </c>
      <c r="C1192" s="167">
        <v>4059746</v>
      </c>
      <c r="D1192" s="168" t="s">
        <v>138</v>
      </c>
      <c r="E1192" s="168"/>
      <c r="F1192" s="198"/>
      <c r="G1192" s="167" t="s">
        <v>8</v>
      </c>
      <c r="H1192" s="169">
        <v>2002</v>
      </c>
      <c r="I1192" s="170"/>
      <c r="J1192" s="166"/>
      <c r="K1192" s="166"/>
      <c r="L1192" s="166"/>
      <c r="M1192" s="166"/>
      <c r="N1192" s="196"/>
      <c r="O1192" s="166"/>
      <c r="P1192" s="166"/>
      <c r="Q1192" s="166"/>
      <c r="R1192" s="166"/>
      <c r="S1192" s="166"/>
      <c r="T1192" s="166"/>
      <c r="U1192" s="166"/>
      <c r="V1192" s="166">
        <f t="shared" si="3564"/>
        <v>42716.193884509819</v>
      </c>
      <c r="W1192" s="170"/>
      <c r="X1192" s="174">
        <v>3631.1889201580966</v>
      </c>
      <c r="Y1192" s="175">
        <v>4.6461714910821815E-2</v>
      </c>
      <c r="Z1192" s="175"/>
      <c r="AA1192" s="175"/>
      <c r="AB1192" s="175"/>
      <c r="AC1192" s="170">
        <f t="shared" si="3457"/>
        <v>42716.193884509819</v>
      </c>
      <c r="AD1192" s="175"/>
      <c r="AE1192" s="170"/>
      <c r="AF1192" s="170"/>
      <c r="AG1192" s="174"/>
      <c r="AH1192" s="175"/>
      <c r="AI1192" s="175"/>
      <c r="AJ1192" s="174"/>
      <c r="AK1192" s="174"/>
      <c r="AL1192" s="120"/>
      <c r="AM1192" s="120"/>
      <c r="AN1192" s="120"/>
      <c r="AO1192" s="120"/>
      <c r="AP1192" s="120"/>
      <c r="AQ1192" s="175"/>
      <c r="AR1192" s="120"/>
      <c r="AS1192" s="120"/>
      <c r="AT1192" s="120"/>
      <c r="AU1192" s="120"/>
      <c r="AV1192" s="120"/>
      <c r="AW1192" s="120"/>
      <c r="AX1192" s="120"/>
      <c r="AY1192" s="120"/>
      <c r="AZ1192" s="118">
        <f>IFERROR(INDEX('Total Customers'!$F$7:$AB$91,MATCH($C1192,'Total Customers'!$D$7:$D$91,0),MATCH($G1192,'Total Customers'!$F$5:$AB$5,0)),"NA")</f>
        <v>1213805</v>
      </c>
      <c r="BA1192" s="119">
        <f t="shared" si="3565"/>
        <v>-6.3506668177181723E-3</v>
      </c>
      <c r="BB1192" s="119"/>
      <c r="BC1192" s="121"/>
      <c r="BD1192" s="119"/>
      <c r="BE1192" s="119"/>
      <c r="BF1192" s="119"/>
      <c r="BG1192" s="173"/>
      <c r="BH1192" s="173"/>
      <c r="BI1192" s="173"/>
      <c r="BJ1192" s="173"/>
      <c r="BK1192" s="173"/>
      <c r="BL1192" s="173"/>
      <c r="BM1192" s="173"/>
      <c r="BN1192" s="173"/>
      <c r="BO1192" s="173"/>
      <c r="BP1192" s="173"/>
      <c r="BQ1192" s="118"/>
      <c r="BR1192" s="118"/>
      <c r="BS1192" s="118">
        <f>INDEX('Dist. Plant Gas Additions'!$F$7:$AE$91,MATCH($C1192,'Dist. Plant Gas Additions'!$D$7:$D$91,0),MATCH(Calculation!$G1192,'Dist. Plant Gas Additions'!$F$5:$AE$5,0))</f>
        <v>61019</v>
      </c>
      <c r="BT1192" s="118">
        <f>INDEX('Gen. Plant Additions'!$F$7:$AE$91,MATCH($C1192,'Gen. Plant Additions'!$D$7:$D$91,0),MATCH(Calculation!$G1192,'Gen. Plant Additions'!$F$5:$AE$5,0))</f>
        <v>5700</v>
      </c>
      <c r="BU1192" s="118"/>
      <c r="BV1192" s="118"/>
      <c r="BW1192" s="118">
        <f>INDEX('Dist Plant Depreciation'!$E$7:$AD$94,MATCH($C1192,'Dist Plant Depreciation'!$D$7:$D$94,0),MATCH(Calculation!$G1192,'Dist Plant Depreciation'!$E$5:$AD$5,0))</f>
        <v>380465</v>
      </c>
      <c r="BX1192" s="118">
        <f>INDEX('Gen. Plant Depreciation'!$E$7:$AD$94,MATCH($C1192,'Gen. Plant Depreciation'!$D$7:$D$94,0),MATCH(Calculation!$G1192,'Gen. Plant Depreciation'!$E$5:$AD$5,0))</f>
        <v>26110</v>
      </c>
      <c r="BY1192" s="118"/>
      <c r="BZ1192" s="118"/>
      <c r="CA1192" s="118"/>
      <c r="CB1192" s="118"/>
      <c r="CC1192" s="118"/>
      <c r="CD1192" s="183"/>
      <c r="CE1192" s="118">
        <f>INDEX('Gross Dx Plant'!$E$7:$AD$91,MATCH($C1192,'Gross Dx Plant'!$D$7:$D$91,0),MATCH(Calculation!$G1192,'Gross Dx Plant'!$E$5:$AD$5,0))</f>
        <v>1114370</v>
      </c>
      <c r="CF1192" s="118">
        <f>INDEX('Gross Gen Plant'!$E$7:$AD$91,MATCH($C1192,'Gross Gen Plant'!$D$7:$D$91,0),MATCH(Calculation!$G1192,'Gross Gen Plant'!$E$5:$AD$5,0))</f>
        <v>61805</v>
      </c>
      <c r="CG1192" s="118">
        <f t="shared" si="3556"/>
        <v>769600</v>
      </c>
      <c r="CH1192" s="118"/>
      <c r="CI1192" s="121">
        <v>2002</v>
      </c>
      <c r="CJ1192" s="118"/>
      <c r="CK1192" s="118"/>
      <c r="CL1192" s="118"/>
      <c r="CM1192" s="183"/>
      <c r="CN1192" s="118">
        <f t="shared" si="3566"/>
        <v>66719</v>
      </c>
      <c r="CO1192" s="118">
        <f t="shared" si="3567"/>
        <v>184.63909970166804</v>
      </c>
      <c r="CP1192" s="186">
        <v>0.97916666666666663</v>
      </c>
      <c r="CQ1192" s="118">
        <f>+CQ1188*CP1192+CO1189*CP1191+CO1190*CP1190+CO1191*CP1189+CO1192</f>
        <v>3631.1889201580966</v>
      </c>
      <c r="CR1192" s="119">
        <f t="shared" si="3568"/>
        <v>4.6461714910821815E-2</v>
      </c>
      <c r="CS1192" s="119"/>
      <c r="CT1192" s="177">
        <f t="shared" si="3569"/>
        <v>5.7083723119982456E-3</v>
      </c>
      <c r="CU1192" s="177">
        <f t="shared" ref="CU1192:CU1211" si="3577">+(CT1192+CT1191+CT1190)/3</f>
        <v>5.3159726606776779E-3</v>
      </c>
      <c r="CV1192" s="119">
        <f>VLOOKUP($H1192,RoR!$E:$F,2,FALSE)</f>
        <v>6.4916666666666664E-2</v>
      </c>
      <c r="CW1192" s="177">
        <v>1.5246423291824351E-2</v>
      </c>
      <c r="CX1192" s="177">
        <f t="shared" si="3575"/>
        <v>4.9670243374842313E-2</v>
      </c>
      <c r="CY1192" s="177">
        <f t="shared" ref="CY1192:CY1211" si="3578">+$CX$35-CU1192</f>
        <v>2.5585968947855947E-2</v>
      </c>
      <c r="CZ1192" s="177">
        <f t="shared" ref="CZ1192:CZ1211" si="3579">+((DM1190/DM1189-1)+(DM1191/DM1190-1)+(DM1192/DM1191-1))/3</f>
        <v>2.5243621214759093E-2</v>
      </c>
      <c r="DA1192" s="187">
        <f t="shared" si="3570"/>
        <v>0.86875000000000002</v>
      </c>
      <c r="DB1192" s="188">
        <f t="shared" si="3571"/>
        <v>0.78996741384417901</v>
      </c>
      <c r="DC1192" s="188">
        <f t="shared" si="3572"/>
        <v>0.58989088575096271</v>
      </c>
      <c r="DD1192" s="188">
        <f t="shared" si="3573"/>
        <v>0.91920675783645744</v>
      </c>
      <c r="DE1192" s="188">
        <f t="shared" si="3574"/>
        <v>0.42834536472275586</v>
      </c>
      <c r="DF1192" s="189">
        <f>INDEX('State Tax Lookup'!$D$7:$Z$91,MATCH(Calculation!$C1192,'State Tax Lookup'!$B$7:$B$91,0),MATCH($H1192,'State Tax Lookup'!$D$6:$Z$6,0))</f>
        <v>0.35</v>
      </c>
      <c r="DG1192" s="189">
        <v>0.375</v>
      </c>
      <c r="DH1192" s="190">
        <f t="shared" si="3576"/>
        <v>12.323151023083398</v>
      </c>
      <c r="DI1192" s="190"/>
      <c r="DJ1192" s="177"/>
      <c r="DK1192" s="189">
        <f>VLOOKUP($H1192,RoR!$E:$F,2,FALSE)</f>
        <v>6.4916666666666664E-2</v>
      </c>
      <c r="DL1192" s="191">
        <f>HLOOKUP($H1192,'GDP-PI'!$D$8:$CQ$11,3,FALSE)</f>
        <v>1.5246423291824351E-2</v>
      </c>
      <c r="DM1192" s="189">
        <f>VLOOKUP(H1192,'HW Dx Data'!$E:$F,2,FALSE)</f>
        <v>361.34816573413599</v>
      </c>
      <c r="DN1192" s="183">
        <f>VLOOKUP(H1192,'ECI - Input Price'!$G$17:$H$37,2,FALSE)</f>
        <v>89.275000000000006</v>
      </c>
      <c r="DO1192" s="177">
        <f>LN(DN1192/DN1191)</f>
        <v>3.5051315810864674E-2</v>
      </c>
      <c r="DP1192" s="183">
        <f>HLOOKUP(H1192,'GDP-PI'!$8:$9,2,FALSE)</f>
        <v>81.039000000000001</v>
      </c>
      <c r="DQ1192" s="177">
        <f>LN(DP1192/DP1191)</f>
        <v>1.513136459537477E-2</v>
      </c>
    </row>
    <row r="1193" spans="1:121" s="167" customFormat="1" ht="21" x14ac:dyDescent="0.35">
      <c r="A1193" s="167" t="s">
        <v>112</v>
      </c>
      <c r="B1193" s="167" t="s">
        <v>112</v>
      </c>
      <c r="C1193" s="167">
        <v>4059746</v>
      </c>
      <c r="D1193" s="168" t="s">
        <v>138</v>
      </c>
      <c r="E1193" s="168"/>
      <c r="F1193" s="198"/>
      <c r="G1193" s="167" t="s">
        <v>9</v>
      </c>
      <c r="H1193" s="169">
        <v>2003</v>
      </c>
      <c r="I1193" s="170"/>
      <c r="J1193" s="166"/>
      <c r="K1193" s="166"/>
      <c r="L1193" s="166"/>
      <c r="M1193" s="172"/>
      <c r="N1193" s="196"/>
      <c r="O1193" s="172"/>
      <c r="P1193" s="166"/>
      <c r="Q1193" s="166"/>
      <c r="R1193" s="166"/>
      <c r="S1193" s="166"/>
      <c r="T1193" s="166"/>
      <c r="U1193" s="166"/>
      <c r="V1193" s="166">
        <f t="shared" si="3564"/>
        <v>45436.420911422654</v>
      </c>
      <c r="W1193" s="170"/>
      <c r="X1193" s="174">
        <v>3787.8425789533258</v>
      </c>
      <c r="Y1193" s="175">
        <v>4.2236495767700499E-2</v>
      </c>
      <c r="Z1193" s="175"/>
      <c r="AA1193" s="175"/>
      <c r="AB1193" s="175"/>
      <c r="AC1193" s="170">
        <f t="shared" si="3457"/>
        <v>45436.420911422654</v>
      </c>
      <c r="AD1193" s="175"/>
      <c r="AE1193" s="170"/>
      <c r="AF1193" s="170"/>
      <c r="AG1193" s="174"/>
      <c r="AH1193" s="175"/>
      <c r="AI1193" s="175"/>
      <c r="AJ1193" s="174"/>
      <c r="AK1193" s="174"/>
      <c r="AL1193" s="120"/>
      <c r="AM1193" s="120"/>
      <c r="AN1193" s="120"/>
      <c r="AO1193" s="120"/>
      <c r="AP1193" s="120"/>
      <c r="AQ1193" s="175"/>
      <c r="AR1193" s="120"/>
      <c r="AS1193" s="120"/>
      <c r="AT1193" s="120"/>
      <c r="AU1193" s="120"/>
      <c r="AV1193" s="120"/>
      <c r="AW1193" s="120"/>
      <c r="AX1193" s="120"/>
      <c r="AY1193" s="120"/>
      <c r="AZ1193" s="118">
        <f>IFERROR(INDEX('Total Customers'!$F$7:$AB$91,MATCH($C1193,'Total Customers'!$D$7:$D$91,0),MATCH($G1193,'Total Customers'!$F$5:$AB$5,0)),"NA")</f>
        <v>1215966</v>
      </c>
      <c r="BA1193" s="119">
        <f t="shared" si="3565"/>
        <v>1.7787689208463855E-3</v>
      </c>
      <c r="BB1193" s="119"/>
      <c r="BC1193" s="121"/>
      <c r="BD1193" s="119"/>
      <c r="BE1193" s="119"/>
      <c r="BF1193" s="119"/>
      <c r="BG1193" s="173"/>
      <c r="BH1193" s="173"/>
      <c r="BI1193" s="173"/>
      <c r="BJ1193" s="173"/>
      <c r="BK1193" s="173"/>
      <c r="BL1193" s="173"/>
      <c r="BM1193" s="173"/>
      <c r="BN1193" s="173"/>
      <c r="BO1193" s="173"/>
      <c r="BP1193" s="173"/>
      <c r="BQ1193" s="118"/>
      <c r="BR1193" s="118"/>
      <c r="BS1193" s="118">
        <f>INDEX('Dist. Plant Gas Additions'!$F$7:$AE$91,MATCH($C1193,'Dist. Plant Gas Additions'!$D$7:$D$91,0),MATCH(Calculation!$G1193,'Dist. Plant Gas Additions'!$F$5:$AE$5,0))</f>
        <v>61448</v>
      </c>
      <c r="BT1193" s="118">
        <f>INDEX('Gen. Plant Additions'!$F$7:$AE$91,MATCH($C1193,'Gen. Plant Additions'!$D$7:$D$91,0),MATCH(Calculation!$G1193,'Gen. Plant Additions'!$F$5:$AE$5,0))</f>
        <v>3986</v>
      </c>
      <c r="BU1193" s="118"/>
      <c r="BV1193" s="118"/>
      <c r="BW1193" s="118">
        <f>INDEX('Dist Plant Depreciation'!$E$7:$AD$94,MATCH($C1193,'Dist Plant Depreciation'!$D$7:$D$94,0),MATCH(Calculation!$G1193,'Dist Plant Depreciation'!$E$5:$AD$5,0))</f>
        <v>411484</v>
      </c>
      <c r="BX1193" s="118">
        <f>INDEX('Gen. Plant Depreciation'!$E$7:$AD$94,MATCH($C1193,'Gen. Plant Depreciation'!$D$7:$D$94,0),MATCH(Calculation!$G1193,'Gen. Plant Depreciation'!$E$5:$AD$5,0))</f>
        <v>138844</v>
      </c>
      <c r="BY1193" s="118"/>
      <c r="BZ1193" s="118"/>
      <c r="CA1193" s="118"/>
      <c r="CB1193" s="118"/>
      <c r="CC1193" s="118"/>
      <c r="CD1193" s="183"/>
      <c r="CE1193" s="118">
        <f>INDEX('Gross Dx Plant'!$E$7:$AD$91,MATCH($C1193,'Gross Dx Plant'!$D$7:$D$91,0),MATCH(Calculation!$G1193,'Gross Dx Plant'!$E$5:$AD$5,0))</f>
        <v>1173536</v>
      </c>
      <c r="CF1193" s="118">
        <f>INDEX('Gross Gen Plant'!$E$7:$AD$91,MATCH($C1193,'Gross Gen Plant'!$D$7:$D$91,0),MATCH(Calculation!$G1193,'Gross Gen Plant'!$E$5:$AD$5,0))</f>
        <v>124531</v>
      </c>
      <c r="CG1193" s="118">
        <f t="shared" si="3556"/>
        <v>747739</v>
      </c>
      <c r="CH1193" s="118"/>
      <c r="CI1193" s="121">
        <v>2003</v>
      </c>
      <c r="CJ1193" s="118"/>
      <c r="CK1193" s="118"/>
      <c r="CL1193" s="118"/>
      <c r="CM1193" s="183"/>
      <c r="CN1193" s="118">
        <f t="shared" si="3566"/>
        <v>65434</v>
      </c>
      <c r="CO1193" s="118">
        <f t="shared" si="3567"/>
        <v>177.21600739503774</v>
      </c>
      <c r="CP1193" s="186">
        <v>0.97354497354497349</v>
      </c>
      <c r="CQ1193" s="118">
        <f>+CQ1188*CP1193+CO1189*CP1192+CO1190*CP1191+CO1191*CP1190+CO1192*CP1189+CO1193</f>
        <v>3787.8425789533258</v>
      </c>
      <c r="CR1193" s="119">
        <f t="shared" si="3568"/>
        <v>4.2236495767700499E-2</v>
      </c>
      <c r="CS1193" s="119"/>
      <c r="CT1193" s="177">
        <f t="shared" si="3569"/>
        <v>5.6627041588663291E-3</v>
      </c>
      <c r="CU1193" s="177">
        <f t="shared" si="3577"/>
        <v>5.4884866309819228E-3</v>
      </c>
      <c r="CV1193" s="119">
        <f>VLOOKUP($H1193,RoR!$E:$F,2,FALSE)</f>
        <v>5.6666666666666671E-2</v>
      </c>
      <c r="CW1193" s="177">
        <v>1.8855119140166909E-2</v>
      </c>
      <c r="CX1193" s="177">
        <f t="shared" si="3575"/>
        <v>3.7811547526499761E-2</v>
      </c>
      <c r="CY1193" s="177">
        <f t="shared" si="3578"/>
        <v>2.5413454977551701E-2</v>
      </c>
      <c r="CZ1193" s="177">
        <f t="shared" si="3579"/>
        <v>2.1375012817671957E-2</v>
      </c>
      <c r="DA1193" s="187">
        <f t="shared" si="3570"/>
        <v>0.86875000000000002</v>
      </c>
      <c r="DB1193" s="188">
        <f t="shared" si="3571"/>
        <v>0.90497737556561086</v>
      </c>
      <c r="DC1193" s="188">
        <f t="shared" si="3572"/>
        <v>0.5338235294117647</v>
      </c>
      <c r="DD1193" s="188">
        <f t="shared" si="3573"/>
        <v>0.88972433127405692</v>
      </c>
      <c r="DE1193" s="188">
        <f t="shared" si="3574"/>
        <v>0.42982423775949252</v>
      </c>
      <c r="DF1193" s="189">
        <f>INDEX('State Tax Lookup'!$D$7:$Z$91,MATCH(Calculation!$C1193,'State Tax Lookup'!$B$7:$B$91,0),MATCH($H1193,'State Tax Lookup'!$D$6:$Z$6,0))</f>
        <v>0.35</v>
      </c>
      <c r="DG1193" s="189">
        <v>0.375</v>
      </c>
      <c r="DH1193" s="190">
        <f t="shared" si="3576"/>
        <v>12.512822084025421</v>
      </c>
      <c r="DI1193" s="190"/>
      <c r="DJ1193" s="177"/>
      <c r="DK1193" s="189">
        <f>VLOOKUP($H1193,RoR!$E:$F,2,FALSE)</f>
        <v>5.6666666666666671E-2</v>
      </c>
      <c r="DL1193" s="191">
        <f>HLOOKUP($H1193,'GDP-PI'!$D$8:$CQ$11,3,FALSE)</f>
        <v>1.8855119140166909E-2</v>
      </c>
      <c r="DM1193" s="189">
        <f>VLOOKUP(H1193,'HW Dx Data'!$E:$F,2,FALSE)</f>
        <v>369.23301095560191</v>
      </c>
      <c r="DN1193" s="183">
        <f>VLOOKUP(H1193,'ECI - Input Price'!$G$17:$H$37,2,FALSE)</f>
        <v>92.625</v>
      </c>
      <c r="DO1193" s="177">
        <f t="shared" ref="DO1193" si="3580">LN(DN1193/DN1192)</f>
        <v>3.6837590135738785E-2</v>
      </c>
      <c r="DP1193" s="183">
        <f>HLOOKUP(H1193,'GDP-PI'!$8:$9,2,FALSE)</f>
        <v>82.566999999999993</v>
      </c>
      <c r="DQ1193" s="177">
        <f t="shared" ref="DQ1193" si="3581">LN(DP1193/DP1192)</f>
        <v>1.8679564681853753E-2</v>
      </c>
    </row>
    <row r="1194" spans="1:121" s="167" customFormat="1" ht="21" x14ac:dyDescent="0.35">
      <c r="A1194" s="167" t="s">
        <v>112</v>
      </c>
      <c r="B1194" s="167" t="s">
        <v>112</v>
      </c>
      <c r="C1194" s="167">
        <v>4059746</v>
      </c>
      <c r="D1194" s="168" t="s">
        <v>138</v>
      </c>
      <c r="E1194" s="168"/>
      <c r="F1194" s="198"/>
      <c r="G1194" s="167" t="s">
        <v>10</v>
      </c>
      <c r="H1194" s="169">
        <v>2004</v>
      </c>
      <c r="I1194" s="170"/>
      <c r="J1194" s="166">
        <f>IFERROR(INDEX('Labor Expenditures'!$F$7:$X$91,MATCH($C1194,'Labor Expenditures'!$D$7:$D$91,0),MATCH($G1194,'Labor Expenditures'!$F$5:$X$5,0)),"NA")</f>
        <v>48343.436546285091</v>
      </c>
      <c r="K1194" s="166">
        <f t="shared" ref="K1194:K1211" si="3582">+J1194/DN1194</f>
        <v>502.66115462734695</v>
      </c>
      <c r="L1194" s="172"/>
      <c r="M1194" s="172"/>
      <c r="N1194" s="196"/>
      <c r="O1194" s="172"/>
      <c r="P1194" s="166">
        <f>IFERROR(INDEX('Non-Labor Expenditures'!$F$7:$AB$91,MATCH($C1194,'Non-Labor Expenditures'!$D$7:$D$91,0),MATCH($G1194,'Non-Labor Expenditures'!$F$5:$AB$5,0)),"NA")</f>
        <v>70010.325427469419</v>
      </c>
      <c r="Q1194" s="166">
        <f t="shared" ref="Q1194:Q1211" si="3583">+P1194/DP1194</f>
        <v>825.80770279399621</v>
      </c>
      <c r="R1194" s="166"/>
      <c r="S1194" s="166"/>
      <c r="T1194" s="166"/>
      <c r="U1194" s="166"/>
      <c r="V1194" s="166">
        <f t="shared" si="3564"/>
        <v>52576.571084066622</v>
      </c>
      <c r="W1194" s="170"/>
      <c r="X1194" s="174">
        <v>3908.6621476444902</v>
      </c>
      <c r="Y1194" s="175">
        <v>3.1398537085032568E-2</v>
      </c>
      <c r="Z1194" s="175"/>
      <c r="AA1194" s="175"/>
      <c r="AB1194" s="175"/>
      <c r="AC1194" s="170">
        <f t="shared" si="3457"/>
        <v>170930.33305782112</v>
      </c>
      <c r="AD1194" s="175"/>
      <c r="AE1194" s="170"/>
      <c r="AF1194" s="170"/>
      <c r="AG1194" s="174"/>
      <c r="AH1194" s="175"/>
      <c r="AI1194" s="175"/>
      <c r="AJ1194" s="174"/>
      <c r="AK1194" s="174"/>
      <c r="AL1194" s="120">
        <f t="shared" ref="AL1194:AL1211" si="3584">+J1194/AC1194</f>
        <v>0.28282538085227865</v>
      </c>
      <c r="AM1194" s="120">
        <f t="shared" ref="AM1194:AM1211" si="3585">+P1194/AC1194</f>
        <v>0.40958397596865864</v>
      </c>
      <c r="AN1194" s="120">
        <f t="shared" ref="AN1194:AN1211" si="3586">+V1194/AC1194</f>
        <v>0.30759064317906282</v>
      </c>
      <c r="AO1194" s="120"/>
      <c r="AP1194" s="120"/>
      <c r="AQ1194" s="175"/>
      <c r="AR1194" s="120"/>
      <c r="AS1194" s="120"/>
      <c r="AT1194" s="120"/>
      <c r="AU1194" s="120"/>
      <c r="AV1194" s="120"/>
      <c r="AW1194" s="120"/>
      <c r="AX1194" s="120"/>
      <c r="AY1194" s="120"/>
      <c r="AZ1194" s="118">
        <f>IFERROR(INDEX('Total Customers'!$F$7:$AB$91,MATCH($C1194,'Total Customers'!$D$7:$D$91,0),MATCH($G1194,'Total Customers'!$F$5:$AB$5,0)),"NA")</f>
        <v>1217546</v>
      </c>
      <c r="BA1194" s="119">
        <f t="shared" si="3565"/>
        <v>1.2985349749787855E-3</v>
      </c>
      <c r="BB1194" s="119"/>
      <c r="BC1194" s="121"/>
      <c r="BD1194" s="119"/>
      <c r="BE1194" s="119"/>
      <c r="BF1194" s="119"/>
      <c r="BG1194" s="173"/>
      <c r="BH1194" s="173"/>
      <c r="BI1194" s="173"/>
      <c r="BJ1194" s="173"/>
      <c r="BK1194" s="173"/>
      <c r="BL1194" s="173"/>
      <c r="BM1194" s="173"/>
      <c r="BN1194" s="173"/>
      <c r="BO1194" s="173"/>
      <c r="BP1194" s="173"/>
      <c r="BQ1194" s="118"/>
      <c r="BR1194" s="118"/>
      <c r="BS1194" s="118">
        <f>INDEX('Dist. Plant Gas Additions'!$F$7:$AE$91,MATCH($C1194,'Dist. Plant Gas Additions'!$D$7:$D$91,0),MATCH(Calculation!$G1194,'Dist. Plant Gas Additions'!$F$5:$AE$5,0))</f>
        <v>55008</v>
      </c>
      <c r="BT1194" s="118">
        <f>INDEX('Gen. Plant Additions'!$F$7:$AE$91,MATCH($C1194,'Gen. Plant Additions'!$D$7:$D$91,0),MATCH(Calculation!$G1194,'Gen. Plant Additions'!$F$5:$AE$5,0))</f>
        <v>4289</v>
      </c>
      <c r="BU1194" s="118"/>
      <c r="BV1194" s="118"/>
      <c r="BW1194" s="118">
        <f>INDEX('Dist Plant Depreciation'!$E$7:$AD$94,MATCH($C1194,'Dist Plant Depreciation'!$D$7:$D$94,0),MATCH(Calculation!$G1194,'Dist Plant Depreciation'!$E$5:$AD$5,0))</f>
        <v>438381</v>
      </c>
      <c r="BX1194" s="118">
        <f>INDEX('Gen. Plant Depreciation'!$E$7:$AD$94,MATCH($C1194,'Gen. Plant Depreciation'!$D$7:$D$94,0),MATCH(Calculation!$G1194,'Gen. Plant Depreciation'!$E$5:$AD$5,0))</f>
        <v>140244</v>
      </c>
      <c r="BY1194" s="118"/>
      <c r="BZ1194" s="118"/>
      <c r="CA1194" s="118"/>
      <c r="CB1194" s="118"/>
      <c r="CC1194" s="118"/>
      <c r="CD1194" s="183"/>
      <c r="CE1194" s="118">
        <f>INDEX('Gross Dx Plant'!$E$7:$AD$91,MATCH($C1194,'Gross Dx Plant'!$D$7:$D$91,0),MATCH(Calculation!$G1194,'Gross Dx Plant'!$E$5:$AD$5,0))</f>
        <v>1226310</v>
      </c>
      <c r="CF1194" s="118">
        <f>INDEX('Gross Gen Plant'!$E$7:$AD$91,MATCH($C1194,'Gross Gen Plant'!$D$7:$D$91,0),MATCH(Calculation!$G1194,'Gross Gen Plant'!$E$5:$AD$5,0))</f>
        <v>125060</v>
      </c>
      <c r="CG1194" s="118">
        <f t="shared" si="3556"/>
        <v>772745</v>
      </c>
      <c r="CH1194" s="118"/>
      <c r="CI1194" s="121">
        <v>2004</v>
      </c>
      <c r="CJ1194" s="118"/>
      <c r="CK1194" s="118"/>
      <c r="CL1194" s="118"/>
      <c r="CM1194" s="183"/>
      <c r="CN1194" s="118">
        <f t="shared" si="3566"/>
        <v>59297</v>
      </c>
      <c r="CO1194" s="118">
        <f t="shared" si="3567"/>
        <v>142.92318788325883</v>
      </c>
      <c r="CP1194" s="186">
        <v>0.967741935483871</v>
      </c>
      <c r="CQ1194" s="118">
        <f>+CQ1188*CP1194+CO1189*CP1193+CO1190*CP1192+CO1191*CP1191+CO1192*CP1190+CO1193*CP1189+CO1194</f>
        <v>3908.6621476444902</v>
      </c>
      <c r="CR1194" s="119">
        <f t="shared" si="3568"/>
        <v>3.1398537085032568E-2</v>
      </c>
      <c r="CS1194" s="119"/>
      <c r="CT1194" s="177">
        <f t="shared" si="3569"/>
        <v>5.8354112483212364E-3</v>
      </c>
      <c r="CU1194" s="177">
        <f t="shared" si="3577"/>
        <v>5.7354959063952706E-3</v>
      </c>
      <c r="CV1194" s="119">
        <f>VLOOKUP($H1194,RoR!$E:$F,2,FALSE)</f>
        <v>5.6283333333333331E-2</v>
      </c>
      <c r="CW1194" s="177">
        <v>2.6778252812867276E-2</v>
      </c>
      <c r="CX1194" s="177">
        <f t="shared" si="3575"/>
        <v>2.9505080520466055E-2</v>
      </c>
      <c r="CY1194" s="177">
        <f t="shared" si="3578"/>
        <v>2.5166445702138353E-2</v>
      </c>
      <c r="CZ1194" s="177">
        <f t="shared" si="3579"/>
        <v>5.5940039414565046E-2</v>
      </c>
      <c r="DA1194" s="187">
        <f t="shared" si="3570"/>
        <v>0.86875000000000002</v>
      </c>
      <c r="DB1194" s="188">
        <f t="shared" si="3571"/>
        <v>0.91114097628755619</v>
      </c>
      <c r="DC1194" s="188">
        <f t="shared" si="3572"/>
        <v>0.53081877405981637</v>
      </c>
      <c r="DD1194" s="188">
        <f t="shared" si="3573"/>
        <v>0.88811215519385678</v>
      </c>
      <c r="DE1194" s="188">
        <f t="shared" si="3574"/>
        <v>0.42953609753547711</v>
      </c>
      <c r="DF1194" s="189">
        <f>INDEX('State Tax Lookup'!$D$7:$Z$91,MATCH(Calculation!$C1194,'State Tax Lookup'!$B$7:$B$91,0),MATCH($H1194,'State Tax Lookup'!$D$6:$Z$6,0))</f>
        <v>0.35</v>
      </c>
      <c r="DG1194" s="189">
        <v>0.375</v>
      </c>
      <c r="DH1194" s="190">
        <f t="shared" si="3576"/>
        <v>13.880347450604672</v>
      </c>
      <c r="DI1194" s="190"/>
      <c r="DJ1194" s="177"/>
      <c r="DK1194" s="189">
        <f>VLOOKUP($H1194,RoR!$E:$F,2,FALSE)</f>
        <v>5.6283333333333331E-2</v>
      </c>
      <c r="DL1194" s="191">
        <f>HLOOKUP($H1194,'GDP-PI'!$D$8:$CQ$11,3,FALSE)</f>
        <v>2.6778252812867276E-2</v>
      </c>
      <c r="DM1194" s="189">
        <f>VLOOKUP(H1194,'HW Dx Data'!$E:$F,2,FALSE)</f>
        <v>414.88719135228365</v>
      </c>
      <c r="DN1194" s="183">
        <f>VLOOKUP(H1194,'ECI - Input Price'!$G$17:$H$37,2,FALSE)</f>
        <v>96.174999999999997</v>
      </c>
      <c r="DO1194" s="177">
        <f t="shared" ref="DO1194" si="3587">LN(DN1194/DN1193)</f>
        <v>3.7610365022107912E-2</v>
      </c>
      <c r="DP1194" s="183">
        <f>HLOOKUP(H1194,'GDP-PI'!$8:$9,2,FALSE)</f>
        <v>84.778000000000006</v>
      </c>
      <c r="DQ1194" s="177">
        <f t="shared" ref="DQ1194" si="3588">LN(DP1194/DP1193)</f>
        <v>2.6425990216022755E-2</v>
      </c>
    </row>
    <row r="1195" spans="1:121" s="167" customFormat="1" ht="21" x14ac:dyDescent="0.35">
      <c r="A1195" s="167" t="s">
        <v>112</v>
      </c>
      <c r="B1195" s="167" t="s">
        <v>112</v>
      </c>
      <c r="C1195" s="167">
        <v>4059746</v>
      </c>
      <c r="D1195" s="168" t="s">
        <v>138</v>
      </c>
      <c r="E1195" s="168"/>
      <c r="F1195" s="198"/>
      <c r="G1195" s="167" t="s">
        <v>11</v>
      </c>
      <c r="H1195" s="169">
        <v>2005</v>
      </c>
      <c r="I1195" s="170"/>
      <c r="J1195" s="166">
        <f>IFERROR(INDEX('Labor Expenditures'!$F$7:$X$91,MATCH($C1195,'Labor Expenditures'!$D$7:$D$91,0),MATCH($G1195,'Labor Expenditures'!$F$5:$X$5,0)),"NA")</f>
        <v>55033.466797274566</v>
      </c>
      <c r="K1195" s="166">
        <f t="shared" si="3582"/>
        <v>555.05261520196234</v>
      </c>
      <c r="L1195" s="172">
        <f t="shared" ref="L1195:L1211" si="3589">LN(K1195/K1194)</f>
        <v>9.9146617174485682E-2</v>
      </c>
      <c r="M1195" s="172"/>
      <c r="N1195" s="196"/>
      <c r="O1195" s="172"/>
      <c r="P1195" s="166">
        <f>IFERROR(INDEX('Non-Labor Expenditures'!$F$7:$AB$91,MATCH($C1195,'Non-Labor Expenditures'!$D$7:$D$91,0),MATCH($G1195,'Non-Labor Expenditures'!$F$5:$AB$5,0)),"NA")</f>
        <v>79698.738756194158</v>
      </c>
      <c r="Q1195" s="166">
        <f t="shared" si="3583"/>
        <v>911.81185438459352</v>
      </c>
      <c r="R1195" s="172">
        <f>LN(Q1195/Q1194)</f>
        <v>9.9071727691198111E-2</v>
      </c>
      <c r="S1195" s="172"/>
      <c r="T1195" s="172"/>
      <c r="U1195" s="172"/>
      <c r="V1195" s="166">
        <f t="shared" si="3564"/>
        <v>60950.523897961146</v>
      </c>
      <c r="W1195" s="170"/>
      <c r="X1195" s="174">
        <v>4027.3609193405409</v>
      </c>
      <c r="Y1195" s="175">
        <v>2.9916149001687337E-2</v>
      </c>
      <c r="Z1195" s="175"/>
      <c r="AA1195" s="175"/>
      <c r="AB1195" s="175"/>
      <c r="AC1195" s="170">
        <f t="shared" si="3457"/>
        <v>195682.72945142986</v>
      </c>
      <c r="AD1195" s="175">
        <f>LN(AC1195/AC1194)</f>
        <v>0.13523855591685152</v>
      </c>
      <c r="AE1195" s="170"/>
      <c r="AF1195" s="170"/>
      <c r="AG1195" s="121"/>
      <c r="AH1195" s="119"/>
      <c r="AI1195" s="119"/>
      <c r="AJ1195" s="121"/>
      <c r="AK1195" s="121"/>
      <c r="AL1195" s="120">
        <f t="shared" si="3584"/>
        <v>0.28123824188038193</v>
      </c>
      <c r="AM1195" s="120">
        <f t="shared" si="3585"/>
        <v>0.40728550230068244</v>
      </c>
      <c r="AN1195" s="120">
        <f t="shared" si="3586"/>
        <v>0.31147625581893568</v>
      </c>
      <c r="AO1195" s="120">
        <f t="shared" ref="AO1195:AO1211" si="3590">+(((AL1195+AL1194)/2)*L1195+((AM1194+AM1195)/2)*R1195+((AN1194+AN1195)/2)*Y1195)</f>
        <v>7.7686884083958241E-2</v>
      </c>
      <c r="AP1195" s="173">
        <v>100</v>
      </c>
      <c r="AQ1195" s="175"/>
      <c r="AR1195" s="120"/>
      <c r="AS1195" s="120"/>
      <c r="AT1195" s="120"/>
      <c r="AU1195" s="120"/>
      <c r="AV1195" s="120"/>
      <c r="AW1195" s="120"/>
      <c r="AX1195" s="120"/>
      <c r="AY1195" s="120"/>
      <c r="AZ1195" s="118">
        <f>IFERROR(INDEX('Total Customers'!$F$7:$AB$91,MATCH($C1195,'Total Customers'!$D$7:$D$91,0),MATCH($G1195,'Total Customers'!$F$5:$AB$5,0)),"NA")</f>
        <v>1218695</v>
      </c>
      <c r="BA1195" s="119">
        <f t="shared" si="3565"/>
        <v>9.4325650474801331E-4</v>
      </c>
      <c r="BB1195" s="119"/>
      <c r="BC1195" s="121"/>
      <c r="BD1195" s="119"/>
      <c r="BE1195" s="119"/>
      <c r="BF1195" s="119"/>
      <c r="BG1195" s="173"/>
      <c r="BH1195" s="173"/>
      <c r="BI1195" s="173"/>
      <c r="BJ1195" s="173"/>
      <c r="BK1195" s="173"/>
      <c r="BL1195" s="173"/>
      <c r="BM1195" s="173"/>
      <c r="BN1195" s="173"/>
      <c r="BO1195" s="173"/>
      <c r="BP1195" s="173"/>
      <c r="BQ1195" s="118"/>
      <c r="BR1195" s="118"/>
      <c r="BS1195" s="118">
        <f>INDEX('Dist. Plant Gas Additions'!$F$7:$AE$91,MATCH($C1195,'Dist. Plant Gas Additions'!$D$7:$D$91,0),MATCH(Calculation!$G1195,'Dist. Plant Gas Additions'!$F$5:$AE$5,0))</f>
        <v>58561</v>
      </c>
      <c r="BT1195" s="118">
        <f>INDEX('Gen. Plant Additions'!$F$7:$AE$91,MATCH($C1195,'Gen. Plant Additions'!$D$7:$D$91,0),MATCH(Calculation!$G1195,'Gen. Plant Additions'!$F$5:$AE$5,0))</f>
        <v>8175</v>
      </c>
      <c r="BU1195" s="118"/>
      <c r="BV1195" s="118"/>
      <c r="BW1195" s="118">
        <f>INDEX('Dist Plant Depreciation'!$E$7:$AD$94,MATCH($C1195,'Dist Plant Depreciation'!$D$7:$D$94,0),MATCH(Calculation!$G1195,'Dist Plant Depreciation'!$E$5:$AD$5,0))</f>
        <v>450655</v>
      </c>
      <c r="BX1195" s="118">
        <f>INDEX('Gen. Plant Depreciation'!$E$7:$AD$94,MATCH($C1195,'Gen. Plant Depreciation'!$D$7:$D$94,0),MATCH(Calculation!$G1195,'Gen. Plant Depreciation'!$E$5:$AD$5,0))</f>
        <v>82645</v>
      </c>
      <c r="BY1195" s="118"/>
      <c r="BZ1195" s="118"/>
      <c r="CA1195" s="118"/>
      <c r="CB1195" s="118"/>
      <c r="CC1195" s="118"/>
      <c r="CD1195" s="183"/>
      <c r="CE1195" s="118">
        <f>INDEX('Gross Dx Plant'!$E$7:$AD$91,MATCH($C1195,'Gross Dx Plant'!$D$7:$D$91,0),MATCH(Calculation!$G1195,'Gross Dx Plant'!$E$5:$AD$5,0))</f>
        <v>1265006</v>
      </c>
      <c r="CF1195" s="118">
        <f>INDEX('Gross Gen Plant'!$E$7:$AD$91,MATCH($C1195,'Gross Gen Plant'!$D$7:$D$91,0),MATCH(Calculation!$G1195,'Gross Gen Plant'!$E$5:$AD$5,0))</f>
        <v>128480</v>
      </c>
      <c r="CG1195" s="118">
        <f t="shared" si="3556"/>
        <v>860186</v>
      </c>
      <c r="CH1195" s="118"/>
      <c r="CI1195" s="121">
        <v>2005</v>
      </c>
      <c r="CJ1195" s="118"/>
      <c r="CK1195" s="118"/>
      <c r="CL1195" s="118"/>
      <c r="CM1195" s="183"/>
      <c r="CN1195" s="118">
        <f t="shared" si="3566"/>
        <v>66736</v>
      </c>
      <c r="CO1195" s="118">
        <f t="shared" si="3567"/>
        <v>142.23203085607599</v>
      </c>
      <c r="CP1195" s="186">
        <v>0.96174863387978138</v>
      </c>
      <c r="CQ1195" s="118">
        <f>+CQ1188*CP1195+CO1189*CP1194+CO1190*CP1193+CO1191*CP1192+CO1192*CP1191+CO1193*CP1190+CO1194*CP1189+CO1195</f>
        <v>4027.3609193405409</v>
      </c>
      <c r="CR1195" s="119">
        <f t="shared" si="3568"/>
        <v>2.9916149001687337E-2</v>
      </c>
      <c r="CS1195" s="119"/>
      <c r="CT1195" s="177">
        <f t="shared" si="3569"/>
        <v>6.0207964441765169E-3</v>
      </c>
      <c r="CU1195" s="177">
        <f t="shared" si="3577"/>
        <v>5.8396372837880269E-3</v>
      </c>
      <c r="CV1195" s="119">
        <f>VLOOKUP($H1195,RoR!$E:$F,2,FALSE)</f>
        <v>5.2350000000000001E-2</v>
      </c>
      <c r="CW1195" s="177">
        <v>3.1010403642454332E-2</v>
      </c>
      <c r="CX1195" s="177">
        <f t="shared" si="3575"/>
        <v>2.1339596357545669E-2</v>
      </c>
      <c r="CY1195" s="177">
        <f t="shared" si="3578"/>
        <v>2.5062304324745599E-2</v>
      </c>
      <c r="CZ1195" s="177">
        <f t="shared" si="3579"/>
        <v>9.2129610649277341E-2</v>
      </c>
      <c r="DA1195" s="187">
        <f t="shared" si="3570"/>
        <v>0.86875000000000002</v>
      </c>
      <c r="DB1195" s="188">
        <f t="shared" si="3571"/>
        <v>0.97959983346802826</v>
      </c>
      <c r="DC1195" s="188">
        <f t="shared" si="3572"/>
        <v>0.49744508118433622</v>
      </c>
      <c r="DD1195" s="188">
        <f t="shared" si="3573"/>
        <v>0.87010519444335932</v>
      </c>
      <c r="DE1195" s="188">
        <f t="shared" si="3574"/>
        <v>0.42399975420741998</v>
      </c>
      <c r="DF1195" s="189">
        <f>INDEX('State Tax Lookup'!$D$7:$Z$91,MATCH(Calculation!$C1195,'State Tax Lookup'!$B$7:$B$91,0),MATCH($H1195,'State Tax Lookup'!$D$6:$Z$6,0))</f>
        <v>0.35</v>
      </c>
      <c r="DG1195" s="189">
        <v>0.375</v>
      </c>
      <c r="DH1195" s="190">
        <f t="shared" si="3576"/>
        <v>15.593704852360357</v>
      </c>
      <c r="DI1195" s="190"/>
      <c r="DJ1195" s="177"/>
      <c r="DK1195" s="189">
        <f>VLOOKUP($H1195,RoR!$E:$F,2,FALSE)</f>
        <v>5.2350000000000001E-2</v>
      </c>
      <c r="DL1195" s="191">
        <f>HLOOKUP($H1195,'GDP-PI'!$D$8:$CQ$11,3,FALSE)</f>
        <v>3.1010403642454332E-2</v>
      </c>
      <c r="DM1195" s="189">
        <f>VLOOKUP(H1195,'HW Dx Data'!$E:$F,2,FALSE)</f>
        <v>469.20514034936258</v>
      </c>
      <c r="DN1195" s="183">
        <f>VLOOKUP(H1195,'ECI - Input Price'!$G$17:$H$37,2,FALSE)</f>
        <v>99.15</v>
      </c>
      <c r="DO1195" s="177">
        <f t="shared" ref="DO1195" si="3591">LN(DN1195/DN1194)</f>
        <v>3.046440632744625E-2</v>
      </c>
      <c r="DP1195" s="183">
        <f>HLOOKUP(H1195,'GDP-PI'!$8:$9,2,FALSE)</f>
        <v>87.406999999999996</v>
      </c>
      <c r="DQ1195" s="177">
        <f t="shared" ref="DQ1195" si="3592">LN(DP1195/DP1194)</f>
        <v>3.0539295810733648E-2</v>
      </c>
    </row>
    <row r="1196" spans="1:121" s="167" customFormat="1" ht="21" x14ac:dyDescent="0.35">
      <c r="A1196" s="167" t="s">
        <v>112</v>
      </c>
      <c r="B1196" s="167" t="s">
        <v>112</v>
      </c>
      <c r="C1196" s="167">
        <v>4059746</v>
      </c>
      <c r="D1196" s="168" t="s">
        <v>138</v>
      </c>
      <c r="E1196" s="168"/>
      <c r="F1196" s="198"/>
      <c r="G1196" s="167" t="s">
        <v>12</v>
      </c>
      <c r="H1196" s="169">
        <v>2006</v>
      </c>
      <c r="I1196" s="170"/>
      <c r="J1196" s="166">
        <f>IFERROR(INDEX('Labor Expenditures'!$F$7:$X$91,MATCH($C1196,'Labor Expenditures'!$D$7:$D$91,0),MATCH($G1196,'Labor Expenditures'!$F$5:$X$5,0)),"NA")</f>
        <v>58497.879170367589</v>
      </c>
      <c r="K1196" s="166">
        <f t="shared" si="3582"/>
        <v>573.2276253833179</v>
      </c>
      <c r="L1196" s="172">
        <f t="shared" si="3589"/>
        <v>3.2219978390239226E-2</v>
      </c>
      <c r="M1196" s="172">
        <f t="shared" ref="M1196:M1211" si="3593">+L1196*AR1196</f>
        <v>8.2847580274737255E-4</v>
      </c>
      <c r="N1196" s="196"/>
      <c r="O1196" s="172"/>
      <c r="P1196" s="166">
        <f>IFERROR(INDEX('Non-Labor Expenditures'!$F$7:$AB$91,MATCH($C1196,'Non-Labor Expenditures'!$D$7:$D$91,0),MATCH($G1196,'Non-Labor Expenditures'!$F$5:$AB$5,0)),"NA")</f>
        <v>84715.854935408628</v>
      </c>
      <c r="Q1196" s="166">
        <f t="shared" si="3583"/>
        <v>940.51396557728788</v>
      </c>
      <c r="R1196" s="172">
        <f t="shared" ref="R1196:R1211" si="3594">LN(Q1196/Q1195)</f>
        <v>3.0992828954833716E-2</v>
      </c>
      <c r="S1196" s="172">
        <f>+R1196*AR1196</f>
        <v>7.9692197607266076E-4</v>
      </c>
      <c r="T1196" s="172"/>
      <c r="U1196" s="172"/>
      <c r="V1196" s="166">
        <f t="shared" si="3564"/>
        <v>61322.17363640706</v>
      </c>
      <c r="W1196" s="170"/>
      <c r="X1196" s="174">
        <v>4152.151576450864</v>
      </c>
      <c r="Y1196" s="175">
        <v>3.0515349329026348E-2</v>
      </c>
      <c r="Z1196" s="175">
        <f>+Y1196*AR1196</f>
        <v>7.8464449061022143E-4</v>
      </c>
      <c r="AA1196" s="175"/>
      <c r="AB1196" s="175"/>
      <c r="AC1196" s="170">
        <f t="shared" si="3457"/>
        <v>204535.90774218328</v>
      </c>
      <c r="AD1196" s="175">
        <f t="shared" ref="AD1196:AD1211" si="3595">LN(AC1196/AC1195)</f>
        <v>4.4248927663108131E-2</v>
      </c>
      <c r="AE1196" s="170"/>
      <c r="AF1196" s="170"/>
      <c r="AG1196" s="121">
        <f t="shared" ref="AG1196:AG1211" si="3596">+(AC1196*1000)/AZ1196</f>
        <v>168.20553142151343</v>
      </c>
      <c r="AH1196" s="119">
        <f>+AZ1196/$BB$44</f>
        <v>3.4589912486373331E-2</v>
      </c>
      <c r="AI1196" s="119"/>
      <c r="AJ1196" s="176">
        <f>+AH1196*AG1196</f>
        <v>5.8182146115940689</v>
      </c>
      <c r="AK1196" s="176">
        <f>+AI1196*AG1196</f>
        <v>0</v>
      </c>
      <c r="AL1196" s="120">
        <f t="shared" si="3584"/>
        <v>0.28600298019115517</v>
      </c>
      <c r="AM1196" s="120">
        <f t="shared" si="3585"/>
        <v>0.41418573330504216</v>
      </c>
      <c r="AN1196" s="120">
        <f t="shared" si="3586"/>
        <v>0.29981128650380268</v>
      </c>
      <c r="AO1196" s="120">
        <f t="shared" si="3590"/>
        <v>3.119493515405114E-2</v>
      </c>
      <c r="AP1196" s="173">
        <f>+AP1195*EXP(AO1196)</f>
        <v>103.16865962714752</v>
      </c>
      <c r="AQ1196" s="175">
        <f>LN(AP1196/AP1195)</f>
        <v>3.1194935154051241E-2</v>
      </c>
      <c r="AR1196" s="177">
        <f>+AC1196/$AE$44</f>
        <v>2.5713108578569139E-2</v>
      </c>
      <c r="AS1196" s="177">
        <f>+AR1196*AQ1196</f>
        <v>8.021187547175429E-4</v>
      </c>
      <c r="AT1196" s="177"/>
      <c r="AU1196" s="177"/>
      <c r="AV1196" s="177"/>
      <c r="AW1196" s="190"/>
      <c r="AX1196" s="120"/>
      <c r="AY1196" s="120"/>
      <c r="AZ1196" s="118">
        <f>IFERROR(INDEX('Total Customers'!$F$7:$AB$91,MATCH($C1196,'Total Customers'!$D$7:$D$91,0),MATCH($G1196,'Total Customers'!$F$5:$AB$5,0)),"NA")</f>
        <v>1215988</v>
      </c>
      <c r="BA1196" s="119">
        <f t="shared" si="3565"/>
        <v>-2.223699032254162E-3</v>
      </c>
      <c r="BB1196" s="119"/>
      <c r="BC1196" s="121"/>
      <c r="BD1196" s="119"/>
      <c r="BE1196" s="119"/>
      <c r="BF1196" s="119"/>
      <c r="BG1196" s="173"/>
      <c r="BH1196" s="173"/>
      <c r="BI1196" s="173"/>
      <c r="BJ1196" s="173"/>
      <c r="BK1196" s="173"/>
      <c r="BL1196" s="173"/>
      <c r="BM1196" s="173"/>
      <c r="BN1196" s="173"/>
      <c r="BO1196" s="173"/>
      <c r="BP1196" s="173"/>
      <c r="BQ1196" s="118"/>
      <c r="BR1196" s="118"/>
      <c r="BS1196" s="118">
        <f>INDEX('Dist. Plant Gas Additions'!$F$7:$AE$91,MATCH($C1196,'Dist. Plant Gas Additions'!$D$7:$D$91,0),MATCH(Calculation!$G1196,'Dist. Plant Gas Additions'!$F$5:$AE$5,0))</f>
        <v>61306</v>
      </c>
      <c r="BT1196" s="118">
        <f>INDEX('Gen. Plant Additions'!$F$7:$AE$91,MATCH($C1196,'Gen. Plant Additions'!$D$7:$D$91,0),MATCH(Calculation!$G1196,'Gen. Plant Additions'!$F$5:$AE$5,0))</f>
        <v>7768</v>
      </c>
      <c r="BU1196" s="118"/>
      <c r="BV1196" s="118"/>
      <c r="BW1196" s="118">
        <f>INDEX('Dist Plant Depreciation'!$E$7:$AD$94,MATCH($C1196,'Dist Plant Depreciation'!$D$7:$D$94,0),MATCH(Calculation!$G1196,'Dist Plant Depreciation'!$E$5:$AD$5,0))</f>
        <v>478599</v>
      </c>
      <c r="BX1196" s="118">
        <f>INDEX('Gen. Plant Depreciation'!$E$7:$AD$94,MATCH($C1196,'Gen. Plant Depreciation'!$D$7:$D$94,0),MATCH(Calculation!$G1196,'Gen. Plant Depreciation'!$E$5:$AD$5,0))</f>
        <v>76859</v>
      </c>
      <c r="BY1196" s="118"/>
      <c r="BZ1196" s="118"/>
      <c r="CA1196" s="118"/>
      <c r="CB1196" s="118"/>
      <c r="CC1196" s="118"/>
      <c r="CD1196" s="183"/>
      <c r="CE1196" s="118">
        <f>INDEX('Gross Dx Plant'!$E$7:$AD$91,MATCH($C1196,'Gross Dx Plant'!$D$7:$D$91,0),MATCH(Calculation!$G1196,'Gross Dx Plant'!$E$5:$AD$5,0))</f>
        <v>1325530</v>
      </c>
      <c r="CF1196" s="118">
        <f>INDEX('Gross Gen Plant'!$E$7:$AD$91,MATCH($C1196,'Gross Gen Plant'!$D$7:$D$91,0),MATCH(Calculation!$G1196,'Gross Gen Plant'!$E$5:$AD$5,0))</f>
        <v>134275</v>
      </c>
      <c r="CG1196" s="118">
        <f t="shared" si="3556"/>
        <v>904347</v>
      </c>
      <c r="CH1196" s="119" t="e">
        <f>SUM(#REF!)/15</f>
        <v>#REF!</v>
      </c>
      <c r="CI1196" s="121">
        <v>2006</v>
      </c>
      <c r="CJ1196" s="118"/>
      <c r="CK1196" s="118"/>
      <c r="CL1196" s="118"/>
      <c r="CM1196" s="183"/>
      <c r="CN1196" s="118">
        <f t="shared" si="3566"/>
        <v>69074</v>
      </c>
      <c r="CO1196" s="118">
        <f t="shared" si="3567"/>
        <v>149.80730064993838</v>
      </c>
      <c r="CP1196" s="186">
        <v>0.9555555555555556</v>
      </c>
      <c r="CQ1196" s="118">
        <f>+CQ1188*CP1196+CO1189*CP1195+CO1190*CP1194+CO1191*CP1193+CO1192*CP1192+CO1193*CP1191+CO1194*CP1190+CO1195*CP1189+CO1196</f>
        <v>4152.151576450864</v>
      </c>
      <c r="CR1196" s="119">
        <f t="shared" si="3568"/>
        <v>3.0515349329026348E-2</v>
      </c>
      <c r="CS1196" s="119"/>
      <c r="CT1196" s="177">
        <f t="shared" si="3569"/>
        <v>6.2116716233397941E-3</v>
      </c>
      <c r="CU1196" s="177">
        <f t="shared" si="3577"/>
        <v>6.0226264386125166E-3</v>
      </c>
      <c r="CV1196" s="119">
        <f>VLOOKUP($H1196,RoR!$E:$F,2,FALSE)</f>
        <v>5.5874999999999994E-2</v>
      </c>
      <c r="CW1196" s="177">
        <v>3.0512430354548314E-2</v>
      </c>
      <c r="CX1196" s="177">
        <f t="shared" si="3575"/>
        <v>2.536256964545168E-2</v>
      </c>
      <c r="CY1196" s="177">
        <f t="shared" si="3578"/>
        <v>2.4879315169921108E-2</v>
      </c>
      <c r="CZ1196" s="177">
        <f t="shared" si="3579"/>
        <v>7.9087823893859641E-2</v>
      </c>
      <c r="DA1196" s="187">
        <f t="shared" si="3570"/>
        <v>0.86875000000000002</v>
      </c>
      <c r="DB1196" s="188">
        <f t="shared" si="3571"/>
        <v>0.91779957551769631</v>
      </c>
      <c r="DC1196" s="188">
        <f t="shared" si="3572"/>
        <v>0.52757270693512304</v>
      </c>
      <c r="DD1196" s="188">
        <f t="shared" si="3573"/>
        <v>0.88636824549024895</v>
      </c>
      <c r="DE1196" s="188">
        <f t="shared" si="3574"/>
        <v>0.42918482841932087</v>
      </c>
      <c r="DF1196" s="189">
        <f>INDEX('State Tax Lookup'!$D$7:$Z$91,MATCH(Calculation!$C1196,'State Tax Lookup'!$B$7:$B$91,0),MATCH($H1196,'State Tax Lookup'!$D$6:$Z$6,0))</f>
        <v>0.35</v>
      </c>
      <c r="DG1196" s="189">
        <v>0.375</v>
      </c>
      <c r="DH1196" s="190">
        <f t="shared" si="3576"/>
        <v>15.226391392417902</v>
      </c>
      <c r="DI1196" s="190">
        <v>14.787030711905649</v>
      </c>
      <c r="DJ1196" s="177"/>
      <c r="DK1196" s="189">
        <f>VLOOKUP($H1196,RoR!$E:$F,2,FALSE)</f>
        <v>5.5874999999999994E-2</v>
      </c>
      <c r="DL1196" s="191">
        <f>HLOOKUP($H1196,'GDP-PI'!$D$8:$CQ$11,3,FALSE)</f>
        <v>3.0512430354548314E-2</v>
      </c>
      <c r="DM1196" s="189">
        <f>VLOOKUP(H1196,'HW Dx Data'!$E:$F,2,FALSE)</f>
        <v>461.08567272971823</v>
      </c>
      <c r="DN1196" s="183">
        <f>VLOOKUP(H1196,'ECI - Input Price'!$G$17:$H$37,2,FALSE)</f>
        <v>102.05</v>
      </c>
      <c r="DO1196" s="177">
        <f t="shared" ref="DO1196" si="3597">LN(DN1196/DN1195)</f>
        <v>2.8829034290048662E-2</v>
      </c>
      <c r="DP1196" s="183">
        <f>HLOOKUP(H1196,'GDP-PI'!$8:$9,2,FALSE)</f>
        <v>90.073999999999998</v>
      </c>
      <c r="DQ1196" s="177">
        <f t="shared" ref="DQ1196" si="3598">LN(DP1196/DP1195)</f>
        <v>3.005618372545445E-2</v>
      </c>
    </row>
    <row r="1197" spans="1:121" s="167" customFormat="1" ht="21" x14ac:dyDescent="0.35">
      <c r="A1197" s="167" t="s">
        <v>112</v>
      </c>
      <c r="B1197" s="167" t="s">
        <v>112</v>
      </c>
      <c r="C1197" s="167">
        <v>4059746</v>
      </c>
      <c r="D1197" s="168" t="s">
        <v>138</v>
      </c>
      <c r="E1197" s="168"/>
      <c r="F1197" s="198"/>
      <c r="G1197" s="167" t="s">
        <v>13</v>
      </c>
      <c r="H1197" s="169">
        <v>2007</v>
      </c>
      <c r="I1197" s="170"/>
      <c r="J1197" s="166">
        <f>IFERROR(INDEX('Labor Expenditures'!$F$7:$X$91,MATCH($C1197,'Labor Expenditures'!$D$7:$D$91,0),MATCH($G1197,'Labor Expenditures'!$F$5:$X$5,0)),"NA")</f>
        <v>60021.416821556013</v>
      </c>
      <c r="K1197" s="166">
        <f t="shared" si="3582"/>
        <v>570.41023351443107</v>
      </c>
      <c r="L1197" s="172">
        <f t="shared" si="3589"/>
        <v>-4.9270799258273532E-3</v>
      </c>
      <c r="M1197" s="172">
        <f t="shared" si="3593"/>
        <v>-1.2597522060601836E-4</v>
      </c>
      <c r="N1197" s="196"/>
      <c r="O1197" s="172"/>
      <c r="P1197" s="166">
        <f>IFERROR(INDEX('Non-Labor Expenditures'!$F$7:$AB$91,MATCH($C1197,'Non-Labor Expenditures'!$D$7:$D$91,0),MATCH($G1197,'Non-Labor Expenditures'!$F$5:$AB$5,0)),"NA")</f>
        <v>86922.222011910955</v>
      </c>
      <c r="Q1197" s="166">
        <f t="shared" si="3583"/>
        <v>939.72001569667395</v>
      </c>
      <c r="R1197" s="172">
        <f t="shared" si="3594"/>
        <v>-8.4452247508502915E-4</v>
      </c>
      <c r="S1197" s="172">
        <f t="shared" ref="S1197:S1211" si="3599">+R1197*AR1197</f>
        <v>-2.1592689119552372E-5</v>
      </c>
      <c r="T1197" s="172"/>
      <c r="U1197" s="172"/>
      <c r="V1197" s="166">
        <f t="shared" si="3564"/>
        <v>67877.04185047363</v>
      </c>
      <c r="W1197" s="170"/>
      <c r="X1197" s="174">
        <v>4264.4146378450969</v>
      </c>
      <c r="Y1197" s="175">
        <v>2.6678271607232244E-2</v>
      </c>
      <c r="Z1197" s="175">
        <f t="shared" ref="Z1197:Z1211" si="3600">+Y1197*AR1197</f>
        <v>6.8210810494291174E-4</v>
      </c>
      <c r="AA1197" s="175"/>
      <c r="AB1197" s="175"/>
      <c r="AC1197" s="170">
        <f t="shared" si="3457"/>
        <v>214820.68068394059</v>
      </c>
      <c r="AD1197" s="175">
        <f t="shared" si="3595"/>
        <v>4.9060088739072041E-2</v>
      </c>
      <c r="AE1197" s="170"/>
      <c r="AF1197" s="170"/>
      <c r="AG1197" s="121">
        <f t="shared" si="3596"/>
        <v>177.56402036660018</v>
      </c>
      <c r="AH1197" s="119">
        <f>+AZ1197/$BB$45</f>
        <v>3.4156453954027492E-2</v>
      </c>
      <c r="AI1197" s="119"/>
      <c r="AJ1197" s="176">
        <f t="shared" ref="AJ1197:AJ1211" si="3601">+AH1197*AG1197</f>
        <v>6.0649572855437786</v>
      </c>
      <c r="AK1197" s="176">
        <f t="shared" ref="AK1197:AK1211" si="3602">+AI1197*AG1197</f>
        <v>0</v>
      </c>
      <c r="AL1197" s="120">
        <f t="shared" si="3584"/>
        <v>0.27940241428553975</v>
      </c>
      <c r="AM1197" s="120">
        <f t="shared" si="3585"/>
        <v>0.40462688105805367</v>
      </c>
      <c r="AN1197" s="120">
        <f t="shared" si="3586"/>
        <v>0.31597070465640664</v>
      </c>
      <c r="AO1197" s="120">
        <f t="shared" si="3590"/>
        <v>6.475347993110483E-3</v>
      </c>
      <c r="AP1197" s="173">
        <f>+AP1196*EXP(AO1197)</f>
        <v>103.8388802141143</v>
      </c>
      <c r="AQ1197" s="175">
        <f>LN(AP1197/AP1196)</f>
        <v>6.4753479931105341E-3</v>
      </c>
      <c r="AR1197" s="177">
        <f>+AC1197/$AE$45</f>
        <v>2.5567927150048141E-2</v>
      </c>
      <c r="AS1197" s="177">
        <f t="shared" ref="AS1197:AS1211" si="3603">+AR1197*AQ1197</f>
        <v>1.6556122575906056E-4</v>
      </c>
      <c r="AT1197" s="177"/>
      <c r="AU1197" s="177"/>
      <c r="AV1197" s="177"/>
      <c r="AW1197" s="190"/>
      <c r="AX1197" s="120"/>
      <c r="AY1197" s="120"/>
      <c r="AZ1197" s="118">
        <f>IFERROR(INDEX('Total Customers'!$F$7:$AB$91,MATCH($C1197,'Total Customers'!$D$7:$D$91,0),MATCH($G1197,'Total Customers'!$F$5:$AB$5,0)),"NA")</f>
        <v>1209821</v>
      </c>
      <c r="BA1197" s="119">
        <f t="shared" si="3565"/>
        <v>-5.084500293173538E-3</v>
      </c>
      <c r="BB1197" s="119"/>
      <c r="BC1197" s="121"/>
      <c r="BD1197" s="119"/>
      <c r="BE1197" s="119"/>
      <c r="BF1197" s="119"/>
      <c r="BG1197" s="173"/>
      <c r="BH1197" s="173"/>
      <c r="BI1197" s="173"/>
      <c r="BJ1197" s="173"/>
      <c r="BK1197" s="173"/>
      <c r="BL1197" s="173"/>
      <c r="BM1197" s="173"/>
      <c r="BN1197" s="173"/>
      <c r="BO1197" s="173"/>
      <c r="BP1197" s="173"/>
      <c r="BQ1197" s="118"/>
      <c r="BR1197" s="118"/>
      <c r="BS1197" s="118">
        <f>INDEX('Dist. Plant Gas Additions'!$F$7:$AE$91,MATCH($C1197,'Dist. Plant Gas Additions'!$D$7:$D$91,0),MATCH(Calculation!$G1197,'Dist. Plant Gas Additions'!$F$5:$AE$5,0))</f>
        <v>66456</v>
      </c>
      <c r="BT1197" s="118">
        <f>INDEX('Gen. Plant Additions'!$F$7:$AE$91,MATCH($C1197,'Gen. Plant Additions'!$D$7:$D$91,0),MATCH(Calculation!$G1197,'Gen. Plant Additions'!$F$5:$AE$5,0))</f>
        <v>2700</v>
      </c>
      <c r="BU1197" s="118"/>
      <c r="BV1197" s="118"/>
      <c r="BW1197" s="118">
        <f>INDEX('Dist Plant Depreciation'!$E$7:$AD$94,MATCH($C1197,'Dist Plant Depreciation'!$D$7:$D$94,0),MATCH(Calculation!$G1197,'Dist Plant Depreciation'!$E$5:$AD$5,0))</f>
        <v>513518</v>
      </c>
      <c r="BX1197" s="118">
        <f>INDEX('Gen. Plant Depreciation'!$E$7:$AD$94,MATCH($C1197,'Gen. Plant Depreciation'!$D$7:$D$94,0),MATCH(Calculation!$G1197,'Gen. Plant Depreciation'!$E$5:$AD$5,0))</f>
        <v>83528</v>
      </c>
      <c r="BY1197" s="118"/>
      <c r="BZ1197" s="118"/>
      <c r="CA1197" s="118"/>
      <c r="CB1197" s="118"/>
      <c r="CC1197" s="118"/>
      <c r="CD1197" s="183"/>
      <c r="CE1197" s="118">
        <f>INDEX('Gross Dx Plant'!$E$7:$AD$91,MATCH($C1197,'Gross Dx Plant'!$D$7:$D$91,0),MATCH(Calculation!$G1197,'Gross Dx Plant'!$E$5:$AD$5,0))</f>
        <v>1400672</v>
      </c>
      <c r="CF1197" s="118">
        <f>INDEX('Gross Gen Plant'!$E$7:$AD$91,MATCH($C1197,'Gross Gen Plant'!$D$7:$D$91,0),MATCH(Calculation!$G1197,'Gross Gen Plant'!$E$5:$AD$5,0))</f>
        <v>133831</v>
      </c>
      <c r="CG1197" s="118">
        <f t="shared" si="3556"/>
        <v>937457</v>
      </c>
      <c r="CH1197" s="118"/>
      <c r="CI1197" s="121">
        <v>2007</v>
      </c>
      <c r="CJ1197" s="118"/>
      <c r="CK1197" s="118"/>
      <c r="CL1197" s="118"/>
      <c r="CM1197" s="183"/>
      <c r="CN1197" s="118">
        <f t="shared" si="3566"/>
        <v>69156</v>
      </c>
      <c r="CO1197" s="118">
        <f t="shared" si="3567"/>
        <v>138.86124747989768</v>
      </c>
      <c r="CP1197" s="186">
        <v>0.94915254237288138</v>
      </c>
      <c r="CQ1197" s="118">
        <f>+CQ1188*CP1197+CO1189*CP1196+CO1190*CP1195+CO1191*CP1194+CO1192*CP1193+CO1193*CP1192+CO1194*CP1191+CO1195*CP1190+CO1196*CP1189+CO1197</f>
        <v>4264.4146378450969</v>
      </c>
      <c r="CR1197" s="119">
        <f t="shared" si="3568"/>
        <v>2.6678271607232244E-2</v>
      </c>
      <c r="CS1197" s="119"/>
      <c r="CT1197" s="177">
        <f t="shared" si="3569"/>
        <v>6.4058803239548786E-3</v>
      </c>
      <c r="CU1197" s="177">
        <f t="shared" si="3577"/>
        <v>6.2127827971570626E-3</v>
      </c>
      <c r="CV1197" s="119">
        <f>VLOOKUP($H1197,RoR!$E:$F,2,FALSE)</f>
        <v>5.5558333333333321E-2</v>
      </c>
      <c r="CW1197" s="177">
        <v>2.691120634145272E-2</v>
      </c>
      <c r="CX1197" s="177">
        <f t="shared" si="3575"/>
        <v>2.86471269918806E-2</v>
      </c>
      <c r="CY1197" s="177">
        <f t="shared" si="3578"/>
        <v>2.4689158811376562E-2</v>
      </c>
      <c r="CZ1197" s="177">
        <f t="shared" si="3579"/>
        <v>6.4575155250632399E-2</v>
      </c>
      <c r="DA1197" s="187">
        <f t="shared" si="3570"/>
        <v>0.86875000000000002</v>
      </c>
      <c r="DB1197" s="188">
        <f t="shared" si="3571"/>
        <v>0.92303077153834634</v>
      </c>
      <c r="DC1197" s="188">
        <f t="shared" si="3572"/>
        <v>0.52502249887505614</v>
      </c>
      <c r="DD1197" s="188">
        <f t="shared" si="3573"/>
        <v>0.88499666072084604</v>
      </c>
      <c r="DE1197" s="188">
        <f t="shared" si="3574"/>
        <v>0.42887993290280618</v>
      </c>
      <c r="DF1197" s="189">
        <f>INDEX('State Tax Lookup'!$D$7:$Z$91,MATCH(Calculation!$C1197,'State Tax Lookup'!$B$7:$B$91,0),MATCH($H1197,'State Tax Lookup'!$D$6:$Z$6,0))</f>
        <v>0.35</v>
      </c>
      <c r="DG1197" s="189">
        <v>0.375</v>
      </c>
      <c r="DH1197" s="190">
        <f t="shared" si="3576"/>
        <v>16.347438334246196</v>
      </c>
      <c r="DI1197" s="190">
        <v>16.114461093202671</v>
      </c>
      <c r="DJ1197" s="177"/>
      <c r="DK1197" s="189">
        <f>VLOOKUP($H1197,RoR!$E:$F,2,FALSE)</f>
        <v>5.5558333333333321E-2</v>
      </c>
      <c r="DL1197" s="191">
        <f>HLOOKUP($H1197,'GDP-PI'!$D$8:$CQ$11,3,FALSE)</f>
        <v>2.691120634145272E-2</v>
      </c>
      <c r="DM1197" s="189">
        <f>VLOOKUP(H1197,'HW Dx Data'!$E:$F,2,FALSE)</f>
        <v>498.0223154772637</v>
      </c>
      <c r="DN1197" s="183">
        <f>VLOOKUP(H1197,'ECI - Input Price'!$G$17:$H$37,2,FALSE)</f>
        <v>105.22500000000001</v>
      </c>
      <c r="DO1197" s="177">
        <f t="shared" ref="DO1197" si="3604">LN(DN1197/DN1196)</f>
        <v>3.0638025400780679E-2</v>
      </c>
      <c r="DP1197" s="183">
        <f>HLOOKUP(H1197,'GDP-PI'!$8:$9,2,FALSE)</f>
        <v>92.498000000000005</v>
      </c>
      <c r="DQ1197" s="177">
        <f t="shared" ref="DQ1197" si="3605">LN(DP1197/DP1196)</f>
        <v>2.6555467950038037E-2</v>
      </c>
    </row>
    <row r="1198" spans="1:121" s="167" customFormat="1" ht="21" x14ac:dyDescent="0.35">
      <c r="A1198" s="167" t="s">
        <v>112</v>
      </c>
      <c r="B1198" s="167" t="s">
        <v>112</v>
      </c>
      <c r="C1198" s="167">
        <v>4059746</v>
      </c>
      <c r="D1198" s="168" t="s">
        <v>138</v>
      </c>
      <c r="E1198" s="168"/>
      <c r="F1198" s="198"/>
      <c r="G1198" s="167" t="s">
        <v>14</v>
      </c>
      <c r="H1198" s="169">
        <v>2008</v>
      </c>
      <c r="I1198" s="170"/>
      <c r="J1198" s="166">
        <f>IFERROR(INDEX('Labor Expenditures'!$F$7:$X$91,MATCH($C1198,'Labor Expenditures'!$D$7:$D$91,0),MATCH($G1198,'Labor Expenditures'!$F$5:$X$5,0)),"NA")</f>
        <v>65992.14568423164</v>
      </c>
      <c r="K1198" s="166">
        <f t="shared" si="3582"/>
        <v>609.76803589033625</v>
      </c>
      <c r="L1198" s="172">
        <f t="shared" si="3589"/>
        <v>6.6722805931415261E-2</v>
      </c>
      <c r="M1198" s="172">
        <f t="shared" si="3593"/>
        <v>1.788188264652355E-3</v>
      </c>
      <c r="N1198" s="196"/>
      <c r="O1198" s="172"/>
      <c r="P1198" s="166">
        <f>IFERROR(INDEX('Non-Labor Expenditures'!$F$7:$AB$91,MATCH($C1198,'Non-Labor Expenditures'!$D$7:$D$91,0),MATCH($G1198,'Non-Labor Expenditures'!$F$5:$AB$5,0)),"NA")</f>
        <v>95568.952583389691</v>
      </c>
      <c r="Q1198" s="166">
        <f t="shared" si="3583"/>
        <v>1013.8435944092092</v>
      </c>
      <c r="R1198" s="172">
        <f t="shared" si="3594"/>
        <v>7.5921950854793169E-2</v>
      </c>
      <c r="S1198" s="172">
        <f t="shared" si="3599"/>
        <v>2.034727701463953E-3</v>
      </c>
      <c r="T1198" s="172"/>
      <c r="U1198" s="172"/>
      <c r="V1198" s="166">
        <f t="shared" si="3564"/>
        <v>79160.018453747514</v>
      </c>
      <c r="W1198" s="170"/>
      <c r="X1198" s="174">
        <v>4435.0567688288047</v>
      </c>
      <c r="Y1198" s="175">
        <v>3.9235492209710982E-2</v>
      </c>
      <c r="Z1198" s="175">
        <f t="shared" si="3600"/>
        <v>1.0515212264811283E-3</v>
      </c>
      <c r="AA1198" s="175"/>
      <c r="AB1198" s="175"/>
      <c r="AC1198" s="170">
        <f t="shared" si="3457"/>
        <v>240721.11672136886</v>
      </c>
      <c r="AD1198" s="175">
        <f t="shared" si="3595"/>
        <v>0.11383543460996788</v>
      </c>
      <c r="AE1198" s="170"/>
      <c r="AF1198" s="170"/>
      <c r="AG1198" s="121">
        <f t="shared" si="3596"/>
        <v>200.38635021778251</v>
      </c>
      <c r="AH1198" s="119">
        <f>+AZ1198/$BB$46</f>
        <v>3.3734626868548202E-2</v>
      </c>
      <c r="AI1198" s="119"/>
      <c r="AJ1198" s="176">
        <f t="shared" si="3601"/>
        <v>6.7599587541471156</v>
      </c>
      <c r="AK1198" s="176">
        <f t="shared" si="3602"/>
        <v>0</v>
      </c>
      <c r="AL1198" s="120">
        <f t="shared" si="3584"/>
        <v>0.27414356739054418</v>
      </c>
      <c r="AM1198" s="120">
        <f t="shared" si="3585"/>
        <v>0.39701108853698674</v>
      </c>
      <c r="AN1198" s="120">
        <f t="shared" si="3586"/>
        <v>0.32884534407246901</v>
      </c>
      <c r="AO1198" s="120">
        <f t="shared" si="3590"/>
        <v>6.1547867348508672E-2</v>
      </c>
      <c r="AP1198" s="173">
        <f t="shared" ref="AP1198:AP1211" si="3606">+AP1197*EXP(AO1198)</f>
        <v>110.43071784423523</v>
      </c>
      <c r="AQ1198" s="175">
        <f t="shared" ref="AQ1198:AQ1211" si="3607">LN(AP1198/AP1197)</f>
        <v>6.1547867348508686E-2</v>
      </c>
      <c r="AR1198" s="177">
        <f>+AC1198/$AE$46</f>
        <v>2.6800255769975315E-2</v>
      </c>
      <c r="AS1198" s="177">
        <f t="shared" si="3603"/>
        <v>1.6494985870365451E-3</v>
      </c>
      <c r="AT1198" s="177"/>
      <c r="AU1198" s="177"/>
      <c r="AV1198" s="177"/>
      <c r="AW1198" s="190"/>
      <c r="AX1198" s="120"/>
      <c r="AY1198" s="120"/>
      <c r="AZ1198" s="118">
        <f>IFERROR(INDEX('Total Customers'!$F$7:$AB$91,MATCH($C1198,'Total Customers'!$D$7:$D$91,0),MATCH($G1198,'Total Customers'!$F$5:$AB$5,0)),"NA")</f>
        <v>1201285</v>
      </c>
      <c r="BA1198" s="119">
        <f t="shared" si="3565"/>
        <v>-7.0805975868077249E-3</v>
      </c>
      <c r="BB1198" s="119"/>
      <c r="BC1198" s="121"/>
      <c r="BD1198" s="119"/>
      <c r="BE1198" s="119"/>
      <c r="BF1198" s="119"/>
      <c r="BG1198" s="173"/>
      <c r="BH1198" s="173"/>
      <c r="BI1198" s="173"/>
      <c r="BJ1198" s="173"/>
      <c r="BK1198" s="173"/>
      <c r="BL1198" s="173"/>
      <c r="BM1198" s="173"/>
      <c r="BN1198" s="173"/>
      <c r="BO1198" s="173"/>
      <c r="BP1198" s="173"/>
      <c r="BQ1198" s="118"/>
      <c r="BR1198" s="118"/>
      <c r="BS1198" s="118">
        <f>INDEX('Dist. Plant Gas Additions'!$F$7:$AE$91,MATCH($C1198,'Dist. Plant Gas Additions'!$D$7:$D$91,0),MATCH(Calculation!$G1198,'Dist. Plant Gas Additions'!$F$5:$AE$5,0))</f>
        <v>107979</v>
      </c>
      <c r="BT1198" s="118">
        <f>INDEX('Gen. Plant Additions'!$F$7:$AE$91,MATCH($C1198,'Gen. Plant Additions'!$D$7:$D$91,0),MATCH(Calculation!$G1198,'Gen. Plant Additions'!$F$5:$AE$5,0))</f>
        <v>5332</v>
      </c>
      <c r="BU1198" s="118"/>
      <c r="BV1198" s="118"/>
      <c r="BW1198" s="118">
        <f>INDEX('Dist Plant Depreciation'!$E$7:$AD$94,MATCH($C1198,'Dist Plant Depreciation'!$D$7:$D$94,0),MATCH(Calculation!$G1198,'Dist Plant Depreciation'!$E$5:$AD$5,0))</f>
        <v>567057</v>
      </c>
      <c r="BX1198" s="118">
        <f>INDEX('Gen. Plant Depreciation'!$E$7:$AD$94,MATCH($C1198,'Gen. Plant Depreciation'!$D$7:$D$94,0),MATCH(Calculation!$G1198,'Gen. Plant Depreciation'!$E$5:$AD$5,0))</f>
        <v>89350</v>
      </c>
      <c r="BY1198" s="118"/>
      <c r="BZ1198" s="118"/>
      <c r="CA1198" s="118"/>
      <c r="CB1198" s="118"/>
      <c r="CC1198" s="118"/>
      <c r="CD1198" s="183"/>
      <c r="CE1198" s="118">
        <f>INDEX('Gross Dx Plant'!$E$7:$AD$91,MATCH($C1198,'Gross Dx Plant'!$D$7:$D$91,0),MATCH(Calculation!$G1198,'Gross Dx Plant'!$E$5:$AD$5,0))</f>
        <v>1499781</v>
      </c>
      <c r="CF1198" s="118">
        <f>INDEX('Gross Gen Plant'!$E$7:$AD$91,MATCH($C1198,'Gross Gen Plant'!$D$7:$D$91,0),MATCH(Calculation!$G1198,'Gross Gen Plant'!$E$5:$AD$5,0))</f>
        <v>135647</v>
      </c>
      <c r="CG1198" s="118">
        <f t="shared" si="3556"/>
        <v>979021</v>
      </c>
      <c r="CH1198" s="118"/>
      <c r="CI1198" s="121">
        <v>2008</v>
      </c>
      <c r="CJ1198" s="118"/>
      <c r="CK1198" s="118"/>
      <c r="CL1198" s="118"/>
      <c r="CM1198" s="183"/>
      <c r="CN1198" s="118">
        <f t="shared" si="3566"/>
        <v>113311</v>
      </c>
      <c r="CO1198" s="118">
        <f t="shared" si="3567"/>
        <v>198.83266782070206</v>
      </c>
      <c r="CP1198" s="186">
        <v>0.94252873563218387</v>
      </c>
      <c r="CQ1198" s="118">
        <f>+CQ1188*CP1198+CO1189*CP1197+CO1190*CP1196+CO1191*CP1195+CO1192*CP1194+CO1193*CP1193+CO1194*CP1192+CO1195*CP1191+CO1196*CP1190+CO1197*CP1189+CO1198</f>
        <v>4435.0567688288047</v>
      </c>
      <c r="CR1198" s="119">
        <f t="shared" si="3568"/>
        <v>3.9235492209710982E-2</v>
      </c>
      <c r="CS1198" s="119"/>
      <c r="CT1198" s="177">
        <f t="shared" si="3569"/>
        <v>6.610646297574743E-3</v>
      </c>
      <c r="CU1198" s="177">
        <f t="shared" si="3577"/>
        <v>6.4093994149564716E-3</v>
      </c>
      <c r="CV1198" s="119">
        <f>VLOOKUP($H1198,RoR!$E:$F,2,FALSE)</f>
        <v>5.6316666666666668E-2</v>
      </c>
      <c r="CW1198" s="177">
        <v>1.9092304698479889E-2</v>
      </c>
      <c r="CX1198" s="177">
        <f t="shared" si="3575"/>
        <v>3.7224361968186778E-2</v>
      </c>
      <c r="CY1198" s="177">
        <f t="shared" si="3578"/>
        <v>2.4492542193577153E-2</v>
      </c>
      <c r="CZ1198" s="177">
        <f t="shared" si="3579"/>
        <v>6.9030581091053131E-2</v>
      </c>
      <c r="DA1198" s="187">
        <f t="shared" si="3570"/>
        <v>0.86875000000000002</v>
      </c>
      <c r="DB1198" s="188">
        <f t="shared" si="3571"/>
        <v>0.91060168006009956</v>
      </c>
      <c r="DC1198" s="188">
        <f t="shared" si="3572"/>
        <v>0.53108168097070152</v>
      </c>
      <c r="DD1198" s="188">
        <f t="shared" si="3573"/>
        <v>0.88825329850328805</v>
      </c>
      <c r="DE1198" s="188">
        <f t="shared" si="3574"/>
        <v>0.4295627335323573</v>
      </c>
      <c r="DF1198" s="189">
        <f>INDEX('State Tax Lookup'!$D$7:$Z$91,MATCH(Calculation!$C1198,'State Tax Lookup'!$B$7:$B$91,0),MATCH($H1198,'State Tax Lookup'!$D$6:$Z$6,0))</f>
        <v>0.35</v>
      </c>
      <c r="DG1198" s="189">
        <v>0.375</v>
      </c>
      <c r="DH1198" s="190">
        <f t="shared" si="3576"/>
        <v>18.56292719550105</v>
      </c>
      <c r="DI1198" s="190">
        <v>18.304641688072067</v>
      </c>
      <c r="DJ1198" s="177"/>
      <c r="DK1198" s="189">
        <f>VLOOKUP($H1198,RoR!$E:$F,2,FALSE)</f>
        <v>5.6316666666666668E-2</v>
      </c>
      <c r="DL1198" s="191">
        <f>HLOOKUP($H1198,'GDP-PI'!$D$8:$CQ$11,3,FALSE)</f>
        <v>1.9092304698479889E-2</v>
      </c>
      <c r="DM1198" s="189">
        <f>VLOOKUP(H1198,'HW Dx Data'!$E:$F,2,FALSE)</f>
        <v>569.88120333515076</v>
      </c>
      <c r="DN1198" s="183">
        <f>VLOOKUP(H1198,'ECI - Input Price'!$G$17:$H$37,2,FALSE)</f>
        <v>108.22499999999999</v>
      </c>
      <c r="DO1198" s="177">
        <f t="shared" ref="DO1198" si="3608">LN(DN1198/DN1197)</f>
        <v>2.8111478671409691E-2</v>
      </c>
      <c r="DP1198" s="183">
        <f>HLOOKUP(H1198,'GDP-PI'!$8:$9,2,FALSE)</f>
        <v>94.263999999999996</v>
      </c>
      <c r="DQ1198" s="177">
        <f t="shared" ref="DQ1198" si="3609">LN(DP1198/DP1197)</f>
        <v>1.8912333748032254E-2</v>
      </c>
    </row>
    <row r="1199" spans="1:121" s="167" customFormat="1" ht="21" x14ac:dyDescent="0.35">
      <c r="A1199" s="167" t="s">
        <v>112</v>
      </c>
      <c r="B1199" s="167" t="s">
        <v>112</v>
      </c>
      <c r="C1199" s="167">
        <v>4059746</v>
      </c>
      <c r="D1199" s="168" t="s">
        <v>138</v>
      </c>
      <c r="E1199" s="168"/>
      <c r="F1199" s="198"/>
      <c r="G1199" s="167" t="s">
        <v>15</v>
      </c>
      <c r="H1199" s="169">
        <v>2009</v>
      </c>
      <c r="I1199" s="170"/>
      <c r="J1199" s="166">
        <f>IFERROR(INDEX('Labor Expenditures'!$F$7:$X$91,MATCH($C1199,'Labor Expenditures'!$D$7:$D$91,0),MATCH($G1199,'Labor Expenditures'!$F$5:$X$5,0)),"NA")</f>
        <v>62209.956168217257</v>
      </c>
      <c r="K1199" s="166">
        <f t="shared" si="3582"/>
        <v>566.70422380521302</v>
      </c>
      <c r="L1199" s="172">
        <f t="shared" si="3589"/>
        <v>-7.324109933124659E-2</v>
      </c>
      <c r="M1199" s="172">
        <f t="shared" si="3593"/>
        <v>-1.8079707300566045E-3</v>
      </c>
      <c r="N1199" s="196"/>
      <c r="O1199" s="172"/>
      <c r="P1199" s="166">
        <f>IFERROR(INDEX('Non-Labor Expenditures'!$F$7:$AB$91,MATCH($C1199,'Non-Labor Expenditures'!$D$7:$D$91,0),MATCH($G1199,'Non-Labor Expenditures'!$F$5:$AB$5,0)),"NA")</f>
        <v>90091.635748641856</v>
      </c>
      <c r="Q1199" s="166">
        <f t="shared" si="3583"/>
        <v>948.34299043823478</v>
      </c>
      <c r="R1199" s="172">
        <f t="shared" si="3594"/>
        <v>-6.6787685029819757E-2</v>
      </c>
      <c r="S1199" s="172">
        <f t="shared" si="3599"/>
        <v>-1.6486669474476137E-3</v>
      </c>
      <c r="T1199" s="172"/>
      <c r="U1199" s="172"/>
      <c r="V1199" s="166">
        <f t="shared" si="3564"/>
        <v>78971.161647035929</v>
      </c>
      <c r="W1199" s="170"/>
      <c r="X1199" s="174">
        <v>4622.900533089266</v>
      </c>
      <c r="Y1199" s="175">
        <v>4.148191324497566E-2</v>
      </c>
      <c r="Z1199" s="175">
        <f t="shared" si="3600"/>
        <v>1.0239890670465019E-3</v>
      </c>
      <c r="AA1199" s="175"/>
      <c r="AB1199" s="175"/>
      <c r="AC1199" s="170">
        <f t="shared" si="3457"/>
        <v>231272.75356389506</v>
      </c>
      <c r="AD1199" s="175">
        <f t="shared" si="3595"/>
        <v>-4.004130605746789E-2</v>
      </c>
      <c r="AE1199" s="170"/>
      <c r="AF1199" s="170"/>
      <c r="AG1199" s="121">
        <f t="shared" si="3596"/>
        <v>193.73503973493376</v>
      </c>
      <c r="AH1199" s="119">
        <f>+AZ1199/$BB$47</f>
        <v>3.3474883227070019E-2</v>
      </c>
      <c r="AI1199" s="119"/>
      <c r="AJ1199" s="176">
        <f t="shared" si="3601"/>
        <v>6.4852578321186778</v>
      </c>
      <c r="AK1199" s="176">
        <f t="shared" si="3602"/>
        <v>0</v>
      </c>
      <c r="AL1199" s="120">
        <f t="shared" si="3584"/>
        <v>0.26898955977116495</v>
      </c>
      <c r="AM1199" s="120">
        <f t="shared" si="3585"/>
        <v>0.38954712286828774</v>
      </c>
      <c r="AN1199" s="120">
        <f t="shared" si="3586"/>
        <v>0.34146331736054725</v>
      </c>
      <c r="AO1199" s="120">
        <f t="shared" si="3590"/>
        <v>-3.2253191828287515E-2</v>
      </c>
      <c r="AP1199" s="173">
        <f t="shared" si="3606"/>
        <v>106.92580092925671</v>
      </c>
      <c r="AQ1199" s="175">
        <f t="shared" si="3607"/>
        <v>-3.2253191828287571E-2</v>
      </c>
      <c r="AR1199" s="177">
        <f>+AC1199/$AE$47</f>
        <v>2.4685193785523592E-2</v>
      </c>
      <c r="AS1199" s="177">
        <f t="shared" si="3603"/>
        <v>-7.9617629048294467E-4</v>
      </c>
      <c r="AT1199" s="177"/>
      <c r="AU1199" s="177"/>
      <c r="AV1199" s="177"/>
      <c r="AW1199" s="190"/>
      <c r="AX1199" s="120"/>
      <c r="AY1199" s="120"/>
      <c r="AZ1199" s="118">
        <f>IFERROR(INDEX('Total Customers'!$F$7:$AB$91,MATCH($C1199,'Total Customers'!$D$7:$D$91,0),MATCH($G1199,'Total Customers'!$F$5:$AB$5,0)),"NA")</f>
        <v>1193758</v>
      </c>
      <c r="BA1199" s="119">
        <f t="shared" si="3565"/>
        <v>-6.2855028332199463E-3</v>
      </c>
      <c r="BB1199" s="119"/>
      <c r="BC1199" s="121"/>
      <c r="BD1199" s="119"/>
      <c r="BE1199" s="119"/>
      <c r="BF1199" s="119"/>
      <c r="BG1199" s="173"/>
      <c r="BH1199" s="173"/>
      <c r="BI1199" s="173"/>
      <c r="BJ1199" s="173"/>
      <c r="BK1199" s="173"/>
      <c r="BL1199" s="173"/>
      <c r="BM1199" s="173"/>
      <c r="BN1199" s="173"/>
      <c r="BO1199" s="173"/>
      <c r="BP1199" s="173"/>
      <c r="BQ1199" s="118"/>
      <c r="BR1199" s="118"/>
      <c r="BS1199" s="118">
        <f>INDEX('Dist. Plant Gas Additions'!$F$7:$AE$91,MATCH($C1199,'Dist. Plant Gas Additions'!$D$7:$D$91,0),MATCH(Calculation!$G1199,'Dist. Plant Gas Additions'!$F$5:$AE$5,0))</f>
        <v>115442</v>
      </c>
      <c r="BT1199" s="118">
        <f>INDEX('Gen. Plant Additions'!$F$7:$AE$91,MATCH($C1199,'Gen. Plant Additions'!$D$7:$D$91,0),MATCH(Calculation!$G1199,'Gen. Plant Additions'!$F$5:$AE$5,0))</f>
        <v>4659</v>
      </c>
      <c r="BU1199" s="118"/>
      <c r="BV1199" s="118"/>
      <c r="BW1199" s="118">
        <f>INDEX('Dist Plant Depreciation'!$E$7:$AD$94,MATCH($C1199,'Dist Plant Depreciation'!$D$7:$D$94,0),MATCH(Calculation!$G1199,'Dist Plant Depreciation'!$E$5:$AD$5,0))</f>
        <v>603245</v>
      </c>
      <c r="BX1199" s="118">
        <f>INDEX('Gen. Plant Depreciation'!$E$7:$AD$94,MATCH($C1199,'Gen. Plant Depreciation'!$D$7:$D$94,0),MATCH(Calculation!$G1199,'Gen. Plant Depreciation'!$E$5:$AD$5,0))</f>
        <v>80139</v>
      </c>
      <c r="BY1199" s="118"/>
      <c r="BZ1199" s="118"/>
      <c r="CA1199" s="118"/>
      <c r="CB1199" s="118"/>
      <c r="CC1199" s="118"/>
      <c r="CD1199" s="183"/>
      <c r="CE1199" s="118">
        <f>INDEX('Gross Dx Plant'!$E$7:$AD$91,MATCH($C1199,'Gross Dx Plant'!$D$7:$D$91,0),MATCH(Calculation!$G1199,'Gross Dx Plant'!$E$5:$AD$5,0))</f>
        <v>1609369</v>
      </c>
      <c r="CF1199" s="118">
        <f>INDEX('Gross Gen Plant'!$E$7:$AD$91,MATCH($C1199,'Gross Gen Plant'!$D$7:$D$91,0),MATCH(Calculation!$G1199,'Gross Gen Plant'!$E$5:$AD$5,0))</f>
        <v>137880</v>
      </c>
      <c r="CG1199" s="118">
        <f t="shared" si="3556"/>
        <v>1063865</v>
      </c>
      <c r="CH1199" s="118"/>
      <c r="CI1199" s="121">
        <v>2009</v>
      </c>
      <c r="CJ1199" s="118"/>
      <c r="CK1199" s="118"/>
      <c r="CL1199" s="118"/>
      <c r="CM1199" s="183"/>
      <c r="CN1199" s="118">
        <f t="shared" si="3566"/>
        <v>120101</v>
      </c>
      <c r="CO1199" s="118">
        <f t="shared" si="3567"/>
        <v>217.99263292365958</v>
      </c>
      <c r="CP1199" s="186">
        <v>0.93567251461988299</v>
      </c>
      <c r="CQ1199" s="118">
        <f>+CQ1188*CP1199+CO1189*CP1198+CO1190*CP1197+CO1191*CP1196+CO1192*CP1195+CO1193*CP1194+CO1194*CP1193+CO1195*CP1192+CO1196*CP1191+CO1197*CP1190+CO1198*CP1189+CO1199</f>
        <v>4622.900533089266</v>
      </c>
      <c r="CR1199" s="119">
        <f t="shared" si="3568"/>
        <v>4.148191324497566E-2</v>
      </c>
      <c r="CS1199" s="119"/>
      <c r="CT1199" s="177">
        <f t="shared" si="3569"/>
        <v>6.7978540601995301E-3</v>
      </c>
      <c r="CU1199" s="177">
        <f t="shared" si="3577"/>
        <v>6.6047935605763842E-3</v>
      </c>
      <c r="CV1199" s="119">
        <f>VLOOKUP($H1199,RoR!$E:$F,2,FALSE)</f>
        <v>5.3133333333333324E-2</v>
      </c>
      <c r="CW1199" s="177">
        <v>7.7972502758210105E-3</v>
      </c>
      <c r="CX1199" s="177">
        <f t="shared" si="3575"/>
        <v>4.5336083057512314E-2</v>
      </c>
      <c r="CY1199" s="177">
        <f t="shared" si="3578"/>
        <v>2.429714804795724E-2</v>
      </c>
      <c r="CZ1199" s="177">
        <f t="shared" si="3579"/>
        <v>6.3720160300892073E-2</v>
      </c>
      <c r="DA1199" s="187">
        <f t="shared" si="3570"/>
        <v>0.86875000000000002</v>
      </c>
      <c r="DB1199" s="188">
        <f t="shared" si="3571"/>
        <v>0.96515780330083989</v>
      </c>
      <c r="DC1199" s="188">
        <f t="shared" si="3572"/>
        <v>0.50448557089084056</v>
      </c>
      <c r="DD1199" s="188">
        <f t="shared" si="3573"/>
        <v>0.87391435735465484</v>
      </c>
      <c r="DE1199" s="188">
        <f t="shared" si="3574"/>
        <v>0.42551605393279146</v>
      </c>
      <c r="DF1199" s="189">
        <f>INDEX('State Tax Lookup'!$D$7:$Z$91,MATCH(Calculation!$C1199,'State Tax Lookup'!$B$7:$B$91,0),MATCH($H1199,'State Tax Lookup'!$D$6:$Z$6,0))</f>
        <v>0.35</v>
      </c>
      <c r="DG1199" s="189">
        <v>0.375</v>
      </c>
      <c r="DH1199" s="190">
        <f t="shared" si="3576"/>
        <v>17.806121942355741</v>
      </c>
      <c r="DI1199" s="190">
        <v>17.503234468234357</v>
      </c>
      <c r="DJ1199" s="177"/>
      <c r="DK1199" s="189">
        <f>VLOOKUP($H1199,RoR!$E:$F,2,FALSE)</f>
        <v>5.3133333333333324E-2</v>
      </c>
      <c r="DL1199" s="191">
        <f>HLOOKUP($H1199,'GDP-PI'!$D$8:$CQ$11,3,FALSE)</f>
        <v>7.7972502758210105E-3</v>
      </c>
      <c r="DM1199" s="189">
        <f>VLOOKUP(H1199,'HW Dx Data'!$E:$F,2,FALSE)</f>
        <v>550.94063679692806</v>
      </c>
      <c r="DN1199" s="183">
        <f>VLOOKUP(H1199,'ECI - Input Price'!$G$17:$H$37,2,FALSE)</f>
        <v>109.77499999999999</v>
      </c>
      <c r="DO1199" s="177">
        <f t="shared" ref="DO1199" si="3610">LN(DN1199/DN1198)</f>
        <v>1.4220423119736749E-2</v>
      </c>
      <c r="DP1199" s="183">
        <f>HLOOKUP(H1199,'GDP-PI'!$8:$9,2,FALSE)</f>
        <v>94.998999999999995</v>
      </c>
      <c r="DQ1199" s="177">
        <f t="shared" ref="DQ1199" si="3611">LN(DP1199/DP1198)</f>
        <v>7.7670088183096342E-3</v>
      </c>
    </row>
    <row r="1200" spans="1:121" s="167" customFormat="1" ht="21" x14ac:dyDescent="0.35">
      <c r="A1200" s="167" t="s">
        <v>112</v>
      </c>
      <c r="B1200" s="167" t="s">
        <v>112</v>
      </c>
      <c r="C1200" s="167">
        <v>4059746</v>
      </c>
      <c r="D1200" s="168" t="s">
        <v>138</v>
      </c>
      <c r="E1200" s="168"/>
      <c r="F1200" s="198"/>
      <c r="G1200" s="167" t="s">
        <v>16</v>
      </c>
      <c r="H1200" s="169">
        <v>2010</v>
      </c>
      <c r="I1200" s="170"/>
      <c r="J1200" s="166">
        <f>IFERROR(INDEX('Labor Expenditures'!$F$7:$X$91,MATCH($C1200,'Labor Expenditures'!$D$7:$D$91,0),MATCH($G1200,'Labor Expenditures'!$F$5:$X$5,0)),"NA")</f>
        <v>63587.528138708694</v>
      </c>
      <c r="K1200" s="166">
        <f t="shared" si="3582"/>
        <v>568.38013978734034</v>
      </c>
      <c r="L1200" s="172">
        <f t="shared" si="3589"/>
        <v>2.9529385721316572E-3</v>
      </c>
      <c r="M1200" s="172">
        <f t="shared" si="3593"/>
        <v>7.3015062990408182E-5</v>
      </c>
      <c r="N1200" s="196"/>
      <c r="O1200" s="172"/>
      <c r="P1200" s="166">
        <f>IFERROR(INDEX('Non-Labor Expenditures'!$F$7:$AB$91,MATCH($C1200,'Non-Labor Expenditures'!$D$7:$D$91,0),MATCH($G1200,'Non-Labor Expenditures'!$F$5:$AB$5,0)),"NA")</f>
        <v>92086.617256866419</v>
      </c>
      <c r="Q1200" s="166">
        <f t="shared" si="3583"/>
        <v>958.14769955848487</v>
      </c>
      <c r="R1200" s="172">
        <f t="shared" si="3594"/>
        <v>1.0285699912219495E-2</v>
      </c>
      <c r="S1200" s="172">
        <f t="shared" si="3599"/>
        <v>2.5432666770613011E-4</v>
      </c>
      <c r="T1200" s="172"/>
      <c r="U1200" s="172"/>
      <c r="V1200" s="166">
        <f t="shared" si="3564"/>
        <v>84446.27820970981</v>
      </c>
      <c r="W1200" s="170"/>
      <c r="X1200" s="174">
        <v>4869.7558199102214</v>
      </c>
      <c r="Y1200" s="175">
        <v>5.2021467077164048E-2</v>
      </c>
      <c r="Z1200" s="175">
        <f t="shared" si="3600"/>
        <v>1.2862951946713331E-3</v>
      </c>
      <c r="AA1200" s="175"/>
      <c r="AB1200" s="175"/>
      <c r="AC1200" s="170">
        <f t="shared" si="3457"/>
        <v>240120.42360528494</v>
      </c>
      <c r="AD1200" s="175">
        <f t="shared" si="3595"/>
        <v>3.7542797180037196E-2</v>
      </c>
      <c r="AE1200" s="170"/>
      <c r="AF1200" s="170"/>
      <c r="AG1200" s="121">
        <f t="shared" si="3596"/>
        <v>202.36754405631504</v>
      </c>
      <c r="AH1200" s="119">
        <f>+AZ1200/$BB$48</f>
        <v>3.3089756212674001E-2</v>
      </c>
      <c r="AI1200" s="119"/>
      <c r="AJ1200" s="176">
        <f t="shared" si="3601"/>
        <v>6.69629269818103</v>
      </c>
      <c r="AK1200" s="176">
        <f t="shared" si="3602"/>
        <v>0</v>
      </c>
      <c r="AL1200" s="120">
        <f t="shared" si="3584"/>
        <v>0.26481515892723573</v>
      </c>
      <c r="AM1200" s="120">
        <f t="shared" si="3585"/>
        <v>0.38350181077574791</v>
      </c>
      <c r="AN1200" s="120">
        <f t="shared" si="3586"/>
        <v>0.35168303029701631</v>
      </c>
      <c r="AO1200" s="120">
        <f t="shared" si="3590"/>
        <v>2.2793065898539338E-2</v>
      </c>
      <c r="AP1200" s="173">
        <f t="shared" si="3606"/>
        <v>109.39095524384773</v>
      </c>
      <c r="AQ1200" s="175">
        <f t="shared" si="3607"/>
        <v>2.2793065898539241E-2</v>
      </c>
      <c r="AR1200" s="177">
        <f>+AC1200/$AE$48</f>
        <v>2.4726238357779422E-2</v>
      </c>
      <c r="AS1200" s="177">
        <f t="shared" si="3603"/>
        <v>5.635867803118551E-4</v>
      </c>
      <c r="AT1200" s="177"/>
      <c r="AU1200" s="177"/>
      <c r="AV1200" s="177"/>
      <c r="AW1200" s="190"/>
      <c r="AX1200" s="120"/>
      <c r="AY1200" s="120"/>
      <c r="AZ1200" s="118">
        <f>IFERROR(INDEX('Total Customers'!$F$7:$AB$91,MATCH($C1200,'Total Customers'!$D$7:$D$91,0),MATCH($G1200,'Total Customers'!$F$5:$AB$5,0)),"NA")</f>
        <v>1186556</v>
      </c>
      <c r="BA1200" s="119">
        <f t="shared" si="3565"/>
        <v>-6.0513209410025439E-3</v>
      </c>
      <c r="BB1200" s="119"/>
      <c r="BC1200" s="121"/>
      <c r="BD1200" s="119"/>
      <c r="BE1200" s="119"/>
      <c r="BF1200" s="119"/>
      <c r="BG1200" s="173"/>
      <c r="BH1200" s="173"/>
      <c r="BI1200" s="173"/>
      <c r="BJ1200" s="173"/>
      <c r="BK1200" s="173"/>
      <c r="BL1200" s="173"/>
      <c r="BM1200" s="173"/>
      <c r="BN1200" s="173"/>
      <c r="BO1200" s="173"/>
      <c r="BP1200" s="173"/>
      <c r="BQ1200" s="118"/>
      <c r="BR1200" s="118"/>
      <c r="BS1200" s="118">
        <f>INDEX('Dist. Plant Gas Additions'!$F$7:$AE$91,MATCH($C1200,'Dist. Plant Gas Additions'!$D$7:$D$91,0),MATCH(Calculation!$G1200,'Dist. Plant Gas Additions'!$F$5:$AE$5,0))</f>
        <v>142061</v>
      </c>
      <c r="BT1200" s="118">
        <f>INDEX('Gen. Plant Additions'!$F$7:$AE$91,MATCH($C1200,'Gen. Plant Additions'!$D$7:$D$91,0),MATCH(Calculation!$G1200,'Gen. Plant Additions'!$F$5:$AE$5,0))</f>
        <v>16766</v>
      </c>
      <c r="BU1200" s="118"/>
      <c r="BV1200" s="118"/>
      <c r="BW1200" s="118">
        <f>INDEX('Dist Plant Depreciation'!$E$7:$AD$94,MATCH($C1200,'Dist Plant Depreciation'!$D$7:$D$94,0),MATCH(Calculation!$G1200,'Dist Plant Depreciation'!$E$5:$AD$5,0))</f>
        <v>642201</v>
      </c>
      <c r="BX1200" s="118">
        <f>INDEX('Gen. Plant Depreciation'!$E$7:$AD$94,MATCH($C1200,'Gen. Plant Depreciation'!$D$7:$D$94,0),MATCH(Calculation!$G1200,'Gen. Plant Depreciation'!$E$5:$AD$5,0))</f>
        <v>70978</v>
      </c>
      <c r="BY1200" s="118"/>
      <c r="BZ1200" s="118"/>
      <c r="CA1200" s="118"/>
      <c r="CB1200" s="118"/>
      <c r="CC1200" s="118"/>
      <c r="CD1200" s="183"/>
      <c r="CE1200" s="118">
        <f>INDEX('Gross Dx Plant'!$E$7:$AD$91,MATCH($C1200,'Gross Dx Plant'!$D$7:$D$91,0),MATCH(Calculation!$G1200,'Gross Dx Plant'!$E$5:$AD$5,0))</f>
        <v>1750182</v>
      </c>
      <c r="CF1200" s="118">
        <f>INDEX('Gross Gen Plant'!$E$7:$AD$91,MATCH($C1200,'Gross Gen Plant'!$D$7:$D$91,0),MATCH(Calculation!$G1200,'Gross Gen Plant'!$E$5:$AD$5,0))</f>
        <v>142417</v>
      </c>
      <c r="CG1200" s="118">
        <f t="shared" si="3556"/>
        <v>1179420</v>
      </c>
      <c r="CH1200" s="118"/>
      <c r="CI1200" s="121">
        <v>2010</v>
      </c>
      <c r="CJ1200" s="118"/>
      <c r="CK1200" s="118"/>
      <c r="CL1200" s="118"/>
      <c r="CM1200" s="183"/>
      <c r="CN1200" s="118">
        <f t="shared" si="3566"/>
        <v>158827</v>
      </c>
      <c r="CO1200" s="118">
        <f t="shared" si="3567"/>
        <v>279.1387174384484</v>
      </c>
      <c r="CP1200" s="186">
        <v>0.9285714285714286</v>
      </c>
      <c r="CQ1200" s="118">
        <f>+CQ1188*CP1200+CO1189*CP1199+CO1190*CP1198+CO1191*CP1197+CO1192*CP1196+CO1193*CP1195+CO1194*CP1194+CO1195*CP1193+CO1196*CP1192+CO1197*CP1191+CO1198*CP1190+CO1199*CP1189+CO1200</f>
        <v>4869.7558199102214</v>
      </c>
      <c r="CR1200" s="119">
        <f t="shared" si="3568"/>
        <v>5.2021467077164048E-2</v>
      </c>
      <c r="CS1200" s="119"/>
      <c r="CT1200" s="177">
        <f t="shared" si="3569"/>
        <v>6.9833712376933914E-3</v>
      </c>
      <c r="CU1200" s="177">
        <f t="shared" si="3577"/>
        <v>6.7972905318225548E-3</v>
      </c>
      <c r="CV1200" s="119">
        <f>VLOOKUP($H1200,RoR!$E:$F,2,FALSE)</f>
        <v>4.9433333333333322E-2</v>
      </c>
      <c r="CW1200" s="177">
        <v>1.1684333519300205E-2</v>
      </c>
      <c r="CX1200" s="177">
        <f t="shared" si="3575"/>
        <v>3.7748999814033117E-2</v>
      </c>
      <c r="CY1200" s="177">
        <f t="shared" si="3578"/>
        <v>2.4104651076711069E-2</v>
      </c>
      <c r="CZ1200" s="177">
        <f t="shared" si="3579"/>
        <v>4.7937530248493419E-2</v>
      </c>
      <c r="DA1200" s="187">
        <f t="shared" si="3570"/>
        <v>0.86875000000000002</v>
      </c>
      <c r="DB1200" s="188">
        <f t="shared" si="3571"/>
        <v>1.037398205301105</v>
      </c>
      <c r="DC1200" s="188">
        <f t="shared" si="3572"/>
        <v>0.46926837491571133</v>
      </c>
      <c r="DD1200" s="188">
        <f t="shared" si="3573"/>
        <v>0.8548537519972772</v>
      </c>
      <c r="DE1200" s="188">
        <f t="shared" si="3574"/>
        <v>0.41615833911547367</v>
      </c>
      <c r="DF1200" s="189">
        <f>INDEX('State Tax Lookup'!$D$7:$Z$91,MATCH(Calculation!$C1200,'State Tax Lookup'!$B$7:$B$91,0),MATCH($H1200,'State Tax Lookup'!$D$6:$Z$6,0))</f>
        <v>0.35</v>
      </c>
      <c r="DG1200" s="189">
        <v>0.375</v>
      </c>
      <c r="DH1200" s="190">
        <f t="shared" si="3576"/>
        <v>18.266946823811143</v>
      </c>
      <c r="DI1200" s="190">
        <v>17.989896462335849</v>
      </c>
      <c r="DJ1200" s="177"/>
      <c r="DK1200" s="189">
        <f>VLOOKUP($H1200,RoR!$E:$F,2,FALSE)</f>
        <v>4.9433333333333322E-2</v>
      </c>
      <c r="DL1200" s="191">
        <f>HLOOKUP($H1200,'GDP-PI'!$D$8:$CQ$11,3,FALSE)</f>
        <v>1.1684333519300205E-2</v>
      </c>
      <c r="DM1200" s="189">
        <f>VLOOKUP(H1200,'HW Dx Data'!$E:$F,2,FALSE)</f>
        <v>568.98950262971744</v>
      </c>
      <c r="DN1200" s="183">
        <f>VLOOKUP(H1200,'ECI - Input Price'!$G$17:$H$37,2,FALSE)</f>
        <v>111.875</v>
      </c>
      <c r="DO1200" s="177">
        <f t="shared" ref="DO1200" si="3612">LN(DN1200/DN1199)</f>
        <v>1.8949360147238387E-2</v>
      </c>
      <c r="DP1200" s="183">
        <f>HLOOKUP(H1200,'GDP-PI'!$8:$9,2,FALSE)</f>
        <v>96.108999999999995</v>
      </c>
      <c r="DQ1200" s="177">
        <f t="shared" ref="DQ1200" si="3613">LN(DP1200/DP1199)</f>
        <v>1.1616598807150427E-2</v>
      </c>
    </row>
    <row r="1201" spans="1:121" s="167" customFormat="1" ht="21" x14ac:dyDescent="0.35">
      <c r="A1201" s="167" t="s">
        <v>112</v>
      </c>
      <c r="B1201" s="167" t="s">
        <v>112</v>
      </c>
      <c r="C1201" s="167">
        <v>4059746</v>
      </c>
      <c r="D1201" s="168" t="s">
        <v>138</v>
      </c>
      <c r="E1201" s="168"/>
      <c r="F1201" s="198"/>
      <c r="G1201" s="167" t="s">
        <v>17</v>
      </c>
      <c r="H1201" s="169">
        <v>2011</v>
      </c>
      <c r="I1201" s="170"/>
      <c r="J1201" s="166">
        <f>IFERROR(INDEX('Labor Expenditures'!$F$7:$X$91,MATCH($C1201,'Labor Expenditures'!$D$7:$D$91,0),MATCH($G1201,'Labor Expenditures'!$F$5:$X$5,0)),"NA")</f>
        <v>56965.937046217638</v>
      </c>
      <c r="K1201" s="166">
        <f t="shared" si="3582"/>
        <v>498.38965044809834</v>
      </c>
      <c r="L1201" s="172">
        <f t="shared" si="3589"/>
        <v>-0.13140825335134149</v>
      </c>
      <c r="M1201" s="172">
        <f t="shared" si="3593"/>
        <v>-3.0219907676982474E-3</v>
      </c>
      <c r="N1201" s="196"/>
      <c r="O1201" s="172"/>
      <c r="P1201" s="166">
        <f>IFERROR(INDEX('Non-Labor Expenditures'!$F$7:$AB$91,MATCH($C1201,'Non-Labor Expenditures'!$D$7:$D$91,0),MATCH($G1201,'Non-Labor Expenditures'!$F$5:$AB$5,0)),"NA")</f>
        <v>82497.316612318944</v>
      </c>
      <c r="Q1201" s="166">
        <f t="shared" si="3583"/>
        <v>840.84838360566448</v>
      </c>
      <c r="R1201" s="172">
        <f t="shared" si="3594"/>
        <v>-0.13059057835844504</v>
      </c>
      <c r="S1201" s="172">
        <f t="shared" si="3599"/>
        <v>-3.0031867259695737E-3</v>
      </c>
      <c r="T1201" s="172"/>
      <c r="U1201" s="172"/>
      <c r="V1201" s="166">
        <f t="shared" si="3564"/>
        <v>95079.340012696324</v>
      </c>
      <c r="W1201" s="170"/>
      <c r="X1201" s="174">
        <v>5132.0731576330136</v>
      </c>
      <c r="Y1201" s="175">
        <v>5.246590565274397E-2</v>
      </c>
      <c r="Z1201" s="175">
        <f t="shared" si="3600"/>
        <v>1.206556502030403E-3</v>
      </c>
      <c r="AA1201" s="175"/>
      <c r="AB1201" s="175"/>
      <c r="AC1201" s="170">
        <f t="shared" si="3457"/>
        <v>234542.59367123293</v>
      </c>
      <c r="AD1201" s="175">
        <f t="shared" si="3595"/>
        <v>-2.350335500488588E-2</v>
      </c>
      <c r="AE1201" s="170"/>
      <c r="AF1201" s="170"/>
      <c r="AG1201" s="121">
        <f t="shared" si="3596"/>
        <v>198.43883116745698</v>
      </c>
      <c r="AH1201" s="119">
        <f>+AZ1201/$BB$49</f>
        <v>3.2800764888589087E-2</v>
      </c>
      <c r="AI1201" s="119"/>
      <c r="AJ1201" s="176">
        <f t="shared" si="3601"/>
        <v>6.5089454458901805</v>
      </c>
      <c r="AK1201" s="176">
        <f t="shared" si="3602"/>
        <v>0</v>
      </c>
      <c r="AL1201" s="120">
        <f t="shared" si="3584"/>
        <v>0.24288098871315847</v>
      </c>
      <c r="AM1201" s="120">
        <f t="shared" si="3585"/>
        <v>0.35173703556787</v>
      </c>
      <c r="AN1201" s="120">
        <f t="shared" si="3586"/>
        <v>0.40538197571897139</v>
      </c>
      <c r="AO1201" s="120">
        <f t="shared" si="3590"/>
        <v>-6.1505314495804549E-2</v>
      </c>
      <c r="AP1201" s="173">
        <f t="shared" si="3606"/>
        <v>102.86556032076079</v>
      </c>
      <c r="AQ1201" s="175">
        <f t="shared" si="3607"/>
        <v>-6.150531449580459E-2</v>
      </c>
      <c r="AR1201" s="177">
        <f>+AC1201/$AE$49</f>
        <v>2.2996963209140756E-2</v>
      </c>
      <c r="AS1201" s="177">
        <f t="shared" si="3603"/>
        <v>-1.4144354546266498E-3</v>
      </c>
      <c r="AT1201" s="177"/>
      <c r="AU1201" s="177"/>
      <c r="AV1201" s="177"/>
      <c r="AW1201" s="190"/>
      <c r="AX1201" s="120"/>
      <c r="AY1201" s="120"/>
      <c r="AZ1201" s="118">
        <f>IFERROR(INDEX('Total Customers'!$F$7:$AB$91,MATCH($C1201,'Total Customers'!$D$7:$D$91,0),MATCH($G1201,'Total Customers'!$F$5:$AB$5,0)),"NA")</f>
        <v>1181939</v>
      </c>
      <c r="BA1201" s="119">
        <f t="shared" si="3565"/>
        <v>-3.8986832128376668E-3</v>
      </c>
      <c r="BB1201" s="119"/>
      <c r="BC1201" s="121"/>
      <c r="BD1201" s="119"/>
      <c r="BE1201" s="119"/>
      <c r="BF1201" s="119"/>
      <c r="BG1201" s="173"/>
      <c r="BH1201" s="173"/>
      <c r="BI1201" s="173"/>
      <c r="BJ1201" s="173"/>
      <c r="BK1201" s="173"/>
      <c r="BL1201" s="173"/>
      <c r="BM1201" s="173"/>
      <c r="BN1201" s="173"/>
      <c r="BO1201" s="173"/>
      <c r="BP1201" s="173"/>
      <c r="BQ1201" s="118"/>
      <c r="BR1201" s="118"/>
      <c r="BS1201" s="118">
        <f>INDEX('Dist. Plant Gas Additions'!$F$7:$AE$91,MATCH($C1201,'Dist. Plant Gas Additions'!$D$7:$D$91,0),MATCH(Calculation!$G1201,'Dist. Plant Gas Additions'!$F$5:$AE$5,0))</f>
        <v>168082</v>
      </c>
      <c r="BT1201" s="118">
        <f>INDEX('Gen. Plant Additions'!$F$7:$AE$91,MATCH($C1201,'Gen. Plant Additions'!$D$7:$D$91,0),MATCH(Calculation!$G1201,'Gen. Plant Additions'!$F$5:$AE$5,0))</f>
        <v>13645</v>
      </c>
      <c r="BU1201" s="118"/>
      <c r="BV1201" s="118"/>
      <c r="BW1201" s="118">
        <f>INDEX('Dist Plant Depreciation'!$E$7:$AD$94,MATCH($C1201,'Dist Plant Depreciation'!$D$7:$D$94,0),MATCH(Calculation!$G1201,'Dist Plant Depreciation'!$E$5:$AD$5,0))</f>
        <v>681706</v>
      </c>
      <c r="BX1201" s="118">
        <f>INDEX('Gen. Plant Depreciation'!$E$7:$AD$94,MATCH($C1201,'Gen. Plant Depreciation'!$D$7:$D$94,0),MATCH(Calculation!$G1201,'Gen. Plant Depreciation'!$E$5:$AD$5,0))</f>
        <v>61309</v>
      </c>
      <c r="BY1201" s="118"/>
      <c r="BZ1201" s="118"/>
      <c r="CA1201" s="118"/>
      <c r="CB1201" s="118"/>
      <c r="CC1201" s="118"/>
      <c r="CD1201" s="183"/>
      <c r="CE1201" s="118">
        <f>INDEX('Gross Dx Plant'!$E$7:$AD$91,MATCH($C1201,'Gross Dx Plant'!$D$7:$D$91,0),MATCH(Calculation!$G1201,'Gross Dx Plant'!$E$5:$AD$5,0))</f>
        <v>1905414</v>
      </c>
      <c r="CF1201" s="118">
        <f>INDEX('Gross Gen Plant'!$E$7:$AD$91,MATCH($C1201,'Gross Gen Plant'!$D$7:$D$91,0),MATCH(Calculation!$G1201,'Gross Gen Plant'!$E$5:$AD$5,0))</f>
        <v>150922</v>
      </c>
      <c r="CG1201" s="118">
        <f t="shared" si="3556"/>
        <v>1313321</v>
      </c>
      <c r="CH1201" s="118"/>
      <c r="CI1201" s="121">
        <v>2011</v>
      </c>
      <c r="CJ1201" s="118"/>
      <c r="CK1201" s="118"/>
      <c r="CL1201" s="118"/>
      <c r="CM1201" s="183"/>
      <c r="CN1201" s="118">
        <f t="shared" si="3566"/>
        <v>181727</v>
      </c>
      <c r="CO1201" s="118">
        <f t="shared" si="3567"/>
        <v>297.12835681369512</v>
      </c>
      <c r="CP1201" s="186">
        <v>0.92121212121212126</v>
      </c>
      <c r="CQ1201" s="118">
        <f>+CQ1188*CP1201+CO1189*CP1200+CO1190*CP1199+CO1191*CP1198+CO1192*CP1197+CO1193*CP1196+CO1194*CP1195+CO1195*CP1194+CO1196*CP1193+CO1197*CP1192+CO1198*CP1191+CO1199*CP1190+CO1200*CP1189+CO1201</f>
        <v>5132.0731576330136</v>
      </c>
      <c r="CR1201" s="119">
        <f t="shared" si="3568"/>
        <v>5.246590565274397E-2</v>
      </c>
      <c r="CS1201" s="119"/>
      <c r="CT1201" s="177">
        <f t="shared" si="3569"/>
        <v>7.1484116202657315E-3</v>
      </c>
      <c r="CU1201" s="177">
        <f t="shared" si="3577"/>
        <v>6.9765456393862182E-3</v>
      </c>
      <c r="CV1201" s="119">
        <f>VLOOKUP($H1201,RoR!$E:$F,2,FALSE)</f>
        <v>4.6391666666666664E-2</v>
      </c>
      <c r="CW1201" s="177">
        <v>2.0840920205183799E-2</v>
      </c>
      <c r="CX1201" s="177">
        <f t="shared" si="3575"/>
        <v>2.5550746461482865E-2</v>
      </c>
      <c r="CY1201" s="177">
        <f t="shared" si="3578"/>
        <v>2.3925395969147407E-2</v>
      </c>
      <c r="CZ1201" s="177">
        <f t="shared" si="3579"/>
        <v>2.4810540821321614E-2</v>
      </c>
      <c r="DA1201" s="187">
        <f t="shared" si="3570"/>
        <v>0.86875000000000002</v>
      </c>
      <c r="DB1201" s="188">
        <f t="shared" si="3571"/>
        <v>1.1054151524782025</v>
      </c>
      <c r="DC1201" s="188">
        <f t="shared" si="3572"/>
        <v>0.43611011316687626</v>
      </c>
      <c r="DD1201" s="188">
        <f t="shared" si="3573"/>
        <v>0.83698442246886229</v>
      </c>
      <c r="DE1201" s="188">
        <f t="shared" si="3574"/>
        <v>0.40349573304423936</v>
      </c>
      <c r="DF1201" s="189">
        <f>INDEX('State Tax Lookup'!$D$7:$Z$91,MATCH(Calculation!$C1201,'State Tax Lookup'!$B$7:$B$91,0),MATCH($H1201,'State Tax Lookup'!$D$6:$Z$6,0))</f>
        <v>0.35</v>
      </c>
      <c r="DG1201" s="189">
        <v>0.375</v>
      </c>
      <c r="DH1201" s="190">
        <f t="shared" si="3576"/>
        <v>19.524457391469209</v>
      </c>
      <c r="DI1201" s="190">
        <v>19.244414797220571</v>
      </c>
      <c r="DJ1201" s="177"/>
      <c r="DK1201" s="189">
        <f>VLOOKUP($H1201,RoR!$E:$F,2,FALSE)</f>
        <v>4.6391666666666664E-2</v>
      </c>
      <c r="DL1201" s="191">
        <f>HLOOKUP($H1201,'GDP-PI'!$D$8:$CQ$11,3,FALSE)</f>
        <v>2.0840920205183799E-2</v>
      </c>
      <c r="DM1201" s="189">
        <f>VLOOKUP(H1201,'HW Dx Data'!$E:$F,2,FALSE)</f>
        <v>611.61109612283201</v>
      </c>
      <c r="DN1201" s="183">
        <f>VLOOKUP(H1201,'ECI - Input Price'!$G$17:$H$37,2,FALSE)</f>
        <v>114.3</v>
      </c>
      <c r="DO1201" s="177">
        <f t="shared" ref="DO1201" si="3614">LN(DN1201/DN1200)</f>
        <v>2.1444394205745516E-2</v>
      </c>
      <c r="DP1201" s="183">
        <f>HLOOKUP(H1201,'GDP-PI'!$8:$9,2,FALSE)</f>
        <v>98.111999999999995</v>
      </c>
      <c r="DQ1201" s="177">
        <f t="shared" ref="DQ1201" si="3615">LN(DP1201/DP1200)</f>
        <v>2.0626719212849295E-2</v>
      </c>
    </row>
    <row r="1202" spans="1:121" s="167" customFormat="1" ht="21" x14ac:dyDescent="0.35">
      <c r="A1202" s="167" t="s">
        <v>112</v>
      </c>
      <c r="B1202" s="167" t="s">
        <v>112</v>
      </c>
      <c r="C1202" s="167">
        <v>4059746</v>
      </c>
      <c r="D1202" s="168" t="s">
        <v>138</v>
      </c>
      <c r="E1202" s="168"/>
      <c r="F1202" s="198"/>
      <c r="G1202" s="167" t="s">
        <v>18</v>
      </c>
      <c r="H1202" s="169">
        <v>2012</v>
      </c>
      <c r="I1202" s="170"/>
      <c r="J1202" s="166">
        <f>IFERROR(INDEX('Labor Expenditures'!$F$7:$X$91,MATCH($C1202,'Labor Expenditures'!$D$7:$D$91,0),MATCH($G1202,'Labor Expenditures'!$F$5:$X$5,0)),"NA")</f>
        <v>57417.203838511479</v>
      </c>
      <c r="K1202" s="166">
        <f t="shared" si="3582"/>
        <v>492.85153509451914</v>
      </c>
      <c r="L1202" s="172">
        <f t="shared" si="3589"/>
        <v>-1.117421886779171E-2</v>
      </c>
      <c r="M1202" s="172">
        <f t="shared" si="3593"/>
        <v>-2.6046563740975099E-4</v>
      </c>
      <c r="N1202" s="196"/>
      <c r="O1202" s="172"/>
      <c r="P1202" s="166">
        <f>IFERROR(INDEX('Non-Labor Expenditures'!$F$7:$AB$91,MATCH($C1202,'Non-Labor Expenditures'!$D$7:$D$91,0),MATCH($G1202,'Non-Labor Expenditures'!$F$5:$AB$5,0)),"NA")</f>
        <v>83150.835212570993</v>
      </c>
      <c r="Q1202" s="166">
        <f t="shared" si="3583"/>
        <v>831.50835212570996</v>
      </c>
      <c r="R1202" s="172">
        <f t="shared" si="3594"/>
        <v>-1.1170019401543916E-2</v>
      </c>
      <c r="S1202" s="172">
        <f t="shared" si="3599"/>
        <v>-2.6036774988258204E-4</v>
      </c>
      <c r="T1202" s="172"/>
      <c r="U1202" s="172"/>
      <c r="V1202" s="166">
        <f t="shared" si="3564"/>
        <v>108527.40127233911</v>
      </c>
      <c r="W1202" s="170"/>
      <c r="X1202" s="174">
        <v>5404.4099007711475</v>
      </c>
      <c r="Y1202" s="175">
        <v>5.1705566744016981E-2</v>
      </c>
      <c r="Z1202" s="175">
        <f t="shared" si="3600"/>
        <v>1.2052317534634353E-3</v>
      </c>
      <c r="AA1202" s="175"/>
      <c r="AB1202" s="175"/>
      <c r="AC1202" s="170">
        <f t="shared" si="3457"/>
        <v>249095.44032342159</v>
      </c>
      <c r="AD1202" s="175">
        <f t="shared" si="3595"/>
        <v>6.0198909980568427E-2</v>
      </c>
      <c r="AE1202" s="170"/>
      <c r="AF1202" s="170"/>
      <c r="AG1202" s="121">
        <f t="shared" si="3596"/>
        <v>209.28731811869991</v>
      </c>
      <c r="AH1202" s="119">
        <f>+AZ1202/$BB$50</f>
        <v>3.2871297269797352E-2</v>
      </c>
      <c r="AI1202" s="119"/>
      <c r="AJ1202" s="176">
        <f t="shared" si="3601"/>
        <v>6.8795456486784303</v>
      </c>
      <c r="AK1202" s="176">
        <f t="shared" si="3602"/>
        <v>0</v>
      </c>
      <c r="AL1202" s="120">
        <f t="shared" si="3584"/>
        <v>0.23050282961407037</v>
      </c>
      <c r="AM1202" s="120">
        <f t="shared" si="3585"/>
        <v>0.333811149271176</v>
      </c>
      <c r="AN1202" s="120">
        <f t="shared" si="3586"/>
        <v>0.43568602111475363</v>
      </c>
      <c r="AO1202" s="120">
        <f t="shared" si="3590"/>
        <v>1.5270308263369036E-2</v>
      </c>
      <c r="AP1202" s="173">
        <f t="shared" si="3606"/>
        <v>104.44840363171912</v>
      </c>
      <c r="AQ1202" s="175">
        <f t="shared" si="3607"/>
        <v>1.5270308263369075E-2</v>
      </c>
      <c r="AR1202" s="177">
        <f>+AC1202/$AE$50</f>
        <v>2.3309516351117002E-2</v>
      </c>
      <c r="AS1202" s="177">
        <f t="shared" si="3603"/>
        <v>3.5594350015159853E-4</v>
      </c>
      <c r="AT1202" s="177"/>
      <c r="AU1202" s="177"/>
      <c r="AV1202" s="177"/>
      <c r="AW1202" s="190"/>
      <c r="AX1202" s="120"/>
      <c r="AY1202" s="120"/>
      <c r="AZ1202" s="118">
        <f>IFERROR(INDEX('Total Customers'!$F$7:$AB$91,MATCH($C1202,'Total Customers'!$D$7:$D$91,0),MATCH($G1202,'Total Customers'!$F$5:$AB$5,0)),"NA")</f>
        <v>1190208</v>
      </c>
      <c r="BA1202" s="119">
        <f t="shared" si="3565"/>
        <v>6.971771558238922E-3</v>
      </c>
      <c r="BB1202" s="119"/>
      <c r="BC1202" s="121"/>
      <c r="BD1202" s="119"/>
      <c r="BE1202" s="119"/>
      <c r="BF1202" s="119"/>
      <c r="BG1202" s="173"/>
      <c r="BH1202" s="173"/>
      <c r="BI1202" s="173"/>
      <c r="BJ1202" s="173"/>
      <c r="BK1202" s="173"/>
      <c r="BL1202" s="173"/>
      <c r="BM1202" s="173"/>
      <c r="BN1202" s="173"/>
      <c r="BO1202" s="173"/>
      <c r="BP1202" s="173"/>
      <c r="BQ1202" s="118"/>
      <c r="BR1202" s="118"/>
      <c r="BS1202" s="118">
        <f>INDEX('Dist. Plant Gas Additions'!$F$7:$AE$91,MATCH($C1202,'Dist. Plant Gas Additions'!$D$7:$D$91,0),MATCH(Calculation!$G1202,'Dist. Plant Gas Additions'!$F$5:$AE$5,0))</f>
        <v>199361</v>
      </c>
      <c r="BT1202" s="118">
        <f>INDEX('Gen. Plant Additions'!$F$7:$AE$91,MATCH($C1202,'Gen. Plant Additions'!$D$7:$D$91,0),MATCH(Calculation!$G1202,'Gen. Plant Additions'!$F$5:$AE$5,0))</f>
        <v>7916</v>
      </c>
      <c r="BU1202" s="118"/>
      <c r="BV1202" s="118"/>
      <c r="BW1202" s="118">
        <f>INDEX('Dist Plant Depreciation'!$E$7:$AD$94,MATCH($C1202,'Dist Plant Depreciation'!$D$7:$D$94,0),MATCH(Calculation!$G1202,'Dist Plant Depreciation'!$E$5:$AD$5,0))</f>
        <v>723495</v>
      </c>
      <c r="BX1202" s="118">
        <f>INDEX('Gen. Plant Depreciation'!$E$7:$AD$94,MATCH($C1202,'Gen. Plant Depreciation'!$D$7:$D$94,0),MATCH(Calculation!$G1202,'Gen. Plant Depreciation'!$E$5:$AD$5,0))</f>
        <v>47271</v>
      </c>
      <c r="BY1202" s="118"/>
      <c r="BZ1202" s="118"/>
      <c r="CA1202" s="118"/>
      <c r="CB1202" s="118"/>
      <c r="CC1202" s="118"/>
      <c r="CD1202" s="183"/>
      <c r="CE1202" s="118">
        <f>INDEX('Gross Dx Plant'!$E$7:$AD$91,MATCH($C1202,'Gross Dx Plant'!$D$7:$D$91,0),MATCH(Calculation!$G1202,'Gross Dx Plant'!$E$5:$AD$5,0))</f>
        <v>2093255</v>
      </c>
      <c r="CF1202" s="118">
        <f>INDEX('Gross Gen Plant'!$E$7:$AD$91,MATCH($C1202,'Gross Gen Plant'!$D$7:$D$91,0),MATCH(Calculation!$G1202,'Gross Gen Plant'!$E$5:$AD$5,0))</f>
        <v>151995</v>
      </c>
      <c r="CG1202" s="118">
        <f t="shared" si="3556"/>
        <v>1474484</v>
      </c>
      <c r="CH1202" s="118"/>
      <c r="CI1202" s="121">
        <v>2012</v>
      </c>
      <c r="CJ1202" s="118"/>
      <c r="CK1202" s="118"/>
      <c r="CL1202" s="118"/>
      <c r="CM1202" s="183"/>
      <c r="CN1202" s="118">
        <f t="shared" si="3566"/>
        <v>207277</v>
      </c>
      <c r="CO1202" s="118">
        <f t="shared" si="3567"/>
        <v>309.86845969012404</v>
      </c>
      <c r="CP1202" s="186">
        <v>0.9135802469135802</v>
      </c>
      <c r="CQ1202" s="118">
        <f>+CQ1188*CP1202+CO1189*CP1201+CO1190*CP1200+CO1191*CP1199+CO1192*CP1198+CO1193*CP1197+CO1194*CP1196+CO1195*CP1195+CO1196*CP1194+CO1197*CP1193+CO1198*CP1192+CO1199*CP1191+CO1200*CP1190+CO1201*CP1189+CO1202</f>
        <v>5404.4099007711475</v>
      </c>
      <c r="CR1202" s="119">
        <f t="shared" si="3568"/>
        <v>5.1705566744016981E-2</v>
      </c>
      <c r="CS1202" s="119"/>
      <c r="CT1202" s="177">
        <f t="shared" si="3569"/>
        <v>7.3131686550821336E-3</v>
      </c>
      <c r="CU1202" s="177">
        <f t="shared" si="3577"/>
        <v>7.1483171710137522E-3</v>
      </c>
      <c r="CV1202" s="119">
        <f>VLOOKUP($H1202,RoR!$E:$F,2,FALSE)</f>
        <v>3.6733333333333333E-2</v>
      </c>
      <c r="CW1202" s="177">
        <v>1.924331376386168E-2</v>
      </c>
      <c r="CX1202" s="177">
        <f t="shared" si="3575"/>
        <v>1.7490019569471653E-2</v>
      </c>
      <c r="CY1202" s="177">
        <f t="shared" si="3578"/>
        <v>2.3753624437519872E-2</v>
      </c>
      <c r="CZ1202" s="177">
        <f t="shared" si="3579"/>
        <v>6.7122682943869583E-2</v>
      </c>
      <c r="DA1202" s="187">
        <f t="shared" si="3570"/>
        <v>0.86875000000000002</v>
      </c>
      <c r="DB1202" s="188">
        <f t="shared" si="3571"/>
        <v>1.3960631020522127</v>
      </c>
      <c r="DC1202" s="188">
        <f t="shared" si="3572"/>
        <v>0.29441923774954631</v>
      </c>
      <c r="DD1202" s="188">
        <f t="shared" si="3573"/>
        <v>0.76377954189366437</v>
      </c>
      <c r="DE1202" s="188">
        <f t="shared" si="3574"/>
        <v>0.31393465103033691</v>
      </c>
      <c r="DF1202" s="189">
        <f>INDEX('State Tax Lookup'!$D$7:$Z$91,MATCH(Calculation!$C1202,'State Tax Lookup'!$B$7:$B$91,0),MATCH($H1202,'State Tax Lookup'!$D$6:$Z$6,0))</f>
        <v>0.35</v>
      </c>
      <c r="DG1202" s="189">
        <v>0.375</v>
      </c>
      <c r="DH1202" s="190">
        <f t="shared" si="3576"/>
        <v>21.146892871338864</v>
      </c>
      <c r="DI1202" s="190">
        <v>20.895312093613661</v>
      </c>
      <c r="DJ1202" s="177"/>
      <c r="DK1202" s="189">
        <f>VLOOKUP($H1202,RoR!$E:$F,2,FALSE)</f>
        <v>3.6733333333333333E-2</v>
      </c>
      <c r="DL1202" s="191">
        <f>HLOOKUP($H1202,'GDP-PI'!$D$8:$CQ$11,3,FALSE)</f>
        <v>1.924331376386168E-2</v>
      </c>
      <c r="DM1202" s="189">
        <f>VLOOKUP(H1202,'HW Dx Data'!$E:$F,2,FALSE)</f>
        <v>668.91932211262167</v>
      </c>
      <c r="DN1202" s="183">
        <f>VLOOKUP(H1202,'ECI - Input Price'!$G$17:$H$37,2,FALSE)</f>
        <v>116.5</v>
      </c>
      <c r="DO1202" s="177">
        <f t="shared" ref="DO1202" si="3616">LN(DN1202/DN1201)</f>
        <v>1.9064702204990347E-2</v>
      </c>
      <c r="DP1202" s="183">
        <f>HLOOKUP(H1202,'GDP-PI'!$8:$9,2,FALSE)</f>
        <v>100</v>
      </c>
      <c r="DQ1202" s="177">
        <f t="shared" ref="DQ1202" si="3617">LN(DP1202/DP1201)</f>
        <v>1.9060502738742411E-2</v>
      </c>
    </row>
    <row r="1203" spans="1:121" s="167" customFormat="1" ht="21" x14ac:dyDescent="0.35">
      <c r="A1203" s="167" t="s">
        <v>112</v>
      </c>
      <c r="B1203" s="167" t="s">
        <v>112</v>
      </c>
      <c r="C1203" s="167">
        <v>4059746</v>
      </c>
      <c r="D1203" s="168" t="s">
        <v>138</v>
      </c>
      <c r="E1203" s="168"/>
      <c r="F1203" s="198"/>
      <c r="G1203" s="167" t="s">
        <v>19</v>
      </c>
      <c r="H1203" s="169">
        <v>2013</v>
      </c>
      <c r="I1203" s="170"/>
      <c r="J1203" s="166">
        <f>IFERROR(INDEX('Labor Expenditures'!$F$7:$X$91,MATCH($C1203,'Labor Expenditures'!$D$7:$D$91,0),MATCH($G1203,'Labor Expenditures'!$F$5:$X$5,0)),"NA")</f>
        <v>53787.378632157721</v>
      </c>
      <c r="K1203" s="166">
        <f t="shared" si="3582"/>
        <v>453.04172358102949</v>
      </c>
      <c r="L1203" s="172">
        <f t="shared" si="3589"/>
        <v>-8.4223756559258928E-2</v>
      </c>
      <c r="M1203" s="172">
        <f t="shared" si="3593"/>
        <v>-1.8562129625941926E-3</v>
      </c>
      <c r="N1203" s="196"/>
      <c r="O1203" s="172"/>
      <c r="P1203" s="166">
        <f>IFERROR(INDEX('Non-Labor Expenditures'!$F$7:$AB$91,MATCH($C1203,'Non-Labor Expenditures'!$D$7:$D$91,0),MATCH($G1203,'Non-Labor Expenditures'!$F$5:$AB$5,0)),"NA")</f>
        <v>77894.170355939365</v>
      </c>
      <c r="Q1203" s="166">
        <f t="shared" si="3583"/>
        <v>765.3716639574285</v>
      </c>
      <c r="R1203" s="172">
        <f t="shared" si="3594"/>
        <v>-8.2879792146339226E-2</v>
      </c>
      <c r="S1203" s="172">
        <f t="shared" si="3599"/>
        <v>-1.8265932416693532E-3</v>
      </c>
      <c r="T1203" s="172"/>
      <c r="U1203" s="172"/>
      <c r="V1203" s="166">
        <f t="shared" si="3564"/>
        <v>112618.6238325708</v>
      </c>
      <c r="W1203" s="170"/>
      <c r="X1203" s="174">
        <v>5700.8852532184246</v>
      </c>
      <c r="Y1203" s="175">
        <v>5.3406201778310236E-2</v>
      </c>
      <c r="Z1203" s="175">
        <f t="shared" si="3600"/>
        <v>1.1770228267373869E-3</v>
      </c>
      <c r="AA1203" s="175"/>
      <c r="AB1203" s="175"/>
      <c r="AC1203" s="170">
        <f t="shared" si="3457"/>
        <v>244300.17282066788</v>
      </c>
      <c r="AD1203" s="175">
        <f t="shared" si="3595"/>
        <v>-1.9438431822617522E-2</v>
      </c>
      <c r="AE1203" s="170"/>
      <c r="AF1203" s="170"/>
      <c r="AG1203" s="121">
        <f t="shared" si="3596"/>
        <v>205.17667422592086</v>
      </c>
      <c r="AH1203" s="119">
        <f>+AZ1203/$BB$51</f>
        <v>3.2674147993264964E-2</v>
      </c>
      <c r="AI1203" s="119"/>
      <c r="AJ1203" s="176">
        <f t="shared" si="3601"/>
        <v>6.7039730184236515</v>
      </c>
      <c r="AK1203" s="176">
        <f t="shared" si="3602"/>
        <v>0</v>
      </c>
      <c r="AL1203" s="120">
        <f t="shared" si="3584"/>
        <v>0.22016922055819066</v>
      </c>
      <c r="AM1203" s="120">
        <f t="shared" si="3585"/>
        <v>0.31884615330632093</v>
      </c>
      <c r="AN1203" s="120">
        <f t="shared" si="3586"/>
        <v>0.46098462613548841</v>
      </c>
      <c r="AO1203" s="120">
        <f t="shared" si="3590"/>
        <v>-2.2080810553224771E-2</v>
      </c>
      <c r="AP1203" s="173">
        <f t="shared" si="3606"/>
        <v>102.16737438376798</v>
      </c>
      <c r="AQ1203" s="175">
        <f t="shared" si="3607"/>
        <v>-2.2080810553224767E-2</v>
      </c>
      <c r="AR1203" s="177">
        <f>+AC1203/$AE$51</f>
        <v>2.2039066392012342E-2</v>
      </c>
      <c r="AS1203" s="177">
        <f t="shared" si="3603"/>
        <v>-4.8664044977196743E-4</v>
      </c>
      <c r="AT1203" s="177"/>
      <c r="AU1203" s="177"/>
      <c r="AV1203" s="177"/>
      <c r="AW1203" s="190"/>
      <c r="AX1203" s="120"/>
      <c r="AY1203" s="120"/>
      <c r="AZ1203" s="118">
        <f>IFERROR(INDEX('Total Customers'!$F$7:$AB$91,MATCH($C1203,'Total Customers'!$D$7:$D$91,0),MATCH($G1203,'Total Customers'!$F$5:$AB$5,0)),"NA")</f>
        <v>1190682</v>
      </c>
      <c r="BA1203" s="119">
        <f t="shared" si="3565"/>
        <v>3.9817043732582192E-4</v>
      </c>
      <c r="BB1203" s="119"/>
      <c r="BC1203" s="121"/>
      <c r="BD1203" s="119"/>
      <c r="BE1203" s="119"/>
      <c r="BF1203" s="119"/>
      <c r="BG1203" s="173"/>
      <c r="BH1203" s="173"/>
      <c r="BI1203" s="173"/>
      <c r="BJ1203" s="173"/>
      <c r="BK1203" s="173"/>
      <c r="BL1203" s="173"/>
      <c r="BM1203" s="173"/>
      <c r="BN1203" s="173"/>
      <c r="BO1203" s="173"/>
      <c r="BP1203" s="173"/>
      <c r="BQ1203" s="118"/>
      <c r="BR1203" s="118"/>
      <c r="BS1203" s="118">
        <f>INDEX('Dist. Plant Gas Additions'!$F$7:$AE$91,MATCH($C1203,'Dist. Plant Gas Additions'!$D$7:$D$91,0),MATCH(Calculation!$G1203,'Dist. Plant Gas Additions'!$F$5:$AE$5,0))</f>
        <v>217175</v>
      </c>
      <c r="BT1203" s="118">
        <f>INDEX('Gen. Plant Additions'!$F$7:$AE$91,MATCH($C1203,'Gen. Plant Additions'!$D$7:$D$91,0),MATCH(Calculation!$G1203,'Gen. Plant Additions'!$F$5:$AE$5,0))</f>
        <v>6276</v>
      </c>
      <c r="BU1203" s="118"/>
      <c r="BV1203" s="118"/>
      <c r="BW1203" s="118">
        <f>INDEX('Dist Plant Depreciation'!$E$7:$AD$94,MATCH($C1203,'Dist Plant Depreciation'!$D$7:$D$94,0),MATCH(Calculation!$G1203,'Dist Plant Depreciation'!$E$5:$AD$5,0))</f>
        <v>769372</v>
      </c>
      <c r="BX1203" s="118">
        <f>INDEX('Gen. Plant Depreciation'!$E$7:$AD$94,MATCH($C1203,'Gen. Plant Depreciation'!$D$7:$D$94,0),MATCH(Calculation!$G1203,'Gen. Plant Depreciation'!$E$5:$AD$5,0))</f>
        <v>33064</v>
      </c>
      <c r="BY1203" s="118"/>
      <c r="BZ1203" s="118"/>
      <c r="CA1203" s="118"/>
      <c r="CB1203" s="118"/>
      <c r="CC1203" s="118"/>
      <c r="CD1203" s="183"/>
      <c r="CE1203" s="118">
        <f>INDEX('Gross Dx Plant'!$E$7:$AD$91,MATCH($C1203,'Gross Dx Plant'!$D$7:$D$91,0),MATCH(Calculation!$G1203,'Gross Dx Plant'!$E$5:$AD$5,0))</f>
        <v>2300392</v>
      </c>
      <c r="CF1203" s="118">
        <f>INDEX('Gross Gen Plant'!$E$7:$AD$91,MATCH($C1203,'Gross Gen Plant'!$D$7:$D$91,0),MATCH(Calculation!$G1203,'Gross Gen Plant'!$E$5:$AD$5,0))</f>
        <v>154907</v>
      </c>
      <c r="CG1203" s="118">
        <f t="shared" si="3556"/>
        <v>1652863</v>
      </c>
      <c r="CH1203" s="118"/>
      <c r="CI1203" s="121">
        <v>2013</v>
      </c>
      <c r="CJ1203" s="118"/>
      <c r="CK1203" s="118"/>
      <c r="CL1203" s="118"/>
      <c r="CM1203" s="183"/>
      <c r="CN1203" s="118">
        <f t="shared" si="3566"/>
        <v>223451</v>
      </c>
      <c r="CO1203" s="118">
        <f t="shared" si="3567"/>
        <v>336.90393848066441</v>
      </c>
      <c r="CP1203" s="186">
        <v>0.90566037735849059</v>
      </c>
      <c r="CQ1203" s="118">
        <f>+CQ1188*CP1203+CO1189*CP1202+CO1190*CP1201+CO1191*CP1200+CO1192*CP1199+CO1193*CP1198+CO1194*CP1197+CO1195*CP1196+CO1196*CP1195+CO1197*CP1194+CO1198*CP1193+CO1199*CP1192+CO1200*CP1191+CO1201*CP1190+CO1202*CP1189+CO1203</f>
        <v>5700.8852532184246</v>
      </c>
      <c r="CR1203" s="119">
        <f t="shared" si="3568"/>
        <v>5.3406201778310236E-2</v>
      </c>
      <c r="CS1203" s="119"/>
      <c r="CT1203" s="177">
        <f t="shared" si="3569"/>
        <v>7.4806661181674181E-3</v>
      </c>
      <c r="CU1203" s="177">
        <f t="shared" si="3577"/>
        <v>7.3140821311717605E-3</v>
      </c>
      <c r="CV1203" s="119">
        <f>VLOOKUP($H1203,RoR!$E:$F,2,FALSE)</f>
        <v>4.2350000000000006E-2</v>
      </c>
      <c r="CW1203" s="177">
        <v>1.7730000000000024E-2</v>
      </c>
      <c r="CX1203" s="177">
        <f t="shared" si="3575"/>
        <v>2.4619999999999982E-2</v>
      </c>
      <c r="CY1203" s="177">
        <f t="shared" si="3578"/>
        <v>2.3587859477361865E-2</v>
      </c>
      <c r="CZ1203" s="177">
        <f t="shared" si="3579"/>
        <v>5.3376742735721204E-2</v>
      </c>
      <c r="DA1203" s="187">
        <f t="shared" si="3570"/>
        <v>0.86875000000000002</v>
      </c>
      <c r="DB1203" s="188">
        <f t="shared" si="3571"/>
        <v>1.2109103018193925</v>
      </c>
      <c r="DC1203" s="188">
        <f t="shared" si="3572"/>
        <v>0.38468122786304604</v>
      </c>
      <c r="DD1203" s="188">
        <f t="shared" si="3573"/>
        <v>0.80969194503422559</v>
      </c>
      <c r="DE1203" s="188">
        <f t="shared" si="3574"/>
        <v>0.37716621754800816</v>
      </c>
      <c r="DF1203" s="189">
        <f>INDEX('State Tax Lookup'!$D$7:$Z$91,MATCH(Calculation!$C1203,'State Tax Lookup'!$B$7:$B$91,0),MATCH($H1203,'State Tax Lookup'!$D$6:$Z$6,0))</f>
        <v>0.35</v>
      </c>
      <c r="DG1203" s="189">
        <v>0.375</v>
      </c>
      <c r="DH1203" s="190">
        <f t="shared" si="3576"/>
        <v>20.838283161405172</v>
      </c>
      <c r="DI1203" s="190">
        <v>20.584655428683021</v>
      </c>
      <c r="DJ1203" s="177"/>
      <c r="DK1203" s="189">
        <f>VLOOKUP($H1203,RoR!$E:$F,2,FALSE)</f>
        <v>4.2350000000000006E-2</v>
      </c>
      <c r="DL1203" s="191">
        <f>HLOOKUP($H1203,'GDP-PI'!$D$8:$CQ$11,3,FALSE)</f>
        <v>1.7730000000000024E-2</v>
      </c>
      <c r="DM1203" s="189">
        <f>VLOOKUP(H1203,'HW Dx Data'!$E:$F,2,FALSE)</f>
        <v>663.24840548821396</v>
      </c>
      <c r="DN1203" s="183">
        <f>VLOOKUP(H1203,'ECI - Input Price'!$G$17:$H$37,2,FALSE)</f>
        <v>118.72499999999999</v>
      </c>
      <c r="DO1203" s="177">
        <f t="shared" ref="DO1203" si="3618">LN(DN1203/DN1202)</f>
        <v>1.8918621429430321E-2</v>
      </c>
      <c r="DP1203" s="183">
        <f>HLOOKUP(H1203,'GDP-PI'!$8:$9,2,FALSE)</f>
        <v>101.773</v>
      </c>
      <c r="DQ1203" s="177">
        <f t="shared" ref="DQ1203" si="3619">LN(DP1203/DP1202)</f>
        <v>1.7574657016510519E-2</v>
      </c>
    </row>
    <row r="1204" spans="1:121" s="167" customFormat="1" ht="21" x14ac:dyDescent="0.35">
      <c r="A1204" s="167" t="s">
        <v>112</v>
      </c>
      <c r="B1204" s="167" t="s">
        <v>112</v>
      </c>
      <c r="C1204" s="167">
        <v>4059746</v>
      </c>
      <c r="D1204" s="168" t="s">
        <v>138</v>
      </c>
      <c r="E1204" s="168"/>
      <c r="F1204" s="198"/>
      <c r="G1204" s="167" t="s">
        <v>20</v>
      </c>
      <c r="H1204" s="169">
        <v>2014</v>
      </c>
      <c r="I1204" s="170"/>
      <c r="J1204" s="166">
        <f>IFERROR(INDEX('Labor Expenditures'!$F$7:$X$91,MATCH($C1204,'Labor Expenditures'!$D$7:$D$91,0),MATCH($G1204,'Labor Expenditures'!$F$5:$X$5,0)),"NA")</f>
        <v>54232.6483570071</v>
      </c>
      <c r="K1204" s="166">
        <f t="shared" si="3582"/>
        <v>447.46409535484406</v>
      </c>
      <c r="L1204" s="172">
        <f t="shared" si="3589"/>
        <v>-1.2387925624931701E-2</v>
      </c>
      <c r="M1204" s="172">
        <f t="shared" si="3593"/>
        <v>-2.7718555086903658E-4</v>
      </c>
      <c r="N1204" s="196"/>
      <c r="O1204" s="172"/>
      <c r="P1204" s="166">
        <f>IFERROR(INDEX('Non-Labor Expenditures'!$F$7:$AB$91,MATCH($C1204,'Non-Labor Expenditures'!$D$7:$D$91,0),MATCH($G1204,'Non-Labor Expenditures'!$F$5:$AB$5,0)),"NA")</f>
        <v>78539.004082434141</v>
      </c>
      <c r="Q1204" s="166">
        <f t="shared" si="3583"/>
        <v>757.75472596827831</v>
      </c>
      <c r="R1204" s="172">
        <f t="shared" si="3594"/>
        <v>-1.0001798323159099E-2</v>
      </c>
      <c r="S1204" s="172">
        <f t="shared" si="3599"/>
        <v>-2.2379485168253472E-4</v>
      </c>
      <c r="T1204" s="172"/>
      <c r="U1204" s="172"/>
      <c r="V1204" s="166">
        <f t="shared" si="3564"/>
        <v>121856.74345166986</v>
      </c>
      <c r="W1204" s="170"/>
      <c r="X1204" s="174">
        <v>5975.5135522944183</v>
      </c>
      <c r="Y1204" s="175">
        <v>4.7048573935157635E-2</v>
      </c>
      <c r="Z1204" s="175">
        <f t="shared" si="3600"/>
        <v>1.0527335470575337E-3</v>
      </c>
      <c r="AA1204" s="175"/>
      <c r="AB1204" s="175"/>
      <c r="AC1204" s="170">
        <f t="shared" si="3457"/>
        <v>254628.39589111111</v>
      </c>
      <c r="AD1204" s="175">
        <f t="shared" si="3595"/>
        <v>4.1407525615966605E-2</v>
      </c>
      <c r="AE1204" s="170"/>
      <c r="AF1204" s="170"/>
      <c r="AG1204" s="121">
        <f t="shared" si="3596"/>
        <v>213.72559207902694</v>
      </c>
      <c r="AH1204" s="119">
        <f>+AZ1204/$BB$52</f>
        <v>3.2517801980389678E-2</v>
      </c>
      <c r="AI1204" s="119"/>
      <c r="AJ1204" s="176">
        <f t="shared" si="3601"/>
        <v>6.9498864813673391</v>
      </c>
      <c r="AK1204" s="176">
        <f t="shared" si="3602"/>
        <v>0</v>
      </c>
      <c r="AL1204" s="120">
        <f t="shared" si="3584"/>
        <v>0.21298743279284163</v>
      </c>
      <c r="AM1204" s="120">
        <f t="shared" si="3585"/>
        <v>0.30844558324916926</v>
      </c>
      <c r="AN1204" s="120">
        <f t="shared" si="3586"/>
        <v>0.47856698395798902</v>
      </c>
      <c r="AO1204" s="120">
        <f t="shared" si="3590"/>
        <v>1.6282302774455103E-2</v>
      </c>
      <c r="AP1204" s="173">
        <f t="shared" si="3606"/>
        <v>103.84451128006943</v>
      </c>
      <c r="AQ1204" s="175">
        <f t="shared" si="3607"/>
        <v>1.6282302774455099E-2</v>
      </c>
      <c r="AR1204" s="177">
        <f>+AC1204/$AE$52</f>
        <v>2.2375461337221646E-2</v>
      </c>
      <c r="AS1204" s="177">
        <f t="shared" si="3603"/>
        <v>3.643240362107568E-4</v>
      </c>
      <c r="AT1204" s="177"/>
      <c r="AU1204" s="177"/>
      <c r="AV1204" s="177"/>
      <c r="AW1204" s="190"/>
      <c r="AX1204" s="120"/>
      <c r="AY1204" s="120"/>
      <c r="AZ1204" s="118">
        <f>IFERROR(INDEX('Total Customers'!$F$7:$AB$91,MATCH($C1204,'Total Customers'!$D$7:$D$91,0),MATCH($G1204,'Total Customers'!$F$5:$AB$5,0)),"NA")</f>
        <v>1191380</v>
      </c>
      <c r="BA1204" s="119">
        <f t="shared" si="3565"/>
        <v>5.8604689548574578E-4</v>
      </c>
      <c r="BB1204" s="119"/>
      <c r="BC1204" s="121"/>
      <c r="BD1204" s="119"/>
      <c r="BE1204" s="119"/>
      <c r="BF1204" s="119"/>
      <c r="BG1204" s="173"/>
      <c r="BH1204" s="173"/>
      <c r="BI1204" s="173"/>
      <c r="BJ1204" s="173"/>
      <c r="BK1204" s="173"/>
      <c r="BL1204" s="173"/>
      <c r="BM1204" s="173"/>
      <c r="BN1204" s="173"/>
      <c r="BO1204" s="173"/>
      <c r="BP1204" s="173"/>
      <c r="BQ1204" s="118"/>
      <c r="BR1204" s="118"/>
      <c r="BS1204" s="118">
        <f>INDEX('Dist. Plant Gas Additions'!$F$7:$AE$91,MATCH($C1204,'Dist. Plant Gas Additions'!$D$7:$D$91,0),MATCH(Calculation!$G1204,'Dist. Plant Gas Additions'!$F$5:$AE$5,0))</f>
        <v>208114</v>
      </c>
      <c r="BT1204" s="118">
        <f>INDEX('Gen. Plant Additions'!$F$7:$AE$91,MATCH($C1204,'Gen. Plant Additions'!$D$7:$D$91,0),MATCH(Calculation!$G1204,'Gen. Plant Additions'!$F$5:$AE$5,0))</f>
        <v>9691</v>
      </c>
      <c r="BU1204" s="118"/>
      <c r="BV1204" s="118"/>
      <c r="BW1204" s="118">
        <f>INDEX('Dist Plant Depreciation'!$E$7:$AD$94,MATCH($C1204,'Dist Plant Depreciation'!$D$7:$D$94,0),MATCH(Calculation!$G1204,'Dist Plant Depreciation'!$E$5:$AD$5,0))</f>
        <v>818318</v>
      </c>
      <c r="BX1204" s="118">
        <f>INDEX('Gen. Plant Depreciation'!$E$7:$AD$94,MATCH($C1204,'Gen. Plant Depreciation'!$D$7:$D$94,0),MATCH(Calculation!$G1204,'Gen. Plant Depreciation'!$E$5:$AD$5,0))</f>
        <v>14505</v>
      </c>
      <c r="BY1204" s="118"/>
      <c r="BZ1204" s="118"/>
      <c r="CA1204" s="118"/>
      <c r="CB1204" s="118"/>
      <c r="CC1204" s="118"/>
      <c r="CD1204" s="183"/>
      <c r="CE1204" s="118">
        <f>INDEX('Gross Dx Plant'!$E$7:$AD$91,MATCH($C1204,'Gross Dx Plant'!$D$7:$D$91,0),MATCH(Calculation!$G1204,'Gross Dx Plant'!$E$5:$AD$5,0))</f>
        <v>2499020</v>
      </c>
      <c r="CF1204" s="118">
        <f>INDEX('Gross Gen Plant'!$E$7:$AD$91,MATCH($C1204,'Gross Gen Plant'!$D$7:$D$91,0),MATCH(Calculation!$G1204,'Gross Gen Plant'!$E$5:$AD$5,0))</f>
        <v>156068</v>
      </c>
      <c r="CG1204" s="118">
        <f t="shared" si="3556"/>
        <v>1822265</v>
      </c>
      <c r="CH1204" s="118"/>
      <c r="CI1204" s="121">
        <v>2014</v>
      </c>
      <c r="CJ1204" s="118"/>
      <c r="CK1204" s="118"/>
      <c r="CL1204" s="118"/>
      <c r="CM1204" s="183"/>
      <c r="CN1204" s="118">
        <f t="shared" si="3566"/>
        <v>217805</v>
      </c>
      <c r="CO1204" s="118">
        <f t="shared" si="3567"/>
        <v>318.21010819123961</v>
      </c>
      <c r="CP1204" s="186">
        <v>0.89743589743589747</v>
      </c>
      <c r="CQ1204" s="118">
        <f>+CQ1188*CP1204+CO1189*CP1203+CO1190*CP1202+CO1191*CP1201+CO1192*CP1200+CO1193*CP1199+CO1194*CP1198+CO1195*CP1197+CO1196*CP1196+CO1197*CP1195+CO1198*CP1194+CO1199*CP1193+CO1200*CP1192+CO1201*CP1191+CO1202*CP1190+CO1203*CP1189+CO1204</f>
        <v>5975.5135522944183</v>
      </c>
      <c r="CR1204" s="119">
        <f t="shared" si="3568"/>
        <v>4.7048573935157635E-2</v>
      </c>
      <c r="CS1204" s="119"/>
      <c r="CT1204" s="177">
        <f t="shared" si="3569"/>
        <v>7.6447441369990512E-3</v>
      </c>
      <c r="CU1204" s="177">
        <f t="shared" si="3577"/>
        <v>7.4795263034162012E-3</v>
      </c>
      <c r="CV1204" s="119">
        <f>VLOOKUP($H1204,RoR!$E:$F,2,FALSE)</f>
        <v>4.1625000000000002E-2</v>
      </c>
      <c r="CW1204" s="177">
        <v>1.841352814597208E-2</v>
      </c>
      <c r="CX1204" s="177">
        <f t="shared" si="3575"/>
        <v>2.3211471854027922E-2</v>
      </c>
      <c r="CY1204" s="177">
        <f t="shared" si="3578"/>
        <v>2.3422415305117423E-2</v>
      </c>
      <c r="CZ1204" s="177">
        <f t="shared" si="3579"/>
        <v>3.9072621432650924E-2</v>
      </c>
      <c r="DA1204" s="187">
        <f t="shared" si="3570"/>
        <v>0.86875000000000002</v>
      </c>
      <c r="DB1204" s="188">
        <f t="shared" si="3571"/>
        <v>1.2320012320012319</v>
      </c>
      <c r="DC1204" s="188">
        <f t="shared" si="3572"/>
        <v>0.37439939939939942</v>
      </c>
      <c r="DD1204" s="188">
        <f t="shared" si="3573"/>
        <v>0.80432100613819935</v>
      </c>
      <c r="DE1204" s="188">
        <f t="shared" si="3574"/>
        <v>0.37100152660040037</v>
      </c>
      <c r="DF1204" s="189">
        <f>INDEX('State Tax Lookup'!$D$7:$Z$91,MATCH(Calculation!$C1204,'State Tax Lookup'!$B$7:$B$91,0),MATCH($H1204,'State Tax Lookup'!$D$6:$Z$6,0))</f>
        <v>0.35</v>
      </c>
      <c r="DG1204" s="189">
        <v>0.375</v>
      </c>
      <c r="DH1204" s="190">
        <f t="shared" si="3576"/>
        <v>21.375056335834131</v>
      </c>
      <c r="DI1204" s="190">
        <v>21.103000563334035</v>
      </c>
      <c r="DJ1204" s="177"/>
      <c r="DK1204" s="189">
        <f>VLOOKUP($H1204,RoR!$E:$F,2,FALSE)</f>
        <v>4.1625000000000002E-2</v>
      </c>
      <c r="DL1204" s="191">
        <f>HLOOKUP($H1204,'GDP-PI'!$D$8:$CQ$11,3,FALSE)</f>
        <v>1.841352814597208E-2</v>
      </c>
      <c r="DM1204" s="189">
        <f>VLOOKUP(H1204,'HW Dx Data'!$E:$F,2,FALSE)</f>
        <v>684.46914285042885</v>
      </c>
      <c r="DN1204" s="183">
        <f>VLOOKUP(H1204,'ECI - Input Price'!$G$17:$H$37,2,FALSE)</f>
        <v>121.2</v>
      </c>
      <c r="DO1204" s="177">
        <f t="shared" ref="DO1204" si="3620">LN(DN1204/DN1203)</f>
        <v>2.0632179200028689E-2</v>
      </c>
      <c r="DP1204" s="183">
        <f>HLOOKUP(H1204,'GDP-PI'!$8:$9,2,FALSE)</f>
        <v>103.64700000000001</v>
      </c>
      <c r="DQ1204" s="177">
        <f t="shared" ref="DQ1204" si="3621">LN(DP1204/DP1203)</f>
        <v>1.8246051898256087E-2</v>
      </c>
    </row>
    <row r="1205" spans="1:121" s="167" customFormat="1" ht="21" x14ac:dyDescent="0.35">
      <c r="A1205" s="167" t="s">
        <v>112</v>
      </c>
      <c r="B1205" s="167" t="s">
        <v>112</v>
      </c>
      <c r="C1205" s="167">
        <v>4059746</v>
      </c>
      <c r="D1205" s="168" t="s">
        <v>138</v>
      </c>
      <c r="E1205" s="168"/>
      <c r="F1205" s="198"/>
      <c r="G1205" s="167" t="s">
        <v>21</v>
      </c>
      <c r="H1205" s="169">
        <v>2015</v>
      </c>
      <c r="I1205" s="170"/>
      <c r="J1205" s="166">
        <f>IFERROR(INDEX('Labor Expenditures'!$F$7:$X$91,MATCH($C1205,'Labor Expenditures'!$D$7:$D$91,0),MATCH($G1205,'Labor Expenditures'!$F$5:$X$5,0)),"NA")</f>
        <v>51575.147147367468</v>
      </c>
      <c r="K1205" s="166">
        <f t="shared" si="3582"/>
        <v>416.76886583731289</v>
      </c>
      <c r="L1205" s="172">
        <f t="shared" si="3589"/>
        <v>-7.1064511090024263E-2</v>
      </c>
      <c r="M1205" s="172">
        <f t="shared" si="3593"/>
        <v>-1.556062295774642E-3</v>
      </c>
      <c r="N1205" s="196"/>
      <c r="O1205" s="172"/>
      <c r="P1205" s="166">
        <f>IFERROR(INDEX('Non-Labor Expenditures'!$F$7:$AB$91,MATCH($C1205,'Non-Labor Expenditures'!$D$7:$D$91,0),MATCH($G1205,'Non-Labor Expenditures'!$F$5:$AB$5,0)),"NA")</f>
        <v>74690.445978116652</v>
      </c>
      <c r="Q1205" s="166">
        <f t="shared" si="3583"/>
        <v>713.79166446656268</v>
      </c>
      <c r="R1205" s="172">
        <f t="shared" si="3594"/>
        <v>-5.9768619461881424E-2</v>
      </c>
      <c r="S1205" s="172">
        <f t="shared" si="3599"/>
        <v>-1.3087220862931064E-3</v>
      </c>
      <c r="T1205" s="172"/>
      <c r="U1205" s="172"/>
      <c r="V1205" s="166">
        <f t="shared" si="3564"/>
        <v>125428.65374377638</v>
      </c>
      <c r="W1205" s="170"/>
      <c r="X1205" s="174">
        <v>6335.6620413010278</v>
      </c>
      <c r="Y1205" s="175">
        <v>5.8524269349532747E-2</v>
      </c>
      <c r="Z1205" s="175">
        <f t="shared" si="3600"/>
        <v>1.2814752050739303E-3</v>
      </c>
      <c r="AA1205" s="175"/>
      <c r="AB1205" s="175"/>
      <c r="AC1205" s="170">
        <f t="shared" si="3457"/>
        <v>251694.2468692605</v>
      </c>
      <c r="AD1205" s="175">
        <f t="shared" si="3595"/>
        <v>-1.159016650573952E-2</v>
      </c>
      <c r="AE1205" s="170"/>
      <c r="AF1205" s="170"/>
      <c r="AG1205" s="121">
        <f t="shared" si="3596"/>
        <v>210.96953224316826</v>
      </c>
      <c r="AH1205" s="119">
        <f>+AZ1205/$BB$53</f>
        <v>3.2298975065887435E-2</v>
      </c>
      <c r="AI1205" s="119"/>
      <c r="AJ1205" s="176">
        <f t="shared" si="3601"/>
        <v>6.8140996615840272</v>
      </c>
      <c r="AK1205" s="176">
        <f t="shared" si="3602"/>
        <v>0</v>
      </c>
      <c r="AL1205" s="120">
        <f t="shared" si="3584"/>
        <v>0.20491190318767019</v>
      </c>
      <c r="AM1205" s="120">
        <f t="shared" si="3585"/>
        <v>0.29675070808000509</v>
      </c>
      <c r="AN1205" s="120">
        <f t="shared" si="3586"/>
        <v>0.49833738873232475</v>
      </c>
      <c r="AO1205" s="120">
        <f t="shared" si="3590"/>
        <v>-4.348472098215983E-3</v>
      </c>
      <c r="AP1205" s="173">
        <f t="shared" si="3606"/>
        <v>103.39392670745241</v>
      </c>
      <c r="AQ1205" s="175">
        <f t="shared" si="3607"/>
        <v>-4.3484720982159882E-3</v>
      </c>
      <c r="AR1205" s="177">
        <f>+AC1205/$AE$53</f>
        <v>2.1896475074646302E-2</v>
      </c>
      <c r="AS1205" s="177">
        <f t="shared" si="3603"/>
        <v>-9.5216210911381287E-5</v>
      </c>
      <c r="AT1205" s="177"/>
      <c r="AU1205" s="177"/>
      <c r="AV1205" s="177"/>
      <c r="AW1205" s="190"/>
      <c r="AX1205" s="120"/>
      <c r="AY1205" s="120"/>
      <c r="AZ1205" s="118">
        <f>IFERROR(INDEX('Total Customers'!$F$7:$AB$91,MATCH($C1205,'Total Customers'!$D$7:$D$91,0),MATCH($G1205,'Total Customers'!$F$5:$AB$5,0)),"NA")</f>
        <v>1193036</v>
      </c>
      <c r="BA1205" s="119">
        <f t="shared" si="3565"/>
        <v>1.3890195890765844E-3</v>
      </c>
      <c r="BB1205" s="119"/>
      <c r="BC1205" s="121"/>
      <c r="BD1205" s="119"/>
      <c r="BE1205" s="119"/>
      <c r="BF1205" s="119"/>
      <c r="BG1205" s="173"/>
      <c r="BH1205" s="173"/>
      <c r="BI1205" s="173"/>
      <c r="BJ1205" s="173"/>
      <c r="BK1205" s="173"/>
      <c r="BL1205" s="173"/>
      <c r="BM1205" s="173"/>
      <c r="BN1205" s="173"/>
      <c r="BO1205" s="173"/>
      <c r="BP1205" s="173"/>
      <c r="BQ1205" s="118"/>
      <c r="BR1205" s="118"/>
      <c r="BS1205" s="118">
        <f>INDEX('Dist. Plant Gas Additions'!$F$7:$AE$91,MATCH($C1205,'Dist. Plant Gas Additions'!$D$7:$D$91,0),MATCH(Calculation!$G1205,'Dist. Plant Gas Additions'!$F$5:$AE$5,0))</f>
        <v>243349</v>
      </c>
      <c r="BT1205" s="118">
        <f>INDEX('Gen. Plant Additions'!$F$7:$AE$91,MATCH($C1205,'Gen. Plant Additions'!$D$7:$D$91,0),MATCH(Calculation!$G1205,'Gen. Plant Additions'!$F$5:$AE$5,0))</f>
        <v>31575</v>
      </c>
      <c r="BU1205" s="118"/>
      <c r="BV1205" s="118"/>
      <c r="BW1205" s="118">
        <f>INDEX('Dist Plant Depreciation'!$E$7:$AD$94,MATCH($C1205,'Dist Plant Depreciation'!$D$7:$D$94,0),MATCH(Calculation!$G1205,'Dist Plant Depreciation'!$E$5:$AD$5,0))</f>
        <v>869611</v>
      </c>
      <c r="BX1205" s="118">
        <f>INDEX('Gen. Plant Depreciation'!$E$7:$AD$94,MATCH($C1205,'Gen. Plant Depreciation'!$D$7:$D$94,0),MATCH(Calculation!$G1205,'Gen. Plant Depreciation'!$E$5:$AD$5,0))</f>
        <v>-2784</v>
      </c>
      <c r="BY1205" s="118"/>
      <c r="BZ1205" s="118"/>
      <c r="CA1205" s="118"/>
      <c r="CB1205" s="118"/>
      <c r="CC1205" s="118"/>
      <c r="CD1205" s="183"/>
      <c r="CE1205" s="118">
        <f>INDEX('Gross Dx Plant'!$E$7:$AD$91,MATCH($C1205,'Gross Dx Plant'!$D$7:$D$91,0),MATCH(Calculation!$G1205,'Gross Dx Plant'!$E$5:$AD$5,0))</f>
        <v>2734427</v>
      </c>
      <c r="CF1205" s="118">
        <f>INDEX('Gross Gen Plant'!$E$7:$AD$91,MATCH($C1205,'Gross Gen Plant'!$D$7:$D$91,0),MATCH(Calculation!$G1205,'Gross Gen Plant'!$E$5:$AD$5,0))</f>
        <v>181694</v>
      </c>
      <c r="CG1205" s="118">
        <f t="shared" si="3556"/>
        <v>2049294</v>
      </c>
      <c r="CH1205" s="118"/>
      <c r="CI1205" s="121">
        <v>2015</v>
      </c>
      <c r="CJ1205" s="118"/>
      <c r="CK1205" s="118"/>
      <c r="CL1205" s="118"/>
      <c r="CM1205" s="183"/>
      <c r="CN1205" s="118">
        <f t="shared" si="3566"/>
        <v>274924</v>
      </c>
      <c r="CO1205" s="118">
        <f t="shared" si="3567"/>
        <v>406.92428277339701</v>
      </c>
      <c r="CP1205" s="186">
        <v>0.88888888888888884</v>
      </c>
      <c r="CQ1205" s="118">
        <f>+CQ1188*CP1205+CO1189*CP1204+CO1190*CP1203+CO1191*CP1202+CO1192*CP1201+CO1193*CP1200+CO1194*CP1199+CO1195*CP1198+CO1196*CP1197+CO1197*CP1196+CO1198*CP1195+CO1199*CP1194+CO1200*CP1193+CO1201*CP1192+CO1202*CP1191+CO1203*CP1190+CO1204*CP1189+CO1205</f>
        <v>6335.6620413010278</v>
      </c>
      <c r="CR1205" s="119">
        <f t="shared" si="3568"/>
        <v>5.8524269349532747E-2</v>
      </c>
      <c r="CS1205" s="119"/>
      <c r="CT1205" s="177">
        <f t="shared" si="3569"/>
        <v>7.8279119204452408E-3</v>
      </c>
      <c r="CU1205" s="177">
        <f t="shared" si="3577"/>
        <v>7.6511073918705706E-3</v>
      </c>
      <c r="CV1205" s="119">
        <f>VLOOKUP($H1205,RoR!$E:$F,2,FALSE)</f>
        <v>3.8866666666666674E-2</v>
      </c>
      <c r="CW1205" s="177">
        <v>9.5709475431029478E-3</v>
      </c>
      <c r="CX1205" s="177">
        <f t="shared" si="3575"/>
        <v>2.9295719123563727E-2</v>
      </c>
      <c r="CY1205" s="177">
        <f t="shared" si="3578"/>
        <v>2.3250834216663054E-2</v>
      </c>
      <c r="CZ1205" s="177">
        <f t="shared" si="3579"/>
        <v>3.5270373279175926E-3</v>
      </c>
      <c r="DA1205" s="187">
        <f t="shared" si="3570"/>
        <v>0.86875000000000002</v>
      </c>
      <c r="DB1205" s="188">
        <f t="shared" si="3571"/>
        <v>1.3194352816994324</v>
      </c>
      <c r="DC1205" s="188">
        <f t="shared" si="3572"/>
        <v>0.33177530017152673</v>
      </c>
      <c r="DD1205" s="188">
        <f t="shared" si="3573"/>
        <v>0.78242572977668579</v>
      </c>
      <c r="DE1205" s="188">
        <f t="shared" si="3574"/>
        <v>0.34251158643433932</v>
      </c>
      <c r="DF1205" s="189">
        <f>INDEX('State Tax Lookup'!$D$7:$Z$91,MATCH(Calculation!$C1205,'State Tax Lookup'!$B$7:$B$91,0),MATCH($H1205,'State Tax Lookup'!$D$6:$Z$6,0))</f>
        <v>0.35</v>
      </c>
      <c r="DG1205" s="189">
        <v>0.375</v>
      </c>
      <c r="DH1205" s="190">
        <f t="shared" si="3576"/>
        <v>20.990439172481757</v>
      </c>
      <c r="DI1205" s="190">
        <v>20.685301048251997</v>
      </c>
      <c r="DJ1205" s="177"/>
      <c r="DK1205" s="189">
        <f>VLOOKUP($H1205,RoR!$E:$F,2,FALSE)</f>
        <v>3.8866666666666674E-2</v>
      </c>
      <c r="DL1205" s="191">
        <f>HLOOKUP($H1205,'GDP-PI'!$D$8:$CQ$11,3,FALSE)</f>
        <v>9.5709475431029478E-3</v>
      </c>
      <c r="DM1205" s="189">
        <f>VLOOKUP(H1205,'HW Dx Data'!$E:$F,2,FALSE)</f>
        <v>675.61463308665782</v>
      </c>
      <c r="DN1205" s="183">
        <f>VLOOKUP(H1205,'ECI - Input Price'!$G$17:$H$37,2,FALSE)</f>
        <v>123.75</v>
      </c>
      <c r="DO1205" s="177">
        <f t="shared" ref="DO1205" si="3622">LN(DN1205/DN1204)</f>
        <v>2.0821327813585516E-2</v>
      </c>
      <c r="DP1205" s="183">
        <f>HLOOKUP(H1205,'GDP-PI'!$8:$9,2,FALSE)</f>
        <v>104.639</v>
      </c>
      <c r="DQ1205" s="177">
        <f t="shared" ref="DQ1205" si="3623">LN(DP1205/DP1204)</f>
        <v>9.5254361854427965E-3</v>
      </c>
    </row>
    <row r="1206" spans="1:121" s="167" customFormat="1" ht="21" x14ac:dyDescent="0.35">
      <c r="A1206" s="167" t="s">
        <v>112</v>
      </c>
      <c r="B1206" s="167" t="s">
        <v>112</v>
      </c>
      <c r="C1206" s="167">
        <v>4059746</v>
      </c>
      <c r="D1206" s="168" t="s">
        <v>138</v>
      </c>
      <c r="E1206" s="168"/>
      <c r="F1206" s="198"/>
      <c r="G1206" s="167" t="s">
        <v>22</v>
      </c>
      <c r="H1206" s="169">
        <v>2016</v>
      </c>
      <c r="I1206" s="170"/>
      <c r="J1206" s="166">
        <f>IFERROR(INDEX('Labor Expenditures'!$F$7:$X$91,MATCH($C1206,'Labor Expenditures'!$D$7:$D$91,0),MATCH($G1206,'Labor Expenditures'!$F$5:$X$5,0)),"NA")</f>
        <v>52139.14993054614</v>
      </c>
      <c r="K1206" s="166">
        <f t="shared" si="3582"/>
        <v>412.49327476697891</v>
      </c>
      <c r="L1206" s="172">
        <f t="shared" si="3589"/>
        <v>-1.031188751542691E-2</v>
      </c>
      <c r="M1206" s="172">
        <f t="shared" si="3593"/>
        <v>-2.2435842939459044E-4</v>
      </c>
      <c r="N1206" s="196"/>
      <c r="O1206" s="172"/>
      <c r="P1206" s="166">
        <f>IFERROR(INDEX('Non-Labor Expenditures'!$F$7:$AB$91,MATCH($C1206,'Non-Labor Expenditures'!$D$7:$D$91,0),MATCH($G1206,'Non-Labor Expenditures'!$F$5:$AB$5,0)),"NA")</f>
        <v>75507.227349348541</v>
      </c>
      <c r="Q1206" s="166">
        <f t="shared" si="3583"/>
        <v>714.11087377381909</v>
      </c>
      <c r="R1206" s="172">
        <f t="shared" si="3594"/>
        <v>4.4710238132539905E-4</v>
      </c>
      <c r="S1206" s="172">
        <f t="shared" si="3599"/>
        <v>9.7277232613989513E-6</v>
      </c>
      <c r="T1206" s="172"/>
      <c r="U1206" s="172"/>
      <c r="V1206" s="166">
        <f t="shared" si="3564"/>
        <v>131219.03483786498</v>
      </c>
      <c r="W1206" s="170"/>
      <c r="X1206" s="174">
        <v>6705.9084810423183</v>
      </c>
      <c r="Y1206" s="175">
        <v>5.6794686978072648E-2</v>
      </c>
      <c r="Z1206" s="175">
        <f t="shared" si="3600"/>
        <v>1.2356968352588012E-3</v>
      </c>
      <c r="AA1206" s="175"/>
      <c r="AB1206" s="175"/>
      <c r="AC1206" s="170">
        <f t="shared" si="3457"/>
        <v>258865.41211775967</v>
      </c>
      <c r="AD1206" s="175">
        <f t="shared" si="3595"/>
        <v>2.8093237519326807E-2</v>
      </c>
      <c r="AE1206" s="170"/>
      <c r="AF1206" s="170"/>
      <c r="AG1206" s="121">
        <f t="shared" si="3596"/>
        <v>215.68540893448477</v>
      </c>
      <c r="AH1206" s="119">
        <f>+AZ1206/$BB$54</f>
        <v>3.2212152826723128E-2</v>
      </c>
      <c r="AI1206" s="119"/>
      <c r="AJ1206" s="176">
        <f t="shared" si="3601"/>
        <v>6.9476913550918971</v>
      </c>
      <c r="AK1206" s="176">
        <f t="shared" si="3602"/>
        <v>0</v>
      </c>
      <c r="AL1206" s="120">
        <f t="shared" si="3584"/>
        <v>0.2014141228988432</v>
      </c>
      <c r="AM1206" s="120">
        <f t="shared" si="3585"/>
        <v>0.29168526892654079</v>
      </c>
      <c r="AN1206" s="120">
        <f t="shared" si="3586"/>
        <v>0.50690060817461602</v>
      </c>
      <c r="AO1206" s="120">
        <f t="shared" si="3590"/>
        <v>2.6582640111888538E-2</v>
      </c>
      <c r="AP1206" s="173">
        <f t="shared" si="3606"/>
        <v>106.17926708456297</v>
      </c>
      <c r="AQ1206" s="175">
        <f t="shared" si="3607"/>
        <v>2.6582640111888482E-2</v>
      </c>
      <c r="AR1206" s="177">
        <f>+AC1206/$AE$54</f>
        <v>2.1757261127891777E-2</v>
      </c>
      <c r="AS1206" s="177">
        <f t="shared" si="3603"/>
        <v>5.7836544238312802E-4</v>
      </c>
      <c r="AT1206" s="177"/>
      <c r="AU1206" s="177"/>
      <c r="AV1206" s="177"/>
      <c r="AW1206" s="190"/>
      <c r="AX1206" s="120"/>
      <c r="AY1206" s="120"/>
      <c r="AZ1206" s="118">
        <f>IFERROR(INDEX('Total Customers'!$F$7:$AB$91,MATCH($C1206,'Total Customers'!$D$7:$D$91,0),MATCH($G1206,'Total Customers'!$F$5:$AB$5,0)),"NA")</f>
        <v>1200199</v>
      </c>
      <c r="BA1206" s="119">
        <f t="shared" si="3565"/>
        <v>5.9860576911457417E-3</v>
      </c>
      <c r="BB1206" s="119"/>
      <c r="BC1206" s="121"/>
      <c r="BD1206" s="119"/>
      <c r="BE1206" s="119"/>
      <c r="BF1206" s="119"/>
      <c r="BG1206" s="173"/>
      <c r="BH1206" s="173"/>
      <c r="BI1206" s="173"/>
      <c r="BJ1206" s="173"/>
      <c r="BK1206" s="173"/>
      <c r="BL1206" s="173"/>
      <c r="BM1206" s="173"/>
      <c r="BN1206" s="173"/>
      <c r="BO1206" s="173"/>
      <c r="BP1206" s="173"/>
      <c r="BQ1206" s="118"/>
      <c r="BR1206" s="118"/>
      <c r="BS1206" s="118">
        <f>INDEX('Dist. Plant Gas Additions'!$F$7:$AE$91,MATCH($C1206,'Dist. Plant Gas Additions'!$D$7:$D$91,0),MATCH(Calculation!$G1206,'Dist. Plant Gas Additions'!$F$5:$AE$5,0))</f>
        <v>256809</v>
      </c>
      <c r="BT1206" s="118">
        <f>INDEX('Gen. Plant Additions'!$F$7:$AE$91,MATCH($C1206,'Gen. Plant Additions'!$D$7:$D$91,0),MATCH(Calculation!$G1206,'Gen. Plant Additions'!$F$5:$AE$5,0))</f>
        <v>25738</v>
      </c>
      <c r="BU1206" s="118"/>
      <c r="BV1206" s="118"/>
      <c r="BW1206" s="118">
        <f>INDEX('Dist Plant Depreciation'!$E$7:$AD$94,MATCH($C1206,'Dist Plant Depreciation'!$D$7:$D$94,0),MATCH(Calculation!$G1206,'Dist Plant Depreciation'!$E$5:$AD$5,0))</f>
        <v>927820</v>
      </c>
      <c r="BX1206" s="118">
        <f>INDEX('Gen. Plant Depreciation'!$E$7:$AD$94,MATCH($C1206,'Gen. Plant Depreciation'!$D$7:$D$94,0),MATCH(Calculation!$G1206,'Gen. Plant Depreciation'!$E$5:$AD$5,0))</f>
        <v>-100896</v>
      </c>
      <c r="BY1206" s="118"/>
      <c r="BZ1206" s="118"/>
      <c r="CA1206" s="118"/>
      <c r="CB1206" s="118"/>
      <c r="CC1206" s="118"/>
      <c r="CD1206" s="183"/>
      <c r="CE1206" s="118">
        <f>INDEX('Gross Dx Plant'!$E$7:$AD$91,MATCH($C1206,'Gross Dx Plant'!$D$7:$D$91,0),MATCH(Calculation!$G1206,'Gross Dx Plant'!$E$5:$AD$5,0))</f>
        <v>2980865</v>
      </c>
      <c r="CF1206" s="118">
        <f>INDEX('Gross Gen Plant'!$E$7:$AD$91,MATCH($C1206,'Gross Gen Plant'!$D$7:$D$91,0),MATCH(Calculation!$G1206,'Gross Gen Plant'!$E$5:$AD$5,0))</f>
        <v>135248</v>
      </c>
      <c r="CG1206" s="118">
        <f t="shared" si="3556"/>
        <v>2289189</v>
      </c>
      <c r="CH1206" s="118"/>
      <c r="CI1206" s="121">
        <v>2016</v>
      </c>
      <c r="CJ1206" s="118"/>
      <c r="CK1206" s="118"/>
      <c r="CL1206" s="118"/>
      <c r="CM1206" s="183"/>
      <c r="CN1206" s="118">
        <f t="shared" si="3566"/>
        <v>282547</v>
      </c>
      <c r="CO1206" s="118">
        <f t="shared" si="3567"/>
        <v>420.79724399650695</v>
      </c>
      <c r="CP1206" s="186">
        <v>0.88</v>
      </c>
      <c r="CQ1206" s="118">
        <f>+CQ1188*CP1206+CO1189*CP1205+CO1190*CP1204+CO1191*CP1203+CO1192*CP1202+CO1193*CP1201+CO1194*CP1200+CO1195*CP1199+CO1196*CP1198+CO1197*CP1197+CO1198*CP1196+CO1199*CP1195+CO1200*CP1194+CO1201*CP1193+CO1202*CP1192+CO1203*CP1191+CO1204*CP1190+CO1205*CP1189+CO1206</f>
        <v>6705.9084810423183</v>
      </c>
      <c r="CR1206" s="119">
        <f t="shared" si="3568"/>
        <v>5.6794686978072648E-2</v>
      </c>
      <c r="CS1206" s="119"/>
      <c r="CT1206" s="177">
        <f t="shared" si="3569"/>
        <v>7.978772214440254E-3</v>
      </c>
      <c r="CU1206" s="177">
        <f t="shared" si="3577"/>
        <v>7.8171427572948492E-3</v>
      </c>
      <c r="CV1206" s="119">
        <f>VLOOKUP($H1206,RoR!$E:$F,2,FALSE)</f>
        <v>3.6658333333333334E-2</v>
      </c>
      <c r="CW1206" s="177">
        <v>1.0483662879041455E-2</v>
      </c>
      <c r="CX1206" s="177">
        <f t="shared" si="3575"/>
        <v>2.6174670454291879E-2</v>
      </c>
      <c r="CY1206" s="177">
        <f t="shared" si="3578"/>
        <v>2.3084798851238778E-2</v>
      </c>
      <c r="CZ1206" s="177">
        <f t="shared" si="3579"/>
        <v>4.301363574220729E-3</v>
      </c>
      <c r="DA1206" s="187">
        <f t="shared" si="3570"/>
        <v>0.86875000000000002</v>
      </c>
      <c r="DB1206" s="188">
        <f t="shared" si="3571"/>
        <v>1.3989193348138562</v>
      </c>
      <c r="DC1206" s="188">
        <f t="shared" si="3572"/>
        <v>0.29302682427824522</v>
      </c>
      <c r="DD1206" s="188">
        <f t="shared" si="3573"/>
        <v>0.76309497491941802</v>
      </c>
      <c r="DE1206" s="188">
        <f t="shared" si="3574"/>
        <v>0.31280857135128509</v>
      </c>
      <c r="DF1206" s="189">
        <f>INDEX('State Tax Lookup'!$D$7:$Z$91,MATCH(Calculation!$C1206,'State Tax Lookup'!$B$7:$B$91,0),MATCH($H1206,'State Tax Lookup'!$D$6:$Z$6,0))</f>
        <v>0.35</v>
      </c>
      <c r="DG1206" s="189">
        <v>0.375</v>
      </c>
      <c r="DH1206" s="190">
        <f t="shared" si="3576"/>
        <v>20.711179665593267</v>
      </c>
      <c r="DI1206" s="190">
        <v>20.39760716105555</v>
      </c>
      <c r="DJ1206" s="177"/>
      <c r="DK1206" s="189">
        <f>VLOOKUP($H1206,RoR!$E:$F,2,FALSE)</f>
        <v>3.6658333333333334E-2</v>
      </c>
      <c r="DL1206" s="191">
        <f>HLOOKUP($H1206,'GDP-PI'!$D$8:$CQ$11,3,FALSE)</f>
        <v>1.0483662879041455E-2</v>
      </c>
      <c r="DM1206" s="189">
        <f>VLOOKUP(H1206,'HW Dx Data'!$E:$F,2,FALSE)</f>
        <v>671.45639385971219</v>
      </c>
      <c r="DN1206" s="183">
        <f>VLOOKUP(H1206,'ECI - Input Price'!$G$17:$H$37,2,FALSE)</f>
        <v>126.4</v>
      </c>
      <c r="DO1206" s="177">
        <f t="shared" ref="DO1206" si="3624">LN(DN1206/DN1205)</f>
        <v>2.11880802639575E-2</v>
      </c>
      <c r="DP1206" s="183">
        <f>HLOOKUP(H1206,'GDP-PI'!$8:$9,2,FALSE)</f>
        <v>105.736</v>
      </c>
      <c r="DQ1206" s="177">
        <f t="shared" ref="DQ1206" si="3625">LN(DP1206/DP1205)</f>
        <v>1.0429090367205095E-2</v>
      </c>
    </row>
    <row r="1207" spans="1:121" s="167" customFormat="1" ht="21" x14ac:dyDescent="0.35">
      <c r="A1207" s="167" t="s">
        <v>112</v>
      </c>
      <c r="B1207" s="167" t="s">
        <v>112</v>
      </c>
      <c r="C1207" s="167">
        <v>4059746</v>
      </c>
      <c r="D1207" s="168" t="s">
        <v>138</v>
      </c>
      <c r="E1207" s="168"/>
      <c r="F1207" s="198"/>
      <c r="G1207" s="167" t="s">
        <v>23</v>
      </c>
      <c r="H1207" s="169">
        <v>2017</v>
      </c>
      <c r="I1207" s="170"/>
      <c r="J1207" s="166">
        <f>IFERROR(INDEX('Labor Expenditures'!$F$7:$X$91,MATCH($C1207,'Labor Expenditures'!$D$7:$D$91,0),MATCH($G1207,'Labor Expenditures'!$F$5:$X$5,0)),"NA")</f>
        <v>52483.983598102386</v>
      </c>
      <c r="K1207" s="166">
        <f t="shared" si="3582"/>
        <v>405.28172662627327</v>
      </c>
      <c r="L1207" s="172">
        <f t="shared" si="3589"/>
        <v>-1.7637455473002155E-2</v>
      </c>
      <c r="M1207" s="172">
        <f t="shared" si="3593"/>
        <v>-3.8123188595092893E-4</v>
      </c>
      <c r="N1207" s="196"/>
      <c r="O1207" s="172"/>
      <c r="P1207" s="166">
        <f>IFERROR(INDEX('Non-Labor Expenditures'!$F$7:$AB$91,MATCH($C1207,'Non-Labor Expenditures'!$D$7:$D$91,0),MATCH($G1207,'Non-Labor Expenditures'!$F$5:$AB$5,0)),"NA")</f>
        <v>76006.610906014947</v>
      </c>
      <c r="Q1207" s="166">
        <f t="shared" si="3583"/>
        <v>705.39123447592078</v>
      </c>
      <c r="R1207" s="172">
        <f t="shared" si="3594"/>
        <v>-1.2285644273912051E-2</v>
      </c>
      <c r="S1207" s="172">
        <f t="shared" si="3599"/>
        <v>-2.6555300699894501E-4</v>
      </c>
      <c r="T1207" s="172"/>
      <c r="U1207" s="172"/>
      <c r="V1207" s="166">
        <f t="shared" si="3564"/>
        <v>127589.18917650983</v>
      </c>
      <c r="W1207" s="170"/>
      <c r="X1207" s="174">
        <v>7063.2788573758071</v>
      </c>
      <c r="Y1207" s="175">
        <v>5.1920370455997629E-2</v>
      </c>
      <c r="Z1207" s="175">
        <f t="shared" si="3600"/>
        <v>1.1222537615195856E-3</v>
      </c>
      <c r="AA1207" s="175"/>
      <c r="AB1207" s="175"/>
      <c r="AC1207" s="170">
        <f t="shared" si="3457"/>
        <v>256079.78368062715</v>
      </c>
      <c r="AD1207" s="175">
        <f t="shared" si="3595"/>
        <v>-1.0819231376975807E-2</v>
      </c>
      <c r="AE1207" s="170"/>
      <c r="AF1207" s="170"/>
      <c r="AG1207" s="121">
        <f t="shared" si="3596"/>
        <v>212.87154352002042</v>
      </c>
      <c r="AH1207" s="119">
        <f>+AZ1207/$BB$55</f>
        <v>3.2044160418586556E-2</v>
      </c>
      <c r="AI1207" s="119"/>
      <c r="AJ1207" s="176">
        <f t="shared" si="3601"/>
        <v>6.8212898891076641</v>
      </c>
      <c r="AK1207" s="176">
        <f t="shared" si="3602"/>
        <v>0</v>
      </c>
      <c r="AL1207" s="120">
        <f t="shared" si="3584"/>
        <v>0.20495168671166322</v>
      </c>
      <c r="AM1207" s="120">
        <f t="shared" si="3585"/>
        <v>0.29680832205328422</v>
      </c>
      <c r="AN1207" s="120">
        <f t="shared" si="3586"/>
        <v>0.49823999123505258</v>
      </c>
      <c r="AO1207" s="120">
        <f t="shared" si="3590"/>
        <v>1.8894995246351246E-2</v>
      </c>
      <c r="AP1207" s="173">
        <f t="shared" si="3606"/>
        <v>108.20459788253591</v>
      </c>
      <c r="AQ1207" s="175">
        <f t="shared" si="3607"/>
        <v>1.8894995246351191E-2</v>
      </c>
      <c r="AR1207" s="177">
        <f>+AC1207/$AE$55</f>
        <v>2.1614902814892135E-2</v>
      </c>
      <c r="AS1207" s="177">
        <f t="shared" si="3603"/>
        <v>4.0841348593772988E-4</v>
      </c>
      <c r="AT1207" s="177"/>
      <c r="AU1207" s="177"/>
      <c r="AV1207" s="177"/>
      <c r="AW1207" s="190"/>
      <c r="AX1207" s="120"/>
      <c r="AY1207" s="120"/>
      <c r="AZ1207" s="118">
        <f>IFERROR(INDEX('Total Customers'!$F$7:$AB$91,MATCH($C1207,'Total Customers'!$D$7:$D$91,0),MATCH($G1207,'Total Customers'!$F$5:$AB$5,0)),"NA")</f>
        <v>1202978</v>
      </c>
      <c r="BA1207" s="119">
        <f t="shared" si="3565"/>
        <v>2.3127728325630344E-3</v>
      </c>
      <c r="BB1207" s="119"/>
      <c r="BC1207" s="121"/>
      <c r="BD1207" s="119"/>
      <c r="BE1207" s="119"/>
      <c r="BF1207" s="119"/>
      <c r="BG1207" s="173"/>
      <c r="BH1207" s="173"/>
      <c r="BI1207" s="173"/>
      <c r="BJ1207" s="173"/>
      <c r="BK1207" s="173"/>
      <c r="BL1207" s="173"/>
      <c r="BM1207" s="173"/>
      <c r="BN1207" s="173"/>
      <c r="BO1207" s="173"/>
      <c r="BP1207" s="173"/>
      <c r="BQ1207" s="118"/>
      <c r="BR1207" s="118"/>
      <c r="BS1207" s="118">
        <f>INDEX('Dist. Plant Gas Additions'!$F$7:$AE$91,MATCH($C1207,'Dist. Plant Gas Additions'!$D$7:$D$91,0),MATCH(Calculation!$G1207,'Dist. Plant Gas Additions'!$F$5:$AE$5,0))</f>
        <v>258491</v>
      </c>
      <c r="BT1207" s="118">
        <f>INDEX('Gen. Plant Additions'!$F$7:$AE$91,MATCH($C1207,'Gen. Plant Additions'!$D$7:$D$91,0),MATCH(Calculation!$G1207,'Gen. Plant Additions'!$F$5:$AE$5,0))</f>
        <v>34978</v>
      </c>
      <c r="BU1207" s="118"/>
      <c r="BV1207" s="118"/>
      <c r="BW1207" s="118">
        <f>INDEX('Dist Plant Depreciation'!$E$7:$AD$94,MATCH($C1207,'Dist Plant Depreciation'!$D$7:$D$94,0),MATCH(Calculation!$G1207,'Dist Plant Depreciation'!$E$5:$AD$5,0))</f>
        <v>992652</v>
      </c>
      <c r="BX1207" s="118">
        <f>INDEX('Gen. Plant Depreciation'!$E$7:$AD$94,MATCH($C1207,'Gen. Plant Depreciation'!$D$7:$D$94,0),MATCH(Calculation!$G1207,'Gen. Plant Depreciation'!$E$5:$AD$5,0))</f>
        <v>-124017</v>
      </c>
      <c r="BY1207" s="118"/>
      <c r="BZ1207" s="118"/>
      <c r="CA1207" s="118"/>
      <c r="CB1207" s="118"/>
      <c r="CC1207" s="118"/>
      <c r="CD1207" s="183"/>
      <c r="CE1207" s="118">
        <f>INDEX('Gross Dx Plant'!$E$7:$AD$91,MATCH($C1207,'Gross Dx Plant'!$D$7:$D$91,0),MATCH(Calculation!$G1207,'Gross Dx Plant'!$E$5:$AD$5,0))</f>
        <v>3229218</v>
      </c>
      <c r="CF1207" s="118">
        <f>INDEX('Gross Gen Plant'!$E$7:$AD$91,MATCH($C1207,'Gross Gen Plant'!$D$7:$D$91,0),MATCH(Calculation!$G1207,'Gross Gen Plant'!$E$5:$AD$5,0))</f>
        <v>161906</v>
      </c>
      <c r="CG1207" s="118">
        <f t="shared" si="3556"/>
        <v>2522489</v>
      </c>
      <c r="CH1207" s="118"/>
      <c r="CI1207" s="121">
        <v>2017</v>
      </c>
      <c r="CJ1207" s="118"/>
      <c r="CK1207" s="118"/>
      <c r="CL1207" s="118"/>
      <c r="CM1207" s="183"/>
      <c r="CN1207" s="118">
        <f t="shared" si="3566"/>
        <v>293469</v>
      </c>
      <c r="CO1207" s="118">
        <f t="shared" si="3567"/>
        <v>411.92760469396325</v>
      </c>
      <c r="CP1207" s="186">
        <v>0.87074829931972786</v>
      </c>
      <c r="CQ1207" s="118">
        <f>+CQ1188*CP1207+CO1189*CP1206+CO1190*CP1205+CO1191*CP1204+CO1192*CP1203+CO1193*CP1202+CO1194*CP1201+CO1195*CP1200+CO1196*CP1199+CO1197*CP1198+CO1198*CP1197+CO1199*CP1196+CO1200*CP1195+CO1201*CP1194+CO1202*CP1193+CO1203*CP1192+CO1204*CP1191+CO1205*CP1190+CO1206*CP1189+CO1207</f>
        <v>7063.2788573758071</v>
      </c>
      <c r="CR1207" s="119">
        <f t="shared" si="3568"/>
        <v>5.1920370455997629E-2</v>
      </c>
      <c r="CS1207" s="119"/>
      <c r="CT1207" s="177">
        <f t="shared" si="3569"/>
        <v>8.1356953371356545E-3</v>
      </c>
      <c r="CU1207" s="177">
        <f t="shared" si="3577"/>
        <v>7.9807931573403837E-3</v>
      </c>
      <c r="CV1207" s="119">
        <f>VLOOKUP($H1207,RoR!$E:$F,2,FALSE)</f>
        <v>3.7433333333333339E-2</v>
      </c>
      <c r="CW1207" s="177">
        <v>1.9056896421275615E-2</v>
      </c>
      <c r="CX1207" s="177">
        <f t="shared" si="3575"/>
        <v>1.8376436912057724E-2</v>
      </c>
      <c r="CY1207" s="177">
        <f t="shared" si="3578"/>
        <v>2.2921148451193241E-2</v>
      </c>
      <c r="CZ1207" s="177">
        <f t="shared" si="3579"/>
        <v>1.3976271617800498E-2</v>
      </c>
      <c r="DA1207" s="187">
        <f t="shared" si="3570"/>
        <v>0.92125000000000001</v>
      </c>
      <c r="DB1207" s="188">
        <f t="shared" si="3571"/>
        <v>1.3699568463593395</v>
      </c>
      <c r="DC1207" s="188">
        <f t="shared" si="3572"/>
        <v>0.30714603739982199</v>
      </c>
      <c r="DD1207" s="188">
        <f t="shared" si="3573"/>
        <v>0.77007188472689425</v>
      </c>
      <c r="DE1207" s="188">
        <f t="shared" si="3574"/>
        <v>0.32402839633793828</v>
      </c>
      <c r="DF1207" s="189">
        <f>INDEX('State Tax Lookup'!$D$7:$Z$91,MATCH(Calculation!$C1207,'State Tax Lookup'!$B$7:$B$91,0),MATCH($H1207,'State Tax Lookup'!$D$6:$Z$6,0))</f>
        <v>0.20999999999999996</v>
      </c>
      <c r="DG1207" s="189">
        <v>0.375</v>
      </c>
      <c r="DH1207" s="190">
        <f t="shared" si="3576"/>
        <v>19.02638390267418</v>
      </c>
      <c r="DI1207" s="190">
        <v>18.776512935010089</v>
      </c>
      <c r="DJ1207" s="177"/>
      <c r="DK1207" s="189">
        <f>VLOOKUP($H1207,RoR!$E:$F,2,FALSE)</f>
        <v>3.7433333333333339E-2</v>
      </c>
      <c r="DL1207" s="191">
        <f>HLOOKUP($H1207,'GDP-PI'!$D$8:$CQ$11,3,FALSE)</f>
        <v>1.9056896421275615E-2</v>
      </c>
      <c r="DM1207" s="189">
        <f>VLOOKUP(H1207,'HW Dx Data'!$E:$F,2,FALSE)</f>
        <v>712.42858370229726</v>
      </c>
      <c r="DN1207" s="183">
        <f>VLOOKUP(H1207,'ECI - Input Price'!$G$17:$H$37,2,FALSE)</f>
        <v>129.5</v>
      </c>
      <c r="DO1207" s="177">
        <f t="shared" ref="DO1207" si="3626">LN(DN1207/DN1206)</f>
        <v>2.4229399426835413E-2</v>
      </c>
      <c r="DP1207" s="183">
        <f>HLOOKUP(H1207,'GDP-PI'!$8:$9,2,FALSE)</f>
        <v>107.751</v>
      </c>
      <c r="DQ1207" s="177">
        <f t="shared" ref="DQ1207" si="3627">LN(DP1207/DP1206)</f>
        <v>1.8877588227745139E-2</v>
      </c>
    </row>
    <row r="1208" spans="1:121" s="167" customFormat="1" ht="21" x14ac:dyDescent="0.35">
      <c r="A1208" s="167" t="s">
        <v>112</v>
      </c>
      <c r="B1208" s="167" t="s">
        <v>112</v>
      </c>
      <c r="C1208" s="167">
        <v>4059746</v>
      </c>
      <c r="D1208" s="168" t="s">
        <v>138</v>
      </c>
      <c r="E1208" s="168"/>
      <c r="F1208" s="198"/>
      <c r="G1208" s="167" t="s">
        <v>24</v>
      </c>
      <c r="H1208" s="169">
        <v>2018</v>
      </c>
      <c r="I1208" s="170"/>
      <c r="J1208" s="166">
        <f>IFERROR(INDEX('Labor Expenditures'!$F$7:$X$91,MATCH($C1208,'Labor Expenditures'!$D$7:$D$91,0),MATCH($G1208,'Labor Expenditures'!$F$5:$X$5,0)),"NA")</f>
        <v>49433.836429002302</v>
      </c>
      <c r="K1208" s="166">
        <f t="shared" si="3582"/>
        <v>370.98563924204353</v>
      </c>
      <c r="L1208" s="172">
        <f t="shared" si="3589"/>
        <v>-8.8419092957844309E-2</v>
      </c>
      <c r="M1208" s="172">
        <f t="shared" si="3593"/>
        <v>-1.800188900081991E-3</v>
      </c>
      <c r="N1208" s="196"/>
      <c r="O1208" s="172"/>
      <c r="P1208" s="166">
        <f>IFERROR(INDEX('Non-Labor Expenditures'!$F$7:$AB$91,MATCH($C1208,'Non-Labor Expenditures'!$D$7:$D$91,0),MATCH($G1208,'Non-Labor Expenditures'!$F$5:$AB$5,0)),"NA")</f>
        <v>71589.428116249444</v>
      </c>
      <c r="Q1208" s="166">
        <f t="shared" si="3583"/>
        <v>648.91343627063907</v>
      </c>
      <c r="R1208" s="172">
        <f t="shared" si="3594"/>
        <v>-8.3453263767991323E-2</v>
      </c>
      <c r="S1208" s="172">
        <f t="shared" si="3599"/>
        <v>-1.699085956269408E-3</v>
      </c>
      <c r="T1208" s="172"/>
      <c r="U1208" s="172"/>
      <c r="V1208" s="166">
        <f t="shared" si="3564"/>
        <v>141252.46314607622</v>
      </c>
      <c r="W1208" s="170"/>
      <c r="X1208" s="174">
        <v>7294.2693123792023</v>
      </c>
      <c r="Y1208" s="175">
        <v>3.2179643076363132E-2</v>
      </c>
      <c r="Z1208" s="175">
        <f t="shared" si="3600"/>
        <v>6.5516885931286698E-4</v>
      </c>
      <c r="AA1208" s="175"/>
      <c r="AB1208" s="175"/>
      <c r="AC1208" s="170">
        <f t="shared" si="3457"/>
        <v>262275.72769132798</v>
      </c>
      <c r="AD1208" s="175">
        <f t="shared" si="3595"/>
        <v>2.3907295221633585E-2</v>
      </c>
      <c r="AE1208" s="170"/>
      <c r="AF1208" s="170"/>
      <c r="AG1208" s="121">
        <f t="shared" si="3596"/>
        <v>217.56953884869762</v>
      </c>
      <c r="AH1208" s="119">
        <f>+AZ1208/$BB$56</f>
        <v>3.1831883882543446E-2</v>
      </c>
      <c r="AI1208" s="119"/>
      <c r="AJ1208" s="176">
        <f t="shared" si="3601"/>
        <v>6.9256482970102677</v>
      </c>
      <c r="AK1208" s="176">
        <f t="shared" si="3602"/>
        <v>0</v>
      </c>
      <c r="AL1208" s="120">
        <f t="shared" si="3584"/>
        <v>0.18848040901131702</v>
      </c>
      <c r="AM1208" s="120">
        <f t="shared" si="3585"/>
        <v>0.27295483553286704</v>
      </c>
      <c r="AN1208" s="120">
        <f t="shared" si="3586"/>
        <v>0.53856475545581595</v>
      </c>
      <c r="AO1208" s="120">
        <f t="shared" si="3590"/>
        <v>-2.4485748715629568E-2</v>
      </c>
      <c r="AP1208" s="173">
        <f t="shared" si="3606"/>
        <v>105.5873012880584</v>
      </c>
      <c r="AQ1208" s="175">
        <f t="shared" si="3607"/>
        <v>-2.4485748715629529E-2</v>
      </c>
      <c r="AR1208" s="177">
        <f>+AC1208/$AE$56</f>
        <v>2.0359730459350783E-2</v>
      </c>
      <c r="AS1208" s="177">
        <f t="shared" si="3603"/>
        <v>-4.9852324394561182E-4</v>
      </c>
      <c r="AT1208" s="177"/>
      <c r="AU1208" s="177"/>
      <c r="AV1208" s="177"/>
      <c r="AW1208" s="190"/>
      <c r="AX1208" s="120"/>
      <c r="AY1208" s="120"/>
      <c r="AZ1208" s="118">
        <f>IFERROR(INDEX('Total Customers'!$F$7:$AB$91,MATCH($C1208,'Total Customers'!$D$7:$D$91,0),MATCH($G1208,'Total Customers'!$F$5:$AB$5,0)),"NA")</f>
        <v>1205480</v>
      </c>
      <c r="BA1208" s="119">
        <f t="shared" si="3565"/>
        <v>2.0776786641427008E-3</v>
      </c>
      <c r="BB1208" s="119"/>
      <c r="BC1208" s="121"/>
      <c r="BD1208" s="119"/>
      <c r="BE1208" s="119"/>
      <c r="BF1208" s="119"/>
      <c r="BG1208" s="173"/>
      <c r="BH1208" s="173"/>
      <c r="BI1208" s="173"/>
      <c r="BJ1208" s="173"/>
      <c r="BK1208" s="173"/>
      <c r="BL1208" s="173"/>
      <c r="BM1208" s="173"/>
      <c r="BN1208" s="173"/>
      <c r="BO1208" s="173"/>
      <c r="BP1208" s="173"/>
      <c r="BQ1208" s="118"/>
      <c r="BR1208" s="118"/>
      <c r="BS1208" s="118">
        <f>INDEX('Dist. Plant Gas Additions'!$F$7:$AE$91,MATCH($C1208,'Dist. Plant Gas Additions'!$D$7:$D$91,0),MATCH(Calculation!$G1208,'Dist. Plant Gas Additions'!$F$5:$AE$5,0))</f>
        <v>211387</v>
      </c>
      <c r="BT1208" s="118">
        <f>INDEX('Gen. Plant Additions'!$F$7:$AE$91,MATCH($C1208,'Gen. Plant Additions'!$D$7:$D$91,0),MATCH(Calculation!$G1208,'Gen. Plant Additions'!$F$5:$AE$5,0))</f>
        <v>7365</v>
      </c>
      <c r="BU1208" s="118"/>
      <c r="BV1208" s="118"/>
      <c r="BW1208" s="118">
        <f>INDEX('Dist Plant Depreciation'!$E$7:$AD$94,MATCH($C1208,'Dist Plant Depreciation'!$D$7:$D$94,0),MATCH(Calculation!$G1208,'Dist Plant Depreciation'!$E$5:$AD$5,0))</f>
        <v>1052807</v>
      </c>
      <c r="BX1208" s="118">
        <f>INDEX('Gen. Plant Depreciation'!$E$7:$AD$94,MATCH($C1208,'Gen. Plant Depreciation'!$D$7:$D$94,0),MATCH(Calculation!$G1208,'Gen. Plant Depreciation'!$E$5:$AD$5,0))</f>
        <v>-147341</v>
      </c>
      <c r="BY1208" s="118"/>
      <c r="BZ1208" s="118"/>
      <c r="CA1208" s="118"/>
      <c r="CB1208" s="118"/>
      <c r="CC1208" s="118"/>
      <c r="CD1208" s="183"/>
      <c r="CE1208" s="118">
        <f>INDEX('Gross Dx Plant'!$E$7:$AD$91,MATCH($C1208,'Gross Dx Plant'!$D$7:$D$91,0),MATCH(Calculation!$G1208,'Gross Dx Plant'!$E$5:$AD$5,0))</f>
        <v>3436342</v>
      </c>
      <c r="CF1208" s="118">
        <f>INDEX('Gross Gen Plant'!$E$7:$AD$91,MATCH($C1208,'Gross Gen Plant'!$D$7:$D$91,0),MATCH(Calculation!$G1208,'Gross Gen Plant'!$E$5:$AD$5,0))</f>
        <v>163321</v>
      </c>
      <c r="CG1208" s="118">
        <f t="shared" si="3556"/>
        <v>2694197</v>
      </c>
      <c r="CH1208" s="118"/>
      <c r="CI1208" s="121">
        <v>2018</v>
      </c>
      <c r="CJ1208" s="118"/>
      <c r="CK1208" s="118"/>
      <c r="CL1208" s="118"/>
      <c r="CM1208" s="183"/>
      <c r="CN1208" s="118">
        <f t="shared" si="3566"/>
        <v>218752</v>
      </c>
      <c r="CO1208" s="118">
        <f t="shared" si="3567"/>
        <v>289.68529253763779</v>
      </c>
      <c r="CP1208" s="186">
        <v>0.86111111111111116</v>
      </c>
      <c r="CQ1208" s="118">
        <f>+CQ1188*CP1208++CO1189*CP1207+CO1190*CP1206+CO1191*CP1205+CO1192*CP1204+CO1193*CP1203+CO1194*CP1202+CO1195*CP1201+CO1196*CP1200+CO1197*CP1199+CO1198*CP1198+CO1199*CP1197+CO1200*CP1196+CO1201*CP1195+CO1202*CP1194+CO1203*CP1193+CO1204*CP1192+CO1205*CP1191+CO1206*CP1190+CO1207*CP1189+CO1208</f>
        <v>7294.2693123792023</v>
      </c>
      <c r="CR1208" s="119">
        <f t="shared" si="3568"/>
        <v>3.2179643076363132E-2</v>
      </c>
      <c r="CS1208" s="119"/>
      <c r="CT1208" s="177">
        <f t="shared" si="3569"/>
        <v>8.3098570394046726E-3</v>
      </c>
      <c r="CU1208" s="177">
        <f t="shared" si="3577"/>
        <v>8.1414415303268598E-3</v>
      </c>
      <c r="CV1208" s="119">
        <f>VLOOKUP($H1208,RoR!$E:$F,2,FALSE)</f>
        <v>3.9299999999999995E-2</v>
      </c>
      <c r="CW1208" s="177">
        <v>2.386056741932796E-2</v>
      </c>
      <c r="CX1208" s="177">
        <f t="shared" si="3575"/>
        <v>1.5439432580672034E-2</v>
      </c>
      <c r="CY1208" s="177">
        <f t="shared" si="3578"/>
        <v>2.2760500078206763E-2</v>
      </c>
      <c r="CZ1208" s="177">
        <f t="shared" si="3579"/>
        <v>3.8270792163076606E-2</v>
      </c>
      <c r="DA1208" s="187">
        <f t="shared" si="3570"/>
        <v>0.92125000000000001</v>
      </c>
      <c r="DB1208" s="188">
        <f t="shared" si="3571"/>
        <v>1.3048868010700074</v>
      </c>
      <c r="DC1208" s="188">
        <f t="shared" si="3572"/>
        <v>0.33886768447837151</v>
      </c>
      <c r="DD1208" s="188">
        <f t="shared" si="3573"/>
        <v>0.78602506232557801</v>
      </c>
      <c r="DE1208" s="188">
        <f t="shared" si="3574"/>
        <v>0.34756768162358759</v>
      </c>
      <c r="DF1208" s="189">
        <f>INDEX('State Tax Lookup'!$D$7:$Z$91,MATCH(Calculation!$C1208,'State Tax Lookup'!$B$7:$B$91,0),MATCH($H1208,'State Tax Lookup'!$D$6:$Z$6,0))</f>
        <v>0.20999999999999996</v>
      </c>
      <c r="DG1208" s="189">
        <v>0.375</v>
      </c>
      <c r="DH1208" s="190">
        <f t="shared" si="3576"/>
        <v>19.998143354990688</v>
      </c>
      <c r="DI1208" s="190">
        <v>19.737068211995375</v>
      </c>
      <c r="DJ1208" s="177"/>
      <c r="DK1208" s="189">
        <f>VLOOKUP($H1208,RoR!$E:$F,2,FALSE)</f>
        <v>3.9299999999999995E-2</v>
      </c>
      <c r="DL1208" s="191">
        <f>HLOOKUP($H1208,'GDP-PI'!$D$8:$CQ$11,3,FALSE)</f>
        <v>2.386056741932796E-2</v>
      </c>
      <c r="DM1208" s="189">
        <f>VLOOKUP(H1208,'HW Dx Data'!$E:$F,2,FALSE)</f>
        <v>755.13671434174842</v>
      </c>
      <c r="DN1208" s="183">
        <f>VLOOKUP(H1208,'ECI - Input Price'!$G$17:$H$37,2,FALSE)</f>
        <v>133.25</v>
      </c>
      <c r="DO1208" s="177">
        <f t="shared" ref="DO1208" si="3628">LN(DN1208/DN1207)</f>
        <v>2.8546181906361531E-2</v>
      </c>
      <c r="DP1208" s="183">
        <f>HLOOKUP(H1208,'GDP-PI'!$8:$9,2,FALSE)</f>
        <v>110.322</v>
      </c>
      <c r="DQ1208" s="177">
        <f t="shared" ref="DQ1208" si="3629">LN(DP1208/DP1207)</f>
        <v>2.3580352716508712E-2</v>
      </c>
    </row>
    <row r="1209" spans="1:121" s="167" customFormat="1" ht="21" x14ac:dyDescent="0.35">
      <c r="A1209" s="167" t="s">
        <v>112</v>
      </c>
      <c r="B1209" s="167" t="s">
        <v>112</v>
      </c>
      <c r="C1209" s="167">
        <v>4059746</v>
      </c>
      <c r="D1209" s="168" t="s">
        <v>138</v>
      </c>
      <c r="E1209" s="168"/>
      <c r="F1209" s="198"/>
      <c r="G1209" s="167" t="s">
        <v>25</v>
      </c>
      <c r="H1209" s="169">
        <v>2019</v>
      </c>
      <c r="I1209" s="170"/>
      <c r="J1209" s="166">
        <f>IFERROR(INDEX('Labor Expenditures'!$F$7:$X$91,MATCH($C1209,'Labor Expenditures'!$D$7:$D$91,0),MATCH($G1209,'Labor Expenditures'!$F$5:$X$5,0)),"NA")</f>
        <v>61020.989286347278</v>
      </c>
      <c r="K1209" s="166">
        <f t="shared" si="3582"/>
        <v>445.89688919508427</v>
      </c>
      <c r="L1209" s="172">
        <f t="shared" si="3589"/>
        <v>0.18392438153017016</v>
      </c>
      <c r="M1209" s="172">
        <f t="shared" si="3593"/>
        <v>4.1182923741665007E-3</v>
      </c>
      <c r="N1209" s="196"/>
      <c r="O1209" s="172"/>
      <c r="P1209" s="166">
        <f>IFERROR(INDEX('Non-Labor Expenditures'!$F$7:$AB$91,MATCH($C1209,'Non-Labor Expenditures'!$D$7:$D$91,0),MATCH($G1209,'Non-Labor Expenditures'!$F$5:$AB$5,0)),"NA")</f>
        <v>88369.789635312613</v>
      </c>
      <c r="Q1209" s="166">
        <f t="shared" si="3583"/>
        <v>786.7820797673802</v>
      </c>
      <c r="R1209" s="172">
        <f t="shared" si="3594"/>
        <v>0.19265198251950261</v>
      </c>
      <c r="S1209" s="172">
        <f t="shared" si="3599"/>
        <v>4.3137140594270811E-3</v>
      </c>
      <c r="T1209" s="172"/>
      <c r="U1209" s="172"/>
      <c r="V1209" s="166">
        <f t="shared" si="3564"/>
        <v>148081.9663801096</v>
      </c>
      <c r="W1209" s="170"/>
      <c r="X1209" s="174">
        <v>7672.8878072253392</v>
      </c>
      <c r="Y1209" s="175">
        <v>5.060403716846848E-2</v>
      </c>
      <c r="Z1209" s="175">
        <f t="shared" si="3600"/>
        <v>1.133086427362848E-3</v>
      </c>
      <c r="AA1209" s="175"/>
      <c r="AB1209" s="175"/>
      <c r="AC1209" s="170">
        <f t="shared" si="3457"/>
        <v>297472.74530176946</v>
      </c>
      <c r="AD1209" s="175">
        <f t="shared" si="3595"/>
        <v>0.12592626220866882</v>
      </c>
      <c r="AE1209" s="170"/>
      <c r="AF1209" s="170"/>
      <c r="AG1209" s="121">
        <f t="shared" si="3596"/>
        <v>246.08685660116663</v>
      </c>
      <c r="AH1209" s="119">
        <f>+AZ1209/$BB$57</f>
        <v>3.1658723604591703E-2</v>
      </c>
      <c r="AI1209" s="119"/>
      <c r="AJ1209" s="176">
        <f t="shared" si="3601"/>
        <v>7.7907957758591273</v>
      </c>
      <c r="AK1209" s="176">
        <f t="shared" si="3602"/>
        <v>0</v>
      </c>
      <c r="AL1209" s="120">
        <f t="shared" si="3584"/>
        <v>0.20513136161245596</v>
      </c>
      <c r="AM1209" s="120">
        <f t="shared" si="3585"/>
        <v>0.29706852486827456</v>
      </c>
      <c r="AN1209" s="120">
        <f t="shared" si="3586"/>
        <v>0.49780011351926956</v>
      </c>
      <c r="AO1209" s="120">
        <f t="shared" si="3590"/>
        <v>0.11732758914419583</v>
      </c>
      <c r="AP1209" s="173">
        <f t="shared" si="3606"/>
        <v>118.73162572803066</v>
      </c>
      <c r="AQ1209" s="175">
        <f t="shared" si="3607"/>
        <v>0.11732758914419587</v>
      </c>
      <c r="AR1209" s="177">
        <f>+AC1209/$AE$57</f>
        <v>2.2391225893511859E-2</v>
      </c>
      <c r="AS1209" s="177">
        <f t="shared" si="3603"/>
        <v>2.6271085520688394E-3</v>
      </c>
      <c r="AT1209" s="177"/>
      <c r="AU1209" s="177"/>
      <c r="AV1209" s="177"/>
      <c r="AW1209" s="190"/>
      <c r="AX1209" s="120"/>
      <c r="AY1209" s="120"/>
      <c r="AZ1209" s="118">
        <f>IFERROR(INDEX('Total Customers'!$F$7:$AB$91,MATCH($C1209,'Total Customers'!$D$7:$D$91,0),MATCH($G1209,'Total Customers'!$F$5:$AB$5,0)),"NA")</f>
        <v>1208812</v>
      </c>
      <c r="BA1209" s="119">
        <f t="shared" si="3565"/>
        <v>2.7602312524813576E-3</v>
      </c>
      <c r="BB1209" s="119"/>
      <c r="BC1209" s="121"/>
      <c r="BD1209" s="119"/>
      <c r="BE1209" s="119"/>
      <c r="BF1209" s="119"/>
      <c r="BG1209" s="173"/>
      <c r="BH1209" s="173"/>
      <c r="BI1209" s="173"/>
      <c r="BJ1209" s="173"/>
      <c r="BK1209" s="173"/>
      <c r="BL1209" s="173"/>
      <c r="BM1209" s="173"/>
      <c r="BN1209" s="173"/>
      <c r="BO1209" s="173"/>
      <c r="BP1209" s="173"/>
      <c r="BQ1209" s="118"/>
      <c r="BR1209" s="118"/>
      <c r="BS1209" s="118">
        <f>INDEX('Dist. Plant Gas Additions'!$F$7:$AE$91,MATCH($C1209,'Dist. Plant Gas Additions'!$D$7:$D$91,0),MATCH(Calculation!$G1209,'Dist. Plant Gas Additions'!$F$5:$AE$5,0))</f>
        <v>328982</v>
      </c>
      <c r="BT1209" s="118">
        <f>INDEX('Gen. Plant Additions'!$F$7:$AE$91,MATCH($C1209,'Gen. Plant Additions'!$D$7:$D$91,0),MATCH(Calculation!$G1209,'Gen. Plant Additions'!$F$5:$AE$5,0))</f>
        <v>12171</v>
      </c>
      <c r="BU1209" s="118"/>
      <c r="BV1209" s="118"/>
      <c r="BW1209" s="118">
        <f>INDEX('Dist Plant Depreciation'!$E$7:$AD$94,MATCH($C1209,'Dist Plant Depreciation'!$D$7:$D$94,0),MATCH(Calculation!$G1209,'Dist Plant Depreciation'!$E$5:$AD$5,0))</f>
        <v>1085232</v>
      </c>
      <c r="BX1209" s="118">
        <f>INDEX('Gen. Plant Depreciation'!$E$7:$AD$94,MATCH($C1209,'Gen. Plant Depreciation'!$D$7:$D$94,0),MATCH(Calculation!$G1209,'Gen. Plant Depreciation'!$E$5:$AD$5,0))</f>
        <v>-111209</v>
      </c>
      <c r="BY1209" s="118"/>
      <c r="BZ1209" s="118"/>
      <c r="CA1209" s="118"/>
      <c r="CB1209" s="118"/>
      <c r="CC1209" s="118"/>
      <c r="CD1209" s="183"/>
      <c r="CE1209" s="118">
        <f>INDEX('Gross Dx Plant'!$E$7:$AD$91,MATCH($C1209,'Gross Dx Plant'!$D$7:$D$91,0),MATCH(Calculation!$G1209,'Gross Dx Plant'!$E$5:$AD$5,0))</f>
        <v>3739138</v>
      </c>
      <c r="CF1209" s="118">
        <f>INDEX('Gross Gen Plant'!$E$7:$AD$91,MATCH($C1209,'Gross Gen Plant'!$D$7:$D$91,0),MATCH(Calculation!$G1209,'Gross Gen Plant'!$E$5:$AD$5,0))</f>
        <v>162771</v>
      </c>
      <c r="CG1209" s="118">
        <f t="shared" si="3556"/>
        <v>2927886</v>
      </c>
      <c r="CH1209" s="118"/>
      <c r="CI1209" s="121">
        <v>2019</v>
      </c>
      <c r="CJ1209" s="118"/>
      <c r="CK1209" s="118"/>
      <c r="CL1209" s="118"/>
      <c r="CM1209" s="183"/>
      <c r="CN1209" s="118">
        <f t="shared" si="3566"/>
        <v>341153</v>
      </c>
      <c r="CO1209" s="118">
        <f t="shared" si="3567"/>
        <v>441.02865996438618</v>
      </c>
      <c r="CP1209" s="186">
        <v>0.85106382978723405</v>
      </c>
      <c r="CQ1209" s="118">
        <f>CQ1188*CP1209+CO1189*CP1208+CO1190*CP1207+CO1191*CP1206+CO1192*CP1205+CO1193*CP1204+CO1194*CP1203+CO1195*CP1202+CO1196*CP1201+CO1197*CP1200+CO1198*CP1199+CO1199*CP1198+CO1200*CP1197+CO1201*CP1196+CO1202*CP1195+CO1203*CP1194+CO1204*CP1193+CO1205*CP1192+CO1206*CP1191+CO1207*CP1190+CO1208*CP1189+CO1209</f>
        <v>7672.8878072253392</v>
      </c>
      <c r="CR1209" s="119">
        <f t="shared" si="3568"/>
        <v>5.060403716846848E-2</v>
      </c>
      <c r="CS1209" s="119"/>
      <c r="CT1209" s="177">
        <f t="shared" si="3569"/>
        <v>8.5560544100465544E-3</v>
      </c>
      <c r="CU1209" s="177">
        <f t="shared" si="3577"/>
        <v>8.3338689288622939E-3</v>
      </c>
      <c r="CV1209" s="119">
        <f>VLOOKUP($H1209,RoR!$E:$F,2,FALSE)</f>
        <v>3.3875000000000009E-2</v>
      </c>
      <c r="CW1209" s="177">
        <v>1.8092492884465461E-2</v>
      </c>
      <c r="CX1209" s="177">
        <f t="shared" si="3575"/>
        <v>1.5782507115534548E-2</v>
      </c>
      <c r="CY1209" s="177">
        <f t="shared" si="3578"/>
        <v>2.2568072679671331E-2</v>
      </c>
      <c r="CZ1209" s="177">
        <f t="shared" si="3579"/>
        <v>4.8445665544254078E-2</v>
      </c>
      <c r="DA1209" s="187">
        <f t="shared" si="3570"/>
        <v>0.92125000000000001</v>
      </c>
      <c r="DB1209" s="188">
        <f t="shared" si="3571"/>
        <v>1.513861292459078</v>
      </c>
      <c r="DC1209" s="188">
        <f t="shared" si="3572"/>
        <v>0.23699261992619944</v>
      </c>
      <c r="DD1209" s="188">
        <f t="shared" si="3573"/>
        <v>0.73619765810468829</v>
      </c>
      <c r="DE1209" s="188">
        <f t="shared" si="3574"/>
        <v>0.26412854465362851</v>
      </c>
      <c r="DF1209" s="189">
        <f>INDEX('State Tax Lookup'!$D$7:$Z$91,MATCH(Calculation!$C1209,'State Tax Lookup'!$B$7:$B$91,0),MATCH($H1209,'State Tax Lookup'!$D$6:$Z$6,0))</f>
        <v>0.20999999999999996</v>
      </c>
      <c r="DG1209" s="189">
        <v>0.375</v>
      </c>
      <c r="DH1209" s="190">
        <f t="shared" si="3576"/>
        <v>20.301137788921189</v>
      </c>
      <c r="DI1209" s="190">
        <v>19.995819524988203</v>
      </c>
      <c r="DJ1209" s="177"/>
      <c r="DK1209" s="189">
        <f>VLOOKUP($H1209,RoR!$E:$F,2,FALSE)</f>
        <v>3.3875000000000009E-2</v>
      </c>
      <c r="DL1209" s="191">
        <f>HLOOKUP($H1209,'GDP-PI'!$D$8:$CQ$11,3,FALSE)</f>
        <v>1.8092492884465461E-2</v>
      </c>
      <c r="DM1209" s="189">
        <f>VLOOKUP(H1209,'HW Dx Data'!$E:$F,2,FALSE)</f>
        <v>773.53929793938721</v>
      </c>
      <c r="DN1209" s="183">
        <f>VLOOKUP(H1209,'ECI - Input Price'!$G$17:$H$37,2,FALSE)</f>
        <v>136.85</v>
      </c>
      <c r="DO1209" s="177">
        <f t="shared" ref="DO1209" si="3630">LN(DN1209/DN1208)</f>
        <v>2.6658372440734168E-2</v>
      </c>
      <c r="DP1209" s="183">
        <f>HLOOKUP(H1209,'GDP-PI'!$8:$9,2,FALSE)</f>
        <v>112.318</v>
      </c>
      <c r="DQ1209" s="177">
        <f t="shared" ref="DQ1209" si="3631">LN(DP1209/DP1208)</f>
        <v>1.7930771451401852E-2</v>
      </c>
    </row>
    <row r="1210" spans="1:121" s="167" customFormat="1" ht="21" x14ac:dyDescent="0.35">
      <c r="A1210" s="167" t="s">
        <v>112</v>
      </c>
      <c r="B1210" s="167" t="s">
        <v>112</v>
      </c>
      <c r="C1210" s="167">
        <v>4059746</v>
      </c>
      <c r="D1210" s="167" t="s">
        <v>138</v>
      </c>
      <c r="G1210" s="168" t="s">
        <v>26</v>
      </c>
      <c r="H1210" s="169">
        <v>2020</v>
      </c>
      <c r="I1210" s="170"/>
      <c r="J1210" s="166">
        <f>IFERROR(INDEX('Labor Expenditures'!$F$7:$X$91,MATCH($C1210,'Labor Expenditures'!$D$7:$D$91,0),MATCH($G1210,'Labor Expenditures'!$F$5:$X$5,0)),"NA")</f>
        <v>44123.555517447683</v>
      </c>
      <c r="K1210" s="166">
        <f t="shared" si="3582"/>
        <v>314.1584586503929</v>
      </c>
      <c r="L1210" s="172">
        <f t="shared" si="3589"/>
        <v>-0.3501902311449403</v>
      </c>
      <c r="M1210" s="172">
        <f t="shared" si="3593"/>
        <v>-6.911939516722628E-3</v>
      </c>
      <c r="N1210" s="196"/>
      <c r="O1210" s="172"/>
      <c r="P1210" s="166">
        <f>IFERROR(INDEX('Non-Labor Expenditures'!$F$7:$AB$91,MATCH($C1210,'Non-Labor Expenditures'!$D$7:$D$91,0),MATCH($G1210,'Non-Labor Expenditures'!$F$5:$AB$5,0)),"NA")</f>
        <v>63899.149532655741</v>
      </c>
      <c r="Q1210" s="166">
        <f t="shared" si="3583"/>
        <v>562.37865161680065</v>
      </c>
      <c r="R1210" s="172">
        <f t="shared" si="3594"/>
        <v>-0.33577592981276849</v>
      </c>
      <c r="S1210" s="172">
        <f t="shared" si="3599"/>
        <v>-6.6274347815161519E-3</v>
      </c>
      <c r="T1210" s="172"/>
      <c r="U1210" s="172"/>
      <c r="V1210" s="166">
        <f t="shared" si="3564"/>
        <v>162317.64369603648</v>
      </c>
      <c r="W1210" s="170"/>
      <c r="X1210" s="174">
        <v>7847.674711310211</v>
      </c>
      <c r="Y1210" s="175">
        <v>2.2524221466932323E-2</v>
      </c>
      <c r="Z1210" s="175">
        <f t="shared" si="3600"/>
        <v>4.4457566943455006E-4</v>
      </c>
      <c r="AA1210" s="175"/>
      <c r="AB1210" s="175"/>
      <c r="AC1210" s="170">
        <f t="shared" si="3457"/>
        <v>270340.34874613991</v>
      </c>
      <c r="AD1210" s="175">
        <f t="shared" si="3595"/>
        <v>-9.5640892275242362E-2</v>
      </c>
      <c r="AE1210" s="170"/>
      <c r="AF1210" s="170"/>
      <c r="AG1210" s="121">
        <f t="shared" si="3596"/>
        <v>223.40645124850104</v>
      </c>
      <c r="AH1210" s="119">
        <f>+AZ1210/$BB$58</f>
        <v>3.1469196526371875E-2</v>
      </c>
      <c r="AI1210" s="119"/>
      <c r="AJ1210" s="176">
        <f t="shared" si="3601"/>
        <v>7.0304215195983968</v>
      </c>
      <c r="AK1210" s="176">
        <f t="shared" si="3602"/>
        <v>0</v>
      </c>
      <c r="AL1210" s="120">
        <f t="shared" si="3584"/>
        <v>0.163214835381016</v>
      </c>
      <c r="AM1210" s="120">
        <f t="shared" si="3585"/>
        <v>0.23636556595796776</v>
      </c>
      <c r="AN1210" s="120">
        <f t="shared" si="3586"/>
        <v>0.60041959866101624</v>
      </c>
      <c r="AO1210" s="120">
        <f t="shared" si="3590"/>
        <v>-0.14168451184550726</v>
      </c>
      <c r="AP1210" s="173">
        <f t="shared" si="3606"/>
        <v>103.04658714865839</v>
      </c>
      <c r="AQ1210" s="175">
        <f t="shared" si="3607"/>
        <v>-0.14168451184550729</v>
      </c>
      <c r="AR1210" s="177">
        <f>+AC1210/$AE$58</f>
        <v>1.9737670848567573E-2</v>
      </c>
      <c r="AS1210" s="177">
        <f t="shared" si="3603"/>
        <v>-2.7965222591465962E-3</v>
      </c>
      <c r="AT1210" s="177"/>
      <c r="AU1210" s="177"/>
      <c r="AV1210" s="177"/>
      <c r="AW1210" s="190"/>
      <c r="AX1210" s="120"/>
      <c r="AY1210" s="120"/>
      <c r="AZ1210" s="118">
        <f>IFERROR(INDEX('Total Customers'!$F$7:$AB$91,MATCH($C1210,'Total Customers'!$D$7:$D$91,0),MATCH($G1210,'Total Customers'!$F$5:$AB$5,0)),"NA")</f>
        <v>1210083</v>
      </c>
      <c r="BA1210" s="119">
        <f t="shared" si="3565"/>
        <v>1.0508931697917863E-3</v>
      </c>
      <c r="BB1210" s="119"/>
      <c r="BC1210" s="121"/>
      <c r="BD1210" s="119"/>
      <c r="BE1210" s="119"/>
      <c r="BF1210" s="119"/>
      <c r="BG1210" s="173"/>
      <c r="BH1210" s="173"/>
      <c r="BI1210" s="173"/>
      <c r="BJ1210" s="173"/>
      <c r="BK1210" s="173"/>
      <c r="BL1210" s="173"/>
      <c r="BM1210" s="173"/>
      <c r="BN1210" s="173"/>
      <c r="BO1210" s="173"/>
      <c r="BP1210" s="173"/>
      <c r="BQ1210" s="118"/>
      <c r="BR1210" s="118"/>
      <c r="BS1210" s="118">
        <f>INDEX('Dist. Plant Gas Additions'!$F$7:$AE$91,MATCH($C1210,'Dist. Plant Gas Additions'!$D$7:$D$91,0),MATCH(Calculation!$G1210,'Dist. Plant Gas Additions'!$F$5:$AE$5,0))</f>
        <v>191508</v>
      </c>
      <c r="BT1210" s="118">
        <f>INDEX('Gen. Plant Additions'!$F$7:$AE$91,MATCH($C1210,'Gen. Plant Additions'!$D$7:$D$91,0),MATCH(Calculation!$G1210,'Gen. Plant Additions'!$F$5:$AE$5,0))</f>
        <v>5132</v>
      </c>
      <c r="BU1210" s="118"/>
      <c r="BV1210" s="118"/>
      <c r="BW1210" s="118">
        <f>INDEX('Dist Plant Depreciation'!$E$7:$AD$94,MATCH($C1210,'Dist Plant Depreciation'!$D$7:$D$94,0),MATCH(Calculation!$G1210,'Dist Plant Depreciation'!$E$5:$AD$5,0))</f>
        <v>1167722</v>
      </c>
      <c r="BX1210" s="118">
        <f>INDEX('Gen. Plant Depreciation'!$E$7:$AD$94,MATCH($C1210,'Gen. Plant Depreciation'!$D$7:$D$94,0),MATCH(Calculation!$G1210,'Gen. Plant Depreciation'!$E$5:$AD$5,0))</f>
        <v>-134693</v>
      </c>
      <c r="BY1210" s="118"/>
      <c r="BZ1210" s="118"/>
      <c r="CA1210" s="118"/>
      <c r="CB1210" s="118"/>
      <c r="CC1210" s="118"/>
      <c r="CD1210" s="183"/>
      <c r="CE1210" s="118">
        <f>INDEX('Gross Dx Plant'!$E$7:$AD$91,MATCH($C1210,'Gross Dx Plant'!$D$7:$D$91,0),MATCH(Calculation!$G1210,'Gross Dx Plant'!$E$5:$AD$5,0))</f>
        <v>3924822</v>
      </c>
      <c r="CF1210" s="118">
        <f>INDEX('Gross Gen Plant'!$E$7:$AD$91,MATCH($C1210,'Gross Gen Plant'!$D$7:$D$91,0),MATCH(Calculation!$G1210,'Gross Gen Plant'!$E$5:$AD$5,0))</f>
        <v>172413</v>
      </c>
      <c r="CG1210" s="118">
        <f t="shared" si="3556"/>
        <v>3064206</v>
      </c>
      <c r="CH1210" s="118"/>
      <c r="CI1210" s="121">
        <v>2020</v>
      </c>
      <c r="CJ1210" s="118"/>
      <c r="CK1210" s="118"/>
      <c r="CL1210" s="118"/>
      <c r="CM1210" s="183"/>
      <c r="CN1210" s="118">
        <f t="shared" si="3566"/>
        <v>196640</v>
      </c>
      <c r="CO1210" s="118">
        <f t="shared" si="3567"/>
        <v>241.84577250703256</v>
      </c>
      <c r="CP1210" s="186">
        <v>0.84057971014492749</v>
      </c>
      <c r="CQ1210" s="118">
        <f>CQ1188*CP1210+CO1189*CP1209+CO1190*CP1208+CO1191*CP1207+CO1192*CP1206+CO1193*CP1205+CO1194*CP1204+CO1195*CP1203+CO1196*CP1202+CO1197*CP1201+CO1198*CP1200+CO1199*CP1199+CO1200*CP1198+CO1201*CP1197+CO1202*CP1196+CO1203*CP1195+CO1204*CP1194+CO1205*CP1193+CO1206*CP1192+CO1207*CP1191+CO1208*CP1190+CO1209*CP1189+CO1210</f>
        <v>7847.674711310211</v>
      </c>
      <c r="CR1210" s="119">
        <f t="shared" si="3568"/>
        <v>2.2524221466932323E-2</v>
      </c>
      <c r="CS1210" s="119"/>
      <c r="CT1210" s="177">
        <f t="shared" si="3569"/>
        <v>8.739717053990197E-3</v>
      </c>
      <c r="CU1210" s="177">
        <f t="shared" si="3577"/>
        <v>8.5352095011471413E-3</v>
      </c>
      <c r="CV1210" s="119">
        <f>VLOOKUP($H1210,RoR!$E:$F,2,FALSE)</f>
        <v>2.4766666666666666E-2</v>
      </c>
      <c r="CW1210" s="177">
        <v>1.1618796630994188E-2</v>
      </c>
      <c r="CX1210" s="177">
        <f t="shared" si="3575"/>
        <v>1.3147870035672478E-2</v>
      </c>
      <c r="CY1210" s="177">
        <f t="shared" si="3578"/>
        <v>2.2366732107386482E-2</v>
      </c>
      <c r="CZ1210" s="177">
        <f t="shared" si="3579"/>
        <v>4.5144642961987357E-2</v>
      </c>
      <c r="DA1210" s="187">
        <f t="shared" si="3570"/>
        <v>0.92125000000000001</v>
      </c>
      <c r="DB1210" s="188">
        <f t="shared" si="3571"/>
        <v>2.0706077233668081</v>
      </c>
      <c r="DC1210" s="188">
        <f t="shared" si="3572"/>
        <v>-3.4421265141318998E-2</v>
      </c>
      <c r="DD1210" s="188">
        <f t="shared" si="3573"/>
        <v>0.62416226176410472</v>
      </c>
      <c r="DE1210" s="188">
        <f t="shared" si="3574"/>
        <v>-4.4485877841158712E-2</v>
      </c>
      <c r="DF1210" s="189">
        <f>INDEX('State Tax Lookup'!$D$7:$Z$91,MATCH(Calculation!$C1210,'State Tax Lookup'!$B$7:$B$91,0),MATCH($H1210,'State Tax Lookup'!$D$6:$Z$6,0))</f>
        <v>0.20999999999999996</v>
      </c>
      <c r="DG1210" s="189">
        <v>0.375</v>
      </c>
      <c r="DH1210" s="190">
        <f t="shared" si="3576"/>
        <v>21.154700521384736</v>
      </c>
      <c r="DI1210" s="190">
        <v>20.888232964968967</v>
      </c>
      <c r="DJ1210" s="177"/>
      <c r="DK1210" s="189">
        <f>VLOOKUP($H1210,RoR!$E:$F,2,FALSE)</f>
        <v>2.4766666666666666E-2</v>
      </c>
      <c r="DL1210" s="191">
        <f>HLOOKUP($H1210,'GDP-PI'!$D$8:$CQ$11,3,FALSE)</f>
        <v>1.1618796630994188E-2</v>
      </c>
      <c r="DM1210" s="189">
        <f>VLOOKUP(H1210,'HW Dx Data'!$E:$F,2,FALSE)</f>
        <v>813.080162458833</v>
      </c>
      <c r="DN1210" s="183">
        <f>VLOOKUP(H1210,'ECI - Input Price'!$G$17:$H$37,2,FALSE)</f>
        <v>140.44999999999999</v>
      </c>
      <c r="DO1210" s="177">
        <f t="shared" ref="DO1210" si="3632">LN(DN1210/DN1209)</f>
        <v>2.5966118063564539E-2</v>
      </c>
      <c r="DP1210" s="183">
        <f>HLOOKUP(H1210,'GDP-PI'!$8:$9,2,FALSE)</f>
        <v>113.623</v>
      </c>
      <c r="DQ1210" s="177">
        <f t="shared" ref="DQ1210" si="3633">LN(DP1210/DP1209)</f>
        <v>1.1551816731392881E-2</v>
      </c>
    </row>
    <row r="1211" spans="1:121" s="167" customFormat="1" ht="21" x14ac:dyDescent="0.35">
      <c r="A1211" s="167" t="s">
        <v>112</v>
      </c>
      <c r="B1211" s="167" t="s">
        <v>112</v>
      </c>
      <c r="C1211" s="167">
        <v>4059746</v>
      </c>
      <c r="D1211" s="167" t="s">
        <v>138</v>
      </c>
      <c r="G1211" s="168" t="s">
        <v>462</v>
      </c>
      <c r="H1211" s="169">
        <v>2021</v>
      </c>
      <c r="I1211" s="170"/>
      <c r="J1211" s="166">
        <f>IFERROR(INDEX('Labor Expenditures'!$E$7:$X$91,MATCH($C1211,'Labor Expenditures'!$D$7:$D$91,0),MATCH($G1211,'Labor Expenditures'!$E$5:$X$5,0)),"NA")</f>
        <v>39674.062971542</v>
      </c>
      <c r="K1211" s="166">
        <f t="shared" si="3582"/>
        <v>272.72083156241274</v>
      </c>
      <c r="L1211" s="171">
        <f t="shared" si="3589"/>
        <v>-0.14144882703252185</v>
      </c>
      <c r="M1211" s="172">
        <f t="shared" si="3593"/>
        <v>-2.1913307470145839E-3</v>
      </c>
      <c r="N1211" s="196"/>
      <c r="O1211" s="172"/>
      <c r="P1211" s="166">
        <f>IFERROR(INDEX('Non-Labor Expenditures'!$E$7:$AB$91,MATCH($C1211,'Non-Labor Expenditures'!$D$7:$D$91,0),MATCH($G1211,'Non-Labor Expenditures'!$E$5:$AB$5,0)),"NA")</f>
        <v>55926.088767113433</v>
      </c>
      <c r="Q1211" s="166">
        <f t="shared" si="3583"/>
        <v>471.98994655340903</v>
      </c>
      <c r="R1211" s="172">
        <f t="shared" si="3594"/>
        <v>-0.1752176946626583</v>
      </c>
      <c r="S1211" s="172">
        <f t="shared" si="3599"/>
        <v>-2.7144793618332115E-3</v>
      </c>
      <c r="T1211" s="172"/>
      <c r="U1211" s="172"/>
      <c r="V1211" s="166">
        <f t="shared" si="3564"/>
        <v>132883.05801074833</v>
      </c>
      <c r="W1211" s="170"/>
      <c r="X1211" s="174">
        <v>8003.2863662414338</v>
      </c>
      <c r="Y1211" s="175"/>
      <c r="Z1211" s="175">
        <f t="shared" si="3600"/>
        <v>0</v>
      </c>
      <c r="AA1211" s="175"/>
      <c r="AB1211" s="175"/>
      <c r="AC1211" s="170">
        <f t="shared" si="3457"/>
        <v>228483.20974940376</v>
      </c>
      <c r="AD1211" s="175">
        <f t="shared" si="3595"/>
        <v>-0.16821898875724589</v>
      </c>
      <c r="AE1211" s="118"/>
      <c r="AF1211" s="119"/>
      <c r="AG1211" s="121">
        <f t="shared" si="3596"/>
        <v>187.38376616511138</v>
      </c>
      <c r="AH1211" s="119">
        <f>+AZ1211/$BB$59</f>
        <v>3.1284060398761929E-2</v>
      </c>
      <c r="AI1211" s="119"/>
      <c r="AJ1211" s="176">
        <f t="shared" si="3601"/>
        <v>5.8621250584568267</v>
      </c>
      <c r="AK1211" s="176">
        <f t="shared" si="3602"/>
        <v>0</v>
      </c>
      <c r="AL1211" s="120">
        <f t="shared" si="3584"/>
        <v>0.17364104353687868</v>
      </c>
      <c r="AM1211" s="120">
        <f t="shared" si="3585"/>
        <v>0.24477110956403383</v>
      </c>
      <c r="AN1211" s="120">
        <f t="shared" si="3586"/>
        <v>0.58158784689908749</v>
      </c>
      <c r="AO1211" s="120">
        <f t="shared" si="3590"/>
        <v>-6.5975764027282988E-2</v>
      </c>
      <c r="AP1211" s="173">
        <f t="shared" si="3606"/>
        <v>96.467428643412475</v>
      </c>
      <c r="AQ1211" s="175">
        <f t="shared" si="3607"/>
        <v>-6.5975764027282988E-2</v>
      </c>
      <c r="AR1211" s="177">
        <f>+AC1211/$AE$59</f>
        <v>1.5492039015005434E-2</v>
      </c>
      <c r="AS1211" s="177">
        <f t="shared" si="3603"/>
        <v>-1.0220991103554601E-3</v>
      </c>
      <c r="AT1211" s="177"/>
      <c r="AU1211" s="177"/>
      <c r="AV1211" s="177"/>
      <c r="AW1211" s="190"/>
      <c r="AX1211" s="120"/>
      <c r="AY1211" s="120"/>
      <c r="AZ1211" s="118">
        <f>INDEX('Total Customers'!$E$7:$E$91,MATCH(Calculation!$C1211,'Total Customers'!$D$7:$D$91,0))</f>
        <v>1219333</v>
      </c>
      <c r="BA1211" s="119">
        <f t="shared" si="3565"/>
        <v>7.6150356296590636E-3</v>
      </c>
      <c r="BB1211" s="118"/>
      <c r="BC1211" s="121"/>
      <c r="BD1211" s="118"/>
      <c r="BE1211" s="119"/>
      <c r="BF1211" s="119"/>
      <c r="BG1211" s="173"/>
      <c r="BH1211" s="173"/>
      <c r="BI1211" s="173"/>
      <c r="BJ1211" s="173"/>
      <c r="BK1211" s="173"/>
      <c r="BL1211" s="173"/>
      <c r="BM1211" s="173"/>
      <c r="BN1211" s="173"/>
      <c r="BO1211" s="173"/>
      <c r="BP1211" s="173"/>
      <c r="BQ1211" s="118"/>
      <c r="BR1211" s="118"/>
      <c r="BS1211" s="118">
        <f>INDEX('Dist. Plant Gas Additions'!$E$7:$AE$91,MATCH($C1211,'Dist. Plant Gas Additions'!$D$7:$D$91,0),MATCH(Calculation!$G1211,'Dist. Plant Gas Additions'!$E$5:$AE$5,0))</f>
        <v>321479</v>
      </c>
      <c r="BT1211" s="118">
        <f>INDEX('Gen. Plant Additions'!$E$7:$AE$91,MATCH($C1211,'Gen. Plant Additions'!$D$7:$D$91,0),MATCH(Calculation!$G1211,'Gen. Plant Additions'!$E$5:$AE$5,0))</f>
        <v>32263</v>
      </c>
      <c r="BU1211" s="118"/>
      <c r="BV1211" s="118"/>
      <c r="BW1211" s="118"/>
      <c r="BX1211" s="118"/>
      <c r="BY1211" s="183"/>
      <c r="BZ1211" s="183"/>
      <c r="CA1211" s="178"/>
      <c r="CB1211" s="184"/>
      <c r="CC1211" s="185"/>
      <c r="CD1211" s="185"/>
      <c r="CE1211" s="118"/>
      <c r="CF1211" s="118"/>
      <c r="CG1211" s="118"/>
      <c r="CH1211" s="118"/>
      <c r="CI1211" s="121">
        <v>2021</v>
      </c>
      <c r="CJ1211" s="118"/>
      <c r="CK1211" s="118"/>
      <c r="CL1211" s="118"/>
      <c r="CM1211" s="183"/>
      <c r="CN1211" s="118">
        <f t="shared" si="3566"/>
        <v>353742</v>
      </c>
      <c r="CO1211" s="118">
        <f t="shared" si="3567"/>
        <v>379.13555171178081</v>
      </c>
      <c r="CP1211" s="186">
        <f>+(51-23)/(51-23*0.75)</f>
        <v>0.82962962962962961</v>
      </c>
      <c r="CQ1211" s="118">
        <f>CQ1188*CP1211+CO1189*CP1210+CO1190*CP1209+CO1191*CP1208+CO1192*CP1207+CO1193*CP1206+CO1194*CP1205+CO1195*CP1204+CO1196*CP1203+CO1197*CP1202+CO1198*CP1201+CO1199*CP1200+CO1200*CP1199+CO1201*CP1198+CO1202*CP1197+CO1193*CP1196+CO1204*CP1195+CO1205*CP1194+CO1206*CP1193+CO1207*CP1192+CO1208*CP1191+CO1209*CP1190+CO1211+CO1210*CP1189</f>
        <v>8003.2863662414338</v>
      </c>
      <c r="CR1211" s="119"/>
      <c r="CS1211" s="118"/>
      <c r="CT1211" s="177">
        <f t="shared" si="3569"/>
        <v>2.8482818797064983E-2</v>
      </c>
      <c r="CU1211" s="177">
        <f t="shared" si="3577"/>
        <v>1.525953008703391E-2</v>
      </c>
      <c r="CV1211" s="119">
        <f>VLOOKUP($H1211,RoR!$E:$F,2,FALSE)</f>
        <v>2.7033333333333336E-2</v>
      </c>
      <c r="CW1211" s="177"/>
      <c r="CX1211" s="177"/>
      <c r="CY1211" s="177">
        <f t="shared" si="3578"/>
        <v>1.5642411521499713E-2</v>
      </c>
      <c r="CZ1211" s="177">
        <f t="shared" si="3579"/>
        <v>7.433422950153494E-2</v>
      </c>
      <c r="DA1211" s="187">
        <f t="shared" si="3570"/>
        <v>0.92125000000000001</v>
      </c>
      <c r="DB1211" s="188">
        <f t="shared" si="3571"/>
        <v>1.8969932656739068</v>
      </c>
      <c r="DC1211" s="188">
        <f t="shared" si="3572"/>
        <v>5.0215782983970621E-2</v>
      </c>
      <c r="DD1211" s="188">
        <f t="shared" si="3573"/>
        <v>0.655952481704143</v>
      </c>
      <c r="DE1211" s="188">
        <f t="shared" si="3574"/>
        <v>6.2485378865697057E-2</v>
      </c>
      <c r="DF1211" s="189">
        <f>DF1210</f>
        <v>0.20999999999999996</v>
      </c>
      <c r="DG1211" s="189">
        <v>0.375</v>
      </c>
      <c r="DH1211" s="190">
        <f t="shared" si="3576"/>
        <v>16.932793840095698</v>
      </c>
      <c r="DI1211" s="190"/>
      <c r="DJ1211" s="177">
        <f t="shared" ref="DJ1211" si="3634">LN(DH1211/DH1210)</f>
        <v>-0.22260992210116898</v>
      </c>
      <c r="DK1211" s="189">
        <f>VLOOKUP($H1211,RoR!$E:$F,2,FALSE)</f>
        <v>2.7033333333333336E-2</v>
      </c>
      <c r="DL1211" s="191">
        <f>HLOOKUP($H1211,'GDP-PI'!$D$8:$CR$11,3,FALSE)</f>
        <v>4.2834637353352578E-2</v>
      </c>
      <c r="DM1211" s="189">
        <f>VLOOKUP(H1211,'HW Dx Data'!$E:$F,2,FALSE)</f>
        <v>933.02249921662576</v>
      </c>
      <c r="DN1211" s="183">
        <f>VLOOKUP(H1211,'ECI - Input Price'!$G$17:$H$37,2,FALSE)</f>
        <v>145.47500000000002</v>
      </c>
      <c r="DO1211" s="177">
        <f t="shared" ref="DO1211" si="3635">LN(DN1211/DN1210)</f>
        <v>3.5152696992481205E-2</v>
      </c>
      <c r="DP1211" s="183">
        <f>HLOOKUP(H1211,'GDP-PI'!$8:$9,2,FALSE)</f>
        <v>118.49</v>
      </c>
      <c r="DQ1211" s="177">
        <f t="shared" ref="DQ1211" si="3636">LN(DP1211/DP1210)</f>
        <v>4.194261824609434E-2</v>
      </c>
    </row>
    <row r="1212" spans="1:121" s="167" customFormat="1" ht="21" x14ac:dyDescent="0.35">
      <c r="A1212" s="167" t="s">
        <v>115</v>
      </c>
      <c r="B1212" s="167" t="s">
        <v>115</v>
      </c>
      <c r="C1212" s="167">
        <v>4063762</v>
      </c>
      <c r="D1212" s="168" t="s">
        <v>139</v>
      </c>
      <c r="E1212" s="168"/>
      <c r="F1212" s="198"/>
      <c r="G1212" s="167" t="s">
        <v>4</v>
      </c>
      <c r="H1212" s="169">
        <v>1998</v>
      </c>
      <c r="I1212" s="170"/>
      <c r="J1212" s="166"/>
      <c r="K1212" s="166"/>
      <c r="L1212" s="166"/>
      <c r="M1212" s="166"/>
      <c r="N1212" s="196"/>
      <c r="O1212" s="166"/>
      <c r="P1212" s="172"/>
      <c r="Q1212" s="172"/>
      <c r="R1212" s="172"/>
      <c r="S1212" s="166"/>
      <c r="T1212" s="172"/>
      <c r="U1212" s="172"/>
      <c r="V1212" s="166"/>
      <c r="W1212" s="170"/>
      <c r="X1212" s="174">
        <v>1369.5308781186086</v>
      </c>
      <c r="Y1212" s="175"/>
      <c r="Z1212" s="166"/>
      <c r="AA1212" s="175"/>
      <c r="AB1212" s="175"/>
      <c r="AC1212" s="170">
        <f t="shared" si="3457"/>
        <v>0</v>
      </c>
      <c r="AD1212" s="170"/>
      <c r="AE1212" s="170"/>
      <c r="AF1212" s="119"/>
      <c r="AG1212" s="174"/>
      <c r="AH1212" s="175"/>
      <c r="AI1212" s="175"/>
      <c r="AJ1212" s="174"/>
      <c r="AK1212" s="174"/>
      <c r="AL1212" s="120"/>
      <c r="AM1212" s="120"/>
      <c r="AN1212" s="120"/>
      <c r="AO1212" s="120"/>
      <c r="AP1212" s="120"/>
      <c r="AQ1212" s="175">
        <f>AVERAGE(AQ1221:AQ1235)</f>
        <v>1.4673082818869769E-2</v>
      </c>
      <c r="AR1212" s="120"/>
      <c r="AS1212" s="120"/>
      <c r="AT1212" s="120"/>
      <c r="AU1212" s="120"/>
      <c r="AV1212" s="120"/>
      <c r="AW1212" s="120"/>
      <c r="AX1212" s="120"/>
      <c r="AY1212" s="120"/>
      <c r="AZ1212" s="118">
        <f>IFERROR(INDEX('Total Customers'!$F$7:$AB$91,MATCH($C1212,'Total Customers'!$D$7:$D$91,0),MATCH($G1212,'Total Customers'!$F$5:$AB$5,0)),"NA")</f>
        <v>216124</v>
      </c>
      <c r="BA1212" s="119"/>
      <c r="BB1212" s="119"/>
      <c r="BC1212" s="121"/>
      <c r="BD1212" s="119"/>
      <c r="BE1212" s="119"/>
      <c r="BF1212" s="119"/>
      <c r="BG1212" s="173"/>
      <c r="BH1212" s="173"/>
      <c r="BI1212" s="173"/>
      <c r="BJ1212" s="173"/>
      <c r="BK1212" s="173"/>
      <c r="BL1212" s="173"/>
      <c r="BM1212" s="173"/>
      <c r="BN1212" s="173"/>
      <c r="BO1212" s="173"/>
      <c r="BP1212" s="173"/>
      <c r="BQ1212" s="118">
        <f>INDEX('Gross Dx Plant'!$E$7:$AD$91,MATCH($C1212,'Gross Dx Plant'!$D$7:$D$91,0),MATCH(Calculation!$G1212,'Gross Dx Plant'!$E$5:$AD$5,0))</f>
        <v>363876</v>
      </c>
      <c r="BR1212" s="118">
        <f>INDEX('Gross Gen Plant'!$E$7:$AD$91,MATCH($C1212,'Gross Gen Plant'!$D$7:$D$91,0),MATCH(Calculation!$G1212,'Gross Gen Plant'!$E$5:$AD$5,0))</f>
        <v>20715</v>
      </c>
      <c r="BS1212" s="118">
        <f>INDEX('Dist. Plant Gas Additions'!$F$7:$AE$91,MATCH($C1212,'Dist. Plant Gas Additions'!$D$7:$D$91,0),MATCH(Calculation!$G1212,'Dist. Plant Gas Additions'!$F$5:$AE$5,0))</f>
        <v>20888</v>
      </c>
      <c r="BT1212" s="118">
        <f>INDEX('Gen. Plant Additions'!$F$7:$AE$91,MATCH($C1212,'Gen. Plant Additions'!$D$7:$D$91,0),MATCH(Calculation!$G1212,'Gen. Plant Additions'!$F$5:$AE$5,0))</f>
        <v>579</v>
      </c>
      <c r="BU1212" s="118" t="e">
        <f>INDEX('Dist Plant Depreciation'!$E$7:$AA$94,MATCH($C1212,'Dist Plant Depreciation'!$D$7:$D$94,0),MATCH(#REF!,'Dist Plant Depreciation'!$E$5:$AA$5,0))</f>
        <v>#REF!</v>
      </c>
      <c r="BV1212" s="118" t="e">
        <f>INDEX('Gen. Plant Depreciation'!$E$7:$AA$94,MATCH($C1212,'Gen. Plant Depreciation'!$D$7:$D$94,0),MATCH(#REF!,'Gen. Plant Depreciation'!$E$5:$AA$5,0))</f>
        <v>#REF!</v>
      </c>
      <c r="BW1212" s="118">
        <f>INDEX('Dist Plant Depreciation'!$E$7:$AD$94,MATCH($C1212,'Dist Plant Depreciation'!$D$7:$D$94,0),MATCH(Calculation!$G1212,'Dist Plant Depreciation'!$E$5:$AD$5,0))</f>
        <v>102126</v>
      </c>
      <c r="BX1212" s="118">
        <f>INDEX('Gen. Plant Depreciation'!$E$7:$AD$94,MATCH($C1212,'Gen. Plant Depreciation'!$D$7:$D$94,0),MATCH(Calculation!$G1212,'Gen. Plant Depreciation'!$E$5:$AD$5,0))</f>
        <v>6204</v>
      </c>
      <c r="BY1212" s="118"/>
      <c r="BZ1212" s="118"/>
      <c r="CA1212" s="118"/>
      <c r="CB1212" s="118"/>
      <c r="CC1212" s="118"/>
      <c r="CD1212" s="183"/>
      <c r="CE1212" s="118">
        <f>INDEX('Gross Dx Plant'!$E$7:$AD$91,MATCH($C1212,'Gross Dx Plant'!$D$7:$D$91,0),MATCH(Calculation!$G1212,'Gross Dx Plant'!$E$5:$AD$5,0))</f>
        <v>363876</v>
      </c>
      <c r="CF1212" s="118">
        <f>INDEX('Gross Gen Plant'!$E$7:$AD$91,MATCH($C1212,'Gross Gen Plant'!$D$7:$D$91,0),MATCH(Calculation!$G1212,'Gross Gen Plant'!$E$5:$AD$5,0))</f>
        <v>20715</v>
      </c>
      <c r="CG1212" s="118">
        <f t="shared" si="3556"/>
        <v>276261</v>
      </c>
      <c r="CH1212" s="118"/>
      <c r="CI1212" s="121">
        <v>1998</v>
      </c>
      <c r="CJ1212" s="118">
        <f>BQ1212+BR1212</f>
        <v>384591</v>
      </c>
      <c r="CK1212" s="118">
        <f>102126+6204</f>
        <v>108330</v>
      </c>
      <c r="CL1212" s="118">
        <f>+CJ1212-CK1212</f>
        <v>276261</v>
      </c>
      <c r="CM1212" s="118">
        <f>CL1212/$CD$36</f>
        <v>1369.5308781186086</v>
      </c>
      <c r="CN1212" s="183"/>
      <c r="CO1212" s="183"/>
      <c r="CP1212" s="186">
        <v>1</v>
      </c>
      <c r="CQ1212" s="118">
        <f>+CM1212</f>
        <v>1369.5308781186086</v>
      </c>
      <c r="CR1212" s="119"/>
      <c r="CS1212" s="119"/>
      <c r="CT1212" s="177"/>
      <c r="CU1212" s="177"/>
      <c r="CV1212" s="119" t="e">
        <f>VLOOKUP($H1212,RoR!$E:$F,2,FALSE)</f>
        <v>#N/A</v>
      </c>
      <c r="CW1212" s="177">
        <v>1.1028127770464469E-2</v>
      </c>
      <c r="CX1212" s="177"/>
      <c r="CY1212" s="177"/>
      <c r="CZ1212" s="177"/>
      <c r="DA1212" s="187"/>
      <c r="DB1212" s="190" t="e">
        <f>2/(DK1212*39)</f>
        <v>#N/A</v>
      </c>
      <c r="DC1212" s="188" t="e">
        <f>+(DK1212*40-(1+DK1212))/(DK1212*40)</f>
        <v>#N/A</v>
      </c>
      <c r="DD1212" s="188" t="e">
        <f>+(1-(1/(1+DK1212)^40))</f>
        <v>#N/A</v>
      </c>
      <c r="DE1212" s="188" t="e">
        <f>+DD1212*DC1212*DB1212</f>
        <v>#N/A</v>
      </c>
      <c r="DF1212" s="189">
        <f>INDEX('State Tax Lookup'!$D$7:$Z$91,MATCH(Calculation!$C1212,'State Tax Lookup'!$B$7:$B$91,0),MATCH($H1212,'State Tax Lookup'!$D$6:$Z$6,0))</f>
        <v>0.38900000000000001</v>
      </c>
      <c r="DG1212" s="189">
        <v>0.375</v>
      </c>
      <c r="DH1212" s="183"/>
      <c r="DI1212" s="183"/>
      <c r="DJ1212" s="177"/>
      <c r="DK1212" s="189" t="e">
        <f>VLOOKUP($H1212,RoR!$E:$F,2,FALSE)</f>
        <v>#N/A</v>
      </c>
      <c r="DL1212" s="191">
        <f>HLOOKUP($H1212,'GDP-PI'!$D$8:$CQ$11,3,FALSE)</f>
        <v>1.1028127770464469E-2</v>
      </c>
      <c r="DM1212" s="189">
        <f>VLOOKUP(H1212,'HW Dx Data'!$E:$F,2,FALSE)</f>
        <v>329.24564746449528</v>
      </c>
      <c r="DN1212" s="183" t="e">
        <f>VLOOKUP(H1212,'ECI - Input Price'!$G$17:$H$37,2,FALSE)</f>
        <v>#N/A</v>
      </c>
      <c r="DO1212" s="177"/>
      <c r="DP1212" s="183">
        <f>HLOOKUP(H1212,'GDP-PI'!$8:$9,2,FALSE)</f>
        <v>75.266999999999996</v>
      </c>
    </row>
    <row r="1213" spans="1:121" s="167" customFormat="1" ht="21" x14ac:dyDescent="0.35">
      <c r="A1213" s="167" t="s">
        <v>115</v>
      </c>
      <c r="B1213" s="167" t="s">
        <v>115</v>
      </c>
      <c r="C1213" s="167">
        <v>4063762</v>
      </c>
      <c r="D1213" s="168" t="s">
        <v>139</v>
      </c>
      <c r="E1213" s="168"/>
      <c r="F1213" s="198"/>
      <c r="G1213" s="167" t="s">
        <v>5</v>
      </c>
      <c r="H1213" s="169">
        <v>1999</v>
      </c>
      <c r="I1213" s="170"/>
      <c r="J1213" s="166"/>
      <c r="K1213" s="170"/>
      <c r="L1213" s="170"/>
      <c r="M1213" s="166"/>
      <c r="N1213" s="173"/>
      <c r="O1213" s="170"/>
      <c r="P1213" s="177"/>
      <c r="Q1213" s="177"/>
      <c r="R1213" s="177"/>
      <c r="S1213" s="195"/>
      <c r="T1213" s="177"/>
      <c r="U1213" s="177"/>
      <c r="V1213" s="166">
        <f t="shared" ref="V1213:V1235" si="3637">+CQ1212*DH1213</f>
        <v>0</v>
      </c>
      <c r="W1213" s="170"/>
      <c r="X1213" s="174">
        <v>1417.8250243681086</v>
      </c>
      <c r="Y1213" s="175">
        <v>3.4655767954392062E-2</v>
      </c>
      <c r="Z1213" s="175"/>
      <c r="AA1213" s="175"/>
      <c r="AB1213" s="175"/>
      <c r="AC1213" s="170">
        <f t="shared" si="3457"/>
        <v>0</v>
      </c>
      <c r="AD1213" s="175"/>
      <c r="AE1213" s="170"/>
      <c r="AF1213" s="119"/>
      <c r="AG1213" s="174"/>
      <c r="AH1213" s="175"/>
      <c r="AI1213" s="175"/>
      <c r="AJ1213" s="174"/>
      <c r="AK1213" s="174"/>
      <c r="AL1213" s="120"/>
      <c r="AM1213" s="120"/>
      <c r="AN1213" s="120"/>
      <c r="AO1213" s="120"/>
      <c r="AP1213" s="120"/>
      <c r="AQ1213" s="175"/>
      <c r="AR1213" s="120"/>
      <c r="AS1213" s="120"/>
      <c r="AT1213" s="120"/>
      <c r="AU1213" s="120"/>
      <c r="AV1213" s="120"/>
      <c r="AW1213" s="120"/>
      <c r="AX1213" s="120"/>
      <c r="AY1213" s="120"/>
      <c r="AZ1213" s="118">
        <f>IFERROR(INDEX('Total Customers'!$F$7:$AB$91,MATCH($C1213,'Total Customers'!$D$7:$D$91,0),MATCH($G1213,'Total Customers'!$F$5:$AB$5,0)),"NA")</f>
        <v>224968</v>
      </c>
      <c r="BA1213" s="119">
        <f t="shared" ref="BA1213:BA1235" si="3638">LN(AZ1213/AZ1212)</f>
        <v>4.0105852826903862E-2</v>
      </c>
      <c r="BB1213" s="119"/>
      <c r="BC1213" s="121"/>
      <c r="BD1213" s="119"/>
      <c r="BE1213" s="119"/>
      <c r="BF1213" s="119"/>
      <c r="BG1213" s="173"/>
      <c r="BH1213" s="173"/>
      <c r="BI1213" s="173"/>
      <c r="BJ1213" s="173"/>
      <c r="BK1213" s="173"/>
      <c r="BL1213" s="173"/>
      <c r="BM1213" s="173"/>
      <c r="BN1213" s="173"/>
      <c r="BO1213" s="173"/>
      <c r="BP1213" s="173"/>
      <c r="BQ1213" s="118"/>
      <c r="BR1213" s="118"/>
      <c r="BS1213" s="118">
        <f>INDEX('Dist. Plant Gas Additions'!$F$7:$AE$91,MATCH($C1213,'Dist. Plant Gas Additions'!$D$7:$D$91,0),MATCH(Calculation!$G1213,'Dist. Plant Gas Additions'!$F$5:$AE$5,0))</f>
        <v>17418</v>
      </c>
      <c r="BT1213" s="118">
        <f>INDEX('Gen. Plant Additions'!$F$7:$AE$91,MATCH($C1213,'Gen. Plant Additions'!$D$7:$D$91,0),MATCH(Calculation!$G1213,'Gen. Plant Additions'!$F$5:$AE$5,0))</f>
        <v>1061</v>
      </c>
      <c r="BU1213" s="118"/>
      <c r="BV1213" s="118"/>
      <c r="BW1213" s="118">
        <f>INDEX('Dist Plant Depreciation'!$E$7:$AD$94,MATCH($C1213,'Dist Plant Depreciation'!$D$7:$D$94,0),MATCH(Calculation!$G1213,'Dist Plant Depreciation'!$E$5:$AD$5,0))</f>
        <v>108979</v>
      </c>
      <c r="BX1213" s="118">
        <f>INDEX('Gen. Plant Depreciation'!$E$7:$AD$94,MATCH($C1213,'Gen. Plant Depreciation'!$D$7:$D$94,0),MATCH(Calculation!$G1213,'Gen. Plant Depreciation'!$E$5:$AD$5,0))</f>
        <v>6122</v>
      </c>
      <c r="BY1213" s="118"/>
      <c r="BZ1213" s="118"/>
      <c r="CA1213" s="118"/>
      <c r="CB1213" s="118"/>
      <c r="CC1213" s="118"/>
      <c r="CD1213" s="183"/>
      <c r="CE1213" s="118">
        <f>INDEX('Gross Dx Plant'!$E$7:$AD$91,MATCH($C1213,'Gross Dx Plant'!$D$7:$D$91,0),MATCH(Calculation!$G1213,'Gross Dx Plant'!$E$5:$AD$5,0))</f>
        <v>380479</v>
      </c>
      <c r="CF1213" s="118">
        <f>INDEX('Gross Gen Plant'!$E$7:$AD$91,MATCH($C1213,'Gross Gen Plant'!$D$7:$D$91,0),MATCH(Calculation!$G1213,'Gross Gen Plant'!$E$5:$AD$5,0))</f>
        <v>19313</v>
      </c>
      <c r="CG1213" s="118">
        <f t="shared" si="3556"/>
        <v>284691</v>
      </c>
      <c r="CH1213" s="118"/>
      <c r="CI1213" s="121">
        <v>1999</v>
      </c>
      <c r="CJ1213" s="118"/>
      <c r="CK1213" s="118"/>
      <c r="CL1213" s="118"/>
      <c r="CM1213" s="183"/>
      <c r="CN1213" s="118">
        <f t="shared" ref="CN1213:CN1235" si="3639">+BT1213+BS1213</f>
        <v>18479</v>
      </c>
      <c r="CO1213" s="118">
        <f t="shared" ref="CO1213:CO1235" si="3640">+CN1213/$DM1213</f>
        <v>55.107732707801446</v>
      </c>
      <c r="CP1213" s="186">
        <v>0.99502487562189057</v>
      </c>
      <c r="CQ1213" s="118">
        <f>+CQ1212*CP1213+CO1213</f>
        <v>1417.8250243681086</v>
      </c>
      <c r="CR1213" s="119">
        <f t="shared" ref="CR1213:CR1234" si="3641">LN(CQ1213/CQ1212)</f>
        <v>3.4655767954392062E-2</v>
      </c>
      <c r="CS1213" s="119"/>
      <c r="CT1213" s="177">
        <f t="shared" ref="CT1213:CT1235" si="3642">+(CQ1212-CQ1213+CO1213)/CQ1212</f>
        <v>4.9751243781093546E-3</v>
      </c>
      <c r="CU1213" s="177"/>
      <c r="CV1213" s="119">
        <f>VLOOKUP($H1213,RoR!$E:$F,2,FALSE)</f>
        <v>7.0416666666666669E-2</v>
      </c>
      <c r="CW1213" s="177">
        <v>1.4335631817396832E-2</v>
      </c>
      <c r="CX1213" s="177">
        <f>+CV1213-CW1213</f>
        <v>5.6081034849269837E-2</v>
      </c>
      <c r="CY1213" s="177"/>
      <c r="CZ1213" s="177"/>
      <c r="DA1213" s="187">
        <f t="shared" ref="DA1213:DA1235" si="3643">1-DF1213*DG1213</f>
        <v>0.85412500000000002</v>
      </c>
      <c r="DB1213" s="188">
        <f t="shared" ref="DB1213:DB1235" si="3644">2/(DK1213*39)</f>
        <v>0.72826581702321336</v>
      </c>
      <c r="DC1213" s="188">
        <f t="shared" ref="DC1213:DC1235" si="3645">+(DK1213*40-(1+DK1213))/(DK1213*40)</f>
        <v>0.61997041420118348</v>
      </c>
      <c r="DD1213" s="188">
        <f t="shared" ref="DD1213:DD1235" si="3646">+(1-(1/(1+DK1213)^40))</f>
        <v>0.93425155319585029</v>
      </c>
      <c r="DE1213" s="188">
        <f t="shared" ref="DE1213:DE1235" si="3647">+DD1213*DC1213*DB1213</f>
        <v>0.42181762214141483</v>
      </c>
      <c r="DF1213" s="189">
        <f>INDEX('State Tax Lookup'!$D$7:$Z$91,MATCH(Calculation!$C1213,'State Tax Lookup'!$B$7:$B$91,0),MATCH($H1213,'State Tax Lookup'!$D$6:$Z$6,0))</f>
        <v>0.38900000000000001</v>
      </c>
      <c r="DG1213" s="189">
        <v>0.375</v>
      </c>
      <c r="DH1213" s="190"/>
      <c r="DI1213" s="190"/>
      <c r="DJ1213" s="177"/>
      <c r="DK1213" s="189">
        <f>VLOOKUP($H1213,RoR!$E:$F,2,FALSE)</f>
        <v>7.0416666666666669E-2</v>
      </c>
      <c r="DL1213" s="191">
        <f>HLOOKUP($H1213,'GDP-PI'!$D$8:$CQ$11,3,FALSE)</f>
        <v>1.4335631817396832E-2</v>
      </c>
      <c r="DM1213" s="189">
        <f>VLOOKUP(H1213,'HW Dx Data'!$E:$F,2,FALSE)</f>
        <v>335.32499146683239</v>
      </c>
      <c r="DN1213" s="183" t="e">
        <f>VLOOKUP(H1213,'ECI - Input Price'!$G$17:$H$37,2,FALSE)</f>
        <v>#N/A</v>
      </c>
      <c r="DO1213" s="177"/>
      <c r="DP1213" s="183">
        <f>HLOOKUP(H1213,'GDP-PI'!$8:$9,2,FALSE)</f>
        <v>76.346000000000004</v>
      </c>
    </row>
    <row r="1214" spans="1:121" s="167" customFormat="1" ht="21" x14ac:dyDescent="0.35">
      <c r="A1214" s="167" t="s">
        <v>115</v>
      </c>
      <c r="B1214" s="167" t="s">
        <v>115</v>
      </c>
      <c r="C1214" s="167">
        <v>4063762</v>
      </c>
      <c r="D1214" s="168" t="s">
        <v>139</v>
      </c>
      <c r="E1214" s="168"/>
      <c r="F1214" s="198"/>
      <c r="G1214" s="167" t="s">
        <v>6</v>
      </c>
      <c r="H1214" s="169">
        <v>2000</v>
      </c>
      <c r="I1214" s="170"/>
      <c r="J1214" s="166"/>
      <c r="K1214" s="166"/>
      <c r="L1214" s="166"/>
      <c r="M1214" s="166"/>
      <c r="N1214" s="196"/>
      <c r="O1214" s="166"/>
      <c r="P1214" s="166"/>
      <c r="Q1214" s="166"/>
      <c r="R1214" s="166"/>
      <c r="S1214" s="166"/>
      <c r="T1214" s="166"/>
      <c r="U1214" s="166"/>
      <c r="V1214" s="166">
        <f t="shared" si="3637"/>
        <v>0</v>
      </c>
      <c r="W1214" s="170"/>
      <c r="X1214" s="174">
        <v>1488.0268641507705</v>
      </c>
      <c r="Y1214" s="175">
        <v>4.8326965689948369E-2</v>
      </c>
      <c r="Z1214" s="175"/>
      <c r="AA1214" s="175"/>
      <c r="AB1214" s="175"/>
      <c r="AC1214" s="170">
        <f t="shared" ref="AC1214:AC1277" si="3648">+J1214+P1214+V1214</f>
        <v>0</v>
      </c>
      <c r="AD1214" s="175"/>
      <c r="AE1214" s="170"/>
      <c r="AF1214" s="170"/>
      <c r="AG1214" s="174"/>
      <c r="AH1214" s="175"/>
      <c r="AI1214" s="175"/>
      <c r="AJ1214" s="174"/>
      <c r="AK1214" s="174"/>
      <c r="AL1214" s="120"/>
      <c r="AM1214" s="120"/>
      <c r="AN1214" s="120"/>
      <c r="AO1214" s="120"/>
      <c r="AP1214" s="120"/>
      <c r="AQ1214" s="175"/>
      <c r="AR1214" s="120"/>
      <c r="AS1214" s="120"/>
      <c r="AT1214" s="120"/>
      <c r="AU1214" s="120"/>
      <c r="AV1214" s="120"/>
      <c r="AW1214" s="120"/>
      <c r="AX1214" s="120"/>
      <c r="AY1214" s="120"/>
      <c r="AZ1214" s="118">
        <f>IFERROR(INDEX('Total Customers'!$F$7:$AB$91,MATCH($C1214,'Total Customers'!$D$7:$D$91,0),MATCH($G1214,'Total Customers'!$F$5:$AB$5,0)),"NA")</f>
        <v>232710</v>
      </c>
      <c r="BA1214" s="119">
        <f t="shared" si="3638"/>
        <v>3.3834873303231268E-2</v>
      </c>
      <c r="BB1214" s="119"/>
      <c r="BC1214" s="121"/>
      <c r="BD1214" s="119"/>
      <c r="BE1214" s="119"/>
      <c r="BF1214" s="119"/>
      <c r="BG1214" s="173"/>
      <c r="BH1214" s="173"/>
      <c r="BI1214" s="173"/>
      <c r="BJ1214" s="173"/>
      <c r="BK1214" s="173"/>
      <c r="BL1214" s="173"/>
      <c r="BM1214" s="173"/>
      <c r="BN1214" s="173"/>
      <c r="BO1214" s="173"/>
      <c r="BP1214" s="173"/>
      <c r="BQ1214" s="118"/>
      <c r="BR1214" s="118"/>
      <c r="BS1214" s="118">
        <f>INDEX('Dist. Plant Gas Additions'!$F$7:$AE$91,MATCH($C1214,'Dist. Plant Gas Additions'!$D$7:$D$91,0),MATCH(Calculation!$G1214,'Dist. Plant Gas Additions'!$F$5:$AE$5,0))</f>
        <v>24914</v>
      </c>
      <c r="BT1214" s="118">
        <f>INDEX('Gen. Plant Additions'!$F$7:$AE$91,MATCH($C1214,'Gen. Plant Additions'!$D$7:$D$91,0),MATCH(Calculation!$G1214,'Gen. Plant Additions'!$F$5:$AE$5,0))</f>
        <v>1941</v>
      </c>
      <c r="BU1214" s="118"/>
      <c r="BV1214" s="118"/>
      <c r="BW1214" s="118">
        <f>INDEX('Dist Plant Depreciation'!$E$7:$AD$94,MATCH($C1214,'Dist Plant Depreciation'!$D$7:$D$94,0),MATCH(Calculation!$G1214,'Dist Plant Depreciation'!$E$5:$AD$5,0))</f>
        <v>116116</v>
      </c>
      <c r="BX1214" s="118">
        <f>INDEX('Gen. Plant Depreciation'!$E$7:$AD$94,MATCH($C1214,'Gen. Plant Depreciation'!$D$7:$D$94,0),MATCH(Calculation!$G1214,'Gen. Plant Depreciation'!$E$5:$AD$5,0))</f>
        <v>6247</v>
      </c>
      <c r="BY1214" s="118"/>
      <c r="BZ1214" s="118"/>
      <c r="CA1214" s="118"/>
      <c r="CB1214" s="118"/>
      <c r="CC1214" s="118"/>
      <c r="CD1214" s="183"/>
      <c r="CE1214" s="118">
        <f>INDEX('Gross Dx Plant'!$E$7:$AD$91,MATCH($C1214,'Gross Dx Plant'!$D$7:$D$91,0),MATCH(Calculation!$G1214,'Gross Dx Plant'!$E$5:$AD$5,0))</f>
        <v>404501</v>
      </c>
      <c r="CF1214" s="118">
        <f>INDEX('Gross Gen Plant'!$E$7:$AD$91,MATCH($C1214,'Gross Gen Plant'!$D$7:$D$91,0),MATCH(Calculation!$G1214,'Gross Gen Plant'!$E$5:$AD$5,0))</f>
        <v>20523</v>
      </c>
      <c r="CG1214" s="118">
        <f t="shared" si="3556"/>
        <v>302661</v>
      </c>
      <c r="CH1214" s="118"/>
      <c r="CI1214" s="121">
        <v>2000</v>
      </c>
      <c r="CJ1214" s="118"/>
      <c r="CK1214" s="118"/>
      <c r="CL1214" s="118"/>
      <c r="CM1214" s="183"/>
      <c r="CN1214" s="118">
        <f t="shared" si="3639"/>
        <v>26855</v>
      </c>
      <c r="CO1214" s="118">
        <f t="shared" si="3640"/>
        <v>77.496066382298721</v>
      </c>
      <c r="CP1214" s="186">
        <v>0.98989898989898994</v>
      </c>
      <c r="CQ1214" s="118">
        <f>+CQ1212*CP1214+CO1213*CP1213+CO1214</f>
        <v>1488.0268641507705</v>
      </c>
      <c r="CR1214" s="119">
        <f t="shared" si="3641"/>
        <v>4.8326965689948369E-2</v>
      </c>
      <c r="CS1214" s="119"/>
      <c r="CT1214" s="177">
        <f t="shared" si="3642"/>
        <v>5.1446592310554849E-3</v>
      </c>
      <c r="CU1214" s="177"/>
      <c r="CV1214" s="119">
        <f>VLOOKUP($H1214,RoR!$E:$F,2,FALSE)</f>
        <v>7.6225000000000001E-2</v>
      </c>
      <c r="CW1214" s="177">
        <v>2.2568307442433211E-2</v>
      </c>
      <c r="CX1214" s="177">
        <f t="shared" ref="CX1214:CX1234" si="3649">+CV1214-CW1214</f>
        <v>5.365669255756679E-2</v>
      </c>
      <c r="CY1214" s="177"/>
      <c r="CZ1214" s="177"/>
      <c r="DA1214" s="187">
        <f t="shared" si="3643"/>
        <v>0.85412500000000002</v>
      </c>
      <c r="DB1214" s="188">
        <f t="shared" si="3644"/>
        <v>0.67277207323124022</v>
      </c>
      <c r="DC1214" s="188">
        <f t="shared" si="3645"/>
        <v>0.6470236142997704</v>
      </c>
      <c r="DD1214" s="188">
        <f t="shared" si="3646"/>
        <v>0.94704866037543145</v>
      </c>
      <c r="DE1214" s="188">
        <f t="shared" si="3647"/>
        <v>0.41224973107878493</v>
      </c>
      <c r="DF1214" s="189">
        <f>INDEX('State Tax Lookup'!$D$7:$Z$91,MATCH(Calculation!$C1214,'State Tax Lookup'!$B$7:$B$91,0),MATCH($H1214,'State Tax Lookup'!$D$6:$Z$6,0))</f>
        <v>0.38900000000000001</v>
      </c>
      <c r="DG1214" s="189">
        <v>0.375</v>
      </c>
      <c r="DH1214" s="190"/>
      <c r="DI1214" s="190"/>
      <c r="DJ1214" s="177"/>
      <c r="DK1214" s="189">
        <f>VLOOKUP($H1214,RoR!$E:$F,2,FALSE)</f>
        <v>7.6225000000000001E-2</v>
      </c>
      <c r="DL1214" s="191">
        <f>HLOOKUP($H1214,'GDP-PI'!$D$8:$CQ$11,3,FALSE)</f>
        <v>2.2568307442433211E-2</v>
      </c>
      <c r="DM1214" s="189">
        <f>VLOOKUP(H1214,'HW Dx Data'!$E:$F,2,FALSE)</f>
        <v>346.53371782150339</v>
      </c>
      <c r="DN1214" s="183" t="e">
        <f>VLOOKUP(H1214,'ECI - Input Price'!$G$17:$H$37,2,FALSE)</f>
        <v>#N/A</v>
      </c>
      <c r="DO1214" s="177"/>
      <c r="DP1214" s="183">
        <f>HLOOKUP(H1214,'GDP-PI'!$8:$9,2,FALSE)</f>
        <v>78.069000000000003</v>
      </c>
    </row>
    <row r="1215" spans="1:121" s="167" customFormat="1" ht="21" x14ac:dyDescent="0.35">
      <c r="A1215" s="167" t="s">
        <v>115</v>
      </c>
      <c r="B1215" s="167" t="s">
        <v>115</v>
      </c>
      <c r="C1215" s="167">
        <v>4063762</v>
      </c>
      <c r="D1215" s="168" t="s">
        <v>139</v>
      </c>
      <c r="E1215" s="168"/>
      <c r="F1215" s="198"/>
      <c r="G1215" s="167" t="s">
        <v>7</v>
      </c>
      <c r="H1215" s="169">
        <v>2001</v>
      </c>
      <c r="I1215" s="170"/>
      <c r="J1215" s="166"/>
      <c r="K1215" s="166"/>
      <c r="L1215" s="166"/>
      <c r="M1215" s="166"/>
      <c r="N1215" s="196"/>
      <c r="O1215" s="166"/>
      <c r="P1215" s="166"/>
      <c r="Q1215" s="166"/>
      <c r="R1215" s="166"/>
      <c r="S1215" s="166"/>
      <c r="T1215" s="166"/>
      <c r="U1215" s="166"/>
      <c r="V1215" s="166">
        <f t="shared" si="3637"/>
        <v>18951.475810403732</v>
      </c>
      <c r="W1215" s="170"/>
      <c r="X1215" s="174">
        <v>1489.3724476506666</v>
      </c>
      <c r="Y1215" s="175">
        <v>9.0386505173911105E-4</v>
      </c>
      <c r="Z1215" s="175"/>
      <c r="AA1215" s="175"/>
      <c r="AB1215" s="175"/>
      <c r="AC1215" s="170">
        <f t="shared" si="3648"/>
        <v>18951.475810403732</v>
      </c>
      <c r="AD1215" s="175"/>
      <c r="AE1215" s="170"/>
      <c r="AF1215" s="170"/>
      <c r="AG1215" s="174"/>
      <c r="AH1215" s="175"/>
      <c r="AI1215" s="175"/>
      <c r="AJ1215" s="174"/>
      <c r="AK1215" s="174"/>
      <c r="AL1215" s="120"/>
      <c r="AM1215" s="120"/>
      <c r="AN1215" s="120"/>
      <c r="AO1215" s="120"/>
      <c r="AP1215" s="120"/>
      <c r="AQ1215" s="175"/>
      <c r="AR1215" s="120"/>
      <c r="AS1215" s="120"/>
      <c r="AT1215" s="120"/>
      <c r="AU1215" s="120"/>
      <c r="AV1215" s="120"/>
      <c r="AW1215" s="120"/>
      <c r="AX1215" s="120"/>
      <c r="AY1215" s="120"/>
      <c r="AZ1215" s="118">
        <f>IFERROR(INDEX('Total Customers'!$F$7:$AB$91,MATCH($C1215,'Total Customers'!$D$7:$D$91,0),MATCH($G1215,'Total Customers'!$F$5:$AB$5,0)),"NA")</f>
        <v>236605</v>
      </c>
      <c r="BA1215" s="119">
        <f t="shared" si="3638"/>
        <v>1.6599040863544277E-2</v>
      </c>
      <c r="BB1215" s="119"/>
      <c r="BC1215" s="121"/>
      <c r="BD1215" s="119"/>
      <c r="BE1215" s="119"/>
      <c r="BF1215" s="119"/>
      <c r="BG1215" s="173"/>
      <c r="BH1215" s="173"/>
      <c r="BI1215" s="173"/>
      <c r="BJ1215" s="173"/>
      <c r="BK1215" s="173"/>
      <c r="BL1215" s="173"/>
      <c r="BM1215" s="173"/>
      <c r="BN1215" s="173"/>
      <c r="BO1215" s="173"/>
      <c r="BP1215" s="173"/>
      <c r="BQ1215" s="118"/>
      <c r="BR1215" s="118"/>
      <c r="BS1215" s="118">
        <f>INDEX('Dist. Plant Gas Additions'!$F$7:$AE$91,MATCH($C1215,'Dist. Plant Gas Additions'!$D$7:$D$91,0),MATCH(Calculation!$G1215,'Dist. Plant Gas Additions'!$F$5:$AE$5,0))</f>
        <v>3127</v>
      </c>
      <c r="BT1215" s="118">
        <f>INDEX('Gen. Plant Additions'!$F$7:$AE$91,MATCH($C1215,'Gen. Plant Additions'!$D$7:$D$91,0),MATCH(Calculation!$G1215,'Gen. Plant Additions'!$F$5:$AE$5,0))</f>
        <v>6</v>
      </c>
      <c r="BU1215" s="118"/>
      <c r="BV1215" s="118"/>
      <c r="BW1215" s="118">
        <f>INDEX('Dist Plant Depreciation'!$E$7:$AD$94,MATCH($C1215,'Dist Plant Depreciation'!$D$7:$D$94,0),MATCH(Calculation!$G1215,'Dist Plant Depreciation'!$E$5:$AD$5,0))</f>
        <v>126609</v>
      </c>
      <c r="BX1215" s="118">
        <f>INDEX('Gen. Plant Depreciation'!$E$7:$AD$94,MATCH($C1215,'Gen. Plant Depreciation'!$D$7:$D$94,0),MATCH(Calculation!$G1215,'Gen. Plant Depreciation'!$E$5:$AD$5,0))</f>
        <v>6652</v>
      </c>
      <c r="BY1215" s="118"/>
      <c r="BZ1215" s="118"/>
      <c r="CA1215" s="118"/>
      <c r="CB1215" s="118"/>
      <c r="CC1215" s="118"/>
      <c r="CD1215" s="183"/>
      <c r="CE1215" s="118">
        <f>INDEX('Gross Dx Plant'!$E$7:$AD$91,MATCH($C1215,'Gross Dx Plant'!$D$7:$D$91,0),MATCH(Calculation!$G1215,'Gross Dx Plant'!$E$5:$AD$5,0))</f>
        <v>407415</v>
      </c>
      <c r="CF1215" s="118">
        <f>INDEX('Gross Gen Plant'!$E$7:$AD$91,MATCH($C1215,'Gross Gen Plant'!$D$7:$D$91,0),MATCH(Calculation!$G1215,'Gross Gen Plant'!$E$5:$AD$5,0))</f>
        <v>19435</v>
      </c>
      <c r="CG1215" s="118">
        <f t="shared" si="3556"/>
        <v>293589</v>
      </c>
      <c r="CH1215" s="118"/>
      <c r="CI1215" s="121">
        <v>2001</v>
      </c>
      <c r="CJ1215" s="118"/>
      <c r="CK1215" s="118"/>
      <c r="CL1215" s="118"/>
      <c r="CM1215" s="183"/>
      <c r="CN1215" s="118">
        <f t="shared" si="3639"/>
        <v>3133</v>
      </c>
      <c r="CO1215" s="118">
        <f t="shared" si="3640"/>
        <v>8.8641200238923084</v>
      </c>
      <c r="CP1215" s="186">
        <v>0.98461538461538467</v>
      </c>
      <c r="CQ1215" s="118">
        <f>+CQ1212*CP1215+CO1213*CP1214+CO1214*CP1212+CO1215</f>
        <v>1489.3724476506666</v>
      </c>
      <c r="CR1215" s="119">
        <f t="shared" si="3641"/>
        <v>9.0386505173911105E-4</v>
      </c>
      <c r="CS1215" s="119"/>
      <c r="CT1215" s="177">
        <f t="shared" si="3642"/>
        <v>5.0526887014819694E-3</v>
      </c>
      <c r="CU1215" s="177">
        <f>+(CT1215+CT1214+CT1213)/3</f>
        <v>5.0574907702156035E-3</v>
      </c>
      <c r="CV1215" s="119">
        <f>VLOOKUP($H1215,RoR!$E:$F,2,FALSE)</f>
        <v>7.0824999999999999E-2</v>
      </c>
      <c r="CW1215" s="177">
        <v>2.2454495382290052E-2</v>
      </c>
      <c r="CX1215" s="177">
        <f t="shared" si="3649"/>
        <v>4.8370504617709947E-2</v>
      </c>
      <c r="CY1215" s="177">
        <f>+$CX$35-CU1215</f>
        <v>2.5844450838318021E-2</v>
      </c>
      <c r="CZ1215" s="177">
        <f>+((DM1213/DM1212-1)+(DM1214/DM1213-1)+(DM1215/DM1214-1))/3</f>
        <v>2.3947275901631187E-2</v>
      </c>
      <c r="DA1215" s="187">
        <f t="shared" si="3643"/>
        <v>0.85412500000000002</v>
      </c>
      <c r="DB1215" s="188">
        <f t="shared" si="3644"/>
        <v>0.72406708481540816</v>
      </c>
      <c r="DC1215" s="188">
        <f t="shared" si="3645"/>
        <v>0.62201729615248857</v>
      </c>
      <c r="DD1215" s="188">
        <f t="shared" si="3646"/>
        <v>0.9352469954311422</v>
      </c>
      <c r="DE1215" s="188">
        <f t="shared" si="3647"/>
        <v>0.42121864641655071</v>
      </c>
      <c r="DF1215" s="189">
        <f>INDEX('State Tax Lookup'!$D$7:$Z$91,MATCH(Calculation!$C1215,'State Tax Lookup'!$B$7:$B$91,0),MATCH($H1215,'State Tax Lookup'!$D$6:$Z$6,0))</f>
        <v>0.38900000000000001</v>
      </c>
      <c r="DG1215" s="189">
        <v>0.375</v>
      </c>
      <c r="DH1215" s="190">
        <f t="shared" ref="DH1215:DH1235" si="3650">+(DM1215*CY1215-CZ1215)*DA1215/(1-DF1215)</f>
        <v>12.735976928225352</v>
      </c>
      <c r="DI1215" s="190"/>
      <c r="DJ1215" s="177"/>
      <c r="DK1215" s="189">
        <f>VLOOKUP($H1215,RoR!$E:$F,2,FALSE)</f>
        <v>7.0824999999999999E-2</v>
      </c>
      <c r="DL1215" s="191">
        <f>HLOOKUP($H1215,'GDP-PI'!$D$8:$CQ$11,3,FALSE)</f>
        <v>2.2454495382290052E-2</v>
      </c>
      <c r="DM1215" s="189">
        <f>VLOOKUP(H1215,'HW Dx Data'!$E:$F,2,FALSE)</f>
        <v>353.44738017483138</v>
      </c>
      <c r="DN1215" s="183">
        <f>VLOOKUP(H1215,'ECI - Input Price'!$G$17:$H$37,2,FALSE)</f>
        <v>86.2</v>
      </c>
      <c r="DO1215" s="177"/>
      <c r="DP1215" s="183">
        <f>HLOOKUP(H1215,'GDP-PI'!$8:$9,2,FALSE)</f>
        <v>79.822000000000003</v>
      </c>
    </row>
    <row r="1216" spans="1:121" s="167" customFormat="1" ht="21" x14ac:dyDescent="0.35">
      <c r="A1216" s="167" t="s">
        <v>115</v>
      </c>
      <c r="B1216" s="167" t="s">
        <v>115</v>
      </c>
      <c r="C1216" s="167">
        <v>4063762</v>
      </c>
      <c r="D1216" s="168" t="s">
        <v>139</v>
      </c>
      <c r="E1216" s="168"/>
      <c r="F1216" s="198"/>
      <c r="G1216" s="167" t="s">
        <v>8</v>
      </c>
      <c r="H1216" s="169">
        <v>2002</v>
      </c>
      <c r="I1216" s="170"/>
      <c r="J1216" s="166"/>
      <c r="K1216" s="166"/>
      <c r="L1216" s="166"/>
      <c r="M1216" s="166"/>
      <c r="N1216" s="196"/>
      <c r="O1216" s="166"/>
      <c r="P1216" s="166"/>
      <c r="Q1216" s="166"/>
      <c r="R1216" s="166"/>
      <c r="S1216" s="166"/>
      <c r="T1216" s="166"/>
      <c r="U1216" s="166"/>
      <c r="V1216" s="166">
        <f t="shared" si="3637"/>
        <v>19193.969002041202</v>
      </c>
      <c r="W1216" s="170"/>
      <c r="X1216" s="174">
        <v>1496.5498597628573</v>
      </c>
      <c r="Y1216" s="175">
        <v>4.8075101740946086E-3</v>
      </c>
      <c r="Z1216" s="175"/>
      <c r="AA1216" s="175"/>
      <c r="AB1216" s="175"/>
      <c r="AC1216" s="170">
        <f t="shared" si="3648"/>
        <v>19193.969002041202</v>
      </c>
      <c r="AD1216" s="175"/>
      <c r="AE1216" s="170"/>
      <c r="AF1216" s="170"/>
      <c r="AG1216" s="174"/>
      <c r="AH1216" s="175"/>
      <c r="AI1216" s="175"/>
      <c r="AJ1216" s="174"/>
      <c r="AK1216" s="174"/>
      <c r="AL1216" s="120"/>
      <c r="AM1216" s="120"/>
      <c r="AN1216" s="120"/>
      <c r="AO1216" s="120"/>
      <c r="AP1216" s="120"/>
      <c r="AQ1216" s="175"/>
      <c r="AR1216" s="120"/>
      <c r="AS1216" s="120"/>
      <c r="AT1216" s="120"/>
      <c r="AU1216" s="120"/>
      <c r="AV1216" s="120"/>
      <c r="AW1216" s="120"/>
      <c r="AX1216" s="120"/>
      <c r="AY1216" s="120"/>
      <c r="AZ1216" s="118">
        <f>IFERROR(INDEX('Total Customers'!$F$7:$AB$91,MATCH($C1216,'Total Customers'!$D$7:$D$91,0),MATCH($G1216,'Total Customers'!$F$5:$AB$5,0)),"NA")</f>
        <v>245488</v>
      </c>
      <c r="BA1216" s="119">
        <f t="shared" si="3638"/>
        <v>3.68559821684157E-2</v>
      </c>
      <c r="BB1216" s="119"/>
      <c r="BC1216" s="121"/>
      <c r="BD1216" s="119"/>
      <c r="BE1216" s="119"/>
      <c r="BF1216" s="119"/>
      <c r="BG1216" s="173"/>
      <c r="BH1216" s="173"/>
      <c r="BI1216" s="173"/>
      <c r="BJ1216" s="173"/>
      <c r="BK1216" s="173"/>
      <c r="BL1216" s="173"/>
      <c r="BM1216" s="173"/>
      <c r="BN1216" s="173"/>
      <c r="BO1216" s="173"/>
      <c r="BP1216" s="173"/>
      <c r="BQ1216" s="118"/>
      <c r="BR1216" s="118"/>
      <c r="BS1216" s="118">
        <f>INDEX('Dist. Plant Gas Additions'!$F$7:$AE$91,MATCH($C1216,'Dist. Plant Gas Additions'!$D$7:$D$91,0),MATCH(Calculation!$G1216,'Dist. Plant Gas Additions'!$F$5:$AE$5,0))</f>
        <v>4520</v>
      </c>
      <c r="BT1216" s="118">
        <f>INDEX('Gen. Plant Additions'!$F$7:$AE$91,MATCH($C1216,'Gen. Plant Additions'!$D$7:$D$91,0),MATCH(Calculation!$G1216,'Gen. Plant Additions'!$F$5:$AE$5,0))</f>
        <v>1174</v>
      </c>
      <c r="BU1216" s="118"/>
      <c r="BV1216" s="118"/>
      <c r="BW1216" s="118">
        <f>INDEX('Dist Plant Depreciation'!$E$7:$AD$94,MATCH($C1216,'Dist Plant Depreciation'!$D$7:$D$94,0),MATCH(Calculation!$G1216,'Dist Plant Depreciation'!$E$5:$AD$5,0))</f>
        <v>136878</v>
      </c>
      <c r="BX1216" s="118">
        <f>INDEX('Gen. Plant Depreciation'!$E$7:$AD$94,MATCH($C1216,'Gen. Plant Depreciation'!$D$7:$D$94,0),MATCH(Calculation!$G1216,'Gen. Plant Depreciation'!$E$5:$AD$5,0))</f>
        <v>7902</v>
      </c>
      <c r="BY1216" s="118"/>
      <c r="BZ1216" s="118"/>
      <c r="CA1216" s="118"/>
      <c r="CB1216" s="118"/>
      <c r="CC1216" s="118"/>
      <c r="CD1216" s="183"/>
      <c r="CE1216" s="118">
        <f>INDEX('Gross Dx Plant'!$E$7:$AD$91,MATCH($C1216,'Gross Dx Plant'!$D$7:$D$91,0),MATCH(Calculation!$G1216,'Gross Dx Plant'!$E$5:$AD$5,0))</f>
        <v>420154</v>
      </c>
      <c r="CF1216" s="118">
        <f>INDEX('Gross Gen Plant'!$E$7:$AD$91,MATCH($C1216,'Gross Gen Plant'!$D$7:$D$91,0),MATCH(Calculation!$G1216,'Gross Gen Plant'!$E$5:$AD$5,0))</f>
        <v>20721</v>
      </c>
      <c r="CG1216" s="118">
        <f t="shared" si="3556"/>
        <v>296095</v>
      </c>
      <c r="CH1216" s="118"/>
      <c r="CI1216" s="121">
        <v>2002</v>
      </c>
      <c r="CJ1216" s="118"/>
      <c r="CK1216" s="118"/>
      <c r="CL1216" s="118"/>
      <c r="CM1216" s="183"/>
      <c r="CN1216" s="118">
        <f t="shared" si="3639"/>
        <v>5694</v>
      </c>
      <c r="CO1216" s="118">
        <f t="shared" si="3640"/>
        <v>15.757655745759045</v>
      </c>
      <c r="CP1216" s="186">
        <v>0.97916666666666663</v>
      </c>
      <c r="CQ1216" s="118">
        <f>+CQ1212*CP1216+CO1213*CP1215+CO1214*CP1214+CO1215*CP1213+CO1216</f>
        <v>1496.5498597628573</v>
      </c>
      <c r="CR1216" s="119">
        <f t="shared" si="3641"/>
        <v>4.8075101740946086E-3</v>
      </c>
      <c r="CS1216" s="119"/>
      <c r="CT1216" s="177">
        <f t="shared" si="3642"/>
        <v>5.7609791607886821E-3</v>
      </c>
      <c r="CU1216" s="177">
        <f t="shared" ref="CU1216:CU1235" si="3651">+(CT1216+CT1215+CT1214)/3</f>
        <v>5.3194423644420457E-3</v>
      </c>
      <c r="CV1216" s="119">
        <f>VLOOKUP($H1216,RoR!$E:$F,2,FALSE)</f>
        <v>6.4916666666666664E-2</v>
      </c>
      <c r="CW1216" s="177">
        <v>1.5246423291824351E-2</v>
      </c>
      <c r="CX1216" s="177">
        <f t="shared" si="3649"/>
        <v>4.9670243374842313E-2</v>
      </c>
      <c r="CY1216" s="177">
        <f t="shared" ref="CY1216:CY1235" si="3652">+$CX$35-CU1216</f>
        <v>2.5582499244091578E-2</v>
      </c>
      <c r="CZ1216" s="177">
        <f t="shared" ref="CZ1216:CZ1235" si="3653">+((DM1214/DM1213-1)+(DM1215/DM1214-1)+(DM1216/DM1215-1))/3</f>
        <v>2.5243621214759093E-2</v>
      </c>
      <c r="DA1216" s="187">
        <f t="shared" si="3643"/>
        <v>0.85412500000000002</v>
      </c>
      <c r="DB1216" s="188">
        <f t="shared" si="3644"/>
        <v>0.78996741384417901</v>
      </c>
      <c r="DC1216" s="188">
        <f t="shared" si="3645"/>
        <v>0.58989088575096271</v>
      </c>
      <c r="DD1216" s="188">
        <f t="shared" si="3646"/>
        <v>0.91920675783645744</v>
      </c>
      <c r="DE1216" s="188">
        <f t="shared" si="3647"/>
        <v>0.42834536472275586</v>
      </c>
      <c r="DF1216" s="189">
        <f>INDEX('State Tax Lookup'!$D$7:$Z$91,MATCH(Calculation!$C1216,'State Tax Lookup'!$B$7:$B$91,0),MATCH($H1216,'State Tax Lookup'!$D$6:$Z$6,0))</f>
        <v>0.38900000000000001</v>
      </c>
      <c r="DG1216" s="189">
        <v>0.375</v>
      </c>
      <c r="DH1216" s="190">
        <f t="shared" si="3650"/>
        <v>12.887286207232941</v>
      </c>
      <c r="DI1216" s="190"/>
      <c r="DJ1216" s="177"/>
      <c r="DK1216" s="189">
        <f>VLOOKUP($H1216,RoR!$E:$F,2,FALSE)</f>
        <v>6.4916666666666664E-2</v>
      </c>
      <c r="DL1216" s="191">
        <f>HLOOKUP($H1216,'GDP-PI'!$D$8:$CQ$11,3,FALSE)</f>
        <v>1.5246423291824351E-2</v>
      </c>
      <c r="DM1216" s="189">
        <f>VLOOKUP(H1216,'HW Dx Data'!$E:$F,2,FALSE)</f>
        <v>361.34816573413599</v>
      </c>
      <c r="DN1216" s="183">
        <f>VLOOKUP(H1216,'ECI - Input Price'!$G$17:$H$37,2,FALSE)</f>
        <v>89.275000000000006</v>
      </c>
      <c r="DO1216" s="177">
        <f>LN(DN1216/DN1215)</f>
        <v>3.5051315810864674E-2</v>
      </c>
      <c r="DP1216" s="183">
        <f>HLOOKUP(H1216,'GDP-PI'!$8:$9,2,FALSE)</f>
        <v>81.039000000000001</v>
      </c>
      <c r="DQ1216" s="177">
        <f>LN(DP1216/DP1215)</f>
        <v>1.513136459537477E-2</v>
      </c>
    </row>
    <row r="1217" spans="1:121" s="167" customFormat="1" ht="21" x14ac:dyDescent="0.35">
      <c r="A1217" s="167" t="s">
        <v>115</v>
      </c>
      <c r="B1217" s="167" t="s">
        <v>115</v>
      </c>
      <c r="C1217" s="167">
        <v>4063762</v>
      </c>
      <c r="D1217" s="168" t="s">
        <v>139</v>
      </c>
      <c r="E1217" s="168"/>
      <c r="F1217" s="198"/>
      <c r="G1217" s="167" t="s">
        <v>9</v>
      </c>
      <c r="H1217" s="169">
        <v>2003</v>
      </c>
      <c r="I1217" s="170"/>
      <c r="J1217" s="166"/>
      <c r="K1217" s="166"/>
      <c r="L1217" s="166"/>
      <c r="M1217" s="172"/>
      <c r="N1217" s="196"/>
      <c r="O1217" s="172"/>
      <c r="P1217" s="166"/>
      <c r="Q1217" s="166"/>
      <c r="R1217" s="166"/>
      <c r="S1217" s="166"/>
      <c r="T1217" s="166"/>
      <c r="U1217" s="166"/>
      <c r="V1217" s="166">
        <f t="shared" si="3637"/>
        <v>19573.166663726985</v>
      </c>
      <c r="W1217" s="170"/>
      <c r="X1217" s="174">
        <v>1566.3471606628696</v>
      </c>
      <c r="Y1217" s="175">
        <v>4.5583893908359388E-2</v>
      </c>
      <c r="Z1217" s="175"/>
      <c r="AA1217" s="175"/>
      <c r="AB1217" s="175"/>
      <c r="AC1217" s="170">
        <f t="shared" si="3648"/>
        <v>19573.166663726985</v>
      </c>
      <c r="AD1217" s="175"/>
      <c r="AE1217" s="170"/>
      <c r="AF1217" s="170"/>
      <c r="AG1217" s="174"/>
      <c r="AH1217" s="175"/>
      <c r="AI1217" s="175"/>
      <c r="AJ1217" s="174"/>
      <c r="AK1217" s="174"/>
      <c r="AL1217" s="120"/>
      <c r="AM1217" s="120"/>
      <c r="AN1217" s="120"/>
      <c r="AO1217" s="120"/>
      <c r="AP1217" s="120"/>
      <c r="AQ1217" s="175"/>
      <c r="AR1217" s="120"/>
      <c r="AS1217" s="120"/>
      <c r="AT1217" s="120"/>
      <c r="AU1217" s="120"/>
      <c r="AV1217" s="120"/>
      <c r="AW1217" s="120"/>
      <c r="AX1217" s="120"/>
      <c r="AY1217" s="120"/>
      <c r="AZ1217" s="118">
        <f>IFERROR(INDEX('Total Customers'!$F$7:$AB$91,MATCH($C1217,'Total Customers'!$D$7:$D$91,0),MATCH($G1217,'Total Customers'!$F$5:$AB$5,0)),"NA")</f>
        <v>250971</v>
      </c>
      <c r="BA1217" s="119">
        <f t="shared" si="3638"/>
        <v>2.2089328405316931E-2</v>
      </c>
      <c r="BB1217" s="119"/>
      <c r="BC1217" s="121"/>
      <c r="BD1217" s="119"/>
      <c r="BE1217" s="119"/>
      <c r="BF1217" s="119"/>
      <c r="BG1217" s="173"/>
      <c r="BH1217" s="173"/>
      <c r="BI1217" s="173"/>
      <c r="BJ1217" s="173"/>
      <c r="BK1217" s="173"/>
      <c r="BL1217" s="173"/>
      <c r="BM1217" s="173"/>
      <c r="BN1217" s="173"/>
      <c r="BO1217" s="173"/>
      <c r="BP1217" s="173"/>
      <c r="BQ1217" s="118"/>
      <c r="BR1217" s="118"/>
      <c r="BS1217" s="118">
        <f>INDEX('Dist. Plant Gas Additions'!$F$7:$AE$91,MATCH($C1217,'Dist. Plant Gas Additions'!$D$7:$D$91,0),MATCH(Calculation!$G1217,'Dist. Plant Gas Additions'!$F$5:$AE$5,0))</f>
        <v>28348</v>
      </c>
      <c r="BT1217" s="118">
        <f>INDEX('Gen. Plant Additions'!$F$7:$AE$91,MATCH($C1217,'Gen. Plant Additions'!$D$7:$D$91,0),MATCH(Calculation!$G1217,'Gen. Plant Additions'!$F$5:$AE$5,0))</f>
        <v>574</v>
      </c>
      <c r="BU1217" s="118"/>
      <c r="BV1217" s="118"/>
      <c r="BW1217" s="118">
        <f>INDEX('Dist Plant Depreciation'!$E$7:$AD$94,MATCH($C1217,'Dist Plant Depreciation'!$D$7:$D$94,0),MATCH(Calculation!$G1217,'Dist Plant Depreciation'!$E$5:$AD$5,0))</f>
        <v>147405</v>
      </c>
      <c r="BX1217" s="118">
        <f>INDEX('Gen. Plant Depreciation'!$E$7:$AD$94,MATCH($C1217,'Gen. Plant Depreciation'!$D$7:$D$94,0),MATCH(Calculation!$G1217,'Gen. Plant Depreciation'!$E$5:$AD$5,0))</f>
        <v>9785</v>
      </c>
      <c r="BY1217" s="118"/>
      <c r="BZ1217" s="118"/>
      <c r="CA1217" s="118"/>
      <c r="CB1217" s="118"/>
      <c r="CC1217" s="118"/>
      <c r="CD1217" s="183"/>
      <c r="CE1217" s="118">
        <f>INDEX('Gross Dx Plant'!$E$7:$AD$91,MATCH($C1217,'Gross Dx Plant'!$D$7:$D$91,0),MATCH(Calculation!$G1217,'Gross Dx Plant'!$E$5:$AD$5,0))</f>
        <v>447769</v>
      </c>
      <c r="CF1217" s="118">
        <f>INDEX('Gross Gen Plant'!$E$7:$AD$91,MATCH($C1217,'Gross Gen Plant'!$D$7:$D$91,0),MATCH(Calculation!$G1217,'Gross Gen Plant'!$E$5:$AD$5,0))</f>
        <v>21305</v>
      </c>
      <c r="CG1217" s="118">
        <f t="shared" si="3556"/>
        <v>311884</v>
      </c>
      <c r="CH1217" s="118"/>
      <c r="CI1217" s="121">
        <v>2003</v>
      </c>
      <c r="CJ1217" s="118"/>
      <c r="CK1217" s="118"/>
      <c r="CL1217" s="118"/>
      <c r="CM1217" s="183"/>
      <c r="CN1217" s="118">
        <f t="shared" si="3639"/>
        <v>28922</v>
      </c>
      <c r="CO1217" s="118">
        <f t="shared" si="3640"/>
        <v>78.329941099111807</v>
      </c>
      <c r="CP1217" s="186">
        <v>0.97354497354497349</v>
      </c>
      <c r="CQ1217" s="118">
        <f>+CQ1212*CP1217+CO1213*CP1216+CO1214*CP1215+CO1215*CP1214+CO1216*CP1213+CO1217</f>
        <v>1566.3471606628696</v>
      </c>
      <c r="CR1217" s="119">
        <f t="shared" si="3641"/>
        <v>4.5583893908359388E-2</v>
      </c>
      <c r="CS1217" s="119"/>
      <c r="CT1217" s="177">
        <f t="shared" si="3642"/>
        <v>5.7015408764607587E-3</v>
      </c>
      <c r="CU1217" s="177">
        <f t="shared" si="3651"/>
        <v>5.5050695795771367E-3</v>
      </c>
      <c r="CV1217" s="119">
        <f>VLOOKUP($H1217,RoR!$E:$F,2,FALSE)</f>
        <v>5.6666666666666671E-2</v>
      </c>
      <c r="CW1217" s="177">
        <v>1.8855119140166909E-2</v>
      </c>
      <c r="CX1217" s="177">
        <f t="shared" si="3649"/>
        <v>3.7811547526499761E-2</v>
      </c>
      <c r="CY1217" s="177">
        <f t="shared" si="3652"/>
        <v>2.5396872028956487E-2</v>
      </c>
      <c r="CZ1217" s="177">
        <f t="shared" si="3653"/>
        <v>2.1375012817671957E-2</v>
      </c>
      <c r="DA1217" s="187">
        <f t="shared" si="3643"/>
        <v>0.85412500000000002</v>
      </c>
      <c r="DB1217" s="188">
        <f t="shared" si="3644"/>
        <v>0.90497737556561086</v>
      </c>
      <c r="DC1217" s="188">
        <f t="shared" si="3645"/>
        <v>0.5338235294117647</v>
      </c>
      <c r="DD1217" s="188">
        <f t="shared" si="3646"/>
        <v>0.88972433127405692</v>
      </c>
      <c r="DE1217" s="188">
        <f t="shared" si="3647"/>
        <v>0.42982423775949252</v>
      </c>
      <c r="DF1217" s="189">
        <f>INDEX('State Tax Lookup'!$D$7:$Z$91,MATCH(Calculation!$C1217,'State Tax Lookup'!$B$7:$B$91,0),MATCH($H1217,'State Tax Lookup'!$D$6:$Z$6,0))</f>
        <v>0.38900000000000001</v>
      </c>
      <c r="DG1217" s="189">
        <v>0.375</v>
      </c>
      <c r="DH1217" s="190">
        <f t="shared" si="3650"/>
        <v>13.078860377447459</v>
      </c>
      <c r="DI1217" s="190"/>
      <c r="DJ1217" s="177"/>
      <c r="DK1217" s="189">
        <f>VLOOKUP($H1217,RoR!$E:$F,2,FALSE)</f>
        <v>5.6666666666666671E-2</v>
      </c>
      <c r="DL1217" s="191">
        <f>HLOOKUP($H1217,'GDP-PI'!$D$8:$CQ$11,3,FALSE)</f>
        <v>1.8855119140166909E-2</v>
      </c>
      <c r="DM1217" s="189">
        <f>VLOOKUP(H1217,'HW Dx Data'!$E:$F,2,FALSE)</f>
        <v>369.23301095560191</v>
      </c>
      <c r="DN1217" s="183">
        <f>VLOOKUP(H1217,'ECI - Input Price'!$G$17:$H$37,2,FALSE)</f>
        <v>92.625</v>
      </c>
      <c r="DO1217" s="177">
        <f t="shared" ref="DO1217" si="3654">LN(DN1217/DN1216)</f>
        <v>3.6837590135738785E-2</v>
      </c>
      <c r="DP1217" s="183">
        <f>HLOOKUP(H1217,'GDP-PI'!$8:$9,2,FALSE)</f>
        <v>82.566999999999993</v>
      </c>
      <c r="DQ1217" s="177">
        <f t="shared" ref="DQ1217" si="3655">LN(DP1217/DP1216)</f>
        <v>1.8679564681853753E-2</v>
      </c>
    </row>
    <row r="1218" spans="1:121" s="167" customFormat="1" ht="21" x14ac:dyDescent="0.35">
      <c r="A1218" s="167" t="s">
        <v>115</v>
      </c>
      <c r="B1218" s="167" t="s">
        <v>115</v>
      </c>
      <c r="C1218" s="167">
        <v>4063762</v>
      </c>
      <c r="D1218" s="168" t="s">
        <v>139</v>
      </c>
      <c r="E1218" s="168"/>
      <c r="F1218" s="198"/>
      <c r="G1218" s="167" t="s">
        <v>10</v>
      </c>
      <c r="H1218" s="169">
        <v>2004</v>
      </c>
      <c r="I1218" s="170"/>
      <c r="J1218" s="166">
        <f>IFERROR(INDEX('Labor Expenditures'!$F$7:$X$91,MATCH($C1218,'Labor Expenditures'!$D$7:$D$91,0),MATCH($G1218,'Labor Expenditures'!$F$5:$X$5,0)),"NA")</f>
        <v>16605.268560230274</v>
      </c>
      <c r="K1218" s="166">
        <f t="shared" ref="K1218:K1235" si="3656">+J1218/DN1218</f>
        <v>172.65680852851858</v>
      </c>
      <c r="L1218" s="172"/>
      <c r="M1218" s="172"/>
      <c r="N1218" s="196"/>
      <c r="O1218" s="172"/>
      <c r="P1218" s="166">
        <f>IFERROR(INDEX('Non-Labor Expenditures'!$F$7:$AB$91,MATCH($C1218,'Non-Labor Expenditures'!$D$7:$D$91,0),MATCH($G1218,'Non-Labor Expenditures'!$F$5:$AB$5,0)),"NA")</f>
        <v>24047.530311569921</v>
      </c>
      <c r="Q1218" s="166">
        <f t="shared" ref="Q1218:Q1235" si="3657">+P1218/DP1218</f>
        <v>283.65295609202764</v>
      </c>
      <c r="R1218" s="166"/>
      <c r="S1218" s="166"/>
      <c r="T1218" s="166"/>
      <c r="U1218" s="166"/>
      <c r="V1218" s="166">
        <f t="shared" si="3637"/>
        <v>22701.20798522648</v>
      </c>
      <c r="W1218" s="170"/>
      <c r="X1218" s="174">
        <v>1585.3387455138645</v>
      </c>
      <c r="Y1218" s="175">
        <v>1.205184481468833E-2</v>
      </c>
      <c r="Z1218" s="175"/>
      <c r="AA1218" s="175"/>
      <c r="AB1218" s="175"/>
      <c r="AC1218" s="170">
        <f t="shared" si="3648"/>
        <v>63354.006857026674</v>
      </c>
      <c r="AD1218" s="175"/>
      <c r="AE1218" s="170"/>
      <c r="AF1218" s="170"/>
      <c r="AG1218" s="174"/>
      <c r="AH1218" s="175"/>
      <c r="AI1218" s="175"/>
      <c r="AJ1218" s="174"/>
      <c r="AK1218" s="174"/>
      <c r="AL1218" s="120">
        <f t="shared" ref="AL1218:AL1235" si="3658">+J1218/AC1218</f>
        <v>0.26210289426056343</v>
      </c>
      <c r="AM1218" s="120">
        <f t="shared" ref="AM1218:AM1235" si="3659">+P1218/AC1218</f>
        <v>0.37957394495724428</v>
      </c>
      <c r="AN1218" s="120">
        <f t="shared" ref="AN1218:AN1235" si="3660">+V1218/AC1218</f>
        <v>0.35832316078219228</v>
      </c>
      <c r="AO1218" s="120"/>
      <c r="AP1218" s="120"/>
      <c r="AQ1218" s="175"/>
      <c r="AR1218" s="120"/>
      <c r="AS1218" s="120"/>
      <c r="AT1218" s="120"/>
      <c r="AU1218" s="120"/>
      <c r="AV1218" s="120"/>
      <c r="AW1218" s="120"/>
      <c r="AX1218" s="120"/>
      <c r="AY1218" s="120"/>
      <c r="AZ1218" s="118">
        <f>IFERROR(INDEX('Total Customers'!$F$7:$AB$91,MATCH($C1218,'Total Customers'!$D$7:$D$91,0),MATCH($G1218,'Total Customers'!$F$5:$AB$5,0)),"NA")</f>
        <v>256113</v>
      </c>
      <c r="BA1218" s="119">
        <f t="shared" si="3638"/>
        <v>2.0281358730315072E-2</v>
      </c>
      <c r="BB1218" s="119"/>
      <c r="BC1218" s="121"/>
      <c r="BD1218" s="119"/>
      <c r="BE1218" s="119"/>
      <c r="BF1218" s="119"/>
      <c r="BG1218" s="173"/>
      <c r="BH1218" s="173"/>
      <c r="BI1218" s="173"/>
      <c r="BJ1218" s="173"/>
      <c r="BK1218" s="173"/>
      <c r="BL1218" s="173"/>
      <c r="BM1218" s="173"/>
      <c r="BN1218" s="173"/>
      <c r="BO1218" s="173"/>
      <c r="BP1218" s="173"/>
      <c r="BQ1218" s="118"/>
      <c r="BR1218" s="118"/>
      <c r="BS1218" s="118">
        <f>INDEX('Dist. Plant Gas Additions'!$F$7:$AE$91,MATCH($C1218,'Dist. Plant Gas Additions'!$D$7:$D$91,0),MATCH(Calculation!$G1218,'Dist. Plant Gas Additions'!$F$5:$AE$5,0))</f>
        <v>10745</v>
      </c>
      <c r="BT1218" s="118">
        <f>INDEX('Gen. Plant Additions'!$F$7:$AE$91,MATCH($C1218,'Gen. Plant Additions'!$D$7:$D$91,0),MATCH(Calculation!$G1218,'Gen. Plant Additions'!$F$5:$AE$5,0))</f>
        <v>950</v>
      </c>
      <c r="BU1218" s="118"/>
      <c r="BV1218" s="118"/>
      <c r="BW1218" s="118">
        <f>INDEX('Dist Plant Depreciation'!$E$7:$AD$94,MATCH($C1218,'Dist Plant Depreciation'!$D$7:$D$94,0),MATCH(Calculation!$G1218,'Dist Plant Depreciation'!$E$5:$AD$5,0))</f>
        <v>154445</v>
      </c>
      <c r="BX1218" s="118">
        <f>INDEX('Gen. Plant Depreciation'!$E$7:$AD$94,MATCH($C1218,'Gen. Plant Depreciation'!$D$7:$D$94,0),MATCH(Calculation!$G1218,'Gen. Plant Depreciation'!$E$5:$AD$5,0))</f>
        <v>11127</v>
      </c>
      <c r="BY1218" s="118"/>
      <c r="BZ1218" s="118"/>
      <c r="CA1218" s="118"/>
      <c r="CB1218" s="118"/>
      <c r="CC1218" s="118"/>
      <c r="CD1218" s="183"/>
      <c r="CE1218" s="118">
        <f>INDEX('Gross Dx Plant'!$E$7:$AD$91,MATCH($C1218,'Gross Dx Plant'!$D$7:$D$91,0),MATCH(Calculation!$G1218,'Gross Dx Plant'!$E$5:$AD$5,0))</f>
        <v>454631</v>
      </c>
      <c r="CF1218" s="118">
        <f>INDEX('Gross Gen Plant'!$E$7:$AD$91,MATCH($C1218,'Gross Gen Plant'!$D$7:$D$91,0),MATCH(Calculation!$G1218,'Gross Gen Plant'!$E$5:$AD$5,0))</f>
        <v>21698</v>
      </c>
      <c r="CG1218" s="118">
        <f t="shared" si="3556"/>
        <v>310757</v>
      </c>
      <c r="CH1218" s="118"/>
      <c r="CI1218" s="121">
        <v>2004</v>
      </c>
      <c r="CJ1218" s="118"/>
      <c r="CK1218" s="118"/>
      <c r="CL1218" s="118"/>
      <c r="CM1218" s="183"/>
      <c r="CN1218" s="118">
        <f t="shared" si="3639"/>
        <v>11695</v>
      </c>
      <c r="CO1218" s="118">
        <f t="shared" si="3640"/>
        <v>28.188385285844348</v>
      </c>
      <c r="CP1218" s="186">
        <v>0.967741935483871</v>
      </c>
      <c r="CQ1218" s="118">
        <f>+CQ1212*CP1218+CO1213*CP1217+CO1214*CP1216+CO1215*CP1215+CO1216*CP1214+CO1217*CP1213+CO1218</f>
        <v>1585.3387455138645</v>
      </c>
      <c r="CR1218" s="119">
        <f t="shared" si="3641"/>
        <v>1.205184481468833E-2</v>
      </c>
      <c r="CS1218" s="119"/>
      <c r="CT1218" s="177">
        <f t="shared" si="3642"/>
        <v>5.8714955827272311E-3</v>
      </c>
      <c r="CU1218" s="177">
        <f t="shared" si="3651"/>
        <v>5.7780052066588906E-3</v>
      </c>
      <c r="CV1218" s="119">
        <f>VLOOKUP($H1218,RoR!$E:$F,2,FALSE)</f>
        <v>5.6283333333333331E-2</v>
      </c>
      <c r="CW1218" s="177">
        <v>2.6778252812867276E-2</v>
      </c>
      <c r="CX1218" s="177">
        <f t="shared" si="3649"/>
        <v>2.9505080520466055E-2</v>
      </c>
      <c r="CY1218" s="177">
        <f t="shared" si="3652"/>
        <v>2.5123936401874734E-2</v>
      </c>
      <c r="CZ1218" s="177">
        <f t="shared" si="3653"/>
        <v>5.5940039414565046E-2</v>
      </c>
      <c r="DA1218" s="187">
        <f t="shared" si="3643"/>
        <v>0.85412500000000002</v>
      </c>
      <c r="DB1218" s="188">
        <f t="shared" si="3644"/>
        <v>0.91114097628755619</v>
      </c>
      <c r="DC1218" s="188">
        <f t="shared" si="3645"/>
        <v>0.53081877405981637</v>
      </c>
      <c r="DD1218" s="188">
        <f t="shared" si="3646"/>
        <v>0.88811215519385678</v>
      </c>
      <c r="DE1218" s="188">
        <f t="shared" si="3647"/>
        <v>0.42953609753547711</v>
      </c>
      <c r="DF1218" s="189">
        <f>INDEX('State Tax Lookup'!$D$7:$Z$91,MATCH(Calculation!$C1218,'State Tax Lookup'!$B$7:$B$91,0),MATCH($H1218,'State Tax Lookup'!$D$6:$Z$6,0))</f>
        <v>0.38900000000000001</v>
      </c>
      <c r="DG1218" s="189">
        <v>0.375</v>
      </c>
      <c r="DH1218" s="190">
        <f t="shared" si="3650"/>
        <v>14.493088477026671</v>
      </c>
      <c r="DI1218" s="190"/>
      <c r="DJ1218" s="177"/>
      <c r="DK1218" s="189">
        <f>VLOOKUP($H1218,RoR!$E:$F,2,FALSE)</f>
        <v>5.6283333333333331E-2</v>
      </c>
      <c r="DL1218" s="191">
        <f>HLOOKUP($H1218,'GDP-PI'!$D$8:$CQ$11,3,FALSE)</f>
        <v>2.6778252812867276E-2</v>
      </c>
      <c r="DM1218" s="189">
        <f>VLOOKUP(H1218,'HW Dx Data'!$E:$F,2,FALSE)</f>
        <v>414.88719135228365</v>
      </c>
      <c r="DN1218" s="183">
        <f>VLOOKUP(H1218,'ECI - Input Price'!$G$17:$H$37,2,FALSE)</f>
        <v>96.174999999999997</v>
      </c>
      <c r="DO1218" s="177">
        <f t="shared" ref="DO1218" si="3661">LN(DN1218/DN1217)</f>
        <v>3.7610365022107912E-2</v>
      </c>
      <c r="DP1218" s="183">
        <f>HLOOKUP(H1218,'GDP-PI'!$8:$9,2,FALSE)</f>
        <v>84.778000000000006</v>
      </c>
      <c r="DQ1218" s="177">
        <f t="shared" ref="DQ1218" si="3662">LN(DP1218/DP1217)</f>
        <v>2.6425990216022755E-2</v>
      </c>
    </row>
    <row r="1219" spans="1:121" s="167" customFormat="1" ht="21" x14ac:dyDescent="0.35">
      <c r="A1219" s="167" t="s">
        <v>115</v>
      </c>
      <c r="B1219" s="167" t="s">
        <v>115</v>
      </c>
      <c r="C1219" s="167">
        <v>4063762</v>
      </c>
      <c r="D1219" s="168" t="s">
        <v>139</v>
      </c>
      <c r="E1219" s="168"/>
      <c r="F1219" s="198"/>
      <c r="G1219" s="167" t="s">
        <v>11</v>
      </c>
      <c r="H1219" s="169">
        <v>2005</v>
      </c>
      <c r="I1219" s="170"/>
      <c r="J1219" s="166">
        <f>IFERROR(INDEX('Labor Expenditures'!$F$7:$X$91,MATCH($C1219,'Labor Expenditures'!$D$7:$D$91,0),MATCH($G1219,'Labor Expenditures'!$F$5:$X$5,0)),"NA")</f>
        <v>17465.8674014684</v>
      </c>
      <c r="K1219" s="166">
        <f t="shared" si="3656"/>
        <v>176.15600001480988</v>
      </c>
      <c r="L1219" s="172">
        <f t="shared" ref="L1219:L1235" si="3663">LN(K1219/K1218)</f>
        <v>2.0064107673005361E-2</v>
      </c>
      <c r="M1219" s="172"/>
      <c r="N1219" s="196"/>
      <c r="O1219" s="172"/>
      <c r="P1219" s="166">
        <f>IFERROR(INDEX('Non-Labor Expenditures'!$F$7:$AB$91,MATCH($C1219,'Non-Labor Expenditures'!$D$7:$D$91,0),MATCH($G1219,'Non-Labor Expenditures'!$F$5:$AB$5,0)),"NA")</f>
        <v>25293.838171374198</v>
      </c>
      <c r="Q1219" s="166">
        <f t="shared" si="3657"/>
        <v>289.3800058504948</v>
      </c>
      <c r="R1219" s="172">
        <f>LN(Q1219/Q1218)</f>
        <v>1.9989218189718126E-2</v>
      </c>
      <c r="S1219" s="172"/>
      <c r="T1219" s="172"/>
      <c r="U1219" s="172"/>
      <c r="V1219" s="166">
        <f t="shared" si="3637"/>
        <v>25810.492124626311</v>
      </c>
      <c r="W1219" s="170"/>
      <c r="X1219" s="174">
        <v>1616.8843894325564</v>
      </c>
      <c r="Y1219" s="175">
        <v>1.9702977027800207E-2</v>
      </c>
      <c r="Z1219" s="175"/>
      <c r="AA1219" s="175"/>
      <c r="AB1219" s="175"/>
      <c r="AC1219" s="170">
        <f t="shared" si="3648"/>
        <v>68570.197697468917</v>
      </c>
      <c r="AD1219" s="175">
        <f>LN(AC1219/AC1218)</f>
        <v>7.9119850154320437E-2</v>
      </c>
      <c r="AE1219" s="170"/>
      <c r="AF1219" s="170"/>
      <c r="AG1219" s="121"/>
      <c r="AH1219" s="119"/>
      <c r="AI1219" s="119"/>
      <c r="AJ1219" s="121"/>
      <c r="AK1219" s="121"/>
      <c r="AL1219" s="120">
        <f t="shared" si="3658"/>
        <v>0.25471513847061733</v>
      </c>
      <c r="AM1219" s="120">
        <f t="shared" si="3659"/>
        <v>0.36887509473095559</v>
      </c>
      <c r="AN1219" s="120">
        <f t="shared" si="3660"/>
        <v>0.37640976679842703</v>
      </c>
      <c r="AO1219" s="120">
        <f t="shared" ref="AO1219:AO1235" si="3664">+(((AL1219+AL1218)/2)*L1219+((AM1218+AM1219)/2)*R1219+((AN1218+AN1219)/2)*Y1219)</f>
        <v>1.9903414903985492E-2</v>
      </c>
      <c r="AP1219" s="173">
        <v>100</v>
      </c>
      <c r="AQ1219" s="175"/>
      <c r="AR1219" s="120"/>
      <c r="AS1219" s="120"/>
      <c r="AT1219" s="120"/>
      <c r="AU1219" s="120"/>
      <c r="AV1219" s="120"/>
      <c r="AW1219" s="120"/>
      <c r="AX1219" s="120"/>
      <c r="AY1219" s="120"/>
      <c r="AZ1219" s="118">
        <f>IFERROR(INDEX('Total Customers'!$F$7:$AB$91,MATCH($C1219,'Total Customers'!$D$7:$D$91,0),MATCH($G1219,'Total Customers'!$F$5:$AB$5,0)),"NA")</f>
        <v>266962</v>
      </c>
      <c r="BA1219" s="119">
        <f t="shared" si="3638"/>
        <v>4.1487572835638517E-2</v>
      </c>
      <c r="BB1219" s="119"/>
      <c r="BC1219" s="121"/>
      <c r="BD1219" s="119"/>
      <c r="BE1219" s="119"/>
      <c r="BF1219" s="119"/>
      <c r="BG1219" s="173"/>
      <c r="BH1219" s="173"/>
      <c r="BI1219" s="173"/>
      <c r="BJ1219" s="173"/>
      <c r="BK1219" s="173"/>
      <c r="BL1219" s="173"/>
      <c r="BM1219" s="173"/>
      <c r="BN1219" s="173"/>
      <c r="BO1219" s="173"/>
      <c r="BP1219" s="173"/>
      <c r="BQ1219" s="118"/>
      <c r="BR1219" s="118"/>
      <c r="BS1219" s="118">
        <f>INDEX('Dist. Plant Gas Additions'!$F$7:$AE$91,MATCH($C1219,'Dist. Plant Gas Additions'!$D$7:$D$91,0),MATCH(Calculation!$G1219,'Dist. Plant Gas Additions'!$F$5:$AE$5,0))</f>
        <v>18001</v>
      </c>
      <c r="BT1219" s="118">
        <f>INDEX('Gen. Plant Additions'!$F$7:$AE$91,MATCH($C1219,'Gen. Plant Additions'!$D$7:$D$91,0),MATCH(Calculation!$G1219,'Gen. Plant Additions'!$F$5:$AE$5,0))</f>
        <v>1322</v>
      </c>
      <c r="BU1219" s="118"/>
      <c r="BV1219" s="118"/>
      <c r="BW1219" s="118">
        <f>INDEX('Dist Plant Depreciation'!$E$7:$AD$94,MATCH($C1219,'Dist Plant Depreciation'!$D$7:$D$94,0),MATCH(Calculation!$G1219,'Dist Plant Depreciation'!$E$5:$AD$5,0))</f>
        <v>166341</v>
      </c>
      <c r="BX1219" s="118">
        <f>INDEX('Gen. Plant Depreciation'!$E$7:$AD$94,MATCH($C1219,'Gen. Plant Depreciation'!$D$7:$D$94,0),MATCH(Calculation!$G1219,'Gen. Plant Depreciation'!$E$5:$AD$5,0))</f>
        <v>1964</v>
      </c>
      <c r="BY1219" s="118"/>
      <c r="BZ1219" s="118"/>
      <c r="CA1219" s="118"/>
      <c r="CB1219" s="118"/>
      <c r="CC1219" s="118"/>
      <c r="CD1219" s="183"/>
      <c r="CE1219" s="118">
        <f>INDEX('Gross Dx Plant'!$E$7:$AD$91,MATCH($C1219,'Gross Dx Plant'!$D$7:$D$91,0),MATCH(Calculation!$G1219,'Gross Dx Plant'!$E$5:$AD$5,0))</f>
        <v>471995</v>
      </c>
      <c r="CF1219" s="118">
        <f>INDEX('Gross Gen Plant'!$E$7:$AD$91,MATCH($C1219,'Gross Gen Plant'!$D$7:$D$91,0),MATCH(Calculation!$G1219,'Gross Gen Plant'!$E$5:$AD$5,0))</f>
        <v>10531</v>
      </c>
      <c r="CG1219" s="118">
        <f t="shared" si="3556"/>
        <v>314221</v>
      </c>
      <c r="CH1219" s="118"/>
      <c r="CI1219" s="121">
        <v>2005</v>
      </c>
      <c r="CJ1219" s="118"/>
      <c r="CK1219" s="118"/>
      <c r="CL1219" s="118"/>
      <c r="CM1219" s="183"/>
      <c r="CN1219" s="118">
        <f t="shared" si="3639"/>
        <v>19323</v>
      </c>
      <c r="CO1219" s="118">
        <f t="shared" si="3640"/>
        <v>41.182413273674719</v>
      </c>
      <c r="CP1219" s="186">
        <v>0.96174863387978138</v>
      </c>
      <c r="CQ1219" s="118">
        <f>+CQ1212*CP1219+CO1213*CP1218+CO1214*CP1217+CO1215*CP1216+CO1216*CP1215+CO1217*CP1214+CO1218*CP1213+CO1219</f>
        <v>1616.8843894325564</v>
      </c>
      <c r="CR1219" s="119">
        <f t="shared" si="3641"/>
        <v>1.9702977027800207E-2</v>
      </c>
      <c r="CS1219" s="119"/>
      <c r="CT1219" s="177">
        <f t="shared" si="3642"/>
        <v>6.078681532418616E-3</v>
      </c>
      <c r="CU1219" s="177">
        <f t="shared" si="3651"/>
        <v>5.8839059972022019E-3</v>
      </c>
      <c r="CV1219" s="119">
        <f>VLOOKUP($H1219,RoR!$E:$F,2,FALSE)</f>
        <v>5.2350000000000001E-2</v>
      </c>
      <c r="CW1219" s="177">
        <v>3.1010403642454332E-2</v>
      </c>
      <c r="CX1219" s="177">
        <f t="shared" si="3649"/>
        <v>2.1339596357545669E-2</v>
      </c>
      <c r="CY1219" s="177">
        <f t="shared" si="3652"/>
        <v>2.5018035611331424E-2</v>
      </c>
      <c r="CZ1219" s="177">
        <f t="shared" si="3653"/>
        <v>9.2129610649277341E-2</v>
      </c>
      <c r="DA1219" s="187">
        <f t="shared" si="3643"/>
        <v>0.85412500000000002</v>
      </c>
      <c r="DB1219" s="188">
        <f t="shared" si="3644"/>
        <v>0.97959983346802826</v>
      </c>
      <c r="DC1219" s="188">
        <f t="shared" si="3645"/>
        <v>0.49744508118433622</v>
      </c>
      <c r="DD1219" s="188">
        <f t="shared" si="3646"/>
        <v>0.87010519444335932</v>
      </c>
      <c r="DE1219" s="188">
        <f t="shared" si="3647"/>
        <v>0.42399975420741998</v>
      </c>
      <c r="DF1219" s="189">
        <f>INDEX('State Tax Lookup'!$D$7:$Z$91,MATCH(Calculation!$C1219,'State Tax Lookup'!$B$7:$B$91,0),MATCH($H1219,'State Tax Lookup'!$D$6:$Z$6,0))</f>
        <v>0.38900000000000001</v>
      </c>
      <c r="DG1219" s="189">
        <v>0.375</v>
      </c>
      <c r="DH1219" s="190">
        <f t="shared" si="3650"/>
        <v>16.280742647376737</v>
      </c>
      <c r="DI1219" s="190"/>
      <c r="DJ1219" s="177"/>
      <c r="DK1219" s="189">
        <f>VLOOKUP($H1219,RoR!$E:$F,2,FALSE)</f>
        <v>5.2350000000000001E-2</v>
      </c>
      <c r="DL1219" s="191">
        <f>HLOOKUP($H1219,'GDP-PI'!$D$8:$CQ$11,3,FALSE)</f>
        <v>3.1010403642454332E-2</v>
      </c>
      <c r="DM1219" s="189">
        <f>VLOOKUP(H1219,'HW Dx Data'!$E:$F,2,FALSE)</f>
        <v>469.20514034936258</v>
      </c>
      <c r="DN1219" s="183">
        <f>VLOOKUP(H1219,'ECI - Input Price'!$G$17:$H$37,2,FALSE)</f>
        <v>99.15</v>
      </c>
      <c r="DO1219" s="177">
        <f t="shared" ref="DO1219" si="3665">LN(DN1219/DN1218)</f>
        <v>3.046440632744625E-2</v>
      </c>
      <c r="DP1219" s="183">
        <f>HLOOKUP(H1219,'GDP-PI'!$8:$9,2,FALSE)</f>
        <v>87.406999999999996</v>
      </c>
      <c r="DQ1219" s="177">
        <f t="shared" ref="DQ1219" si="3666">LN(DP1219/DP1218)</f>
        <v>3.0539295810733648E-2</v>
      </c>
    </row>
    <row r="1220" spans="1:121" s="167" customFormat="1" ht="21" x14ac:dyDescent="0.35">
      <c r="A1220" s="167" t="s">
        <v>115</v>
      </c>
      <c r="B1220" s="167" t="s">
        <v>115</v>
      </c>
      <c r="C1220" s="167">
        <v>4063762</v>
      </c>
      <c r="D1220" s="168" t="s">
        <v>139</v>
      </c>
      <c r="E1220" s="168"/>
      <c r="F1220" s="198"/>
      <c r="G1220" s="167" t="s">
        <v>12</v>
      </c>
      <c r="H1220" s="169">
        <v>2006</v>
      </c>
      <c r="I1220" s="170"/>
      <c r="J1220" s="166">
        <f>IFERROR(INDEX('Labor Expenditures'!$F$7:$X$91,MATCH($C1220,'Labor Expenditures'!$D$7:$D$91,0),MATCH($G1220,'Labor Expenditures'!$F$5:$X$5,0)),"NA")</f>
        <v>16666.619401222215</v>
      </c>
      <c r="K1220" s="166">
        <f t="shared" si="3656"/>
        <v>163.31817149654302</v>
      </c>
      <c r="L1220" s="172">
        <f t="shared" si="3663"/>
        <v>-7.5669695614675569E-2</v>
      </c>
      <c r="M1220" s="172">
        <f t="shared" ref="M1220:M1235" si="3667">+L1220*AR1220</f>
        <v>-6.3255232879523842E-4</v>
      </c>
      <c r="N1220" s="196"/>
      <c r="O1220" s="172"/>
      <c r="P1220" s="166">
        <f>IFERROR(INDEX('Non-Labor Expenditures'!$F$7:$AB$91,MATCH($C1220,'Non-Labor Expenditures'!$D$7:$D$91,0),MATCH($G1220,'Non-Labor Expenditures'!$F$5:$AB$5,0)),"NA")</f>
        <v>24136.377788082737</v>
      </c>
      <c r="Q1220" s="166">
        <f t="shared" si="3657"/>
        <v>267.9616513986582</v>
      </c>
      <c r="R1220" s="172">
        <f t="shared" ref="R1220:R1235" si="3668">LN(Q1220/Q1219)</f>
        <v>-7.6896845050081167E-2</v>
      </c>
      <c r="S1220" s="172">
        <f>+R1220*AR1220</f>
        <v>-6.4281054678911426E-4</v>
      </c>
      <c r="T1220" s="172"/>
      <c r="U1220" s="172"/>
      <c r="V1220" s="166">
        <f t="shared" si="3637"/>
        <v>25692.073307992021</v>
      </c>
      <c r="W1220" s="170"/>
      <c r="X1220" s="174">
        <v>1635.3367584121495</v>
      </c>
      <c r="Y1220" s="175">
        <v>1.1347670499047949E-2</v>
      </c>
      <c r="Z1220" s="175">
        <f>+Y1220*AR1220</f>
        <v>9.4859578094849478E-5</v>
      </c>
      <c r="AA1220" s="175"/>
      <c r="AB1220" s="175"/>
      <c r="AC1220" s="170">
        <f t="shared" si="3648"/>
        <v>66495.070497296969</v>
      </c>
      <c r="AD1220" s="175">
        <f t="shared" ref="AD1220:AD1235" si="3669">LN(AC1220/AC1219)</f>
        <v>-3.0730187386263898E-2</v>
      </c>
      <c r="AE1220" s="170"/>
      <c r="AF1220" s="170"/>
      <c r="AG1220" s="121">
        <f t="shared" ref="AG1220:AG1235" si="3670">+(AC1220*1000)/AZ1220</f>
        <v>246.50994082320764</v>
      </c>
      <c r="AH1220" s="119">
        <f>+AZ1220/$BB$44</f>
        <v>7.6731764898578447E-3</v>
      </c>
      <c r="AI1220" s="119"/>
      <c r="AJ1220" s="176">
        <f>+AH1220*AG1220</f>
        <v>1.8915142824408855</v>
      </c>
      <c r="AK1220" s="176">
        <f>+AI1220*AG1220</f>
        <v>0</v>
      </c>
      <c r="AL1220" s="120">
        <f t="shared" si="3658"/>
        <v>0.25064443539314263</v>
      </c>
      <c r="AM1220" s="120">
        <f t="shared" si="3659"/>
        <v>0.36297995637231306</v>
      </c>
      <c r="AN1220" s="120">
        <f t="shared" si="3660"/>
        <v>0.38637560823454437</v>
      </c>
      <c r="AO1220" s="120">
        <f t="shared" si="3664"/>
        <v>-4.2930956248336642E-2</v>
      </c>
      <c r="AP1220" s="173">
        <f>+AP1219*EXP(AO1220)</f>
        <v>95.797753014641529</v>
      </c>
      <c r="AQ1220" s="175">
        <f>LN(AP1220/AP1219)</f>
        <v>-4.2930956248336642E-2</v>
      </c>
      <c r="AR1220" s="177">
        <f>+AC1220/$AE$44</f>
        <v>8.3593877794396684E-3</v>
      </c>
      <c r="AS1220" s="177">
        <f>+AR1220*AQ1220</f>
        <v>-3.5887651102200439E-4</v>
      </c>
      <c r="AT1220" s="177"/>
      <c r="AU1220" s="177"/>
      <c r="AV1220" s="177"/>
      <c r="AW1220" s="190"/>
      <c r="AX1220" s="120"/>
      <c r="AY1220" s="120"/>
      <c r="AZ1220" s="118">
        <f>IFERROR(INDEX('Total Customers'!$F$7:$AB$91,MATCH($C1220,'Total Customers'!$D$7:$D$91,0),MATCH($G1220,'Total Customers'!$F$5:$AB$5,0)),"NA")</f>
        <v>269746</v>
      </c>
      <c r="BA1220" s="119">
        <f t="shared" si="3638"/>
        <v>1.0374449309230625E-2</v>
      </c>
      <c r="BB1220" s="119"/>
      <c r="BC1220" s="121"/>
      <c r="BD1220" s="119"/>
      <c r="BE1220" s="119"/>
      <c r="BF1220" s="119"/>
      <c r="BG1220" s="173"/>
      <c r="BH1220" s="173"/>
      <c r="BI1220" s="173"/>
      <c r="BJ1220" s="173"/>
      <c r="BK1220" s="173"/>
      <c r="BL1220" s="173"/>
      <c r="BM1220" s="173"/>
      <c r="BN1220" s="173"/>
      <c r="BO1220" s="173"/>
      <c r="BP1220" s="173"/>
      <c r="BQ1220" s="118"/>
      <c r="BR1220" s="118"/>
      <c r="BS1220" s="118">
        <f>INDEX('Dist. Plant Gas Additions'!$F$7:$AE$91,MATCH($C1220,'Dist. Plant Gas Additions'!$D$7:$D$91,0),MATCH(Calculation!$G1220,'Dist. Plant Gas Additions'!$F$5:$AE$5,0))</f>
        <v>8173</v>
      </c>
      <c r="BT1220" s="118">
        <f>INDEX('Gen. Plant Additions'!$F$7:$AE$91,MATCH($C1220,'Gen. Plant Additions'!$D$7:$D$91,0),MATCH(Calculation!$G1220,'Gen. Plant Additions'!$F$5:$AE$5,0))</f>
        <v>5020</v>
      </c>
      <c r="BU1220" s="118"/>
      <c r="BV1220" s="118"/>
      <c r="BW1220" s="118">
        <f>INDEX('Dist Plant Depreciation'!$E$7:$AD$94,MATCH($C1220,'Dist Plant Depreciation'!$D$7:$D$94,0),MATCH(Calculation!$G1220,'Dist Plant Depreciation'!$E$5:$AD$5,0))</f>
        <v>176698</v>
      </c>
      <c r="BX1220" s="118">
        <f>INDEX('Gen. Plant Depreciation'!$E$7:$AD$94,MATCH($C1220,'Gen. Plant Depreciation'!$D$7:$D$94,0),MATCH(Calculation!$G1220,'Gen. Plant Depreciation'!$E$5:$AD$5,0))</f>
        <v>1886</v>
      </c>
      <c r="BY1220" s="118"/>
      <c r="BZ1220" s="118"/>
      <c r="CA1220" s="118"/>
      <c r="CB1220" s="118"/>
      <c r="CC1220" s="118"/>
      <c r="CD1220" s="183"/>
      <c r="CE1220" s="118">
        <f>INDEX('Gross Dx Plant'!$E$7:$AD$91,MATCH($C1220,'Gross Dx Plant'!$D$7:$D$91,0),MATCH(Calculation!$G1220,'Gross Dx Plant'!$E$5:$AD$5,0))</f>
        <v>479382</v>
      </c>
      <c r="CF1220" s="118">
        <f>INDEX('Gross Gen Plant'!$E$7:$AD$91,MATCH($C1220,'Gross Gen Plant'!$D$7:$D$91,0),MATCH(Calculation!$G1220,'Gross Gen Plant'!$E$5:$AD$5,0))</f>
        <v>15601</v>
      </c>
      <c r="CG1220" s="118">
        <f t="shared" si="3556"/>
        <v>316399</v>
      </c>
      <c r="CH1220" s="119" t="e">
        <f>SUM(#REF!)/15</f>
        <v>#REF!</v>
      </c>
      <c r="CI1220" s="121">
        <v>2006</v>
      </c>
      <c r="CJ1220" s="118"/>
      <c r="CK1220" s="118"/>
      <c r="CL1220" s="118"/>
      <c r="CM1220" s="183"/>
      <c r="CN1220" s="118">
        <f t="shared" si="3639"/>
        <v>13193</v>
      </c>
      <c r="CO1220" s="118">
        <f t="shared" si="3640"/>
        <v>28.612903805695879</v>
      </c>
      <c r="CP1220" s="186">
        <v>0.9555555555555556</v>
      </c>
      <c r="CQ1220" s="118">
        <f>+CQ1212*CP1220+CO1213*CP1219+CO1214*CP1218+CO1215*CP1217+CO1216*CP1216+CO1217*CP1215+CO1218*CP1214+CO1219*CP1213+CO1220</f>
        <v>1635.3367584121495</v>
      </c>
      <c r="CR1220" s="119">
        <f t="shared" si="3641"/>
        <v>1.1347670499047949E-2</v>
      </c>
      <c r="CS1220" s="119"/>
      <c r="CT1220" s="177">
        <f t="shared" si="3642"/>
        <v>6.2840206093328858E-3</v>
      </c>
      <c r="CU1220" s="177">
        <f t="shared" si="3651"/>
        <v>6.0780659081595785E-3</v>
      </c>
      <c r="CV1220" s="119">
        <f>VLOOKUP($H1220,RoR!$E:$F,2,FALSE)</f>
        <v>5.5874999999999994E-2</v>
      </c>
      <c r="CW1220" s="177">
        <v>3.0512430354548314E-2</v>
      </c>
      <c r="CX1220" s="177">
        <f t="shared" si="3649"/>
        <v>2.536256964545168E-2</v>
      </c>
      <c r="CY1220" s="177">
        <f t="shared" si="3652"/>
        <v>2.4823875700374046E-2</v>
      </c>
      <c r="CZ1220" s="177">
        <f t="shared" si="3653"/>
        <v>7.9087823893859641E-2</v>
      </c>
      <c r="DA1220" s="187">
        <f t="shared" si="3643"/>
        <v>0.85412500000000002</v>
      </c>
      <c r="DB1220" s="188">
        <f t="shared" si="3644"/>
        <v>0.91779957551769631</v>
      </c>
      <c r="DC1220" s="188">
        <f t="shared" si="3645"/>
        <v>0.52757270693512304</v>
      </c>
      <c r="DD1220" s="188">
        <f t="shared" si="3646"/>
        <v>0.88636824549024895</v>
      </c>
      <c r="DE1220" s="188">
        <f t="shared" si="3647"/>
        <v>0.42918482841932087</v>
      </c>
      <c r="DF1220" s="189">
        <f>INDEX('State Tax Lookup'!$D$7:$Z$91,MATCH(Calculation!$C1220,'State Tax Lookup'!$B$7:$B$91,0),MATCH($H1220,'State Tax Lookup'!$D$6:$Z$6,0))</f>
        <v>0.38900000000000001</v>
      </c>
      <c r="DG1220" s="189">
        <v>0.375</v>
      </c>
      <c r="DH1220" s="190">
        <f t="shared" si="3650"/>
        <v>15.88986415844402</v>
      </c>
      <c r="DI1220" s="190">
        <v>15.420279027932978</v>
      </c>
      <c r="DJ1220" s="177"/>
      <c r="DK1220" s="189">
        <f>VLOOKUP($H1220,RoR!$E:$F,2,FALSE)</f>
        <v>5.5874999999999994E-2</v>
      </c>
      <c r="DL1220" s="191">
        <f>HLOOKUP($H1220,'GDP-PI'!$D$8:$CQ$11,3,FALSE)</f>
        <v>3.0512430354548314E-2</v>
      </c>
      <c r="DM1220" s="189">
        <f>VLOOKUP(H1220,'HW Dx Data'!$E:$F,2,FALSE)</f>
        <v>461.08567272971823</v>
      </c>
      <c r="DN1220" s="183">
        <f>VLOOKUP(H1220,'ECI - Input Price'!$G$17:$H$37,2,FALSE)</f>
        <v>102.05</v>
      </c>
      <c r="DO1220" s="177">
        <f t="shared" ref="DO1220" si="3671">LN(DN1220/DN1219)</f>
        <v>2.8829034290048662E-2</v>
      </c>
      <c r="DP1220" s="183">
        <f>HLOOKUP(H1220,'GDP-PI'!$8:$9,2,FALSE)</f>
        <v>90.073999999999998</v>
      </c>
      <c r="DQ1220" s="177">
        <f t="shared" ref="DQ1220" si="3672">LN(DP1220/DP1219)</f>
        <v>3.005618372545445E-2</v>
      </c>
    </row>
    <row r="1221" spans="1:121" s="167" customFormat="1" ht="21" x14ac:dyDescent="0.35">
      <c r="A1221" s="167" t="s">
        <v>115</v>
      </c>
      <c r="B1221" s="167" t="s">
        <v>115</v>
      </c>
      <c r="C1221" s="167">
        <v>4063762</v>
      </c>
      <c r="D1221" s="168" t="s">
        <v>139</v>
      </c>
      <c r="E1221" s="168"/>
      <c r="F1221" s="198"/>
      <c r="G1221" s="167" t="s">
        <v>13</v>
      </c>
      <c r="H1221" s="169">
        <v>2007</v>
      </c>
      <c r="I1221" s="170"/>
      <c r="J1221" s="166">
        <f>IFERROR(INDEX('Labor Expenditures'!$F$7:$X$91,MATCH($C1221,'Labor Expenditures'!$D$7:$D$91,0),MATCH($G1221,'Labor Expenditures'!$F$5:$X$5,0)),"NA")</f>
        <v>14210.051658451292</v>
      </c>
      <c r="K1221" s="166">
        <f t="shared" si="3656"/>
        <v>135.04444436637007</v>
      </c>
      <c r="L1221" s="172">
        <f t="shared" si="3663"/>
        <v>-0.19009632876873414</v>
      </c>
      <c r="M1221" s="172">
        <f t="shared" si="3667"/>
        <v>-1.4177329608886925E-3</v>
      </c>
      <c r="N1221" s="196"/>
      <c r="O1221" s="172"/>
      <c r="P1221" s="166">
        <f>IFERROR(INDEX('Non-Labor Expenditures'!$F$7:$AB$91,MATCH($C1221,'Non-Labor Expenditures'!$D$7:$D$91,0),MATCH($G1221,'Non-Labor Expenditures'!$F$5:$AB$5,0)),"NA")</f>
        <v>20578.808872985977</v>
      </c>
      <c r="Q1221" s="166">
        <f t="shared" si="3657"/>
        <v>222.47841978189774</v>
      </c>
      <c r="R1221" s="172">
        <f t="shared" si="3668"/>
        <v>-0.18601377131799168</v>
      </c>
      <c r="S1221" s="172">
        <f t="shared" ref="S1221:S1235" si="3673">+R1221*AR1221</f>
        <v>-1.3872853646614092E-3</v>
      </c>
      <c r="T1221" s="172"/>
      <c r="U1221" s="172"/>
      <c r="V1221" s="166">
        <f t="shared" si="3637"/>
        <v>27872.709882598978</v>
      </c>
      <c r="W1221" s="170"/>
      <c r="X1221" s="174">
        <v>1717.3632298637883</v>
      </c>
      <c r="Y1221" s="175">
        <v>4.8941357087963315E-2</v>
      </c>
      <c r="Z1221" s="175">
        <f t="shared" ref="Z1221:Z1235" si="3674">+Y1221*AR1221</f>
        <v>3.6500323569447682E-4</v>
      </c>
      <c r="AA1221" s="175"/>
      <c r="AB1221" s="175"/>
      <c r="AC1221" s="170">
        <f t="shared" si="3648"/>
        <v>62661.57041403625</v>
      </c>
      <c r="AD1221" s="175">
        <f t="shared" si="3669"/>
        <v>-5.9379469379349063E-2</v>
      </c>
      <c r="AE1221" s="170"/>
      <c r="AF1221" s="170"/>
      <c r="AG1221" s="121">
        <f t="shared" si="3670"/>
        <v>232.68400704806277</v>
      </c>
      <c r="AH1221" s="119">
        <f>+AZ1221/$BB$45</f>
        <v>7.6030246568423348E-3</v>
      </c>
      <c r="AI1221" s="119"/>
      <c r="AJ1221" s="176">
        <f t="shared" ref="AJ1221:AJ1235" si="3675">+AH1221*AG1221</f>
        <v>1.7691022428392968</v>
      </c>
      <c r="AK1221" s="176">
        <f t="shared" ref="AK1221:AK1235" si="3676">+AI1221*AG1221</f>
        <v>0</v>
      </c>
      <c r="AL1221" s="120">
        <f t="shared" si="3658"/>
        <v>0.22677458551642407</v>
      </c>
      <c r="AM1221" s="120">
        <f t="shared" si="3659"/>
        <v>0.32841195547783947</v>
      </c>
      <c r="AN1221" s="120">
        <f t="shared" si="3660"/>
        <v>0.44481345900573638</v>
      </c>
      <c r="AO1221" s="120">
        <f t="shared" si="3664"/>
        <v>-8.934224959692888E-2</v>
      </c>
      <c r="AP1221" s="173">
        <f>+AP1220*EXP(AO1221)</f>
        <v>87.610160629976775</v>
      </c>
      <c r="AQ1221" s="175">
        <f>LN(AP1221/AP1220)</f>
        <v>-8.9342249596928935E-2</v>
      </c>
      <c r="AR1221" s="177">
        <f>+AC1221/$AE$45</f>
        <v>7.4579712826199109E-3</v>
      </c>
      <c r="AS1221" s="177">
        <f t="shared" ref="AS1221:AS1235" si="3677">+AR1221*AQ1221</f>
        <v>-6.6631193181855629E-4</v>
      </c>
      <c r="AT1221" s="177"/>
      <c r="AU1221" s="177"/>
      <c r="AV1221" s="177"/>
      <c r="AW1221" s="190"/>
      <c r="AX1221" s="120"/>
      <c r="AY1221" s="120"/>
      <c r="AZ1221" s="118">
        <f>IFERROR(INDEX('Total Customers'!$F$7:$AB$91,MATCH($C1221,'Total Customers'!$D$7:$D$91,0),MATCH($G1221,'Total Customers'!$F$5:$AB$5,0)),"NA")</f>
        <v>269299</v>
      </c>
      <c r="BA1221" s="119">
        <f t="shared" si="3638"/>
        <v>-1.6584890035500725E-3</v>
      </c>
      <c r="BB1221" s="119"/>
      <c r="BC1221" s="121"/>
      <c r="BD1221" s="119"/>
      <c r="BE1221" s="119"/>
      <c r="BF1221" s="119"/>
      <c r="BG1221" s="173"/>
      <c r="BH1221" s="173"/>
      <c r="BI1221" s="173"/>
      <c r="BJ1221" s="173"/>
      <c r="BK1221" s="173"/>
      <c r="BL1221" s="173"/>
      <c r="BM1221" s="173"/>
      <c r="BN1221" s="173"/>
      <c r="BO1221" s="173"/>
      <c r="BP1221" s="173"/>
      <c r="BQ1221" s="118"/>
      <c r="BR1221" s="118"/>
      <c r="BS1221" s="118">
        <f>INDEX('Dist. Plant Gas Additions'!$F$7:$AE$91,MATCH($C1221,'Dist. Plant Gas Additions'!$D$7:$D$91,0),MATCH(Calculation!$G1221,'Dist. Plant Gas Additions'!$F$5:$AE$5,0))</f>
        <v>39146</v>
      </c>
      <c r="BT1221" s="118">
        <f>INDEX('Gen. Plant Additions'!$F$7:$AE$91,MATCH($C1221,'Gen. Plant Additions'!$D$7:$D$91,0),MATCH(Calculation!$G1221,'Gen. Plant Additions'!$F$5:$AE$5,0))</f>
        <v>7006</v>
      </c>
      <c r="BU1221" s="118"/>
      <c r="BV1221" s="118"/>
      <c r="BW1221" s="118">
        <f>INDEX('Dist Plant Depreciation'!$E$7:$AD$94,MATCH($C1221,'Dist Plant Depreciation'!$D$7:$D$94,0),MATCH(Calculation!$G1221,'Dist Plant Depreciation'!$E$5:$AD$5,0))</f>
        <v>184077</v>
      </c>
      <c r="BX1221" s="118">
        <f>INDEX('Gen. Plant Depreciation'!$E$7:$AD$94,MATCH($C1221,'Gen. Plant Depreciation'!$D$7:$D$94,0),MATCH(Calculation!$G1221,'Gen. Plant Depreciation'!$E$5:$AD$5,0))</f>
        <v>-620</v>
      </c>
      <c r="BY1221" s="118"/>
      <c r="BZ1221" s="118"/>
      <c r="CA1221" s="118"/>
      <c r="CB1221" s="118"/>
      <c r="CC1221" s="118"/>
      <c r="CD1221" s="183"/>
      <c r="CE1221" s="118">
        <f>INDEX('Gross Dx Plant'!$E$7:$AD$91,MATCH($C1221,'Gross Dx Plant'!$D$7:$D$91,0),MATCH(Calculation!$G1221,'Gross Dx Plant'!$E$5:$AD$5,0))</f>
        <v>514362</v>
      </c>
      <c r="CF1221" s="118">
        <f>INDEX('Gross Gen Plant'!$E$7:$AD$91,MATCH($C1221,'Gross Gen Plant'!$D$7:$D$91,0),MATCH(Calculation!$G1221,'Gross Gen Plant'!$E$5:$AD$5,0))</f>
        <v>17856</v>
      </c>
      <c r="CG1221" s="118">
        <f t="shared" si="3556"/>
        <v>348761</v>
      </c>
      <c r="CH1221" s="118"/>
      <c r="CI1221" s="121">
        <v>2007</v>
      </c>
      <c r="CJ1221" s="118"/>
      <c r="CK1221" s="118"/>
      <c r="CL1221" s="118"/>
      <c r="CM1221" s="183"/>
      <c r="CN1221" s="118">
        <f t="shared" si="3639"/>
        <v>46152</v>
      </c>
      <c r="CO1221" s="118">
        <f t="shared" si="3640"/>
        <v>92.670546209905694</v>
      </c>
      <c r="CP1221" s="186">
        <v>0.94915254237288138</v>
      </c>
      <c r="CQ1221" s="118">
        <f>+CQ1212*CP1221+CO1213*CP1220+CO1214*CP1219+CO1215*CP1218+CO1216*CP1217+CO1217*CP1216+CO1218*CP1215+CO1219*CP1214+CO1220*CP1213+CO1221</f>
        <v>1717.3632298637883</v>
      </c>
      <c r="CR1221" s="119">
        <f t="shared" si="3641"/>
        <v>4.8941357087963315E-2</v>
      </c>
      <c r="CS1221" s="119"/>
      <c r="CT1221" s="177">
        <f t="shared" si="3642"/>
        <v>6.5087968600435935E-3</v>
      </c>
      <c r="CU1221" s="177">
        <f t="shared" si="3651"/>
        <v>6.290499667265032E-3</v>
      </c>
      <c r="CV1221" s="119">
        <f>VLOOKUP($H1221,RoR!$E:$F,2,FALSE)</f>
        <v>5.5558333333333321E-2</v>
      </c>
      <c r="CW1221" s="177">
        <v>2.691120634145272E-2</v>
      </c>
      <c r="CX1221" s="177">
        <f t="shared" si="3649"/>
        <v>2.86471269918806E-2</v>
      </c>
      <c r="CY1221" s="177">
        <f t="shared" si="3652"/>
        <v>2.4611441941268592E-2</v>
      </c>
      <c r="CZ1221" s="177">
        <f t="shared" si="3653"/>
        <v>6.4575155250632399E-2</v>
      </c>
      <c r="DA1221" s="187">
        <f t="shared" si="3643"/>
        <v>0.85412500000000002</v>
      </c>
      <c r="DB1221" s="188">
        <f t="shared" si="3644"/>
        <v>0.92303077153834634</v>
      </c>
      <c r="DC1221" s="188">
        <f t="shared" si="3645"/>
        <v>0.52502249887505614</v>
      </c>
      <c r="DD1221" s="188">
        <f t="shared" si="3646"/>
        <v>0.88499666072084604</v>
      </c>
      <c r="DE1221" s="188">
        <f t="shared" si="3647"/>
        <v>0.42887993290280618</v>
      </c>
      <c r="DF1221" s="189">
        <f>INDEX('State Tax Lookup'!$D$7:$Z$91,MATCH(Calculation!$C1221,'State Tax Lookup'!$B$7:$B$91,0),MATCH($H1221,'State Tax Lookup'!$D$6:$Z$6,0))</f>
        <v>0.38900000000000001</v>
      </c>
      <c r="DG1221" s="189">
        <v>0.375</v>
      </c>
      <c r="DH1221" s="190">
        <f t="shared" si="3650"/>
        <v>17.044018450158443</v>
      </c>
      <c r="DI1221" s="190">
        <v>16.782804538421928</v>
      </c>
      <c r="DJ1221" s="177"/>
      <c r="DK1221" s="189">
        <f>VLOOKUP($H1221,RoR!$E:$F,2,FALSE)</f>
        <v>5.5558333333333321E-2</v>
      </c>
      <c r="DL1221" s="191">
        <f>HLOOKUP($H1221,'GDP-PI'!$D$8:$CQ$11,3,FALSE)</f>
        <v>2.691120634145272E-2</v>
      </c>
      <c r="DM1221" s="189">
        <f>VLOOKUP(H1221,'HW Dx Data'!$E:$F,2,FALSE)</f>
        <v>498.0223154772637</v>
      </c>
      <c r="DN1221" s="183">
        <f>VLOOKUP(H1221,'ECI - Input Price'!$G$17:$H$37,2,FALSE)</f>
        <v>105.22500000000001</v>
      </c>
      <c r="DO1221" s="177">
        <f t="shared" ref="DO1221" si="3678">LN(DN1221/DN1220)</f>
        <v>3.0638025400780679E-2</v>
      </c>
      <c r="DP1221" s="183">
        <f>HLOOKUP(H1221,'GDP-PI'!$8:$9,2,FALSE)</f>
        <v>92.498000000000005</v>
      </c>
      <c r="DQ1221" s="177">
        <f t="shared" ref="DQ1221" si="3679">LN(DP1221/DP1220)</f>
        <v>2.6555467950038037E-2</v>
      </c>
    </row>
    <row r="1222" spans="1:121" s="167" customFormat="1" ht="21" x14ac:dyDescent="0.35">
      <c r="A1222" s="167" t="s">
        <v>115</v>
      </c>
      <c r="B1222" s="167" t="s">
        <v>115</v>
      </c>
      <c r="C1222" s="167">
        <v>4063762</v>
      </c>
      <c r="D1222" s="168" t="s">
        <v>139</v>
      </c>
      <c r="E1222" s="168"/>
      <c r="F1222" s="198"/>
      <c r="G1222" s="167" t="s">
        <v>14</v>
      </c>
      <c r="H1222" s="169">
        <v>2008</v>
      </c>
      <c r="I1222" s="170"/>
      <c r="J1222" s="166">
        <f>IFERROR(INDEX('Labor Expenditures'!$F$7:$X$91,MATCH($C1222,'Labor Expenditures'!$D$7:$D$91,0),MATCH($G1222,'Labor Expenditures'!$F$5:$X$5,0)),"NA")</f>
        <v>13292.39528010719</v>
      </c>
      <c r="K1222" s="166">
        <f t="shared" si="3656"/>
        <v>122.82185521004565</v>
      </c>
      <c r="L1222" s="172">
        <f t="shared" si="3663"/>
        <v>-9.4868967886179545E-2</v>
      </c>
      <c r="M1222" s="172">
        <f t="shared" si="3667"/>
        <v>-6.94719399834439E-4</v>
      </c>
      <c r="N1222" s="196"/>
      <c r="O1222" s="172"/>
      <c r="P1222" s="166">
        <f>IFERROR(INDEX('Non-Labor Expenditures'!$F$7:$AB$91,MATCH($C1222,'Non-Labor Expenditures'!$D$7:$D$91,0),MATCH($G1222,'Non-Labor Expenditures'!$F$5:$AB$5,0)),"NA")</f>
        <v>19249.871042574323</v>
      </c>
      <c r="Q1222" s="166">
        <f t="shared" si="3657"/>
        <v>204.21232965473908</v>
      </c>
      <c r="R1222" s="172">
        <f t="shared" si="3668"/>
        <v>-8.5669822962802109E-2</v>
      </c>
      <c r="S1222" s="172">
        <f t="shared" si="3673"/>
        <v>-6.2735464840353605E-4</v>
      </c>
      <c r="T1222" s="172"/>
      <c r="U1222" s="172"/>
      <c r="V1222" s="166">
        <f t="shared" si="3637"/>
        <v>33232.679875874768</v>
      </c>
      <c r="W1222" s="170"/>
      <c r="X1222" s="174">
        <v>1730.5932465178462</v>
      </c>
      <c r="Y1222" s="175">
        <v>7.6741581130192783E-3</v>
      </c>
      <c r="Z1222" s="175">
        <f t="shared" si="3674"/>
        <v>5.6197370302455004E-5</v>
      </c>
      <c r="AA1222" s="175"/>
      <c r="AB1222" s="175"/>
      <c r="AC1222" s="170">
        <f t="shared" si="3648"/>
        <v>65774.946198556281</v>
      </c>
      <c r="AD1222" s="175">
        <f t="shared" si="3669"/>
        <v>4.8490661289467898E-2</v>
      </c>
      <c r="AE1222" s="170"/>
      <c r="AF1222" s="170"/>
      <c r="AG1222" s="121">
        <f t="shared" si="3670"/>
        <v>242.34800944174719</v>
      </c>
      <c r="AH1222" s="119">
        <f>+AZ1222/$BB$46</f>
        <v>7.6216833428470855E-3</v>
      </c>
      <c r="AI1222" s="119"/>
      <c r="AJ1222" s="176">
        <f t="shared" si="3675"/>
        <v>1.8470997867343129</v>
      </c>
      <c r="AK1222" s="176">
        <f t="shared" si="3676"/>
        <v>0</v>
      </c>
      <c r="AL1222" s="120">
        <f t="shared" si="3658"/>
        <v>0.20208903310967588</v>
      </c>
      <c r="AM1222" s="120">
        <f t="shared" si="3659"/>
        <v>0.29266266496766585</v>
      </c>
      <c r="AN1222" s="120">
        <f t="shared" si="3660"/>
        <v>0.50524830192265824</v>
      </c>
      <c r="AO1222" s="120">
        <f t="shared" si="3664"/>
        <v>-4.3301138736374083E-2</v>
      </c>
      <c r="AP1222" s="173">
        <f t="shared" ref="AP1222:AP1235" si="3680">+AP1221*EXP(AO1222)</f>
        <v>83.897502160786246</v>
      </c>
      <c r="AQ1222" s="175">
        <f t="shared" ref="AQ1222:AQ1235" si="3681">LN(AP1222/AP1221)</f>
        <v>-4.3301138736374041E-2</v>
      </c>
      <c r="AR1222" s="177">
        <f>+AC1222/$AE$46</f>
        <v>7.322936206789336E-3</v>
      </c>
      <c r="AS1222" s="177">
        <f t="shared" si="3677"/>
        <v>-3.1709147664780172E-4</v>
      </c>
      <c r="AT1222" s="177"/>
      <c r="AU1222" s="177"/>
      <c r="AV1222" s="177"/>
      <c r="AW1222" s="190"/>
      <c r="AX1222" s="120"/>
      <c r="AY1222" s="120"/>
      <c r="AZ1222" s="118">
        <f>IFERROR(INDEX('Total Customers'!$F$7:$AB$91,MATCH($C1222,'Total Customers'!$D$7:$D$91,0),MATCH($G1222,'Total Customers'!$F$5:$AB$5,0)),"NA")</f>
        <v>271407</v>
      </c>
      <c r="BA1222" s="119">
        <f t="shared" si="3638"/>
        <v>7.7972527770065045E-3</v>
      </c>
      <c r="BB1222" s="119"/>
      <c r="BC1222" s="121"/>
      <c r="BD1222" s="119"/>
      <c r="BE1222" s="119"/>
      <c r="BF1222" s="119"/>
      <c r="BG1222" s="173"/>
      <c r="BH1222" s="173"/>
      <c r="BI1222" s="173"/>
      <c r="BJ1222" s="173"/>
      <c r="BK1222" s="173"/>
      <c r="BL1222" s="173"/>
      <c r="BM1222" s="173"/>
      <c r="BN1222" s="173"/>
      <c r="BO1222" s="173"/>
      <c r="BP1222" s="173"/>
      <c r="BQ1222" s="118"/>
      <c r="BR1222" s="118"/>
      <c r="BS1222" s="118">
        <f>INDEX('Dist. Plant Gas Additions'!$F$7:$AE$91,MATCH($C1222,'Dist. Plant Gas Additions'!$D$7:$D$91,0),MATCH(Calculation!$G1222,'Dist. Plant Gas Additions'!$F$5:$AE$5,0))</f>
        <v>11158</v>
      </c>
      <c r="BT1222" s="118">
        <f>INDEX('Gen. Plant Additions'!$F$7:$AE$91,MATCH($C1222,'Gen. Plant Additions'!$D$7:$D$91,0),MATCH(Calculation!$G1222,'Gen. Plant Additions'!$F$5:$AE$5,0))</f>
        <v>2917</v>
      </c>
      <c r="BU1222" s="118"/>
      <c r="BV1222" s="118"/>
      <c r="BW1222" s="118">
        <f>INDEX('Dist Plant Depreciation'!$E$7:$AD$94,MATCH($C1222,'Dist Plant Depreciation'!$D$7:$D$94,0),MATCH(Calculation!$G1222,'Dist Plant Depreciation'!$E$5:$AD$5,0))</f>
        <v>195941</v>
      </c>
      <c r="BX1222" s="118">
        <f>INDEX('Gen. Plant Depreciation'!$E$7:$AD$94,MATCH($C1222,'Gen. Plant Depreciation'!$D$7:$D$94,0),MATCH(Calculation!$G1222,'Gen. Plant Depreciation'!$E$5:$AD$5,0))</f>
        <v>275</v>
      </c>
      <c r="BY1222" s="118"/>
      <c r="BZ1222" s="118"/>
      <c r="CA1222" s="118"/>
      <c r="CB1222" s="118"/>
      <c r="CC1222" s="118"/>
      <c r="CD1222" s="183"/>
      <c r="CE1222" s="118">
        <f>INDEX('Gross Dx Plant'!$E$7:$AD$91,MATCH($C1222,'Gross Dx Plant'!$D$7:$D$91,0),MATCH(Calculation!$G1222,'Gross Dx Plant'!$E$5:$AD$5,0))</f>
        <v>524814</v>
      </c>
      <c r="CF1222" s="118">
        <f>INDEX('Gross Gen Plant'!$E$7:$AD$91,MATCH($C1222,'Gross Gen Plant'!$D$7:$D$91,0),MATCH(Calculation!$G1222,'Gross Gen Plant'!$E$5:$AD$5,0))</f>
        <v>21462</v>
      </c>
      <c r="CG1222" s="118">
        <f t="shared" si="3556"/>
        <v>350060</v>
      </c>
      <c r="CH1222" s="118"/>
      <c r="CI1222" s="121">
        <v>2008</v>
      </c>
      <c r="CJ1222" s="118"/>
      <c r="CK1222" s="118"/>
      <c r="CL1222" s="118"/>
      <c r="CM1222" s="183"/>
      <c r="CN1222" s="118">
        <f t="shared" si="3639"/>
        <v>14075</v>
      </c>
      <c r="CO1222" s="118">
        <f t="shared" si="3640"/>
        <v>24.698129921864439</v>
      </c>
      <c r="CP1222" s="186">
        <v>0.94252873563218387</v>
      </c>
      <c r="CQ1222" s="118">
        <f>+CQ1212*CP1222+CO1213*CP1221+CO1214*CP1220+CO1215*CP1219+CO1216*CP1218+CO1217*CP1217+CO1218*CP1216+CO1219*CP1215+CO1220*CP1214+CO1221*CP1213+CO1222</f>
        <v>1730.5932465178462</v>
      </c>
      <c r="CR1222" s="119">
        <f t="shared" si="3641"/>
        <v>7.6741581130192783E-3</v>
      </c>
      <c r="CS1222" s="119"/>
      <c r="CT1222" s="177">
        <f t="shared" si="3642"/>
        <v>6.6777447358740546E-3</v>
      </c>
      <c r="CU1222" s="177">
        <f t="shared" si="3651"/>
        <v>6.4901874017501788E-3</v>
      </c>
      <c r="CV1222" s="119">
        <f>VLOOKUP($H1222,RoR!$E:$F,2,FALSE)</f>
        <v>5.6316666666666668E-2</v>
      </c>
      <c r="CW1222" s="177">
        <v>1.9092304698479889E-2</v>
      </c>
      <c r="CX1222" s="177">
        <f t="shared" si="3649"/>
        <v>3.7224361968186778E-2</v>
      </c>
      <c r="CY1222" s="177">
        <f t="shared" si="3652"/>
        <v>2.4411754206783445E-2</v>
      </c>
      <c r="CZ1222" s="177">
        <f t="shared" si="3653"/>
        <v>6.9030581091053131E-2</v>
      </c>
      <c r="DA1222" s="187">
        <f t="shared" si="3643"/>
        <v>0.85412500000000002</v>
      </c>
      <c r="DB1222" s="188">
        <f t="shared" si="3644"/>
        <v>0.91060168006009956</v>
      </c>
      <c r="DC1222" s="188">
        <f t="shared" si="3645"/>
        <v>0.53108168097070152</v>
      </c>
      <c r="DD1222" s="188">
        <f t="shared" si="3646"/>
        <v>0.88825329850328805</v>
      </c>
      <c r="DE1222" s="188">
        <f t="shared" si="3647"/>
        <v>0.4295627335323573</v>
      </c>
      <c r="DF1222" s="189">
        <f>INDEX('State Tax Lookup'!$D$7:$Z$91,MATCH(Calculation!$C1222,'State Tax Lookup'!$B$7:$B$91,0),MATCH($H1222,'State Tax Lookup'!$D$6:$Z$6,0))</f>
        <v>0.38900000000000001</v>
      </c>
      <c r="DG1222" s="189">
        <v>0.375</v>
      </c>
      <c r="DH1222" s="190">
        <f t="shared" si="3650"/>
        <v>19.350990691998572</v>
      </c>
      <c r="DI1222" s="190">
        <v>19.09165693791487</v>
      </c>
      <c r="DJ1222" s="177"/>
      <c r="DK1222" s="189">
        <f>VLOOKUP($H1222,RoR!$E:$F,2,FALSE)</f>
        <v>5.6316666666666668E-2</v>
      </c>
      <c r="DL1222" s="191">
        <f>HLOOKUP($H1222,'GDP-PI'!$D$8:$CQ$11,3,FALSE)</f>
        <v>1.9092304698479889E-2</v>
      </c>
      <c r="DM1222" s="189">
        <f>VLOOKUP(H1222,'HW Dx Data'!$E:$F,2,FALSE)</f>
        <v>569.88120333515076</v>
      </c>
      <c r="DN1222" s="183">
        <f>VLOOKUP(H1222,'ECI - Input Price'!$G$17:$H$37,2,FALSE)</f>
        <v>108.22499999999999</v>
      </c>
      <c r="DO1222" s="177">
        <f t="shared" ref="DO1222" si="3682">LN(DN1222/DN1221)</f>
        <v>2.8111478671409691E-2</v>
      </c>
      <c r="DP1222" s="183">
        <f>HLOOKUP(H1222,'GDP-PI'!$8:$9,2,FALSE)</f>
        <v>94.263999999999996</v>
      </c>
      <c r="DQ1222" s="177">
        <f t="shared" ref="DQ1222" si="3683">LN(DP1222/DP1221)</f>
        <v>1.8912333748032254E-2</v>
      </c>
    </row>
    <row r="1223" spans="1:121" s="167" customFormat="1" ht="21" x14ac:dyDescent="0.35">
      <c r="A1223" s="167" t="s">
        <v>115</v>
      </c>
      <c r="B1223" s="167" t="s">
        <v>115</v>
      </c>
      <c r="C1223" s="167">
        <v>4063762</v>
      </c>
      <c r="D1223" s="168" t="s">
        <v>139</v>
      </c>
      <c r="E1223" s="168"/>
      <c r="F1223" s="198"/>
      <c r="G1223" s="167" t="s">
        <v>15</v>
      </c>
      <c r="H1223" s="169">
        <v>2009</v>
      </c>
      <c r="I1223" s="170"/>
      <c r="J1223" s="166">
        <f>IFERROR(INDEX('Labor Expenditures'!$F$7:$X$91,MATCH($C1223,'Labor Expenditures'!$D$7:$D$91,0),MATCH($G1223,'Labor Expenditures'!$F$5:$X$5,0)),"NA")</f>
        <v>13868.824728763382</v>
      </c>
      <c r="K1223" s="166">
        <f t="shared" si="3656"/>
        <v>126.33864476213512</v>
      </c>
      <c r="L1223" s="172">
        <f t="shared" si="3663"/>
        <v>2.8230984601863952E-2</v>
      </c>
      <c r="M1223" s="172">
        <f t="shared" si="3667"/>
        <v>1.9902956790525739E-4</v>
      </c>
      <c r="N1223" s="196"/>
      <c r="O1223" s="172"/>
      <c r="P1223" s="166">
        <f>IFERROR(INDEX('Non-Labor Expenditures'!$F$7:$AB$91,MATCH($C1223,'Non-Labor Expenditures'!$D$7:$D$91,0),MATCH($G1223,'Non-Labor Expenditures'!$F$5:$AB$5,0)),"NA")</f>
        <v>20084.648546398636</v>
      </c>
      <c r="Q1223" s="166">
        <f t="shared" si="3657"/>
        <v>211.41957858923396</v>
      </c>
      <c r="R1223" s="172">
        <f t="shared" si="3668"/>
        <v>3.4684398903291266E-2</v>
      </c>
      <c r="S1223" s="172">
        <f t="shared" si="3673"/>
        <v>2.4452639623202723E-4</v>
      </c>
      <c r="T1223" s="172"/>
      <c r="U1223" s="172"/>
      <c r="V1223" s="166">
        <f t="shared" si="3637"/>
        <v>32097.543174219198</v>
      </c>
      <c r="W1223" s="170"/>
      <c r="X1223" s="174">
        <v>1774.1895094887004</v>
      </c>
      <c r="Y1223" s="175">
        <v>2.4879437485319646E-2</v>
      </c>
      <c r="Z1223" s="175">
        <f t="shared" si="3674"/>
        <v>1.7540102700144911E-4</v>
      </c>
      <c r="AA1223" s="175"/>
      <c r="AB1223" s="175"/>
      <c r="AC1223" s="170">
        <f t="shared" si="3648"/>
        <v>66051.016449381219</v>
      </c>
      <c r="AD1223" s="175">
        <f t="shared" si="3669"/>
        <v>4.1884109755965619E-3</v>
      </c>
      <c r="AE1223" s="170"/>
      <c r="AF1223" s="170"/>
      <c r="AG1223" s="121">
        <f t="shared" si="3670"/>
        <v>242.1757587789881</v>
      </c>
      <c r="AH1223" s="119">
        <f>+AZ1223/$BB$47</f>
        <v>7.6480657313719169E-3</v>
      </c>
      <c r="AI1223" s="119"/>
      <c r="AJ1223" s="176">
        <f t="shared" si="3675"/>
        <v>1.8521761216865706</v>
      </c>
      <c r="AK1223" s="176">
        <f t="shared" si="3676"/>
        <v>0</v>
      </c>
      <c r="AL1223" s="120">
        <f t="shared" si="3658"/>
        <v>0.20997140504857906</v>
      </c>
      <c r="AM1223" s="120">
        <f t="shared" si="3659"/>
        <v>0.30407781175919801</v>
      </c>
      <c r="AN1223" s="120">
        <f t="shared" si="3660"/>
        <v>0.48595078319222285</v>
      </c>
      <c r="AO1223" s="120">
        <f t="shared" si="3664"/>
        <v>2.8495466147419733E-2</v>
      </c>
      <c r="AP1223" s="173">
        <f t="shared" si="3680"/>
        <v>86.322588482466315</v>
      </c>
      <c r="AQ1223" s="175">
        <f t="shared" si="3681"/>
        <v>2.849546614741964E-2</v>
      </c>
      <c r="AR1223" s="177">
        <f>+AC1223/$AE$47</f>
        <v>7.0500399016234262E-3</v>
      </c>
      <c r="AS1223" s="177">
        <f t="shared" si="3677"/>
        <v>2.0089417335466804E-4</v>
      </c>
      <c r="AT1223" s="177"/>
      <c r="AU1223" s="177"/>
      <c r="AV1223" s="177"/>
      <c r="AW1223" s="190"/>
      <c r="AX1223" s="120"/>
      <c r="AY1223" s="120"/>
      <c r="AZ1223" s="118">
        <f>IFERROR(INDEX('Total Customers'!$F$7:$AB$91,MATCH($C1223,'Total Customers'!$D$7:$D$91,0),MATCH($G1223,'Total Customers'!$F$5:$AB$5,0)),"NA")</f>
        <v>272740</v>
      </c>
      <c r="BA1223" s="119">
        <f t="shared" si="3638"/>
        <v>4.8994211728805373E-3</v>
      </c>
      <c r="BB1223" s="119"/>
      <c r="BC1223" s="121"/>
      <c r="BD1223" s="119"/>
      <c r="BE1223" s="119"/>
      <c r="BF1223" s="119"/>
      <c r="BG1223" s="173"/>
      <c r="BH1223" s="173"/>
      <c r="BI1223" s="173"/>
      <c r="BJ1223" s="173"/>
      <c r="BK1223" s="173"/>
      <c r="BL1223" s="173"/>
      <c r="BM1223" s="173"/>
      <c r="BN1223" s="173"/>
      <c r="BO1223" s="173"/>
      <c r="BP1223" s="173"/>
      <c r="BQ1223" s="118"/>
      <c r="BR1223" s="118"/>
      <c r="BS1223" s="118">
        <f>INDEX('Dist. Plant Gas Additions'!$F$7:$AE$91,MATCH($C1223,'Dist. Plant Gas Additions'!$D$7:$D$91,0),MATCH(Calculation!$G1223,'Dist. Plant Gas Additions'!$F$5:$AE$5,0))</f>
        <v>23630</v>
      </c>
      <c r="BT1223" s="118">
        <f>INDEX('Gen. Plant Additions'!$F$7:$AE$91,MATCH($C1223,'Gen. Plant Additions'!$D$7:$D$91,0),MATCH(Calculation!$G1223,'Gen. Plant Additions'!$F$5:$AE$5,0))</f>
        <v>6993</v>
      </c>
      <c r="BU1223" s="118"/>
      <c r="BV1223" s="118"/>
      <c r="BW1223" s="118">
        <f>INDEX('Dist Plant Depreciation'!$E$7:$AD$94,MATCH($C1223,'Dist Plant Depreciation'!$D$7:$D$94,0),MATCH(Calculation!$G1223,'Dist Plant Depreciation'!$E$5:$AD$5,0))</f>
        <v>211102</v>
      </c>
      <c r="BX1223" s="118">
        <f>INDEX('Gen. Plant Depreciation'!$E$7:$AD$94,MATCH($C1223,'Gen. Plant Depreciation'!$D$7:$D$94,0),MATCH(Calculation!$G1223,'Gen. Plant Depreciation'!$E$5:$AD$5,0))</f>
        <v>459</v>
      </c>
      <c r="BY1223" s="118"/>
      <c r="BZ1223" s="118"/>
      <c r="CA1223" s="118"/>
      <c r="CB1223" s="118"/>
      <c r="CC1223" s="118"/>
      <c r="CD1223" s="183"/>
      <c r="CE1223" s="118">
        <f>INDEX('Gross Dx Plant'!$E$7:$AD$91,MATCH($C1223,'Gross Dx Plant'!$D$7:$D$91,0),MATCH(Calculation!$G1223,'Gross Dx Plant'!$E$5:$AD$5,0))</f>
        <v>547724</v>
      </c>
      <c r="CF1223" s="118">
        <f>INDEX('Gross Gen Plant'!$E$7:$AD$91,MATCH($C1223,'Gross Gen Plant'!$D$7:$D$91,0),MATCH(Calculation!$G1223,'Gross Gen Plant'!$E$5:$AD$5,0))</f>
        <v>26927</v>
      </c>
      <c r="CG1223" s="118">
        <f t="shared" si="3556"/>
        <v>363090</v>
      </c>
      <c r="CH1223" s="118"/>
      <c r="CI1223" s="121">
        <v>2009</v>
      </c>
      <c r="CJ1223" s="118"/>
      <c r="CK1223" s="118"/>
      <c r="CL1223" s="118"/>
      <c r="CM1223" s="183"/>
      <c r="CN1223" s="118">
        <f t="shared" si="3639"/>
        <v>30623</v>
      </c>
      <c r="CO1223" s="118">
        <f t="shared" si="3640"/>
        <v>55.583120856789101</v>
      </c>
      <c r="CP1223" s="186">
        <v>0.93567251461988299</v>
      </c>
      <c r="CQ1223" s="118">
        <f>+CQ1212*CP1223+CO1213*CP1222+CO1214*CP1221+CO1215*CP1220+CO1216*CP1219+CO1217*CP1218+CO1218*CP1217+CO1219*CP1216+CO1220*CP1215+CO1221*CP1214+CO1222*CP1213+CO1223</f>
        <v>1774.1895094887004</v>
      </c>
      <c r="CR1223" s="119">
        <f t="shared" si="3641"/>
        <v>2.4879437485319646E-2</v>
      </c>
      <c r="CS1223" s="119"/>
      <c r="CT1223" s="177">
        <f t="shared" si="3642"/>
        <v>6.9264443912824721E-3</v>
      </c>
      <c r="CU1223" s="177">
        <f t="shared" si="3651"/>
        <v>6.7043286624000401E-3</v>
      </c>
      <c r="CV1223" s="119">
        <f>VLOOKUP($H1223,RoR!$E:$F,2,FALSE)</f>
        <v>5.3133333333333324E-2</v>
      </c>
      <c r="CW1223" s="177">
        <v>7.7972502758210105E-3</v>
      </c>
      <c r="CX1223" s="177">
        <f t="shared" si="3649"/>
        <v>4.5336083057512314E-2</v>
      </c>
      <c r="CY1223" s="177">
        <f t="shared" si="3652"/>
        <v>2.4197612946133585E-2</v>
      </c>
      <c r="CZ1223" s="177">
        <f t="shared" si="3653"/>
        <v>6.3720160300892073E-2</v>
      </c>
      <c r="DA1223" s="187">
        <f t="shared" si="3643"/>
        <v>0.85412500000000002</v>
      </c>
      <c r="DB1223" s="188">
        <f t="shared" si="3644"/>
        <v>0.96515780330083989</v>
      </c>
      <c r="DC1223" s="188">
        <f t="shared" si="3645"/>
        <v>0.50448557089084056</v>
      </c>
      <c r="DD1223" s="188">
        <f t="shared" si="3646"/>
        <v>0.87391435735465484</v>
      </c>
      <c r="DE1223" s="188">
        <f t="shared" si="3647"/>
        <v>0.42551605393279146</v>
      </c>
      <c r="DF1223" s="189">
        <f>INDEX('State Tax Lookup'!$D$7:$Z$91,MATCH(Calculation!$C1223,'State Tax Lookup'!$B$7:$B$91,0),MATCH($H1223,'State Tax Lookup'!$D$6:$Z$6,0))</f>
        <v>0.38900000000000001</v>
      </c>
      <c r="DG1223" s="189">
        <v>0.375</v>
      </c>
      <c r="DH1223" s="190">
        <f t="shared" si="3650"/>
        <v>18.54713303591307</v>
      </c>
      <c r="DI1223" s="190">
        <v>18.208486112478578</v>
      </c>
      <c r="DJ1223" s="177"/>
      <c r="DK1223" s="189">
        <f>VLOOKUP($H1223,RoR!$E:$F,2,FALSE)</f>
        <v>5.3133333333333324E-2</v>
      </c>
      <c r="DL1223" s="191">
        <f>HLOOKUP($H1223,'GDP-PI'!$D$8:$CQ$11,3,FALSE)</f>
        <v>7.7972502758210105E-3</v>
      </c>
      <c r="DM1223" s="189">
        <f>VLOOKUP(H1223,'HW Dx Data'!$E:$F,2,FALSE)</f>
        <v>550.94063679692806</v>
      </c>
      <c r="DN1223" s="183">
        <f>VLOOKUP(H1223,'ECI - Input Price'!$G$17:$H$37,2,FALSE)</f>
        <v>109.77499999999999</v>
      </c>
      <c r="DO1223" s="177">
        <f t="shared" ref="DO1223" si="3684">LN(DN1223/DN1222)</f>
        <v>1.4220423119736749E-2</v>
      </c>
      <c r="DP1223" s="183">
        <f>HLOOKUP(H1223,'GDP-PI'!$8:$9,2,FALSE)</f>
        <v>94.998999999999995</v>
      </c>
      <c r="DQ1223" s="177">
        <f t="shared" ref="DQ1223" si="3685">LN(DP1223/DP1222)</f>
        <v>7.7670088183096342E-3</v>
      </c>
    </row>
    <row r="1224" spans="1:121" s="167" customFormat="1" ht="21" x14ac:dyDescent="0.35">
      <c r="A1224" s="167" t="s">
        <v>115</v>
      </c>
      <c r="B1224" s="167" t="s">
        <v>115</v>
      </c>
      <c r="C1224" s="167">
        <v>4063762</v>
      </c>
      <c r="D1224" s="168" t="s">
        <v>139</v>
      </c>
      <c r="E1224" s="168"/>
      <c r="F1224" s="198"/>
      <c r="G1224" s="167" t="s">
        <v>16</v>
      </c>
      <c r="H1224" s="169">
        <v>2010</v>
      </c>
      <c r="I1224" s="170"/>
      <c r="J1224" s="166">
        <f>IFERROR(INDEX('Labor Expenditures'!$F$7:$X$91,MATCH($C1224,'Labor Expenditures'!$D$7:$D$91,0),MATCH($G1224,'Labor Expenditures'!$F$5:$X$5,0)),"NA")</f>
        <v>14781.329526203406</v>
      </c>
      <c r="K1224" s="166">
        <f t="shared" si="3656"/>
        <v>132.12361587667849</v>
      </c>
      <c r="L1224" s="172">
        <f t="shared" si="3663"/>
        <v>4.4772009770533548E-2</v>
      </c>
      <c r="M1224" s="172">
        <f t="shared" si="3667"/>
        <v>3.2233252069473705E-4</v>
      </c>
      <c r="N1224" s="196"/>
      <c r="O1224" s="172"/>
      <c r="P1224" s="166">
        <f>IFERROR(INDEX('Non-Labor Expenditures'!$F$7:$AB$91,MATCH($C1224,'Non-Labor Expenditures'!$D$7:$D$91,0),MATCH($G1224,'Non-Labor Expenditures'!$F$5:$AB$5,0)),"NA")</f>
        <v>21406.125925478591</v>
      </c>
      <c r="Q1224" s="166">
        <f t="shared" si="3657"/>
        <v>222.72758977284741</v>
      </c>
      <c r="R1224" s="172">
        <f t="shared" si="3668"/>
        <v>5.2104771110621222E-2</v>
      </c>
      <c r="S1224" s="172">
        <f t="shared" si="3673"/>
        <v>3.7512415230826719E-4</v>
      </c>
      <c r="T1224" s="172"/>
      <c r="U1224" s="172"/>
      <c r="V1224" s="166">
        <f t="shared" si="3637"/>
        <v>33727.258312671402</v>
      </c>
      <c r="W1224" s="170"/>
      <c r="X1224" s="174">
        <v>1814.1164509911339</v>
      </c>
      <c r="Y1224" s="175">
        <v>2.2254841052983792E-2</v>
      </c>
      <c r="Z1224" s="175">
        <f t="shared" si="3674"/>
        <v>1.6022195677689133E-4</v>
      </c>
      <c r="AA1224" s="175"/>
      <c r="AB1224" s="175"/>
      <c r="AC1224" s="170">
        <f t="shared" si="3648"/>
        <v>69914.713764353393</v>
      </c>
      <c r="AD1224" s="175">
        <f t="shared" si="3669"/>
        <v>5.6848704492696224E-2</v>
      </c>
      <c r="AE1224" s="170"/>
      <c r="AF1224" s="170"/>
      <c r="AG1224" s="121">
        <f t="shared" si="3670"/>
        <v>254.06532997686418</v>
      </c>
      <c r="AH1224" s="119">
        <f>+AZ1224/$BB$48</f>
        <v>7.6741186034443238E-3</v>
      </c>
      <c r="AI1224" s="119"/>
      <c r="AJ1224" s="176">
        <f t="shared" si="3675"/>
        <v>1.9497274752656741</v>
      </c>
      <c r="AK1224" s="176">
        <f t="shared" si="3676"/>
        <v>0</v>
      </c>
      <c r="AL1224" s="120">
        <f t="shared" si="3658"/>
        <v>0.2114194384893526</v>
      </c>
      <c r="AM1224" s="120">
        <f t="shared" si="3659"/>
        <v>0.30617483463677836</v>
      </c>
      <c r="AN1224" s="120">
        <f t="shared" si="3660"/>
        <v>0.48240572687386912</v>
      </c>
      <c r="AO1224" s="120">
        <f t="shared" si="3664"/>
        <v>3.6107104819174916E-2</v>
      </c>
      <c r="AP1224" s="173">
        <f t="shared" si="3680"/>
        <v>89.496401017118458</v>
      </c>
      <c r="AQ1224" s="175">
        <f t="shared" si="3681"/>
        <v>3.6107104819174958E-2</v>
      </c>
      <c r="AR1224" s="177">
        <f>+AC1224/$AE$48</f>
        <v>7.1994204045510244E-3</v>
      </c>
      <c r="AS1224" s="177">
        <f t="shared" si="3677"/>
        <v>2.5995022718443083E-4</v>
      </c>
      <c r="AT1224" s="177"/>
      <c r="AU1224" s="177"/>
      <c r="AV1224" s="177"/>
      <c r="AW1224" s="190"/>
      <c r="AX1224" s="120"/>
      <c r="AY1224" s="120"/>
      <c r="AZ1224" s="118">
        <f>IFERROR(INDEX('Total Customers'!$F$7:$AB$91,MATCH($C1224,'Total Customers'!$D$7:$D$91,0),MATCH($G1224,'Total Customers'!$F$5:$AB$5,0)),"NA")</f>
        <v>275184</v>
      </c>
      <c r="BA1224" s="119">
        <f t="shared" si="3638"/>
        <v>8.9210044044487867E-3</v>
      </c>
      <c r="BB1224" s="119"/>
      <c r="BC1224" s="121"/>
      <c r="BD1224" s="119"/>
      <c r="BE1224" s="119"/>
      <c r="BF1224" s="119"/>
      <c r="BG1224" s="173"/>
      <c r="BH1224" s="173"/>
      <c r="BI1224" s="173"/>
      <c r="BJ1224" s="173"/>
      <c r="BK1224" s="173"/>
      <c r="BL1224" s="173"/>
      <c r="BM1224" s="173"/>
      <c r="BN1224" s="173"/>
      <c r="BO1224" s="173"/>
      <c r="BP1224" s="173"/>
      <c r="BQ1224" s="118"/>
      <c r="BR1224" s="118"/>
      <c r="BS1224" s="118">
        <f>INDEX('Dist. Plant Gas Additions'!$F$7:$AE$91,MATCH($C1224,'Dist. Plant Gas Additions'!$D$7:$D$91,0),MATCH(Calculation!$G1224,'Dist. Plant Gas Additions'!$F$5:$AE$5,0))</f>
        <v>29298</v>
      </c>
      <c r="BT1224" s="118">
        <f>INDEX('Gen. Plant Additions'!$F$7:$AE$91,MATCH($C1224,'Gen. Plant Additions'!$D$7:$D$91,0),MATCH(Calculation!$G1224,'Gen. Plant Additions'!$F$5:$AE$5,0))</f>
        <v>637</v>
      </c>
      <c r="BU1224" s="118"/>
      <c r="BV1224" s="118"/>
      <c r="BW1224" s="118">
        <f>INDEX('Dist Plant Depreciation'!$E$7:$AD$94,MATCH($C1224,'Dist Plant Depreciation'!$D$7:$D$94,0),MATCH(Calculation!$G1224,'Dist Plant Depreciation'!$E$5:$AD$5,0))</f>
        <v>218254</v>
      </c>
      <c r="BX1224" s="118">
        <f>INDEX('Gen. Plant Depreciation'!$E$7:$AD$94,MATCH($C1224,'Gen. Plant Depreciation'!$D$7:$D$94,0),MATCH(Calculation!$G1224,'Gen. Plant Depreciation'!$E$5:$AD$5,0))</f>
        <v>2041</v>
      </c>
      <c r="BY1224" s="118"/>
      <c r="BZ1224" s="118"/>
      <c r="CA1224" s="118"/>
      <c r="CB1224" s="118"/>
      <c r="CC1224" s="118"/>
      <c r="CD1224" s="183"/>
      <c r="CE1224" s="118">
        <f>INDEX('Gross Dx Plant'!$E$7:$AD$91,MATCH($C1224,'Gross Dx Plant'!$D$7:$D$91,0),MATCH(Calculation!$G1224,'Gross Dx Plant'!$E$5:$AD$5,0))</f>
        <v>575925</v>
      </c>
      <c r="CF1224" s="118">
        <f>INDEX('Gross Gen Plant'!$E$7:$AD$91,MATCH($C1224,'Gross Gen Plant'!$D$7:$D$91,0),MATCH(Calculation!$G1224,'Gross Gen Plant'!$E$5:$AD$5,0))</f>
        <v>21128</v>
      </c>
      <c r="CG1224" s="118">
        <f t="shared" si="3556"/>
        <v>376758</v>
      </c>
      <c r="CH1224" s="118"/>
      <c r="CI1224" s="121">
        <v>2010</v>
      </c>
      <c r="CJ1224" s="118"/>
      <c r="CK1224" s="118"/>
      <c r="CL1224" s="118"/>
      <c r="CM1224" s="183"/>
      <c r="CN1224" s="118">
        <f t="shared" si="3639"/>
        <v>29935</v>
      </c>
      <c r="CO1224" s="118">
        <f t="shared" si="3640"/>
        <v>52.610812434409475</v>
      </c>
      <c r="CP1224" s="186">
        <v>0.9285714285714286</v>
      </c>
      <c r="CQ1224" s="118">
        <f>+CQ1212*CP1224+CO1213*CP1223+CO1214*CP1222+CO1215*CP1221+CO1216*CP1220+CO1217*CP1219+CO1218*CP1218+CO1219*CP1217+CO1220*CP1216+CO1221*CP1215+CO1222*CP1214+CO1223*CP1213+CO1224</f>
        <v>1814.1164509911339</v>
      </c>
      <c r="CR1224" s="119">
        <f t="shared" si="3641"/>
        <v>2.2254841052983792E-2</v>
      </c>
      <c r="CS1224" s="119"/>
      <c r="CT1224" s="177">
        <f t="shared" si="3642"/>
        <v>7.1491071636599554E-3</v>
      </c>
      <c r="CU1224" s="177">
        <f t="shared" si="3651"/>
        <v>6.917765430272161E-3</v>
      </c>
      <c r="CV1224" s="119">
        <f>VLOOKUP($H1224,RoR!$E:$F,2,FALSE)</f>
        <v>4.9433333333333322E-2</v>
      </c>
      <c r="CW1224" s="177">
        <v>1.1684333519300205E-2</v>
      </c>
      <c r="CX1224" s="177">
        <f t="shared" si="3649"/>
        <v>3.7748999814033117E-2</v>
      </c>
      <c r="CY1224" s="177">
        <f t="shared" si="3652"/>
        <v>2.3984176178261464E-2</v>
      </c>
      <c r="CZ1224" s="177">
        <f t="shared" si="3653"/>
        <v>4.7937530248493419E-2</v>
      </c>
      <c r="DA1224" s="187">
        <f t="shared" si="3643"/>
        <v>0.85412500000000002</v>
      </c>
      <c r="DB1224" s="188">
        <f t="shared" si="3644"/>
        <v>1.037398205301105</v>
      </c>
      <c r="DC1224" s="188">
        <f t="shared" si="3645"/>
        <v>0.46926837491571133</v>
      </c>
      <c r="DD1224" s="188">
        <f t="shared" si="3646"/>
        <v>0.8548537519972772</v>
      </c>
      <c r="DE1224" s="188">
        <f t="shared" si="3647"/>
        <v>0.41615833911547367</v>
      </c>
      <c r="DF1224" s="189">
        <f>INDEX('State Tax Lookup'!$D$7:$Z$91,MATCH(Calculation!$C1224,'State Tax Lookup'!$B$7:$B$91,0),MATCH($H1224,'State Tax Lookup'!$D$6:$Z$6,0))</f>
        <v>0.38900000000000001</v>
      </c>
      <c r="DG1224" s="189">
        <v>0.375</v>
      </c>
      <c r="DH1224" s="190">
        <f t="shared" si="3650"/>
        <v>19.009952506365106</v>
      </c>
      <c r="DI1224" s="190">
        <v>18.684866175921794</v>
      </c>
      <c r="DJ1224" s="177"/>
      <c r="DK1224" s="189">
        <f>VLOOKUP($H1224,RoR!$E:$F,2,FALSE)</f>
        <v>4.9433333333333322E-2</v>
      </c>
      <c r="DL1224" s="191">
        <f>HLOOKUP($H1224,'GDP-PI'!$D$8:$CQ$11,3,FALSE)</f>
        <v>1.1684333519300205E-2</v>
      </c>
      <c r="DM1224" s="189">
        <f>VLOOKUP(H1224,'HW Dx Data'!$E:$F,2,FALSE)</f>
        <v>568.98950262971744</v>
      </c>
      <c r="DN1224" s="183">
        <f>VLOOKUP(H1224,'ECI - Input Price'!$G$17:$H$37,2,FALSE)</f>
        <v>111.875</v>
      </c>
      <c r="DO1224" s="177">
        <f t="shared" ref="DO1224" si="3686">LN(DN1224/DN1223)</f>
        <v>1.8949360147238387E-2</v>
      </c>
      <c r="DP1224" s="183">
        <f>HLOOKUP(H1224,'GDP-PI'!$8:$9,2,FALSE)</f>
        <v>96.108999999999995</v>
      </c>
      <c r="DQ1224" s="177">
        <f t="shared" ref="DQ1224" si="3687">LN(DP1224/DP1223)</f>
        <v>1.1616598807150427E-2</v>
      </c>
    </row>
    <row r="1225" spans="1:121" s="167" customFormat="1" ht="21" x14ac:dyDescent="0.35">
      <c r="A1225" s="167" t="s">
        <v>115</v>
      </c>
      <c r="B1225" s="167" t="s">
        <v>115</v>
      </c>
      <c r="C1225" s="167">
        <v>4063762</v>
      </c>
      <c r="D1225" s="168" t="s">
        <v>139</v>
      </c>
      <c r="E1225" s="168"/>
      <c r="F1225" s="198"/>
      <c r="G1225" s="167" t="s">
        <v>17</v>
      </c>
      <c r="H1225" s="169">
        <v>2011</v>
      </c>
      <c r="I1225" s="170"/>
      <c r="J1225" s="166">
        <f>IFERROR(INDEX('Labor Expenditures'!$F$7:$X$91,MATCH($C1225,'Labor Expenditures'!$D$7:$D$91,0),MATCH($G1225,'Labor Expenditures'!$F$5:$X$5,0)),"NA")</f>
        <v>14197.167540529112</v>
      </c>
      <c r="K1225" s="166">
        <f t="shared" si="3656"/>
        <v>124.20968976840868</v>
      </c>
      <c r="L1225" s="172">
        <f t="shared" si="3663"/>
        <v>-6.176678435793314E-2</v>
      </c>
      <c r="M1225" s="172">
        <f t="shared" si="3667"/>
        <v>-4.3319762320600977E-4</v>
      </c>
      <c r="N1225" s="196"/>
      <c r="O1225" s="172"/>
      <c r="P1225" s="166">
        <f>IFERROR(INDEX('Non-Labor Expenditures'!$F$7:$AB$91,MATCH($C1225,'Non-Labor Expenditures'!$D$7:$D$91,0),MATCH($G1225,'Non-Labor Expenditures'!$F$5:$AB$5,0)),"NA")</f>
        <v>20560.150263813375</v>
      </c>
      <c r="Q1225" s="166">
        <f t="shared" si="3657"/>
        <v>209.55795686372082</v>
      </c>
      <c r="R1225" s="172">
        <f t="shared" si="3668"/>
        <v>-6.0949109365036711E-2</v>
      </c>
      <c r="S1225" s="172">
        <f t="shared" si="3673"/>
        <v>-4.2746290887435412E-4</v>
      </c>
      <c r="T1225" s="172"/>
      <c r="U1225" s="172"/>
      <c r="V1225" s="166">
        <f t="shared" si="3637"/>
        <v>36771.707323224378</v>
      </c>
      <c r="W1225" s="170"/>
      <c r="X1225" s="174">
        <v>1888.5873451798159</v>
      </c>
      <c r="Y1225" s="175">
        <v>4.023056786118151E-2</v>
      </c>
      <c r="Z1225" s="175">
        <f t="shared" si="3674"/>
        <v>2.8215466547035065E-4</v>
      </c>
      <c r="AA1225" s="175"/>
      <c r="AB1225" s="175"/>
      <c r="AC1225" s="170">
        <f t="shared" si="3648"/>
        <v>71529.025127566856</v>
      </c>
      <c r="AD1225" s="175">
        <f t="shared" si="3669"/>
        <v>2.2827188733918782E-2</v>
      </c>
      <c r="AE1225" s="170"/>
      <c r="AF1225" s="170"/>
      <c r="AG1225" s="121">
        <f t="shared" si="3670"/>
        <v>257.13678485689536</v>
      </c>
      <c r="AH1225" s="119">
        <f>+AZ1225/$BB$49</f>
        <v>7.7198169896105211E-3</v>
      </c>
      <c r="AI1225" s="119"/>
      <c r="AJ1225" s="176">
        <f t="shared" si="3675"/>
        <v>1.9850489203920862</v>
      </c>
      <c r="AK1225" s="176">
        <f t="shared" si="3676"/>
        <v>0</v>
      </c>
      <c r="AL1225" s="120">
        <f t="shared" si="3658"/>
        <v>0.19848121116161568</v>
      </c>
      <c r="AM1225" s="120">
        <f t="shared" si="3659"/>
        <v>0.28743786493868512</v>
      </c>
      <c r="AN1225" s="120">
        <f t="shared" si="3660"/>
        <v>0.51408092389969928</v>
      </c>
      <c r="AO1225" s="120">
        <f t="shared" si="3664"/>
        <v>-1.0704593277680072E-2</v>
      </c>
      <c r="AP1225" s="173">
        <f t="shared" si="3680"/>
        <v>88.543487817903269</v>
      </c>
      <c r="AQ1225" s="175">
        <f t="shared" si="3681"/>
        <v>-1.0704593277680138E-2</v>
      </c>
      <c r="AR1225" s="177">
        <f>+AC1225/$AE$49</f>
        <v>7.0134397914527529E-3</v>
      </c>
      <c r="AS1225" s="177">
        <f t="shared" si="3677"/>
        <v>-7.5076020444999532E-5</v>
      </c>
      <c r="AT1225" s="177"/>
      <c r="AU1225" s="177"/>
      <c r="AV1225" s="177"/>
      <c r="AW1225" s="190"/>
      <c r="AX1225" s="120"/>
      <c r="AY1225" s="120"/>
      <c r="AZ1225" s="118">
        <f>IFERROR(INDEX('Total Customers'!$F$7:$AB$91,MATCH($C1225,'Total Customers'!$D$7:$D$91,0),MATCH($G1225,'Total Customers'!$F$5:$AB$5,0)),"NA")</f>
        <v>278175</v>
      </c>
      <c r="BA1225" s="119">
        <f t="shared" si="3638"/>
        <v>1.0810447209627641E-2</v>
      </c>
      <c r="BB1225" s="119"/>
      <c r="BC1225" s="121"/>
      <c r="BD1225" s="119"/>
      <c r="BE1225" s="119"/>
      <c r="BF1225" s="119"/>
      <c r="BG1225" s="173"/>
      <c r="BH1225" s="173"/>
      <c r="BI1225" s="173"/>
      <c r="BJ1225" s="173"/>
      <c r="BK1225" s="173"/>
      <c r="BL1225" s="173"/>
      <c r="BM1225" s="173"/>
      <c r="BN1225" s="173"/>
      <c r="BO1225" s="173"/>
      <c r="BP1225" s="173"/>
      <c r="BQ1225" s="118"/>
      <c r="BR1225" s="118"/>
      <c r="BS1225" s="118">
        <f>INDEX('Dist. Plant Gas Additions'!$F$7:$AE$91,MATCH($C1225,'Dist. Plant Gas Additions'!$D$7:$D$91,0),MATCH(Calculation!$G1225,'Dist. Plant Gas Additions'!$F$5:$AE$5,0))</f>
        <v>52683</v>
      </c>
      <c r="BT1225" s="118">
        <f>INDEX('Gen. Plant Additions'!$F$7:$AE$91,MATCH($C1225,'Gen. Plant Additions'!$D$7:$D$91,0),MATCH(Calculation!$G1225,'Gen. Plant Additions'!$F$5:$AE$5,0))</f>
        <v>1058</v>
      </c>
      <c r="BU1225" s="118"/>
      <c r="BV1225" s="118"/>
      <c r="BW1225" s="118">
        <f>INDEX('Dist Plant Depreciation'!$E$7:$AD$94,MATCH($C1225,'Dist Plant Depreciation'!$D$7:$D$94,0),MATCH(Calculation!$G1225,'Dist Plant Depreciation'!$E$5:$AD$5,0))</f>
        <v>216848</v>
      </c>
      <c r="BX1225" s="118">
        <f>INDEX('Gen. Plant Depreciation'!$E$7:$AD$94,MATCH($C1225,'Gen. Plant Depreciation'!$D$7:$D$94,0),MATCH(Calculation!$G1225,'Gen. Plant Depreciation'!$E$5:$AD$5,0))</f>
        <v>2874</v>
      </c>
      <c r="BY1225" s="118"/>
      <c r="BZ1225" s="118"/>
      <c r="CA1225" s="118"/>
      <c r="CB1225" s="118"/>
      <c r="CC1225" s="118"/>
      <c r="CD1225" s="183"/>
      <c r="CE1225" s="118">
        <f>INDEX('Gross Dx Plant'!$E$7:$AD$91,MATCH($C1225,'Gross Dx Plant'!$D$7:$D$91,0),MATCH(Calculation!$G1225,'Gross Dx Plant'!$E$5:$AD$5,0))</f>
        <v>627878</v>
      </c>
      <c r="CF1225" s="118">
        <f>INDEX('Gross Gen Plant'!$E$7:$AD$91,MATCH($C1225,'Gross Gen Plant'!$D$7:$D$91,0),MATCH(Calculation!$G1225,'Gross Gen Plant'!$E$5:$AD$5,0))</f>
        <v>21637</v>
      </c>
      <c r="CG1225" s="118">
        <f t="shared" si="3556"/>
        <v>429793</v>
      </c>
      <c r="CH1225" s="118"/>
      <c r="CI1225" s="121">
        <v>2011</v>
      </c>
      <c r="CJ1225" s="118"/>
      <c r="CK1225" s="118"/>
      <c r="CL1225" s="118"/>
      <c r="CM1225" s="183"/>
      <c r="CN1225" s="118">
        <f t="shared" si="3639"/>
        <v>53741</v>
      </c>
      <c r="CO1225" s="118">
        <f t="shared" si="3640"/>
        <v>87.867928395476667</v>
      </c>
      <c r="CP1225" s="186">
        <v>0.92121212121212126</v>
      </c>
      <c r="CQ1225" s="118">
        <f>+CQ1212*CP1225+CO1213*CP1224+CO1214*CP1223+CO1215*CP1222+CO1216*CP1221+CO1217*CP1220+CO1218*CP1219+CO1219*CP1218+CO1220*CP1217+CO1221*CP1216+CO1222*CP1215+CO1223*CP1214+CO1224*CP1213+CO1225</f>
        <v>1888.5873451798159</v>
      </c>
      <c r="CR1225" s="119">
        <f t="shared" si="3641"/>
        <v>4.023056786118151E-2</v>
      </c>
      <c r="CS1225" s="119"/>
      <c r="CT1225" s="177">
        <f t="shared" si="3642"/>
        <v>7.3848810529639737E-3</v>
      </c>
      <c r="CU1225" s="177">
        <f t="shared" si="3651"/>
        <v>7.1534775359687998E-3</v>
      </c>
      <c r="CV1225" s="119">
        <f>VLOOKUP($H1225,RoR!$E:$F,2,FALSE)</f>
        <v>4.6391666666666664E-2</v>
      </c>
      <c r="CW1225" s="177">
        <v>2.0840920205183799E-2</v>
      </c>
      <c r="CX1225" s="177">
        <f t="shared" si="3649"/>
        <v>2.5550746461482865E-2</v>
      </c>
      <c r="CY1225" s="177">
        <f t="shared" si="3652"/>
        <v>2.3748464072564826E-2</v>
      </c>
      <c r="CZ1225" s="177">
        <f t="shared" si="3653"/>
        <v>2.4810540821321614E-2</v>
      </c>
      <c r="DA1225" s="187">
        <f t="shared" si="3643"/>
        <v>0.85412500000000002</v>
      </c>
      <c r="DB1225" s="188">
        <f t="shared" si="3644"/>
        <v>1.1054151524782025</v>
      </c>
      <c r="DC1225" s="188">
        <f t="shared" si="3645"/>
        <v>0.43611011316687626</v>
      </c>
      <c r="DD1225" s="188">
        <f t="shared" si="3646"/>
        <v>0.83698442246886229</v>
      </c>
      <c r="DE1225" s="188">
        <f t="shared" si="3647"/>
        <v>0.40349573304423936</v>
      </c>
      <c r="DF1225" s="189">
        <f>INDEX('State Tax Lookup'!$D$7:$Z$91,MATCH(Calculation!$C1225,'State Tax Lookup'!$B$7:$B$91,0),MATCH($H1225,'State Tax Lookup'!$D$6:$Z$6,0))</f>
        <v>0.38900000000000001</v>
      </c>
      <c r="DG1225" s="189">
        <v>0.375</v>
      </c>
      <c r="DH1225" s="190">
        <f t="shared" si="3650"/>
        <v>20.269761240042961</v>
      </c>
      <c r="DI1225" s="190">
        <v>19.927209980996412</v>
      </c>
      <c r="DJ1225" s="177"/>
      <c r="DK1225" s="189">
        <f>VLOOKUP($H1225,RoR!$E:$F,2,FALSE)</f>
        <v>4.6391666666666664E-2</v>
      </c>
      <c r="DL1225" s="191">
        <f>HLOOKUP($H1225,'GDP-PI'!$D$8:$CQ$11,3,FALSE)</f>
        <v>2.0840920205183799E-2</v>
      </c>
      <c r="DM1225" s="189">
        <f>VLOOKUP(H1225,'HW Dx Data'!$E:$F,2,FALSE)</f>
        <v>611.61109612283201</v>
      </c>
      <c r="DN1225" s="183">
        <f>VLOOKUP(H1225,'ECI - Input Price'!$G$17:$H$37,2,FALSE)</f>
        <v>114.3</v>
      </c>
      <c r="DO1225" s="177">
        <f t="shared" ref="DO1225" si="3688">LN(DN1225/DN1224)</f>
        <v>2.1444394205745516E-2</v>
      </c>
      <c r="DP1225" s="183">
        <f>HLOOKUP(H1225,'GDP-PI'!$8:$9,2,FALSE)</f>
        <v>98.111999999999995</v>
      </c>
      <c r="DQ1225" s="177">
        <f t="shared" ref="DQ1225" si="3689">LN(DP1225/DP1224)</f>
        <v>2.0626719212849295E-2</v>
      </c>
    </row>
    <row r="1226" spans="1:121" s="167" customFormat="1" ht="21" x14ac:dyDescent="0.35">
      <c r="A1226" s="167" t="s">
        <v>115</v>
      </c>
      <c r="B1226" s="167" t="s">
        <v>115</v>
      </c>
      <c r="C1226" s="167">
        <v>4063762</v>
      </c>
      <c r="D1226" s="168" t="s">
        <v>139</v>
      </c>
      <c r="E1226" s="168"/>
      <c r="F1226" s="198"/>
      <c r="G1226" s="167" t="s">
        <v>18</v>
      </c>
      <c r="H1226" s="169">
        <v>2012</v>
      </c>
      <c r="I1226" s="170"/>
      <c r="J1226" s="166">
        <f>IFERROR(INDEX('Labor Expenditures'!$F$7:$X$91,MATCH($C1226,'Labor Expenditures'!$D$7:$D$91,0),MATCH($G1226,'Labor Expenditures'!$F$5:$X$5,0)),"NA")</f>
        <v>14306.280284408629</v>
      </c>
      <c r="K1226" s="166">
        <f t="shared" si="3656"/>
        <v>122.80068913655475</v>
      </c>
      <c r="L1226" s="172">
        <f t="shared" si="3663"/>
        <v>-1.1408556356691095E-2</v>
      </c>
      <c r="M1226" s="172">
        <f t="shared" si="3667"/>
        <v>-8.156429986841987E-5</v>
      </c>
      <c r="N1226" s="196"/>
      <c r="O1226" s="172"/>
      <c r="P1226" s="166">
        <f>IFERROR(INDEX('Non-Labor Expenditures'!$F$7:$AB$91,MATCH($C1226,'Non-Labor Expenditures'!$D$7:$D$91,0),MATCH($G1226,'Non-Labor Expenditures'!$F$5:$AB$5,0)),"NA")</f>
        <v>20718.16589640034</v>
      </c>
      <c r="Q1226" s="166">
        <f t="shared" si="3657"/>
        <v>207.18165896400339</v>
      </c>
      <c r="R1226" s="172">
        <f t="shared" si="3668"/>
        <v>-1.1404356890443463E-2</v>
      </c>
      <c r="S1226" s="172">
        <f t="shared" si="3673"/>
        <v>-8.1534276216557177E-5</v>
      </c>
      <c r="T1226" s="172"/>
      <c r="U1226" s="172"/>
      <c r="V1226" s="166">
        <f t="shared" si="3637"/>
        <v>41377.062749298166</v>
      </c>
      <c r="W1226" s="170"/>
      <c r="X1226" s="174">
        <v>1933.1821512572974</v>
      </c>
      <c r="Y1226" s="175">
        <v>2.3338315012240794E-2</v>
      </c>
      <c r="Z1226" s="175">
        <f t="shared" si="3674"/>
        <v>1.6685488194705819E-4</v>
      </c>
      <c r="AA1226" s="175"/>
      <c r="AB1226" s="175"/>
      <c r="AC1226" s="170">
        <f t="shared" si="3648"/>
        <v>76401.508930107142</v>
      </c>
      <c r="AD1226" s="175">
        <f t="shared" si="3669"/>
        <v>6.5899133205173474E-2</v>
      </c>
      <c r="AE1226" s="170"/>
      <c r="AF1226" s="170"/>
      <c r="AG1226" s="121">
        <f t="shared" si="3670"/>
        <v>271.88665301367286</v>
      </c>
      <c r="AH1226" s="119">
        <f>+AZ1226/$BB$50</f>
        <v>7.7608274262140776E-3</v>
      </c>
      <c r="AI1226" s="119"/>
      <c r="AJ1226" s="176">
        <f t="shared" si="3675"/>
        <v>2.1100653935300628</v>
      </c>
      <c r="AK1226" s="176">
        <f t="shared" si="3676"/>
        <v>0</v>
      </c>
      <c r="AL1226" s="120">
        <f t="shared" si="3658"/>
        <v>0.18725127925805962</v>
      </c>
      <c r="AM1226" s="120">
        <f t="shared" si="3659"/>
        <v>0.27117482608037918</v>
      </c>
      <c r="AN1226" s="120">
        <f t="shared" si="3660"/>
        <v>0.54157389466156114</v>
      </c>
      <c r="AO1226" s="120">
        <f t="shared" si="3664"/>
        <v>6.9329676761502469E-3</v>
      </c>
      <c r="AP1226" s="173">
        <f t="shared" si="3680"/>
        <v>89.159489850572598</v>
      </c>
      <c r="AQ1226" s="175">
        <f t="shared" si="3681"/>
        <v>6.9329676761501436E-3</v>
      </c>
      <c r="AR1226" s="177">
        <f>+AC1226/$AE$50</f>
        <v>7.149397111982759E-3</v>
      </c>
      <c r="AS1226" s="177">
        <f t="shared" si="3677"/>
        <v>4.9566539081337654E-5</v>
      </c>
      <c r="AT1226" s="177"/>
      <c r="AU1226" s="177"/>
      <c r="AV1226" s="177"/>
      <c r="AW1226" s="190"/>
      <c r="AX1226" s="120"/>
      <c r="AY1226" s="120"/>
      <c r="AZ1226" s="118">
        <f>IFERROR(INDEX('Total Customers'!$F$7:$AB$91,MATCH($C1226,'Total Customers'!$D$7:$D$91,0),MATCH($G1226,'Total Customers'!$F$5:$AB$5,0)),"NA")</f>
        <v>281005</v>
      </c>
      <c r="BA1226" s="119">
        <f t="shared" si="3638"/>
        <v>1.0122050725983595E-2</v>
      </c>
      <c r="BB1226" s="119"/>
      <c r="BC1226" s="121"/>
      <c r="BD1226" s="119"/>
      <c r="BE1226" s="119"/>
      <c r="BF1226" s="119"/>
      <c r="BG1226" s="173"/>
      <c r="BH1226" s="173"/>
      <c r="BI1226" s="173"/>
      <c r="BJ1226" s="173"/>
      <c r="BK1226" s="173"/>
      <c r="BL1226" s="173"/>
      <c r="BM1226" s="173"/>
      <c r="BN1226" s="173"/>
      <c r="BO1226" s="173"/>
      <c r="BP1226" s="173"/>
      <c r="BQ1226" s="118"/>
      <c r="BR1226" s="118"/>
      <c r="BS1226" s="118">
        <f>INDEX('Dist. Plant Gas Additions'!$F$7:$AE$91,MATCH($C1226,'Dist. Plant Gas Additions'!$D$7:$D$91,0),MATCH(Calculation!$G1226,'Dist. Plant Gas Additions'!$F$5:$AE$5,0))</f>
        <v>36933</v>
      </c>
      <c r="BT1226" s="118">
        <f>INDEX('Gen. Plant Additions'!$F$7:$AE$91,MATCH($C1226,'Gen. Plant Additions'!$D$7:$D$91,0),MATCH(Calculation!$G1226,'Gen. Plant Additions'!$F$5:$AE$5,0))</f>
        <v>2475</v>
      </c>
      <c r="BU1226" s="118"/>
      <c r="BV1226" s="118"/>
      <c r="BW1226" s="118">
        <f>INDEX('Dist Plant Depreciation'!$E$7:$AD$94,MATCH($C1226,'Dist Plant Depreciation'!$D$7:$D$94,0),MATCH(Calculation!$G1226,'Dist Plant Depreciation'!$E$5:$AD$5,0))</f>
        <v>217655</v>
      </c>
      <c r="BX1226" s="118">
        <f>INDEX('Gen. Plant Depreciation'!$E$7:$AD$94,MATCH($C1226,'Gen. Plant Depreciation'!$D$7:$D$94,0),MATCH(Calculation!$G1226,'Gen. Plant Depreciation'!$E$5:$AD$5,0))</f>
        <v>4637</v>
      </c>
      <c r="BY1226" s="118"/>
      <c r="BZ1226" s="118"/>
      <c r="CA1226" s="118"/>
      <c r="CB1226" s="118"/>
      <c r="CC1226" s="118"/>
      <c r="CD1226" s="183"/>
      <c r="CE1226" s="118">
        <f>INDEX('Gross Dx Plant'!$E$7:$AD$91,MATCH($C1226,'Gross Dx Plant'!$D$7:$D$91,0),MATCH(Calculation!$G1226,'Gross Dx Plant'!$E$5:$AD$5,0))</f>
        <v>664055</v>
      </c>
      <c r="CF1226" s="118">
        <f>INDEX('Gross Gen Plant'!$E$7:$AD$91,MATCH($C1226,'Gross Gen Plant'!$D$7:$D$91,0),MATCH(Calculation!$G1226,'Gross Gen Plant'!$E$5:$AD$5,0))</f>
        <v>24011</v>
      </c>
      <c r="CG1226" s="118">
        <f t="shared" si="3556"/>
        <v>465774</v>
      </c>
      <c r="CH1226" s="118"/>
      <c r="CI1226" s="121">
        <v>2012</v>
      </c>
      <c r="CJ1226" s="118"/>
      <c r="CK1226" s="118"/>
      <c r="CL1226" s="118"/>
      <c r="CM1226" s="183"/>
      <c r="CN1226" s="118">
        <f t="shared" si="3639"/>
        <v>39408</v>
      </c>
      <c r="CO1226" s="118">
        <f t="shared" si="3640"/>
        <v>58.912934186949869</v>
      </c>
      <c r="CP1226" s="186">
        <v>0.9135802469135802</v>
      </c>
      <c r="CQ1226" s="118">
        <f>+CQ1212*CP1226+CO1213*CP1225+CO1214*CP1224+CO1215*CP1223+CO1216*CP1222+CO1217*CP1221+CO1218*CP1220+CO1219*CP1219+CO1220*CP1218+CO1221*CP1217+CO1222*CP1216+CO1223*CP1215+CO1224*CP1214+CO1225*CP1213+CO1226</f>
        <v>1933.1821512572974</v>
      </c>
      <c r="CR1226" s="119">
        <f t="shared" si="3641"/>
        <v>2.3338315012240794E-2</v>
      </c>
      <c r="CS1226" s="119"/>
      <c r="CT1226" s="177">
        <f t="shared" si="3642"/>
        <v>7.5813957697069634E-3</v>
      </c>
      <c r="CU1226" s="177">
        <f t="shared" si="3651"/>
        <v>7.3717946621102981E-3</v>
      </c>
      <c r="CV1226" s="119">
        <f>VLOOKUP($H1226,RoR!$E:$F,2,FALSE)</f>
        <v>3.6733333333333333E-2</v>
      </c>
      <c r="CW1226" s="177">
        <v>1.924331376386168E-2</v>
      </c>
      <c r="CX1226" s="177">
        <f t="shared" si="3649"/>
        <v>1.7490019569471653E-2</v>
      </c>
      <c r="CY1226" s="177">
        <f t="shared" si="3652"/>
        <v>2.3530146946423327E-2</v>
      </c>
      <c r="CZ1226" s="177">
        <f t="shared" si="3653"/>
        <v>6.7122682943869583E-2</v>
      </c>
      <c r="DA1226" s="187">
        <f t="shared" si="3643"/>
        <v>0.85412500000000002</v>
      </c>
      <c r="DB1226" s="188">
        <f t="shared" si="3644"/>
        <v>1.3960631020522127</v>
      </c>
      <c r="DC1226" s="188">
        <f t="shared" si="3645"/>
        <v>0.29441923774954631</v>
      </c>
      <c r="DD1226" s="188">
        <f t="shared" si="3646"/>
        <v>0.76377954189366437</v>
      </c>
      <c r="DE1226" s="188">
        <f t="shared" si="3647"/>
        <v>0.31393465103033691</v>
      </c>
      <c r="DF1226" s="189">
        <f>INDEX('State Tax Lookup'!$D$7:$Z$91,MATCH(Calculation!$C1226,'State Tax Lookup'!$B$7:$B$91,0),MATCH($H1226,'State Tax Lookup'!$D$6:$Z$6,0))</f>
        <v>0.38900000000000001</v>
      </c>
      <c r="DG1226" s="189">
        <v>0.375</v>
      </c>
      <c r="DH1226" s="190">
        <f t="shared" si="3650"/>
        <v>21.909001378677871</v>
      </c>
      <c r="DI1226" s="190">
        <v>21.605285751634991</v>
      </c>
      <c r="DJ1226" s="177"/>
      <c r="DK1226" s="189">
        <f>VLOOKUP($H1226,RoR!$E:$F,2,FALSE)</f>
        <v>3.6733333333333333E-2</v>
      </c>
      <c r="DL1226" s="191">
        <f>HLOOKUP($H1226,'GDP-PI'!$D$8:$CQ$11,3,FALSE)</f>
        <v>1.924331376386168E-2</v>
      </c>
      <c r="DM1226" s="189">
        <f>VLOOKUP(H1226,'HW Dx Data'!$E:$F,2,FALSE)</f>
        <v>668.91932211262167</v>
      </c>
      <c r="DN1226" s="183">
        <f>VLOOKUP(H1226,'ECI - Input Price'!$G$17:$H$37,2,FALSE)</f>
        <v>116.5</v>
      </c>
      <c r="DO1226" s="177">
        <f t="shared" ref="DO1226" si="3690">LN(DN1226/DN1225)</f>
        <v>1.9064702204990347E-2</v>
      </c>
      <c r="DP1226" s="183">
        <f>HLOOKUP(H1226,'GDP-PI'!$8:$9,2,FALSE)</f>
        <v>100</v>
      </c>
      <c r="DQ1226" s="177">
        <f t="shared" ref="DQ1226" si="3691">LN(DP1226/DP1225)</f>
        <v>1.9060502738742411E-2</v>
      </c>
    </row>
    <row r="1227" spans="1:121" s="167" customFormat="1" ht="21" x14ac:dyDescent="0.35">
      <c r="A1227" s="167" t="s">
        <v>115</v>
      </c>
      <c r="B1227" s="167" t="s">
        <v>115</v>
      </c>
      <c r="C1227" s="167">
        <v>4063762</v>
      </c>
      <c r="D1227" s="168" t="s">
        <v>139</v>
      </c>
      <c r="E1227" s="168"/>
      <c r="F1227" s="198"/>
      <c r="G1227" s="167" t="s">
        <v>19</v>
      </c>
      <c r="H1227" s="169">
        <v>2013</v>
      </c>
      <c r="I1227" s="170"/>
      <c r="J1227" s="166">
        <f>IFERROR(INDEX('Labor Expenditures'!$F$7:$X$91,MATCH($C1227,'Labor Expenditures'!$D$7:$D$91,0),MATCH($G1227,'Labor Expenditures'!$F$5:$X$5,0)),"NA")</f>
        <v>15794.811761924662</v>
      </c>
      <c r="K1227" s="166">
        <f t="shared" si="3656"/>
        <v>133.03694893177226</v>
      </c>
      <c r="L1227" s="172">
        <f t="shared" si="3663"/>
        <v>8.0064273597873839E-2</v>
      </c>
      <c r="M1227" s="172">
        <f t="shared" si="3667"/>
        <v>5.7994359513956705E-4</v>
      </c>
      <c r="N1227" s="196"/>
      <c r="O1227" s="172"/>
      <c r="P1227" s="166">
        <f>IFERROR(INDEX('Non-Labor Expenditures'!$F$7:$AB$91,MATCH($C1227,'Non-Labor Expenditures'!$D$7:$D$91,0),MATCH($G1227,'Non-Labor Expenditures'!$F$5:$AB$5,0)),"NA")</f>
        <v>22873.837495173713</v>
      </c>
      <c r="Q1227" s="166">
        <f t="shared" si="3657"/>
        <v>224.75349547693116</v>
      </c>
      <c r="R1227" s="172">
        <f t="shared" si="3668"/>
        <v>8.1408238010793998E-2</v>
      </c>
      <c r="S1227" s="172">
        <f t="shared" si="3673"/>
        <v>5.8967856828480837E-4</v>
      </c>
      <c r="T1227" s="172"/>
      <c r="U1227" s="172"/>
      <c r="V1227" s="166">
        <f t="shared" si="3637"/>
        <v>41624.329458706823</v>
      </c>
      <c r="W1227" s="170"/>
      <c r="X1227" s="174">
        <v>1974.6064602384665</v>
      </c>
      <c r="Y1227" s="175">
        <v>2.1201689658160931E-2</v>
      </c>
      <c r="Z1227" s="175">
        <f t="shared" si="3674"/>
        <v>1.5357391718987321E-4</v>
      </c>
      <c r="AA1227" s="175"/>
      <c r="AB1227" s="175"/>
      <c r="AC1227" s="170">
        <f t="shared" si="3648"/>
        <v>80292.978715805191</v>
      </c>
      <c r="AD1227" s="175">
        <f t="shared" si="3669"/>
        <v>4.9679732598928848E-2</v>
      </c>
      <c r="AE1227" s="170"/>
      <c r="AF1227" s="170"/>
      <c r="AG1227" s="121">
        <f t="shared" si="3670"/>
        <v>282.80141841295148</v>
      </c>
      <c r="AH1227" s="119">
        <f>+AZ1227/$BB$51</f>
        <v>7.7912020995091801E-3</v>
      </c>
      <c r="AI1227" s="119"/>
      <c r="AJ1227" s="176">
        <f t="shared" si="3675"/>
        <v>2.2033630048831618</v>
      </c>
      <c r="AK1227" s="176">
        <f t="shared" si="3676"/>
        <v>0</v>
      </c>
      <c r="AL1227" s="120">
        <f t="shared" si="3658"/>
        <v>0.19671473165580228</v>
      </c>
      <c r="AM1227" s="120">
        <f t="shared" si="3659"/>
        <v>0.2848796726814064</v>
      </c>
      <c r="AN1227" s="120">
        <f t="shared" si="3660"/>
        <v>0.51840559566279143</v>
      </c>
      <c r="AO1227" s="120">
        <f t="shared" si="3664"/>
        <v>4.9241366465068187E-2</v>
      </c>
      <c r="AP1227" s="173">
        <f t="shared" si="3680"/>
        <v>93.659714288843944</v>
      </c>
      <c r="AQ1227" s="175">
        <f t="shared" si="3681"/>
        <v>4.9241366465068132E-2</v>
      </c>
      <c r="AR1227" s="177">
        <f>+AC1227/$AE$51</f>
        <v>7.2434753864421223E-3</v>
      </c>
      <c r="AS1227" s="177">
        <f t="shared" si="3677"/>
        <v>3.5667862598449756E-4</v>
      </c>
      <c r="AT1227" s="177"/>
      <c r="AU1227" s="177"/>
      <c r="AV1227" s="177"/>
      <c r="AW1227" s="190"/>
      <c r="AX1227" s="120"/>
      <c r="AY1227" s="120"/>
      <c r="AZ1227" s="118">
        <f>IFERROR(INDEX('Total Customers'!$F$7:$AB$91,MATCH($C1227,'Total Customers'!$D$7:$D$91,0),MATCH($G1227,'Total Customers'!$F$5:$AB$5,0)),"NA")</f>
        <v>283920</v>
      </c>
      <c r="BA1227" s="119">
        <f t="shared" si="3638"/>
        <v>1.0320045568493377E-2</v>
      </c>
      <c r="BB1227" s="119"/>
      <c r="BC1227" s="121"/>
      <c r="BD1227" s="119"/>
      <c r="BE1227" s="119"/>
      <c r="BF1227" s="119"/>
      <c r="BG1227" s="173"/>
      <c r="BH1227" s="173"/>
      <c r="BI1227" s="173"/>
      <c r="BJ1227" s="173"/>
      <c r="BK1227" s="173"/>
      <c r="BL1227" s="173"/>
      <c r="BM1227" s="173"/>
      <c r="BN1227" s="173"/>
      <c r="BO1227" s="173"/>
      <c r="BP1227" s="173"/>
      <c r="BQ1227" s="118"/>
      <c r="BR1227" s="118"/>
      <c r="BS1227" s="118">
        <f>INDEX('Dist. Plant Gas Additions'!$F$7:$AE$91,MATCH($C1227,'Dist. Plant Gas Additions'!$D$7:$D$91,0),MATCH(Calculation!$G1227,'Dist. Plant Gas Additions'!$F$5:$AE$5,0))</f>
        <v>35900</v>
      </c>
      <c r="BT1227" s="118">
        <f>INDEX('Gen. Plant Additions'!$F$7:$AE$91,MATCH($C1227,'Gen. Plant Additions'!$D$7:$D$91,0),MATCH(Calculation!$G1227,'Gen. Plant Additions'!$F$5:$AE$5,0))</f>
        <v>1613</v>
      </c>
      <c r="BU1227" s="118"/>
      <c r="BV1227" s="118"/>
      <c r="BW1227" s="118">
        <f>INDEX('Dist Plant Depreciation'!$E$7:$AD$94,MATCH($C1227,'Dist Plant Depreciation'!$D$7:$D$94,0),MATCH(Calculation!$G1227,'Dist Plant Depreciation'!$E$5:$AD$5,0))</f>
        <v>259713</v>
      </c>
      <c r="BX1227" s="118">
        <f>INDEX('Gen. Plant Depreciation'!$E$7:$AD$94,MATCH($C1227,'Gen. Plant Depreciation'!$D$7:$D$94,0),MATCH(Calculation!$G1227,'Gen. Plant Depreciation'!$E$5:$AD$5,0))</f>
        <v>9012</v>
      </c>
      <c r="BY1227" s="118"/>
      <c r="BZ1227" s="118"/>
      <c r="CA1227" s="118"/>
      <c r="CB1227" s="118"/>
      <c r="CC1227" s="118"/>
      <c r="CD1227" s="183"/>
      <c r="CE1227" s="118">
        <f>INDEX('Gross Dx Plant'!$E$7:$AD$91,MATCH($C1227,'Gross Dx Plant'!$D$7:$D$91,0),MATCH(Calculation!$G1227,'Gross Dx Plant'!$E$5:$AD$5,0))</f>
        <v>705800</v>
      </c>
      <c r="CF1227" s="118">
        <f>INDEX('Gross Gen Plant'!$E$7:$AD$91,MATCH($C1227,'Gross Gen Plant'!$D$7:$D$91,0),MATCH(Calculation!$G1227,'Gross Gen Plant'!$E$5:$AD$5,0))</f>
        <v>23035</v>
      </c>
      <c r="CG1227" s="118">
        <f t="shared" si="3556"/>
        <v>460110</v>
      </c>
      <c r="CH1227" s="118"/>
      <c r="CI1227" s="121">
        <v>2013</v>
      </c>
      <c r="CJ1227" s="118"/>
      <c r="CK1227" s="118"/>
      <c r="CL1227" s="118"/>
      <c r="CM1227" s="183"/>
      <c r="CN1227" s="118">
        <f t="shared" si="3639"/>
        <v>37513</v>
      </c>
      <c r="CO1227" s="118">
        <f t="shared" si="3640"/>
        <v>56.559502728675028</v>
      </c>
      <c r="CP1227" s="186">
        <v>0.90566037735849059</v>
      </c>
      <c r="CQ1227" s="118">
        <f>+CQ1212*CP1227+CO1213*CP1226+CO1214*CP1225+CO1215*CP1224+CO1216*CP1223+CO1217*CP1222+CO1218*CP1221+CO1219*CP1220+CO1220*CP1219+CO1221*CP1218+CO1222*CP1217+CO1223*CP1216+CO1224*CP1215+CO1225*CP1214+CO1226*CP1213+CO1227</f>
        <v>1974.6064602384665</v>
      </c>
      <c r="CR1227" s="119">
        <f t="shared" si="3641"/>
        <v>2.1201689658160931E-2</v>
      </c>
      <c r="CS1227" s="119"/>
      <c r="CT1227" s="177">
        <f t="shared" si="3642"/>
        <v>7.8291607118668623E-3</v>
      </c>
      <c r="CU1227" s="177">
        <f t="shared" si="3651"/>
        <v>7.5984791781792656E-3</v>
      </c>
      <c r="CV1227" s="119">
        <f>VLOOKUP($H1227,RoR!$E:$F,2,FALSE)</f>
        <v>4.2350000000000006E-2</v>
      </c>
      <c r="CW1227" s="177">
        <v>1.7730000000000024E-2</v>
      </c>
      <c r="CX1227" s="177">
        <f t="shared" si="3649"/>
        <v>2.4619999999999982E-2</v>
      </c>
      <c r="CY1227" s="177">
        <f t="shared" si="3652"/>
        <v>2.330346243035436E-2</v>
      </c>
      <c r="CZ1227" s="177">
        <f t="shared" si="3653"/>
        <v>5.3376742735721204E-2</v>
      </c>
      <c r="DA1227" s="187">
        <f t="shared" si="3643"/>
        <v>0.85412500000000002</v>
      </c>
      <c r="DB1227" s="188">
        <f t="shared" si="3644"/>
        <v>1.2109103018193925</v>
      </c>
      <c r="DC1227" s="188">
        <f t="shared" si="3645"/>
        <v>0.38468122786304604</v>
      </c>
      <c r="DD1227" s="188">
        <f t="shared" si="3646"/>
        <v>0.80969194503422559</v>
      </c>
      <c r="DE1227" s="188">
        <f t="shared" si="3647"/>
        <v>0.37716621754800816</v>
      </c>
      <c r="DF1227" s="189">
        <f>INDEX('State Tax Lookup'!$D$7:$Z$91,MATCH(Calculation!$C1227,'State Tax Lookup'!$B$7:$B$91,0),MATCH($H1227,'State Tax Lookup'!$D$6:$Z$6,0))</f>
        <v>0.38900000000000001</v>
      </c>
      <c r="DG1227" s="189">
        <v>0.375</v>
      </c>
      <c r="DH1227" s="190">
        <f t="shared" si="3650"/>
        <v>21.531509294990808</v>
      </c>
      <c r="DI1227" s="190">
        <v>21.208888032469599</v>
      </c>
      <c r="DJ1227" s="177"/>
      <c r="DK1227" s="189">
        <f>VLOOKUP($H1227,RoR!$E:$F,2,FALSE)</f>
        <v>4.2350000000000006E-2</v>
      </c>
      <c r="DL1227" s="191">
        <f>HLOOKUP($H1227,'GDP-PI'!$D$8:$CQ$11,3,FALSE)</f>
        <v>1.7730000000000024E-2</v>
      </c>
      <c r="DM1227" s="189">
        <f>VLOOKUP(H1227,'HW Dx Data'!$E:$F,2,FALSE)</f>
        <v>663.24840548821396</v>
      </c>
      <c r="DN1227" s="183">
        <f>VLOOKUP(H1227,'ECI - Input Price'!$G$17:$H$37,2,FALSE)</f>
        <v>118.72499999999999</v>
      </c>
      <c r="DO1227" s="177">
        <f t="shared" ref="DO1227" si="3692">LN(DN1227/DN1226)</f>
        <v>1.8918621429430321E-2</v>
      </c>
      <c r="DP1227" s="183">
        <f>HLOOKUP(H1227,'GDP-PI'!$8:$9,2,FALSE)</f>
        <v>101.773</v>
      </c>
      <c r="DQ1227" s="177">
        <f t="shared" ref="DQ1227" si="3693">LN(DP1227/DP1226)</f>
        <v>1.7574657016510519E-2</v>
      </c>
    </row>
    <row r="1228" spans="1:121" s="167" customFormat="1" ht="21" x14ac:dyDescent="0.35">
      <c r="A1228" s="167" t="s">
        <v>115</v>
      </c>
      <c r="B1228" s="167" t="s">
        <v>115</v>
      </c>
      <c r="C1228" s="167">
        <v>4063762</v>
      </c>
      <c r="D1228" s="168" t="s">
        <v>139</v>
      </c>
      <c r="E1228" s="168"/>
      <c r="F1228" s="198"/>
      <c r="G1228" s="167" t="s">
        <v>20</v>
      </c>
      <c r="H1228" s="169">
        <v>2014</v>
      </c>
      <c r="I1228" s="170"/>
      <c r="J1228" s="166">
        <f>IFERROR(INDEX('Labor Expenditures'!$F$7:$X$91,MATCH($C1228,'Labor Expenditures'!$D$7:$D$91,0),MATCH($G1228,'Labor Expenditures'!$F$5:$X$5,0)),"NA")</f>
        <v>17309.633529067698</v>
      </c>
      <c r="K1228" s="166">
        <f t="shared" si="3656"/>
        <v>142.81875849065756</v>
      </c>
      <c r="L1228" s="172">
        <f t="shared" si="3663"/>
        <v>7.0949502101284867E-2</v>
      </c>
      <c r="M1228" s="172">
        <f t="shared" si="3667"/>
        <v>5.3526359190998491E-4</v>
      </c>
      <c r="N1228" s="196"/>
      <c r="O1228" s="172"/>
      <c r="P1228" s="166">
        <f>IFERROR(INDEX('Non-Labor Expenditures'!$F$7:$AB$91,MATCH($C1228,'Non-Labor Expenditures'!$D$7:$D$91,0),MATCH($G1228,'Non-Labor Expenditures'!$F$5:$AB$5,0)),"NA")</f>
        <v>25067.582343675753</v>
      </c>
      <c r="Q1228" s="166">
        <f t="shared" si="3657"/>
        <v>241.85535851183104</v>
      </c>
      <c r="R1228" s="172">
        <f t="shared" si="3668"/>
        <v>7.3335629403057268E-2</v>
      </c>
      <c r="S1228" s="172">
        <f t="shared" si="3673"/>
        <v>5.532652273334144E-4</v>
      </c>
      <c r="T1228" s="172"/>
      <c r="U1228" s="172"/>
      <c r="V1228" s="166">
        <f t="shared" si="3637"/>
        <v>43475.331876691031</v>
      </c>
      <c r="W1228" s="170"/>
      <c r="X1228" s="174">
        <v>2055.4457159576905</v>
      </c>
      <c r="Y1228" s="175">
        <v>4.0123599980995718E-2</v>
      </c>
      <c r="Z1228" s="175">
        <f t="shared" si="3674"/>
        <v>3.0270405866312958E-4</v>
      </c>
      <c r="AA1228" s="175"/>
      <c r="AB1228" s="175"/>
      <c r="AC1228" s="170">
        <f t="shared" si="3648"/>
        <v>85852.547749434481</v>
      </c>
      <c r="AD1228" s="175">
        <f t="shared" si="3669"/>
        <v>6.6949084687905239E-2</v>
      </c>
      <c r="AE1228" s="170"/>
      <c r="AF1228" s="170"/>
      <c r="AG1228" s="121">
        <f t="shared" si="3670"/>
        <v>299.67658839388758</v>
      </c>
      <c r="AH1228" s="119">
        <f>+AZ1228/$BB$52</f>
        <v>7.8193607266782688E-3</v>
      </c>
      <c r="AI1228" s="119"/>
      <c r="AJ1228" s="176">
        <f t="shared" si="3675"/>
        <v>2.3432793459920931</v>
      </c>
      <c r="AK1228" s="176">
        <f t="shared" si="3676"/>
        <v>0</v>
      </c>
      <c r="AL1228" s="120">
        <f t="shared" si="3658"/>
        <v>0.2016204991328486</v>
      </c>
      <c r="AM1228" s="120">
        <f t="shared" si="3659"/>
        <v>0.29198414025914421</v>
      </c>
      <c r="AN1228" s="120">
        <f t="shared" si="3660"/>
        <v>0.50639536060800716</v>
      </c>
      <c r="AO1228" s="120">
        <f t="shared" si="3664"/>
        <v>5.5842530362624675E-2</v>
      </c>
      <c r="AP1228" s="173">
        <f t="shared" si="3680"/>
        <v>99.038700075146934</v>
      </c>
      <c r="AQ1228" s="175">
        <f t="shared" si="3681"/>
        <v>5.5842530362624772E-2</v>
      </c>
      <c r="AR1228" s="177">
        <f>+AC1228/$AE$52</f>
        <v>7.5442896152514574E-3</v>
      </c>
      <c r="AS1228" s="177">
        <f t="shared" si="3677"/>
        <v>4.2129222190411426E-4</v>
      </c>
      <c r="AT1228" s="177"/>
      <c r="AU1228" s="177"/>
      <c r="AV1228" s="177"/>
      <c r="AW1228" s="190"/>
      <c r="AX1228" s="120"/>
      <c r="AY1228" s="120"/>
      <c r="AZ1228" s="118">
        <f>IFERROR(INDEX('Total Customers'!$F$7:$AB$91,MATCH($C1228,'Total Customers'!$D$7:$D$91,0),MATCH($G1228,'Total Customers'!$F$5:$AB$5,0)),"NA")</f>
        <v>286484</v>
      </c>
      <c r="BA1228" s="119">
        <f t="shared" si="3638"/>
        <v>8.9901798347451715E-3</v>
      </c>
      <c r="BB1228" s="119"/>
      <c r="BC1228" s="121"/>
      <c r="BD1228" s="119"/>
      <c r="BE1228" s="119"/>
      <c r="BF1228" s="119"/>
      <c r="BG1228" s="173"/>
      <c r="BH1228" s="173"/>
      <c r="BI1228" s="173"/>
      <c r="BJ1228" s="173"/>
      <c r="BK1228" s="173"/>
      <c r="BL1228" s="173"/>
      <c r="BM1228" s="173"/>
      <c r="BN1228" s="173"/>
      <c r="BO1228" s="173"/>
      <c r="BP1228" s="173"/>
      <c r="BQ1228" s="118"/>
      <c r="BR1228" s="118"/>
      <c r="BS1228" s="118">
        <f>INDEX('Dist. Plant Gas Additions'!$F$7:$AE$91,MATCH($C1228,'Dist. Plant Gas Additions'!$D$7:$D$91,0),MATCH(Calculation!$G1228,'Dist. Plant Gas Additions'!$F$5:$AE$5,0))</f>
        <v>64014</v>
      </c>
      <c r="BT1228" s="118">
        <f>INDEX('Gen. Plant Additions'!$F$7:$AE$91,MATCH($C1228,'Gen. Plant Additions'!$D$7:$D$91,0),MATCH(Calculation!$G1228,'Gen. Plant Additions'!$F$5:$AE$5,0))</f>
        <v>2255</v>
      </c>
      <c r="BU1228" s="118"/>
      <c r="BV1228" s="118"/>
      <c r="BW1228" s="118">
        <f>INDEX('Dist Plant Depreciation'!$E$7:$AD$94,MATCH($C1228,'Dist Plant Depreciation'!$D$7:$D$94,0),MATCH(Calculation!$G1228,'Dist Plant Depreciation'!$E$5:$AD$5,0))</f>
        <v>245119</v>
      </c>
      <c r="BX1228" s="118">
        <f>INDEX('Gen. Plant Depreciation'!$E$7:$AD$94,MATCH($C1228,'Gen. Plant Depreciation'!$D$7:$D$94,0),MATCH(Calculation!$G1228,'Gen. Plant Depreciation'!$E$5:$AD$5,0))</f>
        <v>5165</v>
      </c>
      <c r="BY1228" s="118"/>
      <c r="BZ1228" s="118"/>
      <c r="CA1228" s="118"/>
      <c r="CB1228" s="118"/>
      <c r="CC1228" s="118"/>
      <c r="CD1228" s="183"/>
      <c r="CE1228" s="118">
        <f>INDEX('Gross Dx Plant'!$E$7:$AD$91,MATCH($C1228,'Gross Dx Plant'!$D$7:$D$91,0),MATCH(Calculation!$G1228,'Gross Dx Plant'!$E$5:$AD$5,0))</f>
        <v>720731</v>
      </c>
      <c r="CF1228" s="118">
        <f>INDEX('Gross Gen Plant'!$E$7:$AD$91,MATCH($C1228,'Gross Gen Plant'!$D$7:$D$91,0),MATCH(Calculation!$G1228,'Gross Gen Plant'!$E$5:$AD$5,0))</f>
        <v>24641</v>
      </c>
      <c r="CG1228" s="118">
        <f t="shared" si="3556"/>
        <v>495088</v>
      </c>
      <c r="CH1228" s="118"/>
      <c r="CI1228" s="121">
        <v>2014</v>
      </c>
      <c r="CJ1228" s="118"/>
      <c r="CK1228" s="118"/>
      <c r="CL1228" s="118"/>
      <c r="CM1228" s="183"/>
      <c r="CN1228" s="118">
        <f t="shared" si="3639"/>
        <v>66269</v>
      </c>
      <c r="CO1228" s="118">
        <f t="shared" si="3640"/>
        <v>96.818097195772623</v>
      </c>
      <c r="CP1228" s="186">
        <v>0.89743589743589747</v>
      </c>
      <c r="CQ1228" s="118">
        <f>+CQ1212*CP1228+CO1213*CP1227+CO1214*CP1226+CO1215*CP1225+CO1216*CP1224+CO1217*CP1223+CO1218*CP1222+CO1219*CP1221+CO1220*CP1220+CO1221*CP1219+CO1222*CP1218+CO1223*CP1217+CO1224*CP1216+CO1225*CP1215+CO1226*CP1214+CO1227*CP1213+CO1228</f>
        <v>2055.4457159576905</v>
      </c>
      <c r="CR1228" s="119">
        <f t="shared" si="3641"/>
        <v>4.0123599980995718E-2</v>
      </c>
      <c r="CS1228" s="119"/>
      <c r="CT1228" s="177">
        <f t="shared" si="3642"/>
        <v>8.0921650963397315E-3</v>
      </c>
      <c r="CU1228" s="177">
        <f t="shared" si="3651"/>
        <v>7.8342405259711843E-3</v>
      </c>
      <c r="CV1228" s="119">
        <f>VLOOKUP($H1228,RoR!$E:$F,2,FALSE)</f>
        <v>4.1625000000000002E-2</v>
      </c>
      <c r="CW1228" s="177">
        <v>1.841352814597208E-2</v>
      </c>
      <c r="CX1228" s="177">
        <f t="shared" si="3649"/>
        <v>2.3211471854027922E-2</v>
      </c>
      <c r="CY1228" s="177">
        <f t="shared" si="3652"/>
        <v>2.3067701082562439E-2</v>
      </c>
      <c r="CZ1228" s="177">
        <f t="shared" si="3653"/>
        <v>3.9072621432650924E-2</v>
      </c>
      <c r="DA1228" s="187">
        <f t="shared" si="3643"/>
        <v>0.85412500000000002</v>
      </c>
      <c r="DB1228" s="188">
        <f t="shared" si="3644"/>
        <v>1.2320012320012319</v>
      </c>
      <c r="DC1228" s="188">
        <f t="shared" si="3645"/>
        <v>0.37439939939939942</v>
      </c>
      <c r="DD1228" s="188">
        <f t="shared" si="3646"/>
        <v>0.80432100613819935</v>
      </c>
      <c r="DE1228" s="188">
        <f t="shared" si="3647"/>
        <v>0.37100152660040037</v>
      </c>
      <c r="DF1228" s="189">
        <f>INDEX('State Tax Lookup'!$D$7:$Z$91,MATCH(Calculation!$C1228,'State Tax Lookup'!$B$7:$B$91,0),MATCH($H1228,'State Tax Lookup'!$D$6:$Z$6,0))</f>
        <v>0.38900000000000001</v>
      </c>
      <c r="DG1228" s="189">
        <v>0.375</v>
      </c>
      <c r="DH1228" s="190">
        <f t="shared" si="3650"/>
        <v>22.017213430690724</v>
      </c>
      <c r="DI1228" s="190">
        <v>21.647357561806142</v>
      </c>
      <c r="DJ1228" s="177"/>
      <c r="DK1228" s="189">
        <f>VLOOKUP($H1228,RoR!$E:$F,2,FALSE)</f>
        <v>4.1625000000000002E-2</v>
      </c>
      <c r="DL1228" s="191">
        <f>HLOOKUP($H1228,'GDP-PI'!$D$8:$CQ$11,3,FALSE)</f>
        <v>1.841352814597208E-2</v>
      </c>
      <c r="DM1228" s="189">
        <f>VLOOKUP(H1228,'HW Dx Data'!$E:$F,2,FALSE)</f>
        <v>684.46914285042885</v>
      </c>
      <c r="DN1228" s="183">
        <f>VLOOKUP(H1228,'ECI - Input Price'!$G$17:$H$37,2,FALSE)</f>
        <v>121.2</v>
      </c>
      <c r="DO1228" s="177">
        <f t="shared" ref="DO1228" si="3694">LN(DN1228/DN1227)</f>
        <v>2.0632179200028689E-2</v>
      </c>
      <c r="DP1228" s="183">
        <f>HLOOKUP(H1228,'GDP-PI'!$8:$9,2,FALSE)</f>
        <v>103.64700000000001</v>
      </c>
      <c r="DQ1228" s="177">
        <f t="shared" ref="DQ1228" si="3695">LN(DP1228/DP1227)</f>
        <v>1.8246051898256087E-2</v>
      </c>
    </row>
    <row r="1229" spans="1:121" s="167" customFormat="1" ht="21" x14ac:dyDescent="0.35">
      <c r="A1229" s="167" t="s">
        <v>115</v>
      </c>
      <c r="B1229" s="167" t="s">
        <v>115</v>
      </c>
      <c r="C1229" s="167">
        <v>4063762</v>
      </c>
      <c r="D1229" s="168" t="s">
        <v>139</v>
      </c>
      <c r="E1229" s="168"/>
      <c r="F1229" s="198"/>
      <c r="G1229" s="167" t="s">
        <v>21</v>
      </c>
      <c r="H1229" s="169">
        <v>2015</v>
      </c>
      <c r="I1229" s="170"/>
      <c r="J1229" s="166">
        <f>IFERROR(INDEX('Labor Expenditures'!$F$7:$X$91,MATCH($C1229,'Labor Expenditures'!$D$7:$D$91,0),MATCH($G1229,'Labor Expenditures'!$F$5:$X$5,0)),"NA")</f>
        <v>18108.964301396169</v>
      </c>
      <c r="K1229" s="166">
        <f t="shared" si="3656"/>
        <v>146.33506506178722</v>
      </c>
      <c r="L1229" s="172">
        <f t="shared" si="3663"/>
        <v>2.4322555214609656E-2</v>
      </c>
      <c r="M1229" s="172">
        <f t="shared" si="3667"/>
        <v>1.8755679569176618E-4</v>
      </c>
      <c r="N1229" s="196"/>
      <c r="O1229" s="172"/>
      <c r="P1229" s="166">
        <f>IFERROR(INDEX('Non-Labor Expenditures'!$F$7:$AB$91,MATCH($C1229,'Non-Labor Expenditures'!$D$7:$D$91,0),MATCH($G1229,'Non-Labor Expenditures'!$F$5:$AB$5,0)),"NA")</f>
        <v>26225.162596402057</v>
      </c>
      <c r="Q1229" s="166">
        <f t="shared" si="3657"/>
        <v>250.62512635252685</v>
      </c>
      <c r="R1229" s="172">
        <f t="shared" si="3668"/>
        <v>3.5618446842752394E-2</v>
      </c>
      <c r="S1229" s="172">
        <f t="shared" si="3673"/>
        <v>2.7466200398761672E-4</v>
      </c>
      <c r="T1229" s="172"/>
      <c r="U1229" s="172"/>
      <c r="V1229" s="166">
        <f t="shared" si="3637"/>
        <v>44304.432301170295</v>
      </c>
      <c r="W1229" s="170"/>
      <c r="X1229" s="174">
        <v>2116.9507969186852</v>
      </c>
      <c r="Y1229" s="175">
        <v>2.948403215225268E-2</v>
      </c>
      <c r="Z1229" s="175">
        <f t="shared" si="3674"/>
        <v>2.2735812688084257E-4</v>
      </c>
      <c r="AA1229" s="175"/>
      <c r="AB1229" s="175"/>
      <c r="AC1229" s="170">
        <f t="shared" si="3648"/>
        <v>88638.55919896852</v>
      </c>
      <c r="AD1229" s="175">
        <f t="shared" si="3669"/>
        <v>3.193570468425052E-2</v>
      </c>
      <c r="AE1229" s="170"/>
      <c r="AF1229" s="170"/>
      <c r="AG1229" s="121">
        <f t="shared" si="3670"/>
        <v>305.89914274709253</v>
      </c>
      <c r="AH1229" s="119">
        <f>+AZ1229/$BB$53</f>
        <v>7.8447592620774272E-3</v>
      </c>
      <c r="AI1229" s="119"/>
      <c r="AJ1229" s="176">
        <f t="shared" si="3675"/>
        <v>2.3997051333267994</v>
      </c>
      <c r="AK1229" s="176">
        <f t="shared" si="3676"/>
        <v>0</v>
      </c>
      <c r="AL1229" s="120">
        <f t="shared" si="3658"/>
        <v>0.20430120328046691</v>
      </c>
      <c r="AM1229" s="120">
        <f t="shared" si="3659"/>
        <v>0.29586630055136587</v>
      </c>
      <c r="AN1229" s="120">
        <f t="shared" si="3660"/>
        <v>0.49983249616816722</v>
      </c>
      <c r="AO1229" s="120">
        <f t="shared" si="3664"/>
        <v>3.0239513589467481E-2</v>
      </c>
      <c r="AP1229" s="173">
        <f t="shared" si="3680"/>
        <v>102.0793239868499</v>
      </c>
      <c r="AQ1229" s="175">
        <f t="shared" si="3681"/>
        <v>3.0239513589467425E-2</v>
      </c>
      <c r="AR1229" s="177">
        <f>+AC1229/$AE$53</f>
        <v>7.711229105530318E-3</v>
      </c>
      <c r="AS1229" s="177">
        <f t="shared" si="3677"/>
        <v>2.3318381732818078E-4</v>
      </c>
      <c r="AT1229" s="177"/>
      <c r="AU1229" s="177"/>
      <c r="AV1229" s="177"/>
      <c r="AW1229" s="190"/>
      <c r="AX1229" s="120"/>
      <c r="AY1229" s="120"/>
      <c r="AZ1229" s="118">
        <f>IFERROR(INDEX('Total Customers'!$F$7:$AB$91,MATCH($C1229,'Total Customers'!$D$7:$D$91,0),MATCH($G1229,'Total Customers'!$F$5:$AB$5,0)),"NA")</f>
        <v>289764</v>
      </c>
      <c r="BA1229" s="119">
        <f t="shared" si="3638"/>
        <v>1.1384110394720613E-2</v>
      </c>
      <c r="BB1229" s="119"/>
      <c r="BC1229" s="121"/>
      <c r="BD1229" s="119"/>
      <c r="BE1229" s="119"/>
      <c r="BF1229" s="119"/>
      <c r="BG1229" s="173"/>
      <c r="BH1229" s="173"/>
      <c r="BI1229" s="173"/>
      <c r="BJ1229" s="173"/>
      <c r="BK1229" s="173"/>
      <c r="BL1229" s="173"/>
      <c r="BM1229" s="173"/>
      <c r="BN1229" s="173"/>
      <c r="BO1229" s="173"/>
      <c r="BP1229" s="173"/>
      <c r="BQ1229" s="118"/>
      <c r="BR1229" s="118"/>
      <c r="BS1229" s="118">
        <f>INDEX('Dist. Plant Gas Additions'!$F$7:$AE$91,MATCH($C1229,'Dist. Plant Gas Additions'!$D$7:$D$91,0),MATCH(Calculation!$G1229,'Dist. Plant Gas Additions'!$F$5:$AE$5,0))</f>
        <v>50758</v>
      </c>
      <c r="BT1229" s="118">
        <f>INDEX('Gen. Plant Additions'!$F$7:$AE$91,MATCH($C1229,'Gen. Plant Additions'!$D$7:$D$91,0),MATCH(Calculation!$G1229,'Gen. Plant Additions'!$F$5:$AE$5,0))</f>
        <v>2324</v>
      </c>
      <c r="BU1229" s="118"/>
      <c r="BV1229" s="118"/>
      <c r="BW1229" s="118">
        <f>INDEX('Dist Plant Depreciation'!$E$7:$AD$94,MATCH($C1229,'Dist Plant Depreciation'!$D$7:$D$94,0),MATCH(Calculation!$G1229,'Dist Plant Depreciation'!$E$5:$AD$5,0))</f>
        <v>261125</v>
      </c>
      <c r="BX1229" s="118">
        <f>INDEX('Gen. Plant Depreciation'!$E$7:$AD$94,MATCH($C1229,'Gen. Plant Depreciation'!$D$7:$D$94,0),MATCH(Calculation!$G1229,'Gen. Plant Depreciation'!$E$5:$AD$5,0))</f>
        <v>4987</v>
      </c>
      <c r="BY1229" s="118"/>
      <c r="BZ1229" s="118"/>
      <c r="CA1229" s="118"/>
      <c r="CB1229" s="118"/>
      <c r="CC1229" s="118"/>
      <c r="CD1229" s="183"/>
      <c r="CE1229" s="118">
        <f>INDEX('Gross Dx Plant'!$E$7:$AD$91,MATCH($C1229,'Gross Dx Plant'!$D$7:$D$91,0),MATCH(Calculation!$G1229,'Gross Dx Plant'!$E$5:$AD$5,0))</f>
        <v>770089</v>
      </c>
      <c r="CF1229" s="118">
        <f>INDEX('Gross Gen Plant'!$E$7:$AD$91,MATCH($C1229,'Gross Gen Plant'!$D$7:$D$91,0),MATCH(Calculation!$G1229,'Gross Gen Plant'!$E$5:$AD$5,0))</f>
        <v>25407</v>
      </c>
      <c r="CG1229" s="118">
        <f t="shared" si="3556"/>
        <v>529384</v>
      </c>
      <c r="CH1229" s="118"/>
      <c r="CI1229" s="121">
        <v>2015</v>
      </c>
      <c r="CJ1229" s="118"/>
      <c r="CK1229" s="118"/>
      <c r="CL1229" s="118"/>
      <c r="CM1229" s="183"/>
      <c r="CN1229" s="118">
        <f t="shared" si="3639"/>
        <v>53082</v>
      </c>
      <c r="CO1229" s="118">
        <f t="shared" si="3640"/>
        <v>78.568458112705542</v>
      </c>
      <c r="CP1229" s="186">
        <v>0.88888888888888884</v>
      </c>
      <c r="CQ1229" s="118">
        <f>+CQ1212*CP1229+CO1213*CP1228+CO1214*CP1227+CO1215*CP1226+CO1216*CP1225+CO1217*CP1224+CO1218*CP1223+CO1219*CP1222+CO1220*CP1221+CO1221*CP1220+CO1222*CP1219+CO1223*CP1218+CO1224*CP1217+CO1225*CP1216+CO1226*CP1215+CO1227*CP1214+CO1228*CP1213+CO1229</f>
        <v>2116.9507969186852</v>
      </c>
      <c r="CR1229" s="119">
        <f t="shared" si="3641"/>
        <v>2.948403215225268E-2</v>
      </c>
      <c r="CS1229" s="119"/>
      <c r="CT1229" s="177">
        <f t="shared" si="3642"/>
        <v>8.3015459952249255E-3</v>
      </c>
      <c r="CU1229" s="177">
        <f t="shared" si="3651"/>
        <v>8.0742906011438392E-3</v>
      </c>
      <c r="CV1229" s="119">
        <f>VLOOKUP($H1229,RoR!$E:$F,2,FALSE)</f>
        <v>3.8866666666666674E-2</v>
      </c>
      <c r="CW1229" s="177">
        <v>9.5709475431029478E-3</v>
      </c>
      <c r="CX1229" s="177">
        <f t="shared" si="3649"/>
        <v>2.9295719123563727E-2</v>
      </c>
      <c r="CY1229" s="177">
        <f t="shared" si="3652"/>
        <v>2.2827651007389788E-2</v>
      </c>
      <c r="CZ1229" s="177">
        <f t="shared" si="3653"/>
        <v>3.5270373279175926E-3</v>
      </c>
      <c r="DA1229" s="187">
        <f t="shared" si="3643"/>
        <v>0.85412500000000002</v>
      </c>
      <c r="DB1229" s="188">
        <f t="shared" si="3644"/>
        <v>1.3194352816994324</v>
      </c>
      <c r="DC1229" s="188">
        <f t="shared" si="3645"/>
        <v>0.33177530017152673</v>
      </c>
      <c r="DD1229" s="188">
        <f t="shared" si="3646"/>
        <v>0.78242572977668579</v>
      </c>
      <c r="DE1229" s="188">
        <f t="shared" si="3647"/>
        <v>0.34251158643433932</v>
      </c>
      <c r="DF1229" s="189">
        <f>INDEX('State Tax Lookup'!$D$7:$Z$91,MATCH(Calculation!$C1229,'State Tax Lookup'!$B$7:$B$91,0),MATCH($H1229,'State Tax Lookup'!$D$6:$Z$6,0))</f>
        <v>0.38900000000000001</v>
      </c>
      <c r="DG1229" s="189">
        <v>0.375</v>
      </c>
      <c r="DH1229" s="190">
        <f t="shared" si="3650"/>
        <v>21.554659389546369</v>
      </c>
      <c r="DI1229" s="190">
        <v>21.192395514092802</v>
      </c>
      <c r="DJ1229" s="177"/>
      <c r="DK1229" s="189">
        <f>VLOOKUP($H1229,RoR!$E:$F,2,FALSE)</f>
        <v>3.8866666666666674E-2</v>
      </c>
      <c r="DL1229" s="191">
        <f>HLOOKUP($H1229,'GDP-PI'!$D$8:$CQ$11,3,FALSE)</f>
        <v>9.5709475431029478E-3</v>
      </c>
      <c r="DM1229" s="189">
        <f>VLOOKUP(H1229,'HW Dx Data'!$E:$F,2,FALSE)</f>
        <v>675.61463308665782</v>
      </c>
      <c r="DN1229" s="183">
        <f>VLOOKUP(H1229,'ECI - Input Price'!$G$17:$H$37,2,FALSE)</f>
        <v>123.75</v>
      </c>
      <c r="DO1229" s="177">
        <f t="shared" ref="DO1229" si="3696">LN(DN1229/DN1228)</f>
        <v>2.0821327813585516E-2</v>
      </c>
      <c r="DP1229" s="183">
        <f>HLOOKUP(H1229,'GDP-PI'!$8:$9,2,FALSE)</f>
        <v>104.639</v>
      </c>
      <c r="DQ1229" s="177">
        <f t="shared" ref="DQ1229" si="3697">LN(DP1229/DP1228)</f>
        <v>9.5254361854427965E-3</v>
      </c>
    </row>
    <row r="1230" spans="1:121" s="167" customFormat="1" ht="21" x14ac:dyDescent="0.35">
      <c r="A1230" s="167" t="s">
        <v>115</v>
      </c>
      <c r="B1230" s="167" t="s">
        <v>115</v>
      </c>
      <c r="C1230" s="167">
        <v>4063762</v>
      </c>
      <c r="D1230" s="168" t="s">
        <v>139</v>
      </c>
      <c r="E1230" s="168"/>
      <c r="F1230" s="198"/>
      <c r="G1230" s="167" t="s">
        <v>22</v>
      </c>
      <c r="H1230" s="169">
        <v>2016</v>
      </c>
      <c r="I1230" s="170"/>
      <c r="J1230" s="166">
        <f>IFERROR(INDEX('Labor Expenditures'!$F$7:$X$91,MATCH($C1230,'Labor Expenditures'!$D$7:$D$91,0),MATCH($G1230,'Labor Expenditures'!$F$5:$X$5,0)),"NA")</f>
        <v>19338.564840497755</v>
      </c>
      <c r="K1230" s="166">
        <f t="shared" si="3656"/>
        <v>152.99497500393792</v>
      </c>
      <c r="L1230" s="172">
        <f t="shared" si="3663"/>
        <v>4.4506119269312874E-2</v>
      </c>
      <c r="M1230" s="172">
        <f t="shared" si="3667"/>
        <v>3.449343925726406E-4</v>
      </c>
      <c r="N1230" s="196"/>
      <c r="O1230" s="172"/>
      <c r="P1230" s="166">
        <f>IFERROR(INDEX('Non-Labor Expenditures'!$F$7:$AB$91,MATCH($C1230,'Non-Labor Expenditures'!$D$7:$D$91,0),MATCH($G1230,'Non-Labor Expenditures'!$F$5:$AB$5,0)),"NA")</f>
        <v>28005.853834722984</v>
      </c>
      <c r="Q1230" s="166">
        <f t="shared" si="3657"/>
        <v>264.8658341030773</v>
      </c>
      <c r="R1230" s="172">
        <f t="shared" si="3668"/>
        <v>5.5265109166065036E-2</v>
      </c>
      <c r="S1230" s="172">
        <f t="shared" si="3673"/>
        <v>4.2831945749539229E-4</v>
      </c>
      <c r="T1230" s="172"/>
      <c r="U1230" s="172"/>
      <c r="V1230" s="166">
        <f t="shared" si="3637"/>
        <v>44867.397148914766</v>
      </c>
      <c r="W1230" s="170"/>
      <c r="X1230" s="174">
        <v>2236.185878171802</v>
      </c>
      <c r="Y1230" s="175">
        <v>5.4794931617940766E-2</v>
      </c>
      <c r="Z1230" s="175">
        <f t="shared" si="3674"/>
        <v>4.2467545506098185E-4</v>
      </c>
      <c r="AA1230" s="175"/>
      <c r="AB1230" s="175"/>
      <c r="AC1230" s="170">
        <f t="shared" si="3648"/>
        <v>92211.815824135498</v>
      </c>
      <c r="AD1230" s="175">
        <f t="shared" si="3669"/>
        <v>3.9521308283683727E-2</v>
      </c>
      <c r="AE1230" s="170"/>
      <c r="AF1230" s="170"/>
      <c r="AG1230" s="121">
        <f t="shared" si="3670"/>
        <v>314.48747437574559</v>
      </c>
      <c r="AH1230" s="119">
        <f>+AZ1230/$BB$54</f>
        <v>7.8695466058395051E-3</v>
      </c>
      <c r="AI1230" s="119"/>
      <c r="AJ1230" s="176">
        <f t="shared" si="3675"/>
        <v>2.4748738365526872</v>
      </c>
      <c r="AK1230" s="176">
        <f t="shared" si="3676"/>
        <v>0</v>
      </c>
      <c r="AL1230" s="120">
        <f t="shared" si="3658"/>
        <v>0.20971894618559375</v>
      </c>
      <c r="AM1230" s="120">
        <f t="shared" si="3659"/>
        <v>0.30371220417278388</v>
      </c>
      <c r="AN1230" s="120">
        <f t="shared" si="3660"/>
        <v>0.48656884964162245</v>
      </c>
      <c r="AO1230" s="120">
        <f t="shared" si="3664"/>
        <v>5.2805997980366795E-2</v>
      </c>
      <c r="AP1230" s="173">
        <f t="shared" si="3680"/>
        <v>107.61458589320821</v>
      </c>
      <c r="AQ1230" s="175">
        <f t="shared" si="3681"/>
        <v>5.2805997980366816E-2</v>
      </c>
      <c r="AR1230" s="177">
        <f>+AC1230/$AE$54</f>
        <v>7.7502689121330352E-3</v>
      </c>
      <c r="AS1230" s="177">
        <f t="shared" si="3677"/>
        <v>4.0926068452139675E-4</v>
      </c>
      <c r="AT1230" s="177"/>
      <c r="AU1230" s="177"/>
      <c r="AV1230" s="177"/>
      <c r="AW1230" s="190"/>
      <c r="AX1230" s="120"/>
      <c r="AY1230" s="120"/>
      <c r="AZ1230" s="118">
        <f>IFERROR(INDEX('Total Customers'!$F$7:$AB$91,MATCH($C1230,'Total Customers'!$D$7:$D$91,0),MATCH($G1230,'Total Customers'!$F$5:$AB$5,0)),"NA")</f>
        <v>293213</v>
      </c>
      <c r="BA1230" s="119">
        <f t="shared" si="3638"/>
        <v>1.1832508797481751E-2</v>
      </c>
      <c r="BB1230" s="119"/>
      <c r="BC1230" s="121"/>
      <c r="BD1230" s="119"/>
      <c r="BE1230" s="119"/>
      <c r="BF1230" s="119"/>
      <c r="BG1230" s="173"/>
      <c r="BH1230" s="173"/>
      <c r="BI1230" s="173"/>
      <c r="BJ1230" s="173"/>
      <c r="BK1230" s="173"/>
      <c r="BL1230" s="173"/>
      <c r="BM1230" s="173"/>
      <c r="BN1230" s="173"/>
      <c r="BO1230" s="173"/>
      <c r="BP1230" s="173"/>
      <c r="BQ1230" s="118"/>
      <c r="BR1230" s="118"/>
      <c r="BS1230" s="118">
        <f>INDEX('Dist. Plant Gas Additions'!$F$7:$AE$91,MATCH($C1230,'Dist. Plant Gas Additions'!$D$7:$D$91,0),MATCH(Calculation!$G1230,'Dist. Plant Gas Additions'!$F$5:$AE$5,0))</f>
        <v>88302</v>
      </c>
      <c r="BT1230" s="118">
        <f>INDEX('Gen. Plant Additions'!$F$7:$AE$91,MATCH($C1230,'Gen. Plant Additions'!$D$7:$D$91,0),MATCH(Calculation!$G1230,'Gen. Plant Additions'!$F$5:$AE$5,0))</f>
        <v>3917</v>
      </c>
      <c r="BU1230" s="118"/>
      <c r="BV1230" s="118"/>
      <c r="BW1230" s="118">
        <f>INDEX('Dist Plant Depreciation'!$E$7:$AD$94,MATCH($C1230,'Dist Plant Depreciation'!$D$7:$D$94,0),MATCH(Calculation!$G1230,'Dist Plant Depreciation'!$E$5:$AD$5,0))</f>
        <v>276400</v>
      </c>
      <c r="BX1230" s="118">
        <f>INDEX('Gen. Plant Depreciation'!$E$7:$AD$94,MATCH($C1230,'Gen. Plant Depreciation'!$D$7:$D$94,0),MATCH(Calculation!$G1230,'Gen. Plant Depreciation'!$E$5:$AD$5,0))</f>
        <v>5380</v>
      </c>
      <c r="BY1230" s="118"/>
      <c r="BZ1230" s="118"/>
      <c r="CA1230" s="118"/>
      <c r="CB1230" s="118"/>
      <c r="CC1230" s="118"/>
      <c r="CD1230" s="183"/>
      <c r="CE1230" s="118">
        <f>INDEX('Gross Dx Plant'!$E$7:$AD$91,MATCH($C1230,'Gross Dx Plant'!$D$7:$D$91,0),MATCH(Calculation!$G1230,'Gross Dx Plant'!$E$5:$AD$5,0))</f>
        <v>855860</v>
      </c>
      <c r="CF1230" s="118">
        <f>INDEX('Gross Gen Plant'!$E$7:$AD$91,MATCH($C1230,'Gross Gen Plant'!$D$7:$D$91,0),MATCH(Calculation!$G1230,'Gross Gen Plant'!$E$5:$AD$5,0))</f>
        <v>27956</v>
      </c>
      <c r="CG1230" s="118">
        <f t="shared" si="3556"/>
        <v>602036</v>
      </c>
      <c r="CH1230" s="118"/>
      <c r="CI1230" s="121">
        <v>2016</v>
      </c>
      <c r="CJ1230" s="118"/>
      <c r="CK1230" s="118"/>
      <c r="CL1230" s="118"/>
      <c r="CM1230" s="183"/>
      <c r="CN1230" s="118">
        <f t="shared" si="3639"/>
        <v>92219</v>
      </c>
      <c r="CO1230" s="118">
        <f t="shared" si="3640"/>
        <v>137.34175568706755</v>
      </c>
      <c r="CP1230" s="186">
        <v>0.88</v>
      </c>
      <c r="CQ1230" s="118">
        <f>+CQ1212*CP1230+CO1213*CP1229+CO1214*CP1228+CO1215*CP1227+CO1216*CP1226+CO1217*CP1225+CO1218*CP1224+CO1219*CP1223+CO1220*CP1222+CO1221*CP1221+CO1222*CP1220+CO1223*CP1219+CO1224*CP1218+CO1225*CP1217+CO1226*CP1216+CO1227*CP1215+CO1228*CP1214+CO1229*CP1213+CO1230</f>
        <v>2236.185878171802</v>
      </c>
      <c r="CR1230" s="119">
        <f t="shared" si="3641"/>
        <v>5.4794931617940766E-2</v>
      </c>
      <c r="CS1230" s="119"/>
      <c r="CT1230" s="177">
        <f t="shared" si="3642"/>
        <v>8.5531862433013903E-3</v>
      </c>
      <c r="CU1230" s="177">
        <f t="shared" si="3651"/>
        <v>8.3156324449553485E-3</v>
      </c>
      <c r="CV1230" s="119">
        <f>VLOOKUP($H1230,RoR!$E:$F,2,FALSE)</f>
        <v>3.6658333333333334E-2</v>
      </c>
      <c r="CW1230" s="177">
        <v>1.0483662879041455E-2</v>
      </c>
      <c r="CX1230" s="177">
        <f t="shared" si="3649"/>
        <v>2.6174670454291879E-2</v>
      </c>
      <c r="CY1230" s="177">
        <f t="shared" si="3652"/>
        <v>2.2586309163578275E-2</v>
      </c>
      <c r="CZ1230" s="177">
        <f t="shared" si="3653"/>
        <v>4.301363574220729E-3</v>
      </c>
      <c r="DA1230" s="187">
        <f t="shared" si="3643"/>
        <v>0.85412500000000002</v>
      </c>
      <c r="DB1230" s="188">
        <f t="shared" si="3644"/>
        <v>1.3989193348138562</v>
      </c>
      <c r="DC1230" s="188">
        <f t="shared" si="3645"/>
        <v>0.29302682427824522</v>
      </c>
      <c r="DD1230" s="188">
        <f t="shared" si="3646"/>
        <v>0.76309497491941802</v>
      </c>
      <c r="DE1230" s="188">
        <f t="shared" si="3647"/>
        <v>0.31280857135128509</v>
      </c>
      <c r="DF1230" s="189">
        <f>INDEX('State Tax Lookup'!$D$7:$Z$91,MATCH(Calculation!$C1230,'State Tax Lookup'!$B$7:$B$91,0),MATCH($H1230,'State Tax Lookup'!$D$6:$Z$6,0))</f>
        <v>0.38900000000000001</v>
      </c>
      <c r="DG1230" s="189">
        <v>0.375</v>
      </c>
      <c r="DH1230" s="190">
        <f t="shared" si="3650"/>
        <v>21.194350484773302</v>
      </c>
      <c r="DI1230" s="190">
        <v>20.801517285964678</v>
      </c>
      <c r="DJ1230" s="177"/>
      <c r="DK1230" s="189">
        <f>VLOOKUP($H1230,RoR!$E:$F,2,FALSE)</f>
        <v>3.6658333333333334E-2</v>
      </c>
      <c r="DL1230" s="191">
        <f>HLOOKUP($H1230,'GDP-PI'!$D$8:$CQ$11,3,FALSE)</f>
        <v>1.0483662879041455E-2</v>
      </c>
      <c r="DM1230" s="189">
        <f>VLOOKUP(H1230,'HW Dx Data'!$E:$F,2,FALSE)</f>
        <v>671.45639385971219</v>
      </c>
      <c r="DN1230" s="183">
        <f>VLOOKUP(H1230,'ECI - Input Price'!$G$17:$H$37,2,FALSE)</f>
        <v>126.4</v>
      </c>
      <c r="DO1230" s="177">
        <f t="shared" ref="DO1230" si="3698">LN(DN1230/DN1229)</f>
        <v>2.11880802639575E-2</v>
      </c>
      <c r="DP1230" s="183">
        <f>HLOOKUP(H1230,'GDP-PI'!$8:$9,2,FALSE)</f>
        <v>105.736</v>
      </c>
      <c r="DQ1230" s="177">
        <f t="shared" ref="DQ1230" si="3699">LN(DP1230/DP1229)</f>
        <v>1.0429090367205095E-2</v>
      </c>
    </row>
    <row r="1231" spans="1:121" s="167" customFormat="1" ht="21" x14ac:dyDescent="0.35">
      <c r="A1231" s="167" t="s">
        <v>115</v>
      </c>
      <c r="B1231" s="167" t="s">
        <v>115</v>
      </c>
      <c r="C1231" s="167">
        <v>4063762</v>
      </c>
      <c r="D1231" s="168" t="s">
        <v>139</v>
      </c>
      <c r="E1231" s="168"/>
      <c r="F1231" s="198"/>
      <c r="G1231" s="167" t="s">
        <v>23</v>
      </c>
      <c r="H1231" s="169">
        <v>2017</v>
      </c>
      <c r="I1231" s="170"/>
      <c r="J1231" s="166">
        <f>IFERROR(INDEX('Labor Expenditures'!$F$7:$X$91,MATCH($C1231,'Labor Expenditures'!$D$7:$D$91,0),MATCH($G1231,'Labor Expenditures'!$F$5:$X$5,0)),"NA")</f>
        <v>19019.263701582451</v>
      </c>
      <c r="K1231" s="166">
        <f t="shared" si="3656"/>
        <v>146.86690117052086</v>
      </c>
      <c r="L1231" s="172">
        <f t="shared" si="3663"/>
        <v>-4.0878335330133846E-2</v>
      </c>
      <c r="M1231" s="172">
        <f t="shared" si="3667"/>
        <v>-3.0903187393235192E-4</v>
      </c>
      <c r="N1231" s="196"/>
      <c r="O1231" s="172"/>
      <c r="P1231" s="166">
        <f>IFERROR(INDEX('Non-Labor Expenditures'!$F$7:$AB$91,MATCH($C1231,'Non-Labor Expenditures'!$D$7:$D$91,0),MATCH($G1231,'Non-Labor Expenditures'!$F$5:$AB$5,0)),"NA")</f>
        <v>27543.446148347204</v>
      </c>
      <c r="Q1231" s="166">
        <f t="shared" si="3657"/>
        <v>255.6212577920131</v>
      </c>
      <c r="R1231" s="172">
        <f t="shared" si="3668"/>
        <v>-3.5526524131043694E-2</v>
      </c>
      <c r="S1231" s="172">
        <f t="shared" si="3673"/>
        <v>-2.6857327329633714E-4</v>
      </c>
      <c r="T1231" s="172"/>
      <c r="U1231" s="172"/>
      <c r="V1231" s="166">
        <f t="shared" si="3637"/>
        <v>43001.001285202816</v>
      </c>
      <c r="W1231" s="170"/>
      <c r="X1231" s="174">
        <v>2296.5945962740243</v>
      </c>
      <c r="Y1231" s="175">
        <v>2.6655733822386767E-2</v>
      </c>
      <c r="Z1231" s="175">
        <f t="shared" si="3674"/>
        <v>2.0151190863444549E-4</v>
      </c>
      <c r="AA1231" s="175"/>
      <c r="AB1231" s="175"/>
      <c r="AC1231" s="170">
        <f t="shared" si="3648"/>
        <v>89563.711135132471</v>
      </c>
      <c r="AD1231" s="175">
        <f t="shared" si="3669"/>
        <v>-2.913804833649471E-2</v>
      </c>
      <c r="AE1231" s="170"/>
      <c r="AF1231" s="170"/>
      <c r="AG1231" s="121">
        <f t="shared" si="3670"/>
        <v>302.51674019338003</v>
      </c>
      <c r="AH1231" s="119">
        <f>+AZ1231/$BB$55</f>
        <v>7.8863106572585485E-3</v>
      </c>
      <c r="AI1231" s="119"/>
      <c r="AJ1231" s="176">
        <f t="shared" si="3675"/>
        <v>2.3857409921861685</v>
      </c>
      <c r="AK1231" s="176">
        <f t="shared" si="3676"/>
        <v>0</v>
      </c>
      <c r="AL1231" s="120">
        <f t="shared" si="3658"/>
        <v>0.21235457375014813</v>
      </c>
      <c r="AM1231" s="120">
        <f t="shared" si="3659"/>
        <v>0.30752908515358457</v>
      </c>
      <c r="AN1231" s="120">
        <f t="shared" si="3660"/>
        <v>0.48011634109626733</v>
      </c>
      <c r="AO1231" s="120">
        <f t="shared" si="3664"/>
        <v>-6.600619081347155E-3</v>
      </c>
      <c r="AP1231" s="173">
        <f t="shared" si="3680"/>
        <v>106.90660214012648</v>
      </c>
      <c r="AQ1231" s="175">
        <f t="shared" si="3681"/>
        <v>-6.6006190813471654E-3</v>
      </c>
      <c r="AR1231" s="177">
        <f>+AC1231/$AE$55</f>
        <v>7.5597959514889096E-3</v>
      </c>
      <c r="AS1231" s="177">
        <f t="shared" si="3677"/>
        <v>-4.9899333408488749E-5</v>
      </c>
      <c r="AT1231" s="177"/>
      <c r="AU1231" s="177"/>
      <c r="AV1231" s="177"/>
      <c r="AW1231" s="190"/>
      <c r="AX1231" s="120"/>
      <c r="AY1231" s="120"/>
      <c r="AZ1231" s="118">
        <f>IFERROR(INDEX('Total Customers'!$F$7:$AB$91,MATCH($C1231,'Total Customers'!$D$7:$D$91,0),MATCH($G1231,'Total Customers'!$F$5:$AB$5,0)),"NA")</f>
        <v>296062</v>
      </c>
      <c r="BA1231" s="119">
        <f t="shared" si="3638"/>
        <v>9.6695844847614013E-3</v>
      </c>
      <c r="BB1231" s="119"/>
      <c r="BC1231" s="121"/>
      <c r="BD1231" s="119"/>
      <c r="BE1231" s="119"/>
      <c r="BF1231" s="119"/>
      <c r="BG1231" s="173"/>
      <c r="BH1231" s="173"/>
      <c r="BI1231" s="173"/>
      <c r="BJ1231" s="173"/>
      <c r="BK1231" s="173"/>
      <c r="BL1231" s="173"/>
      <c r="BM1231" s="173"/>
      <c r="BN1231" s="173"/>
      <c r="BO1231" s="173"/>
      <c r="BP1231" s="173"/>
      <c r="BQ1231" s="118"/>
      <c r="BR1231" s="118"/>
      <c r="BS1231" s="118">
        <f>INDEX('Dist. Plant Gas Additions'!$F$7:$AE$91,MATCH($C1231,'Dist. Plant Gas Additions'!$D$7:$D$91,0),MATCH(Calculation!$G1231,'Dist. Plant Gas Additions'!$F$5:$AE$5,0))</f>
        <v>53367</v>
      </c>
      <c r="BT1231" s="118">
        <f>INDEX('Gen. Plant Additions'!$F$7:$AE$91,MATCH($C1231,'Gen. Plant Additions'!$D$7:$D$91,0),MATCH(Calculation!$G1231,'Gen. Plant Additions'!$F$5:$AE$5,0))</f>
        <v>3557</v>
      </c>
      <c r="BU1231" s="118"/>
      <c r="BV1231" s="118"/>
      <c r="BW1231" s="118">
        <f>INDEX('Dist Plant Depreciation'!$E$7:$AD$94,MATCH($C1231,'Dist Plant Depreciation'!$D$7:$D$94,0),MATCH(Calculation!$G1231,'Dist Plant Depreciation'!$E$5:$AD$5,0))</f>
        <v>293293</v>
      </c>
      <c r="BX1231" s="118">
        <f>INDEX('Gen. Plant Depreciation'!$E$7:$AD$94,MATCH($C1231,'Gen. Plant Depreciation'!$D$7:$D$94,0),MATCH(Calculation!$G1231,'Gen. Plant Depreciation'!$E$5:$AD$5,0))</f>
        <v>7617</v>
      </c>
      <c r="BY1231" s="118"/>
      <c r="BZ1231" s="118"/>
      <c r="CA1231" s="118"/>
      <c r="CB1231" s="118"/>
      <c r="CC1231" s="118"/>
      <c r="CD1231" s="183"/>
      <c r="CE1231" s="118">
        <f>INDEX('Gross Dx Plant'!$E$7:$AD$91,MATCH($C1231,'Gross Dx Plant'!$D$7:$D$91,0),MATCH(Calculation!$G1231,'Gross Dx Plant'!$E$5:$AD$5,0))</f>
        <v>899989</v>
      </c>
      <c r="CF1231" s="118">
        <f>INDEX('Gross Gen Plant'!$E$7:$AD$91,MATCH($C1231,'Gross Gen Plant'!$D$7:$D$91,0),MATCH(Calculation!$G1231,'Gross Gen Plant'!$E$5:$AD$5,0))</f>
        <v>38572</v>
      </c>
      <c r="CG1231" s="118">
        <f t="shared" si="3556"/>
        <v>637651</v>
      </c>
      <c r="CH1231" s="118"/>
      <c r="CI1231" s="121">
        <v>2017</v>
      </c>
      <c r="CJ1231" s="118"/>
      <c r="CK1231" s="118"/>
      <c r="CL1231" s="118"/>
      <c r="CM1231" s="183"/>
      <c r="CN1231" s="118">
        <f t="shared" si="3639"/>
        <v>56924</v>
      </c>
      <c r="CO1231" s="118">
        <f t="shared" si="3640"/>
        <v>79.901342116540974</v>
      </c>
      <c r="CP1231" s="186">
        <v>0.87074829931972786</v>
      </c>
      <c r="CQ1231" s="118">
        <f>+CQ1212*CP1231+CO1213*CP1230+CO1214*CP1229+CO1215*CP1228+CO1216*CP1227+CO1217*CP1226+CO1218*CP1225+CO1219*CP1224+CO1220*CP1223+CO1221*CP1222+CO1222*CP1221+CO1223*CP1220+CO1224*CP1219+CO1225*CP1218+CO1226*CP1217+CO1227*CP1216+CO1228*CP1215+CO1229*CP1214+CO1230*CP1213+CO1231</f>
        <v>2296.5945962740243</v>
      </c>
      <c r="CR1231" s="119">
        <f t="shared" si="3641"/>
        <v>2.6655733822386767E-2</v>
      </c>
      <c r="CS1231" s="119"/>
      <c r="CT1231" s="177">
        <f t="shared" si="3642"/>
        <v>8.7169068567121387E-3</v>
      </c>
      <c r="CU1231" s="177">
        <f t="shared" si="3651"/>
        <v>8.5238796984128187E-3</v>
      </c>
      <c r="CV1231" s="119">
        <f>VLOOKUP($H1231,RoR!$E:$F,2,FALSE)</f>
        <v>3.7433333333333339E-2</v>
      </c>
      <c r="CW1231" s="177">
        <v>1.9056896421275615E-2</v>
      </c>
      <c r="CX1231" s="177">
        <f t="shared" si="3649"/>
        <v>1.8376436912057724E-2</v>
      </c>
      <c r="CY1231" s="177">
        <f t="shared" si="3652"/>
        <v>2.2378061910120806E-2</v>
      </c>
      <c r="CZ1231" s="177">
        <f t="shared" si="3653"/>
        <v>1.3976271617800498E-2</v>
      </c>
      <c r="DA1231" s="187">
        <f t="shared" si="3643"/>
        <v>0.90662500000000001</v>
      </c>
      <c r="DB1231" s="188">
        <f t="shared" si="3644"/>
        <v>1.3699568463593395</v>
      </c>
      <c r="DC1231" s="188">
        <f t="shared" si="3645"/>
        <v>0.30714603739982199</v>
      </c>
      <c r="DD1231" s="188">
        <f t="shared" si="3646"/>
        <v>0.77007188472689425</v>
      </c>
      <c r="DE1231" s="188">
        <f t="shared" si="3647"/>
        <v>0.32402839633793828</v>
      </c>
      <c r="DF1231" s="189">
        <f>INDEX('State Tax Lookup'!$D$7:$Z$91,MATCH(Calculation!$C1231,'State Tax Lookup'!$B$7:$B$91,0),MATCH($H1231,'State Tax Lookup'!$D$6:$Z$6,0))</f>
        <v>0.249</v>
      </c>
      <c r="DG1231" s="189">
        <v>0.375</v>
      </c>
      <c r="DH1231" s="190">
        <f t="shared" si="3650"/>
        <v>19.229618478924642</v>
      </c>
      <c r="DI1231" s="190">
        <v>18.943726058018548</v>
      </c>
      <c r="DJ1231" s="177"/>
      <c r="DK1231" s="189">
        <f>VLOOKUP($H1231,RoR!$E:$F,2,FALSE)</f>
        <v>3.7433333333333339E-2</v>
      </c>
      <c r="DL1231" s="191">
        <f>HLOOKUP($H1231,'GDP-PI'!$D$8:$CQ$11,3,FALSE)</f>
        <v>1.9056896421275615E-2</v>
      </c>
      <c r="DM1231" s="189">
        <f>VLOOKUP(H1231,'HW Dx Data'!$E:$F,2,FALSE)</f>
        <v>712.42858370229726</v>
      </c>
      <c r="DN1231" s="183">
        <f>VLOOKUP(H1231,'ECI - Input Price'!$G$17:$H$37,2,FALSE)</f>
        <v>129.5</v>
      </c>
      <c r="DO1231" s="177">
        <f t="shared" ref="DO1231" si="3700">LN(DN1231/DN1230)</f>
        <v>2.4229399426835413E-2</v>
      </c>
      <c r="DP1231" s="183">
        <f>HLOOKUP(H1231,'GDP-PI'!$8:$9,2,FALSE)</f>
        <v>107.751</v>
      </c>
      <c r="DQ1231" s="177">
        <f t="shared" ref="DQ1231" si="3701">LN(DP1231/DP1230)</f>
        <v>1.8877588227745139E-2</v>
      </c>
    </row>
    <row r="1232" spans="1:121" s="167" customFormat="1" ht="21" x14ac:dyDescent="0.35">
      <c r="A1232" s="167" t="s">
        <v>115</v>
      </c>
      <c r="B1232" s="167" t="s">
        <v>115</v>
      </c>
      <c r="C1232" s="167">
        <v>4063762</v>
      </c>
      <c r="D1232" s="168" t="s">
        <v>139</v>
      </c>
      <c r="E1232" s="168"/>
      <c r="F1232" s="198"/>
      <c r="G1232" s="167" t="s">
        <v>24</v>
      </c>
      <c r="H1232" s="169">
        <v>2018</v>
      </c>
      <c r="I1232" s="170"/>
      <c r="J1232" s="166">
        <f>IFERROR(INDEX('Labor Expenditures'!$F$7:$X$91,MATCH($C1232,'Labor Expenditures'!$D$7:$D$91,0),MATCH($G1232,'Labor Expenditures'!$F$5:$X$5,0)),"NA")</f>
        <v>20728.936278382709</v>
      </c>
      <c r="K1232" s="166">
        <f t="shared" si="3656"/>
        <v>155.56424974396029</v>
      </c>
      <c r="L1232" s="172">
        <f t="shared" si="3663"/>
        <v>5.753208550501044E-2</v>
      </c>
      <c r="M1232" s="172">
        <f t="shared" si="3667"/>
        <v>4.332524263136914E-4</v>
      </c>
      <c r="N1232" s="196"/>
      <c r="O1232" s="172"/>
      <c r="P1232" s="166">
        <f>IFERROR(INDEX('Non-Labor Expenditures'!$F$7:$AB$91,MATCH($C1232,'Non-Labor Expenditures'!$D$7:$D$91,0),MATCH($G1232,'Non-Labor Expenditures'!$F$5:$AB$5,0)),"NA")</f>
        <v>30019.3713623441</v>
      </c>
      <c r="Q1232" s="166">
        <f t="shared" si="3657"/>
        <v>272.10684507481824</v>
      </c>
      <c r="R1232" s="172">
        <f t="shared" si="3668"/>
        <v>6.249791469486328E-2</v>
      </c>
      <c r="S1232" s="172">
        <f t="shared" si="3673"/>
        <v>4.7064821209614365E-4</v>
      </c>
      <c r="T1232" s="172"/>
      <c r="U1232" s="172"/>
      <c r="V1232" s="166">
        <f t="shared" si="3637"/>
        <v>46261.794724475352</v>
      </c>
      <c r="W1232" s="170"/>
      <c r="X1232" s="174">
        <v>2342.9692941741205</v>
      </c>
      <c r="Y1232" s="175">
        <v>1.9991638660825425E-2</v>
      </c>
      <c r="Z1232" s="175">
        <f t="shared" si="3674"/>
        <v>1.5054948694732948E-4</v>
      </c>
      <c r="AA1232" s="175"/>
      <c r="AB1232" s="175"/>
      <c r="AC1232" s="170">
        <f t="shared" si="3648"/>
        <v>97010.102365202154</v>
      </c>
      <c r="AD1232" s="175">
        <f t="shared" si="3669"/>
        <v>7.9864892885429598E-2</v>
      </c>
      <c r="AE1232" s="170"/>
      <c r="AF1232" s="170"/>
      <c r="AG1232" s="121">
        <f t="shared" si="3670"/>
        <v>325.53725625906765</v>
      </c>
      <c r="AH1232" s="119">
        <f>+AZ1232/$BB$56</f>
        <v>7.8689828093356558E-3</v>
      </c>
      <c r="AI1232" s="119"/>
      <c r="AJ1232" s="176">
        <f t="shared" si="3675"/>
        <v>2.5616470733008994</v>
      </c>
      <c r="AK1232" s="176">
        <f t="shared" si="3676"/>
        <v>0</v>
      </c>
      <c r="AL1232" s="120">
        <f t="shared" si="3658"/>
        <v>0.21367811983484977</v>
      </c>
      <c r="AM1232" s="120">
        <f t="shared" si="3659"/>
        <v>0.30944582708854196</v>
      </c>
      <c r="AN1232" s="120">
        <f t="shared" si="3660"/>
        <v>0.47687605307660835</v>
      </c>
      <c r="AO1232" s="120">
        <f t="shared" si="3664"/>
        <v>4.1101020467451767E-2</v>
      </c>
      <c r="AP1232" s="173">
        <f t="shared" si="3680"/>
        <v>111.3921208521559</v>
      </c>
      <c r="AQ1232" s="175">
        <f t="shared" si="3681"/>
        <v>4.1101020467451753E-2</v>
      </c>
      <c r="AR1232" s="177">
        <f>+AC1232/$AE$56</f>
        <v>7.5306226518758769E-3</v>
      </c>
      <c r="AS1232" s="177">
        <f t="shared" si="3677"/>
        <v>3.0951627574740621E-4</v>
      </c>
      <c r="AT1232" s="177"/>
      <c r="AU1232" s="177"/>
      <c r="AV1232" s="177"/>
      <c r="AW1232" s="190"/>
      <c r="AX1232" s="120"/>
      <c r="AY1232" s="120"/>
      <c r="AZ1232" s="118">
        <f>IFERROR(INDEX('Total Customers'!$F$7:$AB$91,MATCH($C1232,'Total Customers'!$D$7:$D$91,0),MATCH($G1232,'Total Customers'!$F$5:$AB$5,0)),"NA")</f>
        <v>298000</v>
      </c>
      <c r="BA1232" s="119">
        <f t="shared" si="3638"/>
        <v>6.5245946554544016E-3</v>
      </c>
      <c r="BB1232" s="119"/>
      <c r="BC1232" s="121"/>
      <c r="BD1232" s="119"/>
      <c r="BE1232" s="119"/>
      <c r="BF1232" s="119"/>
      <c r="BG1232" s="173"/>
      <c r="BH1232" s="173"/>
      <c r="BI1232" s="173"/>
      <c r="BJ1232" s="173"/>
      <c r="BK1232" s="173"/>
      <c r="BL1232" s="173"/>
      <c r="BM1232" s="173"/>
      <c r="BN1232" s="173"/>
      <c r="BO1232" s="173"/>
      <c r="BP1232" s="173"/>
      <c r="BQ1232" s="118"/>
      <c r="BR1232" s="118"/>
      <c r="BS1232" s="118">
        <f>INDEX('Dist. Plant Gas Additions'!$F$7:$AE$91,MATCH($C1232,'Dist. Plant Gas Additions'!$D$7:$D$91,0),MATCH(Calculation!$G1232,'Dist. Plant Gas Additions'!$F$5:$AE$5,0))</f>
        <v>46120</v>
      </c>
      <c r="BT1232" s="118">
        <f>INDEX('Gen. Plant Additions'!$F$7:$AE$91,MATCH($C1232,'Gen. Plant Additions'!$D$7:$D$91,0),MATCH(Calculation!$G1232,'Gen. Plant Additions'!$F$5:$AE$5,0))</f>
        <v>4497</v>
      </c>
      <c r="BU1232" s="118"/>
      <c r="BV1232" s="118"/>
      <c r="BW1232" s="118">
        <f>INDEX('Dist Plant Depreciation'!$E$7:$AD$94,MATCH($C1232,'Dist Plant Depreciation'!$D$7:$D$94,0),MATCH(Calculation!$G1232,'Dist Plant Depreciation'!$E$5:$AD$5,0))</f>
        <v>305830</v>
      </c>
      <c r="BX1232" s="118">
        <f>INDEX('Gen. Plant Depreciation'!$E$7:$AD$94,MATCH($C1232,'Gen. Plant Depreciation'!$D$7:$D$94,0),MATCH(Calculation!$G1232,'Gen. Plant Depreciation'!$E$5:$AD$5,0))</f>
        <v>9476</v>
      </c>
      <c r="BY1232" s="118"/>
      <c r="BZ1232" s="118"/>
      <c r="CA1232" s="118"/>
      <c r="CB1232" s="118"/>
      <c r="CC1232" s="118"/>
      <c r="CD1232" s="183"/>
      <c r="CE1232" s="118">
        <f>INDEX('Gross Dx Plant'!$E$7:$AD$91,MATCH($C1232,'Gross Dx Plant'!$D$7:$D$91,0),MATCH(Calculation!$G1232,'Gross Dx Plant'!$E$5:$AD$5,0))</f>
        <v>939004</v>
      </c>
      <c r="CF1232" s="118">
        <f>INDEX('Gross Gen Plant'!$E$7:$AD$91,MATCH($C1232,'Gross Gen Plant'!$D$7:$D$91,0),MATCH(Calculation!$G1232,'Gross Gen Plant'!$E$5:$AD$5,0))</f>
        <v>42417</v>
      </c>
      <c r="CG1232" s="118">
        <f t="shared" si="3556"/>
        <v>666115</v>
      </c>
      <c r="CH1232" s="118"/>
      <c r="CI1232" s="121">
        <v>2018</v>
      </c>
      <c r="CJ1232" s="118"/>
      <c r="CK1232" s="118"/>
      <c r="CL1232" s="118"/>
      <c r="CM1232" s="183"/>
      <c r="CN1232" s="118">
        <f t="shared" si="3639"/>
        <v>50617</v>
      </c>
      <c r="CO1232" s="118">
        <f t="shared" si="3640"/>
        <v>67.030246362902332</v>
      </c>
      <c r="CP1232" s="186">
        <v>0.86111111111111116</v>
      </c>
      <c r="CQ1232" s="118">
        <f>+CQ1212*CP1232++CO1213*CP1231+CO1214*CP1230+CO1215*CP1229+CO1216*CP1228+CO1217*CP1227+CO1218*CP1226+CO1219*CP1225+CO1220*CP1224+CO1221*CP1223+CO1222*CP1222+CO1223*CP1221+CO1224*CP1220+CO1225*CP1219+CO1226*CP1218+CO1227*CP1217+CO1228*CP1216+CO1229*CP1215+CO1230*CP1214+CO1231*CP1213+CO1232</f>
        <v>2342.9692941741205</v>
      </c>
      <c r="CR1232" s="119">
        <f t="shared" si="3641"/>
        <v>1.9991638660825425E-2</v>
      </c>
      <c r="CS1232" s="119"/>
      <c r="CT1232" s="177">
        <f t="shared" si="3642"/>
        <v>8.9939898388324783E-3</v>
      </c>
      <c r="CU1232" s="177">
        <f t="shared" si="3651"/>
        <v>8.7546943129486691E-3</v>
      </c>
      <c r="CV1232" s="119">
        <f>VLOOKUP($H1232,RoR!$E:$F,2,FALSE)</f>
        <v>3.9299999999999995E-2</v>
      </c>
      <c r="CW1232" s="177">
        <v>2.386056741932796E-2</v>
      </c>
      <c r="CX1232" s="177">
        <f t="shared" si="3649"/>
        <v>1.5439432580672034E-2</v>
      </c>
      <c r="CY1232" s="177">
        <f t="shared" si="3652"/>
        <v>2.2147247295584954E-2</v>
      </c>
      <c r="CZ1232" s="177">
        <f t="shared" si="3653"/>
        <v>3.8270792163076606E-2</v>
      </c>
      <c r="DA1232" s="187">
        <f t="shared" si="3643"/>
        <v>0.90662500000000001</v>
      </c>
      <c r="DB1232" s="188">
        <f t="shared" si="3644"/>
        <v>1.3048868010700074</v>
      </c>
      <c r="DC1232" s="188">
        <f t="shared" si="3645"/>
        <v>0.33886768447837151</v>
      </c>
      <c r="DD1232" s="188">
        <f t="shared" si="3646"/>
        <v>0.78602506232557801</v>
      </c>
      <c r="DE1232" s="188">
        <f t="shared" si="3647"/>
        <v>0.34756768162358759</v>
      </c>
      <c r="DF1232" s="189">
        <f>INDEX('State Tax Lookup'!$D$7:$Z$91,MATCH(Calculation!$C1232,'State Tax Lookup'!$B$7:$B$91,0),MATCH($H1232,'State Tax Lookup'!$D$6:$Z$6,0))</f>
        <v>0.249</v>
      </c>
      <c r="DG1232" s="189">
        <v>0.375</v>
      </c>
      <c r="DH1232" s="190">
        <f t="shared" si="3650"/>
        <v>20.143648687291218</v>
      </c>
      <c r="DI1232" s="190">
        <v>19.815509985415343</v>
      </c>
      <c r="DJ1232" s="177"/>
      <c r="DK1232" s="189">
        <f>VLOOKUP($H1232,RoR!$E:$F,2,FALSE)</f>
        <v>3.9299999999999995E-2</v>
      </c>
      <c r="DL1232" s="191">
        <f>HLOOKUP($H1232,'GDP-PI'!$D$8:$CQ$11,3,FALSE)</f>
        <v>2.386056741932796E-2</v>
      </c>
      <c r="DM1232" s="189">
        <f>VLOOKUP(H1232,'HW Dx Data'!$E:$F,2,FALSE)</f>
        <v>755.13671434174842</v>
      </c>
      <c r="DN1232" s="183">
        <f>VLOOKUP(H1232,'ECI - Input Price'!$G$17:$H$37,2,FALSE)</f>
        <v>133.25</v>
      </c>
      <c r="DO1232" s="177">
        <f t="shared" ref="DO1232" si="3702">LN(DN1232/DN1231)</f>
        <v>2.8546181906361531E-2</v>
      </c>
      <c r="DP1232" s="183">
        <f>HLOOKUP(H1232,'GDP-PI'!$8:$9,2,FALSE)</f>
        <v>110.322</v>
      </c>
      <c r="DQ1232" s="177">
        <f t="shared" ref="DQ1232" si="3703">LN(DP1232/DP1231)</f>
        <v>2.3580352716508712E-2</v>
      </c>
    </row>
    <row r="1233" spans="1:121" s="167" customFormat="1" ht="21" x14ac:dyDescent="0.35">
      <c r="A1233" s="167" t="s">
        <v>115</v>
      </c>
      <c r="B1233" s="167" t="s">
        <v>115</v>
      </c>
      <c r="C1233" s="167">
        <v>4063762</v>
      </c>
      <c r="D1233" s="168" t="s">
        <v>139</v>
      </c>
      <c r="E1233" s="168"/>
      <c r="F1233" s="198"/>
      <c r="G1233" s="167" t="s">
        <v>25</v>
      </c>
      <c r="H1233" s="169">
        <v>2019</v>
      </c>
      <c r="I1233" s="170"/>
      <c r="J1233" s="166">
        <f>IFERROR(INDEX('Labor Expenditures'!$F$7:$X$91,MATCH($C1233,'Labor Expenditures'!$D$7:$D$91,0),MATCH($G1233,'Labor Expenditures'!$F$5:$X$5,0)),"NA")</f>
        <v>20255.566574890752</v>
      </c>
      <c r="K1233" s="166">
        <f t="shared" si="3656"/>
        <v>148.0129088409993</v>
      </c>
      <c r="L1233" s="172">
        <f t="shared" si="3663"/>
        <v>-4.9759336057298008E-2</v>
      </c>
      <c r="M1233" s="172">
        <f t="shared" si="3667"/>
        <v>-3.6464855271879816E-4</v>
      </c>
      <c r="N1233" s="196"/>
      <c r="O1233" s="172"/>
      <c r="P1233" s="166">
        <f>IFERROR(INDEX('Non-Labor Expenditures'!$F$7:$AB$91,MATCH($C1233,'Non-Labor Expenditures'!$D$7:$D$91,0),MATCH($G1233,'Non-Labor Expenditures'!$F$5:$AB$5,0)),"NA")</f>
        <v>29333.843618422823</v>
      </c>
      <c r="Q1233" s="166">
        <f t="shared" si="3657"/>
        <v>261.16778805198476</v>
      </c>
      <c r="R1233" s="172">
        <f t="shared" si="3668"/>
        <v>-4.1031735067965404E-2</v>
      </c>
      <c r="S1233" s="172">
        <f t="shared" si="3673"/>
        <v>-3.0069056369332926E-4</v>
      </c>
      <c r="T1233" s="172"/>
      <c r="U1233" s="172"/>
      <c r="V1233" s="166">
        <f t="shared" si="3637"/>
        <v>47768.048135923986</v>
      </c>
      <c r="W1233" s="170"/>
      <c r="X1233" s="174">
        <v>2438.9861910906848</v>
      </c>
      <c r="Y1233" s="175">
        <v>4.0163403414622559E-2</v>
      </c>
      <c r="Z1233" s="175">
        <f t="shared" si="3674"/>
        <v>2.9432721752032601E-4</v>
      </c>
      <c r="AA1233" s="175"/>
      <c r="AB1233" s="175"/>
      <c r="AC1233" s="170">
        <f t="shared" si="3648"/>
        <v>97357.458329237561</v>
      </c>
      <c r="AD1233" s="175">
        <f t="shared" si="3669"/>
        <v>3.5742212598165097E-3</v>
      </c>
      <c r="AE1233" s="170"/>
      <c r="AF1233" s="170"/>
      <c r="AG1233" s="121">
        <f t="shared" si="3670"/>
        <v>323.85232776346976</v>
      </c>
      <c r="AH1233" s="119">
        <f>+AZ1233/$BB$57</f>
        <v>7.873300783068974E-3</v>
      </c>
      <c r="AI1233" s="119"/>
      <c r="AJ1233" s="176">
        <f t="shared" si="3675"/>
        <v>2.5497867857788363</v>
      </c>
      <c r="AK1233" s="176">
        <f t="shared" si="3676"/>
        <v>0</v>
      </c>
      <c r="AL1233" s="120">
        <f t="shared" si="3658"/>
        <v>0.20805356798029487</v>
      </c>
      <c r="AM1233" s="120">
        <f t="shared" si="3659"/>
        <v>0.3013004254817685</v>
      </c>
      <c r="AN1233" s="120">
        <f t="shared" si="3660"/>
        <v>0.49064600653793661</v>
      </c>
      <c r="AO1233" s="120">
        <f t="shared" si="3664"/>
        <v>-3.5930442081887372E-3</v>
      </c>
      <c r="AP1233" s="173">
        <f t="shared" si="3680"/>
        <v>110.99260221137364</v>
      </c>
      <c r="AQ1233" s="175">
        <f t="shared" si="3681"/>
        <v>-3.5930442081886942E-3</v>
      </c>
      <c r="AR1233" s="177">
        <f>+AC1233/$AE$57</f>
        <v>7.3282439359501177E-3</v>
      </c>
      <c r="AS1233" s="177">
        <f t="shared" si="3677"/>
        <v>-2.6330704430259492E-5</v>
      </c>
      <c r="AT1233" s="177"/>
      <c r="AU1233" s="177"/>
      <c r="AV1233" s="177"/>
      <c r="AW1233" s="190"/>
      <c r="AX1233" s="120"/>
      <c r="AY1233" s="120"/>
      <c r="AZ1233" s="118">
        <f>IFERROR(INDEX('Total Customers'!$F$7:$AB$91,MATCH($C1233,'Total Customers'!$D$7:$D$91,0),MATCH($G1233,'Total Customers'!$F$5:$AB$5,0)),"NA")</f>
        <v>300623</v>
      </c>
      <c r="BA1233" s="119">
        <f t="shared" si="3638"/>
        <v>8.7635015258383936E-3</v>
      </c>
      <c r="BB1233" s="119"/>
      <c r="BC1233" s="121"/>
      <c r="BD1233" s="119"/>
      <c r="BE1233" s="119"/>
      <c r="BF1233" s="119"/>
      <c r="BG1233" s="173"/>
      <c r="BH1233" s="173"/>
      <c r="BI1233" s="173"/>
      <c r="BJ1233" s="173"/>
      <c r="BK1233" s="173"/>
      <c r="BL1233" s="173"/>
      <c r="BM1233" s="173"/>
      <c r="BN1233" s="173"/>
      <c r="BO1233" s="173"/>
      <c r="BP1233" s="173"/>
      <c r="BQ1233" s="118"/>
      <c r="BR1233" s="118"/>
      <c r="BS1233" s="118">
        <f>INDEX('Dist. Plant Gas Additions'!$F$7:$AE$91,MATCH($C1233,'Dist. Plant Gas Additions'!$D$7:$D$91,0),MATCH(Calculation!$G1233,'Dist. Plant Gas Additions'!$F$5:$AE$5,0))</f>
        <v>83667</v>
      </c>
      <c r="BT1233" s="118">
        <f>INDEX('Gen. Plant Additions'!$F$7:$AE$91,MATCH($C1233,'Gen. Plant Additions'!$D$7:$D$91,0),MATCH(Calculation!$G1233,'Gen. Plant Additions'!$F$5:$AE$5,0))</f>
        <v>7479</v>
      </c>
      <c r="BU1233" s="118"/>
      <c r="BV1233" s="118"/>
      <c r="BW1233" s="118">
        <f>INDEX('Dist Plant Depreciation'!$E$7:$AD$94,MATCH($C1233,'Dist Plant Depreciation'!$D$7:$D$94,0),MATCH(Calculation!$G1233,'Dist Plant Depreciation'!$E$5:$AD$5,0))</f>
        <v>326945</v>
      </c>
      <c r="BX1233" s="118">
        <f>INDEX('Gen. Plant Depreciation'!$E$7:$AD$94,MATCH($C1233,'Gen. Plant Depreciation'!$D$7:$D$94,0),MATCH(Calculation!$G1233,'Gen. Plant Depreciation'!$E$5:$AD$5,0))</f>
        <v>10445</v>
      </c>
      <c r="BY1233" s="118"/>
      <c r="BZ1233" s="118"/>
      <c r="CA1233" s="118"/>
      <c r="CB1233" s="118"/>
      <c r="CC1233" s="118"/>
      <c r="CD1233" s="183"/>
      <c r="CE1233" s="118">
        <f>INDEX('Gross Dx Plant'!$E$7:$AD$91,MATCH($C1233,'Gross Dx Plant'!$D$7:$D$91,0),MATCH(Calculation!$G1233,'Gross Dx Plant'!$E$5:$AD$5,0))</f>
        <v>1024854</v>
      </c>
      <c r="CF1233" s="118">
        <f>INDEX('Gross Gen Plant'!$E$7:$AD$91,MATCH($C1233,'Gross Gen Plant'!$D$7:$D$91,0),MATCH(Calculation!$G1233,'Gross Gen Plant'!$E$5:$AD$5,0))</f>
        <v>47953</v>
      </c>
      <c r="CG1233" s="118">
        <f t="shared" si="3556"/>
        <v>735417</v>
      </c>
      <c r="CH1233" s="118"/>
      <c r="CI1233" s="121">
        <v>2019</v>
      </c>
      <c r="CJ1233" s="118"/>
      <c r="CK1233" s="118"/>
      <c r="CL1233" s="118"/>
      <c r="CM1233" s="183"/>
      <c r="CN1233" s="118">
        <f t="shared" si="3639"/>
        <v>91146</v>
      </c>
      <c r="CO1233" s="118">
        <f t="shared" si="3640"/>
        <v>117.82982486190636</v>
      </c>
      <c r="CP1233" s="186">
        <v>0.85106382978723405</v>
      </c>
      <c r="CQ1233" s="118">
        <f>CQ1212*CP1233+CO1213*CP1232+CO1214*CP1231+CO1215*CP1230+CO1216*CP1229+CO1217*CP1228+CO1218*CP1227+CO1219*CP1226+CO1220*CP1225+CO1221*CP1224+CO1222*CP1223+CO1223*CP1222+CO1224*CP1221+CO1225*CP1220+CO1226*CP1219+CO1227*CP1218+CO1228*CP1217+CO1229*CP1216+CO1230*CP1215+CO1231*CP1214+CO1232*CP1213+CO1233</f>
        <v>2438.9861910906848</v>
      </c>
      <c r="CR1233" s="119">
        <f t="shared" si="3641"/>
        <v>4.0163403414622559E-2</v>
      </c>
      <c r="CS1233" s="119"/>
      <c r="CT1233" s="177">
        <f t="shared" si="3642"/>
        <v>9.3099504118900403E-3</v>
      </c>
      <c r="CU1233" s="177">
        <f t="shared" si="3651"/>
        <v>9.0069490358115518E-3</v>
      </c>
      <c r="CV1233" s="119">
        <f>VLOOKUP($H1233,RoR!$E:$F,2,FALSE)</f>
        <v>3.3875000000000009E-2</v>
      </c>
      <c r="CW1233" s="177">
        <v>1.8092492884465461E-2</v>
      </c>
      <c r="CX1233" s="177">
        <f t="shared" si="3649"/>
        <v>1.5782507115534548E-2</v>
      </c>
      <c r="CY1233" s="177">
        <f t="shared" si="3652"/>
        <v>2.1894992572722073E-2</v>
      </c>
      <c r="CZ1233" s="177">
        <f t="shared" si="3653"/>
        <v>4.8445665544254078E-2</v>
      </c>
      <c r="DA1233" s="187">
        <f t="shared" si="3643"/>
        <v>0.90662500000000001</v>
      </c>
      <c r="DB1233" s="188">
        <f t="shared" si="3644"/>
        <v>1.513861292459078</v>
      </c>
      <c r="DC1233" s="188">
        <f t="shared" si="3645"/>
        <v>0.23699261992619944</v>
      </c>
      <c r="DD1233" s="188">
        <f t="shared" si="3646"/>
        <v>0.73619765810468829</v>
      </c>
      <c r="DE1233" s="188">
        <f t="shared" si="3647"/>
        <v>0.26412854465362851</v>
      </c>
      <c r="DF1233" s="189">
        <f>INDEX('State Tax Lookup'!$D$7:$Z$91,MATCH(Calculation!$C1233,'State Tax Lookup'!$B$7:$B$91,0),MATCH($H1233,'State Tax Lookup'!$D$6:$Z$6,0))</f>
        <v>0.249</v>
      </c>
      <c r="DG1233" s="189">
        <v>0.375</v>
      </c>
      <c r="DH1233" s="190">
        <f t="shared" si="3650"/>
        <v>20.387825079355927</v>
      </c>
      <c r="DI1233" s="190">
        <v>20.003865039698162</v>
      </c>
      <c r="DJ1233" s="177"/>
      <c r="DK1233" s="189">
        <f>VLOOKUP($H1233,RoR!$E:$F,2,FALSE)</f>
        <v>3.3875000000000009E-2</v>
      </c>
      <c r="DL1233" s="191">
        <f>HLOOKUP($H1233,'GDP-PI'!$D$8:$CQ$11,3,FALSE)</f>
        <v>1.8092492884465461E-2</v>
      </c>
      <c r="DM1233" s="189">
        <f>VLOOKUP(H1233,'HW Dx Data'!$E:$F,2,FALSE)</f>
        <v>773.53929793938721</v>
      </c>
      <c r="DN1233" s="183">
        <f>VLOOKUP(H1233,'ECI - Input Price'!$G$17:$H$37,2,FALSE)</f>
        <v>136.85</v>
      </c>
      <c r="DO1233" s="177">
        <f t="shared" ref="DO1233" si="3704">LN(DN1233/DN1232)</f>
        <v>2.6658372440734168E-2</v>
      </c>
      <c r="DP1233" s="183">
        <f>HLOOKUP(H1233,'GDP-PI'!$8:$9,2,FALSE)</f>
        <v>112.318</v>
      </c>
      <c r="DQ1233" s="177">
        <f t="shared" ref="DQ1233" si="3705">LN(DP1233/DP1232)</f>
        <v>1.7930771451401852E-2</v>
      </c>
    </row>
    <row r="1234" spans="1:121" s="167" customFormat="1" ht="21" x14ac:dyDescent="0.35">
      <c r="A1234" s="167" t="s">
        <v>115</v>
      </c>
      <c r="B1234" s="167" t="s">
        <v>115</v>
      </c>
      <c r="C1234" s="167">
        <v>4063762</v>
      </c>
      <c r="D1234" s="167" t="s">
        <v>139</v>
      </c>
      <c r="G1234" s="168" t="s">
        <v>26</v>
      </c>
      <c r="H1234" s="169">
        <v>2020</v>
      </c>
      <c r="I1234" s="170"/>
      <c r="J1234" s="166">
        <f>IFERROR(INDEX('Labor Expenditures'!$F$7:$X$91,MATCH($C1234,'Labor Expenditures'!$D$7:$D$91,0),MATCH($G1234,'Labor Expenditures'!$F$5:$X$5,0)),"NA")</f>
        <v>21673.535024730652</v>
      </c>
      <c r="K1234" s="166">
        <f t="shared" si="3656"/>
        <v>154.31495211627379</v>
      </c>
      <c r="L1234" s="172">
        <f t="shared" si="3663"/>
        <v>4.1696165707430226E-2</v>
      </c>
      <c r="M1234" s="172">
        <f t="shared" si="3667"/>
        <v>3.1868247798172883E-4</v>
      </c>
      <c r="N1234" s="196"/>
      <c r="O1234" s="172"/>
      <c r="P1234" s="166">
        <f>IFERROR(INDEX('Non-Labor Expenditures'!$F$7:$AB$91,MATCH($C1234,'Non-Labor Expenditures'!$D$7:$D$91,0),MATCH($G1234,'Non-Labor Expenditures'!$F$5:$AB$5,0)),"NA")</f>
        <v>31387.32677376553</v>
      </c>
      <c r="Q1234" s="166">
        <f t="shared" si="3657"/>
        <v>276.24096154621446</v>
      </c>
      <c r="R1234" s="172">
        <f t="shared" si="3668"/>
        <v>5.6110467039601659E-2</v>
      </c>
      <c r="S1234" s="172">
        <f t="shared" si="3673"/>
        <v>4.2885052794448965E-4</v>
      </c>
      <c r="T1234" s="172"/>
      <c r="U1234" s="172"/>
      <c r="V1234" s="166">
        <f t="shared" si="3637"/>
        <v>51622.348574087271</v>
      </c>
      <c r="W1234" s="170"/>
      <c r="X1234" s="174">
        <v>2703.6959185023006</v>
      </c>
      <c r="Y1234" s="175">
        <v>0.10303723817354386</v>
      </c>
      <c r="Z1234" s="175">
        <f t="shared" si="3674"/>
        <v>7.8751035804923333E-4</v>
      </c>
      <c r="AA1234" s="175"/>
      <c r="AB1234" s="175"/>
      <c r="AC1234" s="170">
        <f t="shared" si="3648"/>
        <v>104683.21037258345</v>
      </c>
      <c r="AD1234" s="175">
        <f t="shared" si="3669"/>
        <v>7.2549403199362844E-2</v>
      </c>
      <c r="AE1234" s="170"/>
      <c r="AF1234" s="170"/>
      <c r="AG1234" s="121">
        <f t="shared" si="3670"/>
        <v>348.22089584823334</v>
      </c>
      <c r="AH1234" s="119">
        <f>+AZ1234/$BB$58</f>
        <v>7.8179465932068232E-3</v>
      </c>
      <c r="AI1234" s="119"/>
      <c r="AJ1234" s="176">
        <f t="shared" si="3675"/>
        <v>2.722372366380124</v>
      </c>
      <c r="AK1234" s="176">
        <f t="shared" si="3676"/>
        <v>0</v>
      </c>
      <c r="AL1234" s="120">
        <f t="shared" si="3658"/>
        <v>0.20703926587263849</v>
      </c>
      <c r="AM1234" s="120">
        <f t="shared" si="3659"/>
        <v>0.29983152658438028</v>
      </c>
      <c r="AN1234" s="120">
        <f t="shared" si="3660"/>
        <v>0.49312920754298128</v>
      </c>
      <c r="AO1234" s="120">
        <f t="shared" si="3664"/>
        <v>7.6201527604821212E-2</v>
      </c>
      <c r="AP1234" s="173">
        <f t="shared" si="3680"/>
        <v>119.78100054034914</v>
      </c>
      <c r="AQ1234" s="175">
        <f t="shared" si="3681"/>
        <v>7.620152760482124E-2</v>
      </c>
      <c r="AR1234" s="177">
        <f>+AC1234/$AE$58</f>
        <v>7.6429684258699079E-3</v>
      </c>
      <c r="AS1234" s="177">
        <f t="shared" si="3677"/>
        <v>5.8240586948670294E-4</v>
      </c>
      <c r="AT1234" s="177"/>
      <c r="AU1234" s="177"/>
      <c r="AV1234" s="177"/>
      <c r="AW1234" s="190"/>
      <c r="AX1234" s="120"/>
      <c r="AY1234" s="120"/>
      <c r="AZ1234" s="118">
        <v>300623</v>
      </c>
      <c r="BA1234" s="119">
        <f t="shared" si="3638"/>
        <v>0</v>
      </c>
      <c r="BB1234" s="119"/>
      <c r="BC1234" s="121"/>
      <c r="BD1234" s="119"/>
      <c r="BE1234" s="119"/>
      <c r="BF1234" s="119"/>
      <c r="BG1234" s="173"/>
      <c r="BH1234" s="173"/>
      <c r="BI1234" s="173"/>
      <c r="BJ1234" s="173"/>
      <c r="BK1234" s="173"/>
      <c r="BL1234" s="173"/>
      <c r="BM1234" s="173"/>
      <c r="BN1234" s="173"/>
      <c r="BO1234" s="173"/>
      <c r="BP1234" s="173"/>
      <c r="BQ1234" s="118"/>
      <c r="BR1234" s="118"/>
      <c r="BS1234" s="118">
        <f>INDEX('Dist. Plant Gas Additions'!$F$7:$AE$91,MATCH($C1234,'Dist. Plant Gas Additions'!$D$7:$D$91,0),MATCH(Calculation!$G1234,'Dist. Plant Gas Additions'!$F$5:$AE$5,0))</f>
        <v>230244</v>
      </c>
      <c r="BT1234" s="118">
        <f>INDEX('Gen. Plant Additions'!$F$7:$AE$91,MATCH($C1234,'Gen. Plant Additions'!$D$7:$D$91,0),MATCH(Calculation!$G1234,'Gen. Plant Additions'!$F$5:$AE$5,0))</f>
        <v>3918</v>
      </c>
      <c r="BU1234" s="118"/>
      <c r="BV1234" s="118"/>
      <c r="BW1234" s="118">
        <f>INDEX('Dist Plant Depreciation'!$E$7:$AD$94,MATCH($C1234,'Dist Plant Depreciation'!$D$7:$D$94,0),MATCH(Calculation!$G1234,'Dist Plant Depreciation'!$E$5:$AD$5,0))</f>
        <v>343137</v>
      </c>
      <c r="BX1234" s="118">
        <f>INDEX('Gen. Plant Depreciation'!$E$7:$AD$94,MATCH($C1234,'Gen. Plant Depreciation'!$D$7:$D$94,0),MATCH(Calculation!$G1234,'Gen. Plant Depreciation'!$E$5:$AD$5,0))</f>
        <v>7317</v>
      </c>
      <c r="BY1234" s="118"/>
      <c r="BZ1234" s="118"/>
      <c r="CA1234" s="118"/>
      <c r="CB1234" s="118"/>
      <c r="CC1234" s="118"/>
      <c r="CD1234" s="183"/>
      <c r="CE1234" s="118">
        <f>INDEX('Gross Dx Plant'!$E$7:$AD$91,MATCH($C1234,'Gross Dx Plant'!$D$7:$D$91,0),MATCH(Calculation!$G1234,'Gross Dx Plant'!$E$5:$AD$5,0))</f>
        <v>1249935</v>
      </c>
      <c r="CF1234" s="118">
        <f>INDEX('Gross Gen Plant'!$E$7:$AD$91,MATCH($C1234,'Gross Gen Plant'!$D$7:$D$91,0),MATCH(Calculation!$G1234,'Gross Gen Plant'!$E$5:$AD$5,0))</f>
        <v>45716</v>
      </c>
      <c r="CG1234" s="118">
        <f t="shared" si="3556"/>
        <v>945197</v>
      </c>
      <c r="CH1234" s="118"/>
      <c r="CI1234" s="121">
        <v>2020</v>
      </c>
      <c r="CJ1234" s="118"/>
      <c r="CK1234" s="118"/>
      <c r="CL1234" s="118"/>
      <c r="CM1234" s="183"/>
      <c r="CN1234" s="118">
        <f t="shared" si="3639"/>
        <v>234162</v>
      </c>
      <c r="CO1234" s="118">
        <f t="shared" si="3640"/>
        <v>287.99374380488081</v>
      </c>
      <c r="CP1234" s="186">
        <v>0.84057971014492749</v>
      </c>
      <c r="CQ1234" s="118">
        <f>CQ1212*CP1234+CO1213*CP1233+CO1214*CP1232+CO1215*CP1231+CO1216*CP1230+CO1217*CP1229+CO1218*CP1228+CO1219*CP1227+CO1220*CP1226+CO1221*CP1225+CO1222*CP1224+CO1223*CP1223+CO1224*CP1222+CO1225*CP1221+CO1226*CP1220+CO1227*CP1219+CO1228*CP1218+CO1229*CP1217+CO1230*CP1216+CO1231*CP1215+CO1232*CP1214+CO1233*CP1213+CO1234</f>
        <v>2703.6959185023006</v>
      </c>
      <c r="CR1234" s="119">
        <f t="shared" si="3641"/>
        <v>0.10303723817354386</v>
      </c>
      <c r="CS1234" s="119"/>
      <c r="CT1234" s="177">
        <f t="shared" si="3642"/>
        <v>9.5465962367144944E-3</v>
      </c>
      <c r="CU1234" s="177">
        <f t="shared" si="3651"/>
        <v>9.2835121624790032E-3</v>
      </c>
      <c r="CV1234" s="119">
        <f>VLOOKUP($H1234,RoR!$E:$F,2,FALSE)</f>
        <v>2.4766666666666666E-2</v>
      </c>
      <c r="CW1234" s="177">
        <v>1.1618796630994188E-2</v>
      </c>
      <c r="CX1234" s="177">
        <f t="shared" si="3649"/>
        <v>1.3147870035672478E-2</v>
      </c>
      <c r="CY1234" s="177">
        <f t="shared" si="3652"/>
        <v>2.1618429446054622E-2</v>
      </c>
      <c r="CZ1234" s="177">
        <f t="shared" si="3653"/>
        <v>4.5144642961987357E-2</v>
      </c>
      <c r="DA1234" s="187">
        <f t="shared" si="3643"/>
        <v>0.90662500000000001</v>
      </c>
      <c r="DB1234" s="188">
        <f t="shared" si="3644"/>
        <v>2.0706077233668081</v>
      </c>
      <c r="DC1234" s="188">
        <f t="shared" si="3645"/>
        <v>-3.4421265141318998E-2</v>
      </c>
      <c r="DD1234" s="188">
        <f t="shared" si="3646"/>
        <v>0.62416226176410472</v>
      </c>
      <c r="DE1234" s="188">
        <f t="shared" si="3647"/>
        <v>-4.4485877841158712E-2</v>
      </c>
      <c r="DF1234" s="189">
        <f>INDEX('State Tax Lookup'!$D$7:$Z$91,MATCH(Calculation!$C1234,'State Tax Lookup'!$B$7:$B$91,0),MATCH($H1234,'State Tax Lookup'!$D$6:$Z$6,0))</f>
        <v>0.249</v>
      </c>
      <c r="DG1234" s="189">
        <v>0.375</v>
      </c>
      <c r="DH1234" s="190">
        <f t="shared" si="3650"/>
        <v>21.165494402000853</v>
      </c>
      <c r="DI1234" s="190">
        <v>20.839807332105991</v>
      </c>
      <c r="DJ1234" s="177"/>
      <c r="DK1234" s="189">
        <f>VLOOKUP($H1234,RoR!$E:$F,2,FALSE)</f>
        <v>2.4766666666666666E-2</v>
      </c>
      <c r="DL1234" s="191">
        <f>HLOOKUP($H1234,'GDP-PI'!$D$8:$CQ$11,3,FALSE)</f>
        <v>1.1618796630994188E-2</v>
      </c>
      <c r="DM1234" s="189">
        <f>VLOOKUP(H1234,'HW Dx Data'!$E:$F,2,FALSE)</f>
        <v>813.080162458833</v>
      </c>
      <c r="DN1234" s="183">
        <f>VLOOKUP(H1234,'ECI - Input Price'!$G$17:$H$37,2,FALSE)</f>
        <v>140.44999999999999</v>
      </c>
      <c r="DO1234" s="177">
        <f t="shared" ref="DO1234" si="3706">LN(DN1234/DN1233)</f>
        <v>2.5966118063564539E-2</v>
      </c>
      <c r="DP1234" s="183">
        <f>HLOOKUP(H1234,'GDP-PI'!$8:$9,2,FALSE)</f>
        <v>113.623</v>
      </c>
      <c r="DQ1234" s="177">
        <f t="shared" ref="DQ1234" si="3707">LN(DP1234/DP1233)</f>
        <v>1.1551816731392881E-2</v>
      </c>
    </row>
    <row r="1235" spans="1:121" s="167" customFormat="1" ht="21" x14ac:dyDescent="0.35">
      <c r="A1235" s="167" t="s">
        <v>115</v>
      </c>
      <c r="B1235" s="167" t="s">
        <v>115</v>
      </c>
      <c r="C1235" s="167">
        <v>4063762</v>
      </c>
      <c r="D1235" s="167" t="s">
        <v>139</v>
      </c>
      <c r="G1235" s="168" t="s">
        <v>462</v>
      </c>
      <c r="H1235" s="169">
        <v>2021</v>
      </c>
      <c r="I1235" s="170"/>
      <c r="J1235" s="166">
        <f>IFERROR(INDEX('Labor Expenditures'!$E$7:$X$91,MATCH($C1235,'Labor Expenditures'!$D$7:$D$91,0),MATCH($G1235,'Labor Expenditures'!$E$5:$X$5,0)),"NA")</f>
        <v>22737.240898306332</v>
      </c>
      <c r="K1235" s="166">
        <f t="shared" si="3656"/>
        <v>156.29655197323478</v>
      </c>
      <c r="L1235" s="171">
        <f t="shared" si="3663"/>
        <v>1.275951930552042E-2</v>
      </c>
      <c r="M1235" s="172">
        <f t="shared" si="3667"/>
        <v>1.1046364107490509E-4</v>
      </c>
      <c r="N1235" s="196"/>
      <c r="O1235" s="172"/>
      <c r="P1235" s="166">
        <f>IFERROR(INDEX('Non-Labor Expenditures'!$E$7:$AB$91,MATCH($C1235,'Non-Labor Expenditures'!$D$7:$D$91,0),MATCH($G1235,'Non-Labor Expenditures'!$E$5:$AB$5,0)),"NA")</f>
        <v>32051.291386769171</v>
      </c>
      <c r="Q1235" s="166">
        <f t="shared" si="3657"/>
        <v>270.49785962333675</v>
      </c>
      <c r="R1235" s="172">
        <f t="shared" si="3668"/>
        <v>-2.1009348324615897E-2</v>
      </c>
      <c r="S1235" s="172">
        <f t="shared" si="3673"/>
        <v>-1.8188530907617702E-4</v>
      </c>
      <c r="T1235" s="172"/>
      <c r="U1235" s="172"/>
      <c r="V1235" s="166">
        <f t="shared" si="3637"/>
        <v>72893.783227784923</v>
      </c>
      <c r="W1235" s="170"/>
      <c r="X1235" s="174">
        <v>2832.4904093321502</v>
      </c>
      <c r="Y1235" s="175"/>
      <c r="Z1235" s="175">
        <f t="shared" si="3674"/>
        <v>0</v>
      </c>
      <c r="AA1235" s="175"/>
      <c r="AB1235" s="175"/>
      <c r="AC1235" s="170">
        <f t="shared" si="3648"/>
        <v>127682.31551286043</v>
      </c>
      <c r="AD1235" s="175">
        <f t="shared" si="3669"/>
        <v>0.19860652318509112</v>
      </c>
      <c r="AE1235" s="118"/>
      <c r="AF1235" s="119"/>
      <c r="AG1235" s="121">
        <f t="shared" si="3670"/>
        <v>409.23819074634753</v>
      </c>
      <c r="AH1235" s="119">
        <f>+AZ1235/$BB$59</f>
        <v>8.0048902509927324E-3</v>
      </c>
      <c r="AI1235" s="119"/>
      <c r="AJ1235" s="176">
        <f t="shared" si="3675"/>
        <v>3.2759068034393417</v>
      </c>
      <c r="AK1235" s="176">
        <f t="shared" si="3676"/>
        <v>0</v>
      </c>
      <c r="AL1235" s="120">
        <f t="shared" si="3658"/>
        <v>0.17807666478304265</v>
      </c>
      <c r="AM1235" s="120">
        <f t="shared" si="3659"/>
        <v>0.25102373228453001</v>
      </c>
      <c r="AN1235" s="120">
        <f t="shared" si="3660"/>
        <v>0.57089960293242736</v>
      </c>
      <c r="AO1235" s="120">
        <f t="shared" si="3664"/>
        <v>-3.3296079289793844E-3</v>
      </c>
      <c r="AP1235" s="173">
        <f t="shared" si="3680"/>
        <v>119.38283999830132</v>
      </c>
      <c r="AQ1235" s="175">
        <f t="shared" si="3681"/>
        <v>-3.3296079289793861E-3</v>
      </c>
      <c r="AR1235" s="177">
        <f>+AC1235/$AE$59</f>
        <v>8.6573513021852531E-3</v>
      </c>
      <c r="AS1235" s="177">
        <f t="shared" si="3677"/>
        <v>-2.8825585539716031E-5</v>
      </c>
      <c r="AT1235" s="177"/>
      <c r="AU1235" s="177"/>
      <c r="AV1235" s="177"/>
      <c r="AW1235" s="190"/>
      <c r="AX1235" s="120"/>
      <c r="AY1235" s="120"/>
      <c r="AZ1235" s="118">
        <f>INDEX('Total Customers'!$E$7:$E$91,MATCH(Calculation!$C1235,'Total Customers'!$D$7:$D$91,0))</f>
        <v>312000</v>
      </c>
      <c r="BA1235" s="119">
        <f t="shared" si="3638"/>
        <v>3.7146199778239637E-2</v>
      </c>
      <c r="BB1235" s="118"/>
      <c r="BC1235" s="121"/>
      <c r="BD1235" s="118"/>
      <c r="BE1235" s="119"/>
      <c r="BF1235" s="119"/>
      <c r="BG1235" s="173"/>
      <c r="BH1235" s="173"/>
      <c r="BI1235" s="173"/>
      <c r="BJ1235" s="173"/>
      <c r="BK1235" s="173"/>
      <c r="BL1235" s="173"/>
      <c r="BM1235" s="173"/>
      <c r="BN1235" s="173"/>
      <c r="BO1235" s="173"/>
      <c r="BP1235" s="173"/>
      <c r="BQ1235" s="118"/>
      <c r="BR1235" s="118"/>
      <c r="BS1235" s="118">
        <f>INDEX('Dist. Plant Gas Additions'!$E$7:$AE$91,MATCH($C1235,'Dist. Plant Gas Additions'!$D$7:$D$91,0),MATCH(Calculation!$G1235,'Dist. Plant Gas Additions'!$E$5:$AE$5,0))</f>
        <v>119710.47</v>
      </c>
      <c r="BT1235" s="118">
        <f>INDEX('Gen. Plant Additions'!$E$7:$AE$91,MATCH($C1235,'Gen. Plant Additions'!$D$7:$D$91,0),MATCH(Calculation!$G1235,'Gen. Plant Additions'!$E$5:$AE$5,0))</f>
        <v>5003.6030000000001</v>
      </c>
      <c r="BU1235" s="118"/>
      <c r="BV1235" s="118"/>
      <c r="BW1235" s="118"/>
      <c r="BX1235" s="118"/>
      <c r="BY1235" s="183"/>
      <c r="BZ1235" s="183"/>
      <c r="CA1235" s="178"/>
      <c r="CB1235" s="184"/>
      <c r="CC1235" s="185"/>
      <c r="CD1235" s="185"/>
      <c r="CE1235" s="118"/>
      <c r="CF1235" s="118"/>
      <c r="CG1235" s="118"/>
      <c r="CH1235" s="118"/>
      <c r="CI1235" s="121">
        <v>2021</v>
      </c>
      <c r="CJ1235" s="118"/>
      <c r="CK1235" s="118"/>
      <c r="CL1235" s="118"/>
      <c r="CM1235" s="183"/>
      <c r="CN1235" s="118">
        <f t="shared" si="3639"/>
        <v>124714.073</v>
      </c>
      <c r="CO1235" s="118">
        <f t="shared" si="3640"/>
        <v>133.66673698084568</v>
      </c>
      <c r="CP1235" s="186">
        <f>+(51-23)/(51-23*0.75)</f>
        <v>0.82962962962962961</v>
      </c>
      <c r="CQ1235" s="118">
        <f>CQ1212*CP1235+CO1213*CP1234+CO1214*CP1233+CO1215*CP1232+CO1216*CP1231+CO1217*CP1230+CO1218*CP1229+CO1219*CP1228+CO1220*CP1227+CO1221*CP1226+CO1222*CP1225+CO1223*CP1224+CO1224*CP1223+CO1225*CP1222+CO1226*CP1221+CO1217*CP1220+CO1228*CP1219+CO1229*CP1218+CO1230*CP1217+CO1231*CP1216+CO1232*CP1215+CO1233*CP1214+CO1235+CO1234*CP1213</f>
        <v>2832.4904093321502</v>
      </c>
      <c r="CR1235" s="119"/>
      <c r="CS1235" s="118"/>
      <c r="CT1235" s="177">
        <f t="shared" si="3642"/>
        <v>1.8020688338705917E-3</v>
      </c>
      <c r="CU1235" s="177">
        <f t="shared" si="3651"/>
        <v>6.8862051608250428E-3</v>
      </c>
      <c r="CV1235" s="119">
        <f>VLOOKUP($H1235,RoR!$E:$F,2,FALSE)</f>
        <v>2.7033333333333336E-2</v>
      </c>
      <c r="CW1235" s="177"/>
      <c r="CX1235" s="177"/>
      <c r="CY1235" s="177">
        <f t="shared" si="3652"/>
        <v>2.4015736447708581E-2</v>
      </c>
      <c r="CZ1235" s="177">
        <f t="shared" si="3653"/>
        <v>7.433422950153494E-2</v>
      </c>
      <c r="DA1235" s="187">
        <f t="shared" si="3643"/>
        <v>0.90662500000000001</v>
      </c>
      <c r="DB1235" s="188">
        <f t="shared" si="3644"/>
        <v>1.8969932656739068</v>
      </c>
      <c r="DC1235" s="188">
        <f t="shared" si="3645"/>
        <v>5.0215782983970621E-2</v>
      </c>
      <c r="DD1235" s="188">
        <f t="shared" si="3646"/>
        <v>0.655952481704143</v>
      </c>
      <c r="DE1235" s="188">
        <f t="shared" si="3647"/>
        <v>6.2485378865697057E-2</v>
      </c>
      <c r="DF1235" s="189">
        <f>DF1234</f>
        <v>0.249</v>
      </c>
      <c r="DG1235" s="189">
        <v>0.375</v>
      </c>
      <c r="DH1235" s="190">
        <f t="shared" si="3650"/>
        <v>26.96079197699277</v>
      </c>
      <c r="DI1235" s="190"/>
      <c r="DJ1235" s="177">
        <f t="shared" ref="DJ1235" si="3708">LN(DH1235/DH1234)</f>
        <v>0.2420114284996279</v>
      </c>
      <c r="DK1235" s="189">
        <f>VLOOKUP($H1235,RoR!$E:$F,2,FALSE)</f>
        <v>2.7033333333333336E-2</v>
      </c>
      <c r="DL1235" s="191">
        <f>HLOOKUP($H1235,'GDP-PI'!$D$8:$CR$11,3,FALSE)</f>
        <v>4.2834637353352578E-2</v>
      </c>
      <c r="DM1235" s="189">
        <f>VLOOKUP(H1235,'HW Dx Data'!$E:$F,2,FALSE)</f>
        <v>933.02249921662576</v>
      </c>
      <c r="DN1235" s="183">
        <f>VLOOKUP(H1235,'ECI - Input Price'!$G$17:$H$37,2,FALSE)</f>
        <v>145.47500000000002</v>
      </c>
      <c r="DO1235" s="177">
        <f t="shared" ref="DO1235" si="3709">LN(DN1235/DN1234)</f>
        <v>3.5152696992481205E-2</v>
      </c>
      <c r="DP1235" s="183">
        <f>HLOOKUP(H1235,'GDP-PI'!$8:$9,2,FALSE)</f>
        <v>118.49</v>
      </c>
      <c r="DQ1235" s="177">
        <f t="shared" ref="DQ1235" si="3710">LN(DP1235/DP1234)</f>
        <v>4.194261824609434E-2</v>
      </c>
    </row>
    <row r="1236" spans="1:121" s="167" customFormat="1" ht="21" x14ac:dyDescent="0.35">
      <c r="A1236" s="167" t="s">
        <v>116</v>
      </c>
      <c r="B1236" s="167" t="s">
        <v>116</v>
      </c>
      <c r="C1236" s="167">
        <v>4058284</v>
      </c>
      <c r="D1236" s="168" t="s">
        <v>152</v>
      </c>
      <c r="E1236" s="168"/>
      <c r="F1236" s="198"/>
      <c r="G1236" s="167" t="s">
        <v>4</v>
      </c>
      <c r="H1236" s="169">
        <v>1998</v>
      </c>
      <c r="I1236" s="170"/>
      <c r="J1236" s="166"/>
      <c r="K1236" s="166"/>
      <c r="L1236" s="166"/>
      <c r="M1236" s="166"/>
      <c r="N1236" s="196"/>
      <c r="O1236" s="166"/>
      <c r="P1236" s="172"/>
      <c r="Q1236" s="172"/>
      <c r="R1236" s="172"/>
      <c r="S1236" s="166"/>
      <c r="T1236" s="172"/>
      <c r="U1236" s="172"/>
      <c r="V1236" s="166"/>
      <c r="W1236" s="170"/>
      <c r="X1236" s="174">
        <v>5466.2753732195151</v>
      </c>
      <c r="Y1236" s="175"/>
      <c r="Z1236" s="166"/>
      <c r="AA1236" s="175"/>
      <c r="AB1236" s="175"/>
      <c r="AC1236" s="170">
        <f t="shared" si="3648"/>
        <v>0</v>
      </c>
      <c r="AD1236" s="170"/>
      <c r="AE1236" s="170"/>
      <c r="AF1236" s="119"/>
      <c r="AG1236" s="174"/>
      <c r="AH1236" s="175"/>
      <c r="AI1236" s="175"/>
      <c r="AJ1236" s="174"/>
      <c r="AK1236" s="174"/>
      <c r="AL1236" s="120"/>
      <c r="AM1236" s="120"/>
      <c r="AN1236" s="120"/>
      <c r="AO1236" s="120"/>
      <c r="AP1236" s="120"/>
      <c r="AQ1236" s="175">
        <f>AVERAGE(AQ1245:AQ1259)</f>
        <v>1.5984343867818926E-2</v>
      </c>
      <c r="AR1236" s="120"/>
      <c r="AS1236" s="120"/>
      <c r="AT1236" s="120"/>
      <c r="AU1236" s="120"/>
      <c r="AV1236" s="120"/>
      <c r="AW1236" s="120"/>
      <c r="AX1236" s="120"/>
      <c r="AY1236" s="120"/>
      <c r="AZ1236" s="118">
        <f>IFERROR(INDEX('Total Customers'!$F$7:$AB$91,MATCH($C1236,'Total Customers'!$D$7:$D$91,0),MATCH($G1236,'Total Customers'!$F$5:$AB$5,0)),"NA")</f>
        <v>822623</v>
      </c>
      <c r="BA1236" s="119"/>
      <c r="BB1236" s="119"/>
      <c r="BC1236" s="121"/>
      <c r="BD1236" s="119"/>
      <c r="BE1236" s="119"/>
      <c r="BF1236" s="119"/>
      <c r="BG1236" s="173"/>
      <c r="BH1236" s="173"/>
      <c r="BI1236" s="173"/>
      <c r="BJ1236" s="173"/>
      <c r="BK1236" s="173"/>
      <c r="BL1236" s="173"/>
      <c r="BM1236" s="173"/>
      <c r="BN1236" s="173"/>
      <c r="BO1236" s="173"/>
      <c r="BP1236" s="173"/>
      <c r="BQ1236" s="118">
        <f>INDEX('Gross Dx Plant'!$E$7:$AD$91,MATCH($C1236,'Gross Dx Plant'!$D$7:$D$91,0),MATCH(Calculation!$G1236,'Gross Dx Plant'!$E$5:$AD$5,0))</f>
        <v>1555162</v>
      </c>
      <c r="BR1236" s="118">
        <f>INDEX('Gross Gen Plant'!$E$7:$AD$91,MATCH($C1236,'Gross Gen Plant'!$D$7:$D$91,0),MATCH(Calculation!$G1236,'Gross Gen Plant'!$E$5:$AD$5,0))</f>
        <v>124834</v>
      </c>
      <c r="BS1236" s="118">
        <f>INDEX('Dist. Plant Gas Additions'!$F$7:$AE$91,MATCH($C1236,'Dist. Plant Gas Additions'!$D$7:$D$91,0),MATCH(Calculation!$G1236,'Dist. Plant Gas Additions'!$F$5:$AE$5,0))</f>
        <v>98483</v>
      </c>
      <c r="BT1236" s="118">
        <f>INDEX('Gen. Plant Additions'!$F$7:$AE$91,MATCH($C1236,'Gen. Plant Additions'!$D$7:$D$91,0),MATCH(Calculation!$G1236,'Gen. Plant Additions'!$F$5:$AE$5,0))</f>
        <v>7904</v>
      </c>
      <c r="BU1236" s="118" t="e">
        <f>INDEX('Dist Plant Depreciation'!$E$7:$AA$94,MATCH($C1236,'Dist Plant Depreciation'!$D$7:$D$94,0),MATCH(#REF!,'Dist Plant Depreciation'!$E$5:$AA$5,0))</f>
        <v>#REF!</v>
      </c>
      <c r="BV1236" s="118" t="e">
        <f>INDEX('Gen. Plant Depreciation'!$E$7:$AA$94,MATCH($C1236,'Gen. Plant Depreciation'!$D$7:$D$94,0),MATCH(#REF!,'Gen. Plant Depreciation'!$E$5:$AA$5,0))</f>
        <v>#REF!</v>
      </c>
      <c r="BW1236" s="118">
        <f>INDEX('Dist Plant Depreciation'!$E$7:$AD$94,MATCH($C1236,'Dist Plant Depreciation'!$D$7:$D$94,0),MATCH(Calculation!$G1236,'Dist Plant Depreciation'!$E$5:$AD$5,0))</f>
        <v>532122</v>
      </c>
      <c r="BX1236" s="118">
        <f>INDEX('Gen. Plant Depreciation'!$E$7:$AD$94,MATCH($C1236,'Gen. Plant Depreciation'!$D$7:$D$94,0),MATCH(Calculation!$G1236,'Gen. Plant Depreciation'!$E$5:$AD$5,0))</f>
        <v>45220</v>
      </c>
      <c r="BY1236" s="118"/>
      <c r="BZ1236" s="118"/>
      <c r="CA1236" s="118"/>
      <c r="CB1236" s="118"/>
      <c r="CC1236" s="118"/>
      <c r="CD1236" s="183"/>
      <c r="CE1236" s="118">
        <f>INDEX('Gross Dx Plant'!$E$7:$AD$91,MATCH($C1236,'Gross Dx Plant'!$D$7:$D$91,0),MATCH(Calculation!$G1236,'Gross Dx Plant'!$E$5:$AD$5,0))</f>
        <v>1555162</v>
      </c>
      <c r="CF1236" s="118">
        <f>INDEX('Gross Gen Plant'!$E$7:$AD$91,MATCH($C1236,'Gross Gen Plant'!$D$7:$D$91,0),MATCH(Calculation!$G1236,'Gross Gen Plant'!$E$5:$AD$5,0))</f>
        <v>124834</v>
      </c>
      <c r="CG1236" s="118">
        <f t="shared" si="3556"/>
        <v>1102654</v>
      </c>
      <c r="CH1236" s="118"/>
      <c r="CI1236" s="121">
        <v>1998</v>
      </c>
      <c r="CJ1236" s="118">
        <f>BQ1236+BR1236</f>
        <v>1679996</v>
      </c>
      <c r="CK1236" s="118">
        <f>532122+45220</f>
        <v>577342</v>
      </c>
      <c r="CL1236" s="118">
        <f>+CJ1236-CK1236</f>
        <v>1102654</v>
      </c>
      <c r="CM1236" s="118">
        <f>CL1236/$CD$36</f>
        <v>5466.2753732195151</v>
      </c>
      <c r="CN1236" s="183"/>
      <c r="CO1236" s="183"/>
      <c r="CP1236" s="186">
        <v>1</v>
      </c>
      <c r="CQ1236" s="118">
        <f>+CM1236</f>
        <v>5466.2753732195151</v>
      </c>
      <c r="CR1236" s="119"/>
      <c r="CS1236" s="119"/>
      <c r="CT1236" s="177"/>
      <c r="CU1236" s="177"/>
      <c r="CV1236" s="119" t="e">
        <f>VLOOKUP($H1236,RoR!$E:$F,2,FALSE)</f>
        <v>#N/A</v>
      </c>
      <c r="CW1236" s="177">
        <v>1.1028127770464469E-2</v>
      </c>
      <c r="CX1236" s="177"/>
      <c r="CY1236" s="177"/>
      <c r="CZ1236" s="177"/>
      <c r="DA1236" s="187"/>
      <c r="DB1236" s="190" t="e">
        <f>2/(DK1236*39)</f>
        <v>#N/A</v>
      </c>
      <c r="DC1236" s="188" t="e">
        <f>+(DK1236*40-(1+DK1236))/(DK1236*40)</f>
        <v>#N/A</v>
      </c>
      <c r="DD1236" s="188" t="e">
        <f>+(1-(1/(1+DK1236)^40))</f>
        <v>#N/A</v>
      </c>
      <c r="DE1236" s="188" t="e">
        <f>+DD1236*DC1236*DB1236</f>
        <v>#N/A</v>
      </c>
      <c r="DF1236" s="189">
        <f>INDEX('State Tax Lookup'!$D$7:$Z$91,MATCH(Calculation!$C1236,'State Tax Lookup'!$B$7:$B$91,0),MATCH($H1236,'State Tax Lookup'!$D$6:$Z$6,0))</f>
        <v>0.43</v>
      </c>
      <c r="DG1236" s="189">
        <v>0.375</v>
      </c>
      <c r="DH1236" s="183"/>
      <c r="DI1236" s="183"/>
      <c r="DJ1236" s="177"/>
      <c r="DK1236" s="189" t="e">
        <f>VLOOKUP($H1236,RoR!$E:$F,2,FALSE)</f>
        <v>#N/A</v>
      </c>
      <c r="DL1236" s="191">
        <f>HLOOKUP($H1236,'GDP-PI'!$D$8:$CQ$11,3,FALSE)</f>
        <v>1.1028127770464469E-2</v>
      </c>
      <c r="DM1236" s="189">
        <f>VLOOKUP(H1236,'HW Dx Data'!$E:$F,2,FALSE)</f>
        <v>329.24564746449528</v>
      </c>
      <c r="DN1236" s="183" t="e">
        <f>VLOOKUP(H1236,'ECI - Input Price'!$G$17:$H$37,2,FALSE)</f>
        <v>#N/A</v>
      </c>
      <c r="DO1236" s="177"/>
      <c r="DP1236" s="183">
        <f>HLOOKUP(H1236,'GDP-PI'!$8:$9,2,FALSE)</f>
        <v>75.266999999999996</v>
      </c>
    </row>
    <row r="1237" spans="1:121" s="167" customFormat="1" ht="21" x14ac:dyDescent="0.35">
      <c r="A1237" s="167" t="s">
        <v>116</v>
      </c>
      <c r="B1237" s="167" t="s">
        <v>116</v>
      </c>
      <c r="C1237" s="167">
        <v>4058284</v>
      </c>
      <c r="D1237" s="168" t="s">
        <v>152</v>
      </c>
      <c r="E1237" s="168"/>
      <c r="F1237" s="198"/>
      <c r="G1237" s="167" t="s">
        <v>5</v>
      </c>
      <c r="H1237" s="169">
        <v>1999</v>
      </c>
      <c r="I1237" s="170"/>
      <c r="J1237" s="166"/>
      <c r="K1237" s="170"/>
      <c r="L1237" s="170"/>
      <c r="M1237" s="166"/>
      <c r="N1237" s="173"/>
      <c r="O1237" s="170"/>
      <c r="P1237" s="177"/>
      <c r="Q1237" s="177"/>
      <c r="R1237" s="177"/>
      <c r="S1237" s="195"/>
      <c r="T1237" s="177"/>
      <c r="U1237" s="177"/>
      <c r="V1237" s="166">
        <f t="shared" ref="V1237:V1259" si="3711">+CQ1236*DH1237</f>
        <v>0</v>
      </c>
      <c r="W1237" s="170"/>
      <c r="X1237" s="174">
        <v>5709.3252646553638</v>
      </c>
      <c r="Y1237" s="175">
        <v>4.350338384420787E-2</v>
      </c>
      <c r="Z1237" s="175"/>
      <c r="AA1237" s="175"/>
      <c r="AB1237" s="175"/>
      <c r="AC1237" s="170">
        <f t="shared" si="3648"/>
        <v>0</v>
      </c>
      <c r="AD1237" s="175"/>
      <c r="AE1237" s="170"/>
      <c r="AF1237" s="119"/>
      <c r="AG1237" s="174"/>
      <c r="AH1237" s="175"/>
      <c r="AI1237" s="175"/>
      <c r="AJ1237" s="174"/>
      <c r="AK1237" s="174"/>
      <c r="AL1237" s="120"/>
      <c r="AM1237" s="120"/>
      <c r="AN1237" s="120"/>
      <c r="AO1237" s="120"/>
      <c r="AP1237" s="120"/>
      <c r="AQ1237" s="175"/>
      <c r="AR1237" s="120"/>
      <c r="AS1237" s="120"/>
      <c r="AT1237" s="120"/>
      <c r="AU1237" s="120"/>
      <c r="AV1237" s="120"/>
      <c r="AW1237" s="120"/>
      <c r="AX1237" s="120"/>
      <c r="AY1237" s="120"/>
      <c r="AZ1237" s="118">
        <f>IFERROR(INDEX('Total Customers'!$F$7:$AB$91,MATCH($C1237,'Total Customers'!$D$7:$D$91,0),MATCH($G1237,'Total Customers'!$F$5:$AB$5,0)),"NA")</f>
        <v>880014</v>
      </c>
      <c r="BA1237" s="119">
        <f t="shared" ref="BA1237:BA1259" si="3712">LN(AZ1237/AZ1236)</f>
        <v>6.7439800904737848E-2</v>
      </c>
      <c r="BB1237" s="119"/>
      <c r="BC1237" s="121"/>
      <c r="BD1237" s="119"/>
      <c r="BE1237" s="119"/>
      <c r="BF1237" s="119"/>
      <c r="BG1237" s="173"/>
      <c r="BH1237" s="173"/>
      <c r="BI1237" s="173"/>
      <c r="BJ1237" s="173"/>
      <c r="BK1237" s="173"/>
      <c r="BL1237" s="173"/>
      <c r="BM1237" s="173"/>
      <c r="BN1237" s="173"/>
      <c r="BO1237" s="173"/>
      <c r="BP1237" s="173"/>
      <c r="BQ1237" s="118"/>
      <c r="BR1237" s="118"/>
      <c r="BS1237" s="118">
        <f>INDEX('Dist. Plant Gas Additions'!$F$7:$AE$91,MATCH($C1237,'Dist. Plant Gas Additions'!$D$7:$D$91,0),MATCH(Calculation!$G1237,'Dist. Plant Gas Additions'!$F$5:$AE$5,0))</f>
        <v>86039</v>
      </c>
      <c r="BT1237" s="118">
        <f>INDEX('Gen. Plant Additions'!$F$7:$AE$91,MATCH($C1237,'Gen. Plant Additions'!$D$7:$D$91,0),MATCH(Calculation!$G1237,'Gen. Plant Additions'!$F$5:$AE$5,0))</f>
        <v>4581</v>
      </c>
      <c r="BU1237" s="118"/>
      <c r="BV1237" s="118"/>
      <c r="BW1237" s="118">
        <f>INDEX('Dist Plant Depreciation'!$E$7:$AD$94,MATCH($C1237,'Dist Plant Depreciation'!$D$7:$D$94,0),MATCH(Calculation!$G1237,'Dist Plant Depreciation'!$E$5:$AD$5,0))</f>
        <v>567146</v>
      </c>
      <c r="BX1237" s="118">
        <f>INDEX('Gen. Plant Depreciation'!$E$7:$AD$94,MATCH($C1237,'Gen. Plant Depreciation'!$D$7:$D$94,0),MATCH(Calculation!$G1237,'Gen. Plant Depreciation'!$E$5:$AD$5,0))</f>
        <v>49243</v>
      </c>
      <c r="BY1237" s="118"/>
      <c r="BZ1237" s="118"/>
      <c r="CA1237" s="118"/>
      <c r="CB1237" s="118"/>
      <c r="CC1237" s="118"/>
      <c r="CD1237" s="183"/>
      <c r="CE1237" s="118">
        <f>INDEX('Gross Dx Plant'!$E$7:$AD$91,MATCH($C1237,'Gross Dx Plant'!$D$7:$D$91,0),MATCH(Calculation!$G1237,'Gross Dx Plant'!$E$5:$AD$5,0))</f>
        <v>1630878</v>
      </c>
      <c r="CF1237" s="118">
        <f>INDEX('Gross Gen Plant'!$E$7:$AD$91,MATCH($C1237,'Gross Gen Plant'!$D$7:$D$91,0),MATCH(Calculation!$G1237,'Gross Gen Plant'!$E$5:$AD$5,0))</f>
        <v>128483</v>
      </c>
      <c r="CG1237" s="118">
        <f t="shared" si="3556"/>
        <v>1142972</v>
      </c>
      <c r="CH1237" s="118"/>
      <c r="CI1237" s="121">
        <v>1999</v>
      </c>
      <c r="CJ1237" s="118"/>
      <c r="CK1237" s="118"/>
      <c r="CL1237" s="118"/>
      <c r="CM1237" s="183"/>
      <c r="CN1237" s="118">
        <f t="shared" ref="CN1237:CN1259" si="3713">+BT1237+BS1237</f>
        <v>90620</v>
      </c>
      <c r="CO1237" s="118">
        <f t="shared" ref="CO1237:CO1259" si="3714">+CN1237/$DM1237</f>
        <v>270.24529130261197</v>
      </c>
      <c r="CP1237" s="186">
        <v>0.99502487562189057</v>
      </c>
      <c r="CQ1237" s="118">
        <f>+CQ1236*CP1237+CO1237</f>
        <v>5709.3252646553638</v>
      </c>
      <c r="CR1237" s="119">
        <f t="shared" ref="CR1237:CR1258" si="3715">LN(CQ1237/CQ1236)</f>
        <v>4.350338384420787E-2</v>
      </c>
      <c r="CS1237" s="119"/>
      <c r="CT1237" s="177">
        <f t="shared" ref="CT1237:CT1259" si="3716">+(CQ1236-CQ1237+CO1237)/CQ1236</f>
        <v>4.9751243781093789E-3</v>
      </c>
      <c r="CU1237" s="177"/>
      <c r="CV1237" s="119">
        <f>VLOOKUP($H1237,RoR!$E:$F,2,FALSE)</f>
        <v>7.0416666666666669E-2</v>
      </c>
      <c r="CW1237" s="177">
        <v>1.4335631817396832E-2</v>
      </c>
      <c r="CX1237" s="177">
        <f>+CV1237-CW1237</f>
        <v>5.6081034849269837E-2</v>
      </c>
      <c r="CY1237" s="177"/>
      <c r="CZ1237" s="177"/>
      <c r="DA1237" s="187">
        <f t="shared" ref="DA1237:DA1259" si="3717">1-DF1237*DG1237</f>
        <v>0.83875</v>
      </c>
      <c r="DB1237" s="188">
        <f t="shared" ref="DB1237:DB1259" si="3718">2/(DK1237*39)</f>
        <v>0.72826581702321336</v>
      </c>
      <c r="DC1237" s="188">
        <f t="shared" ref="DC1237:DC1259" si="3719">+(DK1237*40-(1+DK1237))/(DK1237*40)</f>
        <v>0.61997041420118348</v>
      </c>
      <c r="DD1237" s="188">
        <f t="shared" ref="DD1237:DD1259" si="3720">+(1-(1/(1+DK1237)^40))</f>
        <v>0.93425155319585029</v>
      </c>
      <c r="DE1237" s="188">
        <f t="shared" ref="DE1237:DE1259" si="3721">+DD1237*DC1237*DB1237</f>
        <v>0.42181762214141483</v>
      </c>
      <c r="DF1237" s="189">
        <f>INDEX('State Tax Lookup'!$D$7:$Z$91,MATCH(Calculation!$C1237,'State Tax Lookup'!$B$7:$B$91,0),MATCH($H1237,'State Tax Lookup'!$D$6:$Z$6,0))</f>
        <v>0.43</v>
      </c>
      <c r="DG1237" s="189">
        <v>0.375</v>
      </c>
      <c r="DH1237" s="190"/>
      <c r="DI1237" s="190"/>
      <c r="DJ1237" s="177"/>
      <c r="DK1237" s="189">
        <f>VLOOKUP($H1237,RoR!$E:$F,2,FALSE)</f>
        <v>7.0416666666666669E-2</v>
      </c>
      <c r="DL1237" s="191">
        <f>HLOOKUP($H1237,'GDP-PI'!$D$8:$CQ$11,3,FALSE)</f>
        <v>1.4335631817396832E-2</v>
      </c>
      <c r="DM1237" s="189">
        <f>VLOOKUP(H1237,'HW Dx Data'!$E:$F,2,FALSE)</f>
        <v>335.32499146683239</v>
      </c>
      <c r="DN1237" s="183" t="e">
        <f>VLOOKUP(H1237,'ECI - Input Price'!$G$17:$H$37,2,FALSE)</f>
        <v>#N/A</v>
      </c>
      <c r="DO1237" s="177"/>
      <c r="DP1237" s="183">
        <f>HLOOKUP(H1237,'GDP-PI'!$8:$9,2,FALSE)</f>
        <v>76.346000000000004</v>
      </c>
    </row>
    <row r="1238" spans="1:121" s="167" customFormat="1" ht="21" x14ac:dyDescent="0.35">
      <c r="A1238" s="167" t="s">
        <v>116</v>
      </c>
      <c r="B1238" s="167" t="s">
        <v>116</v>
      </c>
      <c r="C1238" s="167">
        <v>4058284</v>
      </c>
      <c r="D1238" s="168" t="s">
        <v>152</v>
      </c>
      <c r="E1238" s="168"/>
      <c r="F1238" s="198"/>
      <c r="G1238" s="167" t="s">
        <v>6</v>
      </c>
      <c r="H1238" s="169">
        <v>2000</v>
      </c>
      <c r="I1238" s="170"/>
      <c r="J1238" s="166"/>
      <c r="K1238" s="166"/>
      <c r="L1238" s="166"/>
      <c r="M1238" s="166"/>
      <c r="N1238" s="196"/>
      <c r="O1238" s="166"/>
      <c r="P1238" s="166"/>
      <c r="Q1238" s="166"/>
      <c r="R1238" s="166"/>
      <c r="S1238" s="166"/>
      <c r="T1238" s="166"/>
      <c r="U1238" s="166"/>
      <c r="V1238" s="166">
        <f t="shared" si="3711"/>
        <v>0</v>
      </c>
      <c r="W1238" s="170"/>
      <c r="X1238" s="174">
        <v>6011.7442679256137</v>
      </c>
      <c r="Y1238" s="175">
        <v>5.1614084672668391E-2</v>
      </c>
      <c r="Z1238" s="175"/>
      <c r="AA1238" s="175"/>
      <c r="AB1238" s="175"/>
      <c r="AC1238" s="170">
        <f t="shared" si="3648"/>
        <v>0</v>
      </c>
      <c r="AD1238" s="175"/>
      <c r="AE1238" s="170"/>
      <c r="AF1238" s="170"/>
      <c r="AG1238" s="174"/>
      <c r="AH1238" s="175"/>
      <c r="AI1238" s="175"/>
      <c r="AJ1238" s="174"/>
      <c r="AK1238" s="174"/>
      <c r="AL1238" s="120"/>
      <c r="AM1238" s="120"/>
      <c r="AN1238" s="120"/>
      <c r="AO1238" s="120"/>
      <c r="AP1238" s="120"/>
      <c r="AQ1238" s="175"/>
      <c r="AR1238" s="120"/>
      <c r="AS1238" s="120"/>
      <c r="AT1238" s="120"/>
      <c r="AU1238" s="120"/>
      <c r="AV1238" s="120"/>
      <c r="AW1238" s="120"/>
      <c r="AX1238" s="120"/>
      <c r="AY1238" s="120"/>
      <c r="AZ1238" s="118">
        <f>IFERROR(INDEX('Total Customers'!$F$7:$AB$91,MATCH($C1238,'Total Customers'!$D$7:$D$91,0),MATCH($G1238,'Total Customers'!$F$5:$AB$5,0)),"NA")</f>
        <v>868474</v>
      </c>
      <c r="BA1238" s="119">
        <f t="shared" si="3712"/>
        <v>-1.3200167875988192E-2</v>
      </c>
      <c r="BB1238" s="119"/>
      <c r="BC1238" s="121"/>
      <c r="BD1238" s="119"/>
      <c r="BE1238" s="119"/>
      <c r="BF1238" s="119"/>
      <c r="BG1238" s="173"/>
      <c r="BH1238" s="173"/>
      <c r="BI1238" s="173"/>
      <c r="BJ1238" s="173"/>
      <c r="BK1238" s="173"/>
      <c r="BL1238" s="173"/>
      <c r="BM1238" s="173"/>
      <c r="BN1238" s="173"/>
      <c r="BO1238" s="173"/>
      <c r="BP1238" s="173"/>
      <c r="BQ1238" s="118"/>
      <c r="BR1238" s="118"/>
      <c r="BS1238" s="118">
        <f>INDEX('Dist. Plant Gas Additions'!$F$7:$AE$91,MATCH($C1238,'Dist. Plant Gas Additions'!$D$7:$D$91,0),MATCH(Calculation!$G1238,'Dist. Plant Gas Additions'!$F$5:$AE$5,0))</f>
        <v>100033</v>
      </c>
      <c r="BT1238" s="118">
        <f>INDEX('Gen. Plant Additions'!$F$7:$AE$91,MATCH($C1238,'Gen. Plant Additions'!$D$7:$D$91,0),MATCH(Calculation!$G1238,'Gen. Plant Additions'!$F$5:$AE$5,0))</f>
        <v>14941</v>
      </c>
      <c r="BU1238" s="118"/>
      <c r="BV1238" s="118"/>
      <c r="BW1238" s="118">
        <f>INDEX('Dist Plant Depreciation'!$E$7:$AD$94,MATCH($C1238,'Dist Plant Depreciation'!$D$7:$D$94,0),MATCH(Calculation!$G1238,'Dist Plant Depreciation'!$E$5:$AD$5,0))</f>
        <v>608657</v>
      </c>
      <c r="BX1238" s="118">
        <f>INDEX('Gen. Plant Depreciation'!$E$7:$AD$94,MATCH($C1238,'Gen. Plant Depreciation'!$D$7:$D$94,0),MATCH(Calculation!$G1238,'Gen. Plant Depreciation'!$E$5:$AD$5,0))</f>
        <v>49539</v>
      </c>
      <c r="BY1238" s="118"/>
      <c r="BZ1238" s="118"/>
      <c r="CA1238" s="118"/>
      <c r="CB1238" s="118"/>
      <c r="CC1238" s="118"/>
      <c r="CD1238" s="183"/>
      <c r="CE1238" s="118">
        <f>INDEX('Gross Dx Plant'!$E$7:$AD$91,MATCH($C1238,'Gross Dx Plant'!$D$7:$D$91,0),MATCH(Calculation!$G1238,'Gross Dx Plant'!$E$5:$AD$5,0))</f>
        <v>1724871</v>
      </c>
      <c r="CF1238" s="118">
        <f>INDEX('Gross Gen Plant'!$E$7:$AD$91,MATCH($C1238,'Gross Gen Plant'!$D$7:$D$91,0),MATCH(Calculation!$G1238,'Gross Gen Plant'!$E$5:$AD$5,0))</f>
        <v>137851</v>
      </c>
      <c r="CG1238" s="118">
        <f t="shared" si="3556"/>
        <v>1204526</v>
      </c>
      <c r="CH1238" s="118"/>
      <c r="CI1238" s="121">
        <v>2000</v>
      </c>
      <c r="CJ1238" s="118"/>
      <c r="CK1238" s="118"/>
      <c r="CL1238" s="118"/>
      <c r="CM1238" s="183"/>
      <c r="CN1238" s="118">
        <f t="shared" si="3713"/>
        <v>114974</v>
      </c>
      <c r="CO1238" s="118">
        <f t="shared" si="3714"/>
        <v>331.78301010010847</v>
      </c>
      <c r="CP1238" s="186">
        <v>0.98989898989898994</v>
      </c>
      <c r="CQ1238" s="118">
        <f>+CQ1236*CP1238+CO1237*CP1237+CO1238</f>
        <v>6011.7442679256137</v>
      </c>
      <c r="CR1238" s="119">
        <f t="shared" si="3715"/>
        <v>5.1614084672668391E-2</v>
      </c>
      <c r="CS1238" s="119"/>
      <c r="CT1238" s="177">
        <f t="shared" si="3716"/>
        <v>5.1431658678901754E-3</v>
      </c>
      <c r="CU1238" s="177"/>
      <c r="CV1238" s="119">
        <f>VLOOKUP($H1238,RoR!$E:$F,2,FALSE)</f>
        <v>7.6225000000000001E-2</v>
      </c>
      <c r="CW1238" s="177">
        <v>2.2568307442433211E-2</v>
      </c>
      <c r="CX1238" s="177">
        <f t="shared" ref="CX1238:CX1258" si="3722">+CV1238-CW1238</f>
        <v>5.365669255756679E-2</v>
      </c>
      <c r="CY1238" s="177"/>
      <c r="CZ1238" s="177"/>
      <c r="DA1238" s="187">
        <f t="shared" si="3717"/>
        <v>0.83875</v>
      </c>
      <c r="DB1238" s="188">
        <f t="shared" si="3718"/>
        <v>0.67277207323124022</v>
      </c>
      <c r="DC1238" s="188">
        <f t="shared" si="3719"/>
        <v>0.6470236142997704</v>
      </c>
      <c r="DD1238" s="188">
        <f t="shared" si="3720"/>
        <v>0.94704866037543145</v>
      </c>
      <c r="DE1238" s="188">
        <f t="shared" si="3721"/>
        <v>0.41224973107878493</v>
      </c>
      <c r="DF1238" s="189">
        <f>INDEX('State Tax Lookup'!$D$7:$Z$91,MATCH(Calculation!$C1238,'State Tax Lookup'!$B$7:$B$91,0),MATCH($H1238,'State Tax Lookup'!$D$6:$Z$6,0))</f>
        <v>0.43</v>
      </c>
      <c r="DG1238" s="189">
        <v>0.375</v>
      </c>
      <c r="DH1238" s="190"/>
      <c r="DI1238" s="190"/>
      <c r="DJ1238" s="177"/>
      <c r="DK1238" s="189">
        <f>VLOOKUP($H1238,RoR!$E:$F,2,FALSE)</f>
        <v>7.6225000000000001E-2</v>
      </c>
      <c r="DL1238" s="191">
        <f>HLOOKUP($H1238,'GDP-PI'!$D$8:$CQ$11,3,FALSE)</f>
        <v>2.2568307442433211E-2</v>
      </c>
      <c r="DM1238" s="189">
        <f>VLOOKUP(H1238,'HW Dx Data'!$E:$F,2,FALSE)</f>
        <v>346.53371782150339</v>
      </c>
      <c r="DN1238" s="183" t="e">
        <f>VLOOKUP(H1238,'ECI - Input Price'!$G$17:$H$37,2,FALSE)</f>
        <v>#N/A</v>
      </c>
      <c r="DO1238" s="177"/>
      <c r="DP1238" s="183">
        <f>HLOOKUP(H1238,'GDP-PI'!$8:$9,2,FALSE)</f>
        <v>78.069000000000003</v>
      </c>
    </row>
    <row r="1239" spans="1:121" s="167" customFormat="1" ht="21" x14ac:dyDescent="0.35">
      <c r="A1239" s="167" t="s">
        <v>116</v>
      </c>
      <c r="B1239" s="167" t="s">
        <v>116</v>
      </c>
      <c r="C1239" s="167">
        <v>4058284</v>
      </c>
      <c r="D1239" s="168" t="s">
        <v>152</v>
      </c>
      <c r="E1239" s="168"/>
      <c r="F1239" s="198"/>
      <c r="G1239" s="167" t="s">
        <v>7</v>
      </c>
      <c r="H1239" s="169">
        <v>2001</v>
      </c>
      <c r="I1239" s="170"/>
      <c r="J1239" s="166"/>
      <c r="K1239" s="166"/>
      <c r="L1239" s="166"/>
      <c r="M1239" s="166"/>
      <c r="N1239" s="196"/>
      <c r="O1239" s="166"/>
      <c r="P1239" s="166"/>
      <c r="Q1239" s="166"/>
      <c r="R1239" s="166"/>
      <c r="S1239" s="166"/>
      <c r="T1239" s="166"/>
      <c r="U1239" s="166"/>
      <c r="V1239" s="166">
        <f t="shared" si="3711"/>
        <v>80615.773830978345</v>
      </c>
      <c r="W1239" s="170"/>
      <c r="X1239" s="174">
        <v>6331.676608918774</v>
      </c>
      <c r="Y1239" s="175">
        <v>5.1850134165261963E-2</v>
      </c>
      <c r="Z1239" s="175"/>
      <c r="AA1239" s="175"/>
      <c r="AB1239" s="175"/>
      <c r="AC1239" s="170">
        <f t="shared" si="3648"/>
        <v>80615.773830978345</v>
      </c>
      <c r="AD1239" s="175"/>
      <c r="AE1239" s="170"/>
      <c r="AF1239" s="170"/>
      <c r="AG1239" s="174"/>
      <c r="AH1239" s="175"/>
      <c r="AI1239" s="175"/>
      <c r="AJ1239" s="174"/>
      <c r="AK1239" s="174"/>
      <c r="AL1239" s="120"/>
      <c r="AM1239" s="120"/>
      <c r="AN1239" s="120"/>
      <c r="AO1239" s="120"/>
      <c r="AP1239" s="120"/>
      <c r="AQ1239" s="175"/>
      <c r="AR1239" s="120"/>
      <c r="AS1239" s="120"/>
      <c r="AT1239" s="120"/>
      <c r="AU1239" s="120"/>
      <c r="AV1239" s="120"/>
      <c r="AW1239" s="120"/>
      <c r="AX1239" s="120"/>
      <c r="AY1239" s="120"/>
      <c r="AZ1239" s="118">
        <f>IFERROR(INDEX('Total Customers'!$F$7:$AB$91,MATCH($C1239,'Total Customers'!$D$7:$D$91,0),MATCH($G1239,'Total Customers'!$F$5:$AB$5,0)),"NA")</f>
        <v>907465</v>
      </c>
      <c r="BA1239" s="119">
        <f t="shared" si="3712"/>
        <v>4.3917349341523235E-2</v>
      </c>
      <c r="BB1239" s="119"/>
      <c r="BC1239" s="121"/>
      <c r="BD1239" s="119"/>
      <c r="BE1239" s="119"/>
      <c r="BF1239" s="119"/>
      <c r="BG1239" s="173"/>
      <c r="BH1239" s="173"/>
      <c r="BI1239" s="173"/>
      <c r="BJ1239" s="173"/>
      <c r="BK1239" s="173"/>
      <c r="BL1239" s="173"/>
      <c r="BM1239" s="173"/>
      <c r="BN1239" s="173"/>
      <c r="BO1239" s="173"/>
      <c r="BP1239" s="173"/>
      <c r="BQ1239" s="118"/>
      <c r="BR1239" s="118"/>
      <c r="BS1239" s="118">
        <f>INDEX('Dist. Plant Gas Additions'!$F$7:$AE$91,MATCH($C1239,'Dist. Plant Gas Additions'!$D$7:$D$91,0),MATCH(Calculation!$G1239,'Dist. Plant Gas Additions'!$F$5:$AE$5,0))</f>
        <v>112248</v>
      </c>
      <c r="BT1239" s="118">
        <f>INDEX('Gen. Plant Additions'!$F$7:$AE$91,MATCH($C1239,'Gen. Plant Additions'!$D$7:$D$91,0),MATCH(Calculation!$G1239,'Gen. Plant Additions'!$F$5:$AE$5,0))</f>
        <v>11529</v>
      </c>
      <c r="BU1239" s="118"/>
      <c r="BV1239" s="118"/>
      <c r="BW1239" s="118">
        <f>INDEX('Dist Plant Depreciation'!$E$7:$AD$94,MATCH($C1239,'Dist Plant Depreciation'!$D$7:$D$94,0),MATCH(Calculation!$G1239,'Dist Plant Depreciation'!$E$5:$AD$5,0))</f>
        <v>653273</v>
      </c>
      <c r="BX1239" s="118">
        <f>INDEX('Gen. Plant Depreciation'!$E$7:$AD$94,MATCH($C1239,'Gen. Plant Depreciation'!$D$7:$D$94,0),MATCH(Calculation!$G1239,'Gen. Plant Depreciation'!$E$5:$AD$5,0))</f>
        <v>49299</v>
      </c>
      <c r="BY1239" s="118"/>
      <c r="BZ1239" s="118"/>
      <c r="CA1239" s="118"/>
      <c r="CB1239" s="118"/>
      <c r="CC1239" s="118"/>
      <c r="CD1239" s="183"/>
      <c r="CE1239" s="118">
        <f>INDEX('Gross Dx Plant'!$E$7:$AD$91,MATCH($C1239,'Gross Dx Plant'!$D$7:$D$91,0),MATCH(Calculation!$G1239,'Gross Dx Plant'!$E$5:$AD$5,0))</f>
        <v>1831266</v>
      </c>
      <c r="CF1239" s="118">
        <f>INDEX('Gross Gen Plant'!$E$7:$AD$91,MATCH($C1239,'Gross Gen Plant'!$D$7:$D$91,0),MATCH(Calculation!$G1239,'Gross Gen Plant'!$E$5:$AD$5,0))</f>
        <v>143263</v>
      </c>
      <c r="CG1239" s="118">
        <f t="shared" si="3556"/>
        <v>1271957</v>
      </c>
      <c r="CH1239" s="118"/>
      <c r="CI1239" s="121">
        <v>2001</v>
      </c>
      <c r="CJ1239" s="118"/>
      <c r="CK1239" s="118"/>
      <c r="CL1239" s="118"/>
      <c r="CM1239" s="183"/>
      <c r="CN1239" s="118">
        <f t="shared" si="3713"/>
        <v>123777</v>
      </c>
      <c r="CO1239" s="118">
        <f t="shared" si="3714"/>
        <v>350.199228917114</v>
      </c>
      <c r="CP1239" s="186">
        <v>0.98461538461538467</v>
      </c>
      <c r="CQ1239" s="118">
        <f>+CQ1236*CP1239+CO1237*CP1238+CO1238*CP1236+CO1239</f>
        <v>6331.676608918774</v>
      </c>
      <c r="CR1239" s="119">
        <f t="shared" si="3715"/>
        <v>5.1850134165261963E-2</v>
      </c>
      <c r="CS1239" s="119"/>
      <c r="CT1239" s="177">
        <f t="shared" si="3716"/>
        <v>5.0346266532720358E-3</v>
      </c>
      <c r="CU1239" s="177">
        <f>+(CT1239+CT1238+CT1237)/3</f>
        <v>5.0509722997571964E-3</v>
      </c>
      <c r="CV1239" s="119">
        <f>VLOOKUP($H1239,RoR!$E:$F,2,FALSE)</f>
        <v>7.0824999999999999E-2</v>
      </c>
      <c r="CW1239" s="177">
        <v>2.2454495382290052E-2</v>
      </c>
      <c r="CX1239" s="177">
        <f t="shared" si="3722"/>
        <v>4.8370504617709947E-2</v>
      </c>
      <c r="CY1239" s="177">
        <f>+$CX$35-CU1239</f>
        <v>2.5850969308776429E-2</v>
      </c>
      <c r="CZ1239" s="177">
        <f>+((DM1237/DM1236-1)+(DM1238/DM1237-1)+(DM1239/DM1238-1))/3</f>
        <v>2.3947275901631187E-2</v>
      </c>
      <c r="DA1239" s="187">
        <f t="shared" si="3717"/>
        <v>0.83875</v>
      </c>
      <c r="DB1239" s="188">
        <f t="shared" si="3718"/>
        <v>0.72406708481540816</v>
      </c>
      <c r="DC1239" s="188">
        <f t="shared" si="3719"/>
        <v>0.62201729615248857</v>
      </c>
      <c r="DD1239" s="188">
        <f t="shared" si="3720"/>
        <v>0.9352469954311422</v>
      </c>
      <c r="DE1239" s="188">
        <f t="shared" si="3721"/>
        <v>0.42121864641655071</v>
      </c>
      <c r="DF1239" s="189">
        <f>INDEX('State Tax Lookup'!$D$7:$Z$91,MATCH(Calculation!$C1239,'State Tax Lookup'!$B$7:$B$91,0),MATCH($H1239,'State Tax Lookup'!$D$6:$Z$6,0))</f>
        <v>0.43</v>
      </c>
      <c r="DG1239" s="189">
        <v>0.375</v>
      </c>
      <c r="DH1239" s="190">
        <f t="shared" ref="DH1239:DH1259" si="3723">+(DM1239*CY1239-CZ1239)*DA1239/(1-DF1239)</f>
        <v>13.409714425326889</v>
      </c>
      <c r="DI1239" s="190"/>
      <c r="DJ1239" s="177"/>
      <c r="DK1239" s="189">
        <f>VLOOKUP($H1239,RoR!$E:$F,2,FALSE)</f>
        <v>7.0824999999999999E-2</v>
      </c>
      <c r="DL1239" s="191">
        <f>HLOOKUP($H1239,'GDP-PI'!$D$8:$CQ$11,3,FALSE)</f>
        <v>2.2454495382290052E-2</v>
      </c>
      <c r="DM1239" s="189">
        <f>VLOOKUP(H1239,'HW Dx Data'!$E:$F,2,FALSE)</f>
        <v>353.44738017483138</v>
      </c>
      <c r="DN1239" s="183">
        <f>VLOOKUP(H1239,'ECI - Input Price'!$G$17:$H$37,2,FALSE)</f>
        <v>86.2</v>
      </c>
      <c r="DO1239" s="177"/>
      <c r="DP1239" s="183">
        <f>HLOOKUP(H1239,'GDP-PI'!$8:$9,2,FALSE)</f>
        <v>79.822000000000003</v>
      </c>
    </row>
    <row r="1240" spans="1:121" s="167" customFormat="1" ht="21" x14ac:dyDescent="0.35">
      <c r="A1240" s="167" t="s">
        <v>116</v>
      </c>
      <c r="B1240" s="167" t="s">
        <v>116</v>
      </c>
      <c r="C1240" s="167">
        <v>4058284</v>
      </c>
      <c r="D1240" s="168" t="s">
        <v>152</v>
      </c>
      <c r="E1240" s="168"/>
      <c r="F1240" s="198"/>
      <c r="G1240" s="167" t="s">
        <v>8</v>
      </c>
      <c r="H1240" s="169">
        <v>2002</v>
      </c>
      <c r="I1240" s="170"/>
      <c r="J1240" s="166"/>
      <c r="K1240" s="166"/>
      <c r="L1240" s="166"/>
      <c r="M1240" s="166"/>
      <c r="N1240" s="196"/>
      <c r="O1240" s="166"/>
      <c r="P1240" s="166"/>
      <c r="Q1240" s="166"/>
      <c r="R1240" s="166"/>
      <c r="S1240" s="166"/>
      <c r="T1240" s="166"/>
      <c r="U1240" s="166"/>
      <c r="V1240" s="166">
        <f t="shared" si="3711"/>
        <v>85945.224258823684</v>
      </c>
      <c r="W1240" s="170"/>
      <c r="X1240" s="174">
        <v>6629.5389355015104</v>
      </c>
      <c r="Y1240" s="175">
        <v>4.5970191410220115E-2</v>
      </c>
      <c r="Z1240" s="175"/>
      <c r="AA1240" s="175"/>
      <c r="AB1240" s="175"/>
      <c r="AC1240" s="170">
        <f t="shared" si="3648"/>
        <v>85945.224258823684</v>
      </c>
      <c r="AD1240" s="175"/>
      <c r="AE1240" s="170"/>
      <c r="AF1240" s="170"/>
      <c r="AG1240" s="174"/>
      <c r="AH1240" s="175"/>
      <c r="AI1240" s="175"/>
      <c r="AJ1240" s="174"/>
      <c r="AK1240" s="174"/>
      <c r="AL1240" s="120"/>
      <c r="AM1240" s="120"/>
      <c r="AN1240" s="120"/>
      <c r="AO1240" s="120"/>
      <c r="AP1240" s="120"/>
      <c r="AQ1240" s="175"/>
      <c r="AR1240" s="120"/>
      <c r="AS1240" s="120"/>
      <c r="AT1240" s="120"/>
      <c r="AU1240" s="120"/>
      <c r="AV1240" s="120"/>
      <c r="AW1240" s="120"/>
      <c r="AX1240" s="120"/>
      <c r="AY1240" s="120"/>
      <c r="AZ1240" s="118">
        <f>IFERROR(INDEX('Total Customers'!$F$7:$AB$91,MATCH($C1240,'Total Customers'!$D$7:$D$91,0),MATCH($G1240,'Total Customers'!$F$5:$AB$5,0)),"NA")</f>
        <v>941456</v>
      </c>
      <c r="BA1240" s="119">
        <f t="shared" si="3712"/>
        <v>3.6772615167784968E-2</v>
      </c>
      <c r="BB1240" s="119"/>
      <c r="BC1240" s="121"/>
      <c r="BD1240" s="119"/>
      <c r="BE1240" s="119"/>
      <c r="BF1240" s="119"/>
      <c r="BG1240" s="173"/>
      <c r="BH1240" s="173"/>
      <c r="BI1240" s="173"/>
      <c r="BJ1240" s="173"/>
      <c r="BK1240" s="173"/>
      <c r="BL1240" s="173"/>
      <c r="BM1240" s="173"/>
      <c r="BN1240" s="173"/>
      <c r="BO1240" s="173"/>
      <c r="BP1240" s="173"/>
      <c r="BQ1240" s="118"/>
      <c r="BR1240" s="118"/>
      <c r="BS1240" s="118">
        <f>INDEX('Dist. Plant Gas Additions'!$F$7:$AE$91,MATCH($C1240,'Dist. Plant Gas Additions'!$D$7:$D$91,0),MATCH(Calculation!$G1240,'Dist. Plant Gas Additions'!$F$5:$AE$5,0))</f>
        <v>113527</v>
      </c>
      <c r="BT1240" s="118">
        <f>INDEX('Gen. Plant Additions'!$F$7:$AE$91,MATCH($C1240,'Gen. Plant Additions'!$D$7:$D$91,0),MATCH(Calculation!$G1240,'Gen. Plant Additions'!$F$5:$AE$5,0))</f>
        <v>7224</v>
      </c>
      <c r="BU1240" s="118"/>
      <c r="BV1240" s="118"/>
      <c r="BW1240" s="118">
        <f>INDEX('Dist Plant Depreciation'!$E$7:$AD$94,MATCH($C1240,'Dist Plant Depreciation'!$D$7:$D$94,0),MATCH(Calculation!$G1240,'Dist Plant Depreciation'!$E$5:$AD$5,0))</f>
        <v>699841</v>
      </c>
      <c r="BX1240" s="118">
        <f>INDEX('Gen. Plant Depreciation'!$E$7:$AD$94,MATCH($C1240,'Gen. Plant Depreciation'!$D$7:$D$94,0),MATCH(Calculation!$G1240,'Gen. Plant Depreciation'!$E$5:$AD$5,0))</f>
        <v>31765</v>
      </c>
      <c r="BY1240" s="118"/>
      <c r="BZ1240" s="118"/>
      <c r="CA1240" s="118"/>
      <c r="CB1240" s="118"/>
      <c r="CC1240" s="118"/>
      <c r="CD1240" s="183"/>
      <c r="CE1240" s="118">
        <f>INDEX('Gross Dx Plant'!$E$7:$AD$91,MATCH($C1240,'Gross Dx Plant'!$D$7:$D$91,0),MATCH(Calculation!$G1240,'Gross Dx Plant'!$E$5:$AD$5,0))</f>
        <v>1900487</v>
      </c>
      <c r="CF1240" s="118">
        <f>INDEX('Gross Gen Plant'!$E$7:$AD$91,MATCH($C1240,'Gross Gen Plant'!$D$7:$D$91,0),MATCH(Calculation!$G1240,'Gross Gen Plant'!$E$5:$AD$5,0))</f>
        <v>164528</v>
      </c>
      <c r="CG1240" s="118">
        <f t="shared" si="3556"/>
        <v>1333409</v>
      </c>
      <c r="CH1240" s="118"/>
      <c r="CI1240" s="121">
        <v>2002</v>
      </c>
      <c r="CJ1240" s="118"/>
      <c r="CK1240" s="118"/>
      <c r="CL1240" s="118"/>
      <c r="CM1240" s="183"/>
      <c r="CN1240" s="118">
        <f t="shared" si="3713"/>
        <v>120751</v>
      </c>
      <c r="CO1240" s="118">
        <f t="shared" si="3714"/>
        <v>334.16801702777497</v>
      </c>
      <c r="CP1240" s="186">
        <v>0.97916666666666663</v>
      </c>
      <c r="CQ1240" s="118">
        <f>+CQ1236*CP1240+CO1237*CP1239+CO1238*CP1238+CO1239*CP1237+CO1240</f>
        <v>6629.5389355015104</v>
      </c>
      <c r="CR1240" s="119">
        <f t="shared" si="3715"/>
        <v>4.5970191410220115E-2</v>
      </c>
      <c r="CS1240" s="119"/>
      <c r="CT1240" s="177">
        <f t="shared" si="3716"/>
        <v>5.7339773787401793E-3</v>
      </c>
      <c r="CU1240" s="177">
        <f t="shared" ref="CU1240:CU1259" si="3724">+(CT1240+CT1239+CT1238)/3</f>
        <v>5.3039232999674635E-3</v>
      </c>
      <c r="CV1240" s="119">
        <f>VLOOKUP($H1240,RoR!$E:$F,2,FALSE)</f>
        <v>6.4916666666666664E-2</v>
      </c>
      <c r="CW1240" s="177">
        <v>1.5246423291824351E-2</v>
      </c>
      <c r="CX1240" s="177">
        <f t="shared" si="3722"/>
        <v>4.9670243374842313E-2</v>
      </c>
      <c r="CY1240" s="177">
        <f t="shared" ref="CY1240:CY1259" si="3725">+$CX$35-CU1240</f>
        <v>2.5598018308566162E-2</v>
      </c>
      <c r="CZ1240" s="177">
        <f t="shared" ref="CZ1240:CZ1259" si="3726">+((DM1238/DM1237-1)+(DM1239/DM1238-1)+(DM1240/DM1239-1))/3</f>
        <v>2.5243621214759093E-2</v>
      </c>
      <c r="DA1240" s="187">
        <f t="shared" si="3717"/>
        <v>0.83875</v>
      </c>
      <c r="DB1240" s="188">
        <f t="shared" si="3718"/>
        <v>0.78996741384417901</v>
      </c>
      <c r="DC1240" s="188">
        <f t="shared" si="3719"/>
        <v>0.58989088575096271</v>
      </c>
      <c r="DD1240" s="188">
        <f t="shared" si="3720"/>
        <v>0.91920675783645744</v>
      </c>
      <c r="DE1240" s="188">
        <f t="shared" si="3721"/>
        <v>0.42834536472275586</v>
      </c>
      <c r="DF1240" s="189">
        <f>INDEX('State Tax Lookup'!$D$7:$Z$91,MATCH(Calculation!$C1240,'State Tax Lookup'!$B$7:$B$91,0),MATCH($H1240,'State Tax Lookup'!$D$6:$Z$6,0))</f>
        <v>0.43</v>
      </c>
      <c r="DG1240" s="189">
        <v>0.375</v>
      </c>
      <c r="DH1240" s="190">
        <f t="shared" si="3723"/>
        <v>13.573849324168197</v>
      </c>
      <c r="DI1240" s="190"/>
      <c r="DJ1240" s="177"/>
      <c r="DK1240" s="189">
        <f>VLOOKUP($H1240,RoR!$E:$F,2,FALSE)</f>
        <v>6.4916666666666664E-2</v>
      </c>
      <c r="DL1240" s="191">
        <f>HLOOKUP($H1240,'GDP-PI'!$D$8:$CQ$11,3,FALSE)</f>
        <v>1.5246423291824351E-2</v>
      </c>
      <c r="DM1240" s="189">
        <f>VLOOKUP(H1240,'HW Dx Data'!$E:$F,2,FALSE)</f>
        <v>361.34816573413599</v>
      </c>
      <c r="DN1240" s="183">
        <f>VLOOKUP(H1240,'ECI - Input Price'!$G$17:$H$37,2,FALSE)</f>
        <v>89.275000000000006</v>
      </c>
      <c r="DO1240" s="177">
        <f>LN(DN1240/DN1239)</f>
        <v>3.5051315810864674E-2</v>
      </c>
      <c r="DP1240" s="183">
        <f>HLOOKUP(H1240,'GDP-PI'!$8:$9,2,FALSE)</f>
        <v>81.039000000000001</v>
      </c>
      <c r="DQ1240" s="177">
        <f>LN(DP1240/DP1239)</f>
        <v>1.513136459537477E-2</v>
      </c>
    </row>
    <row r="1241" spans="1:121" s="167" customFormat="1" ht="21" x14ac:dyDescent="0.35">
      <c r="A1241" s="167" t="s">
        <v>116</v>
      </c>
      <c r="B1241" s="167" t="s">
        <v>116</v>
      </c>
      <c r="C1241" s="167">
        <v>4058284</v>
      </c>
      <c r="D1241" s="168" t="s">
        <v>152</v>
      </c>
      <c r="E1241" s="168"/>
      <c r="F1241" s="198"/>
      <c r="G1241" s="167" t="s">
        <v>9</v>
      </c>
      <c r="H1241" s="169">
        <v>2003</v>
      </c>
      <c r="I1241" s="170"/>
      <c r="J1241" s="166"/>
      <c r="K1241" s="166"/>
      <c r="L1241" s="166"/>
      <c r="M1241" s="172"/>
      <c r="N1241" s="196"/>
      <c r="O1241" s="172"/>
      <c r="P1241" s="166"/>
      <c r="Q1241" s="166"/>
      <c r="R1241" s="166"/>
      <c r="S1241" s="166"/>
      <c r="T1241" s="166"/>
      <c r="U1241" s="166"/>
      <c r="V1241" s="166">
        <f t="shared" si="3711"/>
        <v>91394.522839987025</v>
      </c>
      <c r="W1241" s="170"/>
      <c r="X1241" s="174">
        <v>6865.5469432942145</v>
      </c>
      <c r="Y1241" s="175">
        <v>3.4980447697117063E-2</v>
      </c>
      <c r="Z1241" s="175"/>
      <c r="AA1241" s="175"/>
      <c r="AB1241" s="175"/>
      <c r="AC1241" s="170">
        <f t="shared" si="3648"/>
        <v>91394.522839987025</v>
      </c>
      <c r="AD1241" s="175"/>
      <c r="AE1241" s="170"/>
      <c r="AF1241" s="170"/>
      <c r="AG1241" s="174"/>
      <c r="AH1241" s="175"/>
      <c r="AI1241" s="175"/>
      <c r="AJ1241" s="174"/>
      <c r="AK1241" s="174"/>
      <c r="AL1241" s="120"/>
      <c r="AM1241" s="120"/>
      <c r="AN1241" s="120"/>
      <c r="AO1241" s="120"/>
      <c r="AP1241" s="120"/>
      <c r="AQ1241" s="175"/>
      <c r="AR1241" s="120"/>
      <c r="AS1241" s="120"/>
      <c r="AT1241" s="120"/>
      <c r="AU1241" s="120"/>
      <c r="AV1241" s="120"/>
      <c r="AW1241" s="120"/>
      <c r="AX1241" s="120"/>
      <c r="AY1241" s="120"/>
      <c r="AZ1241" s="118">
        <f>IFERROR(INDEX('Total Customers'!$F$7:$AB$91,MATCH($C1241,'Total Customers'!$D$7:$D$91,0),MATCH($G1241,'Total Customers'!$F$5:$AB$5,0)),"NA")</f>
        <v>935761</v>
      </c>
      <c r="BA1241" s="119">
        <f t="shared" si="3712"/>
        <v>-6.0675110779711801E-3</v>
      </c>
      <c r="BB1241" s="119"/>
      <c r="BC1241" s="121"/>
      <c r="BD1241" s="119"/>
      <c r="BE1241" s="119"/>
      <c r="BF1241" s="119"/>
      <c r="BG1241" s="173"/>
      <c r="BH1241" s="173"/>
      <c r="BI1241" s="173"/>
      <c r="BJ1241" s="173"/>
      <c r="BK1241" s="173"/>
      <c r="BL1241" s="173"/>
      <c r="BM1241" s="173"/>
      <c r="BN1241" s="173"/>
      <c r="BO1241" s="173"/>
      <c r="BP1241" s="173"/>
      <c r="BQ1241" s="118"/>
      <c r="BR1241" s="118"/>
      <c r="BS1241" s="118">
        <f>INDEX('Dist. Plant Gas Additions'!$F$7:$AE$91,MATCH($C1241,'Dist. Plant Gas Additions'!$D$7:$D$91,0),MATCH(Calculation!$G1241,'Dist. Plant Gas Additions'!$F$5:$AE$5,0))</f>
        <v>82278</v>
      </c>
      <c r="BT1241" s="118">
        <f>INDEX('Gen. Plant Additions'!$F$7:$AE$91,MATCH($C1241,'Gen. Plant Additions'!$D$7:$D$91,0),MATCH(Calculation!$G1241,'Gen. Plant Additions'!$F$5:$AE$5,0))</f>
        <v>18678</v>
      </c>
      <c r="BU1241" s="118"/>
      <c r="BV1241" s="118"/>
      <c r="BW1241" s="118">
        <f>INDEX('Dist Plant Depreciation'!$E$7:$AD$94,MATCH($C1241,'Dist Plant Depreciation'!$D$7:$D$94,0),MATCH(Calculation!$G1241,'Dist Plant Depreciation'!$E$5:$AD$5,0))</f>
        <v>796906</v>
      </c>
      <c r="BX1241" s="118">
        <f>INDEX('Gen. Plant Depreciation'!$E$7:$AD$94,MATCH($C1241,'Gen. Plant Depreciation'!$D$7:$D$94,0),MATCH(Calculation!$G1241,'Gen. Plant Depreciation'!$E$5:$AD$5,0))</f>
        <v>22159</v>
      </c>
      <c r="BY1241" s="118"/>
      <c r="BZ1241" s="118"/>
      <c r="CA1241" s="118"/>
      <c r="CB1241" s="118"/>
      <c r="CC1241" s="118"/>
      <c r="CD1241" s="183"/>
      <c r="CE1241" s="118">
        <f>INDEX('Gross Dx Plant'!$E$7:$AD$91,MATCH($C1241,'Gross Dx Plant'!$D$7:$D$91,0),MATCH(Calculation!$G1241,'Gross Dx Plant'!$E$5:$AD$5,0))</f>
        <v>2022730</v>
      </c>
      <c r="CF1241" s="118">
        <f>INDEX('Gross Gen Plant'!$E$7:$AD$91,MATCH($C1241,'Gross Gen Plant'!$D$7:$D$91,0),MATCH(Calculation!$G1241,'Gross Gen Plant'!$E$5:$AD$5,0))</f>
        <v>170089</v>
      </c>
      <c r="CG1241" s="118">
        <f t="shared" si="3556"/>
        <v>1373754</v>
      </c>
      <c r="CH1241" s="118"/>
      <c r="CI1241" s="121">
        <v>2003</v>
      </c>
      <c r="CJ1241" s="118"/>
      <c r="CK1241" s="118"/>
      <c r="CL1241" s="118"/>
      <c r="CM1241" s="183"/>
      <c r="CN1241" s="118">
        <f t="shared" si="3713"/>
        <v>100956</v>
      </c>
      <c r="CO1241" s="118">
        <f t="shared" si="3714"/>
        <v>273.4208399696401</v>
      </c>
      <c r="CP1241" s="186">
        <v>0.97354497354497349</v>
      </c>
      <c r="CQ1241" s="118">
        <f>+CQ1236*CP1241+CO1237*CP1240+CO1238*CP1239+CO1239*CP1238+CO1240*CP1237+CO1241</f>
        <v>6865.5469432942145</v>
      </c>
      <c r="CR1241" s="119">
        <f t="shared" si="3715"/>
        <v>3.4980447697117063E-2</v>
      </c>
      <c r="CS1241" s="119"/>
      <c r="CT1241" s="177">
        <f t="shared" si="3716"/>
        <v>5.6433535636374954E-3</v>
      </c>
      <c r="CU1241" s="177">
        <f t="shared" si="3724"/>
        <v>5.4706525318832357E-3</v>
      </c>
      <c r="CV1241" s="119">
        <f>VLOOKUP($H1241,RoR!$E:$F,2,FALSE)</f>
        <v>5.6666666666666671E-2</v>
      </c>
      <c r="CW1241" s="177">
        <v>1.8855119140166909E-2</v>
      </c>
      <c r="CX1241" s="177">
        <f t="shared" si="3722"/>
        <v>3.7811547526499761E-2</v>
      </c>
      <c r="CY1241" s="177">
        <f t="shared" si="3725"/>
        <v>2.543128907665039E-2</v>
      </c>
      <c r="CZ1241" s="177">
        <f t="shared" si="3726"/>
        <v>2.1375012817671957E-2</v>
      </c>
      <c r="DA1241" s="187">
        <f t="shared" si="3717"/>
        <v>0.83875</v>
      </c>
      <c r="DB1241" s="188">
        <f t="shared" si="3718"/>
        <v>0.90497737556561086</v>
      </c>
      <c r="DC1241" s="188">
        <f t="shared" si="3719"/>
        <v>0.5338235294117647</v>
      </c>
      <c r="DD1241" s="188">
        <f t="shared" si="3720"/>
        <v>0.88972433127405692</v>
      </c>
      <c r="DE1241" s="188">
        <f t="shared" si="3721"/>
        <v>0.42982423775949252</v>
      </c>
      <c r="DF1241" s="189">
        <f>INDEX('State Tax Lookup'!$D$7:$Z$91,MATCH(Calculation!$C1241,'State Tax Lookup'!$B$7:$B$91,0),MATCH($H1241,'State Tax Lookup'!$D$6:$Z$6,0))</f>
        <v>0.43</v>
      </c>
      <c r="DG1241" s="189">
        <v>0.375</v>
      </c>
      <c r="DH1241" s="190">
        <f t="shared" si="3723"/>
        <v>13.785954608481868</v>
      </c>
      <c r="DI1241" s="190"/>
      <c r="DJ1241" s="177"/>
      <c r="DK1241" s="189">
        <f>VLOOKUP($H1241,RoR!$E:$F,2,FALSE)</f>
        <v>5.6666666666666671E-2</v>
      </c>
      <c r="DL1241" s="191">
        <f>HLOOKUP($H1241,'GDP-PI'!$D$8:$CQ$11,3,FALSE)</f>
        <v>1.8855119140166909E-2</v>
      </c>
      <c r="DM1241" s="189">
        <f>VLOOKUP(H1241,'HW Dx Data'!$E:$F,2,FALSE)</f>
        <v>369.23301095560191</v>
      </c>
      <c r="DN1241" s="183">
        <f>VLOOKUP(H1241,'ECI - Input Price'!$G$17:$H$37,2,FALSE)</f>
        <v>92.625</v>
      </c>
      <c r="DO1241" s="177">
        <f t="shared" ref="DO1241" si="3727">LN(DN1241/DN1240)</f>
        <v>3.6837590135738785E-2</v>
      </c>
      <c r="DP1241" s="183">
        <f>HLOOKUP(H1241,'GDP-PI'!$8:$9,2,FALSE)</f>
        <v>82.566999999999993</v>
      </c>
      <c r="DQ1241" s="177">
        <f t="shared" ref="DQ1241" si="3728">LN(DP1241/DP1240)</f>
        <v>1.8679564681853753E-2</v>
      </c>
    </row>
    <row r="1242" spans="1:121" s="167" customFormat="1" ht="21" x14ac:dyDescent="0.35">
      <c r="A1242" s="167" t="s">
        <v>116</v>
      </c>
      <c r="B1242" s="167" t="s">
        <v>116</v>
      </c>
      <c r="C1242" s="167">
        <v>4058284</v>
      </c>
      <c r="D1242" s="168" t="s">
        <v>152</v>
      </c>
      <c r="E1242" s="168"/>
      <c r="F1242" s="198"/>
      <c r="G1242" s="167" t="s">
        <v>10</v>
      </c>
      <c r="H1242" s="169">
        <v>2004</v>
      </c>
      <c r="I1242" s="170"/>
      <c r="J1242" s="166">
        <f>IFERROR(INDEX('Labor Expenditures'!$F$7:$X$91,MATCH($C1242,'Labor Expenditures'!$D$7:$D$91,0),MATCH($G1242,'Labor Expenditures'!$F$5:$X$5,0)),"NA")</f>
        <v>75015.407903935513</v>
      </c>
      <c r="K1242" s="166">
        <f t="shared" ref="K1242:K1259" si="3729">+J1242/DN1242</f>
        <v>779.98864469909552</v>
      </c>
      <c r="L1242" s="172"/>
      <c r="M1242" s="172"/>
      <c r="N1242" s="196"/>
      <c r="O1242" s="172"/>
      <c r="P1242" s="166">
        <f>IFERROR(INDEX('Non-Labor Expenditures'!$F$7:$AB$91,MATCH($C1242,'Non-Labor Expenditures'!$D$7:$D$91,0),MATCH($G1242,'Non-Labor Expenditures'!$F$5:$AB$5,0)),"NA")</f>
        <v>108636.32159043233</v>
      </c>
      <c r="Q1242" s="166">
        <f t="shared" ref="Q1242:Q1259" si="3730">+P1242/DP1242</f>
        <v>1281.4211421646219</v>
      </c>
      <c r="R1242" s="166"/>
      <c r="S1242" s="166"/>
      <c r="T1242" s="166"/>
      <c r="U1242" s="166"/>
      <c r="V1242" s="166">
        <f t="shared" si="3711"/>
        <v>104928.33812671145</v>
      </c>
      <c r="W1242" s="170"/>
      <c r="X1242" s="174">
        <v>7036.7508625737592</v>
      </c>
      <c r="Y1242" s="175">
        <v>2.4630831111737791E-2</v>
      </c>
      <c r="Z1242" s="175"/>
      <c r="AA1242" s="175"/>
      <c r="AB1242" s="175"/>
      <c r="AC1242" s="170">
        <f t="shared" si="3648"/>
        <v>288580.06762107927</v>
      </c>
      <c r="AD1242" s="175"/>
      <c r="AE1242" s="170"/>
      <c r="AF1242" s="170"/>
      <c r="AG1242" s="174"/>
      <c r="AH1242" s="175"/>
      <c r="AI1242" s="175"/>
      <c r="AJ1242" s="174"/>
      <c r="AK1242" s="174"/>
      <c r="AL1242" s="120">
        <f t="shared" ref="AL1242:AL1259" si="3731">+J1242/AC1242</f>
        <v>0.25994660172591916</v>
      </c>
      <c r="AM1242" s="120">
        <f t="shared" ref="AM1242:AM1259" si="3732">+P1242/AC1242</f>
        <v>0.37645123062718766</v>
      </c>
      <c r="AN1242" s="120">
        <f t="shared" ref="AN1242:AN1259" si="3733">+V1242/AC1242</f>
        <v>0.36360216764689324</v>
      </c>
      <c r="AO1242" s="120"/>
      <c r="AP1242" s="120"/>
      <c r="AQ1242" s="175"/>
      <c r="AR1242" s="120"/>
      <c r="AS1242" s="120"/>
      <c r="AT1242" s="120"/>
      <c r="AU1242" s="120"/>
      <c r="AV1242" s="120"/>
      <c r="AW1242" s="120"/>
      <c r="AX1242" s="120"/>
      <c r="AY1242" s="120"/>
      <c r="AZ1242" s="118">
        <f>IFERROR(INDEX('Total Customers'!$F$7:$AB$91,MATCH($C1242,'Total Customers'!$D$7:$D$91,0),MATCH($G1242,'Total Customers'!$F$5:$AB$5,0)),"NA")</f>
        <v>980868</v>
      </c>
      <c r="BA1242" s="119">
        <f t="shared" si="3712"/>
        <v>4.7077791944929601E-2</v>
      </c>
      <c r="BB1242" s="119"/>
      <c r="BC1242" s="121"/>
      <c r="BD1242" s="119"/>
      <c r="BE1242" s="119"/>
      <c r="BF1242" s="119"/>
      <c r="BG1242" s="173"/>
      <c r="BH1242" s="173"/>
      <c r="BI1242" s="173"/>
      <c r="BJ1242" s="173"/>
      <c r="BK1242" s="173"/>
      <c r="BL1242" s="173"/>
      <c r="BM1242" s="173"/>
      <c r="BN1242" s="173"/>
      <c r="BO1242" s="173"/>
      <c r="BP1242" s="173"/>
      <c r="BQ1242" s="118"/>
      <c r="BR1242" s="118"/>
      <c r="BS1242" s="118">
        <f>INDEX('Dist. Plant Gas Additions'!$F$7:$AE$91,MATCH($C1242,'Dist. Plant Gas Additions'!$D$7:$D$91,0),MATCH(Calculation!$G1242,'Dist. Plant Gas Additions'!$F$5:$AE$5,0))</f>
        <v>75644</v>
      </c>
      <c r="BT1242" s="118">
        <f>INDEX('Gen. Plant Additions'!$F$7:$AE$91,MATCH($C1242,'Gen. Plant Additions'!$D$7:$D$91,0),MATCH(Calculation!$G1242,'Gen. Plant Additions'!$F$5:$AE$5,0))</f>
        <v>11970</v>
      </c>
      <c r="BU1242" s="118"/>
      <c r="BV1242" s="118"/>
      <c r="BW1242" s="118">
        <f>INDEX('Dist Plant Depreciation'!$E$7:$AD$94,MATCH($C1242,'Dist Plant Depreciation'!$D$7:$D$94,0),MATCH(Calculation!$G1242,'Dist Plant Depreciation'!$E$5:$AD$5,0))</f>
        <v>850473</v>
      </c>
      <c r="BX1242" s="118">
        <f>INDEX('Gen. Plant Depreciation'!$E$7:$AD$94,MATCH($C1242,'Gen. Plant Depreciation'!$D$7:$D$94,0),MATCH(Calculation!$G1242,'Gen. Plant Depreciation'!$E$5:$AD$5,0))</f>
        <v>23484</v>
      </c>
      <c r="BY1242" s="118"/>
      <c r="BZ1242" s="118"/>
      <c r="CA1242" s="118"/>
      <c r="CB1242" s="118"/>
      <c r="CC1242" s="118"/>
      <c r="CD1242" s="183"/>
      <c r="CE1242" s="118">
        <f>INDEX('Gross Dx Plant'!$E$7:$AD$91,MATCH($C1242,'Gross Dx Plant'!$D$7:$D$91,0),MATCH(Calculation!$G1242,'Gross Dx Plant'!$E$5:$AD$5,0))</f>
        <v>2093107</v>
      </c>
      <c r="CF1242" s="118">
        <f>INDEX('Gross Gen Plant'!$E$7:$AD$91,MATCH($C1242,'Gross Gen Plant'!$D$7:$D$91,0),MATCH(Calculation!$G1242,'Gross Gen Plant'!$E$5:$AD$5,0))</f>
        <v>179612</v>
      </c>
      <c r="CG1242" s="118">
        <f t="shared" si="3556"/>
        <v>1398762</v>
      </c>
      <c r="CH1242" s="118"/>
      <c r="CI1242" s="121">
        <v>2004</v>
      </c>
      <c r="CJ1242" s="118"/>
      <c r="CK1242" s="118"/>
      <c r="CL1242" s="118"/>
      <c r="CM1242" s="183"/>
      <c r="CN1242" s="118">
        <f t="shared" si="3713"/>
        <v>87614</v>
      </c>
      <c r="CO1242" s="118">
        <f t="shared" si="3714"/>
        <v>211.17547571047169</v>
      </c>
      <c r="CP1242" s="186">
        <v>0.967741935483871</v>
      </c>
      <c r="CQ1242" s="118">
        <f>+CQ1236*CP1242+CO1237*CP1241+CO1238*CP1240+CO1239*CP1239+CO1240*CP1238+CO1241*CP1237+CO1242</f>
        <v>7036.7508625737592</v>
      </c>
      <c r="CR1242" s="119">
        <f t="shared" si="3715"/>
        <v>2.4630831111737791E-2</v>
      </c>
      <c r="CS1242" s="119"/>
      <c r="CT1242" s="177">
        <f t="shared" si="3716"/>
        <v>5.8220498324563202E-3</v>
      </c>
      <c r="CU1242" s="177">
        <f t="shared" si="3724"/>
        <v>5.733126924944665E-3</v>
      </c>
      <c r="CV1242" s="119">
        <f>VLOOKUP($H1242,RoR!$E:$F,2,FALSE)</f>
        <v>5.6283333333333331E-2</v>
      </c>
      <c r="CW1242" s="177">
        <v>2.6778252812867276E-2</v>
      </c>
      <c r="CX1242" s="177">
        <f t="shared" si="3722"/>
        <v>2.9505080520466055E-2</v>
      </c>
      <c r="CY1242" s="177">
        <f t="shared" si="3725"/>
        <v>2.5168814683588961E-2</v>
      </c>
      <c r="CZ1242" s="177">
        <f t="shared" si="3726"/>
        <v>5.5940039414565046E-2</v>
      </c>
      <c r="DA1242" s="187">
        <f t="shared" si="3717"/>
        <v>0.83875</v>
      </c>
      <c r="DB1242" s="188">
        <f t="shared" si="3718"/>
        <v>0.91114097628755619</v>
      </c>
      <c r="DC1242" s="188">
        <f t="shared" si="3719"/>
        <v>0.53081877405981637</v>
      </c>
      <c r="DD1242" s="188">
        <f t="shared" si="3720"/>
        <v>0.88811215519385678</v>
      </c>
      <c r="DE1242" s="188">
        <f t="shared" si="3721"/>
        <v>0.42953609753547711</v>
      </c>
      <c r="DF1242" s="189">
        <f>INDEX('State Tax Lookup'!$D$7:$Z$91,MATCH(Calculation!$C1242,'State Tax Lookup'!$B$7:$B$91,0),MATCH($H1242,'State Tax Lookup'!$D$6:$Z$6,0))</f>
        <v>0.43</v>
      </c>
      <c r="DG1242" s="189">
        <v>0.375</v>
      </c>
      <c r="DH1242" s="190">
        <f t="shared" si="3723"/>
        <v>15.283318138141652</v>
      </c>
      <c r="DI1242" s="190"/>
      <c r="DJ1242" s="177"/>
      <c r="DK1242" s="189">
        <f>VLOOKUP($H1242,RoR!$E:$F,2,FALSE)</f>
        <v>5.6283333333333331E-2</v>
      </c>
      <c r="DL1242" s="191">
        <f>HLOOKUP($H1242,'GDP-PI'!$D$8:$CQ$11,3,FALSE)</f>
        <v>2.6778252812867276E-2</v>
      </c>
      <c r="DM1242" s="189">
        <f>VLOOKUP(H1242,'HW Dx Data'!$E:$F,2,FALSE)</f>
        <v>414.88719135228365</v>
      </c>
      <c r="DN1242" s="183">
        <f>VLOOKUP(H1242,'ECI - Input Price'!$G$17:$H$37,2,FALSE)</f>
        <v>96.174999999999997</v>
      </c>
      <c r="DO1242" s="177">
        <f t="shared" ref="DO1242" si="3734">LN(DN1242/DN1241)</f>
        <v>3.7610365022107912E-2</v>
      </c>
      <c r="DP1242" s="183">
        <f>HLOOKUP(H1242,'GDP-PI'!$8:$9,2,FALSE)</f>
        <v>84.778000000000006</v>
      </c>
      <c r="DQ1242" s="177">
        <f t="shared" ref="DQ1242" si="3735">LN(DP1242/DP1241)</f>
        <v>2.6425990216022755E-2</v>
      </c>
    </row>
    <row r="1243" spans="1:121" s="167" customFormat="1" ht="21" x14ac:dyDescent="0.35">
      <c r="A1243" s="167" t="s">
        <v>116</v>
      </c>
      <c r="B1243" s="167" t="s">
        <v>116</v>
      </c>
      <c r="C1243" s="167">
        <v>4058284</v>
      </c>
      <c r="D1243" s="168" t="s">
        <v>152</v>
      </c>
      <c r="E1243" s="168"/>
      <c r="F1243" s="198"/>
      <c r="G1243" s="167" t="s">
        <v>11</v>
      </c>
      <c r="H1243" s="169">
        <v>2005</v>
      </c>
      <c r="I1243" s="170"/>
      <c r="J1243" s="166">
        <f>IFERROR(INDEX('Labor Expenditures'!$F$7:$X$91,MATCH($C1243,'Labor Expenditures'!$D$7:$D$91,0),MATCH($G1243,'Labor Expenditures'!$F$5:$X$5,0)),"NA")</f>
        <v>77726.347590161648</v>
      </c>
      <c r="K1243" s="166">
        <f t="shared" si="3729"/>
        <v>783.92685416199333</v>
      </c>
      <c r="L1243" s="172">
        <f t="shared" ref="L1243:L1259" si="3736">LN(K1243/K1242)</f>
        <v>5.0363562355056034E-3</v>
      </c>
      <c r="M1243" s="172"/>
      <c r="N1243" s="196"/>
      <c r="O1243" s="172"/>
      <c r="P1243" s="166">
        <f>IFERROR(INDEX('Non-Labor Expenditures'!$F$7:$AB$91,MATCH($C1243,'Non-Labor Expenditures'!$D$7:$D$91,0),MATCH($G1243,'Non-Labor Expenditures'!$F$5:$AB$5,0)),"NA")</f>
        <v>112562.26858977774</v>
      </c>
      <c r="Q1243" s="166">
        <f t="shared" si="3730"/>
        <v>1287.794668502268</v>
      </c>
      <c r="R1243" s="172">
        <f>LN(Q1243/Q1242)</f>
        <v>4.9614667522184094E-3</v>
      </c>
      <c r="S1243" s="172"/>
      <c r="T1243" s="172"/>
      <c r="U1243" s="172"/>
      <c r="V1243" s="166">
        <f t="shared" si="3711"/>
        <v>120872.2323593972</v>
      </c>
      <c r="W1243" s="170"/>
      <c r="X1243" s="174">
        <v>7182.6381594217464</v>
      </c>
      <c r="Y1243" s="175">
        <v>2.0520208816160474E-2</v>
      </c>
      <c r="Z1243" s="175"/>
      <c r="AA1243" s="175"/>
      <c r="AB1243" s="175"/>
      <c r="AC1243" s="170">
        <f t="shared" si="3648"/>
        <v>311160.84853933658</v>
      </c>
      <c r="AD1243" s="175">
        <f>LN(AC1243/AC1242)</f>
        <v>7.5337398161596139E-2</v>
      </c>
      <c r="AE1243" s="170"/>
      <c r="AF1243" s="170"/>
      <c r="AG1243" s="121"/>
      <c r="AH1243" s="119"/>
      <c r="AI1243" s="119"/>
      <c r="AJ1243" s="121"/>
      <c r="AK1243" s="121"/>
      <c r="AL1243" s="120">
        <f t="shared" si="3731"/>
        <v>0.24979475391916336</v>
      </c>
      <c r="AM1243" s="120">
        <f t="shared" si="3732"/>
        <v>0.36174945889938254</v>
      </c>
      <c r="AN1243" s="120">
        <f t="shared" si="3733"/>
        <v>0.38845578718145407</v>
      </c>
      <c r="AO1243" s="120">
        <f t="shared" ref="AO1243:AO1259" si="3737">+(((AL1243+AL1242)/2)*L1243+((AM1242+AM1243)/2)*R1243+((AN1242+AN1243)/2)*Y1243)</f>
        <v>1.083109175374062E-2</v>
      </c>
      <c r="AP1243" s="173">
        <v>100</v>
      </c>
      <c r="AQ1243" s="175"/>
      <c r="AR1243" s="120"/>
      <c r="AS1243" s="120"/>
      <c r="AT1243" s="120"/>
      <c r="AU1243" s="120"/>
      <c r="AV1243" s="120"/>
      <c r="AW1243" s="120"/>
      <c r="AX1243" s="120"/>
      <c r="AY1243" s="120"/>
      <c r="AZ1243" s="118">
        <f>IFERROR(INDEX('Total Customers'!$F$7:$AB$91,MATCH($C1243,'Total Customers'!$D$7:$D$91,0),MATCH($G1243,'Total Customers'!$F$5:$AB$5,0)),"NA")</f>
        <v>1004553</v>
      </c>
      <c r="BA1243" s="119">
        <f t="shared" si="3712"/>
        <v>2.3860051494644294E-2</v>
      </c>
      <c r="BB1243" s="119"/>
      <c r="BC1243" s="121"/>
      <c r="BD1243" s="119"/>
      <c r="BE1243" s="119"/>
      <c r="BF1243" s="119"/>
      <c r="BG1243" s="173"/>
      <c r="BH1243" s="173"/>
      <c r="BI1243" s="173"/>
      <c r="BJ1243" s="173"/>
      <c r="BK1243" s="173"/>
      <c r="BL1243" s="173"/>
      <c r="BM1243" s="173"/>
      <c r="BN1243" s="173"/>
      <c r="BO1243" s="173"/>
      <c r="BP1243" s="173"/>
      <c r="BQ1243" s="118"/>
      <c r="BR1243" s="118"/>
      <c r="BS1243" s="118">
        <f>INDEX('Dist. Plant Gas Additions'!$F$7:$AE$91,MATCH($C1243,'Dist. Plant Gas Additions'!$D$7:$D$91,0),MATCH(Calculation!$G1243,'Dist. Plant Gas Additions'!$F$5:$AE$5,0))</f>
        <v>70998</v>
      </c>
      <c r="BT1243" s="118">
        <f>INDEX('Gen. Plant Additions'!$F$7:$AE$91,MATCH($C1243,'Gen. Plant Additions'!$D$7:$D$91,0),MATCH(Calculation!$G1243,'Gen. Plant Additions'!$F$5:$AE$5,0))</f>
        <v>17310</v>
      </c>
      <c r="BU1243" s="118"/>
      <c r="BV1243" s="118"/>
      <c r="BW1243" s="118">
        <f>INDEX('Dist Plant Depreciation'!$E$7:$AD$94,MATCH($C1243,'Dist Plant Depreciation'!$D$7:$D$94,0),MATCH(Calculation!$G1243,'Dist Plant Depreciation'!$E$5:$AD$5,0))</f>
        <v>907746</v>
      </c>
      <c r="BX1243" s="118">
        <f>INDEX('Gen. Plant Depreciation'!$E$7:$AD$94,MATCH($C1243,'Gen. Plant Depreciation'!$D$7:$D$94,0),MATCH(Calculation!$G1243,'Gen. Plant Depreciation'!$E$5:$AD$5,0))</f>
        <v>24842</v>
      </c>
      <c r="BY1243" s="118"/>
      <c r="BZ1243" s="118"/>
      <c r="CA1243" s="118"/>
      <c r="CB1243" s="118"/>
      <c r="CC1243" s="118"/>
      <c r="CD1243" s="183"/>
      <c r="CE1243" s="118">
        <f>INDEX('Gross Dx Plant'!$E$7:$AD$91,MATCH($C1243,'Gross Dx Plant'!$D$7:$D$91,0),MATCH(Calculation!$G1243,'Gross Dx Plant'!$E$5:$AD$5,0))</f>
        <v>2160688</v>
      </c>
      <c r="CF1243" s="118">
        <f>INDEX('Gross Gen Plant'!$E$7:$AD$91,MATCH($C1243,'Gross Gen Plant'!$D$7:$D$91,0),MATCH(Calculation!$G1243,'Gross Gen Plant'!$E$5:$AD$5,0))</f>
        <v>193831</v>
      </c>
      <c r="CG1243" s="118">
        <f t="shared" si="3556"/>
        <v>1421931</v>
      </c>
      <c r="CH1243" s="118"/>
      <c r="CI1243" s="121">
        <v>2005</v>
      </c>
      <c r="CJ1243" s="118"/>
      <c r="CK1243" s="118"/>
      <c r="CL1243" s="118"/>
      <c r="CM1243" s="183"/>
      <c r="CN1243" s="118">
        <f t="shared" si="3713"/>
        <v>88308</v>
      </c>
      <c r="CO1243" s="118">
        <f t="shared" si="3714"/>
        <v>188.20765674955584</v>
      </c>
      <c r="CP1243" s="186">
        <v>0.96174863387978138</v>
      </c>
      <c r="CQ1243" s="118">
        <f>+CQ1236*CP1243+CO1237*CP1242+CO1238*CP1241+CO1239*CP1240+CO1240*CP1239+CO1241*CP1238+CO1242*CP1237+CO1243</f>
        <v>7182.6381594217464</v>
      </c>
      <c r="CR1243" s="119">
        <f t="shared" si="3715"/>
        <v>2.0520208816160474E-2</v>
      </c>
      <c r="CS1243" s="119"/>
      <c r="CT1243" s="177">
        <f t="shared" si="3716"/>
        <v>6.0141904592156455E-3</v>
      </c>
      <c r="CU1243" s="177">
        <f t="shared" si="3724"/>
        <v>5.8265312851031531E-3</v>
      </c>
      <c r="CV1243" s="119">
        <f>VLOOKUP($H1243,RoR!$E:$F,2,FALSE)</f>
        <v>5.2350000000000001E-2</v>
      </c>
      <c r="CW1243" s="177">
        <v>3.1010403642454332E-2</v>
      </c>
      <c r="CX1243" s="177">
        <f t="shared" si="3722"/>
        <v>2.1339596357545669E-2</v>
      </c>
      <c r="CY1243" s="177">
        <f t="shared" si="3725"/>
        <v>2.5075410323430473E-2</v>
      </c>
      <c r="CZ1243" s="177">
        <f t="shared" si="3726"/>
        <v>9.2129610649277341E-2</v>
      </c>
      <c r="DA1243" s="187">
        <f t="shared" si="3717"/>
        <v>0.83875</v>
      </c>
      <c r="DB1243" s="188">
        <f t="shared" si="3718"/>
        <v>0.97959983346802826</v>
      </c>
      <c r="DC1243" s="188">
        <f t="shared" si="3719"/>
        <v>0.49744508118433622</v>
      </c>
      <c r="DD1243" s="188">
        <f t="shared" si="3720"/>
        <v>0.87010519444335932</v>
      </c>
      <c r="DE1243" s="188">
        <f t="shared" si="3721"/>
        <v>0.42399975420741998</v>
      </c>
      <c r="DF1243" s="189">
        <f>INDEX('State Tax Lookup'!$D$7:$Z$91,MATCH(Calculation!$C1243,'State Tax Lookup'!$B$7:$B$91,0),MATCH($H1243,'State Tax Lookup'!$D$6:$Z$6,0))</f>
        <v>0.43</v>
      </c>
      <c r="DG1243" s="189">
        <v>0.375</v>
      </c>
      <c r="DH1243" s="190">
        <f t="shared" si="3723"/>
        <v>17.177278934554607</v>
      </c>
      <c r="DI1243" s="190"/>
      <c r="DJ1243" s="177"/>
      <c r="DK1243" s="189">
        <f>VLOOKUP($H1243,RoR!$E:$F,2,FALSE)</f>
        <v>5.2350000000000001E-2</v>
      </c>
      <c r="DL1243" s="191">
        <f>HLOOKUP($H1243,'GDP-PI'!$D$8:$CQ$11,3,FALSE)</f>
        <v>3.1010403642454332E-2</v>
      </c>
      <c r="DM1243" s="189">
        <f>VLOOKUP(H1243,'HW Dx Data'!$E:$F,2,FALSE)</f>
        <v>469.20514034936258</v>
      </c>
      <c r="DN1243" s="183">
        <f>VLOOKUP(H1243,'ECI - Input Price'!$G$17:$H$37,2,FALSE)</f>
        <v>99.15</v>
      </c>
      <c r="DO1243" s="177">
        <f t="shared" ref="DO1243" si="3738">LN(DN1243/DN1242)</f>
        <v>3.046440632744625E-2</v>
      </c>
      <c r="DP1243" s="183">
        <f>HLOOKUP(H1243,'GDP-PI'!$8:$9,2,FALSE)</f>
        <v>87.406999999999996</v>
      </c>
      <c r="DQ1243" s="177">
        <f t="shared" ref="DQ1243" si="3739">LN(DP1243/DP1242)</f>
        <v>3.0539295810733648E-2</v>
      </c>
    </row>
    <row r="1244" spans="1:121" s="167" customFormat="1" ht="21" x14ac:dyDescent="0.35">
      <c r="A1244" s="167" t="s">
        <v>116</v>
      </c>
      <c r="B1244" s="167" t="s">
        <v>116</v>
      </c>
      <c r="C1244" s="167">
        <v>4058284</v>
      </c>
      <c r="D1244" s="168" t="s">
        <v>152</v>
      </c>
      <c r="E1244" s="168"/>
      <c r="F1244" s="198"/>
      <c r="G1244" s="167" t="s">
        <v>12</v>
      </c>
      <c r="H1244" s="169">
        <v>2006</v>
      </c>
      <c r="I1244" s="170"/>
      <c r="J1244" s="166">
        <f>IFERROR(INDEX('Labor Expenditures'!$F$7:$X$91,MATCH($C1244,'Labor Expenditures'!$D$7:$D$91,0),MATCH($G1244,'Labor Expenditures'!$F$5:$X$5,0)),"NA")</f>
        <v>78034.766388958175</v>
      </c>
      <c r="K1244" s="166">
        <f t="shared" si="3729"/>
        <v>764.67189014167741</v>
      </c>
      <c r="L1244" s="172">
        <f t="shared" si="3736"/>
        <v>-2.4868877688814611E-2</v>
      </c>
      <c r="M1244" s="172">
        <f t="shared" ref="M1244:M1259" si="3740">+L1244*AR1244</f>
        <v>-9.7379342946326869E-4</v>
      </c>
      <c r="N1244" s="196"/>
      <c r="O1244" s="172"/>
      <c r="P1244" s="166">
        <f>IFERROR(INDEX('Non-Labor Expenditures'!$F$7:$AB$91,MATCH($C1244,'Non-Labor Expenditures'!$D$7:$D$91,0),MATCH($G1244,'Non-Labor Expenditures'!$F$5:$AB$5,0)),"NA")</f>
        <v>113008.91661512075</v>
      </c>
      <c r="Q1244" s="166">
        <f t="shared" si="3730"/>
        <v>1254.6230501045891</v>
      </c>
      <c r="R1244" s="172">
        <f t="shared" ref="R1244:R1259" si="3741">LN(Q1244/Q1243)</f>
        <v>-2.609602712422043E-2</v>
      </c>
      <c r="S1244" s="172">
        <f>+R1244*AR1244</f>
        <v>-1.0218450573702741E-3</v>
      </c>
      <c r="T1244" s="172"/>
      <c r="U1244" s="172"/>
      <c r="V1244" s="166">
        <f t="shared" si="3711"/>
        <v>120433.06540321346</v>
      </c>
      <c r="W1244" s="170"/>
      <c r="X1244" s="174">
        <v>7422.4656969592106</v>
      </c>
      <c r="Y1244" s="175">
        <v>3.2844558902902853E-2</v>
      </c>
      <c r="Z1244" s="175">
        <f>+Y1244*AR1244</f>
        <v>1.2860980721961415E-3</v>
      </c>
      <c r="AA1244" s="175"/>
      <c r="AB1244" s="175"/>
      <c r="AC1244" s="170">
        <f t="shared" si="3648"/>
        <v>311476.74840729241</v>
      </c>
      <c r="AD1244" s="175">
        <f t="shared" ref="AD1244:AD1259" si="3742">LN(AC1244/AC1243)</f>
        <v>1.0147151299902636E-3</v>
      </c>
      <c r="AE1244" s="170"/>
      <c r="AF1244" s="170"/>
      <c r="AG1244" s="121">
        <f t="shared" ref="AG1244:AG1259" si="3743">+(AC1244*1000)/AZ1244</f>
        <v>302.09957752103935</v>
      </c>
      <c r="AH1244" s="119">
        <f>+AZ1244/$BB$44</f>
        <v>2.9328894174901692E-2</v>
      </c>
      <c r="AI1244" s="119"/>
      <c r="AJ1244" s="176">
        <f>+AH1244*AG1244</f>
        <v>8.8602465393970729</v>
      </c>
      <c r="AK1244" s="176">
        <f>+AI1244*AG1244</f>
        <v>0</v>
      </c>
      <c r="AL1244" s="120">
        <f t="shared" si="3731"/>
        <v>0.25053159437416034</v>
      </c>
      <c r="AM1244" s="120">
        <f t="shared" si="3732"/>
        <v>0.36281654150103149</v>
      </c>
      <c r="AN1244" s="120">
        <f t="shared" si="3733"/>
        <v>0.38665186412480812</v>
      </c>
      <c r="AO1244" s="120">
        <f t="shared" si="3737"/>
        <v>-2.9463899252579126E-3</v>
      </c>
      <c r="AP1244" s="173">
        <f>+AP1243*EXP(AO1244)</f>
        <v>99.70579464216361</v>
      </c>
      <c r="AQ1244" s="175">
        <f>LN(AP1244/AP1243)</f>
        <v>-2.9463899252579382E-3</v>
      </c>
      <c r="AR1244" s="177">
        <f>+AC1244/$AE$44</f>
        <v>3.9157112019625087E-2</v>
      </c>
      <c r="AS1244" s="177">
        <f>+AR1244*AQ1244</f>
        <v>-1.1537212035681987E-4</v>
      </c>
      <c r="AT1244" s="177"/>
      <c r="AU1244" s="177"/>
      <c r="AV1244" s="177"/>
      <c r="AW1244" s="190"/>
      <c r="AX1244" s="120"/>
      <c r="AY1244" s="120"/>
      <c r="AZ1244" s="118">
        <f>IFERROR(INDEX('Total Customers'!$F$7:$AB$91,MATCH($C1244,'Total Customers'!$D$7:$D$91,0),MATCH($G1244,'Total Customers'!$F$5:$AB$5,0)),"NA")</f>
        <v>1031040</v>
      </c>
      <c r="BA1244" s="119">
        <f t="shared" si="3712"/>
        <v>2.6025335117019096E-2</v>
      </c>
      <c r="BB1244" s="119"/>
      <c r="BC1244" s="121"/>
      <c r="BD1244" s="119"/>
      <c r="BE1244" s="119"/>
      <c r="BF1244" s="119"/>
      <c r="BG1244" s="173"/>
      <c r="BH1244" s="173"/>
      <c r="BI1244" s="173"/>
      <c r="BJ1244" s="173"/>
      <c r="BK1244" s="173"/>
      <c r="BL1244" s="173"/>
      <c r="BM1244" s="173"/>
      <c r="BN1244" s="173"/>
      <c r="BO1244" s="173"/>
      <c r="BP1244" s="173"/>
      <c r="BQ1244" s="118"/>
      <c r="BR1244" s="118"/>
      <c r="BS1244" s="118">
        <f>INDEX('Dist. Plant Gas Additions'!$F$7:$AE$91,MATCH($C1244,'Dist. Plant Gas Additions'!$D$7:$D$91,0),MATCH(Calculation!$G1244,'Dist. Plant Gas Additions'!$F$5:$AE$5,0))</f>
        <v>116598</v>
      </c>
      <c r="BT1244" s="118">
        <f>INDEX('Gen. Plant Additions'!$F$7:$AE$91,MATCH($C1244,'Gen. Plant Additions'!$D$7:$D$91,0),MATCH(Calculation!$G1244,'Gen. Plant Additions'!$F$5:$AE$5,0))</f>
        <v>14571</v>
      </c>
      <c r="BU1244" s="118"/>
      <c r="BV1244" s="118"/>
      <c r="BW1244" s="118">
        <f>INDEX('Dist Plant Depreciation'!$E$7:$AD$94,MATCH($C1244,'Dist Plant Depreciation'!$D$7:$D$94,0),MATCH(Calculation!$G1244,'Dist Plant Depreciation'!$E$5:$AD$5,0))</f>
        <v>905173</v>
      </c>
      <c r="BX1244" s="118">
        <f>INDEX('Gen. Plant Depreciation'!$E$7:$AD$94,MATCH($C1244,'Gen. Plant Depreciation'!$D$7:$D$94,0),MATCH(Calculation!$G1244,'Gen. Plant Depreciation'!$E$5:$AD$5,0))</f>
        <v>28000</v>
      </c>
      <c r="BY1244" s="118"/>
      <c r="BZ1244" s="118"/>
      <c r="CA1244" s="118"/>
      <c r="CB1244" s="118"/>
      <c r="CC1244" s="118"/>
      <c r="CD1244" s="183"/>
      <c r="CE1244" s="118">
        <f>INDEX('Gross Dx Plant'!$E$7:$AD$91,MATCH($C1244,'Gross Dx Plant'!$D$7:$D$91,0),MATCH(Calculation!$G1244,'Gross Dx Plant'!$E$5:$AD$5,0))</f>
        <v>2271180</v>
      </c>
      <c r="CF1244" s="118">
        <f>INDEX('Gross Gen Plant'!$E$7:$AD$91,MATCH($C1244,'Gross Gen Plant'!$D$7:$D$91,0),MATCH(Calculation!$G1244,'Gross Gen Plant'!$E$5:$AD$5,0))</f>
        <v>211439</v>
      </c>
      <c r="CG1244" s="118">
        <f t="shared" si="3556"/>
        <v>1549446</v>
      </c>
      <c r="CH1244" s="119" t="e">
        <f>SUM(#REF!)/15</f>
        <v>#REF!</v>
      </c>
      <c r="CI1244" s="121">
        <v>2006</v>
      </c>
      <c r="CJ1244" s="118"/>
      <c r="CK1244" s="118"/>
      <c r="CL1244" s="118"/>
      <c r="CM1244" s="183"/>
      <c r="CN1244" s="118">
        <f t="shared" si="3713"/>
        <v>131169</v>
      </c>
      <c r="CO1244" s="118">
        <f t="shared" si="3714"/>
        <v>284.47858555971521</v>
      </c>
      <c r="CP1244" s="186">
        <v>0.9555555555555556</v>
      </c>
      <c r="CQ1244" s="118">
        <f>+CQ1236*CP1244+CO1237*CP1243+CO1238*CP1242+CO1239*CP1241+CO1240*CP1240+CO1241*CP1239+CO1242*CP1238+CO1243*CP1237+CO1244</f>
        <v>7422.4656969592106</v>
      </c>
      <c r="CR1244" s="119">
        <f t="shared" si="3715"/>
        <v>3.2844558902902853E-2</v>
      </c>
      <c r="CS1244" s="119"/>
      <c r="CT1244" s="177">
        <f t="shared" si="3716"/>
        <v>6.2165247686437469E-3</v>
      </c>
      <c r="CU1244" s="177">
        <f t="shared" si="3724"/>
        <v>6.0175883534385709E-3</v>
      </c>
      <c r="CV1244" s="119">
        <f>VLOOKUP($H1244,RoR!$E:$F,2,FALSE)</f>
        <v>5.5874999999999994E-2</v>
      </c>
      <c r="CW1244" s="177">
        <v>3.0512430354548314E-2</v>
      </c>
      <c r="CX1244" s="177">
        <f t="shared" si="3722"/>
        <v>2.536256964545168E-2</v>
      </c>
      <c r="CY1244" s="177">
        <f t="shared" si="3725"/>
        <v>2.4884353255095054E-2</v>
      </c>
      <c r="CZ1244" s="177">
        <f t="shared" si="3726"/>
        <v>7.9087823893859641E-2</v>
      </c>
      <c r="DA1244" s="187">
        <f t="shared" si="3717"/>
        <v>0.83875</v>
      </c>
      <c r="DB1244" s="188">
        <f t="shared" si="3718"/>
        <v>0.91779957551769631</v>
      </c>
      <c r="DC1244" s="188">
        <f t="shared" si="3719"/>
        <v>0.52757270693512304</v>
      </c>
      <c r="DD1244" s="188">
        <f t="shared" si="3720"/>
        <v>0.88636824549024895</v>
      </c>
      <c r="DE1244" s="188">
        <f t="shared" si="3721"/>
        <v>0.42918482841932087</v>
      </c>
      <c r="DF1244" s="189">
        <f>INDEX('State Tax Lookup'!$D$7:$Z$91,MATCH(Calculation!$C1244,'State Tax Lookup'!$B$7:$B$91,0),MATCH($H1244,'State Tax Lookup'!$D$6:$Z$6,0))</f>
        <v>0.43</v>
      </c>
      <c r="DG1244" s="189">
        <v>0.375</v>
      </c>
      <c r="DH1244" s="190">
        <f t="shared" si="3723"/>
        <v>16.767246620273738</v>
      </c>
      <c r="DI1244" s="190">
        <v>16.276861224866785</v>
      </c>
      <c r="DJ1244" s="177"/>
      <c r="DK1244" s="189">
        <f>VLOOKUP($H1244,RoR!$E:$F,2,FALSE)</f>
        <v>5.5874999999999994E-2</v>
      </c>
      <c r="DL1244" s="191">
        <f>HLOOKUP($H1244,'GDP-PI'!$D$8:$CQ$11,3,FALSE)</f>
        <v>3.0512430354548314E-2</v>
      </c>
      <c r="DM1244" s="189">
        <f>VLOOKUP(H1244,'HW Dx Data'!$E:$F,2,FALSE)</f>
        <v>461.08567272971823</v>
      </c>
      <c r="DN1244" s="183">
        <f>VLOOKUP(H1244,'ECI - Input Price'!$G$17:$H$37,2,FALSE)</f>
        <v>102.05</v>
      </c>
      <c r="DO1244" s="177">
        <f t="shared" ref="DO1244" si="3744">LN(DN1244/DN1243)</f>
        <v>2.8829034290048662E-2</v>
      </c>
      <c r="DP1244" s="183">
        <f>HLOOKUP(H1244,'GDP-PI'!$8:$9,2,FALSE)</f>
        <v>90.073999999999998</v>
      </c>
      <c r="DQ1244" s="177">
        <f t="shared" ref="DQ1244" si="3745">LN(DP1244/DP1243)</f>
        <v>3.005618372545445E-2</v>
      </c>
    </row>
    <row r="1245" spans="1:121" s="167" customFormat="1" ht="21" x14ac:dyDescent="0.35">
      <c r="A1245" s="167" t="s">
        <v>116</v>
      </c>
      <c r="B1245" s="167" t="s">
        <v>116</v>
      </c>
      <c r="C1245" s="167">
        <v>4058284</v>
      </c>
      <c r="D1245" s="168" t="s">
        <v>152</v>
      </c>
      <c r="E1245" s="168"/>
      <c r="F1245" s="198"/>
      <c r="G1245" s="167" t="s">
        <v>13</v>
      </c>
      <c r="H1245" s="169">
        <v>2007</v>
      </c>
      <c r="I1245" s="170"/>
      <c r="J1245" s="166">
        <f>IFERROR(INDEX('Labor Expenditures'!$F$7:$X$91,MATCH($C1245,'Labor Expenditures'!$D$7:$D$91,0),MATCH($G1245,'Labor Expenditures'!$F$5:$X$5,0)),"NA")</f>
        <v>81767.656372917074</v>
      </c>
      <c r="K1245" s="166">
        <f t="shared" si="3729"/>
        <v>777.07442502178253</v>
      </c>
      <c r="L1245" s="172">
        <f t="shared" si="3736"/>
        <v>1.6089290833091106E-2</v>
      </c>
      <c r="M1245" s="172">
        <f t="shared" si="3740"/>
        <v>6.3915670495951881E-4</v>
      </c>
      <c r="N1245" s="196"/>
      <c r="O1245" s="172"/>
      <c r="P1245" s="166">
        <f>IFERROR(INDEX('Non-Labor Expenditures'!$F$7:$AB$91,MATCH($C1245,'Non-Labor Expenditures'!$D$7:$D$91,0),MATCH($G1245,'Non-Labor Expenditures'!$F$5:$AB$5,0)),"NA")</f>
        <v>118414.83851956976</v>
      </c>
      <c r="Q1245" s="166">
        <f t="shared" si="3730"/>
        <v>1280.188096170401</v>
      </c>
      <c r="R1245" s="172">
        <f t="shared" si="3741"/>
        <v>2.0171848283833688E-2</v>
      </c>
      <c r="S1245" s="172">
        <f t="shared" ref="S1245:S1259" si="3746">+R1245*AR1245</f>
        <v>8.0133874238392665E-4</v>
      </c>
      <c r="T1245" s="172"/>
      <c r="U1245" s="172"/>
      <c r="V1245" s="166">
        <f t="shared" si="3711"/>
        <v>133590.36133235646</v>
      </c>
      <c r="W1245" s="170"/>
      <c r="X1245" s="174">
        <v>7793.8275072053611</v>
      </c>
      <c r="Y1245" s="175">
        <v>4.882076903565561E-2</v>
      </c>
      <c r="Z1245" s="175">
        <f t="shared" ref="Z1245:Z1259" si="3747">+Y1245*AR1245</f>
        <v>1.939434260597821E-3</v>
      </c>
      <c r="AA1245" s="175"/>
      <c r="AB1245" s="175"/>
      <c r="AC1245" s="170">
        <f t="shared" si="3648"/>
        <v>333772.8562248433</v>
      </c>
      <c r="AD1245" s="175">
        <f t="shared" si="3742"/>
        <v>6.9135998956111153E-2</v>
      </c>
      <c r="AE1245" s="170"/>
      <c r="AF1245" s="170"/>
      <c r="AG1245" s="121">
        <f t="shared" si="3743"/>
        <v>318.50469658466426</v>
      </c>
      <c r="AH1245" s="119">
        <f>+AZ1245/$BB$45</f>
        <v>2.9586039494455554E-2</v>
      </c>
      <c r="AI1245" s="119"/>
      <c r="AJ1245" s="176">
        <f t="shared" ref="AJ1245:AJ1259" si="3748">+AH1245*AG1245</f>
        <v>9.42329253232346</v>
      </c>
      <c r="AK1245" s="176">
        <f t="shared" ref="AK1245:AK1259" si="3749">+AI1245*AG1245</f>
        <v>0</v>
      </c>
      <c r="AL1245" s="120">
        <f t="shared" si="3731"/>
        <v>0.24497994623575672</v>
      </c>
      <c r="AM1245" s="120">
        <f t="shared" si="3732"/>
        <v>0.35477671809178096</v>
      </c>
      <c r="AN1245" s="120">
        <f t="shared" si="3733"/>
        <v>0.40024333567246234</v>
      </c>
      <c r="AO1245" s="120">
        <f t="shared" si="3737"/>
        <v>3.043222022730125E-2</v>
      </c>
      <c r="AP1245" s="173">
        <f>+AP1244*EXP(AO1245)</f>
        <v>102.78670504384201</v>
      </c>
      <c r="AQ1245" s="175">
        <f>LN(AP1245/AP1244)</f>
        <v>3.0432220227301222E-2</v>
      </c>
      <c r="AR1245" s="177">
        <f>+AC1245/$AE$45</f>
        <v>3.9725598324380766E-2</v>
      </c>
      <c r="AS1245" s="177">
        <f t="shared" ref="AS1245:AS1259" si="3750">+AR1245*AQ1245</f>
        <v>1.2089381568688639E-3</v>
      </c>
      <c r="AT1245" s="177"/>
      <c r="AU1245" s="177"/>
      <c r="AV1245" s="177"/>
      <c r="AW1245" s="190"/>
      <c r="AX1245" s="120"/>
      <c r="AY1245" s="120"/>
      <c r="AZ1245" s="118">
        <f>IFERROR(INDEX('Total Customers'!$F$7:$AB$91,MATCH($C1245,'Total Customers'!$D$7:$D$91,0),MATCH($G1245,'Total Customers'!$F$5:$AB$5,0)),"NA")</f>
        <v>1047937</v>
      </c>
      <c r="BA1245" s="119">
        <f t="shared" si="3712"/>
        <v>1.6255468021666514E-2</v>
      </c>
      <c r="BB1245" s="119"/>
      <c r="BC1245" s="121"/>
      <c r="BD1245" s="119"/>
      <c r="BE1245" s="119"/>
      <c r="BF1245" s="119"/>
      <c r="BG1245" s="173"/>
      <c r="BH1245" s="173"/>
      <c r="BI1245" s="173"/>
      <c r="BJ1245" s="173"/>
      <c r="BK1245" s="173"/>
      <c r="BL1245" s="173"/>
      <c r="BM1245" s="173"/>
      <c r="BN1245" s="173"/>
      <c r="BO1245" s="173"/>
      <c r="BP1245" s="173"/>
      <c r="BQ1245" s="118"/>
      <c r="BR1245" s="118"/>
      <c r="BS1245" s="118">
        <f>INDEX('Dist. Plant Gas Additions'!$F$7:$AE$91,MATCH($C1245,'Dist. Plant Gas Additions'!$D$7:$D$91,0),MATCH(Calculation!$G1245,'Dist. Plant Gas Additions'!$F$5:$AE$5,0))</f>
        <v>87593</v>
      </c>
      <c r="BT1245" s="118">
        <f>INDEX('Gen. Plant Additions'!$F$7:$AE$91,MATCH($C1245,'Gen. Plant Additions'!$D$7:$D$91,0),MATCH(Calculation!$G1245,'Gen. Plant Additions'!$F$5:$AE$5,0))</f>
        <v>121039</v>
      </c>
      <c r="BU1245" s="118"/>
      <c r="BV1245" s="118"/>
      <c r="BW1245" s="118">
        <f>INDEX('Dist Plant Depreciation'!$E$7:$AD$94,MATCH($C1245,'Dist Plant Depreciation'!$D$7:$D$94,0),MATCH(Calculation!$G1245,'Dist Plant Depreciation'!$E$5:$AD$5,0))</f>
        <v>972645</v>
      </c>
      <c r="BX1245" s="118">
        <f>INDEX('Gen. Plant Depreciation'!$E$7:$AD$94,MATCH($C1245,'Gen. Plant Depreciation'!$D$7:$D$94,0),MATCH(Calculation!$G1245,'Gen. Plant Depreciation'!$E$5:$AD$5,0))</f>
        <v>11132</v>
      </c>
      <c r="BY1245" s="118"/>
      <c r="BZ1245" s="118"/>
      <c r="CA1245" s="118"/>
      <c r="CB1245" s="118"/>
      <c r="CC1245" s="118"/>
      <c r="CD1245" s="183"/>
      <c r="CE1245" s="118">
        <f>INDEX('Gross Dx Plant'!$E$7:$AD$91,MATCH($C1245,'Gross Dx Plant'!$D$7:$D$91,0),MATCH(Calculation!$G1245,'Gross Dx Plant'!$E$5:$AD$5,0))</f>
        <v>2353154</v>
      </c>
      <c r="CF1245" s="118">
        <f>INDEX('Gross Gen Plant'!$E$7:$AD$91,MATCH($C1245,'Gross Gen Plant'!$D$7:$D$91,0),MATCH(Calculation!$G1245,'Gross Gen Plant'!$E$5:$AD$5,0))</f>
        <v>202333</v>
      </c>
      <c r="CG1245" s="118">
        <f t="shared" si="3556"/>
        <v>1571710</v>
      </c>
      <c r="CH1245" s="118"/>
      <c r="CI1245" s="121">
        <v>2007</v>
      </c>
      <c r="CJ1245" s="118"/>
      <c r="CK1245" s="118"/>
      <c r="CL1245" s="118"/>
      <c r="CM1245" s="183"/>
      <c r="CN1245" s="118">
        <f t="shared" si="3713"/>
        <v>208632</v>
      </c>
      <c r="CO1245" s="118">
        <f t="shared" si="3714"/>
        <v>418.92098710489353</v>
      </c>
      <c r="CP1245" s="186">
        <v>0.94915254237288138</v>
      </c>
      <c r="CQ1245" s="118">
        <f>+CQ1236*CP1245+CO1237*CP1244+CO1238*CP1243+CO1239*CP1242+CO1240*CP1241+CO1241*CP1240+CO1242*CP1239+CO1243*CP1238+CO1244*CP1237+CO1245</f>
        <v>7793.8275072053611</v>
      </c>
      <c r="CR1245" s="119">
        <f t="shared" si="3715"/>
        <v>4.882076903565561E-2</v>
      </c>
      <c r="CS1245" s="119"/>
      <c r="CT1245" s="177">
        <f t="shared" si="3716"/>
        <v>6.4074633417607772E-3</v>
      </c>
      <c r="CU1245" s="177">
        <f t="shared" si="3724"/>
        <v>6.2127261898733896E-3</v>
      </c>
      <c r="CV1245" s="119">
        <f>VLOOKUP($H1245,RoR!$E:$F,2,FALSE)</f>
        <v>5.5558333333333321E-2</v>
      </c>
      <c r="CW1245" s="177">
        <v>2.691120634145272E-2</v>
      </c>
      <c r="CX1245" s="177">
        <f t="shared" si="3722"/>
        <v>2.86471269918806E-2</v>
      </c>
      <c r="CY1245" s="177">
        <f t="shared" si="3725"/>
        <v>2.4689215418660235E-2</v>
      </c>
      <c r="CZ1245" s="177">
        <f t="shared" si="3726"/>
        <v>6.4575155250632399E-2</v>
      </c>
      <c r="DA1245" s="187">
        <f t="shared" si="3717"/>
        <v>0.83875</v>
      </c>
      <c r="DB1245" s="188">
        <f t="shared" si="3718"/>
        <v>0.92303077153834634</v>
      </c>
      <c r="DC1245" s="188">
        <f t="shared" si="3719"/>
        <v>0.52502249887505614</v>
      </c>
      <c r="DD1245" s="188">
        <f t="shared" si="3720"/>
        <v>0.88499666072084604</v>
      </c>
      <c r="DE1245" s="188">
        <f t="shared" si="3721"/>
        <v>0.42887993290280618</v>
      </c>
      <c r="DF1245" s="189">
        <f>INDEX('State Tax Lookup'!$D$7:$Z$91,MATCH(Calculation!$C1245,'State Tax Lookup'!$B$7:$B$91,0),MATCH($H1245,'State Tax Lookup'!$D$6:$Z$6,0))</f>
        <v>0.43</v>
      </c>
      <c r="DG1245" s="189">
        <v>0.375</v>
      </c>
      <c r="DH1245" s="190">
        <f t="shared" si="3723"/>
        <v>17.998110976394937</v>
      </c>
      <c r="DI1245" s="190">
        <v>17.740421368264432</v>
      </c>
      <c r="DJ1245" s="177"/>
      <c r="DK1245" s="189">
        <f>VLOOKUP($H1245,RoR!$E:$F,2,FALSE)</f>
        <v>5.5558333333333321E-2</v>
      </c>
      <c r="DL1245" s="191">
        <f>HLOOKUP($H1245,'GDP-PI'!$D$8:$CQ$11,3,FALSE)</f>
        <v>2.691120634145272E-2</v>
      </c>
      <c r="DM1245" s="189">
        <f>VLOOKUP(H1245,'HW Dx Data'!$E:$F,2,FALSE)</f>
        <v>498.0223154772637</v>
      </c>
      <c r="DN1245" s="183">
        <f>VLOOKUP(H1245,'ECI - Input Price'!$G$17:$H$37,2,FALSE)</f>
        <v>105.22500000000001</v>
      </c>
      <c r="DO1245" s="177">
        <f t="shared" ref="DO1245" si="3751">LN(DN1245/DN1244)</f>
        <v>3.0638025400780679E-2</v>
      </c>
      <c r="DP1245" s="183">
        <f>HLOOKUP(H1245,'GDP-PI'!$8:$9,2,FALSE)</f>
        <v>92.498000000000005</v>
      </c>
      <c r="DQ1245" s="177">
        <f t="shared" ref="DQ1245" si="3752">LN(DP1245/DP1244)</f>
        <v>2.6555467950038037E-2</v>
      </c>
    </row>
    <row r="1246" spans="1:121" s="167" customFormat="1" ht="21" x14ac:dyDescent="0.35">
      <c r="A1246" s="167" t="s">
        <v>116</v>
      </c>
      <c r="B1246" s="167" t="s">
        <v>116</v>
      </c>
      <c r="C1246" s="167">
        <v>4058284</v>
      </c>
      <c r="D1246" s="168" t="s">
        <v>152</v>
      </c>
      <c r="E1246" s="168"/>
      <c r="F1246" s="198"/>
      <c r="G1246" s="167" t="s">
        <v>14</v>
      </c>
      <c r="H1246" s="169">
        <v>2008</v>
      </c>
      <c r="I1246" s="170"/>
      <c r="J1246" s="166">
        <f>IFERROR(INDEX('Labor Expenditures'!$F$7:$X$91,MATCH($C1246,'Labor Expenditures'!$D$7:$D$91,0),MATCH($G1246,'Labor Expenditures'!$F$5:$X$5,0)),"NA")</f>
        <v>80446.400946603288</v>
      </c>
      <c r="K1246" s="166">
        <f t="shared" si="3729"/>
        <v>743.32548807210253</v>
      </c>
      <c r="L1246" s="172">
        <f t="shared" si="3736"/>
        <v>-4.4402109312098557E-2</v>
      </c>
      <c r="M1246" s="172">
        <f t="shared" si="3740"/>
        <v>-1.7613088660805643E-3</v>
      </c>
      <c r="N1246" s="196"/>
      <c r="O1246" s="172"/>
      <c r="P1246" s="166">
        <f>IFERROR(INDEX('Non-Labor Expenditures'!$F$7:$AB$91,MATCH($C1246,'Non-Labor Expenditures'!$D$7:$D$91,0),MATCH($G1246,'Non-Labor Expenditures'!$F$5:$AB$5,0)),"NA")</f>
        <v>116501.41388579398</v>
      </c>
      <c r="Q1246" s="166">
        <f t="shared" si="3730"/>
        <v>1235.9056891898708</v>
      </c>
      <c r="R1246" s="172">
        <f t="shared" si="3741"/>
        <v>-3.5202964388721142E-2</v>
      </c>
      <c r="S1246" s="172">
        <f t="shared" si="3746"/>
        <v>-1.3964042305818667E-3</v>
      </c>
      <c r="T1246" s="172"/>
      <c r="U1246" s="172"/>
      <c r="V1246" s="166">
        <f t="shared" si="3711"/>
        <v>159345.0869850982</v>
      </c>
      <c r="W1246" s="170"/>
      <c r="X1246" s="174">
        <v>7948.7643428975762</v>
      </c>
      <c r="Y1246" s="175">
        <v>1.9684412833084343E-2</v>
      </c>
      <c r="Z1246" s="175">
        <f t="shared" si="3747"/>
        <v>7.8082621261991764E-4</v>
      </c>
      <c r="AA1246" s="175"/>
      <c r="AB1246" s="175"/>
      <c r="AC1246" s="170">
        <f t="shared" si="3648"/>
        <v>356292.90181749547</v>
      </c>
      <c r="AD1246" s="175">
        <f t="shared" si="3742"/>
        <v>6.5292460046293868E-2</v>
      </c>
      <c r="AE1246" s="170"/>
      <c r="AF1246" s="170"/>
      <c r="AG1246" s="121">
        <f t="shared" si="3743"/>
        <v>337.51684000785832</v>
      </c>
      <c r="AH1246" s="119">
        <f>+AZ1246/$BB$46</f>
        <v>2.96443260019442E-2</v>
      </c>
      <c r="AI1246" s="119"/>
      <c r="AJ1246" s="176">
        <f t="shared" si="3748"/>
        <v>10.005459236338995</v>
      </c>
      <c r="AK1246" s="176">
        <f t="shared" si="3749"/>
        <v>0</v>
      </c>
      <c r="AL1246" s="120">
        <f t="shared" si="3731"/>
        <v>0.22578726810507857</v>
      </c>
      <c r="AM1246" s="120">
        <f t="shared" si="3732"/>
        <v>0.32698213546075555</v>
      </c>
      <c r="AN1246" s="120">
        <f t="shared" si="3733"/>
        <v>0.44723059643416585</v>
      </c>
      <c r="AO1246" s="120">
        <f t="shared" si="3737"/>
        <v>-1.4110481605077515E-2</v>
      </c>
      <c r="AP1246" s="173">
        <f t="shared" ref="AP1246:AP1259" si="3753">+AP1245*EXP(AO1246)</f>
        <v>101.34651988186819</v>
      </c>
      <c r="AQ1246" s="175">
        <f t="shared" ref="AQ1246:AQ1259" si="3754">LN(AP1246/AP1245)</f>
        <v>-1.4110481605077514E-2</v>
      </c>
      <c r="AR1246" s="177">
        <f>+AC1246/$AE$46</f>
        <v>3.9667234132966023E-2</v>
      </c>
      <c r="AS1246" s="177">
        <f t="shared" si="3750"/>
        <v>-5.5972377755751992E-4</v>
      </c>
      <c r="AT1246" s="177"/>
      <c r="AU1246" s="177"/>
      <c r="AV1246" s="177"/>
      <c r="AW1246" s="190"/>
      <c r="AX1246" s="120"/>
      <c r="AY1246" s="120"/>
      <c r="AZ1246" s="118">
        <f>IFERROR(INDEX('Total Customers'!$F$7:$AB$91,MATCH($C1246,'Total Customers'!$D$7:$D$91,0),MATCH($G1246,'Total Customers'!$F$5:$AB$5,0)),"NA")</f>
        <v>1055630</v>
      </c>
      <c r="BA1246" s="119">
        <f t="shared" si="3712"/>
        <v>7.3142755111171003E-3</v>
      </c>
      <c r="BB1246" s="119"/>
      <c r="BC1246" s="121"/>
      <c r="BD1246" s="119"/>
      <c r="BE1246" s="119"/>
      <c r="BF1246" s="119"/>
      <c r="BG1246" s="173"/>
      <c r="BH1246" s="173"/>
      <c r="BI1246" s="173"/>
      <c r="BJ1246" s="173"/>
      <c r="BK1246" s="173"/>
      <c r="BL1246" s="173"/>
      <c r="BM1246" s="173"/>
      <c r="BN1246" s="173"/>
      <c r="BO1246" s="173"/>
      <c r="BP1246" s="173"/>
      <c r="BQ1246" s="118"/>
      <c r="BR1246" s="118"/>
      <c r="BS1246" s="118">
        <f>INDEX('Dist. Plant Gas Additions'!$F$7:$AE$91,MATCH($C1246,'Dist. Plant Gas Additions'!$D$7:$D$91,0),MATCH(Calculation!$G1246,'Dist. Plant Gas Additions'!$F$5:$AE$5,0))</f>
        <v>103244</v>
      </c>
      <c r="BT1246" s="118">
        <f>INDEX('Gen. Plant Additions'!$F$7:$AE$91,MATCH($C1246,'Gen. Plant Additions'!$D$7:$D$91,0),MATCH(Calculation!$G1246,'Gen. Plant Additions'!$F$5:$AE$5,0))</f>
        <v>14261</v>
      </c>
      <c r="BU1246" s="118"/>
      <c r="BV1246" s="118"/>
      <c r="BW1246" s="118">
        <f>INDEX('Dist Plant Depreciation'!$E$7:$AD$94,MATCH($C1246,'Dist Plant Depreciation'!$D$7:$D$94,0),MATCH(Calculation!$G1246,'Dist Plant Depreciation'!$E$5:$AD$5,0))</f>
        <v>1030643</v>
      </c>
      <c r="BX1246" s="118">
        <f>INDEX('Gen. Plant Depreciation'!$E$7:$AD$94,MATCH($C1246,'Gen. Plant Depreciation'!$D$7:$D$94,0),MATCH(Calculation!$G1246,'Gen. Plant Depreciation'!$E$5:$AD$5,0))</f>
        <v>5837</v>
      </c>
      <c r="BY1246" s="118"/>
      <c r="BZ1246" s="118"/>
      <c r="CA1246" s="118"/>
      <c r="CB1246" s="118"/>
      <c r="CC1246" s="118"/>
      <c r="CD1246" s="183"/>
      <c r="CE1246" s="118">
        <f>INDEX('Gross Dx Plant'!$E$7:$AD$91,MATCH($C1246,'Gross Dx Plant'!$D$7:$D$91,0),MATCH(Calculation!$G1246,'Gross Dx Plant'!$E$5:$AD$5,0))</f>
        <v>2448401</v>
      </c>
      <c r="CF1246" s="118">
        <f>INDEX('Gross Gen Plant'!$E$7:$AD$91,MATCH($C1246,'Gross Gen Plant'!$D$7:$D$91,0),MATCH(Calculation!$G1246,'Gross Gen Plant'!$E$5:$AD$5,0))</f>
        <v>214811</v>
      </c>
      <c r="CG1246" s="118">
        <f t="shared" si="3556"/>
        <v>1626732</v>
      </c>
      <c r="CH1246" s="118"/>
      <c r="CI1246" s="121">
        <v>2008</v>
      </c>
      <c r="CJ1246" s="118"/>
      <c r="CK1246" s="118"/>
      <c r="CL1246" s="118"/>
      <c r="CM1246" s="183"/>
      <c r="CN1246" s="118">
        <f t="shared" si="3713"/>
        <v>117505</v>
      </c>
      <c r="CO1246" s="118">
        <f t="shared" si="3714"/>
        <v>206.19209637432903</v>
      </c>
      <c r="CP1246" s="186">
        <v>0.94252873563218387</v>
      </c>
      <c r="CQ1246" s="118">
        <f>+CQ1236*CP1246+CO1237*CP1245+CO1238*CP1244+CO1239*CP1243+CO1240*CP1242+CO1241*CP1241+CO1242*CP1240+CO1243*CP1239+CO1244*CP1238+CO1245*CP1237+CO1246</f>
        <v>7948.7643428975762</v>
      </c>
      <c r="CR1246" s="119">
        <f t="shared" si="3715"/>
        <v>1.9684412833084343E-2</v>
      </c>
      <c r="CS1246" s="119"/>
      <c r="CT1246" s="177">
        <f t="shared" si="3716"/>
        <v>6.5763914629530518E-3</v>
      </c>
      <c r="CU1246" s="177">
        <f t="shared" si="3724"/>
        <v>6.4001265244525256E-3</v>
      </c>
      <c r="CV1246" s="119">
        <f>VLOOKUP($H1246,RoR!$E:$F,2,FALSE)</f>
        <v>5.6316666666666668E-2</v>
      </c>
      <c r="CW1246" s="177">
        <v>1.9092304698479889E-2</v>
      </c>
      <c r="CX1246" s="177">
        <f t="shared" si="3722"/>
        <v>3.7224361968186778E-2</v>
      </c>
      <c r="CY1246" s="177">
        <f t="shared" si="3725"/>
        <v>2.4501815084081099E-2</v>
      </c>
      <c r="CZ1246" s="177">
        <f t="shared" si="3726"/>
        <v>6.9030581091053131E-2</v>
      </c>
      <c r="DA1246" s="187">
        <f t="shared" si="3717"/>
        <v>0.83875</v>
      </c>
      <c r="DB1246" s="188">
        <f t="shared" si="3718"/>
        <v>0.91060168006009956</v>
      </c>
      <c r="DC1246" s="188">
        <f t="shared" si="3719"/>
        <v>0.53108168097070152</v>
      </c>
      <c r="DD1246" s="188">
        <f t="shared" si="3720"/>
        <v>0.88825329850328805</v>
      </c>
      <c r="DE1246" s="188">
        <f t="shared" si="3721"/>
        <v>0.4295627335323573</v>
      </c>
      <c r="DF1246" s="189">
        <f>INDEX('State Tax Lookup'!$D$7:$Z$91,MATCH(Calculation!$C1246,'State Tax Lookup'!$B$7:$B$91,0),MATCH($H1246,'State Tax Lookup'!$D$6:$Z$6,0))</f>
        <v>0.43</v>
      </c>
      <c r="DG1246" s="189">
        <v>0.375</v>
      </c>
      <c r="DH1246" s="190">
        <f t="shared" si="3723"/>
        <v>20.445036387806162</v>
      </c>
      <c r="DI1246" s="190">
        <v>20.181438191748704</v>
      </c>
      <c r="DJ1246" s="177"/>
      <c r="DK1246" s="189">
        <f>VLOOKUP($H1246,RoR!$E:$F,2,FALSE)</f>
        <v>5.6316666666666668E-2</v>
      </c>
      <c r="DL1246" s="191">
        <f>HLOOKUP($H1246,'GDP-PI'!$D$8:$CQ$11,3,FALSE)</f>
        <v>1.9092304698479889E-2</v>
      </c>
      <c r="DM1246" s="189">
        <f>VLOOKUP(H1246,'HW Dx Data'!$E:$F,2,FALSE)</f>
        <v>569.88120333515076</v>
      </c>
      <c r="DN1246" s="183">
        <f>VLOOKUP(H1246,'ECI - Input Price'!$G$17:$H$37,2,FALSE)</f>
        <v>108.22499999999999</v>
      </c>
      <c r="DO1246" s="177">
        <f t="shared" ref="DO1246" si="3755">LN(DN1246/DN1245)</f>
        <v>2.8111478671409691E-2</v>
      </c>
      <c r="DP1246" s="183">
        <f>HLOOKUP(H1246,'GDP-PI'!$8:$9,2,FALSE)</f>
        <v>94.263999999999996</v>
      </c>
      <c r="DQ1246" s="177">
        <f t="shared" ref="DQ1246" si="3756">LN(DP1246/DP1245)</f>
        <v>1.8912333748032254E-2</v>
      </c>
    </row>
    <row r="1247" spans="1:121" s="167" customFormat="1" ht="21" x14ac:dyDescent="0.35">
      <c r="A1247" s="167" t="s">
        <v>116</v>
      </c>
      <c r="B1247" s="167" t="s">
        <v>116</v>
      </c>
      <c r="C1247" s="167">
        <v>4058284</v>
      </c>
      <c r="D1247" s="168" t="s">
        <v>152</v>
      </c>
      <c r="E1247" s="168"/>
      <c r="F1247" s="198"/>
      <c r="G1247" s="167" t="s">
        <v>15</v>
      </c>
      <c r="H1247" s="169">
        <v>2009</v>
      </c>
      <c r="I1247" s="170"/>
      <c r="J1247" s="166">
        <f>IFERROR(INDEX('Labor Expenditures'!$F$7:$X$91,MATCH($C1247,'Labor Expenditures'!$D$7:$D$91,0),MATCH($G1247,'Labor Expenditures'!$F$5:$X$5,0)),"NA")</f>
        <v>82336.604763888026</v>
      </c>
      <c r="K1247" s="166">
        <f t="shared" si="3729"/>
        <v>750.04877944785278</v>
      </c>
      <c r="L1247" s="172">
        <f t="shared" si="3736"/>
        <v>9.004222111930275E-3</v>
      </c>
      <c r="M1247" s="172">
        <f t="shared" si="3740"/>
        <v>3.4355826582306207E-4</v>
      </c>
      <c r="N1247" s="196"/>
      <c r="O1247" s="172"/>
      <c r="P1247" s="166">
        <f>IFERROR(INDEX('Non-Labor Expenditures'!$F$7:$AB$91,MATCH($C1247,'Non-Labor Expenditures'!$D$7:$D$91,0),MATCH($G1247,'Non-Labor Expenditures'!$F$5:$AB$5,0)),"NA")</f>
        <v>119238.78205459702</v>
      </c>
      <c r="Q1247" s="166">
        <f t="shared" si="3730"/>
        <v>1255.158286451405</v>
      </c>
      <c r="R1247" s="172">
        <f t="shared" si="3741"/>
        <v>1.5457636413357411E-2</v>
      </c>
      <c r="S1247" s="172">
        <f t="shared" si="3746"/>
        <v>5.8978984457304026E-4</v>
      </c>
      <c r="T1247" s="172"/>
      <c r="U1247" s="172"/>
      <c r="V1247" s="166">
        <f t="shared" si="3711"/>
        <v>155896.69764334321</v>
      </c>
      <c r="W1247" s="170"/>
      <c r="X1247" s="174">
        <v>8101.3023455987459</v>
      </c>
      <c r="Y1247" s="175">
        <v>1.9008344141752363E-2</v>
      </c>
      <c r="Z1247" s="175">
        <f t="shared" si="3747"/>
        <v>7.2526795411407684E-4</v>
      </c>
      <c r="AA1247" s="175"/>
      <c r="AB1247" s="175"/>
      <c r="AC1247" s="170">
        <f t="shared" si="3648"/>
        <v>357472.08446182823</v>
      </c>
      <c r="AD1247" s="175">
        <f t="shared" si="3742"/>
        <v>3.3041231771913401E-3</v>
      </c>
      <c r="AE1247" s="170"/>
      <c r="AF1247" s="170"/>
      <c r="AG1247" s="121">
        <f t="shared" si="3743"/>
        <v>332.7838490521932</v>
      </c>
      <c r="AH1247" s="119">
        <f>+AZ1247/$BB$47</f>
        <v>3.0121921184223823E-2</v>
      </c>
      <c r="AI1247" s="119"/>
      <c r="AJ1247" s="176">
        <f t="shared" si="3748"/>
        <v>10.024088872532802</v>
      </c>
      <c r="AK1247" s="176">
        <f t="shared" si="3749"/>
        <v>0</v>
      </c>
      <c r="AL1247" s="120">
        <f t="shared" si="3731"/>
        <v>0.23033016658586145</v>
      </c>
      <c r="AM1247" s="120">
        <f t="shared" si="3732"/>
        <v>0.33356110095732422</v>
      </c>
      <c r="AN1247" s="120">
        <f t="shared" si="3733"/>
        <v>0.43610873245681442</v>
      </c>
      <c r="AO1247" s="120">
        <f t="shared" si="3737"/>
        <v>1.5554118916219233E-2</v>
      </c>
      <c r="AP1247" s="173">
        <f t="shared" si="3753"/>
        <v>102.9351989261976</v>
      </c>
      <c r="AQ1247" s="175">
        <f t="shared" si="3754"/>
        <v>1.5554118916219209E-2</v>
      </c>
      <c r="AR1247" s="177">
        <f>+AC1247/$AE$47</f>
        <v>3.8155241124922891E-2</v>
      </c>
      <c r="AS1247" s="177">
        <f t="shared" si="3750"/>
        <v>5.9347115773406825E-4</v>
      </c>
      <c r="AT1247" s="177"/>
      <c r="AU1247" s="177"/>
      <c r="AV1247" s="177"/>
      <c r="AW1247" s="190"/>
      <c r="AX1247" s="120"/>
      <c r="AY1247" s="120"/>
      <c r="AZ1247" s="118">
        <f>IFERROR(INDEX('Total Customers'!$F$7:$AB$91,MATCH($C1247,'Total Customers'!$D$7:$D$91,0),MATCH($G1247,'Total Customers'!$F$5:$AB$5,0)),"NA")</f>
        <v>1074187</v>
      </c>
      <c r="BA1247" s="119">
        <f t="shared" si="3712"/>
        <v>1.7426351287372948E-2</v>
      </c>
      <c r="BB1247" s="119"/>
      <c r="BC1247" s="121"/>
      <c r="BD1247" s="119"/>
      <c r="BE1247" s="119"/>
      <c r="BF1247" s="119"/>
      <c r="BG1247" s="173"/>
      <c r="BH1247" s="173"/>
      <c r="BI1247" s="173"/>
      <c r="BJ1247" s="173"/>
      <c r="BK1247" s="173"/>
      <c r="BL1247" s="173"/>
      <c r="BM1247" s="173"/>
      <c r="BN1247" s="173"/>
      <c r="BO1247" s="173"/>
      <c r="BP1247" s="173"/>
      <c r="BQ1247" s="118"/>
      <c r="BR1247" s="118"/>
      <c r="BS1247" s="118">
        <f>INDEX('Dist. Plant Gas Additions'!$F$7:$AE$91,MATCH($C1247,'Dist. Plant Gas Additions'!$D$7:$D$91,0),MATCH(Calculation!$G1247,'Dist. Plant Gas Additions'!$F$5:$AE$5,0))</f>
        <v>92749</v>
      </c>
      <c r="BT1247" s="118">
        <f>INDEX('Gen. Plant Additions'!$F$7:$AE$91,MATCH($C1247,'Gen. Plant Additions'!$D$7:$D$91,0),MATCH(Calculation!$G1247,'Gen. Plant Additions'!$F$5:$AE$5,0))</f>
        <v>21063</v>
      </c>
      <c r="BU1247" s="118"/>
      <c r="BV1247" s="118"/>
      <c r="BW1247" s="118">
        <f>INDEX('Dist Plant Depreciation'!$E$7:$AD$94,MATCH($C1247,'Dist Plant Depreciation'!$D$7:$D$94,0),MATCH(Calculation!$G1247,'Dist Plant Depreciation'!$E$5:$AD$5,0))</f>
        <v>1054085</v>
      </c>
      <c r="BX1247" s="118">
        <f>INDEX('Gen. Plant Depreciation'!$E$7:$AD$94,MATCH($C1247,'Gen. Plant Depreciation'!$D$7:$D$94,0),MATCH(Calculation!$G1247,'Gen. Plant Depreciation'!$E$5:$AD$5,0))</f>
        <v>28050</v>
      </c>
      <c r="BY1247" s="118"/>
      <c r="BZ1247" s="118"/>
      <c r="CA1247" s="118"/>
      <c r="CB1247" s="118"/>
      <c r="CC1247" s="118"/>
      <c r="CD1247" s="183"/>
      <c r="CE1247" s="118">
        <f>INDEX('Gross Dx Plant'!$E$7:$AD$91,MATCH($C1247,'Gross Dx Plant'!$D$7:$D$91,0),MATCH(Calculation!$G1247,'Gross Dx Plant'!$E$5:$AD$5,0))</f>
        <v>2526185</v>
      </c>
      <c r="CF1247" s="118">
        <f>INDEX('Gross Gen Plant'!$E$7:$AD$91,MATCH($C1247,'Gross Gen Plant'!$D$7:$D$91,0),MATCH(Calculation!$G1247,'Gross Gen Plant'!$E$5:$AD$5,0))</f>
        <v>206611</v>
      </c>
      <c r="CG1247" s="118">
        <f t="shared" si="3556"/>
        <v>1650661</v>
      </c>
      <c r="CH1247" s="118"/>
      <c r="CI1247" s="121">
        <v>2009</v>
      </c>
      <c r="CJ1247" s="118"/>
      <c r="CK1247" s="118"/>
      <c r="CL1247" s="118"/>
      <c r="CM1247" s="183"/>
      <c r="CN1247" s="118">
        <f t="shared" si="3713"/>
        <v>113812</v>
      </c>
      <c r="CO1247" s="118">
        <f t="shared" si="3714"/>
        <v>206.57760999748166</v>
      </c>
      <c r="CP1247" s="186">
        <v>0.93567251461988299</v>
      </c>
      <c r="CQ1247" s="118">
        <f>+CQ1236*CP1247+CO1237*CP1246+CO1238*CP1245+CO1239*CP1244+CO1240*CP1243+CO1241*CP1242+CO1242*CP1241+CO1243*CP1240+CO1244*CP1239+CO1245*CP1238+CO1246*CP1237+CO1247</f>
        <v>8101.3023455987459</v>
      </c>
      <c r="CR1247" s="119">
        <f t="shared" si="3715"/>
        <v>1.9008344141752363E-2</v>
      </c>
      <c r="CS1247" s="119"/>
      <c r="CT1247" s="177">
        <f t="shared" si="3716"/>
        <v>6.7984915598356755E-3</v>
      </c>
      <c r="CU1247" s="177">
        <f t="shared" si="3724"/>
        <v>6.5941154548498351E-3</v>
      </c>
      <c r="CV1247" s="119">
        <f>VLOOKUP($H1247,RoR!$E:$F,2,FALSE)</f>
        <v>5.3133333333333324E-2</v>
      </c>
      <c r="CW1247" s="177">
        <v>7.7972502758210105E-3</v>
      </c>
      <c r="CX1247" s="177">
        <f t="shared" si="3722"/>
        <v>4.5336083057512314E-2</v>
      </c>
      <c r="CY1247" s="177">
        <f t="shared" si="3725"/>
        <v>2.4307826153683789E-2</v>
      </c>
      <c r="CZ1247" s="177">
        <f t="shared" si="3726"/>
        <v>6.3720160300892073E-2</v>
      </c>
      <c r="DA1247" s="187">
        <f t="shared" si="3717"/>
        <v>0.83875</v>
      </c>
      <c r="DB1247" s="188">
        <f t="shared" si="3718"/>
        <v>0.96515780330083989</v>
      </c>
      <c r="DC1247" s="188">
        <f t="shared" si="3719"/>
        <v>0.50448557089084056</v>
      </c>
      <c r="DD1247" s="188">
        <f t="shared" si="3720"/>
        <v>0.87391435735465484</v>
      </c>
      <c r="DE1247" s="188">
        <f t="shared" si="3721"/>
        <v>0.42551605393279146</v>
      </c>
      <c r="DF1247" s="189">
        <f>INDEX('State Tax Lookup'!$D$7:$Z$91,MATCH(Calculation!$C1247,'State Tax Lookup'!$B$7:$B$91,0),MATCH($H1247,'State Tax Lookup'!$D$6:$Z$6,0))</f>
        <v>0.43</v>
      </c>
      <c r="DG1247" s="189">
        <v>0.375</v>
      </c>
      <c r="DH1247" s="190">
        <f t="shared" si="3723"/>
        <v>19.612695875509367</v>
      </c>
      <c r="DI1247" s="190">
        <v>19.27003858848585</v>
      </c>
      <c r="DJ1247" s="177"/>
      <c r="DK1247" s="189">
        <f>VLOOKUP($H1247,RoR!$E:$F,2,FALSE)</f>
        <v>5.3133333333333324E-2</v>
      </c>
      <c r="DL1247" s="191">
        <f>HLOOKUP($H1247,'GDP-PI'!$D$8:$CQ$11,3,FALSE)</f>
        <v>7.7972502758210105E-3</v>
      </c>
      <c r="DM1247" s="189">
        <f>VLOOKUP(H1247,'HW Dx Data'!$E:$F,2,FALSE)</f>
        <v>550.94063679692806</v>
      </c>
      <c r="DN1247" s="183">
        <f>VLOOKUP(H1247,'ECI - Input Price'!$G$17:$H$37,2,FALSE)</f>
        <v>109.77499999999999</v>
      </c>
      <c r="DO1247" s="177">
        <f t="shared" ref="DO1247" si="3757">LN(DN1247/DN1246)</f>
        <v>1.4220423119736749E-2</v>
      </c>
      <c r="DP1247" s="183">
        <f>HLOOKUP(H1247,'GDP-PI'!$8:$9,2,FALSE)</f>
        <v>94.998999999999995</v>
      </c>
      <c r="DQ1247" s="177">
        <f t="shared" ref="DQ1247" si="3758">LN(DP1247/DP1246)</f>
        <v>7.7670088183096342E-3</v>
      </c>
    </row>
    <row r="1248" spans="1:121" s="167" customFormat="1" ht="21" x14ac:dyDescent="0.35">
      <c r="A1248" s="167" t="s">
        <v>116</v>
      </c>
      <c r="B1248" s="167" t="s">
        <v>116</v>
      </c>
      <c r="C1248" s="167">
        <v>4058284</v>
      </c>
      <c r="D1248" s="168" t="s">
        <v>152</v>
      </c>
      <c r="E1248" s="168"/>
      <c r="F1248" s="198"/>
      <c r="G1248" s="167" t="s">
        <v>16</v>
      </c>
      <c r="H1248" s="169">
        <v>2010</v>
      </c>
      <c r="I1248" s="170"/>
      <c r="J1248" s="166">
        <f>IFERROR(INDEX('Labor Expenditures'!$F$7:$X$91,MATCH($C1248,'Labor Expenditures'!$D$7:$D$91,0),MATCH($G1248,'Labor Expenditures'!$F$5:$X$5,0)),"NA")</f>
        <v>86787.990106345998</v>
      </c>
      <c r="K1248" s="166">
        <f t="shared" si="3729"/>
        <v>775.758570782981</v>
      </c>
      <c r="L1248" s="172">
        <f t="shared" si="3736"/>
        <v>3.3703107971088823E-2</v>
      </c>
      <c r="M1248" s="172">
        <f t="shared" si="3740"/>
        <v>1.3027529078937328E-3</v>
      </c>
      <c r="N1248" s="196"/>
      <c r="O1248" s="172"/>
      <c r="P1248" s="166">
        <f>IFERROR(INDEX('Non-Labor Expenditures'!$F$7:$AB$91,MATCH($C1248,'Non-Labor Expenditures'!$D$7:$D$91,0),MATCH($G1248,'Non-Labor Expenditures'!$F$5:$AB$5,0)),"NA")</f>
        <v>125685.21943457468</v>
      </c>
      <c r="Q1248" s="166">
        <f t="shared" si="3730"/>
        <v>1307.7362102880552</v>
      </c>
      <c r="R1248" s="172">
        <f t="shared" si="3741"/>
        <v>4.1035869311176927E-2</v>
      </c>
      <c r="S1248" s="172">
        <f t="shared" si="3746"/>
        <v>1.5861919357390306E-3</v>
      </c>
      <c r="T1248" s="172"/>
      <c r="U1248" s="172"/>
      <c r="V1248" s="166">
        <f t="shared" si="3711"/>
        <v>162899.8921377662</v>
      </c>
      <c r="W1248" s="170"/>
      <c r="X1248" s="174">
        <v>8230.6905019875467</v>
      </c>
      <c r="Y1248" s="175">
        <v>1.5845079614160845E-2</v>
      </c>
      <c r="Z1248" s="175">
        <f t="shared" si="3747"/>
        <v>6.1247240346092241E-4</v>
      </c>
      <c r="AA1248" s="175"/>
      <c r="AB1248" s="175"/>
      <c r="AC1248" s="170">
        <f t="shared" si="3648"/>
        <v>375373.10167868691</v>
      </c>
      <c r="AD1248" s="175">
        <f t="shared" si="3742"/>
        <v>4.8863195493894271E-2</v>
      </c>
      <c r="AE1248" s="170"/>
      <c r="AF1248" s="170"/>
      <c r="AG1248" s="121">
        <f t="shared" si="3743"/>
        <v>347.62948753730933</v>
      </c>
      <c r="AH1248" s="119">
        <f>+AZ1248/$BB$48</f>
        <v>3.0112850532545529E-2</v>
      </c>
      <c r="AI1248" s="119"/>
      <c r="AJ1248" s="176">
        <f t="shared" si="3748"/>
        <v>10.468114798916394</v>
      </c>
      <c r="AK1248" s="176">
        <f t="shared" si="3749"/>
        <v>0</v>
      </c>
      <c r="AL1248" s="120">
        <f t="shared" si="3731"/>
        <v>0.23120460607919388</v>
      </c>
      <c r="AM1248" s="120">
        <f t="shared" si="3732"/>
        <v>0.33482745266643832</v>
      </c>
      <c r="AN1248" s="120">
        <f t="shared" si="3733"/>
        <v>0.43396794125436772</v>
      </c>
      <c r="AO1248" s="120">
        <f t="shared" si="3737"/>
        <v>2.8384747888255762E-2</v>
      </c>
      <c r="AP1248" s="173">
        <f t="shared" si="3753"/>
        <v>105.89885087285661</v>
      </c>
      <c r="AQ1248" s="175">
        <f t="shared" si="3754"/>
        <v>2.8384747888255808E-2</v>
      </c>
      <c r="AR1248" s="177">
        <f>+AC1248/$AE$48</f>
        <v>3.8653791484490371E-2</v>
      </c>
      <c r="AS1248" s="177">
        <f t="shared" si="3750"/>
        <v>1.0971781262124683E-3</v>
      </c>
      <c r="AT1248" s="177"/>
      <c r="AU1248" s="177"/>
      <c r="AV1248" s="177"/>
      <c r="AW1248" s="190"/>
      <c r="AX1248" s="120"/>
      <c r="AY1248" s="120"/>
      <c r="AZ1248" s="118">
        <f>IFERROR(INDEX('Total Customers'!$F$7:$AB$91,MATCH($C1248,'Total Customers'!$D$7:$D$91,0),MATCH($G1248,'Total Customers'!$F$5:$AB$5,0)),"NA")</f>
        <v>1079808</v>
      </c>
      <c r="BA1248" s="119">
        <f t="shared" si="3712"/>
        <v>5.2191511674336702E-3</v>
      </c>
      <c r="BB1248" s="119"/>
      <c r="BC1248" s="121"/>
      <c r="BD1248" s="119"/>
      <c r="BE1248" s="119"/>
      <c r="BF1248" s="119"/>
      <c r="BG1248" s="173"/>
      <c r="BH1248" s="173"/>
      <c r="BI1248" s="173"/>
      <c r="BJ1248" s="173"/>
      <c r="BK1248" s="173"/>
      <c r="BL1248" s="173"/>
      <c r="BM1248" s="173"/>
      <c r="BN1248" s="173"/>
      <c r="BO1248" s="173"/>
      <c r="BP1248" s="173"/>
      <c r="BQ1248" s="118"/>
      <c r="BR1248" s="118"/>
      <c r="BS1248" s="118">
        <f>INDEX('Dist. Plant Gas Additions'!$F$7:$AE$91,MATCH($C1248,'Dist. Plant Gas Additions'!$D$7:$D$91,0),MATCH(Calculation!$G1248,'Dist. Plant Gas Additions'!$F$5:$AE$5,0))</f>
        <v>80080</v>
      </c>
      <c r="BT1248" s="118">
        <f>INDEX('Gen. Plant Additions'!$F$7:$AE$91,MATCH($C1248,'Gen. Plant Additions'!$D$7:$D$91,0),MATCH(Calculation!$G1248,'Gen. Plant Additions'!$F$5:$AE$5,0))</f>
        <v>25944</v>
      </c>
      <c r="BU1248" s="118"/>
      <c r="BV1248" s="118"/>
      <c r="BW1248" s="118">
        <f>INDEX('Dist Plant Depreciation'!$E$7:$AD$94,MATCH($C1248,'Dist Plant Depreciation'!$D$7:$D$94,0),MATCH(Calculation!$G1248,'Dist Plant Depreciation'!$E$5:$AD$5,0))</f>
        <v>1101839</v>
      </c>
      <c r="BX1248" s="118">
        <f>INDEX('Gen. Plant Depreciation'!$E$7:$AD$94,MATCH($C1248,'Gen. Plant Depreciation'!$D$7:$D$94,0),MATCH(Calculation!$G1248,'Gen. Plant Depreciation'!$E$5:$AD$5,0))</f>
        <v>25805</v>
      </c>
      <c r="BY1248" s="118"/>
      <c r="BZ1248" s="118"/>
      <c r="CA1248" s="118"/>
      <c r="CB1248" s="118"/>
      <c r="CC1248" s="118"/>
      <c r="CD1248" s="183"/>
      <c r="CE1248" s="118">
        <f>INDEX('Gross Dx Plant'!$E$7:$AD$91,MATCH($C1248,'Gross Dx Plant'!$D$7:$D$91,0),MATCH(Calculation!$G1248,'Gross Dx Plant'!$E$5:$AD$5,0))</f>
        <v>2600605</v>
      </c>
      <c r="CF1248" s="118">
        <f>INDEX('Gross Gen Plant'!$E$7:$AD$91,MATCH($C1248,'Gross Gen Plant'!$D$7:$D$91,0),MATCH(Calculation!$G1248,'Gross Gen Plant'!$E$5:$AD$5,0))</f>
        <v>219367</v>
      </c>
      <c r="CG1248" s="118">
        <f t="shared" si="3556"/>
        <v>1692328</v>
      </c>
      <c r="CH1248" s="118"/>
      <c r="CI1248" s="121">
        <v>2010</v>
      </c>
      <c r="CJ1248" s="118"/>
      <c r="CK1248" s="118"/>
      <c r="CL1248" s="118"/>
      <c r="CM1248" s="183"/>
      <c r="CN1248" s="118">
        <f t="shared" si="3713"/>
        <v>106024</v>
      </c>
      <c r="CO1248" s="118">
        <f t="shared" si="3714"/>
        <v>186.33735685805345</v>
      </c>
      <c r="CP1248" s="186">
        <v>0.9285714285714286</v>
      </c>
      <c r="CQ1248" s="118">
        <f>+CQ1236*CP1248+CO1237*CP1247+CO1238*CP1246+CO1239*CP1245+CO1240*CP1244+CO1241*CP1243+CO1242*CP1242+CO1243*CP1241+CO1244*CP1240+CO1245*CP1239+CO1246*CP1238+CO1247*CP1237+CO1248</f>
        <v>8230.6905019875467</v>
      </c>
      <c r="CR1248" s="119">
        <f t="shared" si="3715"/>
        <v>1.5845079614160845E-2</v>
      </c>
      <c r="CS1248" s="119"/>
      <c r="CT1248" s="177">
        <f t="shared" si="3716"/>
        <v>7.0296352413253514E-3</v>
      </c>
      <c r="CU1248" s="177">
        <f t="shared" si="3724"/>
        <v>6.8015060880380262E-3</v>
      </c>
      <c r="CV1248" s="119">
        <f>VLOOKUP($H1248,RoR!$E:$F,2,FALSE)</f>
        <v>4.9433333333333322E-2</v>
      </c>
      <c r="CW1248" s="177">
        <v>1.1684333519300205E-2</v>
      </c>
      <c r="CX1248" s="177">
        <f t="shared" si="3722"/>
        <v>3.7748999814033117E-2</v>
      </c>
      <c r="CY1248" s="177">
        <f t="shared" si="3725"/>
        <v>2.4100435520495598E-2</v>
      </c>
      <c r="CZ1248" s="177">
        <f t="shared" si="3726"/>
        <v>4.7937530248493419E-2</v>
      </c>
      <c r="DA1248" s="187">
        <f t="shared" si="3717"/>
        <v>0.83875</v>
      </c>
      <c r="DB1248" s="188">
        <f t="shared" si="3718"/>
        <v>1.037398205301105</v>
      </c>
      <c r="DC1248" s="188">
        <f t="shared" si="3719"/>
        <v>0.46926837491571133</v>
      </c>
      <c r="DD1248" s="188">
        <f t="shared" si="3720"/>
        <v>0.8548537519972772</v>
      </c>
      <c r="DE1248" s="188">
        <f t="shared" si="3721"/>
        <v>0.41615833911547367</v>
      </c>
      <c r="DF1248" s="189">
        <f>INDEX('State Tax Lookup'!$D$7:$Z$91,MATCH(Calculation!$C1248,'State Tax Lookup'!$B$7:$B$91,0),MATCH($H1248,'State Tax Lookup'!$D$6:$Z$6,0))</f>
        <v>0.43</v>
      </c>
      <c r="DG1248" s="189">
        <v>0.375</v>
      </c>
      <c r="DH1248" s="190">
        <f t="shared" si="3723"/>
        <v>20.107864783773444</v>
      </c>
      <c r="DI1248" s="190">
        <v>19.767829436180097</v>
      </c>
      <c r="DJ1248" s="177"/>
      <c r="DK1248" s="189">
        <f>VLOOKUP($H1248,RoR!$E:$F,2,FALSE)</f>
        <v>4.9433333333333322E-2</v>
      </c>
      <c r="DL1248" s="191">
        <f>HLOOKUP($H1248,'GDP-PI'!$D$8:$CQ$11,3,FALSE)</f>
        <v>1.1684333519300205E-2</v>
      </c>
      <c r="DM1248" s="189">
        <f>VLOOKUP(H1248,'HW Dx Data'!$E:$F,2,FALSE)</f>
        <v>568.98950262971744</v>
      </c>
      <c r="DN1248" s="183">
        <f>VLOOKUP(H1248,'ECI - Input Price'!$G$17:$H$37,2,FALSE)</f>
        <v>111.875</v>
      </c>
      <c r="DO1248" s="177">
        <f t="shared" ref="DO1248" si="3759">LN(DN1248/DN1247)</f>
        <v>1.8949360147238387E-2</v>
      </c>
      <c r="DP1248" s="183">
        <f>HLOOKUP(H1248,'GDP-PI'!$8:$9,2,FALSE)</f>
        <v>96.108999999999995</v>
      </c>
      <c r="DQ1248" s="177">
        <f t="shared" ref="DQ1248" si="3760">LN(DP1248/DP1247)</f>
        <v>1.1616598807150427E-2</v>
      </c>
    </row>
    <row r="1249" spans="1:121" s="167" customFormat="1" ht="21" x14ac:dyDescent="0.35">
      <c r="A1249" s="167" t="s">
        <v>116</v>
      </c>
      <c r="B1249" s="167" t="s">
        <v>116</v>
      </c>
      <c r="C1249" s="167">
        <v>4058284</v>
      </c>
      <c r="D1249" s="168" t="s">
        <v>152</v>
      </c>
      <c r="E1249" s="168"/>
      <c r="F1249" s="198"/>
      <c r="G1249" s="167" t="s">
        <v>17</v>
      </c>
      <c r="H1249" s="169">
        <v>2011</v>
      </c>
      <c r="I1249" s="170"/>
      <c r="J1249" s="166">
        <f>IFERROR(INDEX('Labor Expenditures'!$F$7:$X$91,MATCH($C1249,'Labor Expenditures'!$D$7:$D$91,0),MATCH($G1249,'Labor Expenditures'!$F$5:$X$5,0)),"NA")</f>
        <v>93789.33635418347</v>
      </c>
      <c r="K1249" s="166">
        <f t="shared" si="3729"/>
        <v>820.55412383362614</v>
      </c>
      <c r="L1249" s="172">
        <f t="shared" si="3736"/>
        <v>5.6138521157225674E-2</v>
      </c>
      <c r="M1249" s="172">
        <f t="shared" si="3740"/>
        <v>2.2353795418482763E-3</v>
      </c>
      <c r="N1249" s="196"/>
      <c r="O1249" s="172"/>
      <c r="P1249" s="166">
        <f>IFERROR(INDEX('Non-Labor Expenditures'!$F$7:$AB$91,MATCH($C1249,'Non-Labor Expenditures'!$D$7:$D$91,0),MATCH($G1249,'Non-Labor Expenditures'!$F$5:$AB$5,0)),"NA")</f>
        <v>135824.47647254294</v>
      </c>
      <c r="Q1249" s="166">
        <f t="shared" si="3730"/>
        <v>1384.3818949011634</v>
      </c>
      <c r="R1249" s="172">
        <f t="shared" si="3741"/>
        <v>5.6956196150121978E-2</v>
      </c>
      <c r="S1249" s="172">
        <f t="shared" si="3746"/>
        <v>2.2679385390096413E-3</v>
      </c>
      <c r="T1249" s="172"/>
      <c r="U1249" s="172"/>
      <c r="V1249" s="166">
        <f t="shared" si="3711"/>
        <v>176494.17989897655</v>
      </c>
      <c r="W1249" s="170"/>
      <c r="X1249" s="174">
        <v>8335.4383080550688</v>
      </c>
      <c r="Y1249" s="175">
        <v>1.2646189493917135E-2</v>
      </c>
      <c r="Z1249" s="175">
        <f t="shared" si="3747"/>
        <v>5.0355856717113436E-4</v>
      </c>
      <c r="AA1249" s="175"/>
      <c r="AB1249" s="175"/>
      <c r="AC1249" s="170">
        <f t="shared" si="3648"/>
        <v>406107.99272570293</v>
      </c>
      <c r="AD1249" s="175">
        <f t="shared" si="3742"/>
        <v>7.8698647009706774E-2</v>
      </c>
      <c r="AE1249" s="170"/>
      <c r="AF1249" s="170"/>
      <c r="AG1249" s="121">
        <f t="shared" si="3743"/>
        <v>372.04980910098095</v>
      </c>
      <c r="AH1249" s="119">
        <f>+AZ1249/$BB$49</f>
        <v>3.0292098414571575E-2</v>
      </c>
      <c r="AI1249" s="119"/>
      <c r="AJ1249" s="176">
        <f t="shared" si="3748"/>
        <v>11.270169432409482</v>
      </c>
      <c r="AK1249" s="176">
        <f t="shared" si="3749"/>
        <v>0</v>
      </c>
      <c r="AL1249" s="120">
        <f t="shared" si="3731"/>
        <v>0.23094678763816279</v>
      </c>
      <c r="AM1249" s="120">
        <f t="shared" si="3732"/>
        <v>0.33445408340998278</v>
      </c>
      <c r="AN1249" s="120">
        <f t="shared" si="3733"/>
        <v>0.43459912895185449</v>
      </c>
      <c r="AO1249" s="120">
        <f t="shared" si="3737"/>
        <v>3.7524145000235529E-2</v>
      </c>
      <c r="AP1249" s="173">
        <f t="shared" si="3753"/>
        <v>109.94811211852327</v>
      </c>
      <c r="AQ1249" s="175">
        <f t="shared" si="3754"/>
        <v>3.7524145000235549E-2</v>
      </c>
      <c r="AR1249" s="177">
        <f>+AC1249/$AE$49</f>
        <v>3.9818995865382845E-2</v>
      </c>
      <c r="AS1249" s="177">
        <f t="shared" si="3750"/>
        <v>1.4941737746164056E-3</v>
      </c>
      <c r="AT1249" s="177"/>
      <c r="AU1249" s="177"/>
      <c r="AV1249" s="177"/>
      <c r="AW1249" s="190"/>
      <c r="AX1249" s="120"/>
      <c r="AY1249" s="120"/>
      <c r="AZ1249" s="118">
        <f>IFERROR(INDEX('Total Customers'!$F$7:$AB$91,MATCH($C1249,'Total Customers'!$D$7:$D$91,0),MATCH($G1249,'Total Customers'!$F$5:$AB$5,0)),"NA")</f>
        <v>1091542</v>
      </c>
      <c r="BA1249" s="119">
        <f t="shared" si="3712"/>
        <v>1.080812787067267E-2</v>
      </c>
      <c r="BB1249" s="119"/>
      <c r="BC1249" s="121"/>
      <c r="BD1249" s="119"/>
      <c r="BE1249" s="119"/>
      <c r="BF1249" s="119"/>
      <c r="BG1249" s="173"/>
      <c r="BH1249" s="173"/>
      <c r="BI1249" s="173"/>
      <c r="BJ1249" s="173"/>
      <c r="BK1249" s="173"/>
      <c r="BL1249" s="173"/>
      <c r="BM1249" s="173"/>
      <c r="BN1249" s="173"/>
      <c r="BO1249" s="173"/>
      <c r="BP1249" s="173"/>
      <c r="BQ1249" s="118"/>
      <c r="BR1249" s="118"/>
      <c r="BS1249" s="118">
        <f>INDEX('Dist. Plant Gas Additions'!$F$7:$AE$91,MATCH($C1249,'Dist. Plant Gas Additions'!$D$7:$D$91,0),MATCH(Calculation!$G1249,'Dist. Plant Gas Additions'!$F$5:$AE$5,0))</f>
        <v>87011</v>
      </c>
      <c r="BT1249" s="118">
        <f>INDEX('Gen. Plant Additions'!$F$7:$AE$91,MATCH($C1249,'Gen. Plant Additions'!$D$7:$D$91,0),MATCH(Calculation!$G1249,'Gen. Plant Additions'!$F$5:$AE$5,0))</f>
        <v>13683</v>
      </c>
      <c r="BU1249" s="118"/>
      <c r="BV1249" s="118"/>
      <c r="BW1249" s="118">
        <f>INDEX('Dist Plant Depreciation'!$E$7:$AD$94,MATCH($C1249,'Dist Plant Depreciation'!$D$7:$D$94,0),MATCH(Calculation!$G1249,'Dist Plant Depreciation'!$E$5:$AD$5,0))</f>
        <v>1132245</v>
      </c>
      <c r="BX1249" s="118">
        <f>INDEX('Gen. Plant Depreciation'!$E$7:$AD$94,MATCH($C1249,'Gen. Plant Depreciation'!$D$7:$D$94,0),MATCH(Calculation!$G1249,'Gen. Plant Depreciation'!$E$5:$AD$5,0))</f>
        <v>28902</v>
      </c>
      <c r="BY1249" s="118"/>
      <c r="BZ1249" s="118"/>
      <c r="CA1249" s="118"/>
      <c r="CB1249" s="118"/>
      <c r="CC1249" s="118"/>
      <c r="CD1249" s="183"/>
      <c r="CE1249" s="118">
        <f>INDEX('Gross Dx Plant'!$E$7:$AD$91,MATCH($C1249,'Gross Dx Plant'!$D$7:$D$91,0),MATCH(Calculation!$G1249,'Gross Dx Plant'!$E$5:$AD$5,0))</f>
        <v>2672351</v>
      </c>
      <c r="CF1249" s="118">
        <f>INDEX('Gross Gen Plant'!$E$7:$AD$91,MATCH($C1249,'Gross Gen Plant'!$D$7:$D$91,0),MATCH(Calculation!$G1249,'Gross Gen Plant'!$E$5:$AD$5,0))</f>
        <v>218592</v>
      </c>
      <c r="CG1249" s="118">
        <f t="shared" si="3556"/>
        <v>1729796</v>
      </c>
      <c r="CH1249" s="118"/>
      <c r="CI1249" s="121">
        <v>2011</v>
      </c>
      <c r="CJ1249" s="118"/>
      <c r="CK1249" s="118"/>
      <c r="CL1249" s="118"/>
      <c r="CM1249" s="183"/>
      <c r="CN1249" s="118">
        <f t="shared" si="3713"/>
        <v>100694</v>
      </c>
      <c r="CO1249" s="118">
        <f t="shared" si="3714"/>
        <v>164.63730079183728</v>
      </c>
      <c r="CP1249" s="186">
        <v>0.92121212121212126</v>
      </c>
      <c r="CQ1249" s="118">
        <f>+CQ1236*CP1249+CO1237*CP1248+CO1238*CP1247+CO1239*CP1246+CO1240*CP1245+CO1241*CP1244+CO1242*CP1243+CO1243*CP1242+CO1244*CP1241+CO1245*CP1240+CO1246*CP1239+CO1247*CP1238+CO1248*CP1237+CO1249</f>
        <v>8335.4383080550688</v>
      </c>
      <c r="CR1249" s="119">
        <f t="shared" si="3715"/>
        <v>1.2646189493917135E-2</v>
      </c>
      <c r="CS1249" s="119"/>
      <c r="CT1249" s="177">
        <f t="shared" si="3716"/>
        <v>7.2763633512708389E-3</v>
      </c>
      <c r="CU1249" s="177">
        <f t="shared" si="3724"/>
        <v>7.0348300508106219E-3</v>
      </c>
      <c r="CV1249" s="119">
        <f>VLOOKUP($H1249,RoR!$E:$F,2,FALSE)</f>
        <v>4.6391666666666664E-2</v>
      </c>
      <c r="CW1249" s="177">
        <v>2.0840920205183799E-2</v>
      </c>
      <c r="CX1249" s="177">
        <f t="shared" si="3722"/>
        <v>2.5550746461482865E-2</v>
      </c>
      <c r="CY1249" s="177">
        <f t="shared" si="3725"/>
        <v>2.3867111557723003E-2</v>
      </c>
      <c r="CZ1249" s="177">
        <f t="shared" si="3726"/>
        <v>2.4810540821321614E-2</v>
      </c>
      <c r="DA1249" s="187">
        <f t="shared" si="3717"/>
        <v>0.83875</v>
      </c>
      <c r="DB1249" s="188">
        <f t="shared" si="3718"/>
        <v>1.1054151524782025</v>
      </c>
      <c r="DC1249" s="188">
        <f t="shared" si="3719"/>
        <v>0.43611011316687626</v>
      </c>
      <c r="DD1249" s="188">
        <f t="shared" si="3720"/>
        <v>0.83698442246886229</v>
      </c>
      <c r="DE1249" s="188">
        <f t="shared" si="3721"/>
        <v>0.40349573304423936</v>
      </c>
      <c r="DF1249" s="189">
        <f>INDEX('State Tax Lookup'!$D$7:$Z$91,MATCH(Calculation!$C1249,'State Tax Lookup'!$B$7:$B$91,0),MATCH($H1249,'State Tax Lookup'!$D$6:$Z$6,0))</f>
        <v>0.43</v>
      </c>
      <c r="DG1249" s="189">
        <v>0.375</v>
      </c>
      <c r="DH1249" s="190">
        <f t="shared" si="3723"/>
        <v>21.443423228750582</v>
      </c>
      <c r="DI1249" s="190">
        <v>21.073146055142189</v>
      </c>
      <c r="DJ1249" s="177"/>
      <c r="DK1249" s="189">
        <f>VLOOKUP($H1249,RoR!$E:$F,2,FALSE)</f>
        <v>4.6391666666666664E-2</v>
      </c>
      <c r="DL1249" s="191">
        <f>HLOOKUP($H1249,'GDP-PI'!$D$8:$CQ$11,3,FALSE)</f>
        <v>2.0840920205183799E-2</v>
      </c>
      <c r="DM1249" s="189">
        <f>VLOOKUP(H1249,'HW Dx Data'!$E:$F,2,FALSE)</f>
        <v>611.61109612283201</v>
      </c>
      <c r="DN1249" s="183">
        <f>VLOOKUP(H1249,'ECI - Input Price'!$G$17:$H$37,2,FALSE)</f>
        <v>114.3</v>
      </c>
      <c r="DO1249" s="177">
        <f t="shared" ref="DO1249" si="3761">LN(DN1249/DN1248)</f>
        <v>2.1444394205745516E-2</v>
      </c>
      <c r="DP1249" s="183">
        <f>HLOOKUP(H1249,'GDP-PI'!$8:$9,2,FALSE)</f>
        <v>98.111999999999995</v>
      </c>
      <c r="DQ1249" s="177">
        <f t="shared" ref="DQ1249" si="3762">LN(DP1249/DP1248)</f>
        <v>2.0626719212849295E-2</v>
      </c>
    </row>
    <row r="1250" spans="1:121" s="167" customFormat="1" ht="21" x14ac:dyDescent="0.35">
      <c r="A1250" s="167" t="s">
        <v>116</v>
      </c>
      <c r="B1250" s="167" t="s">
        <v>116</v>
      </c>
      <c r="C1250" s="167">
        <v>4058284</v>
      </c>
      <c r="D1250" s="168" t="s">
        <v>152</v>
      </c>
      <c r="E1250" s="168"/>
      <c r="F1250" s="198"/>
      <c r="G1250" s="167" t="s">
        <v>18</v>
      </c>
      <c r="H1250" s="169">
        <v>2012</v>
      </c>
      <c r="I1250" s="170"/>
      <c r="J1250" s="166">
        <f>IFERROR(INDEX('Labor Expenditures'!$F$7:$X$91,MATCH($C1250,'Labor Expenditures'!$D$7:$D$91,0),MATCH($G1250,'Labor Expenditures'!$F$5:$X$5,0)),"NA")</f>
        <v>93039.094920760122</v>
      </c>
      <c r="K1250" s="166">
        <f t="shared" si="3729"/>
        <v>798.61884052154608</v>
      </c>
      <c r="L1250" s="172">
        <f t="shared" si="3736"/>
        <v>-2.7096086518853823E-2</v>
      </c>
      <c r="M1250" s="172">
        <f t="shared" si="3740"/>
        <v>-1.0668217572233924E-3</v>
      </c>
      <c r="N1250" s="196"/>
      <c r="O1250" s="172"/>
      <c r="P1250" s="166">
        <f>IFERROR(INDEX('Non-Labor Expenditures'!$F$7:$AB$91,MATCH($C1250,'Non-Labor Expenditures'!$D$7:$D$91,0),MATCH($G1250,'Non-Labor Expenditures'!$F$5:$AB$5,0)),"NA")</f>
        <v>134737.98675117502</v>
      </c>
      <c r="Q1250" s="166">
        <f t="shared" si="3730"/>
        <v>1347.3798675117503</v>
      </c>
      <c r="R1250" s="172">
        <f t="shared" si="3741"/>
        <v>-2.7091887052606088E-2</v>
      </c>
      <c r="S1250" s="172">
        <f t="shared" si="3746"/>
        <v>-1.0666564166691877E-3</v>
      </c>
      <c r="T1250" s="172"/>
      <c r="U1250" s="172"/>
      <c r="V1250" s="166">
        <f t="shared" si="3711"/>
        <v>192966.80005341413</v>
      </c>
      <c r="W1250" s="170"/>
      <c r="X1250" s="174">
        <v>8626.2738024321916</v>
      </c>
      <c r="Y1250" s="175">
        <v>3.429653798179489E-2</v>
      </c>
      <c r="Z1250" s="175">
        <f t="shared" si="3747"/>
        <v>1.3503165075502183E-3</v>
      </c>
      <c r="AA1250" s="175"/>
      <c r="AB1250" s="175"/>
      <c r="AC1250" s="170">
        <f t="shared" si="3648"/>
        <v>420743.88172534929</v>
      </c>
      <c r="AD1250" s="175">
        <f t="shared" si="3742"/>
        <v>3.5405175443916706E-2</v>
      </c>
      <c r="AE1250" s="170"/>
      <c r="AF1250" s="170"/>
      <c r="AG1250" s="121">
        <f t="shared" si="3743"/>
        <v>384.20063803833324</v>
      </c>
      <c r="AH1250" s="119">
        <f>+AZ1250/$BB$50</f>
        <v>3.0245008191521254E-2</v>
      </c>
      <c r="AI1250" s="119"/>
      <c r="AJ1250" s="176">
        <f t="shared" si="3748"/>
        <v>11.620151444657081</v>
      </c>
      <c r="AK1250" s="176">
        <f t="shared" si="3749"/>
        <v>0</v>
      </c>
      <c r="AL1250" s="120">
        <f t="shared" si="3731"/>
        <v>0.2211300008433483</v>
      </c>
      <c r="AM1250" s="120">
        <f t="shared" si="3732"/>
        <v>0.32023754260823334</v>
      </c>
      <c r="AN1250" s="120">
        <f t="shared" si="3733"/>
        <v>0.45863245654841839</v>
      </c>
      <c r="AO1250" s="120">
        <f t="shared" si="3737"/>
        <v>3.2420381920791885E-4</v>
      </c>
      <c r="AP1250" s="173">
        <f t="shared" si="3753"/>
        <v>109.98376349523078</v>
      </c>
      <c r="AQ1250" s="175">
        <f t="shared" si="3754"/>
        <v>3.2420381920800028E-4</v>
      </c>
      <c r="AR1250" s="177">
        <f>+AC1250/$AE$50</f>
        <v>3.9371802141282781E-2</v>
      </c>
      <c r="AS1250" s="177">
        <f t="shared" si="3750"/>
        <v>1.2764488623305601E-5</v>
      </c>
      <c r="AT1250" s="177"/>
      <c r="AU1250" s="177"/>
      <c r="AV1250" s="177"/>
      <c r="AW1250" s="190"/>
      <c r="AX1250" s="120"/>
      <c r="AY1250" s="120"/>
      <c r="AZ1250" s="118">
        <f>IFERROR(INDEX('Total Customers'!$F$7:$AB$91,MATCH($C1250,'Total Customers'!$D$7:$D$91,0),MATCH($G1250,'Total Customers'!$F$5:$AB$5,0)),"NA")</f>
        <v>1095115</v>
      </c>
      <c r="BA1250" s="119">
        <f t="shared" si="3712"/>
        <v>3.2680051603218548E-3</v>
      </c>
      <c r="BB1250" s="119"/>
      <c r="BC1250" s="121"/>
      <c r="BD1250" s="119"/>
      <c r="BE1250" s="119"/>
      <c r="BF1250" s="119"/>
      <c r="BG1250" s="173"/>
      <c r="BH1250" s="173"/>
      <c r="BI1250" s="173"/>
      <c r="BJ1250" s="173"/>
      <c r="BK1250" s="173"/>
      <c r="BL1250" s="173"/>
      <c r="BM1250" s="173"/>
      <c r="BN1250" s="173"/>
      <c r="BO1250" s="173"/>
      <c r="BP1250" s="173"/>
      <c r="BQ1250" s="118"/>
      <c r="BR1250" s="118"/>
      <c r="BS1250" s="118">
        <f>INDEX('Dist. Plant Gas Additions'!$F$7:$AE$91,MATCH($C1250,'Dist. Plant Gas Additions'!$D$7:$D$91,0),MATCH(Calculation!$G1250,'Dist. Plant Gas Additions'!$F$5:$AE$5,0))</f>
        <v>118123</v>
      </c>
      <c r="BT1250" s="118">
        <f>INDEX('Gen. Plant Additions'!$F$7:$AE$91,MATCH($C1250,'Gen. Plant Additions'!$D$7:$D$91,0),MATCH(Calculation!$G1250,'Gen. Plant Additions'!$F$5:$AE$5,0))</f>
        <v>118470</v>
      </c>
      <c r="BU1250" s="118"/>
      <c r="BV1250" s="118"/>
      <c r="BW1250" s="118">
        <f>INDEX('Dist Plant Depreciation'!$E$7:$AD$94,MATCH($C1250,'Dist Plant Depreciation'!$D$7:$D$94,0),MATCH(Calculation!$G1250,'Dist Plant Depreciation'!$E$5:$AD$5,0))</f>
        <v>1170261</v>
      </c>
      <c r="BX1250" s="118">
        <f>INDEX('Gen. Plant Depreciation'!$E$7:$AD$94,MATCH($C1250,'Gen. Plant Depreciation'!$D$7:$D$94,0),MATCH(Calculation!$G1250,'Gen. Plant Depreciation'!$E$5:$AD$5,0))</f>
        <v>18581</v>
      </c>
      <c r="BY1250" s="118"/>
      <c r="BZ1250" s="118"/>
      <c r="CA1250" s="118"/>
      <c r="CB1250" s="118"/>
      <c r="CC1250" s="118"/>
      <c r="CD1250" s="183"/>
      <c r="CE1250" s="118">
        <f>INDEX('Gross Dx Plant'!$E$7:$AD$91,MATCH($C1250,'Gross Dx Plant'!$D$7:$D$91,0),MATCH(Calculation!$G1250,'Gross Dx Plant'!$E$5:$AD$5,0))</f>
        <v>2784850</v>
      </c>
      <c r="CF1250" s="118">
        <f>INDEX('Gross Gen Plant'!$E$7:$AD$91,MATCH($C1250,'Gross Gen Plant'!$D$7:$D$91,0),MATCH(Calculation!$G1250,'Gross Gen Plant'!$E$5:$AD$5,0))</f>
        <v>281298</v>
      </c>
      <c r="CG1250" s="118">
        <f t="shared" si="3556"/>
        <v>1877306</v>
      </c>
      <c r="CH1250" s="118"/>
      <c r="CI1250" s="121">
        <v>2012</v>
      </c>
      <c r="CJ1250" s="118"/>
      <c r="CK1250" s="118"/>
      <c r="CL1250" s="118"/>
      <c r="CM1250" s="183"/>
      <c r="CN1250" s="118">
        <f t="shared" si="3713"/>
        <v>236593</v>
      </c>
      <c r="CO1250" s="118">
        <f t="shared" si="3714"/>
        <v>353.69437266780932</v>
      </c>
      <c r="CP1250" s="186">
        <v>0.9135802469135802</v>
      </c>
      <c r="CQ1250" s="118">
        <f>+CQ1236*CP1250+CO1237*CP1249+CO1238*CP1248+CO1239*CP1247+CO1240*CP1246+CO1241*CP1245+CO1242*CP1244+CO1243*CP1243+CO1244*CP1242+CO1245*CP1241+CO1246*CP1240+CO1247*CP1239+CO1248*CP1238+CO1249*CP1237+CO1250</f>
        <v>8626.2738024321916</v>
      </c>
      <c r="CR1250" s="119">
        <f t="shared" si="3715"/>
        <v>3.429653798179489E-2</v>
      </c>
      <c r="CS1250" s="119"/>
      <c r="CT1250" s="177">
        <f t="shared" si="3716"/>
        <v>7.5411605206101686E-3</v>
      </c>
      <c r="CU1250" s="177">
        <f t="shared" si="3724"/>
        <v>7.282386371068786E-3</v>
      </c>
      <c r="CV1250" s="119">
        <f>VLOOKUP($H1250,RoR!$E:$F,2,FALSE)</f>
        <v>3.6733333333333333E-2</v>
      </c>
      <c r="CW1250" s="177">
        <v>1.924331376386168E-2</v>
      </c>
      <c r="CX1250" s="177">
        <f t="shared" si="3722"/>
        <v>1.7490019569471653E-2</v>
      </c>
      <c r="CY1250" s="177">
        <f t="shared" si="3725"/>
        <v>2.361955523746484E-2</v>
      </c>
      <c r="CZ1250" s="177">
        <f t="shared" si="3726"/>
        <v>6.7122682943869583E-2</v>
      </c>
      <c r="DA1250" s="187">
        <f t="shared" si="3717"/>
        <v>0.83875</v>
      </c>
      <c r="DB1250" s="188">
        <f t="shared" si="3718"/>
        <v>1.3960631020522127</v>
      </c>
      <c r="DC1250" s="188">
        <f t="shared" si="3719"/>
        <v>0.29441923774954631</v>
      </c>
      <c r="DD1250" s="188">
        <f t="shared" si="3720"/>
        <v>0.76377954189366437</v>
      </c>
      <c r="DE1250" s="188">
        <f t="shared" si="3721"/>
        <v>0.31393465103033691</v>
      </c>
      <c r="DF1250" s="189">
        <f>INDEX('State Tax Lookup'!$D$7:$Z$91,MATCH(Calculation!$C1250,'State Tax Lookup'!$B$7:$B$91,0),MATCH($H1250,'State Tax Lookup'!$D$6:$Z$6,0))</f>
        <v>0.43</v>
      </c>
      <c r="DG1250" s="189">
        <v>0.375</v>
      </c>
      <c r="DH1250" s="190">
        <f t="shared" si="3723"/>
        <v>23.150168344109503</v>
      </c>
      <c r="DI1250" s="190">
        <v>22.781845026621983</v>
      </c>
      <c r="DJ1250" s="177"/>
      <c r="DK1250" s="189">
        <f>VLOOKUP($H1250,RoR!$E:$F,2,FALSE)</f>
        <v>3.6733333333333333E-2</v>
      </c>
      <c r="DL1250" s="191">
        <f>HLOOKUP($H1250,'GDP-PI'!$D$8:$CQ$11,3,FALSE)</f>
        <v>1.924331376386168E-2</v>
      </c>
      <c r="DM1250" s="189">
        <f>VLOOKUP(H1250,'HW Dx Data'!$E:$F,2,FALSE)</f>
        <v>668.91932211262167</v>
      </c>
      <c r="DN1250" s="183">
        <f>VLOOKUP(H1250,'ECI - Input Price'!$G$17:$H$37,2,FALSE)</f>
        <v>116.5</v>
      </c>
      <c r="DO1250" s="177">
        <f t="shared" ref="DO1250" si="3763">LN(DN1250/DN1249)</f>
        <v>1.9064702204990347E-2</v>
      </c>
      <c r="DP1250" s="183">
        <f>HLOOKUP(H1250,'GDP-PI'!$8:$9,2,FALSE)</f>
        <v>100</v>
      </c>
      <c r="DQ1250" s="177">
        <f t="shared" ref="DQ1250" si="3764">LN(DP1250/DP1249)</f>
        <v>1.9060502738742411E-2</v>
      </c>
    </row>
    <row r="1251" spans="1:121" s="167" customFormat="1" ht="21" x14ac:dyDescent="0.35">
      <c r="A1251" s="167" t="s">
        <v>116</v>
      </c>
      <c r="B1251" s="167" t="s">
        <v>116</v>
      </c>
      <c r="C1251" s="167">
        <v>4058284</v>
      </c>
      <c r="D1251" s="168" t="s">
        <v>152</v>
      </c>
      <c r="E1251" s="168"/>
      <c r="F1251" s="198"/>
      <c r="G1251" s="167" t="s">
        <v>19</v>
      </c>
      <c r="H1251" s="169">
        <v>2013</v>
      </c>
      <c r="I1251" s="170"/>
      <c r="J1251" s="166">
        <f>IFERROR(INDEX('Labor Expenditures'!$F$7:$X$91,MATCH($C1251,'Labor Expenditures'!$D$7:$D$91,0),MATCH($G1251,'Labor Expenditures'!$F$5:$X$5,0)),"NA")</f>
        <v>98651.856147134269</v>
      </c>
      <c r="K1251" s="166">
        <f t="shared" si="3729"/>
        <v>830.92740490321557</v>
      </c>
      <c r="L1251" s="172">
        <f t="shared" si="3736"/>
        <v>3.9658646030234758E-2</v>
      </c>
      <c r="M1251" s="172">
        <f t="shared" si="3740"/>
        <v>1.5657982452252914E-3</v>
      </c>
      <c r="N1251" s="196"/>
      <c r="O1251" s="172"/>
      <c r="P1251" s="166">
        <f>IFERROR(INDEX('Non-Labor Expenditures'!$F$7:$AB$91,MATCH($C1251,'Non-Labor Expenditures'!$D$7:$D$91,0),MATCH($G1251,'Non-Labor Expenditures'!$F$5:$AB$5,0)),"NA")</f>
        <v>142866.31332615728</v>
      </c>
      <c r="Q1251" s="166">
        <f t="shared" si="3730"/>
        <v>1403.7742164047172</v>
      </c>
      <c r="R1251" s="172">
        <f t="shared" si="3741"/>
        <v>4.1002610443154605E-2</v>
      </c>
      <c r="S1251" s="172">
        <f t="shared" si="3746"/>
        <v>1.6188604984799992E-3</v>
      </c>
      <c r="T1251" s="172"/>
      <c r="U1251" s="172"/>
      <c r="V1251" s="166">
        <f t="shared" si="3711"/>
        <v>196133.40979958695</v>
      </c>
      <c r="W1251" s="170"/>
      <c r="X1251" s="174">
        <v>8825.3587271437791</v>
      </c>
      <c r="Y1251" s="175">
        <v>2.2816611710095344E-2</v>
      </c>
      <c r="Z1251" s="175">
        <f t="shared" si="3747"/>
        <v>9.0084292213146548E-4</v>
      </c>
      <c r="AA1251" s="175"/>
      <c r="AB1251" s="175"/>
      <c r="AC1251" s="170">
        <f t="shared" si="3648"/>
        <v>437651.57927287847</v>
      </c>
      <c r="AD1251" s="175">
        <f t="shared" si="3742"/>
        <v>3.939882109001018E-2</v>
      </c>
      <c r="AE1251" s="170"/>
      <c r="AF1251" s="170"/>
      <c r="AG1251" s="121">
        <f t="shared" si="3743"/>
        <v>394.03079422859599</v>
      </c>
      <c r="AH1251" s="119">
        <f>+AZ1251/$BB$51</f>
        <v>3.0479428489480292E-2</v>
      </c>
      <c r="AI1251" s="119"/>
      <c r="AJ1251" s="176">
        <f t="shared" si="3748"/>
        <v>12.009833415343616</v>
      </c>
      <c r="AK1251" s="176">
        <f t="shared" si="3749"/>
        <v>0</v>
      </c>
      <c r="AL1251" s="120">
        <f t="shared" si="3731"/>
        <v>0.22541185915754283</v>
      </c>
      <c r="AM1251" s="120">
        <f t="shared" si="3732"/>
        <v>0.32643847318800429</v>
      </c>
      <c r="AN1251" s="120">
        <f t="shared" si="3733"/>
        <v>0.44814966765445297</v>
      </c>
      <c r="AO1251" s="120">
        <f t="shared" si="3737"/>
        <v>3.2457172977837387E-2</v>
      </c>
      <c r="AP1251" s="173">
        <f t="shared" si="3753"/>
        <v>113.61208961443181</v>
      </c>
      <c r="AQ1251" s="175">
        <f t="shared" si="3754"/>
        <v>3.2457172977837297E-2</v>
      </c>
      <c r="AR1251" s="177">
        <f>+AC1251/$AE$51</f>
        <v>3.9481888615954412E-2</v>
      </c>
      <c r="AS1251" s="177">
        <f t="shared" si="3750"/>
        <v>1.2814704882997375E-3</v>
      </c>
      <c r="AT1251" s="177"/>
      <c r="AU1251" s="177"/>
      <c r="AV1251" s="177"/>
      <c r="AW1251" s="190"/>
      <c r="AX1251" s="120"/>
      <c r="AY1251" s="120"/>
      <c r="AZ1251" s="118">
        <f>IFERROR(INDEX('Total Customers'!$F$7:$AB$91,MATCH($C1251,'Total Customers'!$D$7:$D$91,0),MATCH($G1251,'Total Customers'!$F$5:$AB$5,0)),"NA")</f>
        <v>1110704</v>
      </c>
      <c r="BA1251" s="119">
        <f t="shared" si="3712"/>
        <v>1.4134667931942615E-2</v>
      </c>
      <c r="BB1251" s="119"/>
      <c r="BC1251" s="121"/>
      <c r="BD1251" s="119"/>
      <c r="BE1251" s="119"/>
      <c r="BF1251" s="119"/>
      <c r="BG1251" s="173"/>
      <c r="BH1251" s="173"/>
      <c r="BI1251" s="173"/>
      <c r="BJ1251" s="173"/>
      <c r="BK1251" s="173"/>
      <c r="BL1251" s="173"/>
      <c r="BM1251" s="173"/>
      <c r="BN1251" s="173"/>
      <c r="BO1251" s="173"/>
      <c r="BP1251" s="173"/>
      <c r="BQ1251" s="118"/>
      <c r="BR1251" s="118"/>
      <c r="BS1251" s="118">
        <f>INDEX('Dist. Plant Gas Additions'!$F$7:$AE$91,MATCH($C1251,'Dist. Plant Gas Additions'!$D$7:$D$91,0),MATCH(Calculation!$G1251,'Dist. Plant Gas Additions'!$F$5:$AE$5,0))</f>
        <v>164004</v>
      </c>
      <c r="BT1251" s="118">
        <f>INDEX('Gen. Plant Additions'!$F$7:$AE$91,MATCH($C1251,'Gen. Plant Additions'!$D$7:$D$91,0),MATCH(Calculation!$G1251,'Gen. Plant Additions'!$F$5:$AE$5,0))</f>
        <v>12418</v>
      </c>
      <c r="BU1251" s="118"/>
      <c r="BV1251" s="118"/>
      <c r="BW1251" s="118">
        <f>INDEX('Dist Plant Depreciation'!$E$7:$AD$94,MATCH($C1251,'Dist Plant Depreciation'!$D$7:$D$94,0),MATCH(Calculation!$G1251,'Dist Plant Depreciation'!$E$5:$AD$5,0))</f>
        <v>1206131</v>
      </c>
      <c r="BX1251" s="118">
        <f>INDEX('Gen. Plant Depreciation'!$E$7:$AD$94,MATCH($C1251,'Gen. Plant Depreciation'!$D$7:$D$94,0),MATCH(Calculation!$G1251,'Gen. Plant Depreciation'!$E$5:$AD$5,0))</f>
        <v>21682</v>
      </c>
      <c r="BY1251" s="118"/>
      <c r="BZ1251" s="118"/>
      <c r="CA1251" s="118"/>
      <c r="CB1251" s="118"/>
      <c r="CC1251" s="118"/>
      <c r="CD1251" s="183"/>
      <c r="CE1251" s="118">
        <f>INDEX('Gross Dx Plant'!$E$7:$AD$91,MATCH($C1251,'Gross Dx Plant'!$D$7:$D$91,0),MATCH(Calculation!$G1251,'Gross Dx Plant'!$E$5:$AD$5,0))</f>
        <v>2942346</v>
      </c>
      <c r="CF1251" s="118">
        <f>INDEX('Gross Gen Plant'!$E$7:$AD$91,MATCH($C1251,'Gross Gen Plant'!$D$7:$D$91,0),MATCH(Calculation!$G1251,'Gross Gen Plant'!$E$5:$AD$5,0))</f>
        <v>280622</v>
      </c>
      <c r="CG1251" s="118">
        <f t="shared" si="3556"/>
        <v>1995155</v>
      </c>
      <c r="CH1251" s="118"/>
      <c r="CI1251" s="121">
        <v>2013</v>
      </c>
      <c r="CJ1251" s="118"/>
      <c r="CK1251" s="118"/>
      <c r="CL1251" s="118"/>
      <c r="CM1251" s="183"/>
      <c r="CN1251" s="118">
        <f t="shared" si="3713"/>
        <v>176422</v>
      </c>
      <c r="CO1251" s="118">
        <f t="shared" si="3714"/>
        <v>265.99687016229859</v>
      </c>
      <c r="CP1251" s="186">
        <v>0.90566037735849059</v>
      </c>
      <c r="CQ1251" s="118">
        <f>+CQ1236*CP1251+CO1237*CP1250+CO1238*CP1249+CO1239*CP1248+CO1240*CP1247+CO1241*CP1246+CO1242*CP1245+CO1243*CP1244+CO1244*CP1243+CO1245*CP1242+CO1246*CP1241+CO1247*CP1240+CO1248*CP1239+CO1249*CP1238+CO1250*CP1237+CO1251</f>
        <v>8825.3587271437791</v>
      </c>
      <c r="CR1251" s="119">
        <f t="shared" si="3715"/>
        <v>2.2816611710095344E-2</v>
      </c>
      <c r="CS1251" s="119"/>
      <c r="CT1251" s="177">
        <f t="shared" si="3716"/>
        <v>7.7567611442898024E-3</v>
      </c>
      <c r="CU1251" s="177">
        <f t="shared" si="3724"/>
        <v>7.5247616720569366E-3</v>
      </c>
      <c r="CV1251" s="119">
        <f>VLOOKUP($H1251,RoR!$E:$F,2,FALSE)</f>
        <v>4.2350000000000006E-2</v>
      </c>
      <c r="CW1251" s="177">
        <v>1.7730000000000024E-2</v>
      </c>
      <c r="CX1251" s="177">
        <f t="shared" si="3722"/>
        <v>2.4619999999999982E-2</v>
      </c>
      <c r="CY1251" s="177">
        <f t="shared" si="3725"/>
        <v>2.3377179936476689E-2</v>
      </c>
      <c r="CZ1251" s="177">
        <f t="shared" si="3726"/>
        <v>5.3376742735721204E-2</v>
      </c>
      <c r="DA1251" s="187">
        <f t="shared" si="3717"/>
        <v>0.83875</v>
      </c>
      <c r="DB1251" s="188">
        <f t="shared" si="3718"/>
        <v>1.2109103018193925</v>
      </c>
      <c r="DC1251" s="188">
        <f t="shared" si="3719"/>
        <v>0.38468122786304604</v>
      </c>
      <c r="DD1251" s="188">
        <f t="shared" si="3720"/>
        <v>0.80969194503422559</v>
      </c>
      <c r="DE1251" s="188">
        <f t="shared" si="3721"/>
        <v>0.37716621754800816</v>
      </c>
      <c r="DF1251" s="189">
        <f>INDEX('State Tax Lookup'!$D$7:$Z$91,MATCH(Calculation!$C1251,'State Tax Lookup'!$B$7:$B$91,0),MATCH($H1251,'State Tax Lookup'!$D$6:$Z$6,0))</f>
        <v>0.43</v>
      </c>
      <c r="DG1251" s="189">
        <v>0.375</v>
      </c>
      <c r="DH1251" s="190">
        <f t="shared" si="3723"/>
        <v>22.736747556550643</v>
      </c>
      <c r="DI1251" s="190">
        <v>22.395295098527498</v>
      </c>
      <c r="DJ1251" s="177"/>
      <c r="DK1251" s="189">
        <f>VLOOKUP($H1251,RoR!$E:$F,2,FALSE)</f>
        <v>4.2350000000000006E-2</v>
      </c>
      <c r="DL1251" s="191">
        <f>HLOOKUP($H1251,'GDP-PI'!$D$8:$CQ$11,3,FALSE)</f>
        <v>1.7730000000000024E-2</v>
      </c>
      <c r="DM1251" s="189">
        <f>VLOOKUP(H1251,'HW Dx Data'!$E:$F,2,FALSE)</f>
        <v>663.24840548821396</v>
      </c>
      <c r="DN1251" s="183">
        <f>VLOOKUP(H1251,'ECI - Input Price'!$G$17:$H$37,2,FALSE)</f>
        <v>118.72499999999999</v>
      </c>
      <c r="DO1251" s="177">
        <f t="shared" ref="DO1251" si="3765">LN(DN1251/DN1250)</f>
        <v>1.8918621429430321E-2</v>
      </c>
      <c r="DP1251" s="183">
        <f>HLOOKUP(H1251,'GDP-PI'!$8:$9,2,FALSE)</f>
        <v>101.773</v>
      </c>
      <c r="DQ1251" s="177">
        <f t="shared" ref="DQ1251" si="3766">LN(DP1251/DP1250)</f>
        <v>1.7574657016510519E-2</v>
      </c>
    </row>
    <row r="1252" spans="1:121" s="167" customFormat="1" ht="21" x14ac:dyDescent="0.35">
      <c r="A1252" s="167" t="s">
        <v>116</v>
      </c>
      <c r="B1252" s="167" t="s">
        <v>116</v>
      </c>
      <c r="C1252" s="167">
        <v>4058284</v>
      </c>
      <c r="D1252" s="168" t="s">
        <v>152</v>
      </c>
      <c r="E1252" s="168"/>
      <c r="F1252" s="198"/>
      <c r="G1252" s="167" t="s">
        <v>20</v>
      </c>
      <c r="H1252" s="169">
        <v>2014</v>
      </c>
      <c r="I1252" s="170"/>
      <c r="J1252" s="166">
        <f>IFERROR(INDEX('Labor Expenditures'!$F$7:$X$91,MATCH($C1252,'Labor Expenditures'!$D$7:$D$91,0),MATCH($G1252,'Labor Expenditures'!$F$5:$X$5,0)),"NA")</f>
        <v>96962.351257019211</v>
      </c>
      <c r="K1252" s="166">
        <f t="shared" si="3729"/>
        <v>800.01939981038947</v>
      </c>
      <c r="L1252" s="172">
        <f t="shared" si="3736"/>
        <v>-3.7906455182000656E-2</v>
      </c>
      <c r="M1252" s="172">
        <f t="shared" si="3740"/>
        <v>-1.4739461627926533E-3</v>
      </c>
      <c r="N1252" s="196"/>
      <c r="O1252" s="172"/>
      <c r="P1252" s="166">
        <f>IFERROR(INDEX('Non-Labor Expenditures'!$F$7:$AB$91,MATCH($C1252,'Non-Labor Expenditures'!$D$7:$D$91,0),MATCH($G1252,'Non-Labor Expenditures'!$F$5:$AB$5,0)),"NA")</f>
        <v>140419.59468928483</v>
      </c>
      <c r="Q1252" s="166">
        <f t="shared" si="3730"/>
        <v>1354.786869752958</v>
      </c>
      <c r="R1252" s="172">
        <f t="shared" si="3741"/>
        <v>-3.5520327880228006E-2</v>
      </c>
      <c r="S1252" s="172">
        <f t="shared" si="3746"/>
        <v>-1.3811645201015532E-3</v>
      </c>
      <c r="T1252" s="172"/>
      <c r="U1252" s="172"/>
      <c r="V1252" s="166">
        <f t="shared" si="3711"/>
        <v>205107.8735642329</v>
      </c>
      <c r="W1252" s="170"/>
      <c r="X1252" s="174">
        <v>9160.8215770630977</v>
      </c>
      <c r="Y1252" s="175">
        <v>3.7306615521736558E-2</v>
      </c>
      <c r="Z1252" s="175">
        <f t="shared" si="3747"/>
        <v>1.4506221310072458E-3</v>
      </c>
      <c r="AA1252" s="175"/>
      <c r="AB1252" s="175"/>
      <c r="AC1252" s="170">
        <f t="shared" si="3648"/>
        <v>442489.81951053697</v>
      </c>
      <c r="AD1252" s="175">
        <f t="shared" si="3742"/>
        <v>1.0994344726170403E-2</v>
      </c>
      <c r="AE1252" s="170"/>
      <c r="AF1252" s="170"/>
      <c r="AG1252" s="121">
        <f t="shared" si="3743"/>
        <v>393.62308766880545</v>
      </c>
      <c r="AH1252" s="119">
        <f>+AZ1252/$BB$52</f>
        <v>3.0682701593989437E-2</v>
      </c>
      <c r="AI1252" s="119"/>
      <c r="AJ1252" s="176">
        <f t="shared" si="3748"/>
        <v>12.0774197394467</v>
      </c>
      <c r="AK1252" s="176">
        <f t="shared" si="3749"/>
        <v>0</v>
      </c>
      <c r="AL1252" s="120">
        <f t="shared" si="3731"/>
        <v>0.21912899909036271</v>
      </c>
      <c r="AM1252" s="120">
        <f t="shared" si="3732"/>
        <v>0.31733971833433566</v>
      </c>
      <c r="AN1252" s="120">
        <f t="shared" si="3733"/>
        <v>0.46353128257530157</v>
      </c>
      <c r="AO1252" s="120">
        <f t="shared" si="3737"/>
        <v>-2.8532249380215889E-3</v>
      </c>
      <c r="AP1252" s="173">
        <f t="shared" si="3753"/>
        <v>113.28839077947707</v>
      </c>
      <c r="AQ1252" s="175">
        <f t="shared" si="3754"/>
        <v>-2.8532249380217004E-3</v>
      </c>
      <c r="AR1252" s="177">
        <f>+AC1252/$AE$52</f>
        <v>3.8883777333327013E-2</v>
      </c>
      <c r="AS1252" s="177">
        <f t="shared" si="3750"/>
        <v>-1.1094416317193156E-4</v>
      </c>
      <c r="AT1252" s="177"/>
      <c r="AU1252" s="177"/>
      <c r="AV1252" s="177"/>
      <c r="AW1252" s="190"/>
      <c r="AX1252" s="120"/>
      <c r="AY1252" s="120"/>
      <c r="AZ1252" s="118">
        <f>IFERROR(INDEX('Total Customers'!$F$7:$AB$91,MATCH($C1252,'Total Customers'!$D$7:$D$91,0),MATCH($G1252,'Total Customers'!$F$5:$AB$5,0)),"NA")</f>
        <v>1124146</v>
      </c>
      <c r="BA1252" s="119">
        <f t="shared" si="3712"/>
        <v>1.2029587757591702E-2</v>
      </c>
      <c r="BB1252" s="119"/>
      <c r="BC1252" s="121"/>
      <c r="BD1252" s="119"/>
      <c r="BE1252" s="119"/>
      <c r="BF1252" s="119"/>
      <c r="BG1252" s="173"/>
      <c r="BH1252" s="173"/>
      <c r="BI1252" s="173"/>
      <c r="BJ1252" s="173"/>
      <c r="BK1252" s="173"/>
      <c r="BL1252" s="173"/>
      <c r="BM1252" s="173"/>
      <c r="BN1252" s="173"/>
      <c r="BO1252" s="173"/>
      <c r="BP1252" s="173"/>
      <c r="BQ1252" s="118"/>
      <c r="BR1252" s="118"/>
      <c r="BS1252" s="118">
        <f>INDEX('Dist. Plant Gas Additions'!$F$7:$AE$91,MATCH($C1252,'Dist. Plant Gas Additions'!$D$7:$D$91,0),MATCH(Calculation!$G1252,'Dist. Plant Gas Additions'!$F$5:$AE$5,0))</f>
        <v>254313</v>
      </c>
      <c r="BT1252" s="118">
        <f>INDEX('Gen. Plant Additions'!$F$7:$AE$91,MATCH($C1252,'Gen. Plant Additions'!$D$7:$D$91,0),MATCH(Calculation!$G1252,'Gen. Plant Additions'!$F$5:$AE$5,0))</f>
        <v>23700</v>
      </c>
      <c r="BU1252" s="118"/>
      <c r="BV1252" s="118"/>
      <c r="BW1252" s="118">
        <f>INDEX('Dist Plant Depreciation'!$E$7:$AD$94,MATCH($C1252,'Dist Plant Depreciation'!$D$7:$D$94,0),MATCH(Calculation!$G1252,'Dist Plant Depreciation'!$E$5:$AD$5,0))</f>
        <v>1238412</v>
      </c>
      <c r="BX1252" s="118">
        <f>INDEX('Gen. Plant Depreciation'!$E$7:$AD$94,MATCH($C1252,'Gen. Plant Depreciation'!$D$7:$D$94,0),MATCH(Calculation!$G1252,'Gen. Plant Depreciation'!$E$5:$AD$5,0))</f>
        <v>25548</v>
      </c>
      <c r="BY1252" s="118"/>
      <c r="BZ1252" s="118"/>
      <c r="CA1252" s="118"/>
      <c r="CB1252" s="118"/>
      <c r="CC1252" s="118"/>
      <c r="CD1252" s="183"/>
      <c r="CE1252" s="118">
        <f>INDEX('Gross Dx Plant'!$E$7:$AD$91,MATCH($C1252,'Gross Dx Plant'!$D$7:$D$91,0),MATCH(Calculation!$G1252,'Gross Dx Plant'!$E$5:$AD$5,0))</f>
        <v>3180604</v>
      </c>
      <c r="CF1252" s="118">
        <f>INDEX('Gross Gen Plant'!$E$7:$AD$91,MATCH($C1252,'Gross Gen Plant'!$D$7:$D$91,0),MATCH(Calculation!$G1252,'Gross Gen Plant'!$E$5:$AD$5,0))</f>
        <v>292100</v>
      </c>
      <c r="CG1252" s="118">
        <f t="shared" ref="CG1252:CG1318" si="3767">IF(OR(BW1252="NA",BX1252="NA"),"NA",(SUM(CE1252:CF1252)-SUM(BW1252:BX1252)))</f>
        <v>2208744</v>
      </c>
      <c r="CH1252" s="118"/>
      <c r="CI1252" s="121">
        <v>2014</v>
      </c>
      <c r="CJ1252" s="118"/>
      <c r="CK1252" s="118"/>
      <c r="CL1252" s="118"/>
      <c r="CM1252" s="183"/>
      <c r="CN1252" s="118">
        <f t="shared" si="3713"/>
        <v>278013</v>
      </c>
      <c r="CO1252" s="118">
        <f t="shared" si="3714"/>
        <v>406.17316778113951</v>
      </c>
      <c r="CP1252" s="186">
        <v>0.89743589743589747</v>
      </c>
      <c r="CQ1252" s="118">
        <f>+CQ1236*CP1252+CO1237*CP1251+CO1238*CP1250+CO1239*CP1249+CO1240*CP1248+CO1241*CP1247+CO1242*CP1246+CO1243*CP1245+CO1244*CP1244+CO1245*CP1243+CO1246*CP1242+CO1247*CP1241+CO1248*CP1240+CO1249*CP1239+CO1250*CP1238+CO1251*CP1237+CO1252</f>
        <v>9160.8215770630977</v>
      </c>
      <c r="CR1252" s="119">
        <f t="shared" si="3715"/>
        <v>3.7306615521736558E-2</v>
      </c>
      <c r="CS1252" s="119"/>
      <c r="CT1252" s="177">
        <f t="shared" si="3716"/>
        <v>8.0121749209287312E-3</v>
      </c>
      <c r="CU1252" s="177">
        <f t="shared" si="3724"/>
        <v>7.7700321952762332E-3</v>
      </c>
      <c r="CV1252" s="119">
        <f>VLOOKUP($H1252,RoR!$E:$F,2,FALSE)</f>
        <v>4.1625000000000002E-2</v>
      </c>
      <c r="CW1252" s="177">
        <v>1.841352814597208E-2</v>
      </c>
      <c r="CX1252" s="177">
        <f t="shared" si="3722"/>
        <v>2.3211471854027922E-2</v>
      </c>
      <c r="CY1252" s="177">
        <f t="shared" si="3725"/>
        <v>2.3131909413257393E-2</v>
      </c>
      <c r="CZ1252" s="177">
        <f t="shared" si="3726"/>
        <v>3.9072621432650924E-2</v>
      </c>
      <c r="DA1252" s="187">
        <f t="shared" si="3717"/>
        <v>0.83875</v>
      </c>
      <c r="DB1252" s="188">
        <f t="shared" si="3718"/>
        <v>1.2320012320012319</v>
      </c>
      <c r="DC1252" s="188">
        <f t="shared" si="3719"/>
        <v>0.37439939939939942</v>
      </c>
      <c r="DD1252" s="188">
        <f t="shared" si="3720"/>
        <v>0.80432100613819935</v>
      </c>
      <c r="DE1252" s="188">
        <f t="shared" si="3721"/>
        <v>0.37100152660040037</v>
      </c>
      <c r="DF1252" s="189">
        <f>INDEX('State Tax Lookup'!$D$7:$Z$91,MATCH(Calculation!$C1252,'State Tax Lookup'!$B$7:$B$91,0),MATCH($H1252,'State Tax Lookup'!$D$6:$Z$6,0))</f>
        <v>0.43</v>
      </c>
      <c r="DG1252" s="189">
        <v>0.375</v>
      </c>
      <c r="DH1252" s="190">
        <f t="shared" si="3723"/>
        <v>23.240740677587571</v>
      </c>
      <c r="DI1252" s="190">
        <v>22.86651428988586</v>
      </c>
      <c r="DJ1252" s="177"/>
      <c r="DK1252" s="189">
        <f>VLOOKUP($H1252,RoR!$E:$F,2,FALSE)</f>
        <v>4.1625000000000002E-2</v>
      </c>
      <c r="DL1252" s="191">
        <f>HLOOKUP($H1252,'GDP-PI'!$D$8:$CQ$11,3,FALSE)</f>
        <v>1.841352814597208E-2</v>
      </c>
      <c r="DM1252" s="189">
        <f>VLOOKUP(H1252,'HW Dx Data'!$E:$F,2,FALSE)</f>
        <v>684.46914285042885</v>
      </c>
      <c r="DN1252" s="183">
        <f>VLOOKUP(H1252,'ECI - Input Price'!$G$17:$H$37,2,FALSE)</f>
        <v>121.2</v>
      </c>
      <c r="DO1252" s="177">
        <f t="shared" ref="DO1252" si="3768">LN(DN1252/DN1251)</f>
        <v>2.0632179200028689E-2</v>
      </c>
      <c r="DP1252" s="183">
        <f>HLOOKUP(H1252,'GDP-PI'!$8:$9,2,FALSE)</f>
        <v>103.64700000000001</v>
      </c>
      <c r="DQ1252" s="177">
        <f t="shared" ref="DQ1252" si="3769">LN(DP1252/DP1251)</f>
        <v>1.8246051898256087E-2</v>
      </c>
    </row>
    <row r="1253" spans="1:121" s="167" customFormat="1" ht="21" x14ac:dyDescent="0.35">
      <c r="A1253" s="167" t="s">
        <v>116</v>
      </c>
      <c r="B1253" s="167" t="s">
        <v>116</v>
      </c>
      <c r="C1253" s="167">
        <v>4058284</v>
      </c>
      <c r="D1253" s="168" t="s">
        <v>152</v>
      </c>
      <c r="E1253" s="168"/>
      <c r="F1253" s="198"/>
      <c r="G1253" s="167" t="s">
        <v>21</v>
      </c>
      <c r="H1253" s="169">
        <v>2015</v>
      </c>
      <c r="I1253" s="170"/>
      <c r="J1253" s="166">
        <f>IFERROR(INDEX('Labor Expenditures'!$F$7:$X$91,MATCH($C1253,'Labor Expenditures'!$D$7:$D$91,0),MATCH($G1253,'Labor Expenditures'!$F$5:$X$5,0)),"NA")</f>
        <v>107621.18954352815</v>
      </c>
      <c r="K1253" s="166">
        <f t="shared" si="3729"/>
        <v>869.6661781295204</v>
      </c>
      <c r="L1253" s="172">
        <f t="shared" si="3736"/>
        <v>8.3473457579387206E-2</v>
      </c>
      <c r="M1253" s="172">
        <f t="shared" si="3740"/>
        <v>3.4276841745716387E-3</v>
      </c>
      <c r="N1253" s="196"/>
      <c r="O1253" s="172"/>
      <c r="P1253" s="166">
        <f>IFERROR(INDEX('Non-Labor Expenditures'!$F$7:$AB$91,MATCH($C1253,'Non-Labor Expenditures'!$D$7:$D$91,0),MATCH($G1253,'Non-Labor Expenditures'!$F$5:$AB$5,0)),"NA")</f>
        <v>155855.58332453226</v>
      </c>
      <c r="Q1253" s="166">
        <f t="shared" si="3730"/>
        <v>1489.459793428189</v>
      </c>
      <c r="R1253" s="172">
        <f t="shared" si="3741"/>
        <v>9.4769349207529899E-2</v>
      </c>
      <c r="S1253" s="172">
        <f t="shared" si="3746"/>
        <v>3.8915292109969911E-3</v>
      </c>
      <c r="T1253" s="172"/>
      <c r="U1253" s="172"/>
      <c r="V1253" s="166">
        <f t="shared" si="3711"/>
        <v>208533.52966967053</v>
      </c>
      <c r="W1253" s="170"/>
      <c r="X1253" s="174">
        <v>9456.1299094056558</v>
      </c>
      <c r="Y1253" s="175">
        <v>3.1727332390609729E-2</v>
      </c>
      <c r="Z1253" s="175">
        <f t="shared" si="3747"/>
        <v>1.3028246138389501E-3</v>
      </c>
      <c r="AA1253" s="175"/>
      <c r="AB1253" s="175"/>
      <c r="AC1253" s="170">
        <f t="shared" si="3648"/>
        <v>472010.30253773089</v>
      </c>
      <c r="AD1253" s="175">
        <f t="shared" si="3742"/>
        <v>6.4583355330311662E-2</v>
      </c>
      <c r="AE1253" s="170"/>
      <c r="AF1253" s="170"/>
      <c r="AG1253" s="121">
        <f t="shared" si="3743"/>
        <v>416.57132440113077</v>
      </c>
      <c r="AH1253" s="119">
        <f>+AZ1253/$BB$53</f>
        <v>3.0675899020277675E-2</v>
      </c>
      <c r="AI1253" s="119"/>
      <c r="AJ1253" s="176">
        <f t="shared" si="3748"/>
        <v>12.77869988207242</v>
      </c>
      <c r="AK1253" s="176">
        <f t="shared" si="3749"/>
        <v>0</v>
      </c>
      <c r="AL1253" s="120">
        <f t="shared" si="3731"/>
        <v>0.22800601801467094</v>
      </c>
      <c r="AM1253" s="120">
        <f t="shared" si="3732"/>
        <v>0.33019529973516559</v>
      </c>
      <c r="AN1253" s="120">
        <f t="shared" si="3733"/>
        <v>0.44179868225016355</v>
      </c>
      <c r="AO1253" s="120">
        <f t="shared" si="3737"/>
        <v>6.370704142565245E-2</v>
      </c>
      <c r="AP1253" s="173">
        <f t="shared" si="3753"/>
        <v>120.74051512697908</v>
      </c>
      <c r="AQ1253" s="175">
        <f t="shared" si="3754"/>
        <v>6.3707041425652366E-2</v>
      </c>
      <c r="AR1253" s="177">
        <f>+AC1253/$AE$53</f>
        <v>4.1063162758194709E-2</v>
      </c>
      <c r="AS1253" s="177">
        <f t="shared" si="3750"/>
        <v>2.616012610904616E-3</v>
      </c>
      <c r="AT1253" s="177"/>
      <c r="AU1253" s="177"/>
      <c r="AV1253" s="177"/>
      <c r="AW1253" s="190"/>
      <c r="AX1253" s="120"/>
      <c r="AY1253" s="120"/>
      <c r="AZ1253" s="118">
        <f>IFERROR(INDEX('Total Customers'!$F$7:$AB$91,MATCH($C1253,'Total Customers'!$D$7:$D$91,0),MATCH($G1253,'Total Customers'!$F$5:$AB$5,0)),"NA")</f>
        <v>1133084</v>
      </c>
      <c r="BA1253" s="119">
        <f t="shared" si="3712"/>
        <v>7.9194824759189243E-3</v>
      </c>
      <c r="BB1253" s="119"/>
      <c r="BC1253" s="121"/>
      <c r="BD1253" s="119"/>
      <c r="BE1253" s="119"/>
      <c r="BF1253" s="119"/>
      <c r="BG1253" s="173"/>
      <c r="BH1253" s="173"/>
      <c r="BI1253" s="173"/>
      <c r="BJ1253" s="173"/>
      <c r="BK1253" s="173"/>
      <c r="BL1253" s="173"/>
      <c r="BM1253" s="173"/>
      <c r="BN1253" s="173"/>
      <c r="BO1253" s="173"/>
      <c r="BP1253" s="173"/>
      <c r="BQ1253" s="118"/>
      <c r="BR1253" s="118"/>
      <c r="BS1253" s="118">
        <f>INDEX('Dist. Plant Gas Additions'!$F$7:$AE$91,MATCH($C1253,'Dist. Plant Gas Additions'!$D$7:$D$91,0),MATCH(Calculation!$G1253,'Dist. Plant Gas Additions'!$F$5:$AE$5,0))</f>
        <v>237154</v>
      </c>
      <c r="BT1253" s="118">
        <f>INDEX('Gen. Plant Additions'!$F$7:$AE$91,MATCH($C1253,'Gen. Plant Additions'!$D$7:$D$91,0),MATCH(Calculation!$G1253,'Gen. Plant Additions'!$F$5:$AE$5,0))</f>
        <v>13293</v>
      </c>
      <c r="BU1253" s="118"/>
      <c r="BV1253" s="118"/>
      <c r="BW1253" s="118">
        <f>INDEX('Dist Plant Depreciation'!$E$7:$AD$94,MATCH($C1253,'Dist Plant Depreciation'!$D$7:$D$94,0),MATCH(Calculation!$G1253,'Dist Plant Depreciation'!$E$5:$AD$5,0))</f>
        <v>1270757</v>
      </c>
      <c r="BX1253" s="118">
        <f>INDEX('Gen. Plant Depreciation'!$E$7:$AD$94,MATCH($C1253,'Gen. Plant Depreciation'!$D$7:$D$94,0),MATCH(Calculation!$G1253,'Gen. Plant Depreciation'!$E$5:$AD$5,0))</f>
        <v>28850</v>
      </c>
      <c r="BY1253" s="118"/>
      <c r="BZ1253" s="118"/>
      <c r="CA1253" s="118"/>
      <c r="CB1253" s="118"/>
      <c r="CC1253" s="118"/>
      <c r="CD1253" s="183"/>
      <c r="CE1253" s="118">
        <f>INDEX('Gross Dx Plant'!$E$7:$AD$91,MATCH($C1253,'Gross Dx Plant'!$D$7:$D$91,0),MATCH(Calculation!$G1253,'Gross Dx Plant'!$E$5:$AD$5,0))</f>
        <v>3409804</v>
      </c>
      <c r="CF1253" s="118">
        <f>INDEX('Gross Gen Plant'!$E$7:$AD$91,MATCH($C1253,'Gross Gen Plant'!$D$7:$D$91,0),MATCH(Calculation!$G1253,'Gross Gen Plant'!$E$5:$AD$5,0))</f>
        <v>295438</v>
      </c>
      <c r="CG1253" s="118">
        <f t="shared" si="3767"/>
        <v>2405635</v>
      </c>
      <c r="CH1253" s="118"/>
      <c r="CI1253" s="121">
        <v>2015</v>
      </c>
      <c r="CJ1253" s="118"/>
      <c r="CK1253" s="118"/>
      <c r="CL1253" s="118"/>
      <c r="CM1253" s="183"/>
      <c r="CN1253" s="118">
        <f t="shared" si="3713"/>
        <v>250447</v>
      </c>
      <c r="CO1253" s="118">
        <f t="shared" si="3714"/>
        <v>370.6950497146446</v>
      </c>
      <c r="CP1253" s="186">
        <v>0.88888888888888884</v>
      </c>
      <c r="CQ1253" s="118">
        <f>+CQ1236*CP1253+CO1237*CP1252+CO1238*CP1251+CO1239*CP1250+CO1240*CP1249+CO1241*CP1248+CO1242*CP1247+CO1243*CP1246+CO1244*CP1245+CO1245*CP1244+CO1246*CP1243+CO1247*CP1242+CO1248*CP1241+CO1249*CP1240+CO1250*CP1239+CO1251*CP1238+CO1252*CP1237+CO1253</f>
        <v>9456.1299094056558</v>
      </c>
      <c r="CR1253" s="119">
        <f t="shared" si="3715"/>
        <v>3.1727332390609729E-2</v>
      </c>
      <c r="CS1253" s="119"/>
      <c r="CT1253" s="177">
        <f t="shared" si="3716"/>
        <v>8.2292528828244085E-3</v>
      </c>
      <c r="CU1253" s="177">
        <f t="shared" si="3724"/>
        <v>7.9993963160143143E-3</v>
      </c>
      <c r="CV1253" s="119">
        <f>VLOOKUP($H1253,RoR!$E:$F,2,FALSE)</f>
        <v>3.8866666666666674E-2</v>
      </c>
      <c r="CW1253" s="177">
        <v>9.5709475431029478E-3</v>
      </c>
      <c r="CX1253" s="177">
        <f t="shared" si="3722"/>
        <v>2.9295719123563727E-2</v>
      </c>
      <c r="CY1253" s="177">
        <f t="shared" si="3725"/>
        <v>2.2902545292519311E-2</v>
      </c>
      <c r="CZ1253" s="177">
        <f t="shared" si="3726"/>
        <v>3.5270373279175926E-3</v>
      </c>
      <c r="DA1253" s="187">
        <f t="shared" si="3717"/>
        <v>0.83875</v>
      </c>
      <c r="DB1253" s="188">
        <f t="shared" si="3718"/>
        <v>1.3194352816994324</v>
      </c>
      <c r="DC1253" s="188">
        <f t="shared" si="3719"/>
        <v>0.33177530017152673</v>
      </c>
      <c r="DD1253" s="188">
        <f t="shared" si="3720"/>
        <v>0.78242572977668579</v>
      </c>
      <c r="DE1253" s="188">
        <f t="shared" si="3721"/>
        <v>0.34251158643433932</v>
      </c>
      <c r="DF1253" s="189">
        <f>INDEX('State Tax Lookup'!$D$7:$Z$91,MATCH(Calculation!$C1253,'State Tax Lookup'!$B$7:$B$91,0),MATCH($H1253,'State Tax Lookup'!$D$6:$Z$6,0))</f>
        <v>0.43</v>
      </c>
      <c r="DG1253" s="189">
        <v>0.375</v>
      </c>
      <c r="DH1253" s="190">
        <f t="shared" si="3723"/>
        <v>22.763627466754471</v>
      </c>
      <c r="DI1253" s="190">
        <v>22.378697130011716</v>
      </c>
      <c r="DJ1253" s="177"/>
      <c r="DK1253" s="189">
        <f>VLOOKUP($H1253,RoR!$E:$F,2,FALSE)</f>
        <v>3.8866666666666674E-2</v>
      </c>
      <c r="DL1253" s="191">
        <f>HLOOKUP($H1253,'GDP-PI'!$D$8:$CQ$11,3,FALSE)</f>
        <v>9.5709475431029478E-3</v>
      </c>
      <c r="DM1253" s="189">
        <f>VLOOKUP(H1253,'HW Dx Data'!$E:$F,2,FALSE)</f>
        <v>675.61463308665782</v>
      </c>
      <c r="DN1253" s="183">
        <f>VLOOKUP(H1253,'ECI - Input Price'!$G$17:$H$37,2,FALSE)</f>
        <v>123.75</v>
      </c>
      <c r="DO1253" s="177">
        <f t="shared" ref="DO1253" si="3770">LN(DN1253/DN1252)</f>
        <v>2.0821327813585516E-2</v>
      </c>
      <c r="DP1253" s="183">
        <f>HLOOKUP(H1253,'GDP-PI'!$8:$9,2,FALSE)</f>
        <v>104.639</v>
      </c>
      <c r="DQ1253" s="177">
        <f t="shared" ref="DQ1253" si="3771">LN(DP1253/DP1252)</f>
        <v>9.5254361854427965E-3</v>
      </c>
    </row>
    <row r="1254" spans="1:121" s="167" customFormat="1" ht="21" x14ac:dyDescent="0.35">
      <c r="A1254" s="167" t="s">
        <v>116</v>
      </c>
      <c r="B1254" s="167" t="s">
        <v>116</v>
      </c>
      <c r="C1254" s="167">
        <v>4058284</v>
      </c>
      <c r="D1254" s="168" t="s">
        <v>152</v>
      </c>
      <c r="E1254" s="168"/>
      <c r="F1254" s="198"/>
      <c r="G1254" s="167" t="s">
        <v>22</v>
      </c>
      <c r="H1254" s="169">
        <v>2016</v>
      </c>
      <c r="I1254" s="170"/>
      <c r="J1254" s="166">
        <f>IFERROR(INDEX('Labor Expenditures'!$F$7:$X$91,MATCH($C1254,'Labor Expenditures'!$D$7:$D$91,0),MATCH($G1254,'Labor Expenditures'!$F$5:$X$5,0)),"NA")</f>
        <v>108580.68587000036</v>
      </c>
      <c r="K1254" s="166">
        <f t="shared" si="3729"/>
        <v>859.02441352848382</v>
      </c>
      <c r="L1254" s="172">
        <f t="shared" si="3736"/>
        <v>-1.2312092264547209E-2</v>
      </c>
      <c r="M1254" s="172">
        <f t="shared" si="3740"/>
        <v>-4.9414606199245955E-4</v>
      </c>
      <c r="N1254" s="196"/>
      <c r="O1254" s="172"/>
      <c r="P1254" s="166">
        <f>IFERROR(INDEX('Non-Labor Expenditures'!$F$7:$AB$91,MATCH($C1254,'Non-Labor Expenditures'!$D$7:$D$91,0),MATCH($G1254,'Non-Labor Expenditures'!$F$5:$AB$5,0)),"NA")</f>
        <v>157245.11321445779</v>
      </c>
      <c r="Q1254" s="166">
        <f t="shared" si="3730"/>
        <v>1487.1483053497179</v>
      </c>
      <c r="R1254" s="172">
        <f t="shared" si="3741"/>
        <v>-1.5531023677948005E-3</v>
      </c>
      <c r="S1254" s="172">
        <f t="shared" si="3746"/>
        <v>-6.2333793674278426E-5</v>
      </c>
      <c r="T1254" s="172"/>
      <c r="U1254" s="172"/>
      <c r="V1254" s="166">
        <f t="shared" si="3711"/>
        <v>211696.08560370677</v>
      </c>
      <c r="W1254" s="170"/>
      <c r="X1254" s="174">
        <v>9819.1119242416844</v>
      </c>
      <c r="Y1254" s="175">
        <v>3.7667483989882219E-2</v>
      </c>
      <c r="Z1254" s="175">
        <f t="shared" si="3747"/>
        <v>1.5117852009898691E-3</v>
      </c>
      <c r="AA1254" s="175"/>
      <c r="AB1254" s="175"/>
      <c r="AC1254" s="170">
        <f t="shared" si="3648"/>
        <v>477521.88468816492</v>
      </c>
      <c r="AD1254" s="175">
        <f t="shared" si="3742"/>
        <v>1.1609177920427162E-2</v>
      </c>
      <c r="AE1254" s="170"/>
      <c r="AF1254" s="170"/>
      <c r="AG1254" s="121">
        <f t="shared" si="3743"/>
        <v>417.230420066828</v>
      </c>
      <c r="AH1254" s="119">
        <f>+AZ1254/$BB$54</f>
        <v>3.0717354171096566E-2</v>
      </c>
      <c r="AI1254" s="119"/>
      <c r="AJ1254" s="176">
        <f t="shared" si="3748"/>
        <v>12.816214584148153</v>
      </c>
      <c r="AK1254" s="176">
        <f t="shared" si="3749"/>
        <v>0</v>
      </c>
      <c r="AL1254" s="120">
        <f t="shared" si="3731"/>
        <v>0.22738368512870688</v>
      </c>
      <c r="AM1254" s="120">
        <f t="shared" si="3732"/>
        <v>0.32929404548054009</v>
      </c>
      <c r="AN1254" s="120">
        <f t="shared" si="3733"/>
        <v>0.44332226939075309</v>
      </c>
      <c r="AO1254" s="120">
        <f t="shared" si="3737"/>
        <v>1.335461238501378E-2</v>
      </c>
      <c r="AP1254" s="173">
        <f t="shared" si="3753"/>
        <v>122.36377276896209</v>
      </c>
      <c r="AQ1254" s="175">
        <f t="shared" si="3754"/>
        <v>1.3354612385013797E-2</v>
      </c>
      <c r="AR1254" s="177">
        <f>+AC1254/$AE$54</f>
        <v>4.0135019408143811E-2</v>
      </c>
      <c r="AS1254" s="177">
        <f t="shared" si="3750"/>
        <v>5.3598762726076647E-4</v>
      </c>
      <c r="AT1254" s="177"/>
      <c r="AU1254" s="177"/>
      <c r="AV1254" s="177"/>
      <c r="AW1254" s="190"/>
      <c r="AX1254" s="120"/>
      <c r="AY1254" s="120"/>
      <c r="AZ1254" s="118">
        <f>IFERROR(INDEX('Total Customers'!$F$7:$AB$91,MATCH($C1254,'Total Customers'!$D$7:$D$91,0),MATCH($G1254,'Total Customers'!$F$5:$AB$5,0)),"NA")</f>
        <v>1144504</v>
      </c>
      <c r="BA1254" s="119">
        <f t="shared" si="3712"/>
        <v>1.002823662989278E-2</v>
      </c>
      <c r="BB1254" s="119"/>
      <c r="BC1254" s="121"/>
      <c r="BD1254" s="119"/>
      <c r="BE1254" s="119"/>
      <c r="BF1254" s="119"/>
      <c r="BG1254" s="173"/>
      <c r="BH1254" s="173"/>
      <c r="BI1254" s="173"/>
      <c r="BJ1254" s="173"/>
      <c r="BK1254" s="173"/>
      <c r="BL1254" s="173"/>
      <c r="BM1254" s="173"/>
      <c r="BN1254" s="173"/>
      <c r="BO1254" s="173"/>
      <c r="BP1254" s="173"/>
      <c r="BQ1254" s="118"/>
      <c r="BR1254" s="118"/>
      <c r="BS1254" s="118">
        <f>INDEX('Dist. Plant Gas Additions'!$F$7:$AE$91,MATCH($C1254,'Dist. Plant Gas Additions'!$D$7:$D$91,0),MATCH(Calculation!$G1254,'Dist. Plant Gas Additions'!$F$5:$AE$5,0))</f>
        <v>277773</v>
      </c>
      <c r="BT1254" s="118">
        <f>INDEX('Gen. Plant Additions'!$F$7:$AE$91,MATCH($C1254,'Gen. Plant Additions'!$D$7:$D$91,0),MATCH(Calculation!$G1254,'Gen. Plant Additions'!$F$5:$AE$5,0))</f>
        <v>19738</v>
      </c>
      <c r="BU1254" s="118"/>
      <c r="BV1254" s="118"/>
      <c r="BW1254" s="118">
        <f>INDEX('Dist Plant Depreciation'!$E$7:$AD$94,MATCH($C1254,'Dist Plant Depreciation'!$D$7:$D$94,0),MATCH(Calculation!$G1254,'Dist Plant Depreciation'!$E$5:$AD$5,0))</f>
        <v>1309409</v>
      </c>
      <c r="BX1254" s="118">
        <f>INDEX('Gen. Plant Depreciation'!$E$7:$AD$94,MATCH($C1254,'Gen. Plant Depreciation'!$D$7:$D$94,0),MATCH(Calculation!$G1254,'Gen. Plant Depreciation'!$E$5:$AD$5,0))</f>
        <v>25651</v>
      </c>
      <c r="BY1254" s="118"/>
      <c r="BZ1254" s="118"/>
      <c r="CA1254" s="118"/>
      <c r="CB1254" s="118"/>
      <c r="CC1254" s="118"/>
      <c r="CD1254" s="183"/>
      <c r="CE1254" s="118">
        <f>INDEX('Gross Dx Plant'!$E$7:$AD$91,MATCH($C1254,'Gross Dx Plant'!$D$7:$D$91,0),MATCH(Calculation!$G1254,'Gross Dx Plant'!$E$5:$AD$5,0))</f>
        <v>3680573</v>
      </c>
      <c r="CF1254" s="118">
        <f>INDEX('Gross Gen Plant'!$E$7:$AD$91,MATCH($C1254,'Gross Gen Plant'!$D$7:$D$91,0),MATCH(Calculation!$G1254,'Gross Gen Plant'!$E$5:$AD$5,0))</f>
        <v>305008</v>
      </c>
      <c r="CG1254" s="118">
        <f t="shared" si="3767"/>
        <v>2650521</v>
      </c>
      <c r="CH1254" s="118"/>
      <c r="CI1254" s="121">
        <v>2016</v>
      </c>
      <c r="CJ1254" s="118"/>
      <c r="CK1254" s="118"/>
      <c r="CL1254" s="118"/>
      <c r="CM1254" s="183"/>
      <c r="CN1254" s="118">
        <f t="shared" si="3713"/>
        <v>297511</v>
      </c>
      <c r="CO1254" s="118">
        <f t="shared" si="3714"/>
        <v>443.08312903214255</v>
      </c>
      <c r="CP1254" s="186">
        <v>0.88</v>
      </c>
      <c r="CQ1254" s="118">
        <f>+CQ1236*CP1254+CO1237*CP1253+CO1238*CP1252+CO1239*CP1251+CO1240*CP1250+CO1241*CP1249+CO1242*CP1248+CO1243*CP1247+CO1244*CP1246+CO1245*CP1245+CO1246*CP1244+CO1247*CP1243+CO1248*CP1242+CO1249*CP1241+CO1250*CP1240+CO1251*CP1239+CO1252*CP1238+CO1253*CP1237+CO1254</f>
        <v>9819.1119242416844</v>
      </c>
      <c r="CR1254" s="119">
        <f t="shared" si="3715"/>
        <v>3.7667483989882219E-2</v>
      </c>
      <c r="CS1254" s="119"/>
      <c r="CT1254" s="177">
        <f t="shared" si="3716"/>
        <v>8.4708136376637957E-3</v>
      </c>
      <c r="CU1254" s="177">
        <f t="shared" si="3724"/>
        <v>8.2374138138056451E-3</v>
      </c>
      <c r="CV1254" s="119">
        <f>VLOOKUP($H1254,RoR!$E:$F,2,FALSE)</f>
        <v>3.6658333333333334E-2</v>
      </c>
      <c r="CW1254" s="177">
        <v>1.0483662879041455E-2</v>
      </c>
      <c r="CX1254" s="177">
        <f t="shared" si="3722"/>
        <v>2.6174670454291879E-2</v>
      </c>
      <c r="CY1254" s="177">
        <f t="shared" si="3725"/>
        <v>2.2664527794727982E-2</v>
      </c>
      <c r="CZ1254" s="177">
        <f t="shared" si="3726"/>
        <v>4.301363574220729E-3</v>
      </c>
      <c r="DA1254" s="187">
        <f t="shared" si="3717"/>
        <v>0.83875</v>
      </c>
      <c r="DB1254" s="188">
        <f t="shared" si="3718"/>
        <v>1.3989193348138562</v>
      </c>
      <c r="DC1254" s="188">
        <f t="shared" si="3719"/>
        <v>0.29302682427824522</v>
      </c>
      <c r="DD1254" s="188">
        <f t="shared" si="3720"/>
        <v>0.76309497491941802</v>
      </c>
      <c r="DE1254" s="188">
        <f t="shared" si="3721"/>
        <v>0.31280857135128509</v>
      </c>
      <c r="DF1254" s="189">
        <f>INDEX('State Tax Lookup'!$D$7:$Z$91,MATCH(Calculation!$C1254,'State Tax Lookup'!$B$7:$B$91,0),MATCH($H1254,'State Tax Lookup'!$D$6:$Z$6,0))</f>
        <v>0.43</v>
      </c>
      <c r="DG1254" s="189">
        <v>0.375</v>
      </c>
      <c r="DH1254" s="190">
        <f t="shared" si="3723"/>
        <v>22.387180340356856</v>
      </c>
      <c r="DI1254" s="190">
        <v>21.976422799627667</v>
      </c>
      <c r="DJ1254" s="177"/>
      <c r="DK1254" s="189">
        <f>VLOOKUP($H1254,RoR!$E:$F,2,FALSE)</f>
        <v>3.6658333333333334E-2</v>
      </c>
      <c r="DL1254" s="191">
        <f>HLOOKUP($H1254,'GDP-PI'!$D$8:$CQ$11,3,FALSE)</f>
        <v>1.0483662879041455E-2</v>
      </c>
      <c r="DM1254" s="189">
        <f>VLOOKUP(H1254,'HW Dx Data'!$E:$F,2,FALSE)</f>
        <v>671.45639385971219</v>
      </c>
      <c r="DN1254" s="183">
        <f>VLOOKUP(H1254,'ECI - Input Price'!$G$17:$H$37,2,FALSE)</f>
        <v>126.4</v>
      </c>
      <c r="DO1254" s="177">
        <f t="shared" ref="DO1254" si="3772">LN(DN1254/DN1253)</f>
        <v>2.11880802639575E-2</v>
      </c>
      <c r="DP1254" s="183">
        <f>HLOOKUP(H1254,'GDP-PI'!$8:$9,2,FALSE)</f>
        <v>105.736</v>
      </c>
      <c r="DQ1254" s="177">
        <f t="shared" ref="DQ1254" si="3773">LN(DP1254/DP1253)</f>
        <v>1.0429090367205095E-2</v>
      </c>
    </row>
    <row r="1255" spans="1:121" s="167" customFormat="1" ht="21" x14ac:dyDescent="0.35">
      <c r="A1255" s="167" t="s">
        <v>116</v>
      </c>
      <c r="B1255" s="167" t="s">
        <v>116</v>
      </c>
      <c r="C1255" s="167">
        <v>4058284</v>
      </c>
      <c r="D1255" s="168" t="s">
        <v>152</v>
      </c>
      <c r="E1255" s="168"/>
      <c r="F1255" s="198"/>
      <c r="G1255" s="167" t="s">
        <v>23</v>
      </c>
      <c r="H1255" s="169">
        <v>2017</v>
      </c>
      <c r="I1255" s="170"/>
      <c r="J1255" s="166">
        <f>IFERROR(INDEX('Labor Expenditures'!$F$7:$X$91,MATCH($C1255,'Labor Expenditures'!$D$7:$D$91,0),MATCH($G1255,'Labor Expenditures'!$F$5:$X$5,0)),"NA")</f>
        <v>108202.62001644187</v>
      </c>
      <c r="K1255" s="166">
        <f t="shared" si="3729"/>
        <v>835.54146730843138</v>
      </c>
      <c r="L1255" s="172">
        <f t="shared" si="3736"/>
        <v>-2.7717363920272499E-2</v>
      </c>
      <c r="M1255" s="172">
        <f t="shared" si="3740"/>
        <v>-1.0802688276199642E-3</v>
      </c>
      <c r="N1255" s="196"/>
      <c r="O1255" s="172"/>
      <c r="P1255" s="166">
        <f>IFERROR(INDEX('Non-Labor Expenditures'!$F$7:$AB$91,MATCH($C1255,'Non-Labor Expenditures'!$D$7:$D$91,0),MATCH($G1255,'Non-Labor Expenditures'!$F$5:$AB$5,0)),"NA")</f>
        <v>156697.60324554396</v>
      </c>
      <c r="Q1255" s="166">
        <f t="shared" si="3730"/>
        <v>1454.2566031456224</v>
      </c>
      <c r="R1255" s="172">
        <f t="shared" si="3741"/>
        <v>-2.2365552721182225E-2</v>
      </c>
      <c r="S1255" s="172">
        <f t="shared" si="3746"/>
        <v>-8.7168496566561253E-4</v>
      </c>
      <c r="T1255" s="172"/>
      <c r="U1255" s="172"/>
      <c r="V1255" s="166">
        <f t="shared" si="3711"/>
        <v>196844.48530066913</v>
      </c>
      <c r="W1255" s="170"/>
      <c r="X1255" s="174">
        <v>10098.696158730963</v>
      </c>
      <c r="Y1255" s="175">
        <v>2.8075639455440428E-2</v>
      </c>
      <c r="Z1255" s="175">
        <f t="shared" si="3747"/>
        <v>1.0942324171393013E-3</v>
      </c>
      <c r="AA1255" s="175"/>
      <c r="AB1255" s="175"/>
      <c r="AC1255" s="170">
        <f t="shared" si="3648"/>
        <v>461744.70856265491</v>
      </c>
      <c r="AD1255" s="175">
        <f t="shared" si="3742"/>
        <v>-3.359783119315693E-2</v>
      </c>
      <c r="AE1255" s="170"/>
      <c r="AF1255" s="170"/>
      <c r="AG1255" s="121">
        <f t="shared" si="3743"/>
        <v>397.99574078277408</v>
      </c>
      <c r="AH1255" s="119">
        <f>+AZ1255/$BB$55</f>
        <v>3.0904001414517688E-2</v>
      </c>
      <c r="AI1255" s="119"/>
      <c r="AJ1255" s="176">
        <f t="shared" si="3748"/>
        <v>12.299660936122866</v>
      </c>
      <c r="AK1255" s="176">
        <f t="shared" si="3749"/>
        <v>0</v>
      </c>
      <c r="AL1255" s="120">
        <f t="shared" si="3731"/>
        <v>0.23433429340914619</v>
      </c>
      <c r="AM1255" s="120">
        <f t="shared" si="3732"/>
        <v>0.33935982446517066</v>
      </c>
      <c r="AN1255" s="120">
        <f t="shared" si="3733"/>
        <v>0.42630588212568327</v>
      </c>
      <c r="AO1255" s="120">
        <f t="shared" si="3737"/>
        <v>-1.6685260889414844E-3</v>
      </c>
      <c r="AP1255" s="173">
        <f t="shared" si="3753"/>
        <v>122.15977585616822</v>
      </c>
      <c r="AQ1255" s="175">
        <f t="shared" si="3754"/>
        <v>-1.6685260889415048E-3</v>
      </c>
      <c r="AR1255" s="177">
        <f>+AC1255/$AE$55</f>
        <v>3.8974443266946275E-2</v>
      </c>
      <c r="AS1255" s="177">
        <f t="shared" si="3750"/>
        <v>-6.5029875392870432E-5</v>
      </c>
      <c r="AT1255" s="177"/>
      <c r="AU1255" s="177"/>
      <c r="AV1255" s="177"/>
      <c r="AW1255" s="190"/>
      <c r="AX1255" s="120"/>
      <c r="AY1255" s="120"/>
      <c r="AZ1255" s="118">
        <f>IFERROR(INDEX('Total Customers'!$F$7:$AB$91,MATCH($C1255,'Total Customers'!$D$7:$D$91,0),MATCH($G1255,'Total Customers'!$F$5:$AB$5,0)),"NA")</f>
        <v>1160175</v>
      </c>
      <c r="BA1255" s="119">
        <f t="shared" si="3712"/>
        <v>1.3599500428352217E-2</v>
      </c>
      <c r="BB1255" s="119"/>
      <c r="BC1255" s="121"/>
      <c r="BD1255" s="119"/>
      <c r="BE1255" s="119"/>
      <c r="BF1255" s="119"/>
      <c r="BG1255" s="173"/>
      <c r="BH1255" s="173"/>
      <c r="BI1255" s="173"/>
      <c r="BJ1255" s="173"/>
      <c r="BK1255" s="173"/>
      <c r="BL1255" s="173"/>
      <c r="BM1255" s="173"/>
      <c r="BN1255" s="173"/>
      <c r="BO1255" s="173"/>
      <c r="BP1255" s="173"/>
      <c r="BQ1255" s="118"/>
      <c r="BR1255" s="118"/>
      <c r="BS1255" s="118">
        <f>INDEX('Dist. Plant Gas Additions'!$F$7:$AE$91,MATCH($C1255,'Dist. Plant Gas Additions'!$D$7:$D$91,0),MATCH(Calculation!$G1255,'Dist. Plant Gas Additions'!$F$5:$AE$5,0))</f>
        <v>225817</v>
      </c>
      <c r="BT1255" s="118">
        <f>INDEX('Gen. Plant Additions'!$F$7:$AE$91,MATCH($C1255,'Gen. Plant Additions'!$D$7:$D$91,0),MATCH(Calculation!$G1255,'Gen. Plant Additions'!$F$5:$AE$5,0))</f>
        <v>34208</v>
      </c>
      <c r="BU1255" s="118"/>
      <c r="BV1255" s="118"/>
      <c r="BW1255" s="118">
        <f>INDEX('Dist Plant Depreciation'!$E$7:$AD$94,MATCH($C1255,'Dist Plant Depreciation'!$D$7:$D$94,0),MATCH(Calculation!$G1255,'Dist Plant Depreciation'!$E$5:$AD$5,0))</f>
        <v>1344533</v>
      </c>
      <c r="BX1255" s="118">
        <f>INDEX('Gen. Plant Depreciation'!$E$7:$AD$94,MATCH($C1255,'Gen. Plant Depreciation'!$D$7:$D$94,0),MATCH(Calculation!$G1255,'Gen. Plant Depreciation'!$E$5:$AD$5,0))</f>
        <v>31725</v>
      </c>
      <c r="BY1255" s="118"/>
      <c r="BZ1255" s="118"/>
      <c r="CA1255" s="118"/>
      <c r="CB1255" s="118"/>
      <c r="CC1255" s="118"/>
      <c r="CD1255" s="183"/>
      <c r="CE1255" s="118">
        <f>INDEX('Gross Dx Plant'!$E$7:$AD$91,MATCH($C1255,'Gross Dx Plant'!$D$7:$D$91,0),MATCH(Calculation!$G1255,'Gross Dx Plant'!$E$5:$AD$5,0))</f>
        <v>3967156</v>
      </c>
      <c r="CF1255" s="118">
        <f>INDEX('Gross Gen Plant'!$E$7:$AD$91,MATCH($C1255,'Gross Gen Plant'!$D$7:$D$91,0),MATCH(Calculation!$G1255,'Gross Gen Plant'!$E$5:$AD$5,0))</f>
        <v>344305</v>
      </c>
      <c r="CG1255" s="118">
        <f t="shared" si="3767"/>
        <v>2935203</v>
      </c>
      <c r="CH1255" s="118"/>
      <c r="CI1255" s="121">
        <v>2017</v>
      </c>
      <c r="CJ1255" s="118"/>
      <c r="CK1255" s="118"/>
      <c r="CL1255" s="118"/>
      <c r="CM1255" s="183"/>
      <c r="CN1255" s="118">
        <f t="shared" si="3713"/>
        <v>260025</v>
      </c>
      <c r="CO1255" s="118">
        <f t="shared" si="3714"/>
        <v>364.98395200361125</v>
      </c>
      <c r="CP1255" s="186">
        <v>0.87074829931972786</v>
      </c>
      <c r="CQ1255" s="118">
        <f>+CQ1236*CP1255+CO1237*CP1254+CO1238*CP1253+CO1239*CP1252+CO1240*CP1251+CO1241*CP1250+CO1242*CP1249+CO1243*CP1248+CO1244*CP1247+CO1245*CP1246+CO1246*CP1245+CO1247*CP1244+CO1248*CP1243+CO1249*CP1242+CO1250*CP1241+CO1251*CP1240+CO1252*CP1239+CO1253*CP1238+CO1254*CP1237+CO1255</f>
        <v>10098.696158730963</v>
      </c>
      <c r="CR1255" s="119">
        <f t="shared" si="3715"/>
        <v>2.8075639455440428E-2</v>
      </c>
      <c r="CS1255" s="119"/>
      <c r="CT1255" s="177">
        <f t="shared" si="3716"/>
        <v>8.6972954553553045E-3</v>
      </c>
      <c r="CU1255" s="177">
        <f t="shared" si="3724"/>
        <v>8.4657873252811707E-3</v>
      </c>
      <c r="CV1255" s="119">
        <f>VLOOKUP($H1255,RoR!$E:$F,2,FALSE)</f>
        <v>3.7433333333333339E-2</v>
      </c>
      <c r="CW1255" s="177">
        <v>1.9056896421275615E-2</v>
      </c>
      <c r="CX1255" s="177">
        <f t="shared" si="3722"/>
        <v>1.8376436912057724E-2</v>
      </c>
      <c r="CY1255" s="177">
        <f t="shared" si="3725"/>
        <v>2.2436154283252456E-2</v>
      </c>
      <c r="CZ1255" s="177">
        <f t="shared" si="3726"/>
        <v>1.3976271617800498E-2</v>
      </c>
      <c r="DA1255" s="187">
        <f t="shared" si="3717"/>
        <v>0.89124999999999999</v>
      </c>
      <c r="DB1255" s="188">
        <f t="shared" si="3718"/>
        <v>1.3699568463593395</v>
      </c>
      <c r="DC1255" s="188">
        <f t="shared" si="3719"/>
        <v>0.30714603739982199</v>
      </c>
      <c r="DD1255" s="188">
        <f t="shared" si="3720"/>
        <v>0.77007188472689425</v>
      </c>
      <c r="DE1255" s="188">
        <f t="shared" si="3721"/>
        <v>0.32402839633793828</v>
      </c>
      <c r="DF1255" s="189">
        <f>INDEX('State Tax Lookup'!$D$7:$Z$91,MATCH(Calculation!$C1255,'State Tax Lookup'!$B$7:$B$91,0),MATCH($H1255,'State Tax Lookup'!$D$6:$Z$6,0))</f>
        <v>0.28999999999999998</v>
      </c>
      <c r="DG1255" s="189">
        <v>0.375</v>
      </c>
      <c r="DH1255" s="190">
        <f t="shared" si="3723"/>
        <v>20.047076234531378</v>
      </c>
      <c r="DI1255" s="190">
        <v>19.714471023239277</v>
      </c>
      <c r="DJ1255" s="177"/>
      <c r="DK1255" s="189">
        <f>VLOOKUP($H1255,RoR!$E:$F,2,FALSE)</f>
        <v>3.7433333333333339E-2</v>
      </c>
      <c r="DL1255" s="191">
        <f>HLOOKUP($H1255,'GDP-PI'!$D$8:$CQ$11,3,FALSE)</f>
        <v>1.9056896421275615E-2</v>
      </c>
      <c r="DM1255" s="189">
        <f>VLOOKUP(H1255,'HW Dx Data'!$E:$F,2,FALSE)</f>
        <v>712.42858370229726</v>
      </c>
      <c r="DN1255" s="183">
        <f>VLOOKUP(H1255,'ECI - Input Price'!$G$17:$H$37,2,FALSE)</f>
        <v>129.5</v>
      </c>
      <c r="DO1255" s="177">
        <f t="shared" ref="DO1255" si="3774">LN(DN1255/DN1254)</f>
        <v>2.4229399426835413E-2</v>
      </c>
      <c r="DP1255" s="183">
        <f>HLOOKUP(H1255,'GDP-PI'!$8:$9,2,FALSE)</f>
        <v>107.751</v>
      </c>
      <c r="DQ1255" s="177">
        <f t="shared" ref="DQ1255" si="3775">LN(DP1255/DP1254)</f>
        <v>1.8877588227745139E-2</v>
      </c>
    </row>
    <row r="1256" spans="1:121" s="167" customFormat="1" ht="21" x14ac:dyDescent="0.35">
      <c r="A1256" s="167" t="s">
        <v>116</v>
      </c>
      <c r="B1256" s="167" t="s">
        <v>116</v>
      </c>
      <c r="C1256" s="167">
        <v>4058284</v>
      </c>
      <c r="D1256" s="168" t="s">
        <v>152</v>
      </c>
      <c r="E1256" s="168"/>
      <c r="F1256" s="198"/>
      <c r="G1256" s="167" t="s">
        <v>24</v>
      </c>
      <c r="H1256" s="169">
        <v>2018</v>
      </c>
      <c r="I1256" s="170"/>
      <c r="J1256" s="166">
        <f>IFERROR(INDEX('Labor Expenditures'!$F$7:$X$91,MATCH($C1256,'Labor Expenditures'!$D$7:$D$91,0),MATCH($G1256,'Labor Expenditures'!$F$5:$X$5,0)),"NA")</f>
        <v>116068.48150952866</v>
      </c>
      <c r="K1256" s="166">
        <f t="shared" si="3729"/>
        <v>871.05802258558094</v>
      </c>
      <c r="L1256" s="172">
        <f t="shared" si="3736"/>
        <v>4.1628612159215116E-2</v>
      </c>
      <c r="M1256" s="172">
        <f t="shared" si="3740"/>
        <v>1.603120067115763E-3</v>
      </c>
      <c r="N1256" s="196"/>
      <c r="O1256" s="172"/>
      <c r="P1256" s="166">
        <f>IFERROR(INDEX('Non-Labor Expenditures'!$F$7:$AB$91,MATCH($C1256,'Non-Labor Expenditures'!$D$7:$D$91,0),MATCH($G1256,'Non-Labor Expenditures'!$F$5:$AB$5,0)),"NA")</f>
        <v>168088.83982780809</v>
      </c>
      <c r="Q1256" s="166">
        <f t="shared" si="3730"/>
        <v>1523.6203098911194</v>
      </c>
      <c r="R1256" s="172">
        <f t="shared" si="3741"/>
        <v>4.6594441349067886E-2</v>
      </c>
      <c r="S1256" s="172">
        <f t="shared" si="3746"/>
        <v>1.7943544131870371E-3</v>
      </c>
      <c r="T1256" s="172"/>
      <c r="U1256" s="172"/>
      <c r="V1256" s="166">
        <f t="shared" si="3711"/>
        <v>211932.36096109796</v>
      </c>
      <c r="W1256" s="170"/>
      <c r="X1256" s="174">
        <v>10418.242546135509</v>
      </c>
      <c r="Y1256" s="175">
        <v>3.1152038181958528E-2</v>
      </c>
      <c r="Z1256" s="175">
        <f t="shared" si="3747"/>
        <v>1.1996666463452855E-3</v>
      </c>
      <c r="AA1256" s="175"/>
      <c r="AB1256" s="175"/>
      <c r="AC1256" s="170">
        <f t="shared" si="3648"/>
        <v>496089.68229843467</v>
      </c>
      <c r="AD1256" s="175">
        <f t="shared" si="3742"/>
        <v>7.1744561981069099E-2</v>
      </c>
      <c r="AE1256" s="170"/>
      <c r="AF1256" s="170"/>
      <c r="AG1256" s="121">
        <f t="shared" si="3743"/>
        <v>421.36842032262382</v>
      </c>
      <c r="AH1256" s="119">
        <f>+AZ1256/$BB$56</f>
        <v>3.1088555472869622E-2</v>
      </c>
      <c r="AI1256" s="119"/>
      <c r="AJ1256" s="176">
        <f t="shared" si="3748"/>
        <v>13.099735509715334</v>
      </c>
      <c r="AK1256" s="176">
        <f t="shared" si="3749"/>
        <v>0</v>
      </c>
      <c r="AL1256" s="120">
        <f t="shared" si="3731"/>
        <v>0.23396673152275899</v>
      </c>
      <c r="AM1256" s="120">
        <f t="shared" si="3732"/>
        <v>0.33882752620259132</v>
      </c>
      <c r="AN1256" s="120">
        <f t="shared" si="3733"/>
        <v>0.42720574227464975</v>
      </c>
      <c r="AO1256" s="120">
        <f t="shared" si="3737"/>
        <v>3.8841554593543298E-2</v>
      </c>
      <c r="AP1256" s="173">
        <f t="shared" si="3753"/>
        <v>126.99800537975806</v>
      </c>
      <c r="AQ1256" s="175">
        <f t="shared" si="3754"/>
        <v>3.8841554593543395E-2</v>
      </c>
      <c r="AR1256" s="177">
        <f>+AC1256/$AE$56</f>
        <v>3.8510053157294326E-2</v>
      </c>
      <c r="AS1256" s="177">
        <f t="shared" si="3750"/>
        <v>1.4957903321093056E-3</v>
      </c>
      <c r="AT1256" s="177"/>
      <c r="AU1256" s="177"/>
      <c r="AV1256" s="177"/>
      <c r="AW1256" s="190"/>
      <c r="AX1256" s="120"/>
      <c r="AY1256" s="120"/>
      <c r="AZ1256" s="118">
        <f>IFERROR(INDEX('Total Customers'!$F$7:$AB$91,MATCH($C1256,'Total Customers'!$D$7:$D$91,0),MATCH($G1256,'Total Customers'!$F$5:$AB$5,0)),"NA")</f>
        <v>1177330</v>
      </c>
      <c r="BA1256" s="119">
        <f t="shared" si="3712"/>
        <v>1.4678307003816542E-2</v>
      </c>
      <c r="BB1256" s="119"/>
      <c r="BC1256" s="121"/>
      <c r="BD1256" s="119"/>
      <c r="BE1256" s="119"/>
      <c r="BF1256" s="119"/>
      <c r="BG1256" s="173"/>
      <c r="BH1256" s="173"/>
      <c r="BI1256" s="173"/>
      <c r="BJ1256" s="173"/>
      <c r="BK1256" s="173"/>
      <c r="BL1256" s="173"/>
      <c r="BM1256" s="173"/>
      <c r="BN1256" s="173"/>
      <c r="BO1256" s="173"/>
      <c r="BP1256" s="173"/>
      <c r="BQ1256" s="118"/>
      <c r="BR1256" s="118"/>
      <c r="BS1256" s="118">
        <f>INDEX('Dist. Plant Gas Additions'!$F$7:$AE$91,MATCH($C1256,'Dist. Plant Gas Additions'!$D$7:$D$91,0),MATCH(Calculation!$G1256,'Dist. Plant Gas Additions'!$F$5:$AE$5,0))</f>
        <v>279668</v>
      </c>
      <c r="BT1256" s="118">
        <f>INDEX('Gen. Plant Additions'!$F$7:$AE$91,MATCH($C1256,'Gen. Plant Additions'!$D$7:$D$91,0),MATCH(Calculation!$G1256,'Gen. Plant Additions'!$F$5:$AE$5,0))</f>
        <v>30019</v>
      </c>
      <c r="BU1256" s="118"/>
      <c r="BV1256" s="118"/>
      <c r="BW1256" s="118">
        <f>INDEX('Dist Plant Depreciation'!$E$7:$AD$94,MATCH($C1256,'Dist Plant Depreciation'!$D$7:$D$94,0),MATCH(Calculation!$G1256,'Dist Plant Depreciation'!$E$5:$AD$5,0))</f>
        <v>1379730</v>
      </c>
      <c r="BX1256" s="118">
        <f>INDEX('Gen. Plant Depreciation'!$E$7:$AD$94,MATCH($C1256,'Gen. Plant Depreciation'!$D$7:$D$94,0),MATCH(Calculation!$G1256,'Gen. Plant Depreciation'!$E$5:$AD$5,0))</f>
        <v>35137</v>
      </c>
      <c r="BY1256" s="118"/>
      <c r="BZ1256" s="118"/>
      <c r="CA1256" s="118"/>
      <c r="CB1256" s="118"/>
      <c r="CC1256" s="118"/>
      <c r="CD1256" s="183"/>
      <c r="CE1256" s="118">
        <f>INDEX('Gross Dx Plant'!$E$7:$AD$91,MATCH($C1256,'Gross Dx Plant'!$D$7:$D$91,0),MATCH(Calculation!$G1256,'Gross Dx Plant'!$E$5:$AD$5,0))</f>
        <v>4194113</v>
      </c>
      <c r="CF1256" s="118">
        <f>INDEX('Gross Gen Plant'!$E$7:$AD$91,MATCH($C1256,'Gross Gen Plant'!$D$7:$D$91,0),MATCH(Calculation!$G1256,'Gross Gen Plant'!$E$5:$AD$5,0))</f>
        <v>359758</v>
      </c>
      <c r="CG1256" s="118">
        <f t="shared" si="3767"/>
        <v>3139004</v>
      </c>
      <c r="CH1256" s="118"/>
      <c r="CI1256" s="121">
        <v>2018</v>
      </c>
      <c r="CJ1256" s="118"/>
      <c r="CK1256" s="118"/>
      <c r="CL1256" s="118"/>
      <c r="CM1256" s="183"/>
      <c r="CN1256" s="118">
        <f t="shared" si="3713"/>
        <v>309687</v>
      </c>
      <c r="CO1256" s="118">
        <f t="shared" si="3714"/>
        <v>410.10719531754421</v>
      </c>
      <c r="CP1256" s="186">
        <v>0.86111111111111116</v>
      </c>
      <c r="CQ1256" s="118">
        <f>+CQ1236*CP1256++CO1237*CP1255+CO1238*CP1254+CO1239*CP1253+CO1240*CP1252+CO1241*CP1251+CO1242*CP1250+CO1243*CP1249+CO1244*CP1248+CO1245*CP1247+CO1246*CP1246+CO1247*CP1245+CO1248*CP1244+CO1249*CP1243+CO1250*CP1242+CO1251*CP1241+CO1252*CP1240+CO1253*CP1239+CO1254*CP1238+CO1255*CP1237+CO1256</f>
        <v>10418.242546135509</v>
      </c>
      <c r="CR1256" s="119">
        <f t="shared" si="3715"/>
        <v>3.1152038181958528E-2</v>
      </c>
      <c r="CS1256" s="119"/>
      <c r="CT1256" s="177">
        <f t="shared" si="3716"/>
        <v>8.9675742778639062E-3</v>
      </c>
      <c r="CU1256" s="177">
        <f t="shared" si="3724"/>
        <v>8.7118944569610016E-3</v>
      </c>
      <c r="CV1256" s="119">
        <f>VLOOKUP($H1256,RoR!$E:$F,2,FALSE)</f>
        <v>3.9299999999999995E-2</v>
      </c>
      <c r="CW1256" s="177">
        <v>2.386056741932796E-2</v>
      </c>
      <c r="CX1256" s="177">
        <f t="shared" si="3722"/>
        <v>1.5439432580672034E-2</v>
      </c>
      <c r="CY1256" s="177">
        <f t="shared" si="3725"/>
        <v>2.2190047151572623E-2</v>
      </c>
      <c r="CZ1256" s="177">
        <f t="shared" si="3726"/>
        <v>3.8270792163076606E-2</v>
      </c>
      <c r="DA1256" s="187">
        <f t="shared" si="3717"/>
        <v>0.89124999999999999</v>
      </c>
      <c r="DB1256" s="188">
        <f t="shared" si="3718"/>
        <v>1.3048868010700074</v>
      </c>
      <c r="DC1256" s="188">
        <f t="shared" si="3719"/>
        <v>0.33886768447837151</v>
      </c>
      <c r="DD1256" s="188">
        <f t="shared" si="3720"/>
        <v>0.78602506232557801</v>
      </c>
      <c r="DE1256" s="188">
        <f t="shared" si="3721"/>
        <v>0.34756768162358759</v>
      </c>
      <c r="DF1256" s="189">
        <f>INDEX('State Tax Lookup'!$D$7:$Z$91,MATCH(Calculation!$C1256,'State Tax Lookup'!$B$7:$B$91,0),MATCH($H1256,'State Tax Lookup'!$D$6:$Z$6,0))</f>
        <v>0.28999999999999998</v>
      </c>
      <c r="DG1256" s="189">
        <v>0.375</v>
      </c>
      <c r="DH1256" s="190">
        <f t="shared" si="3723"/>
        <v>20.986111239505803</v>
      </c>
      <c r="DI1256" s="190">
        <v>20.628231316839571</v>
      </c>
      <c r="DJ1256" s="177"/>
      <c r="DK1256" s="189">
        <f>VLOOKUP($H1256,RoR!$E:$F,2,FALSE)</f>
        <v>3.9299999999999995E-2</v>
      </c>
      <c r="DL1256" s="191">
        <f>HLOOKUP($H1256,'GDP-PI'!$D$8:$CQ$11,3,FALSE)</f>
        <v>2.386056741932796E-2</v>
      </c>
      <c r="DM1256" s="189">
        <f>VLOOKUP(H1256,'HW Dx Data'!$E:$F,2,FALSE)</f>
        <v>755.13671434174842</v>
      </c>
      <c r="DN1256" s="183">
        <f>VLOOKUP(H1256,'ECI - Input Price'!$G$17:$H$37,2,FALSE)</f>
        <v>133.25</v>
      </c>
      <c r="DO1256" s="177">
        <f t="shared" ref="DO1256" si="3776">LN(DN1256/DN1255)</f>
        <v>2.8546181906361531E-2</v>
      </c>
      <c r="DP1256" s="183">
        <f>HLOOKUP(H1256,'GDP-PI'!$8:$9,2,FALSE)</f>
        <v>110.322</v>
      </c>
      <c r="DQ1256" s="177">
        <f t="shared" ref="DQ1256" si="3777">LN(DP1256/DP1255)</f>
        <v>2.3580352716508712E-2</v>
      </c>
    </row>
    <row r="1257" spans="1:121" s="167" customFormat="1" ht="21" x14ac:dyDescent="0.35">
      <c r="A1257" s="167" t="s">
        <v>116</v>
      </c>
      <c r="B1257" s="167" t="s">
        <v>116</v>
      </c>
      <c r="C1257" s="167">
        <v>4058284</v>
      </c>
      <c r="D1257" s="168" t="s">
        <v>152</v>
      </c>
      <c r="E1257" s="168"/>
      <c r="F1257" s="198"/>
      <c r="G1257" s="167" t="s">
        <v>25</v>
      </c>
      <c r="H1257" s="169">
        <v>2019</v>
      </c>
      <c r="I1257" s="170"/>
      <c r="J1257" s="166">
        <f>IFERROR(INDEX('Labor Expenditures'!$F$7:$X$91,MATCH($C1257,'Labor Expenditures'!$D$7:$D$91,0),MATCH($G1257,'Labor Expenditures'!$F$5:$X$5,0)),"NA")</f>
        <v>127636.60855201456</v>
      </c>
      <c r="K1257" s="166">
        <f t="shared" si="3729"/>
        <v>932.67525430774253</v>
      </c>
      <c r="L1257" s="172">
        <f t="shared" si="3736"/>
        <v>6.8348483445132793E-2</v>
      </c>
      <c r="M1257" s="172">
        <f t="shared" si="3740"/>
        <v>2.7459800613414301E-3</v>
      </c>
      <c r="N1257" s="196"/>
      <c r="O1257" s="172"/>
      <c r="P1257" s="166">
        <f>IFERROR(INDEX('Non-Labor Expenditures'!$F$7:$AB$91,MATCH($C1257,'Non-Labor Expenditures'!$D$7:$D$91,0),MATCH($G1257,'Non-Labor Expenditures'!$F$5:$AB$5,0)),"NA")</f>
        <v>184841.64841342322</v>
      </c>
      <c r="Q1257" s="166">
        <f t="shared" si="3730"/>
        <v>1645.6992504622876</v>
      </c>
      <c r="R1257" s="172">
        <f t="shared" si="3741"/>
        <v>7.7076084434464939E-2</v>
      </c>
      <c r="S1257" s="172">
        <f t="shared" si="3746"/>
        <v>3.0966216131658908E-3</v>
      </c>
      <c r="T1257" s="172"/>
      <c r="U1257" s="172"/>
      <c r="V1257" s="166">
        <f t="shared" si="3711"/>
        <v>221271.64340520831</v>
      </c>
      <c r="W1257" s="170"/>
      <c r="X1257" s="174">
        <v>10728.155184127578</v>
      </c>
      <c r="Y1257" s="175">
        <v>2.9313250710057834E-2</v>
      </c>
      <c r="Z1257" s="175">
        <f t="shared" si="3747"/>
        <v>1.1776940456555722E-3</v>
      </c>
      <c r="AA1257" s="175"/>
      <c r="AB1257" s="175"/>
      <c r="AC1257" s="170">
        <f t="shared" si="3648"/>
        <v>533749.90037064604</v>
      </c>
      <c r="AD1257" s="175">
        <f t="shared" si="3742"/>
        <v>7.3170656417478733E-2</v>
      </c>
      <c r="AE1257" s="170"/>
      <c r="AF1257" s="170"/>
      <c r="AG1257" s="121">
        <f t="shared" si="3743"/>
        <v>448.99794606694218</v>
      </c>
      <c r="AH1257" s="119">
        <f>+AZ1257/$BB$57</f>
        <v>3.1133510384366823E-2</v>
      </c>
      <c r="AI1257" s="119"/>
      <c r="AJ1257" s="176">
        <f t="shared" si="3748"/>
        <v>13.978882216434519</v>
      </c>
      <c r="AK1257" s="176">
        <f t="shared" si="3749"/>
        <v>0</v>
      </c>
      <c r="AL1257" s="120">
        <f t="shared" si="3731"/>
        <v>0.23913186393736333</v>
      </c>
      <c r="AM1257" s="120">
        <f t="shared" si="3732"/>
        <v>0.3463076026526013</v>
      </c>
      <c r="AN1257" s="120">
        <f t="shared" si="3733"/>
        <v>0.41456053341003546</v>
      </c>
      <c r="AO1257" s="120">
        <f t="shared" si="3737"/>
        <v>5.4909005219399711E-2</v>
      </c>
      <c r="AP1257" s="173">
        <f t="shared" si="3753"/>
        <v>134.16634167419787</v>
      </c>
      <c r="AQ1257" s="175">
        <f t="shared" si="3754"/>
        <v>5.4909005219399711E-2</v>
      </c>
      <c r="AR1257" s="177">
        <f>+AC1257/$AE$57</f>
        <v>4.017616665256054E-2</v>
      </c>
      <c r="AS1257" s="177">
        <f t="shared" si="3750"/>
        <v>2.2060333444209193E-3</v>
      </c>
      <c r="AT1257" s="177"/>
      <c r="AU1257" s="177"/>
      <c r="AV1257" s="177"/>
      <c r="AW1257" s="190"/>
      <c r="AX1257" s="120"/>
      <c r="AY1257" s="120"/>
      <c r="AZ1257" s="118">
        <f>IFERROR(INDEX('Total Customers'!$F$7:$AB$91,MATCH($C1257,'Total Customers'!$D$7:$D$91,0),MATCH($G1257,'Total Customers'!$F$5:$AB$5,0)),"NA")</f>
        <v>1188758</v>
      </c>
      <c r="BA1257" s="119">
        <f t="shared" si="3712"/>
        <v>9.6599018004498004E-3</v>
      </c>
      <c r="BB1257" s="119"/>
      <c r="BC1257" s="121"/>
      <c r="BD1257" s="119"/>
      <c r="BE1257" s="119"/>
      <c r="BF1257" s="119"/>
      <c r="BG1257" s="173"/>
      <c r="BH1257" s="173"/>
      <c r="BI1257" s="173"/>
      <c r="BJ1257" s="173"/>
      <c r="BK1257" s="173"/>
      <c r="BL1257" s="173"/>
      <c r="BM1257" s="173"/>
      <c r="BN1257" s="173"/>
      <c r="BO1257" s="173"/>
      <c r="BP1257" s="173"/>
      <c r="BQ1257" s="118"/>
      <c r="BR1257" s="118"/>
      <c r="BS1257" s="118">
        <f>INDEX('Dist. Plant Gas Additions'!$F$7:$AE$91,MATCH($C1257,'Dist. Plant Gas Additions'!$D$7:$D$91,0),MATCH(Calculation!$G1257,'Dist. Plant Gas Additions'!$F$5:$AE$5,0))</f>
        <v>279450</v>
      </c>
      <c r="BT1257" s="118">
        <f>INDEX('Gen. Plant Additions'!$F$7:$AE$91,MATCH($C1257,'Gen. Plant Additions'!$D$7:$D$91,0),MATCH(Calculation!$G1257,'Gen. Plant Additions'!$F$5:$AE$5,0))</f>
        <v>34697</v>
      </c>
      <c r="BU1257" s="118"/>
      <c r="BV1257" s="118"/>
      <c r="BW1257" s="118">
        <f>INDEX('Dist Plant Depreciation'!$E$7:$AD$94,MATCH($C1257,'Dist Plant Depreciation'!$D$7:$D$94,0),MATCH(Calculation!$G1257,'Dist Plant Depreciation'!$E$5:$AD$5,0))</f>
        <v>1423348</v>
      </c>
      <c r="BX1257" s="118">
        <f>INDEX('Gen. Plant Depreciation'!$E$7:$AD$94,MATCH($C1257,'Gen. Plant Depreciation'!$D$7:$D$94,0),MATCH(Calculation!$G1257,'Gen. Plant Depreciation'!$E$5:$AD$5,0))</f>
        <v>42961</v>
      </c>
      <c r="BY1257" s="118"/>
      <c r="BZ1257" s="118"/>
      <c r="CA1257" s="118"/>
      <c r="CB1257" s="118"/>
      <c r="CC1257" s="118"/>
      <c r="CD1257" s="183"/>
      <c r="CE1257" s="118">
        <f>INDEX('Gross Dx Plant'!$E$7:$AD$91,MATCH($C1257,'Gross Dx Plant'!$D$7:$D$91,0),MATCH(Calculation!$G1257,'Gross Dx Plant'!$E$5:$AD$5,0))</f>
        <v>4364147</v>
      </c>
      <c r="CF1257" s="118">
        <f>INDEX('Gross Gen Plant'!$E$7:$AD$91,MATCH($C1257,'Gross Gen Plant'!$D$7:$D$91,0),MATCH(Calculation!$G1257,'Gross Gen Plant'!$E$5:$AD$5,0))</f>
        <v>409372</v>
      </c>
      <c r="CG1257" s="118">
        <f t="shared" si="3767"/>
        <v>3307210</v>
      </c>
      <c r="CH1257" s="118"/>
      <c r="CI1257" s="121">
        <v>2019</v>
      </c>
      <c r="CJ1257" s="118"/>
      <c r="CK1257" s="118"/>
      <c r="CL1257" s="118"/>
      <c r="CM1257" s="183"/>
      <c r="CN1257" s="118">
        <f t="shared" si="3713"/>
        <v>314147</v>
      </c>
      <c r="CO1257" s="118">
        <f t="shared" si="3714"/>
        <v>406.11640654437167</v>
      </c>
      <c r="CP1257" s="186">
        <v>0.85106382978723405</v>
      </c>
      <c r="CQ1257" s="118">
        <f>CQ1236*CP1257+CO1237*CP1256+CO1238*CP1255+CO1239*CP1254+CO1240*CP1253+CO1241*CP1252+CO1242*CP1251+CO1243*CP1250+CO1244*CP1249+CO1245*CP1248+CO1246*CP1247+CO1247*CP1246+CO1248*CP1245+CO1249*CP1244+CO1250*CP1243+CO1251*CP1242+CO1252*CP1241+CO1253*CP1240+CO1254*CP1239+CO1255*CP1238+CO1256*CP1237+CO1257</f>
        <v>10728.155184127578</v>
      </c>
      <c r="CR1257" s="119">
        <f t="shared" si="3715"/>
        <v>2.9313250710057834E-2</v>
      </c>
      <c r="CS1257" s="119"/>
      <c r="CT1257" s="177">
        <f t="shared" si="3716"/>
        <v>9.2341647956725708E-3</v>
      </c>
      <c r="CU1257" s="177">
        <f t="shared" si="3724"/>
        <v>8.9663448429639272E-3</v>
      </c>
      <c r="CV1257" s="119">
        <f>VLOOKUP($H1257,RoR!$E:$F,2,FALSE)</f>
        <v>3.3875000000000009E-2</v>
      </c>
      <c r="CW1257" s="177">
        <v>1.8092492884465461E-2</v>
      </c>
      <c r="CX1257" s="177">
        <f t="shared" si="3722"/>
        <v>1.5782507115534548E-2</v>
      </c>
      <c r="CY1257" s="177">
        <f t="shared" si="3725"/>
        <v>2.19355967655697E-2</v>
      </c>
      <c r="CZ1257" s="177">
        <f t="shared" si="3726"/>
        <v>4.8445665544254078E-2</v>
      </c>
      <c r="DA1257" s="187">
        <f t="shared" si="3717"/>
        <v>0.89124999999999999</v>
      </c>
      <c r="DB1257" s="188">
        <f t="shared" si="3718"/>
        <v>1.513861292459078</v>
      </c>
      <c r="DC1257" s="188">
        <f t="shared" si="3719"/>
        <v>0.23699261992619944</v>
      </c>
      <c r="DD1257" s="188">
        <f t="shared" si="3720"/>
        <v>0.73619765810468829</v>
      </c>
      <c r="DE1257" s="188">
        <f t="shared" si="3721"/>
        <v>0.26412854465362851</v>
      </c>
      <c r="DF1257" s="189">
        <f>INDEX('State Tax Lookup'!$D$7:$Z$91,MATCH(Calculation!$C1257,'State Tax Lookup'!$B$7:$B$91,0),MATCH($H1257,'State Tax Lookup'!$D$6:$Z$6,0))</f>
        <v>0.28999999999999998</v>
      </c>
      <c r="DG1257" s="189">
        <v>0.375</v>
      </c>
      <c r="DH1257" s="190">
        <f t="shared" si="3723"/>
        <v>21.238864657387509</v>
      </c>
      <c r="DI1257" s="190">
        <v>20.872055027597696</v>
      </c>
      <c r="DJ1257" s="177"/>
      <c r="DK1257" s="189">
        <f>VLOOKUP($H1257,RoR!$E:$F,2,FALSE)</f>
        <v>3.3875000000000009E-2</v>
      </c>
      <c r="DL1257" s="191">
        <f>HLOOKUP($H1257,'GDP-PI'!$D$8:$CQ$11,3,FALSE)</f>
        <v>1.8092492884465461E-2</v>
      </c>
      <c r="DM1257" s="189">
        <f>VLOOKUP(H1257,'HW Dx Data'!$E:$F,2,FALSE)</f>
        <v>773.53929793938721</v>
      </c>
      <c r="DN1257" s="183">
        <f>VLOOKUP(H1257,'ECI - Input Price'!$G$17:$H$37,2,FALSE)</f>
        <v>136.85</v>
      </c>
      <c r="DO1257" s="177">
        <f t="shared" ref="DO1257" si="3778">LN(DN1257/DN1256)</f>
        <v>2.6658372440734168E-2</v>
      </c>
      <c r="DP1257" s="183">
        <f>HLOOKUP(H1257,'GDP-PI'!$8:$9,2,FALSE)</f>
        <v>112.318</v>
      </c>
      <c r="DQ1257" s="177">
        <f t="shared" ref="DQ1257" si="3779">LN(DP1257/DP1256)</f>
        <v>1.7930771451401852E-2</v>
      </c>
    </row>
    <row r="1258" spans="1:121" s="167" customFormat="1" ht="21" x14ac:dyDescent="0.35">
      <c r="A1258" s="167" t="s">
        <v>116</v>
      </c>
      <c r="B1258" s="167" t="s">
        <v>116</v>
      </c>
      <c r="C1258" s="167">
        <v>4058284</v>
      </c>
      <c r="D1258" s="167" t="s">
        <v>152</v>
      </c>
      <c r="G1258" s="168" t="s">
        <v>26</v>
      </c>
      <c r="H1258" s="169">
        <v>2020</v>
      </c>
      <c r="I1258" s="170"/>
      <c r="J1258" s="166">
        <f>IFERROR(INDEX('Labor Expenditures'!$F$7:$X$91,MATCH($C1258,'Labor Expenditures'!$D$7:$D$91,0),MATCH($G1258,'Labor Expenditures'!$F$5:$X$5,0)),"NA")</f>
        <v>122213.75106239493</v>
      </c>
      <c r="K1258" s="166">
        <f t="shared" si="3729"/>
        <v>870.15842693054424</v>
      </c>
      <c r="L1258" s="172">
        <f t="shared" si="3736"/>
        <v>-6.9381779145191558E-2</v>
      </c>
      <c r="M1258" s="172">
        <f t="shared" si="3740"/>
        <v>-2.71407227567633E-3</v>
      </c>
      <c r="N1258" s="196"/>
      <c r="O1258" s="172"/>
      <c r="P1258" s="166">
        <f>IFERROR(INDEX('Non-Labor Expenditures'!$F$7:$AB$91,MATCH($C1258,'Non-Labor Expenditures'!$D$7:$D$91,0),MATCH($G1258,'Non-Labor Expenditures'!$F$5:$AB$5,0)),"NA")</f>
        <v>176988.33791838697</v>
      </c>
      <c r="Q1258" s="166">
        <f t="shared" si="3730"/>
        <v>1557.6805569152984</v>
      </c>
      <c r="R1258" s="172">
        <f t="shared" si="3741"/>
        <v>-5.4967477813019895E-2</v>
      </c>
      <c r="S1258" s="172">
        <f t="shared" si="3746"/>
        <v>-2.1502145006108606E-3</v>
      </c>
      <c r="T1258" s="172"/>
      <c r="U1258" s="172"/>
      <c r="V1258" s="166">
        <f t="shared" si="3711"/>
        <v>236583.39607905757</v>
      </c>
      <c r="W1258" s="170"/>
      <c r="X1258" s="174">
        <v>11001.362033572135</v>
      </c>
      <c r="Y1258" s="175">
        <v>2.514747515595251E-2</v>
      </c>
      <c r="Z1258" s="175">
        <f t="shared" si="3747"/>
        <v>9.8371742502022805E-4</v>
      </c>
      <c r="AA1258" s="175"/>
      <c r="AB1258" s="175"/>
      <c r="AC1258" s="170">
        <f t="shared" si="3648"/>
        <v>535785.48505983944</v>
      </c>
      <c r="AD1258" s="175">
        <f t="shared" si="3742"/>
        <v>3.806488639424952E-3</v>
      </c>
      <c r="AE1258" s="170"/>
      <c r="AF1258" s="170"/>
      <c r="AG1258" s="121">
        <f t="shared" si="3743"/>
        <v>450.71030862449669</v>
      </c>
      <c r="AH1258" s="119">
        <f>+AZ1258/$BB$58</f>
        <v>3.0914622488124183E-2</v>
      </c>
      <c r="AI1258" s="119"/>
      <c r="AJ1258" s="176">
        <f t="shared" si="3748"/>
        <v>13.933539042632257</v>
      </c>
      <c r="AK1258" s="176">
        <f t="shared" si="3749"/>
        <v>0</v>
      </c>
      <c r="AL1258" s="120">
        <f t="shared" si="3731"/>
        <v>0.22810201931608026</v>
      </c>
      <c r="AM1258" s="120">
        <f t="shared" si="3732"/>
        <v>0.33033432755017605</v>
      </c>
      <c r="AN1258" s="120">
        <f t="shared" si="3733"/>
        <v>0.44156365313374368</v>
      </c>
      <c r="AO1258" s="120">
        <f t="shared" si="3737"/>
        <v>-2.4040728335650512E-2</v>
      </c>
      <c r="AP1258" s="173">
        <f t="shared" si="3753"/>
        <v>130.97934742755555</v>
      </c>
      <c r="AQ1258" s="175">
        <f t="shared" si="3754"/>
        <v>-2.4040728335650421E-2</v>
      </c>
      <c r="AR1258" s="177">
        <f>+AC1258/$AE$58</f>
        <v>3.9117940028559013E-2</v>
      </c>
      <c r="AS1258" s="177">
        <f t="shared" si="3750"/>
        <v>-9.4042376927685252E-4</v>
      </c>
      <c r="AT1258" s="177"/>
      <c r="AU1258" s="177"/>
      <c r="AV1258" s="177"/>
      <c r="AW1258" s="190"/>
      <c r="AX1258" s="120"/>
      <c r="AY1258" s="120"/>
      <c r="AZ1258" s="118">
        <v>1188758</v>
      </c>
      <c r="BA1258" s="119">
        <f t="shared" si="3712"/>
        <v>0</v>
      </c>
      <c r="BB1258" s="119"/>
      <c r="BC1258" s="121"/>
      <c r="BD1258" s="119"/>
      <c r="BE1258" s="119"/>
      <c r="BF1258" s="119"/>
      <c r="BG1258" s="173"/>
      <c r="BH1258" s="173"/>
      <c r="BI1258" s="173"/>
      <c r="BJ1258" s="173"/>
      <c r="BK1258" s="173"/>
      <c r="BL1258" s="173"/>
      <c r="BM1258" s="173"/>
      <c r="BN1258" s="173"/>
      <c r="BO1258" s="173"/>
      <c r="BP1258" s="173"/>
      <c r="BQ1258" s="118"/>
      <c r="BR1258" s="118"/>
      <c r="BS1258" s="118">
        <f>INDEX('Dist. Plant Gas Additions'!$F$7:$AE$91,MATCH($C1258,'Dist. Plant Gas Additions'!$D$7:$D$91,0),MATCH(Calculation!$G1258,'Dist. Plant Gas Additions'!$F$5:$AE$5,0))</f>
        <v>286246</v>
      </c>
      <c r="BT1258" s="118">
        <f>INDEX('Gen. Plant Additions'!$F$7:$AE$91,MATCH($C1258,'Gen. Plant Additions'!$D$7:$D$91,0),MATCH(Calculation!$G1258,'Gen. Plant Additions'!$F$5:$AE$5,0))</f>
        <v>18917</v>
      </c>
      <c r="BU1258" s="118"/>
      <c r="BV1258" s="118"/>
      <c r="BW1258" s="118">
        <f>INDEX('Dist Plant Depreciation'!$E$7:$AD$94,MATCH($C1258,'Dist Plant Depreciation'!$D$7:$D$94,0),MATCH(Calculation!$G1258,'Dist Plant Depreciation'!$E$5:$AD$5,0))</f>
        <v>1468249</v>
      </c>
      <c r="BX1258" s="118">
        <f>INDEX('Gen. Plant Depreciation'!$E$7:$AD$94,MATCH($C1258,'Gen. Plant Depreciation'!$D$7:$D$94,0),MATCH(Calculation!$G1258,'Gen. Plant Depreciation'!$E$5:$AD$5,0))</f>
        <v>46616</v>
      </c>
      <c r="BY1258" s="118"/>
      <c r="BZ1258" s="118"/>
      <c r="CA1258" s="118"/>
      <c r="CB1258" s="118"/>
      <c r="CC1258" s="118"/>
      <c r="CD1258" s="183"/>
      <c r="CE1258" s="118">
        <f>INDEX('Gross Dx Plant'!$E$7:$AD$91,MATCH($C1258,'Gross Dx Plant'!$D$7:$D$91,0),MATCH(Calculation!$G1258,'Gross Dx Plant'!$E$5:$AD$5,0))</f>
        <v>4635780</v>
      </c>
      <c r="CF1258" s="118">
        <f>INDEX('Gross Gen Plant'!$E$7:$AD$91,MATCH($C1258,'Gross Gen Plant'!$D$7:$D$91,0),MATCH(Calculation!$G1258,'Gross Gen Plant'!$E$5:$AD$5,0))</f>
        <v>416386</v>
      </c>
      <c r="CG1258" s="118">
        <f t="shared" si="3767"/>
        <v>3537301</v>
      </c>
      <c r="CH1258" s="118"/>
      <c r="CI1258" s="121">
        <v>2020</v>
      </c>
      <c r="CJ1258" s="118"/>
      <c r="CK1258" s="118"/>
      <c r="CL1258" s="118"/>
      <c r="CM1258" s="183"/>
      <c r="CN1258" s="118">
        <f t="shared" si="3713"/>
        <v>305163</v>
      </c>
      <c r="CO1258" s="118">
        <f t="shared" si="3714"/>
        <v>375.31723695872444</v>
      </c>
      <c r="CP1258" s="186">
        <v>0.84057971014492749</v>
      </c>
      <c r="CQ1258" s="118">
        <f>CQ1236*CP1258+CO1237*CP1257+CO1238*CP1256+CO1239*CP1255+CO1240*CP1254+CO1241*CP1253+CO1242*CP1252+CO1243*CP1251+CO1244*CP1250+CO1245*CP1249+CO1246*CP1248+CO1247*CP1247+CO1248*CP1246+CO1249*CP1245+CO1250*CP1244+CO1251*CP1243+CO1252*CP1242+CO1253*CP1241+CO1254*CP1240+CO1255*CP1239+CO1256*CP1238+CO1257*CP1237+CO1258</f>
        <v>11001.362033572135</v>
      </c>
      <c r="CR1258" s="119">
        <f t="shared" si="3715"/>
        <v>2.514747515595251E-2</v>
      </c>
      <c r="CS1258" s="119"/>
      <c r="CT1258" s="177">
        <f t="shared" si="3716"/>
        <v>9.5179819607047016E-3</v>
      </c>
      <c r="CU1258" s="177">
        <f t="shared" si="3724"/>
        <v>9.2399070114137245E-3</v>
      </c>
      <c r="CV1258" s="119">
        <f>VLOOKUP($H1258,RoR!$E:$F,2,FALSE)</f>
        <v>2.4766666666666666E-2</v>
      </c>
      <c r="CW1258" s="177">
        <v>1.1618796630994188E-2</v>
      </c>
      <c r="CX1258" s="177">
        <f t="shared" si="3722"/>
        <v>1.3147870035672478E-2</v>
      </c>
      <c r="CY1258" s="177">
        <f t="shared" si="3725"/>
        <v>2.1662034597119899E-2</v>
      </c>
      <c r="CZ1258" s="177">
        <f t="shared" si="3726"/>
        <v>4.5144642961987357E-2</v>
      </c>
      <c r="DA1258" s="187">
        <f t="shared" si="3717"/>
        <v>0.89124999999999999</v>
      </c>
      <c r="DB1258" s="188">
        <f t="shared" si="3718"/>
        <v>2.0706077233668081</v>
      </c>
      <c r="DC1258" s="188">
        <f t="shared" si="3719"/>
        <v>-3.4421265141318998E-2</v>
      </c>
      <c r="DD1258" s="188">
        <f t="shared" si="3720"/>
        <v>0.62416226176410472</v>
      </c>
      <c r="DE1258" s="188">
        <f t="shared" si="3721"/>
        <v>-4.4485877841158712E-2</v>
      </c>
      <c r="DF1258" s="189">
        <f>INDEX('State Tax Lookup'!$D$7:$Z$91,MATCH(Calculation!$C1258,'State Tax Lookup'!$B$7:$B$91,0),MATCH($H1258,'State Tax Lookup'!$D$6:$Z$6,0))</f>
        <v>0.28999999999999998</v>
      </c>
      <c r="DG1258" s="189">
        <v>0.375</v>
      </c>
      <c r="DH1258" s="190">
        <f t="shared" si="3723"/>
        <v>22.052570271269499</v>
      </c>
      <c r="DI1258" s="190">
        <v>21.697102096485708</v>
      </c>
      <c r="DJ1258" s="177"/>
      <c r="DK1258" s="189">
        <f>VLOOKUP($H1258,RoR!$E:$F,2,FALSE)</f>
        <v>2.4766666666666666E-2</v>
      </c>
      <c r="DL1258" s="191">
        <f>HLOOKUP($H1258,'GDP-PI'!$D$8:$CQ$11,3,FALSE)</f>
        <v>1.1618796630994188E-2</v>
      </c>
      <c r="DM1258" s="189">
        <f>VLOOKUP(H1258,'HW Dx Data'!$E:$F,2,FALSE)</f>
        <v>813.080162458833</v>
      </c>
      <c r="DN1258" s="183">
        <f>VLOOKUP(H1258,'ECI - Input Price'!$G$17:$H$37,2,FALSE)</f>
        <v>140.44999999999999</v>
      </c>
      <c r="DO1258" s="177">
        <f t="shared" ref="DO1258" si="3780">LN(DN1258/DN1257)</f>
        <v>2.5966118063564539E-2</v>
      </c>
      <c r="DP1258" s="183">
        <f>HLOOKUP(H1258,'GDP-PI'!$8:$9,2,FALSE)</f>
        <v>113.623</v>
      </c>
      <c r="DQ1258" s="177">
        <f t="shared" ref="DQ1258" si="3781">LN(DP1258/DP1257)</f>
        <v>1.1551816731392881E-2</v>
      </c>
    </row>
    <row r="1259" spans="1:121" s="167" customFormat="1" ht="21" x14ac:dyDescent="0.35">
      <c r="A1259" s="167" t="s">
        <v>116</v>
      </c>
      <c r="B1259" s="167" t="s">
        <v>116</v>
      </c>
      <c r="C1259" s="167">
        <v>4058284</v>
      </c>
      <c r="D1259" s="167" t="s">
        <v>152</v>
      </c>
      <c r="G1259" s="168" t="s">
        <v>462</v>
      </c>
      <c r="H1259" s="169">
        <v>2021</v>
      </c>
      <c r="I1259" s="170"/>
      <c r="J1259" s="166">
        <f>IFERROR(INDEX('Labor Expenditures'!$E$7:$X$91,MATCH($C1259,'Labor Expenditures'!$D$7:$D$91,0),MATCH($G1259,'Labor Expenditures'!$E$5:$X$5,0)),"NA")</f>
        <v>121404.69105240492</v>
      </c>
      <c r="K1259" s="166">
        <f t="shared" si="3729"/>
        <v>834.53989381271629</v>
      </c>
      <c r="L1259" s="171">
        <f t="shared" si="3736"/>
        <v>-4.1794747384027851E-2</v>
      </c>
      <c r="M1259" s="172">
        <f t="shared" si="3740"/>
        <v>-1.6143927502814774E-3</v>
      </c>
      <c r="N1259" s="196"/>
      <c r="O1259" s="172"/>
      <c r="P1259" s="166">
        <f>IFERROR(INDEX('Non-Labor Expenditures'!$E$7:$AB$91,MATCH($C1259,'Non-Labor Expenditures'!$D$7:$D$91,0),MATCH($G1259,'Non-Labor Expenditures'!$E$5:$AB$5,0)),"NA")</f>
        <v>171136.73317025753</v>
      </c>
      <c r="Q1259" s="166">
        <f t="shared" si="3730"/>
        <v>1444.3137241139129</v>
      </c>
      <c r="R1259" s="172">
        <f t="shared" si="3741"/>
        <v>-7.5563615014164365E-2</v>
      </c>
      <c r="S1259" s="172">
        <f t="shared" si="3746"/>
        <v>-2.9187723314376729E-3</v>
      </c>
      <c r="T1259" s="172"/>
      <c r="U1259" s="172"/>
      <c r="V1259" s="166">
        <f t="shared" si="3711"/>
        <v>277141.50141687959</v>
      </c>
      <c r="W1259" s="170"/>
      <c r="X1259" s="174">
        <v>11221.72647942505</v>
      </c>
      <c r="Y1259" s="175"/>
      <c r="Z1259" s="175">
        <f t="shared" si="3747"/>
        <v>0</v>
      </c>
      <c r="AA1259" s="175"/>
      <c r="AB1259" s="175"/>
      <c r="AC1259" s="170">
        <f t="shared" si="3648"/>
        <v>569682.92563954205</v>
      </c>
      <c r="AD1259" s="175">
        <f t="shared" si="3742"/>
        <v>6.1346068721737514E-2</v>
      </c>
      <c r="AE1259" s="118"/>
      <c r="AF1259" s="119"/>
      <c r="AG1259" s="121">
        <f t="shared" si="3743"/>
        <v>474.40487396669334</v>
      </c>
      <c r="AH1259" s="119">
        <f>+AZ1259/$BB$59</f>
        <v>3.0809514084395386E-2</v>
      </c>
      <c r="AI1259" s="119"/>
      <c r="AJ1259" s="176">
        <f t="shared" si="3748"/>
        <v>14.616183646182657</v>
      </c>
      <c r="AK1259" s="176">
        <f t="shared" si="3749"/>
        <v>0</v>
      </c>
      <c r="AL1259" s="120">
        <f t="shared" si="3731"/>
        <v>0.21310923250176858</v>
      </c>
      <c r="AM1259" s="120">
        <f t="shared" si="3732"/>
        <v>0.30040699039405933</v>
      </c>
      <c r="AN1259" s="120">
        <f t="shared" si="3733"/>
        <v>0.48648377710417201</v>
      </c>
      <c r="AO1259" s="120">
        <f t="shared" si="3737"/>
        <v>-3.3050703467691268E-2</v>
      </c>
      <c r="AP1259" s="173">
        <f t="shared" si="3753"/>
        <v>126.7211437816562</v>
      </c>
      <c r="AQ1259" s="175">
        <f t="shared" si="3754"/>
        <v>-3.3050703467691324E-2</v>
      </c>
      <c r="AR1259" s="177">
        <f>+AC1259/$AE$59</f>
        <v>3.8626689986848171E-2</v>
      </c>
      <c r="AS1259" s="177">
        <f t="shared" si="3750"/>
        <v>-1.2766392766937606E-3</v>
      </c>
      <c r="AT1259" s="177"/>
      <c r="AU1259" s="177"/>
      <c r="AV1259" s="177"/>
      <c r="AW1259" s="190"/>
      <c r="AX1259" s="120"/>
      <c r="AY1259" s="120"/>
      <c r="AZ1259" s="118">
        <f>INDEX('Total Customers'!$E$7:$E$91,MATCH(Calculation!$C1259,'Total Customers'!$D$7:$D$91,0))</f>
        <v>1200837</v>
      </c>
      <c r="BA1259" s="119">
        <f t="shared" si="3712"/>
        <v>1.010974904091555E-2</v>
      </c>
      <c r="BB1259" s="118"/>
      <c r="BC1259" s="121"/>
      <c r="BD1259" s="118"/>
      <c r="BE1259" s="119"/>
      <c r="BF1259" s="119"/>
      <c r="BG1259" s="173"/>
      <c r="BH1259" s="173"/>
      <c r="BI1259" s="173"/>
      <c r="BJ1259" s="173"/>
      <c r="BK1259" s="173"/>
      <c r="BL1259" s="173"/>
      <c r="BM1259" s="173"/>
      <c r="BN1259" s="173"/>
      <c r="BO1259" s="173"/>
      <c r="BP1259" s="173"/>
      <c r="BQ1259" s="118"/>
      <c r="BR1259" s="118"/>
      <c r="BS1259" s="118">
        <f>INDEX('Dist. Plant Gas Additions'!$E$7:$AE$91,MATCH($C1259,'Dist. Plant Gas Additions'!$D$7:$D$91,0),MATCH(Calculation!$G1259,'Dist. Plant Gas Additions'!$E$5:$AE$5,0))</f>
        <v>292588.853</v>
      </c>
      <c r="BT1259" s="118">
        <f>INDEX('Gen. Plant Additions'!$E$7:$AE$91,MATCH($C1259,'Gen. Plant Additions'!$D$7:$D$91,0),MATCH(Calculation!$G1259,'Gen. Plant Additions'!$E$5:$AE$5,0))</f>
        <v>7320.7020000000002</v>
      </c>
      <c r="BU1259" s="118"/>
      <c r="BV1259" s="118"/>
      <c r="BW1259" s="118"/>
      <c r="BX1259" s="118"/>
      <c r="BY1259" s="183"/>
      <c r="BZ1259" s="183"/>
      <c r="CA1259" s="178"/>
      <c r="CB1259" s="184"/>
      <c r="CC1259" s="185"/>
      <c r="CD1259" s="185"/>
      <c r="CE1259" s="118"/>
      <c r="CF1259" s="118"/>
      <c r="CG1259" s="118"/>
      <c r="CH1259" s="118"/>
      <c r="CI1259" s="121">
        <v>2021</v>
      </c>
      <c r="CJ1259" s="118"/>
      <c r="CK1259" s="118"/>
      <c r="CL1259" s="118"/>
      <c r="CM1259" s="183"/>
      <c r="CN1259" s="118">
        <f t="shared" si="3713"/>
        <v>299909.55499999999</v>
      </c>
      <c r="CO1259" s="118">
        <f t="shared" si="3714"/>
        <v>321.43871691390808</v>
      </c>
      <c r="CP1259" s="186">
        <f>+(51-23)/(51-23*0.75)</f>
        <v>0.82962962962962961</v>
      </c>
      <c r="CQ1259" s="118">
        <f>CQ1236*CP1259+CO1237*CP1258+CO1238*CP1257+CO1239*CP1256+CO1240*CP1255+CO1241*CP1254+CO1242*CP1253+CO1243*CP1252+CO1244*CP1251+CO1245*CP1250+CO1246*CP1249+CO1247*CP1248+CO1248*CP1247+CO1249*CP1246+CO1250*CP1245+CO1241*CP1244+CO1252*CP1243+CO1253*CP1242+CO1254*CP1241+CO1255*CP1240+CO1256*CP1239+CO1257*CP1238+CO1259+CO1258*CP1237</f>
        <v>11221.72647942505</v>
      </c>
      <c r="CR1259" s="119"/>
      <c r="CS1259" s="118"/>
      <c r="CT1259" s="177">
        <f t="shared" si="3716"/>
        <v>9.1874324972264412E-3</v>
      </c>
      <c r="CU1259" s="177">
        <f t="shared" si="3724"/>
        <v>9.3131930845345712E-3</v>
      </c>
      <c r="CV1259" s="119">
        <f>VLOOKUP($H1259,RoR!$E:$F,2,FALSE)</f>
        <v>2.7033333333333336E-2</v>
      </c>
      <c r="CW1259" s="177"/>
      <c r="CX1259" s="177"/>
      <c r="CY1259" s="177">
        <f t="shared" si="3725"/>
        <v>2.1588748523999054E-2</v>
      </c>
      <c r="CZ1259" s="177">
        <f t="shared" si="3726"/>
        <v>7.433422950153494E-2</v>
      </c>
      <c r="DA1259" s="187">
        <f t="shared" si="3717"/>
        <v>0.89124999999999999</v>
      </c>
      <c r="DB1259" s="188">
        <f t="shared" si="3718"/>
        <v>1.8969932656739068</v>
      </c>
      <c r="DC1259" s="188">
        <f t="shared" si="3719"/>
        <v>5.0215782983970621E-2</v>
      </c>
      <c r="DD1259" s="188">
        <f t="shared" si="3720"/>
        <v>0.655952481704143</v>
      </c>
      <c r="DE1259" s="188">
        <f t="shared" si="3721"/>
        <v>6.2485378865697057E-2</v>
      </c>
      <c r="DF1259" s="189">
        <f>DF1258</f>
        <v>0.28999999999999998</v>
      </c>
      <c r="DG1259" s="189">
        <v>0.375</v>
      </c>
      <c r="DH1259" s="190">
        <f t="shared" si="3723"/>
        <v>25.191562696613843</v>
      </c>
      <c r="DI1259" s="190"/>
      <c r="DJ1259" s="177">
        <f t="shared" ref="DJ1259" si="3782">LN(DH1259/DH1258)</f>
        <v>0.13307996413827858</v>
      </c>
      <c r="DK1259" s="189">
        <f>VLOOKUP($H1259,RoR!$E:$F,2,FALSE)</f>
        <v>2.7033333333333336E-2</v>
      </c>
      <c r="DL1259" s="191">
        <f>HLOOKUP($H1259,'GDP-PI'!$D$8:$CR$11,3,FALSE)</f>
        <v>4.2834637353352578E-2</v>
      </c>
      <c r="DM1259" s="189">
        <f>VLOOKUP(H1259,'HW Dx Data'!$E:$F,2,FALSE)</f>
        <v>933.02249921662576</v>
      </c>
      <c r="DN1259" s="183">
        <f>VLOOKUP(H1259,'ECI - Input Price'!$G$17:$H$37,2,FALSE)</f>
        <v>145.47500000000002</v>
      </c>
      <c r="DO1259" s="177">
        <f t="shared" ref="DO1259" si="3783">LN(DN1259/DN1258)</f>
        <v>3.5152696992481205E-2</v>
      </c>
      <c r="DP1259" s="183">
        <f>HLOOKUP(H1259,'GDP-PI'!$8:$9,2,FALSE)</f>
        <v>118.49</v>
      </c>
      <c r="DQ1259" s="177">
        <f t="shared" ref="DQ1259" si="3784">LN(DP1259/DP1258)</f>
        <v>4.194261824609434E-2</v>
      </c>
    </row>
    <row r="1260" spans="1:121" s="167" customFormat="1" ht="21" x14ac:dyDescent="0.35">
      <c r="A1260" s="167" t="s">
        <v>117</v>
      </c>
      <c r="B1260" s="167" t="s">
        <v>117</v>
      </c>
      <c r="C1260" s="167">
        <v>4008752</v>
      </c>
      <c r="D1260" s="168" t="s">
        <v>144</v>
      </c>
      <c r="E1260" s="168"/>
      <c r="F1260" s="198"/>
      <c r="G1260" s="167" t="s">
        <v>4</v>
      </c>
      <c r="H1260" s="169">
        <v>1998</v>
      </c>
      <c r="I1260" s="170"/>
      <c r="J1260" s="166"/>
      <c r="K1260" s="166"/>
      <c r="L1260" s="166"/>
      <c r="M1260" s="166"/>
      <c r="N1260" s="196"/>
      <c r="O1260" s="166"/>
      <c r="P1260" s="172"/>
      <c r="Q1260" s="172"/>
      <c r="R1260" s="172"/>
      <c r="S1260" s="166"/>
      <c r="T1260" s="172"/>
      <c r="U1260" s="172"/>
      <c r="V1260" s="166"/>
      <c r="W1260" s="170"/>
      <c r="X1260" s="174">
        <v>1777.0176356399143</v>
      </c>
      <c r="Y1260" s="175"/>
      <c r="Z1260" s="166"/>
      <c r="AA1260" s="175"/>
      <c r="AB1260" s="175"/>
      <c r="AC1260" s="170">
        <f t="shared" si="3648"/>
        <v>0</v>
      </c>
      <c r="AD1260" s="170"/>
      <c r="AE1260" s="170"/>
      <c r="AF1260" s="119"/>
      <c r="AG1260" s="174"/>
      <c r="AH1260" s="175"/>
      <c r="AI1260" s="175"/>
      <c r="AJ1260" s="174"/>
      <c r="AK1260" s="174"/>
      <c r="AL1260" s="120"/>
      <c r="AM1260" s="120"/>
      <c r="AN1260" s="120"/>
      <c r="AO1260" s="120"/>
      <c r="AP1260" s="120"/>
      <c r="AQ1260" s="175">
        <f>AVERAGE(AQ1269:AQ1283)</f>
        <v>5.9695795749483875E-3</v>
      </c>
      <c r="AR1260" s="120"/>
      <c r="AS1260" s="120"/>
      <c r="AT1260" s="120"/>
      <c r="AU1260" s="120"/>
      <c r="AV1260" s="120"/>
      <c r="AW1260" s="120"/>
      <c r="AX1260" s="120"/>
      <c r="AY1260" s="120"/>
      <c r="AZ1260" s="118">
        <f>IFERROR(INDEX('Total Customers'!$F$7:$AB$91,MATCH($C1260,'Total Customers'!$D$7:$D$91,0),MATCH($G1260,'Total Customers'!$F$5:$AB$5,0)),"NA")</f>
        <v>521020</v>
      </c>
      <c r="BA1260" s="119"/>
      <c r="BB1260" s="119"/>
      <c r="BC1260" s="121"/>
      <c r="BD1260" s="119"/>
      <c r="BE1260" s="119"/>
      <c r="BF1260" s="119"/>
      <c r="BG1260" s="173"/>
      <c r="BH1260" s="173"/>
      <c r="BI1260" s="173"/>
      <c r="BJ1260" s="173"/>
      <c r="BK1260" s="173"/>
      <c r="BL1260" s="173"/>
      <c r="BM1260" s="173"/>
      <c r="BN1260" s="173"/>
      <c r="BO1260" s="173"/>
      <c r="BP1260" s="173"/>
      <c r="BQ1260" s="118">
        <f>INDEX('Gross Dx Plant'!$E$7:$AD$91,MATCH($C1260,'Gross Dx Plant'!$D$7:$D$91,0),MATCH(Calculation!$G1260,'Gross Dx Plant'!$E$5:$AD$5,0))</f>
        <v>689374</v>
      </c>
      <c r="BR1260" s="118">
        <f>INDEX('Gross Gen Plant'!$E$7:$AD$91,MATCH($C1260,'Gross Gen Plant'!$D$7:$D$91,0),MATCH(Calculation!$G1260,'Gross Gen Plant'!$E$5:$AD$5,0))</f>
        <v>106209</v>
      </c>
      <c r="BS1260" s="118">
        <f>INDEX('Dist. Plant Gas Additions'!$F$7:$AE$91,MATCH($C1260,'Dist. Plant Gas Additions'!$D$7:$D$91,0),MATCH(Calculation!$G1260,'Dist. Plant Gas Additions'!$F$5:$AE$5,0))</f>
        <v>27463</v>
      </c>
      <c r="BT1260" s="118">
        <f>INDEX('Gen. Plant Additions'!$F$7:$AE$91,MATCH($C1260,'Gen. Plant Additions'!$D$7:$D$91,0),MATCH(Calculation!$G1260,'Gen. Plant Additions'!$F$5:$AE$5,0))</f>
        <v>4660</v>
      </c>
      <c r="BU1260" s="118" t="e">
        <f>INDEX('Dist Plant Depreciation'!$E$7:$AA$94,MATCH($C1260,'Dist Plant Depreciation'!$D$7:$D$94,0),MATCH(#REF!,'Dist Plant Depreciation'!$E$5:$AA$5,0))</f>
        <v>#REF!</v>
      </c>
      <c r="BV1260" s="118" t="e">
        <f>INDEX('Gen. Plant Depreciation'!$E$7:$AA$94,MATCH($C1260,'Gen. Plant Depreciation'!$D$7:$D$94,0),MATCH(#REF!,'Gen. Plant Depreciation'!$E$5:$AA$5,0))</f>
        <v>#REF!</v>
      </c>
      <c r="BW1260" s="118">
        <f>INDEX('Dist Plant Depreciation'!$E$7:$AD$94,MATCH($C1260,'Dist Plant Depreciation'!$D$7:$D$94,0),MATCH(Calculation!$G1260,'Dist Plant Depreciation'!$E$5:$AD$5,0))</f>
        <v>380917</v>
      </c>
      <c r="BX1260" s="118">
        <f>INDEX('Gen. Plant Depreciation'!$E$7:$AD$94,MATCH($C1260,'Gen. Plant Depreciation'!$D$7:$D$94,0),MATCH(Calculation!$G1260,'Gen. Plant Depreciation'!$E$5:$AD$5,0))</f>
        <v>56207</v>
      </c>
      <c r="BY1260" s="118"/>
      <c r="BZ1260" s="118"/>
      <c r="CA1260" s="118"/>
      <c r="CB1260" s="118"/>
      <c r="CC1260" s="118"/>
      <c r="CD1260" s="183"/>
      <c r="CE1260" s="118">
        <f>INDEX('Gross Dx Plant'!$E$7:$AD$91,MATCH($C1260,'Gross Dx Plant'!$D$7:$D$91,0),MATCH(Calculation!$G1260,'Gross Dx Plant'!$E$5:$AD$5,0))</f>
        <v>689374</v>
      </c>
      <c r="CF1260" s="118">
        <f>INDEX('Gross Gen Plant'!$E$7:$AD$91,MATCH($C1260,'Gross Gen Plant'!$D$7:$D$91,0),MATCH(Calculation!$G1260,'Gross Gen Plant'!$E$5:$AD$5,0))</f>
        <v>106209</v>
      </c>
      <c r="CG1260" s="118">
        <f t="shared" si="3767"/>
        <v>358459</v>
      </c>
      <c r="CH1260" s="118"/>
      <c r="CI1260" s="121">
        <v>1998</v>
      </c>
      <c r="CJ1260" s="118">
        <f>BQ1260+BR1260</f>
        <v>795583</v>
      </c>
      <c r="CK1260" s="118">
        <f>380917+56207</f>
        <v>437124</v>
      </c>
      <c r="CL1260" s="118">
        <f>+CJ1260-CK1260</f>
        <v>358459</v>
      </c>
      <c r="CM1260" s="118">
        <f>CL1260/$CD$36</f>
        <v>1777.0176356399143</v>
      </c>
      <c r="CN1260" s="183"/>
      <c r="CO1260" s="183"/>
      <c r="CP1260" s="186">
        <v>1</v>
      </c>
      <c r="CQ1260" s="118">
        <f>+CM1260</f>
        <v>1777.0176356399143</v>
      </c>
      <c r="CR1260" s="119"/>
      <c r="CS1260" s="119"/>
      <c r="CT1260" s="177"/>
      <c r="CU1260" s="177"/>
      <c r="CV1260" s="119" t="e">
        <f>VLOOKUP($H1260,RoR!$E:$F,2,FALSE)</f>
        <v>#N/A</v>
      </c>
      <c r="CW1260" s="177">
        <v>1.1028127770464469E-2</v>
      </c>
      <c r="CX1260" s="177"/>
      <c r="CY1260" s="177"/>
      <c r="CZ1260" s="177"/>
      <c r="DA1260" s="187"/>
      <c r="DB1260" s="190" t="e">
        <f>2/(DK1260*39)</f>
        <v>#N/A</v>
      </c>
      <c r="DC1260" s="188" t="e">
        <f>+(DK1260*40-(1+DK1260))/(DK1260*40)</f>
        <v>#N/A</v>
      </c>
      <c r="DD1260" s="188" t="e">
        <f>+(1-(1/(1+DK1260)^40))</f>
        <v>#N/A</v>
      </c>
      <c r="DE1260" s="188" t="e">
        <f>+DD1260*DC1260*DB1260</f>
        <v>#N/A</v>
      </c>
      <c r="DF1260" s="189">
        <f>INDEX('State Tax Lookup'!$D$7:$Z$91,MATCH(Calculation!$C1260,'State Tax Lookup'!$B$7:$B$91,0),MATCH($H1260,'State Tax Lookup'!$D$6:$Z$6,0))</f>
        <v>0.40134999999999998</v>
      </c>
      <c r="DG1260" s="189">
        <v>0.375</v>
      </c>
      <c r="DH1260" s="183"/>
      <c r="DI1260" s="183"/>
      <c r="DJ1260" s="177"/>
      <c r="DK1260" s="189" t="e">
        <f>VLOOKUP($H1260,RoR!$E:$F,2,FALSE)</f>
        <v>#N/A</v>
      </c>
      <c r="DL1260" s="191">
        <f>HLOOKUP($H1260,'GDP-PI'!$D$8:$CQ$11,3,FALSE)</f>
        <v>1.1028127770464469E-2</v>
      </c>
      <c r="DM1260" s="189">
        <f>VLOOKUP(H1260,'HW Dx Data'!$E:$F,2,FALSE)</f>
        <v>329.24564746449528</v>
      </c>
      <c r="DN1260" s="183" t="e">
        <f>VLOOKUP(H1260,'ECI - Input Price'!$G$17:$H$37,2,FALSE)</f>
        <v>#N/A</v>
      </c>
      <c r="DO1260" s="177"/>
      <c r="DP1260" s="183">
        <f>HLOOKUP(H1260,'GDP-PI'!$8:$9,2,FALSE)</f>
        <v>75.266999999999996</v>
      </c>
    </row>
    <row r="1261" spans="1:121" s="167" customFormat="1" ht="21" x14ac:dyDescent="0.35">
      <c r="A1261" s="167" t="s">
        <v>117</v>
      </c>
      <c r="B1261" s="167" t="s">
        <v>117</v>
      </c>
      <c r="C1261" s="167">
        <v>4008752</v>
      </c>
      <c r="D1261" s="168" t="s">
        <v>144</v>
      </c>
      <c r="E1261" s="168"/>
      <c r="F1261" s="198"/>
      <c r="G1261" s="167" t="s">
        <v>5</v>
      </c>
      <c r="H1261" s="169">
        <v>1999</v>
      </c>
      <c r="I1261" s="170"/>
      <c r="J1261" s="166"/>
      <c r="K1261" s="170"/>
      <c r="L1261" s="170"/>
      <c r="M1261" s="166"/>
      <c r="N1261" s="173"/>
      <c r="O1261" s="170"/>
      <c r="P1261" s="177"/>
      <c r="Q1261" s="177"/>
      <c r="R1261" s="177"/>
      <c r="S1261" s="195"/>
      <c r="T1261" s="177"/>
      <c r="U1261" s="177"/>
      <c r="V1261" s="166">
        <f t="shared" ref="V1261:V1283" si="3785">+CQ1260*DH1261</f>
        <v>0</v>
      </c>
      <c r="W1261" s="170"/>
      <c r="X1261" s="174">
        <v>1879.6417513620581</v>
      </c>
      <c r="Y1261" s="175">
        <v>5.6144727384636862E-2</v>
      </c>
      <c r="Z1261" s="175"/>
      <c r="AA1261" s="175"/>
      <c r="AB1261" s="175"/>
      <c r="AC1261" s="170">
        <f t="shared" si="3648"/>
        <v>0</v>
      </c>
      <c r="AD1261" s="175"/>
      <c r="AE1261" s="170"/>
      <c r="AF1261" s="119"/>
      <c r="AG1261" s="174"/>
      <c r="AH1261" s="175"/>
      <c r="AI1261" s="175"/>
      <c r="AJ1261" s="174"/>
      <c r="AK1261" s="174"/>
      <c r="AL1261" s="120"/>
      <c r="AM1261" s="120"/>
      <c r="AN1261" s="120"/>
      <c r="AO1261" s="120"/>
      <c r="AP1261" s="120"/>
      <c r="AQ1261" s="175"/>
      <c r="AR1261" s="120"/>
      <c r="AS1261" s="120"/>
      <c r="AT1261" s="120"/>
      <c r="AU1261" s="120"/>
      <c r="AV1261" s="120"/>
      <c r="AW1261" s="120"/>
      <c r="AX1261" s="120"/>
      <c r="AY1261" s="120"/>
      <c r="AZ1261" s="118">
        <f>IFERROR(INDEX('Total Customers'!$F$7:$AB$91,MATCH($C1261,'Total Customers'!$D$7:$D$91,0),MATCH($G1261,'Total Customers'!$F$5:$AB$5,0)),"NA")</f>
        <v>529984</v>
      </c>
      <c r="BA1261" s="119">
        <f t="shared" ref="BA1261:BA1283" si="3786">LN(AZ1261/AZ1260)</f>
        <v>1.7058388678726555E-2</v>
      </c>
      <c r="BB1261" s="119"/>
      <c r="BC1261" s="121"/>
      <c r="BD1261" s="119"/>
      <c r="BE1261" s="119"/>
      <c r="BF1261" s="119"/>
      <c r="BG1261" s="173"/>
      <c r="BH1261" s="173"/>
      <c r="BI1261" s="173"/>
      <c r="BJ1261" s="173"/>
      <c r="BK1261" s="173"/>
      <c r="BL1261" s="173"/>
      <c r="BM1261" s="173"/>
      <c r="BN1261" s="173"/>
      <c r="BO1261" s="173"/>
      <c r="BP1261" s="173"/>
      <c r="BQ1261" s="118"/>
      <c r="BR1261" s="118"/>
      <c r="BS1261" s="118">
        <f>INDEX('Dist. Plant Gas Additions'!$F$7:$AE$91,MATCH($C1261,'Dist. Plant Gas Additions'!$D$7:$D$91,0),MATCH(Calculation!$G1261,'Dist. Plant Gas Additions'!$F$5:$AE$5,0))</f>
        <v>28638</v>
      </c>
      <c r="BT1261" s="118">
        <f>INDEX('Gen. Plant Additions'!$F$7:$AE$91,MATCH($C1261,'Gen. Plant Additions'!$D$7:$D$91,0),MATCH(Calculation!$G1261,'Gen. Plant Additions'!$F$5:$AE$5,0))</f>
        <v>8739</v>
      </c>
      <c r="BU1261" s="118"/>
      <c r="BV1261" s="118"/>
      <c r="BW1261" s="118">
        <f>INDEX('Dist Plant Depreciation'!$E$7:$AD$94,MATCH($C1261,'Dist Plant Depreciation'!$D$7:$D$94,0),MATCH(Calculation!$G1261,'Dist Plant Depreciation'!$E$5:$AD$5,0))</f>
        <v>403354</v>
      </c>
      <c r="BX1261" s="118">
        <f>INDEX('Gen. Plant Depreciation'!$E$7:$AD$94,MATCH($C1261,'Gen. Plant Depreciation'!$D$7:$D$94,0),MATCH(Calculation!$G1261,'Gen. Plant Depreciation'!$E$5:$AD$5,0))</f>
        <v>61181</v>
      </c>
      <c r="BY1261" s="118"/>
      <c r="BZ1261" s="118"/>
      <c r="CA1261" s="118"/>
      <c r="CB1261" s="118"/>
      <c r="CC1261" s="118"/>
      <c r="CD1261" s="183"/>
      <c r="CE1261" s="118">
        <f>INDEX('Gross Dx Plant'!$E$7:$AD$91,MATCH($C1261,'Gross Dx Plant'!$D$7:$D$91,0),MATCH(Calculation!$G1261,'Gross Dx Plant'!$E$5:$AD$5,0))</f>
        <v>715124</v>
      </c>
      <c r="CF1261" s="118">
        <f>INDEX('Gross Gen Plant'!$E$7:$AD$91,MATCH($C1261,'Gross Gen Plant'!$D$7:$D$91,0),MATCH(Calculation!$G1261,'Gross Gen Plant'!$E$5:$AD$5,0))</f>
        <v>110493</v>
      </c>
      <c r="CG1261" s="118">
        <f t="shared" si="3767"/>
        <v>361082</v>
      </c>
      <c r="CH1261" s="118"/>
      <c r="CI1261" s="121">
        <v>1999</v>
      </c>
      <c r="CJ1261" s="118"/>
      <c r="CK1261" s="118"/>
      <c r="CL1261" s="118"/>
      <c r="CM1261" s="183"/>
      <c r="CN1261" s="118">
        <f t="shared" ref="CN1261:CN1283" si="3787">+BT1261+BS1261</f>
        <v>37377</v>
      </c>
      <c r="CO1261" s="118">
        <f t="shared" ref="CO1261:CO1283" si="3788">+CN1261/$DM1261</f>
        <v>111.46499948154633</v>
      </c>
      <c r="CP1261" s="186">
        <v>0.99502487562189057</v>
      </c>
      <c r="CQ1261" s="118">
        <f>+CQ1260*CP1261+CO1261</f>
        <v>1879.6417513620581</v>
      </c>
      <c r="CR1261" s="119">
        <f t="shared" ref="CR1261:CR1282" si="3789">LN(CQ1261/CQ1260)</f>
        <v>5.6144727384636862E-2</v>
      </c>
      <c r="CS1261" s="119"/>
      <c r="CT1261" s="177">
        <f t="shared" ref="CT1261:CT1283" si="3790">+(CQ1260-CQ1261+CO1261)/CQ1260</f>
        <v>4.9751243781093971E-3</v>
      </c>
      <c r="CU1261" s="177"/>
      <c r="CV1261" s="119">
        <f>VLOOKUP($H1261,RoR!$E:$F,2,FALSE)</f>
        <v>7.0416666666666669E-2</v>
      </c>
      <c r="CW1261" s="177">
        <v>1.4335631817396832E-2</v>
      </c>
      <c r="CX1261" s="177">
        <f>+CV1261-CW1261</f>
        <v>5.6081034849269837E-2</v>
      </c>
      <c r="CY1261" s="177"/>
      <c r="CZ1261" s="177"/>
      <c r="DA1261" s="187">
        <f t="shared" ref="DA1261:DA1283" si="3791">1-DF1261*DG1261</f>
        <v>0.84949374999999994</v>
      </c>
      <c r="DB1261" s="188">
        <f t="shared" ref="DB1261:DB1283" si="3792">2/(DK1261*39)</f>
        <v>0.72826581702321336</v>
      </c>
      <c r="DC1261" s="188">
        <f t="shared" ref="DC1261:DC1283" si="3793">+(DK1261*40-(1+DK1261))/(DK1261*40)</f>
        <v>0.61997041420118348</v>
      </c>
      <c r="DD1261" s="188">
        <f t="shared" ref="DD1261:DD1283" si="3794">+(1-(1/(1+DK1261)^40))</f>
        <v>0.93425155319585029</v>
      </c>
      <c r="DE1261" s="188">
        <f t="shared" ref="DE1261:DE1283" si="3795">+DD1261*DC1261*DB1261</f>
        <v>0.42181762214141483</v>
      </c>
      <c r="DF1261" s="189">
        <f>INDEX('State Tax Lookup'!$D$7:$Z$91,MATCH(Calculation!$C1261,'State Tax Lookup'!$B$7:$B$91,0),MATCH($H1261,'State Tax Lookup'!$D$6:$Z$6,0))</f>
        <v>0.40134999999999998</v>
      </c>
      <c r="DG1261" s="189">
        <v>0.375</v>
      </c>
      <c r="DH1261" s="190"/>
      <c r="DI1261" s="190"/>
      <c r="DJ1261" s="177"/>
      <c r="DK1261" s="189">
        <f>VLOOKUP($H1261,RoR!$E:$F,2,FALSE)</f>
        <v>7.0416666666666669E-2</v>
      </c>
      <c r="DL1261" s="191">
        <f>HLOOKUP($H1261,'GDP-PI'!$D$8:$CQ$11,3,FALSE)</f>
        <v>1.4335631817396832E-2</v>
      </c>
      <c r="DM1261" s="189">
        <f>VLOOKUP(H1261,'HW Dx Data'!$E:$F,2,FALSE)</f>
        <v>335.32499146683239</v>
      </c>
      <c r="DN1261" s="183" t="e">
        <f>VLOOKUP(H1261,'ECI - Input Price'!$G$17:$H$37,2,FALSE)</f>
        <v>#N/A</v>
      </c>
      <c r="DO1261" s="177"/>
      <c r="DP1261" s="183">
        <f>HLOOKUP(H1261,'GDP-PI'!$8:$9,2,FALSE)</f>
        <v>76.346000000000004</v>
      </c>
    </row>
    <row r="1262" spans="1:121" s="167" customFormat="1" ht="21" x14ac:dyDescent="0.35">
      <c r="A1262" s="167" t="s">
        <v>117</v>
      </c>
      <c r="B1262" s="167" t="s">
        <v>117</v>
      </c>
      <c r="C1262" s="167">
        <v>4008752</v>
      </c>
      <c r="D1262" s="168" t="s">
        <v>144</v>
      </c>
      <c r="E1262" s="168"/>
      <c r="F1262" s="198"/>
      <c r="G1262" s="167" t="s">
        <v>6</v>
      </c>
      <c r="H1262" s="169">
        <v>2000</v>
      </c>
      <c r="I1262" s="170"/>
      <c r="J1262" s="166"/>
      <c r="K1262" s="166"/>
      <c r="L1262" s="166"/>
      <c r="M1262" s="166"/>
      <c r="N1262" s="196"/>
      <c r="O1262" s="166"/>
      <c r="P1262" s="166"/>
      <c r="Q1262" s="166"/>
      <c r="R1262" s="166"/>
      <c r="S1262" s="166"/>
      <c r="T1262" s="166"/>
      <c r="U1262" s="166"/>
      <c r="V1262" s="166">
        <f t="shared" si="3785"/>
        <v>0</v>
      </c>
      <c r="W1262" s="170"/>
      <c r="X1262" s="174">
        <v>1988.7143303850435</v>
      </c>
      <c r="Y1262" s="175">
        <v>5.6407163915969331E-2</v>
      </c>
      <c r="Z1262" s="175"/>
      <c r="AA1262" s="175"/>
      <c r="AB1262" s="175"/>
      <c r="AC1262" s="170">
        <f t="shared" si="3648"/>
        <v>0</v>
      </c>
      <c r="AD1262" s="175"/>
      <c r="AE1262" s="170"/>
      <c r="AF1262" s="170"/>
      <c r="AG1262" s="174"/>
      <c r="AH1262" s="175"/>
      <c r="AI1262" s="175"/>
      <c r="AJ1262" s="174"/>
      <c r="AK1262" s="174"/>
      <c r="AL1262" s="120"/>
      <c r="AM1262" s="120"/>
      <c r="AN1262" s="120"/>
      <c r="AO1262" s="120"/>
      <c r="AP1262" s="120"/>
      <c r="AQ1262" s="175"/>
      <c r="AR1262" s="120"/>
      <c r="AS1262" s="120"/>
      <c r="AT1262" s="120"/>
      <c r="AU1262" s="120"/>
      <c r="AV1262" s="120"/>
      <c r="AW1262" s="120"/>
      <c r="AX1262" s="120"/>
      <c r="AY1262" s="120"/>
      <c r="AZ1262" s="118">
        <f>IFERROR(INDEX('Total Customers'!$F$7:$AB$91,MATCH($C1262,'Total Customers'!$D$7:$D$91,0),MATCH($G1262,'Total Customers'!$F$5:$AB$5,0)),"NA")</f>
        <v>540679</v>
      </c>
      <c r="BA1262" s="119">
        <f t="shared" si="3786"/>
        <v>1.9978939679858563E-2</v>
      </c>
      <c r="BB1262" s="119"/>
      <c r="BC1262" s="121"/>
      <c r="BD1262" s="119"/>
      <c r="BE1262" s="119"/>
      <c r="BF1262" s="119"/>
      <c r="BG1262" s="173"/>
      <c r="BH1262" s="173"/>
      <c r="BI1262" s="173"/>
      <c r="BJ1262" s="173"/>
      <c r="BK1262" s="173"/>
      <c r="BL1262" s="173"/>
      <c r="BM1262" s="173"/>
      <c r="BN1262" s="173"/>
      <c r="BO1262" s="173"/>
      <c r="BP1262" s="173"/>
      <c r="BQ1262" s="118"/>
      <c r="BR1262" s="118"/>
      <c r="BS1262" s="118">
        <f>INDEX('Dist. Plant Gas Additions'!$F$7:$AE$91,MATCH($C1262,'Dist. Plant Gas Additions'!$D$7:$D$91,0),MATCH(Calculation!$G1262,'Dist. Plant Gas Additions'!$F$5:$AE$5,0))</f>
        <v>36781</v>
      </c>
      <c r="BT1262" s="118">
        <f>INDEX('Gen. Plant Additions'!$F$7:$AE$91,MATCH($C1262,'Gen. Plant Additions'!$D$7:$D$91,0),MATCH(Calculation!$G1262,'Gen. Plant Additions'!$F$5:$AE$5,0))</f>
        <v>4365</v>
      </c>
      <c r="BU1262" s="118"/>
      <c r="BV1262" s="118"/>
      <c r="BW1262" s="118">
        <f>INDEX('Dist Plant Depreciation'!$E$7:$AD$94,MATCH($C1262,'Dist Plant Depreciation'!$D$7:$D$94,0),MATCH(Calculation!$G1262,'Dist Plant Depreciation'!$E$5:$AD$5,0))</f>
        <v>426166</v>
      </c>
      <c r="BX1262" s="118">
        <f>INDEX('Gen. Plant Depreciation'!$E$7:$AD$94,MATCH($C1262,'Gen. Plant Depreciation'!$D$7:$D$94,0),MATCH(Calculation!$G1262,'Gen. Plant Depreciation'!$E$5:$AD$5,0))</f>
        <v>63851</v>
      </c>
      <c r="BY1262" s="118"/>
      <c r="BZ1262" s="118"/>
      <c r="CA1262" s="118"/>
      <c r="CB1262" s="118"/>
      <c r="CC1262" s="118"/>
      <c r="CD1262" s="183"/>
      <c r="CE1262" s="118">
        <f>INDEX('Gross Dx Plant'!$E$7:$AD$91,MATCH($C1262,'Gross Dx Plant'!$D$7:$D$91,0),MATCH(Calculation!$G1262,'Gross Dx Plant'!$E$5:$AD$5,0))</f>
        <v>747996</v>
      </c>
      <c r="CF1262" s="118">
        <f>INDEX('Gross Gen Plant'!$E$7:$AD$91,MATCH($C1262,'Gross Gen Plant'!$D$7:$D$91,0),MATCH(Calculation!$G1262,'Gross Gen Plant'!$E$5:$AD$5,0))</f>
        <v>107949</v>
      </c>
      <c r="CG1262" s="118">
        <f t="shared" si="3767"/>
        <v>365928</v>
      </c>
      <c r="CH1262" s="118"/>
      <c r="CI1262" s="121">
        <v>2000</v>
      </c>
      <c r="CJ1262" s="118"/>
      <c r="CK1262" s="118"/>
      <c r="CL1262" s="118"/>
      <c r="CM1262" s="183"/>
      <c r="CN1262" s="118">
        <f t="shared" si="3787"/>
        <v>41146</v>
      </c>
      <c r="CO1262" s="118">
        <f t="shared" si="3788"/>
        <v>118.73592058708111</v>
      </c>
      <c r="CP1262" s="186">
        <v>0.98989898989898994</v>
      </c>
      <c r="CQ1262" s="118">
        <f>+CQ1260*CP1262+CO1261*CP1261+CO1262</f>
        <v>1988.7143303850435</v>
      </c>
      <c r="CR1262" s="119">
        <f t="shared" si="3789"/>
        <v>5.6407163915969331E-2</v>
      </c>
      <c r="CS1262" s="119"/>
      <c r="CT1262" s="177">
        <f t="shared" si="3790"/>
        <v>5.1410549681040855E-3</v>
      </c>
      <c r="CU1262" s="177"/>
      <c r="CV1262" s="119">
        <f>VLOOKUP($H1262,RoR!$E:$F,2,FALSE)</f>
        <v>7.6225000000000001E-2</v>
      </c>
      <c r="CW1262" s="177">
        <v>2.2568307442433211E-2</v>
      </c>
      <c r="CX1262" s="177">
        <f t="shared" ref="CX1262:CX1282" si="3796">+CV1262-CW1262</f>
        <v>5.365669255756679E-2</v>
      </c>
      <c r="CY1262" s="177"/>
      <c r="CZ1262" s="177"/>
      <c r="DA1262" s="187">
        <f t="shared" si="3791"/>
        <v>0.84949374999999994</v>
      </c>
      <c r="DB1262" s="188">
        <f t="shared" si="3792"/>
        <v>0.67277207323124022</v>
      </c>
      <c r="DC1262" s="188">
        <f t="shared" si="3793"/>
        <v>0.6470236142997704</v>
      </c>
      <c r="DD1262" s="188">
        <f t="shared" si="3794"/>
        <v>0.94704866037543145</v>
      </c>
      <c r="DE1262" s="188">
        <f t="shared" si="3795"/>
        <v>0.41224973107878493</v>
      </c>
      <c r="DF1262" s="189">
        <f>INDEX('State Tax Lookup'!$D$7:$Z$91,MATCH(Calculation!$C1262,'State Tax Lookup'!$B$7:$B$91,0),MATCH($H1262,'State Tax Lookup'!$D$6:$Z$6,0))</f>
        <v>0.40134999999999998</v>
      </c>
      <c r="DG1262" s="189">
        <v>0.375</v>
      </c>
      <c r="DH1262" s="190"/>
      <c r="DI1262" s="190"/>
      <c r="DJ1262" s="177"/>
      <c r="DK1262" s="189">
        <f>VLOOKUP($H1262,RoR!$E:$F,2,FALSE)</f>
        <v>7.6225000000000001E-2</v>
      </c>
      <c r="DL1262" s="191">
        <f>HLOOKUP($H1262,'GDP-PI'!$D$8:$CQ$11,3,FALSE)</f>
        <v>2.2568307442433211E-2</v>
      </c>
      <c r="DM1262" s="189">
        <f>VLOOKUP(H1262,'HW Dx Data'!$E:$F,2,FALSE)</f>
        <v>346.53371782150339</v>
      </c>
      <c r="DN1262" s="183" t="e">
        <f>VLOOKUP(H1262,'ECI - Input Price'!$G$17:$H$37,2,FALSE)</f>
        <v>#N/A</v>
      </c>
      <c r="DO1262" s="177"/>
      <c r="DP1262" s="183">
        <f>HLOOKUP(H1262,'GDP-PI'!$8:$9,2,FALSE)</f>
        <v>78.069000000000003</v>
      </c>
    </row>
    <row r="1263" spans="1:121" s="167" customFormat="1" ht="21" x14ac:dyDescent="0.35">
      <c r="A1263" s="167" t="s">
        <v>117</v>
      </c>
      <c r="B1263" s="167" t="s">
        <v>117</v>
      </c>
      <c r="C1263" s="167">
        <v>4008752</v>
      </c>
      <c r="D1263" s="168" t="s">
        <v>144</v>
      </c>
      <c r="E1263" s="168"/>
      <c r="F1263" s="198"/>
      <c r="G1263" s="167" t="s">
        <v>7</v>
      </c>
      <c r="H1263" s="169">
        <v>2001</v>
      </c>
      <c r="I1263" s="170"/>
      <c r="J1263" s="166"/>
      <c r="K1263" s="166"/>
      <c r="L1263" s="166"/>
      <c r="M1263" s="166"/>
      <c r="N1263" s="196"/>
      <c r="O1263" s="166"/>
      <c r="P1263" s="166"/>
      <c r="Q1263" s="166"/>
      <c r="R1263" s="166"/>
      <c r="S1263" s="166"/>
      <c r="T1263" s="166"/>
      <c r="U1263" s="166"/>
      <c r="V1263" s="166">
        <f t="shared" si="3785"/>
        <v>25726.466416682604</v>
      </c>
      <c r="W1263" s="170"/>
      <c r="X1263" s="174">
        <v>2078.0360190201122</v>
      </c>
      <c r="Y1263" s="175">
        <v>4.393486121698871E-2</v>
      </c>
      <c r="Z1263" s="175"/>
      <c r="AA1263" s="175"/>
      <c r="AB1263" s="175"/>
      <c r="AC1263" s="170">
        <f t="shared" si="3648"/>
        <v>25726.466416682604</v>
      </c>
      <c r="AD1263" s="175"/>
      <c r="AE1263" s="170"/>
      <c r="AF1263" s="170"/>
      <c r="AG1263" s="174"/>
      <c r="AH1263" s="175"/>
      <c r="AI1263" s="175"/>
      <c r="AJ1263" s="174"/>
      <c r="AK1263" s="174"/>
      <c r="AL1263" s="120"/>
      <c r="AM1263" s="120"/>
      <c r="AN1263" s="120"/>
      <c r="AO1263" s="120"/>
      <c r="AP1263" s="120"/>
      <c r="AQ1263" s="175"/>
      <c r="AR1263" s="120"/>
      <c r="AS1263" s="120"/>
      <c r="AT1263" s="120"/>
      <c r="AU1263" s="120"/>
      <c r="AV1263" s="120"/>
      <c r="AW1263" s="120"/>
      <c r="AX1263" s="120"/>
      <c r="AY1263" s="120"/>
      <c r="AZ1263" s="118">
        <f>IFERROR(INDEX('Total Customers'!$F$7:$AB$91,MATCH($C1263,'Total Customers'!$D$7:$D$91,0),MATCH($G1263,'Total Customers'!$F$5:$AB$5,0)),"NA")</f>
        <v>548586</v>
      </c>
      <c r="BA1263" s="119">
        <f t="shared" si="3786"/>
        <v>1.4518301582588712E-2</v>
      </c>
      <c r="BB1263" s="119"/>
      <c r="BC1263" s="121"/>
      <c r="BD1263" s="119"/>
      <c r="BE1263" s="119"/>
      <c r="BF1263" s="119"/>
      <c r="BG1263" s="173"/>
      <c r="BH1263" s="173"/>
      <c r="BI1263" s="173"/>
      <c r="BJ1263" s="173"/>
      <c r="BK1263" s="173"/>
      <c r="BL1263" s="173"/>
      <c r="BM1263" s="173"/>
      <c r="BN1263" s="173"/>
      <c r="BO1263" s="173"/>
      <c r="BP1263" s="173"/>
      <c r="BQ1263" s="118"/>
      <c r="BR1263" s="118"/>
      <c r="BS1263" s="118">
        <f>INDEX('Dist. Plant Gas Additions'!$F$7:$AE$91,MATCH($C1263,'Dist. Plant Gas Additions'!$D$7:$D$91,0),MATCH(Calculation!$G1263,'Dist. Plant Gas Additions'!$F$5:$AE$5,0))</f>
        <v>28158</v>
      </c>
      <c r="BT1263" s="118">
        <f>INDEX('Gen. Plant Additions'!$F$7:$AE$91,MATCH($C1263,'Gen. Plant Additions'!$D$7:$D$91,0),MATCH(Calculation!$G1263,'Gen. Plant Additions'!$F$5:$AE$5,0))</f>
        <v>6933</v>
      </c>
      <c r="BU1263" s="118"/>
      <c r="BV1263" s="118"/>
      <c r="BW1263" s="118">
        <f>INDEX('Dist Plant Depreciation'!$E$7:$AD$94,MATCH($C1263,'Dist Plant Depreciation'!$D$7:$D$94,0),MATCH(Calculation!$G1263,'Dist Plant Depreciation'!$E$5:$AD$5,0))</f>
        <v>451255</v>
      </c>
      <c r="BX1263" s="118">
        <f>INDEX('Gen. Plant Depreciation'!$E$7:$AD$94,MATCH($C1263,'Gen. Plant Depreciation'!$D$7:$D$94,0),MATCH(Calculation!$G1263,'Gen. Plant Depreciation'!$E$5:$AD$5,0))</f>
        <v>73390</v>
      </c>
      <c r="BY1263" s="118"/>
      <c r="BZ1263" s="118"/>
      <c r="CA1263" s="118"/>
      <c r="CB1263" s="118"/>
      <c r="CC1263" s="118"/>
      <c r="CD1263" s="183"/>
      <c r="CE1263" s="118">
        <f>INDEX('Gross Dx Plant'!$E$7:$AD$91,MATCH($C1263,'Gross Dx Plant'!$D$7:$D$91,0),MATCH(Calculation!$G1263,'Gross Dx Plant'!$E$5:$AD$5,0))</f>
        <v>773915</v>
      </c>
      <c r="CF1263" s="118">
        <f>INDEX('Gross Gen Plant'!$E$7:$AD$91,MATCH($C1263,'Gross Gen Plant'!$D$7:$D$91,0),MATCH(Calculation!$G1263,'Gross Gen Plant'!$E$5:$AD$5,0))</f>
        <v>115501</v>
      </c>
      <c r="CG1263" s="118">
        <f t="shared" si="3767"/>
        <v>364771</v>
      </c>
      <c r="CH1263" s="118"/>
      <c r="CI1263" s="121">
        <v>2001</v>
      </c>
      <c r="CJ1263" s="118"/>
      <c r="CK1263" s="118"/>
      <c r="CL1263" s="118"/>
      <c r="CM1263" s="183"/>
      <c r="CN1263" s="118">
        <f t="shared" si="3787"/>
        <v>35091</v>
      </c>
      <c r="CO1263" s="118">
        <f t="shared" si="3788"/>
        <v>99.282105253241298</v>
      </c>
      <c r="CP1263" s="186">
        <v>0.98461538461538467</v>
      </c>
      <c r="CQ1263" s="118">
        <f>+CQ1260*CP1263+CO1261*CP1262+CO1262*CP1260+CO1263</f>
        <v>2078.0360190201122</v>
      </c>
      <c r="CR1263" s="119">
        <f t="shared" si="3789"/>
        <v>4.393486121698871E-2</v>
      </c>
      <c r="CS1263" s="119"/>
      <c r="CT1263" s="177">
        <f t="shared" si="3790"/>
        <v>5.0084702795117142E-3</v>
      </c>
      <c r="CU1263" s="177">
        <f>+(CT1263+CT1262+CT1261)/3</f>
        <v>5.0415498752417317E-3</v>
      </c>
      <c r="CV1263" s="119">
        <f>VLOOKUP($H1263,RoR!$E:$F,2,FALSE)</f>
        <v>7.0824999999999999E-2</v>
      </c>
      <c r="CW1263" s="177">
        <v>2.2454495382290052E-2</v>
      </c>
      <c r="CX1263" s="177">
        <f t="shared" si="3796"/>
        <v>4.8370504617709947E-2</v>
      </c>
      <c r="CY1263" s="177">
        <f>+$CX$35-CU1263</f>
        <v>2.5860391733291892E-2</v>
      </c>
      <c r="CZ1263" s="177">
        <f>+((DM1261/DM1260-1)+(DM1262/DM1261-1)+(DM1263/DM1262-1))/3</f>
        <v>2.3947275901631187E-2</v>
      </c>
      <c r="DA1263" s="187">
        <f t="shared" si="3791"/>
        <v>0.84949374999999994</v>
      </c>
      <c r="DB1263" s="188">
        <f t="shared" si="3792"/>
        <v>0.72406708481540816</v>
      </c>
      <c r="DC1263" s="188">
        <f t="shared" si="3793"/>
        <v>0.62201729615248857</v>
      </c>
      <c r="DD1263" s="188">
        <f t="shared" si="3794"/>
        <v>0.9352469954311422</v>
      </c>
      <c r="DE1263" s="188">
        <f t="shared" si="3795"/>
        <v>0.42121864641655071</v>
      </c>
      <c r="DF1263" s="189">
        <f>INDEX('State Tax Lookup'!$D$7:$Z$91,MATCH(Calculation!$C1263,'State Tax Lookup'!$B$7:$B$91,0),MATCH($H1263,'State Tax Lookup'!$D$6:$Z$6,0))</f>
        <v>0.40134999999999998</v>
      </c>
      <c r="DG1263" s="189">
        <v>0.375</v>
      </c>
      <c r="DH1263" s="190">
        <f t="shared" ref="DH1263:DH1283" si="3797">+(DM1263*CY1263-CZ1263)*DA1263/(1-DF1263)</f>
        <v>12.936230218495782</v>
      </c>
      <c r="DI1263" s="190"/>
      <c r="DJ1263" s="177"/>
      <c r="DK1263" s="189">
        <f>VLOOKUP($H1263,RoR!$E:$F,2,FALSE)</f>
        <v>7.0824999999999999E-2</v>
      </c>
      <c r="DL1263" s="191">
        <f>HLOOKUP($H1263,'GDP-PI'!$D$8:$CQ$11,3,FALSE)</f>
        <v>2.2454495382290052E-2</v>
      </c>
      <c r="DM1263" s="189">
        <f>VLOOKUP(H1263,'HW Dx Data'!$E:$F,2,FALSE)</f>
        <v>353.44738017483138</v>
      </c>
      <c r="DN1263" s="183">
        <f>VLOOKUP(H1263,'ECI - Input Price'!$G$17:$H$37,2,FALSE)</f>
        <v>86.2</v>
      </c>
      <c r="DO1263" s="177"/>
      <c r="DP1263" s="183">
        <f>HLOOKUP(H1263,'GDP-PI'!$8:$9,2,FALSE)</f>
        <v>79.822000000000003</v>
      </c>
    </row>
    <row r="1264" spans="1:121" s="167" customFormat="1" ht="21" x14ac:dyDescent="0.35">
      <c r="A1264" s="167" t="s">
        <v>117</v>
      </c>
      <c r="B1264" s="167" t="s">
        <v>117</v>
      </c>
      <c r="C1264" s="167">
        <v>4008752</v>
      </c>
      <c r="D1264" s="168" t="s">
        <v>144</v>
      </c>
      <c r="E1264" s="168"/>
      <c r="F1264" s="198"/>
      <c r="G1264" s="167" t="s">
        <v>8</v>
      </c>
      <c r="H1264" s="169">
        <v>2002</v>
      </c>
      <c r="I1264" s="170"/>
      <c r="J1264" s="166"/>
      <c r="K1264" s="166"/>
      <c r="L1264" s="166"/>
      <c r="M1264" s="166"/>
      <c r="N1264" s="196"/>
      <c r="O1264" s="166"/>
      <c r="P1264" s="166"/>
      <c r="Q1264" s="166"/>
      <c r="R1264" s="166"/>
      <c r="S1264" s="166"/>
      <c r="T1264" s="166"/>
      <c r="U1264" s="166"/>
      <c r="V1264" s="166">
        <f t="shared" si="3785"/>
        <v>27202.662638799393</v>
      </c>
      <c r="W1264" s="170"/>
      <c r="X1264" s="174">
        <v>2215.2432414284276</v>
      </c>
      <c r="Y1264" s="175">
        <v>6.3938986980887E-2</v>
      </c>
      <c r="Z1264" s="175"/>
      <c r="AA1264" s="175"/>
      <c r="AB1264" s="175"/>
      <c r="AC1264" s="170">
        <f t="shared" si="3648"/>
        <v>27202.662638799393</v>
      </c>
      <c r="AD1264" s="175"/>
      <c r="AE1264" s="170"/>
      <c r="AF1264" s="170"/>
      <c r="AG1264" s="174"/>
      <c r="AH1264" s="175"/>
      <c r="AI1264" s="175"/>
      <c r="AJ1264" s="174"/>
      <c r="AK1264" s="174"/>
      <c r="AL1264" s="120"/>
      <c r="AM1264" s="120"/>
      <c r="AN1264" s="120"/>
      <c r="AO1264" s="120"/>
      <c r="AP1264" s="120"/>
      <c r="AQ1264" s="175"/>
      <c r="AR1264" s="120"/>
      <c r="AS1264" s="120"/>
      <c r="AT1264" s="120"/>
      <c r="AU1264" s="120"/>
      <c r="AV1264" s="120"/>
      <c r="AW1264" s="120"/>
      <c r="AX1264" s="120"/>
      <c r="AY1264" s="120"/>
      <c r="AZ1264" s="118">
        <f>IFERROR(INDEX('Total Customers'!$F$7:$AB$91,MATCH($C1264,'Total Customers'!$D$7:$D$91,0),MATCH($G1264,'Total Customers'!$F$5:$AB$5,0)),"NA")</f>
        <v>556768</v>
      </c>
      <c r="BA1264" s="119">
        <f t="shared" si="3786"/>
        <v>1.4804577430623444E-2</v>
      </c>
      <c r="BB1264" s="119"/>
      <c r="BC1264" s="121"/>
      <c r="BD1264" s="119"/>
      <c r="BE1264" s="119"/>
      <c r="BF1264" s="119"/>
      <c r="BG1264" s="173"/>
      <c r="BH1264" s="173"/>
      <c r="BI1264" s="173"/>
      <c r="BJ1264" s="173"/>
      <c r="BK1264" s="173"/>
      <c r="BL1264" s="173"/>
      <c r="BM1264" s="173"/>
      <c r="BN1264" s="173"/>
      <c r="BO1264" s="173"/>
      <c r="BP1264" s="173"/>
      <c r="BQ1264" s="118"/>
      <c r="BR1264" s="118"/>
      <c r="BS1264" s="118">
        <f>INDEX('Dist. Plant Gas Additions'!$F$7:$AE$91,MATCH($C1264,'Dist. Plant Gas Additions'!$D$7:$D$91,0),MATCH(Calculation!$G1264,'Dist. Plant Gas Additions'!$F$5:$AE$5,0))</f>
        <v>46734</v>
      </c>
      <c r="BT1264" s="118">
        <f>INDEX('Gen. Plant Additions'!$F$7:$AE$91,MATCH($C1264,'Gen. Plant Additions'!$D$7:$D$91,0),MATCH(Calculation!$G1264,'Gen. Plant Additions'!$F$5:$AE$5,0))</f>
        <v>7169</v>
      </c>
      <c r="BU1264" s="118"/>
      <c r="BV1264" s="118"/>
      <c r="BW1264" s="118">
        <f>INDEX('Dist Plant Depreciation'!$E$7:$AD$94,MATCH($C1264,'Dist Plant Depreciation'!$D$7:$D$94,0),MATCH(Calculation!$G1264,'Dist Plant Depreciation'!$E$5:$AD$5,0))</f>
        <v>475458</v>
      </c>
      <c r="BX1264" s="118">
        <f>INDEX('Gen. Plant Depreciation'!$E$7:$AD$94,MATCH($C1264,'Gen. Plant Depreciation'!$D$7:$D$94,0),MATCH(Calculation!$G1264,'Gen. Plant Depreciation'!$E$5:$AD$5,0))</f>
        <v>66580</v>
      </c>
      <c r="BY1264" s="118"/>
      <c r="BZ1264" s="118"/>
      <c r="CA1264" s="118"/>
      <c r="CB1264" s="118"/>
      <c r="CC1264" s="118"/>
      <c r="CD1264" s="183"/>
      <c r="CE1264" s="118">
        <f>INDEX('Gross Dx Plant'!$E$7:$AD$91,MATCH($C1264,'Gross Dx Plant'!$D$7:$D$91,0),MATCH(Calculation!$G1264,'Gross Dx Plant'!$E$5:$AD$5,0))</f>
        <v>816360</v>
      </c>
      <c r="CF1264" s="118">
        <f>INDEX('Gross Gen Plant'!$E$7:$AD$91,MATCH($C1264,'Gross Gen Plant'!$D$7:$D$91,0),MATCH(Calculation!$G1264,'Gross Gen Plant'!$E$5:$AD$5,0))</f>
        <v>99692</v>
      </c>
      <c r="CG1264" s="118">
        <f t="shared" si="3767"/>
        <v>374014</v>
      </c>
      <c r="CH1264" s="118"/>
      <c r="CI1264" s="121">
        <v>2002</v>
      </c>
      <c r="CJ1264" s="118"/>
      <c r="CK1264" s="118"/>
      <c r="CL1264" s="118"/>
      <c r="CM1264" s="183"/>
      <c r="CN1264" s="118">
        <f t="shared" si="3787"/>
        <v>53903</v>
      </c>
      <c r="CO1264" s="118">
        <f t="shared" si="3788"/>
        <v>149.17192091037055</v>
      </c>
      <c r="CP1264" s="186">
        <v>0.97916666666666663</v>
      </c>
      <c r="CQ1264" s="118">
        <f>+CQ1260*CP1264+CO1261*CP1263+CO1262*CP1262+CO1263*CP1261+CO1264</f>
        <v>2215.2432414284276</v>
      </c>
      <c r="CR1264" s="119">
        <f t="shared" si="3789"/>
        <v>6.3938986980887E-2</v>
      </c>
      <c r="CS1264" s="119"/>
      <c r="CT1264" s="177">
        <f t="shared" si="3790"/>
        <v>5.7576954357591295E-3</v>
      </c>
      <c r="CU1264" s="177">
        <f t="shared" ref="CU1264:CU1283" si="3798">+(CT1264+CT1263+CT1262)/3</f>
        <v>5.3024068944583095E-3</v>
      </c>
      <c r="CV1264" s="119">
        <f>VLOOKUP($H1264,RoR!$E:$F,2,FALSE)</f>
        <v>6.4916666666666664E-2</v>
      </c>
      <c r="CW1264" s="177">
        <v>1.5246423291824351E-2</v>
      </c>
      <c r="CX1264" s="177">
        <f t="shared" si="3796"/>
        <v>4.9670243374842313E-2</v>
      </c>
      <c r="CY1264" s="177">
        <f t="shared" ref="CY1264:CY1283" si="3799">+$CX$35-CU1264</f>
        <v>2.5599534714075316E-2</v>
      </c>
      <c r="CZ1264" s="177">
        <f t="shared" ref="CZ1264:CZ1283" si="3800">+((DM1262/DM1261-1)+(DM1263/DM1262-1)+(DM1264/DM1263-1))/3</f>
        <v>2.5243621214759093E-2</v>
      </c>
      <c r="DA1264" s="187">
        <f t="shared" si="3791"/>
        <v>0.84949374999999994</v>
      </c>
      <c r="DB1264" s="188">
        <f t="shared" si="3792"/>
        <v>0.78996741384417901</v>
      </c>
      <c r="DC1264" s="188">
        <f t="shared" si="3793"/>
        <v>0.58989088575096271</v>
      </c>
      <c r="DD1264" s="188">
        <f t="shared" si="3794"/>
        <v>0.91920675783645744</v>
      </c>
      <c r="DE1264" s="188">
        <f t="shared" si="3795"/>
        <v>0.42834536472275586</v>
      </c>
      <c r="DF1264" s="189">
        <f>INDEX('State Tax Lookup'!$D$7:$Z$91,MATCH(Calculation!$C1264,'State Tax Lookup'!$B$7:$B$91,0),MATCH($H1264,'State Tax Lookup'!$D$6:$Z$6,0))</f>
        <v>0.40134999999999998</v>
      </c>
      <c r="DG1264" s="189">
        <v>0.375</v>
      </c>
      <c r="DH1264" s="190">
        <f t="shared" si="3797"/>
        <v>13.090563584950118</v>
      </c>
      <c r="DI1264" s="190"/>
      <c r="DJ1264" s="177"/>
      <c r="DK1264" s="189">
        <f>VLOOKUP($H1264,RoR!$E:$F,2,FALSE)</f>
        <v>6.4916666666666664E-2</v>
      </c>
      <c r="DL1264" s="191">
        <f>HLOOKUP($H1264,'GDP-PI'!$D$8:$CQ$11,3,FALSE)</f>
        <v>1.5246423291824351E-2</v>
      </c>
      <c r="DM1264" s="189">
        <f>VLOOKUP(H1264,'HW Dx Data'!$E:$F,2,FALSE)</f>
        <v>361.34816573413599</v>
      </c>
      <c r="DN1264" s="183">
        <f>VLOOKUP(H1264,'ECI - Input Price'!$G$17:$H$37,2,FALSE)</f>
        <v>89.275000000000006</v>
      </c>
      <c r="DO1264" s="177">
        <f>LN(DN1264/DN1263)</f>
        <v>3.5051315810864674E-2</v>
      </c>
      <c r="DP1264" s="183">
        <f>HLOOKUP(H1264,'GDP-PI'!$8:$9,2,FALSE)</f>
        <v>81.039000000000001</v>
      </c>
      <c r="DQ1264" s="177">
        <f>LN(DP1264/DP1263)</f>
        <v>1.513136459537477E-2</v>
      </c>
    </row>
    <row r="1265" spans="1:121" s="167" customFormat="1" ht="21" x14ac:dyDescent="0.35">
      <c r="A1265" s="167" t="s">
        <v>117</v>
      </c>
      <c r="B1265" s="167" t="s">
        <v>117</v>
      </c>
      <c r="C1265" s="167">
        <v>4008752</v>
      </c>
      <c r="D1265" s="168" t="s">
        <v>144</v>
      </c>
      <c r="E1265" s="168"/>
      <c r="F1265" s="198"/>
      <c r="G1265" s="167" t="s">
        <v>9</v>
      </c>
      <c r="H1265" s="169">
        <v>2003</v>
      </c>
      <c r="I1265" s="170"/>
      <c r="J1265" s="166"/>
      <c r="K1265" s="166"/>
      <c r="L1265" s="166"/>
      <c r="M1265" s="172"/>
      <c r="N1265" s="196"/>
      <c r="O1265" s="172"/>
      <c r="P1265" s="166"/>
      <c r="Q1265" s="166"/>
      <c r="R1265" s="166"/>
      <c r="S1265" s="166"/>
      <c r="T1265" s="166"/>
      <c r="U1265" s="166"/>
      <c r="V1265" s="166">
        <f t="shared" si="3785"/>
        <v>29455.618149159181</v>
      </c>
      <c r="W1265" s="170"/>
      <c r="X1265" s="174">
        <v>2326.8031378807818</v>
      </c>
      <c r="Y1265" s="175">
        <v>4.9133068624517405E-2</v>
      </c>
      <c r="Z1265" s="175"/>
      <c r="AA1265" s="175"/>
      <c r="AB1265" s="175"/>
      <c r="AC1265" s="170">
        <f t="shared" si="3648"/>
        <v>29455.618149159181</v>
      </c>
      <c r="AD1265" s="175"/>
      <c r="AE1265" s="170"/>
      <c r="AF1265" s="170"/>
      <c r="AG1265" s="174"/>
      <c r="AH1265" s="175"/>
      <c r="AI1265" s="175"/>
      <c r="AJ1265" s="174"/>
      <c r="AK1265" s="174"/>
      <c r="AL1265" s="120"/>
      <c r="AM1265" s="120"/>
      <c r="AN1265" s="120"/>
      <c r="AO1265" s="120"/>
      <c r="AP1265" s="120"/>
      <c r="AQ1265" s="175"/>
      <c r="AR1265" s="120"/>
      <c r="AS1265" s="120"/>
      <c r="AT1265" s="120"/>
      <c r="AU1265" s="120"/>
      <c r="AV1265" s="120"/>
      <c r="AW1265" s="120"/>
      <c r="AX1265" s="120"/>
      <c r="AY1265" s="120"/>
      <c r="AZ1265" s="118">
        <f>IFERROR(INDEX('Total Customers'!$F$7:$AB$91,MATCH($C1265,'Total Customers'!$D$7:$D$91,0),MATCH($G1265,'Total Customers'!$F$5:$AB$5,0)),"NA")</f>
        <v>562817</v>
      </c>
      <c r="BA1265" s="119">
        <f t="shared" si="3786"/>
        <v>1.0805894792028552E-2</v>
      </c>
      <c r="BB1265" s="119"/>
      <c r="BC1265" s="121"/>
      <c r="BD1265" s="119"/>
      <c r="BE1265" s="119"/>
      <c r="BF1265" s="119"/>
      <c r="BG1265" s="173"/>
      <c r="BH1265" s="173"/>
      <c r="BI1265" s="173"/>
      <c r="BJ1265" s="173"/>
      <c r="BK1265" s="173"/>
      <c r="BL1265" s="173"/>
      <c r="BM1265" s="173"/>
      <c r="BN1265" s="173"/>
      <c r="BO1265" s="173"/>
      <c r="BP1265" s="173"/>
      <c r="BQ1265" s="118"/>
      <c r="BR1265" s="118"/>
      <c r="BS1265" s="118">
        <f>INDEX('Dist. Plant Gas Additions'!$F$7:$AE$91,MATCH($C1265,'Dist. Plant Gas Additions'!$D$7:$D$91,0),MATCH(Calculation!$G1265,'Dist. Plant Gas Additions'!$F$5:$AE$5,0))</f>
        <v>39213</v>
      </c>
      <c r="BT1265" s="118">
        <f>INDEX('Gen. Plant Additions'!$F$7:$AE$91,MATCH($C1265,'Gen. Plant Additions'!$D$7:$D$91,0),MATCH(Calculation!$G1265,'Gen. Plant Additions'!$F$5:$AE$5,0))</f>
        <v>6585</v>
      </c>
      <c r="BU1265" s="118"/>
      <c r="BV1265" s="118"/>
      <c r="BW1265" s="118">
        <f>INDEX('Dist Plant Depreciation'!$E$7:$AD$94,MATCH($C1265,'Dist Plant Depreciation'!$D$7:$D$94,0),MATCH(Calculation!$G1265,'Dist Plant Depreciation'!$E$5:$AD$5,0))</f>
        <v>500793</v>
      </c>
      <c r="BX1265" s="118">
        <f>INDEX('Gen. Plant Depreciation'!$E$7:$AD$94,MATCH($C1265,'Gen. Plant Depreciation'!$D$7:$D$94,0),MATCH(Calculation!$G1265,'Gen. Plant Depreciation'!$E$5:$AD$5,0))</f>
        <v>22643</v>
      </c>
      <c r="BY1265" s="118"/>
      <c r="BZ1265" s="118"/>
      <c r="CA1265" s="118"/>
      <c r="CB1265" s="118"/>
      <c r="CC1265" s="118"/>
      <c r="CD1265" s="183"/>
      <c r="CE1265" s="118">
        <f>INDEX('Gross Dx Plant'!$E$7:$AD$91,MATCH($C1265,'Gross Dx Plant'!$D$7:$D$91,0),MATCH(Calculation!$G1265,'Gross Dx Plant'!$E$5:$AD$5,0))</f>
        <v>851969</v>
      </c>
      <c r="CF1265" s="118">
        <f>INDEX('Gross Gen Plant'!$E$7:$AD$91,MATCH($C1265,'Gross Gen Plant'!$D$7:$D$91,0),MATCH(Calculation!$G1265,'Gross Gen Plant'!$E$5:$AD$5,0))</f>
        <v>54742</v>
      </c>
      <c r="CG1265" s="118">
        <f t="shared" si="3767"/>
        <v>383275</v>
      </c>
      <c r="CH1265" s="118"/>
      <c r="CI1265" s="121">
        <v>2003</v>
      </c>
      <c r="CJ1265" s="118"/>
      <c r="CK1265" s="118"/>
      <c r="CL1265" s="118"/>
      <c r="CM1265" s="183"/>
      <c r="CN1265" s="118">
        <f t="shared" si="3787"/>
        <v>45798</v>
      </c>
      <c r="CO1265" s="118">
        <f t="shared" si="3788"/>
        <v>124.03549693856311</v>
      </c>
      <c r="CP1265" s="186">
        <v>0.97354497354497349</v>
      </c>
      <c r="CQ1265" s="118">
        <f>+CQ1260*CP1265+CO1261*CP1264+CO1262*CP1263+CO1263*CP1262+CO1264*CP1261+CO1265</f>
        <v>2326.8031378807818</v>
      </c>
      <c r="CR1265" s="119">
        <f t="shared" si="3789"/>
        <v>4.9133068624517405E-2</v>
      </c>
      <c r="CS1265" s="119"/>
      <c r="CT1265" s="177">
        <f t="shared" si="3790"/>
        <v>5.6317068269958496E-3</v>
      </c>
      <c r="CU1265" s="177">
        <f t="shared" si="3798"/>
        <v>5.4659575140888978E-3</v>
      </c>
      <c r="CV1265" s="119">
        <f>VLOOKUP($H1265,RoR!$E:$F,2,FALSE)</f>
        <v>5.6666666666666671E-2</v>
      </c>
      <c r="CW1265" s="177">
        <v>1.8855119140166909E-2</v>
      </c>
      <c r="CX1265" s="177">
        <f t="shared" si="3796"/>
        <v>3.7811547526499761E-2</v>
      </c>
      <c r="CY1265" s="177">
        <f t="shared" si="3799"/>
        <v>2.5435984094444728E-2</v>
      </c>
      <c r="CZ1265" s="177">
        <f t="shared" si="3800"/>
        <v>2.1375012817671957E-2</v>
      </c>
      <c r="DA1265" s="187">
        <f t="shared" si="3791"/>
        <v>0.84949374999999994</v>
      </c>
      <c r="DB1265" s="188">
        <f t="shared" si="3792"/>
        <v>0.90497737556561086</v>
      </c>
      <c r="DC1265" s="188">
        <f t="shared" si="3793"/>
        <v>0.5338235294117647</v>
      </c>
      <c r="DD1265" s="188">
        <f t="shared" si="3794"/>
        <v>0.88972433127405692</v>
      </c>
      <c r="DE1265" s="188">
        <f t="shared" si="3795"/>
        <v>0.42982423775949252</v>
      </c>
      <c r="DF1265" s="189">
        <f>INDEX('State Tax Lookup'!$D$7:$Z$91,MATCH(Calculation!$C1265,'State Tax Lookup'!$B$7:$B$91,0),MATCH($H1265,'State Tax Lookup'!$D$6:$Z$6,0))</f>
        <v>0.40134999999999998</v>
      </c>
      <c r="DG1265" s="189">
        <v>0.375</v>
      </c>
      <c r="DH1265" s="190">
        <f t="shared" si="3797"/>
        <v>13.296787277484563</v>
      </c>
      <c r="DI1265" s="190"/>
      <c r="DJ1265" s="177"/>
      <c r="DK1265" s="189">
        <f>VLOOKUP($H1265,RoR!$E:$F,2,FALSE)</f>
        <v>5.6666666666666671E-2</v>
      </c>
      <c r="DL1265" s="191">
        <f>HLOOKUP($H1265,'GDP-PI'!$D$8:$CQ$11,3,FALSE)</f>
        <v>1.8855119140166909E-2</v>
      </c>
      <c r="DM1265" s="189">
        <f>VLOOKUP(H1265,'HW Dx Data'!$E:$F,2,FALSE)</f>
        <v>369.23301095560191</v>
      </c>
      <c r="DN1265" s="183">
        <f>VLOOKUP(H1265,'ECI - Input Price'!$G$17:$H$37,2,FALSE)</f>
        <v>92.625</v>
      </c>
      <c r="DO1265" s="177">
        <f t="shared" ref="DO1265" si="3801">LN(DN1265/DN1264)</f>
        <v>3.6837590135738785E-2</v>
      </c>
      <c r="DP1265" s="183">
        <f>HLOOKUP(H1265,'GDP-PI'!$8:$9,2,FALSE)</f>
        <v>82.566999999999993</v>
      </c>
      <c r="DQ1265" s="177">
        <f t="shared" ref="DQ1265" si="3802">LN(DP1265/DP1264)</f>
        <v>1.8679564681853753E-2</v>
      </c>
    </row>
    <row r="1266" spans="1:121" s="167" customFormat="1" ht="21" x14ac:dyDescent="0.35">
      <c r="A1266" s="167" t="s">
        <v>117</v>
      </c>
      <c r="B1266" s="167" t="s">
        <v>117</v>
      </c>
      <c r="C1266" s="167">
        <v>4008752</v>
      </c>
      <c r="D1266" s="168" t="s">
        <v>144</v>
      </c>
      <c r="E1266" s="168"/>
      <c r="F1266" s="198"/>
      <c r="G1266" s="167" t="s">
        <v>10</v>
      </c>
      <c r="H1266" s="169">
        <v>2004</v>
      </c>
      <c r="I1266" s="170"/>
      <c r="J1266" s="166">
        <f>IFERROR(INDEX('Labor Expenditures'!$F$7:$X$91,MATCH($C1266,'Labor Expenditures'!$D$7:$D$91,0),MATCH($G1266,'Labor Expenditures'!$F$5:$X$5,0)),"NA")</f>
        <v>30287.252180951356</v>
      </c>
      <c r="K1266" s="166">
        <f t="shared" ref="K1266:K1283" si="3803">+J1266/DN1266</f>
        <v>314.9181406909421</v>
      </c>
      <c r="L1266" s="172"/>
      <c r="M1266" s="172"/>
      <c r="N1266" s="196"/>
      <c r="O1266" s="172"/>
      <c r="P1266" s="166">
        <f>IFERROR(INDEX('Non-Labor Expenditures'!$F$7:$AB$91,MATCH($C1266,'Non-Labor Expenditures'!$D$7:$D$91,0),MATCH($G1266,'Non-Labor Expenditures'!$F$5:$AB$5,0)),"NA")</f>
        <v>43861.598036418014</v>
      </c>
      <c r="Q1266" s="166">
        <f t="shared" ref="Q1266:Q1283" si="3804">+P1266/DP1266</f>
        <v>517.37004926299289</v>
      </c>
      <c r="R1266" s="166"/>
      <c r="S1266" s="166"/>
      <c r="T1266" s="166"/>
      <c r="U1266" s="166"/>
      <c r="V1266" s="166">
        <f t="shared" si="3785"/>
        <v>34298.344808643102</v>
      </c>
      <c r="W1266" s="170"/>
      <c r="X1266" s="174">
        <v>2425.5971028011268</v>
      </c>
      <c r="Y1266" s="175">
        <v>4.1582440403906018E-2</v>
      </c>
      <c r="Z1266" s="175"/>
      <c r="AA1266" s="175"/>
      <c r="AB1266" s="175"/>
      <c r="AC1266" s="170">
        <f t="shared" si="3648"/>
        <v>108447.19502601247</v>
      </c>
      <c r="AD1266" s="175"/>
      <c r="AE1266" s="170"/>
      <c r="AF1266" s="170"/>
      <c r="AG1266" s="174"/>
      <c r="AH1266" s="175"/>
      <c r="AI1266" s="175"/>
      <c r="AJ1266" s="174"/>
      <c r="AK1266" s="174"/>
      <c r="AL1266" s="120">
        <f t="shared" ref="AL1266:AL1283" si="3805">+J1266/AC1266</f>
        <v>0.27928110241750898</v>
      </c>
      <c r="AM1266" s="120">
        <f t="shared" ref="AM1266:AM1283" si="3806">+P1266/AC1266</f>
        <v>0.40445119881521358</v>
      </c>
      <c r="AN1266" s="120">
        <f t="shared" ref="AN1266:AN1283" si="3807">+V1266/AC1266</f>
        <v>0.31626769876727745</v>
      </c>
      <c r="AO1266" s="120"/>
      <c r="AP1266" s="120"/>
      <c r="AQ1266" s="175"/>
      <c r="AR1266" s="120"/>
      <c r="AS1266" s="120"/>
      <c r="AT1266" s="120"/>
      <c r="AU1266" s="120"/>
      <c r="AV1266" s="120"/>
      <c r="AW1266" s="120"/>
      <c r="AX1266" s="120"/>
      <c r="AY1266" s="120"/>
      <c r="AZ1266" s="118">
        <f>IFERROR(INDEX('Total Customers'!$F$7:$AB$91,MATCH($C1266,'Total Customers'!$D$7:$D$91,0),MATCH($G1266,'Total Customers'!$F$5:$AB$5,0)),"NA")</f>
        <v>570927</v>
      </c>
      <c r="BA1266" s="119">
        <f t="shared" si="3786"/>
        <v>1.4306824702281059E-2</v>
      </c>
      <c r="BB1266" s="119"/>
      <c r="BC1266" s="121"/>
      <c r="BD1266" s="119"/>
      <c r="BE1266" s="119"/>
      <c r="BF1266" s="119"/>
      <c r="BG1266" s="173"/>
      <c r="BH1266" s="173"/>
      <c r="BI1266" s="173"/>
      <c r="BJ1266" s="173"/>
      <c r="BK1266" s="173"/>
      <c r="BL1266" s="173"/>
      <c r="BM1266" s="173"/>
      <c r="BN1266" s="173"/>
      <c r="BO1266" s="173"/>
      <c r="BP1266" s="173"/>
      <c r="BQ1266" s="118"/>
      <c r="BR1266" s="118"/>
      <c r="BS1266" s="118">
        <f>INDEX('Dist. Plant Gas Additions'!$F$7:$AE$91,MATCH($C1266,'Dist. Plant Gas Additions'!$D$7:$D$91,0),MATCH(Calculation!$G1266,'Dist. Plant Gas Additions'!$F$5:$AE$5,0))</f>
        <v>44561</v>
      </c>
      <c r="BT1266" s="118">
        <f>INDEX('Gen. Plant Additions'!$F$7:$AE$91,MATCH($C1266,'Gen. Plant Additions'!$D$7:$D$91,0),MATCH(Calculation!$G1266,'Gen. Plant Additions'!$F$5:$AE$5,0))</f>
        <v>2025</v>
      </c>
      <c r="BU1266" s="118"/>
      <c r="BV1266" s="118"/>
      <c r="BW1266" s="118">
        <f>INDEX('Dist Plant Depreciation'!$E$7:$AD$94,MATCH($C1266,'Dist Plant Depreciation'!$D$7:$D$94,0),MATCH(Calculation!$G1266,'Dist Plant Depreciation'!$E$5:$AD$5,0))</f>
        <v>527267</v>
      </c>
      <c r="BX1266" s="118">
        <f>INDEX('Gen. Plant Depreciation'!$E$7:$AD$94,MATCH($C1266,'Gen. Plant Depreciation'!$D$7:$D$94,0),MATCH(Calculation!$G1266,'Gen. Plant Depreciation'!$E$5:$AD$5,0))</f>
        <v>23536</v>
      </c>
      <c r="BY1266" s="118"/>
      <c r="BZ1266" s="118"/>
      <c r="CA1266" s="118"/>
      <c r="CB1266" s="118"/>
      <c r="CC1266" s="118"/>
      <c r="CD1266" s="183"/>
      <c r="CE1266" s="118">
        <f>INDEX('Gross Dx Plant'!$E$7:$AD$91,MATCH($C1266,'Gross Dx Plant'!$D$7:$D$91,0),MATCH(Calculation!$G1266,'Gross Dx Plant'!$E$5:$AD$5,0))</f>
        <v>892139</v>
      </c>
      <c r="CF1266" s="118">
        <f>INDEX('Gross Gen Plant'!$E$7:$AD$91,MATCH($C1266,'Gross Gen Plant'!$D$7:$D$91,0),MATCH(Calculation!$G1266,'Gross Gen Plant'!$E$5:$AD$5,0))</f>
        <v>52524</v>
      </c>
      <c r="CG1266" s="118">
        <f t="shared" si="3767"/>
        <v>393860</v>
      </c>
      <c r="CH1266" s="118"/>
      <c r="CI1266" s="121">
        <v>2004</v>
      </c>
      <c r="CJ1266" s="118"/>
      <c r="CK1266" s="118"/>
      <c r="CL1266" s="118"/>
      <c r="CM1266" s="183"/>
      <c r="CN1266" s="118">
        <f t="shared" si="3787"/>
        <v>46586</v>
      </c>
      <c r="CO1266" s="118">
        <f t="shared" si="3788"/>
        <v>112.28594415787471</v>
      </c>
      <c r="CP1266" s="186">
        <v>0.967741935483871</v>
      </c>
      <c r="CQ1266" s="118">
        <f>+CQ1260*CP1266+CO1261*CP1265+CO1262*CP1264+CO1263*CP1263+CO1264*CP1262+CO1265*CP1261+CO1266</f>
        <v>2425.5971028011268</v>
      </c>
      <c r="CR1266" s="119">
        <f t="shared" si="3789"/>
        <v>4.1582440403906018E-2</v>
      </c>
      <c r="CS1266" s="119"/>
      <c r="CT1266" s="177">
        <f t="shared" si="3790"/>
        <v>5.798504831748711E-3</v>
      </c>
      <c r="CU1266" s="177">
        <f t="shared" si="3798"/>
        <v>5.729302364834564E-3</v>
      </c>
      <c r="CV1266" s="119">
        <f>VLOOKUP($H1266,RoR!$E:$F,2,FALSE)</f>
        <v>5.6283333333333331E-2</v>
      </c>
      <c r="CW1266" s="177">
        <v>2.6778252812867276E-2</v>
      </c>
      <c r="CX1266" s="177">
        <f t="shared" si="3796"/>
        <v>2.9505080520466055E-2</v>
      </c>
      <c r="CY1266" s="177">
        <f t="shared" si="3799"/>
        <v>2.5172639243699061E-2</v>
      </c>
      <c r="CZ1266" s="177">
        <f t="shared" si="3800"/>
        <v>5.5940039414565046E-2</v>
      </c>
      <c r="DA1266" s="187">
        <f t="shared" si="3791"/>
        <v>0.84949374999999994</v>
      </c>
      <c r="DB1266" s="188">
        <f t="shared" si="3792"/>
        <v>0.91114097628755619</v>
      </c>
      <c r="DC1266" s="188">
        <f t="shared" si="3793"/>
        <v>0.53081877405981637</v>
      </c>
      <c r="DD1266" s="188">
        <f t="shared" si="3794"/>
        <v>0.88811215519385678</v>
      </c>
      <c r="DE1266" s="188">
        <f t="shared" si="3795"/>
        <v>0.42953609753547711</v>
      </c>
      <c r="DF1266" s="189">
        <f>INDEX('State Tax Lookup'!$D$7:$Z$91,MATCH(Calculation!$C1266,'State Tax Lookup'!$B$7:$B$91,0),MATCH($H1266,'State Tax Lookup'!$D$6:$Z$6,0))</f>
        <v>0.40134999999999998</v>
      </c>
      <c r="DG1266" s="189">
        <v>0.375</v>
      </c>
      <c r="DH1266" s="190">
        <f t="shared" si="3797"/>
        <v>14.740544333235485</v>
      </c>
      <c r="DI1266" s="190"/>
      <c r="DJ1266" s="177"/>
      <c r="DK1266" s="189">
        <f>VLOOKUP($H1266,RoR!$E:$F,2,FALSE)</f>
        <v>5.6283333333333331E-2</v>
      </c>
      <c r="DL1266" s="191">
        <f>HLOOKUP($H1266,'GDP-PI'!$D$8:$CQ$11,3,FALSE)</f>
        <v>2.6778252812867276E-2</v>
      </c>
      <c r="DM1266" s="189">
        <f>VLOOKUP(H1266,'HW Dx Data'!$E:$F,2,FALSE)</f>
        <v>414.88719135228365</v>
      </c>
      <c r="DN1266" s="183">
        <f>VLOOKUP(H1266,'ECI - Input Price'!$G$17:$H$37,2,FALSE)</f>
        <v>96.174999999999997</v>
      </c>
      <c r="DO1266" s="177">
        <f t="shared" ref="DO1266" si="3808">LN(DN1266/DN1265)</f>
        <v>3.7610365022107912E-2</v>
      </c>
      <c r="DP1266" s="183">
        <f>HLOOKUP(H1266,'GDP-PI'!$8:$9,2,FALSE)</f>
        <v>84.778000000000006</v>
      </c>
      <c r="DQ1266" s="177">
        <f t="shared" ref="DQ1266" si="3809">LN(DP1266/DP1265)</f>
        <v>2.6425990216022755E-2</v>
      </c>
    </row>
    <row r="1267" spans="1:121" s="167" customFormat="1" ht="21" x14ac:dyDescent="0.35">
      <c r="A1267" s="167" t="s">
        <v>117</v>
      </c>
      <c r="B1267" s="167" t="s">
        <v>117</v>
      </c>
      <c r="C1267" s="167">
        <v>4008752</v>
      </c>
      <c r="D1267" s="168" t="s">
        <v>144</v>
      </c>
      <c r="E1267" s="168"/>
      <c r="F1267" s="198"/>
      <c r="G1267" s="167" t="s">
        <v>11</v>
      </c>
      <c r="H1267" s="169">
        <v>2005</v>
      </c>
      <c r="I1267" s="170"/>
      <c r="J1267" s="166">
        <f>IFERROR(INDEX('Labor Expenditures'!$F$7:$X$91,MATCH($C1267,'Labor Expenditures'!$D$7:$D$91,0),MATCH($G1267,'Labor Expenditures'!$F$5:$X$5,0)),"NA")</f>
        <v>33367.832109677693</v>
      </c>
      <c r="K1267" s="166">
        <f t="shared" si="3803"/>
        <v>336.53890176175179</v>
      </c>
      <c r="L1267" s="172">
        <f t="shared" ref="L1267:L1283" si="3810">LN(K1267/K1266)</f>
        <v>6.6401015190431123E-2</v>
      </c>
      <c r="M1267" s="172"/>
      <c r="N1267" s="196"/>
      <c r="O1267" s="172"/>
      <c r="P1267" s="166">
        <f>IFERROR(INDEX('Non-Labor Expenditures'!$F$7:$AB$91,MATCH($C1267,'Non-Labor Expenditures'!$D$7:$D$91,0),MATCH($G1267,'Non-Labor Expenditures'!$F$5:$AB$5,0)),"NA")</f>
        <v>48322.853146177775</v>
      </c>
      <c r="Q1267" s="166">
        <f t="shared" si="3804"/>
        <v>552.84877808616898</v>
      </c>
      <c r="R1267" s="172">
        <f>LN(Q1267/Q1266)</f>
        <v>6.6326125707143704E-2</v>
      </c>
      <c r="S1267" s="172"/>
      <c r="T1267" s="172"/>
      <c r="U1267" s="172"/>
      <c r="V1267" s="166">
        <f t="shared" si="3785"/>
        <v>40220.436849370606</v>
      </c>
      <c r="W1267" s="170"/>
      <c r="X1267" s="174">
        <v>2513.6611722190369</v>
      </c>
      <c r="Y1267" s="175">
        <v>3.566260268061737E-2</v>
      </c>
      <c r="Z1267" s="175"/>
      <c r="AA1267" s="175"/>
      <c r="AB1267" s="175"/>
      <c r="AC1267" s="170">
        <f t="shared" si="3648"/>
        <v>121911.12210522607</v>
      </c>
      <c r="AD1267" s="175">
        <f>LN(AC1267/AC1266)</f>
        <v>0.11702889918403671</v>
      </c>
      <c r="AE1267" s="170"/>
      <c r="AF1267" s="170"/>
      <c r="AG1267" s="121"/>
      <c r="AH1267" s="119"/>
      <c r="AI1267" s="119"/>
      <c r="AJ1267" s="121"/>
      <c r="AK1267" s="121"/>
      <c r="AL1267" s="120">
        <f t="shared" si="3805"/>
        <v>0.27370621755803926</v>
      </c>
      <c r="AM1267" s="120">
        <f t="shared" si="3806"/>
        <v>0.3963777242938385</v>
      </c>
      <c r="AN1267" s="120">
        <f t="shared" si="3807"/>
        <v>0.32991605814812236</v>
      </c>
      <c r="AO1267" s="120">
        <f t="shared" ref="AO1267:AO1283" si="3811">+(((AL1267+AL1266)/2)*L1267+((AM1266+AM1267)/2)*R1267+((AN1266+AN1267)/2)*Y1267)</f>
        <v>5.6439696919701104E-2</v>
      </c>
      <c r="AP1267" s="173">
        <v>100</v>
      </c>
      <c r="AQ1267" s="175"/>
      <c r="AR1267" s="120"/>
      <c r="AS1267" s="120"/>
      <c r="AT1267" s="120"/>
      <c r="AU1267" s="120"/>
      <c r="AV1267" s="120"/>
      <c r="AW1267" s="120"/>
      <c r="AX1267" s="120"/>
      <c r="AY1267" s="120"/>
      <c r="AZ1267" s="118">
        <f>IFERROR(INDEX('Total Customers'!$F$7:$AB$91,MATCH($C1267,'Total Customers'!$D$7:$D$91,0),MATCH($G1267,'Total Customers'!$F$5:$AB$5,0)),"NA")</f>
        <v>578172</v>
      </c>
      <c r="BA1267" s="119">
        <f t="shared" si="3786"/>
        <v>1.2610046660925505E-2</v>
      </c>
      <c r="BB1267" s="119"/>
      <c r="BC1267" s="121"/>
      <c r="BD1267" s="119"/>
      <c r="BE1267" s="119"/>
      <c r="BF1267" s="119"/>
      <c r="BG1267" s="173"/>
      <c r="BH1267" s="173"/>
      <c r="BI1267" s="173"/>
      <c r="BJ1267" s="173"/>
      <c r="BK1267" s="173"/>
      <c r="BL1267" s="173"/>
      <c r="BM1267" s="173"/>
      <c r="BN1267" s="173"/>
      <c r="BO1267" s="173"/>
      <c r="BP1267" s="173"/>
      <c r="BQ1267" s="118"/>
      <c r="BR1267" s="118"/>
      <c r="BS1267" s="118">
        <f>INDEX('Dist. Plant Gas Additions'!$F$7:$AE$91,MATCH($C1267,'Dist. Plant Gas Additions'!$D$7:$D$91,0),MATCH(Calculation!$G1267,'Dist. Plant Gas Additions'!$F$5:$AE$5,0))</f>
        <v>39644</v>
      </c>
      <c r="BT1267" s="118">
        <f>INDEX('Gen. Plant Additions'!$F$7:$AE$91,MATCH($C1267,'Gen. Plant Additions'!$D$7:$D$91,0),MATCH(Calculation!$G1267,'Gen. Plant Additions'!$F$5:$AE$5,0))</f>
        <v>8474</v>
      </c>
      <c r="BU1267" s="118"/>
      <c r="BV1267" s="118"/>
      <c r="BW1267" s="118">
        <f>INDEX('Dist Plant Depreciation'!$E$7:$AD$94,MATCH($C1267,'Dist Plant Depreciation'!$D$7:$D$94,0),MATCH(Calculation!$G1267,'Dist Plant Depreciation'!$E$5:$AD$5,0))</f>
        <v>554660</v>
      </c>
      <c r="BX1267" s="118">
        <f>INDEX('Gen. Plant Depreciation'!$E$7:$AD$94,MATCH($C1267,'Gen. Plant Depreciation'!$D$7:$D$94,0),MATCH(Calculation!$G1267,'Gen. Plant Depreciation'!$E$5:$AD$5,0))</f>
        <v>27525</v>
      </c>
      <c r="BY1267" s="118"/>
      <c r="BZ1267" s="118"/>
      <c r="CA1267" s="118"/>
      <c r="CB1267" s="118"/>
      <c r="CC1267" s="118"/>
      <c r="CD1267" s="183"/>
      <c r="CE1267" s="118">
        <f>INDEX('Gross Dx Plant'!$E$7:$AD$91,MATCH($C1267,'Gross Dx Plant'!$D$7:$D$91,0),MATCH(Calculation!$G1267,'Gross Dx Plant'!$E$5:$AD$5,0))</f>
        <v>927273</v>
      </c>
      <c r="CF1267" s="118">
        <f>INDEX('Gross Gen Plant'!$E$7:$AD$91,MATCH($C1267,'Gross Gen Plant'!$D$7:$D$91,0),MATCH(Calculation!$G1267,'Gross Gen Plant'!$E$5:$AD$5,0))</f>
        <v>60288</v>
      </c>
      <c r="CG1267" s="118">
        <f t="shared" si="3767"/>
        <v>405376</v>
      </c>
      <c r="CH1267" s="118"/>
      <c r="CI1267" s="121">
        <v>2005</v>
      </c>
      <c r="CJ1267" s="118"/>
      <c r="CK1267" s="118"/>
      <c r="CL1267" s="118"/>
      <c r="CM1267" s="183"/>
      <c r="CN1267" s="118">
        <f t="shared" si="3787"/>
        <v>48118</v>
      </c>
      <c r="CO1267" s="118">
        <f t="shared" si="3788"/>
        <v>102.55215866597734</v>
      </c>
      <c r="CP1267" s="186">
        <v>0.96174863387978138</v>
      </c>
      <c r="CQ1267" s="118">
        <f>+CQ1260*CP1267+CO1261*CP1266+CO1262*CP1265+CO1263*CP1264+CO1264*CP1263+CO1265*CP1262+CO1266*CP1261+CO1267</f>
        <v>2513.6611722190369</v>
      </c>
      <c r="CR1267" s="119">
        <f t="shared" si="3789"/>
        <v>3.566260268061737E-2</v>
      </c>
      <c r="CS1267" s="119"/>
      <c r="CT1267" s="177">
        <f t="shared" si="3790"/>
        <v>5.9729990736450472E-3</v>
      </c>
      <c r="CU1267" s="177">
        <f t="shared" si="3798"/>
        <v>5.8010702441298702E-3</v>
      </c>
      <c r="CV1267" s="119">
        <f>VLOOKUP($H1267,RoR!$E:$F,2,FALSE)</f>
        <v>5.2350000000000001E-2</v>
      </c>
      <c r="CW1267" s="177">
        <v>3.1010403642454332E-2</v>
      </c>
      <c r="CX1267" s="177">
        <f t="shared" si="3796"/>
        <v>2.1339596357545669E-2</v>
      </c>
      <c r="CY1267" s="177">
        <f t="shared" si="3799"/>
        <v>2.5100871364403754E-2</v>
      </c>
      <c r="CZ1267" s="177">
        <f t="shared" si="3800"/>
        <v>9.2129610649277341E-2</v>
      </c>
      <c r="DA1267" s="187">
        <f t="shared" si="3791"/>
        <v>0.84949374999999994</v>
      </c>
      <c r="DB1267" s="188">
        <f t="shared" si="3792"/>
        <v>0.97959983346802826</v>
      </c>
      <c r="DC1267" s="188">
        <f t="shared" si="3793"/>
        <v>0.49744508118433622</v>
      </c>
      <c r="DD1267" s="188">
        <f t="shared" si="3794"/>
        <v>0.87010519444335932</v>
      </c>
      <c r="DE1267" s="188">
        <f t="shared" si="3795"/>
        <v>0.42399975420741998</v>
      </c>
      <c r="DF1267" s="189">
        <f>INDEX('State Tax Lookup'!$D$7:$Z$91,MATCH(Calculation!$C1267,'State Tax Lookup'!$B$7:$B$91,0),MATCH($H1267,'State Tax Lookup'!$D$6:$Z$6,0))</f>
        <v>0.40134999999999998</v>
      </c>
      <c r="DG1267" s="189">
        <v>0.375</v>
      </c>
      <c r="DH1267" s="190">
        <f t="shared" si="3797"/>
        <v>16.581664285022136</v>
      </c>
      <c r="DI1267" s="190"/>
      <c r="DJ1267" s="177"/>
      <c r="DK1267" s="189">
        <f>VLOOKUP($H1267,RoR!$E:$F,2,FALSE)</f>
        <v>5.2350000000000001E-2</v>
      </c>
      <c r="DL1267" s="191">
        <f>HLOOKUP($H1267,'GDP-PI'!$D$8:$CQ$11,3,FALSE)</f>
        <v>3.1010403642454332E-2</v>
      </c>
      <c r="DM1267" s="189">
        <f>VLOOKUP(H1267,'HW Dx Data'!$E:$F,2,FALSE)</f>
        <v>469.20514034936258</v>
      </c>
      <c r="DN1267" s="183">
        <f>VLOOKUP(H1267,'ECI - Input Price'!$G$17:$H$37,2,FALSE)</f>
        <v>99.15</v>
      </c>
      <c r="DO1267" s="177">
        <f t="shared" ref="DO1267" si="3812">LN(DN1267/DN1266)</f>
        <v>3.046440632744625E-2</v>
      </c>
      <c r="DP1267" s="183">
        <f>HLOOKUP(H1267,'GDP-PI'!$8:$9,2,FALSE)</f>
        <v>87.406999999999996</v>
      </c>
      <c r="DQ1267" s="177">
        <f t="shared" ref="DQ1267" si="3813">LN(DP1267/DP1266)</f>
        <v>3.0539295810733648E-2</v>
      </c>
    </row>
    <row r="1268" spans="1:121" s="167" customFormat="1" ht="21" x14ac:dyDescent="0.35">
      <c r="A1268" s="167" t="s">
        <v>117</v>
      </c>
      <c r="B1268" s="167" t="s">
        <v>117</v>
      </c>
      <c r="C1268" s="167">
        <v>4008752</v>
      </c>
      <c r="D1268" s="168" t="s">
        <v>144</v>
      </c>
      <c r="E1268" s="168"/>
      <c r="F1268" s="198"/>
      <c r="G1268" s="167" t="s">
        <v>12</v>
      </c>
      <c r="H1268" s="169">
        <v>2006</v>
      </c>
      <c r="I1268" s="170"/>
      <c r="J1268" s="166">
        <f>IFERROR(INDEX('Labor Expenditures'!$F$7:$X$91,MATCH($C1268,'Labor Expenditures'!$D$7:$D$91,0),MATCH($G1268,'Labor Expenditures'!$F$5:$X$5,0)),"NA")</f>
        <v>31364.869478587156</v>
      </c>
      <c r="K1268" s="166">
        <f t="shared" si="3803"/>
        <v>307.34805956479329</v>
      </c>
      <c r="L1268" s="172">
        <f t="shared" si="3810"/>
        <v>-9.0732899526418109E-2</v>
      </c>
      <c r="M1268" s="172">
        <f t="shared" ref="M1268:M1283" si="3814">+L1268*AR1268</f>
        <v>-1.3402537297255027E-3</v>
      </c>
      <c r="N1268" s="196"/>
      <c r="O1268" s="172"/>
      <c r="P1268" s="166">
        <f>IFERROR(INDEX('Non-Labor Expenditures'!$F$7:$AB$91,MATCH($C1268,'Non-Labor Expenditures'!$D$7:$D$91,0),MATCH($G1268,'Non-Labor Expenditures'!$F$5:$AB$5,0)),"NA")</f>
        <v>45422.189154542612</v>
      </c>
      <c r="Q1268" s="166">
        <f t="shared" si="3804"/>
        <v>504.27636337392158</v>
      </c>
      <c r="R1268" s="172">
        <f t="shared" ref="R1268:R1283" si="3815">LN(Q1268/Q1267)</f>
        <v>-9.1960048961823526E-2</v>
      </c>
      <c r="S1268" s="172">
        <f>+R1268*AR1268</f>
        <v>-1.3583804689382597E-3</v>
      </c>
      <c r="T1268" s="172"/>
      <c r="U1268" s="172"/>
      <c r="V1268" s="166">
        <f t="shared" si="3785"/>
        <v>40712.764684931164</v>
      </c>
      <c r="W1268" s="170"/>
      <c r="X1268" s="174">
        <v>2624.6470613867946</v>
      </c>
      <c r="Y1268" s="175">
        <v>4.3206109478805141E-2</v>
      </c>
      <c r="Z1268" s="175">
        <f>+Y1268*AR1268</f>
        <v>6.382155720597967E-4</v>
      </c>
      <c r="AA1268" s="175"/>
      <c r="AB1268" s="175"/>
      <c r="AC1268" s="170">
        <f t="shared" si="3648"/>
        <v>117499.82331806092</v>
      </c>
      <c r="AD1268" s="175">
        <f t="shared" ref="AD1268:AD1283" si="3816">LN(AC1268/AC1267)</f>
        <v>-3.6855442001621094E-2</v>
      </c>
      <c r="AE1268" s="170"/>
      <c r="AF1268" s="170"/>
      <c r="AG1268" s="121">
        <f t="shared" ref="AG1268:AG1283" si="3817">+(AC1268*1000)/AZ1268</f>
        <v>201.1256606227218</v>
      </c>
      <c r="AH1268" s="119">
        <f>+AZ1268/$BB$44</f>
        <v>1.661842663215151E-2</v>
      </c>
      <c r="AI1268" s="119"/>
      <c r="AJ1268" s="176">
        <f>+AH1268*AG1268</f>
        <v>3.3423920349017062</v>
      </c>
      <c r="AK1268" s="176">
        <f>+AI1268*AG1268</f>
        <v>0</v>
      </c>
      <c r="AL1268" s="120">
        <f t="shared" si="3805"/>
        <v>0.26693546077669766</v>
      </c>
      <c r="AM1268" s="120">
        <f t="shared" si="3806"/>
        <v>0.38657240387152786</v>
      </c>
      <c r="AN1268" s="120">
        <f t="shared" si="3807"/>
        <v>0.34649213535177459</v>
      </c>
      <c r="AO1268" s="120">
        <f t="shared" si="3811"/>
        <v>-4.5914576370087744E-2</v>
      </c>
      <c r="AP1268" s="173">
        <f>+AP1267*EXP(AO1268)</f>
        <v>95.512354882650712</v>
      </c>
      <c r="AQ1268" s="175">
        <f>LN(AP1268/AP1267)</f>
        <v>-4.5914576370087841E-2</v>
      </c>
      <c r="AR1268" s="177">
        <f>+AC1268/$AE$44</f>
        <v>1.4771419592242501E-2</v>
      </c>
      <c r="AS1268" s="177">
        <f>+AR1268*AQ1268</f>
        <v>-6.7822347296263015E-4</v>
      </c>
      <c r="AT1268" s="177"/>
      <c r="AU1268" s="177"/>
      <c r="AV1268" s="177"/>
      <c r="AW1268" s="190"/>
      <c r="AX1268" s="120"/>
      <c r="AY1268" s="120"/>
      <c r="AZ1268" s="118">
        <f>IFERROR(INDEX('Total Customers'!$F$7:$AB$91,MATCH($C1268,'Total Customers'!$D$7:$D$91,0),MATCH($G1268,'Total Customers'!$F$5:$AB$5,0)),"NA")</f>
        <v>584211</v>
      </c>
      <c r="BA1268" s="119">
        <f t="shared" si="3786"/>
        <v>1.0390816684926427E-2</v>
      </c>
      <c r="BB1268" s="119"/>
      <c r="BC1268" s="121"/>
      <c r="BD1268" s="119"/>
      <c r="BE1268" s="119"/>
      <c r="BF1268" s="119"/>
      <c r="BG1268" s="173"/>
      <c r="BH1268" s="173"/>
      <c r="BI1268" s="173"/>
      <c r="BJ1268" s="173"/>
      <c r="BK1268" s="173"/>
      <c r="BL1268" s="173"/>
      <c r="BM1268" s="173"/>
      <c r="BN1268" s="173"/>
      <c r="BO1268" s="173"/>
      <c r="BP1268" s="173"/>
      <c r="BQ1268" s="118"/>
      <c r="BR1268" s="118"/>
      <c r="BS1268" s="118">
        <f>INDEX('Dist. Plant Gas Additions'!$F$7:$AE$91,MATCH($C1268,'Dist. Plant Gas Additions'!$D$7:$D$91,0),MATCH(Calculation!$G1268,'Dist. Plant Gas Additions'!$F$5:$AE$5,0))</f>
        <v>37928</v>
      </c>
      <c r="BT1268" s="118">
        <f>INDEX('Gen. Plant Additions'!$F$7:$AE$91,MATCH($C1268,'Gen. Plant Additions'!$D$7:$D$91,0),MATCH(Calculation!$G1268,'Gen. Plant Additions'!$F$5:$AE$5,0))</f>
        <v>20381</v>
      </c>
      <c r="BU1268" s="118"/>
      <c r="BV1268" s="118"/>
      <c r="BW1268" s="118">
        <f>INDEX('Dist Plant Depreciation'!$E$7:$AD$94,MATCH($C1268,'Dist Plant Depreciation'!$D$7:$D$94,0),MATCH(Calculation!$G1268,'Dist Plant Depreciation'!$E$5:$AD$5,0))</f>
        <v>580474</v>
      </c>
      <c r="BX1268" s="118">
        <f>INDEX('Gen. Plant Depreciation'!$E$7:$AD$94,MATCH($C1268,'Gen. Plant Depreciation'!$D$7:$D$94,0),MATCH(Calculation!$G1268,'Gen. Plant Depreciation'!$E$5:$AD$5,0))</f>
        <v>29057</v>
      </c>
      <c r="BY1268" s="118"/>
      <c r="BZ1268" s="118"/>
      <c r="CA1268" s="118"/>
      <c r="CB1268" s="118"/>
      <c r="CC1268" s="118"/>
      <c r="CD1268" s="183"/>
      <c r="CE1268" s="118">
        <f>INDEX('Gross Dx Plant'!$E$7:$AD$91,MATCH($C1268,'Gross Dx Plant'!$D$7:$D$91,0),MATCH(Calculation!$G1268,'Gross Dx Plant'!$E$5:$AD$5,0))</f>
        <v>957925</v>
      </c>
      <c r="CF1268" s="118">
        <f>INDEX('Gross Gen Plant'!$E$7:$AD$91,MATCH($C1268,'Gross Gen Plant'!$D$7:$D$91,0),MATCH(Calculation!$G1268,'Gross Gen Plant'!$E$5:$AD$5,0))</f>
        <v>77923</v>
      </c>
      <c r="CG1268" s="118">
        <f t="shared" si="3767"/>
        <v>426317</v>
      </c>
      <c r="CH1268" s="119" t="e">
        <f>SUM(#REF!)/15</f>
        <v>#REF!</v>
      </c>
      <c r="CI1268" s="121">
        <v>2006</v>
      </c>
      <c r="CJ1268" s="118"/>
      <c r="CK1268" s="118"/>
      <c r="CL1268" s="118"/>
      <c r="CM1268" s="183"/>
      <c r="CN1268" s="118">
        <f t="shared" si="3787"/>
        <v>58309</v>
      </c>
      <c r="CO1268" s="118">
        <f t="shared" si="3788"/>
        <v>126.46022951613136</v>
      </c>
      <c r="CP1268" s="186">
        <v>0.9555555555555556</v>
      </c>
      <c r="CQ1268" s="118">
        <f>+CQ1260*CP1268+CO1261*CP1267+CO1262*CP1266+CO1263*CP1265+CO1264*CP1264+CO1265*CP1263+CO1266*CP1262+CO1267*CP1261+CO1268</f>
        <v>2624.6470613867946</v>
      </c>
      <c r="CR1268" s="119">
        <f t="shared" si="3789"/>
        <v>4.3206109478805141E-2</v>
      </c>
      <c r="CS1268" s="119"/>
      <c r="CT1268" s="177">
        <f t="shared" si="3790"/>
        <v>6.1560963424171656E-3</v>
      </c>
      <c r="CU1268" s="177">
        <f t="shared" si="3798"/>
        <v>5.9758667492703079E-3</v>
      </c>
      <c r="CV1268" s="119">
        <f>VLOOKUP($H1268,RoR!$E:$F,2,FALSE)</f>
        <v>5.5874999999999994E-2</v>
      </c>
      <c r="CW1268" s="177">
        <v>3.0512430354548314E-2</v>
      </c>
      <c r="CX1268" s="177">
        <f t="shared" si="3796"/>
        <v>2.536256964545168E-2</v>
      </c>
      <c r="CY1268" s="177">
        <f t="shared" si="3799"/>
        <v>2.4926074859263316E-2</v>
      </c>
      <c r="CZ1268" s="177">
        <f t="shared" si="3800"/>
        <v>7.9087823893859641E-2</v>
      </c>
      <c r="DA1268" s="187">
        <f t="shared" si="3791"/>
        <v>0.84949374999999994</v>
      </c>
      <c r="DB1268" s="188">
        <f t="shared" si="3792"/>
        <v>0.91779957551769631</v>
      </c>
      <c r="DC1268" s="188">
        <f t="shared" si="3793"/>
        <v>0.52757270693512304</v>
      </c>
      <c r="DD1268" s="188">
        <f t="shared" si="3794"/>
        <v>0.88636824549024895</v>
      </c>
      <c r="DE1268" s="188">
        <f t="shared" si="3795"/>
        <v>0.42918482841932087</v>
      </c>
      <c r="DF1268" s="189">
        <f>INDEX('State Tax Lookup'!$D$7:$Z$91,MATCH(Calculation!$C1268,'State Tax Lookup'!$B$7:$B$91,0),MATCH($H1268,'State Tax Lookup'!$D$6:$Z$6,0))</f>
        <v>0.40134999999999998</v>
      </c>
      <c r="DG1268" s="189">
        <v>0.375</v>
      </c>
      <c r="DH1268" s="190">
        <f t="shared" si="3797"/>
        <v>16.196600056876523</v>
      </c>
      <c r="DI1268" s="190">
        <v>15.735135061208174</v>
      </c>
      <c r="DJ1268" s="177"/>
      <c r="DK1268" s="189">
        <f>VLOOKUP($H1268,RoR!$E:$F,2,FALSE)</f>
        <v>5.5874999999999994E-2</v>
      </c>
      <c r="DL1268" s="191">
        <f>HLOOKUP($H1268,'GDP-PI'!$D$8:$CQ$11,3,FALSE)</f>
        <v>3.0512430354548314E-2</v>
      </c>
      <c r="DM1268" s="189">
        <f>VLOOKUP(H1268,'HW Dx Data'!$E:$F,2,FALSE)</f>
        <v>461.08567272971823</v>
      </c>
      <c r="DN1268" s="183">
        <f>VLOOKUP(H1268,'ECI - Input Price'!$G$17:$H$37,2,FALSE)</f>
        <v>102.05</v>
      </c>
      <c r="DO1268" s="177">
        <f t="shared" ref="DO1268" si="3818">LN(DN1268/DN1267)</f>
        <v>2.8829034290048662E-2</v>
      </c>
      <c r="DP1268" s="183">
        <f>HLOOKUP(H1268,'GDP-PI'!$8:$9,2,FALSE)</f>
        <v>90.073999999999998</v>
      </c>
      <c r="DQ1268" s="177">
        <f t="shared" ref="DQ1268" si="3819">LN(DP1268/DP1267)</f>
        <v>3.005618372545445E-2</v>
      </c>
    </row>
    <row r="1269" spans="1:121" s="167" customFormat="1" ht="21" x14ac:dyDescent="0.35">
      <c r="A1269" s="167" t="s">
        <v>117</v>
      </c>
      <c r="B1269" s="167" t="s">
        <v>117</v>
      </c>
      <c r="C1269" s="167">
        <v>4008752</v>
      </c>
      <c r="D1269" s="168" t="s">
        <v>144</v>
      </c>
      <c r="E1269" s="168"/>
      <c r="F1269" s="198"/>
      <c r="G1269" s="167" t="s">
        <v>13</v>
      </c>
      <c r="H1269" s="169">
        <v>2007</v>
      </c>
      <c r="I1269" s="170"/>
      <c r="J1269" s="166">
        <f>IFERROR(INDEX('Labor Expenditures'!$F$7:$X$91,MATCH($C1269,'Labor Expenditures'!$D$7:$D$91,0),MATCH($G1269,'Labor Expenditures'!$F$5:$X$5,0)),"NA")</f>
        <v>29917.211014585188</v>
      </c>
      <c r="K1269" s="166">
        <f t="shared" si="3803"/>
        <v>284.31656939496492</v>
      </c>
      <c r="L1269" s="172">
        <f t="shared" si="3810"/>
        <v>-7.7892551561121778E-2</v>
      </c>
      <c r="M1269" s="172">
        <f t="shared" si="3814"/>
        <v>-1.1023545081975659E-3</v>
      </c>
      <c r="N1269" s="196"/>
      <c r="O1269" s="172"/>
      <c r="P1269" s="166">
        <f>IFERROR(INDEX('Non-Labor Expenditures'!$F$7:$AB$91,MATCH($C1269,'Non-Labor Expenditures'!$D$7:$D$91,0),MATCH($G1269,'Non-Labor Expenditures'!$F$5:$AB$5,0)),"NA")</f>
        <v>43325.709313363492</v>
      </c>
      <c r="Q1269" s="166">
        <f t="shared" si="3804"/>
        <v>468.39617411580241</v>
      </c>
      <c r="R1269" s="172">
        <f t="shared" si="3815"/>
        <v>-7.3809994110379237E-2</v>
      </c>
      <c r="S1269" s="172">
        <f t="shared" ref="S1269:S1283" si="3820">+R1269*AR1269</f>
        <v>-1.0445771531025778E-3</v>
      </c>
      <c r="T1269" s="172"/>
      <c r="U1269" s="172"/>
      <c r="V1269" s="166">
        <f t="shared" si="3785"/>
        <v>45663.668474524544</v>
      </c>
      <c r="W1269" s="170"/>
      <c r="X1269" s="174">
        <v>2712.7905645748269</v>
      </c>
      <c r="Y1269" s="175">
        <v>3.3031399511191759E-2</v>
      </c>
      <c r="Z1269" s="175">
        <f t="shared" ref="Z1269:Z1283" si="3821">+Y1269*AR1269</f>
        <v>4.6746847334516451E-4</v>
      </c>
      <c r="AA1269" s="175"/>
      <c r="AB1269" s="175"/>
      <c r="AC1269" s="170">
        <f t="shared" si="3648"/>
        <v>118906.58880247323</v>
      </c>
      <c r="AD1269" s="175">
        <f t="shared" si="3816"/>
        <v>1.1901386909342223E-2</v>
      </c>
      <c r="AE1269" s="170"/>
      <c r="AF1269" s="170"/>
      <c r="AG1269" s="121">
        <f t="shared" si="3817"/>
        <v>202.13064974428784</v>
      </c>
      <c r="AH1269" s="119">
        <f>+AZ1269/$BB$45</f>
        <v>1.6608308618977469E-2</v>
      </c>
      <c r="AI1269" s="119"/>
      <c r="AJ1269" s="176">
        <f t="shared" ref="AJ1269:AJ1283" si="3822">+AH1269*AG1269</f>
        <v>3.3570482123075713</v>
      </c>
      <c r="AK1269" s="176">
        <f t="shared" ref="AK1269:AK1283" si="3823">+AI1269*AG1269</f>
        <v>0</v>
      </c>
      <c r="AL1269" s="120">
        <f t="shared" si="3805"/>
        <v>0.25160263460491195</v>
      </c>
      <c r="AM1269" s="120">
        <f t="shared" si="3806"/>
        <v>0.36436760779788113</v>
      </c>
      <c r="AN1269" s="120">
        <f t="shared" si="3807"/>
        <v>0.38402975759720687</v>
      </c>
      <c r="AO1269" s="120">
        <f t="shared" si="3811"/>
        <v>-3.5843486335907615E-2</v>
      </c>
      <c r="AP1269" s="173">
        <f>+AP1268*EXP(AO1269)</f>
        <v>92.149487570595966</v>
      </c>
      <c r="AQ1269" s="175">
        <f>LN(AP1269/AP1268)</f>
        <v>-3.5843486335907671E-2</v>
      </c>
      <c r="AR1269" s="177">
        <f>+AC1269/$AE$45</f>
        <v>1.4152245447147221E-2</v>
      </c>
      <c r="AS1269" s="177">
        <f t="shared" ref="AS1269:AS1283" si="3824">+AR1269*AQ1269</f>
        <v>-5.0726581630723298E-4</v>
      </c>
      <c r="AT1269" s="177"/>
      <c r="AU1269" s="177"/>
      <c r="AV1269" s="177"/>
      <c r="AW1269" s="190"/>
      <c r="AX1269" s="120"/>
      <c r="AY1269" s="120"/>
      <c r="AZ1269" s="118">
        <f>IFERROR(INDEX('Total Customers'!$F$7:$AB$91,MATCH($C1269,'Total Customers'!$D$7:$D$91,0),MATCH($G1269,'Total Customers'!$F$5:$AB$5,0)),"NA")</f>
        <v>588266</v>
      </c>
      <c r="BA1269" s="119">
        <f t="shared" si="3786"/>
        <v>6.9170076131269062E-3</v>
      </c>
      <c r="BB1269" s="119"/>
      <c r="BC1269" s="121"/>
      <c r="BD1269" s="119"/>
      <c r="BE1269" s="119"/>
      <c r="BF1269" s="119"/>
      <c r="BG1269" s="173"/>
      <c r="BH1269" s="173"/>
      <c r="BI1269" s="173"/>
      <c r="BJ1269" s="173"/>
      <c r="BK1269" s="173"/>
      <c r="BL1269" s="173"/>
      <c r="BM1269" s="173"/>
      <c r="BN1269" s="173"/>
      <c r="BO1269" s="173"/>
      <c r="BP1269" s="173"/>
      <c r="BQ1269" s="118"/>
      <c r="BR1269" s="118"/>
      <c r="BS1269" s="118">
        <f>INDEX('Dist. Plant Gas Additions'!$F$7:$AE$91,MATCH($C1269,'Dist. Plant Gas Additions'!$D$7:$D$91,0),MATCH(Calculation!$G1269,'Dist. Plant Gas Additions'!$F$5:$AE$5,0))</f>
        <v>44063</v>
      </c>
      <c r="BT1269" s="118">
        <f>INDEX('Gen. Plant Additions'!$F$7:$AE$91,MATCH($C1269,'Gen. Plant Additions'!$D$7:$D$91,0),MATCH(Calculation!$G1269,'Gen. Plant Additions'!$F$5:$AE$5,0))</f>
        <v>8111</v>
      </c>
      <c r="BU1269" s="118"/>
      <c r="BV1269" s="118"/>
      <c r="BW1269" s="118">
        <f>INDEX('Dist Plant Depreciation'!$E$7:$AD$94,MATCH($C1269,'Dist Plant Depreciation'!$D$7:$D$94,0),MATCH(Calculation!$G1269,'Dist Plant Depreciation'!$E$5:$AD$5,0))</f>
        <v>607631</v>
      </c>
      <c r="BX1269" s="118">
        <f>INDEX('Gen. Plant Depreciation'!$E$7:$AD$94,MATCH($C1269,'Gen. Plant Depreciation'!$D$7:$D$94,0),MATCH(Calculation!$G1269,'Gen. Plant Depreciation'!$E$5:$AD$5,0))</f>
        <v>33383</v>
      </c>
      <c r="BY1269" s="118"/>
      <c r="BZ1269" s="118"/>
      <c r="CA1269" s="118"/>
      <c r="CB1269" s="118"/>
      <c r="CC1269" s="118"/>
      <c r="CD1269" s="183"/>
      <c r="CE1269" s="118">
        <f>INDEX('Gross Dx Plant'!$E$7:$AD$91,MATCH($C1269,'Gross Dx Plant'!$D$7:$D$91,0),MATCH(Calculation!$G1269,'Gross Dx Plant'!$E$5:$AD$5,0))</f>
        <v>994858</v>
      </c>
      <c r="CF1269" s="118">
        <f>INDEX('Gross Gen Plant'!$E$7:$AD$91,MATCH($C1269,'Gross Gen Plant'!$D$7:$D$91,0),MATCH(Calculation!$G1269,'Gross Gen Plant'!$E$5:$AD$5,0))</f>
        <v>84656</v>
      </c>
      <c r="CG1269" s="118">
        <f t="shared" si="3767"/>
        <v>438500</v>
      </c>
      <c r="CH1269" s="118"/>
      <c r="CI1269" s="121">
        <v>2007</v>
      </c>
      <c r="CJ1269" s="118"/>
      <c r="CK1269" s="118"/>
      <c r="CL1269" s="118"/>
      <c r="CM1269" s="183"/>
      <c r="CN1269" s="118">
        <f t="shared" si="3787"/>
        <v>52174</v>
      </c>
      <c r="CO1269" s="118">
        <f t="shared" si="3788"/>
        <v>104.76237385065913</v>
      </c>
      <c r="CP1269" s="186">
        <v>0.94915254237288138</v>
      </c>
      <c r="CQ1269" s="118">
        <f>+CQ1260*CP1269+CO1261*CP1268+CO1262*CP1267+CO1263*CP1266+CO1264*CP1265+CO1265*CP1264+CO1266*CP1263+CO1267*CP1262+CO1268*CP1261+CO1269</f>
        <v>2712.7905645748269</v>
      </c>
      <c r="CR1269" s="119">
        <f t="shared" si="3789"/>
        <v>3.3031399511191759E-2</v>
      </c>
      <c r="CS1269" s="119"/>
      <c r="CT1269" s="177">
        <f t="shared" si="3790"/>
        <v>6.3318496826182038E-3</v>
      </c>
      <c r="CU1269" s="177">
        <f t="shared" si="3798"/>
        <v>6.1536483662268061E-3</v>
      </c>
      <c r="CV1269" s="119">
        <f>VLOOKUP($H1269,RoR!$E:$F,2,FALSE)</f>
        <v>5.5558333333333321E-2</v>
      </c>
      <c r="CW1269" s="177">
        <v>2.691120634145272E-2</v>
      </c>
      <c r="CX1269" s="177">
        <f t="shared" si="3796"/>
        <v>2.86471269918806E-2</v>
      </c>
      <c r="CY1269" s="177">
        <f t="shared" si="3799"/>
        <v>2.4748293242306818E-2</v>
      </c>
      <c r="CZ1269" s="177">
        <f t="shared" si="3800"/>
        <v>6.4575155250632399E-2</v>
      </c>
      <c r="DA1269" s="187">
        <f t="shared" si="3791"/>
        <v>0.84949374999999994</v>
      </c>
      <c r="DB1269" s="188">
        <f t="shared" si="3792"/>
        <v>0.92303077153834634</v>
      </c>
      <c r="DC1269" s="188">
        <f t="shared" si="3793"/>
        <v>0.52502249887505614</v>
      </c>
      <c r="DD1269" s="188">
        <f t="shared" si="3794"/>
        <v>0.88499666072084604</v>
      </c>
      <c r="DE1269" s="188">
        <f t="shared" si="3795"/>
        <v>0.42887993290280618</v>
      </c>
      <c r="DF1269" s="189">
        <f>INDEX('State Tax Lookup'!$D$7:$Z$91,MATCH(Calculation!$C1269,'State Tax Lookup'!$B$7:$B$91,0),MATCH($H1269,'State Tax Lookup'!$D$6:$Z$6,0))</f>
        <v>0.40134999999999998</v>
      </c>
      <c r="DG1269" s="189">
        <v>0.375</v>
      </c>
      <c r="DH1269" s="190">
        <f t="shared" si="3797"/>
        <v>17.398022441309521</v>
      </c>
      <c r="DI1269" s="190">
        <v>17.161000756335401</v>
      </c>
      <c r="DJ1269" s="177"/>
      <c r="DK1269" s="189">
        <f>VLOOKUP($H1269,RoR!$E:$F,2,FALSE)</f>
        <v>5.5558333333333321E-2</v>
      </c>
      <c r="DL1269" s="191">
        <f>HLOOKUP($H1269,'GDP-PI'!$D$8:$CQ$11,3,FALSE)</f>
        <v>2.691120634145272E-2</v>
      </c>
      <c r="DM1269" s="189">
        <f>VLOOKUP(H1269,'HW Dx Data'!$E:$F,2,FALSE)</f>
        <v>498.0223154772637</v>
      </c>
      <c r="DN1269" s="183">
        <f>VLOOKUP(H1269,'ECI - Input Price'!$G$17:$H$37,2,FALSE)</f>
        <v>105.22500000000001</v>
      </c>
      <c r="DO1269" s="177">
        <f t="shared" ref="DO1269" si="3825">LN(DN1269/DN1268)</f>
        <v>3.0638025400780679E-2</v>
      </c>
      <c r="DP1269" s="183">
        <f>HLOOKUP(H1269,'GDP-PI'!$8:$9,2,FALSE)</f>
        <v>92.498000000000005</v>
      </c>
      <c r="DQ1269" s="177">
        <f t="shared" ref="DQ1269" si="3826">LN(DP1269/DP1268)</f>
        <v>2.6555467950038037E-2</v>
      </c>
    </row>
    <row r="1270" spans="1:121" s="167" customFormat="1" ht="21" x14ac:dyDescent="0.35">
      <c r="A1270" s="167" t="s">
        <v>117</v>
      </c>
      <c r="B1270" s="167" t="s">
        <v>117</v>
      </c>
      <c r="C1270" s="167">
        <v>4008752</v>
      </c>
      <c r="D1270" s="168" t="s">
        <v>144</v>
      </c>
      <c r="E1270" s="168"/>
      <c r="F1270" s="198"/>
      <c r="G1270" s="167" t="s">
        <v>14</v>
      </c>
      <c r="H1270" s="169">
        <v>2008</v>
      </c>
      <c r="I1270" s="170"/>
      <c r="J1270" s="166">
        <f>IFERROR(INDEX('Labor Expenditures'!$F$7:$X$91,MATCH($C1270,'Labor Expenditures'!$D$7:$D$91,0),MATCH($G1270,'Labor Expenditures'!$F$5:$X$5,0)),"NA")</f>
        <v>31767.599234353911</v>
      </c>
      <c r="K1270" s="166">
        <f t="shared" si="3803"/>
        <v>293.53291045834061</v>
      </c>
      <c r="L1270" s="172">
        <f t="shared" si="3810"/>
        <v>3.1901465681620181E-2</v>
      </c>
      <c r="M1270" s="172">
        <f t="shared" si="3814"/>
        <v>4.6667589521853775E-4</v>
      </c>
      <c r="N1270" s="196"/>
      <c r="O1270" s="172"/>
      <c r="P1270" s="166">
        <f>IFERROR(INDEX('Non-Labor Expenditures'!$F$7:$AB$91,MATCH($C1270,'Non-Labor Expenditures'!$D$7:$D$91,0),MATCH($G1270,'Non-Labor Expenditures'!$F$5:$AB$5,0)),"NA")</f>
        <v>46005.417060435502</v>
      </c>
      <c r="Q1270" s="166">
        <f t="shared" si="3804"/>
        <v>488.04864063094612</v>
      </c>
      <c r="R1270" s="172">
        <f t="shared" si="3815"/>
        <v>4.1100610604997721E-2</v>
      </c>
      <c r="S1270" s="172">
        <f t="shared" si="3820"/>
        <v>6.0124711634069691E-4</v>
      </c>
      <c r="T1270" s="172"/>
      <c r="U1270" s="172"/>
      <c r="V1270" s="166">
        <f t="shared" si="3785"/>
        <v>53622.329804913352</v>
      </c>
      <c r="W1270" s="170"/>
      <c r="X1270" s="174">
        <v>2845.2070885667945</v>
      </c>
      <c r="Y1270" s="175">
        <v>4.7658021576442194E-2</v>
      </c>
      <c r="Z1270" s="175">
        <f t="shared" si="3821"/>
        <v>6.9717329308616909E-4</v>
      </c>
      <c r="AA1270" s="175"/>
      <c r="AB1270" s="175"/>
      <c r="AC1270" s="170">
        <f t="shared" si="3648"/>
        <v>131395.34609970276</v>
      </c>
      <c r="AD1270" s="175">
        <f t="shared" si="3816"/>
        <v>9.9872470796455323E-2</v>
      </c>
      <c r="AE1270" s="170"/>
      <c r="AF1270" s="170"/>
      <c r="AG1270" s="121">
        <f t="shared" si="3817"/>
        <v>221.98984639195058</v>
      </c>
      <c r="AH1270" s="119">
        <f>+AZ1270/$BB$46</f>
        <v>1.6621749355265357E-2</v>
      </c>
      <c r="AI1270" s="119"/>
      <c r="AJ1270" s="176">
        <f t="shared" si="3822"/>
        <v>3.6898595861408601</v>
      </c>
      <c r="AK1270" s="176">
        <f t="shared" si="3823"/>
        <v>0</v>
      </c>
      <c r="AL1270" s="120">
        <f t="shared" si="3805"/>
        <v>0.24177111425429532</v>
      </c>
      <c r="AM1270" s="120">
        <f t="shared" si="3806"/>
        <v>0.35012973005548159</v>
      </c>
      <c r="AN1270" s="120">
        <f t="shared" si="3807"/>
        <v>0.40809915569022315</v>
      </c>
      <c r="AO1270" s="120">
        <f t="shared" si="3811"/>
        <v>4.1428459709819454E-2</v>
      </c>
      <c r="AP1270" s="173">
        <f t="shared" ref="AP1270:AP1283" si="3827">+AP1269*EXP(AO1270)</f>
        <v>96.047281225793739</v>
      </c>
      <c r="AQ1270" s="175">
        <f t="shared" ref="AQ1270:AQ1283" si="3828">LN(AP1270/AP1269)</f>
        <v>4.1428459709819419E-2</v>
      </c>
      <c r="AR1270" s="177">
        <f>+AC1270/$AE$46</f>
        <v>1.4628666277468562E-2</v>
      </c>
      <c r="AS1270" s="177">
        <f t="shared" si="3824"/>
        <v>6.0604311148450035E-4</v>
      </c>
      <c r="AT1270" s="177"/>
      <c r="AU1270" s="177"/>
      <c r="AV1270" s="177"/>
      <c r="AW1270" s="190"/>
      <c r="AX1270" s="120"/>
      <c r="AY1270" s="120"/>
      <c r="AZ1270" s="118">
        <f>IFERROR(INDEX('Total Customers'!$F$7:$AB$91,MATCH($C1270,'Total Customers'!$D$7:$D$91,0),MATCH($G1270,'Total Customers'!$F$5:$AB$5,0)),"NA")</f>
        <v>591898</v>
      </c>
      <c r="BA1270" s="119">
        <f t="shared" si="3786"/>
        <v>6.1550961842298142E-3</v>
      </c>
      <c r="BB1270" s="119"/>
      <c r="BC1270" s="121"/>
      <c r="BD1270" s="119"/>
      <c r="BE1270" s="119"/>
      <c r="BF1270" s="119"/>
      <c r="BG1270" s="173"/>
      <c r="BH1270" s="173"/>
      <c r="BI1270" s="173"/>
      <c r="BJ1270" s="173"/>
      <c r="BK1270" s="173"/>
      <c r="BL1270" s="173"/>
      <c r="BM1270" s="173"/>
      <c r="BN1270" s="173"/>
      <c r="BO1270" s="173"/>
      <c r="BP1270" s="173"/>
      <c r="BQ1270" s="118"/>
      <c r="BR1270" s="118"/>
      <c r="BS1270" s="118">
        <f>INDEX('Dist. Plant Gas Additions'!$F$7:$AE$91,MATCH($C1270,'Dist. Plant Gas Additions'!$D$7:$D$91,0),MATCH(Calculation!$G1270,'Dist. Plant Gas Additions'!$F$5:$AE$5,0))</f>
        <v>67590</v>
      </c>
      <c r="BT1270" s="118">
        <f>INDEX('Gen. Plant Additions'!$F$7:$AE$91,MATCH($C1270,'Gen. Plant Additions'!$D$7:$D$91,0),MATCH(Calculation!$G1270,'Gen. Plant Additions'!$F$5:$AE$5,0))</f>
        <v>17959</v>
      </c>
      <c r="BU1270" s="118"/>
      <c r="BV1270" s="118"/>
      <c r="BW1270" s="118">
        <f>INDEX('Dist Plant Depreciation'!$E$7:$AD$94,MATCH($C1270,'Dist Plant Depreciation'!$D$7:$D$94,0),MATCH(Calculation!$G1270,'Dist Plant Depreciation'!$E$5:$AD$5,0))</f>
        <v>635599</v>
      </c>
      <c r="BX1270" s="118">
        <f>INDEX('Gen. Plant Depreciation'!$E$7:$AD$94,MATCH($C1270,'Gen. Plant Depreciation'!$D$7:$D$94,0),MATCH(Calculation!$G1270,'Gen. Plant Depreciation'!$E$5:$AD$5,0))</f>
        <v>37032</v>
      </c>
      <c r="BY1270" s="118"/>
      <c r="BZ1270" s="118"/>
      <c r="CA1270" s="118"/>
      <c r="CB1270" s="118"/>
      <c r="CC1270" s="118"/>
      <c r="CD1270" s="183"/>
      <c r="CE1270" s="118">
        <f>INDEX('Gross Dx Plant'!$E$7:$AD$91,MATCH($C1270,'Gross Dx Plant'!$D$7:$D$91,0),MATCH(Calculation!$G1270,'Gross Dx Plant'!$E$5:$AD$5,0))</f>
        <v>1054805</v>
      </c>
      <c r="CF1270" s="118">
        <f>INDEX('Gross Gen Plant'!$E$7:$AD$91,MATCH($C1270,'Gross Gen Plant'!$D$7:$D$91,0),MATCH(Calculation!$G1270,'Gross Gen Plant'!$E$5:$AD$5,0))</f>
        <v>99304</v>
      </c>
      <c r="CG1270" s="118">
        <f t="shared" si="3767"/>
        <v>481478</v>
      </c>
      <c r="CH1270" s="118"/>
      <c r="CI1270" s="121">
        <v>2008</v>
      </c>
      <c r="CJ1270" s="118"/>
      <c r="CK1270" s="118"/>
      <c r="CL1270" s="118"/>
      <c r="CM1270" s="183"/>
      <c r="CN1270" s="118">
        <f t="shared" si="3787"/>
        <v>85549</v>
      </c>
      <c r="CO1270" s="118">
        <f t="shared" si="3788"/>
        <v>150.11725162952618</v>
      </c>
      <c r="CP1270" s="186">
        <v>0.94252873563218387</v>
      </c>
      <c r="CQ1270" s="118">
        <f>+CQ1260*CP1270+CO1261*CP1269+CO1262*CP1268+CO1263*CP1267+CO1264*CP1266+CO1265*CP1265+CO1266*CP1264+CO1267*CP1263+CO1268*CP1262+CO1269*CP1261+CO1270</f>
        <v>2845.2070885667945</v>
      </c>
      <c r="CR1270" s="119">
        <f t="shared" si="3789"/>
        <v>4.7658021576442194E-2</v>
      </c>
      <c r="CS1270" s="119"/>
      <c r="CT1270" s="177">
        <f t="shared" si="3790"/>
        <v>6.5249149229228637E-3</v>
      </c>
      <c r="CU1270" s="177">
        <f t="shared" si="3798"/>
        <v>6.3376203159860771E-3</v>
      </c>
      <c r="CV1270" s="119">
        <f>VLOOKUP($H1270,RoR!$E:$F,2,FALSE)</f>
        <v>5.6316666666666668E-2</v>
      </c>
      <c r="CW1270" s="177">
        <v>1.9092304698479889E-2</v>
      </c>
      <c r="CX1270" s="177">
        <f t="shared" si="3796"/>
        <v>3.7224361968186778E-2</v>
      </c>
      <c r="CY1270" s="177">
        <f t="shared" si="3799"/>
        <v>2.4564321292547549E-2</v>
      </c>
      <c r="CZ1270" s="177">
        <f t="shared" si="3800"/>
        <v>6.9030581091053131E-2</v>
      </c>
      <c r="DA1270" s="187">
        <f t="shared" si="3791"/>
        <v>0.84949374999999994</v>
      </c>
      <c r="DB1270" s="188">
        <f t="shared" si="3792"/>
        <v>0.91060168006009956</v>
      </c>
      <c r="DC1270" s="188">
        <f t="shared" si="3793"/>
        <v>0.53108168097070152</v>
      </c>
      <c r="DD1270" s="188">
        <f t="shared" si="3794"/>
        <v>0.88825329850328805</v>
      </c>
      <c r="DE1270" s="188">
        <f t="shared" si="3795"/>
        <v>0.4295627335323573</v>
      </c>
      <c r="DF1270" s="189">
        <f>INDEX('State Tax Lookup'!$D$7:$Z$91,MATCH(Calculation!$C1270,'State Tax Lookup'!$B$7:$B$91,0),MATCH($H1270,'State Tax Lookup'!$D$6:$Z$6,0))</f>
        <v>0.40134999999999998</v>
      </c>
      <c r="DG1270" s="189">
        <v>0.375</v>
      </c>
      <c r="DH1270" s="190">
        <f t="shared" si="3797"/>
        <v>19.766483452554152</v>
      </c>
      <c r="DI1270" s="190">
        <v>19.503235394420997</v>
      </c>
      <c r="DJ1270" s="177"/>
      <c r="DK1270" s="189">
        <f>VLOOKUP($H1270,RoR!$E:$F,2,FALSE)</f>
        <v>5.6316666666666668E-2</v>
      </c>
      <c r="DL1270" s="191">
        <f>HLOOKUP($H1270,'GDP-PI'!$D$8:$CQ$11,3,FALSE)</f>
        <v>1.9092304698479889E-2</v>
      </c>
      <c r="DM1270" s="189">
        <f>VLOOKUP(H1270,'HW Dx Data'!$E:$F,2,FALSE)</f>
        <v>569.88120333515076</v>
      </c>
      <c r="DN1270" s="183">
        <f>VLOOKUP(H1270,'ECI - Input Price'!$G$17:$H$37,2,FALSE)</f>
        <v>108.22499999999999</v>
      </c>
      <c r="DO1270" s="177">
        <f t="shared" ref="DO1270" si="3829">LN(DN1270/DN1269)</f>
        <v>2.8111478671409691E-2</v>
      </c>
      <c r="DP1270" s="183">
        <f>HLOOKUP(H1270,'GDP-PI'!$8:$9,2,FALSE)</f>
        <v>94.263999999999996</v>
      </c>
      <c r="DQ1270" s="177">
        <f t="shared" ref="DQ1270" si="3830">LN(DP1270/DP1269)</f>
        <v>1.8912333748032254E-2</v>
      </c>
    </row>
    <row r="1271" spans="1:121" s="167" customFormat="1" ht="21" x14ac:dyDescent="0.35">
      <c r="A1271" s="167" t="s">
        <v>117</v>
      </c>
      <c r="B1271" s="167" t="s">
        <v>117</v>
      </c>
      <c r="C1271" s="167">
        <v>4008752</v>
      </c>
      <c r="D1271" s="168" t="s">
        <v>144</v>
      </c>
      <c r="E1271" s="168"/>
      <c r="F1271" s="198"/>
      <c r="G1271" s="167" t="s">
        <v>15</v>
      </c>
      <c r="H1271" s="169">
        <v>2009</v>
      </c>
      <c r="I1271" s="170"/>
      <c r="J1271" s="166">
        <f>IFERROR(INDEX('Labor Expenditures'!$F$7:$X$91,MATCH($C1271,'Labor Expenditures'!$D$7:$D$91,0),MATCH($G1271,'Labor Expenditures'!$F$5:$X$5,0)),"NA")</f>
        <v>31038.397949798102</v>
      </c>
      <c r="K1271" s="166">
        <f t="shared" si="3803"/>
        <v>282.74559735639355</v>
      </c>
      <c r="L1271" s="172">
        <f t="shared" si="3810"/>
        <v>-3.7442219940130736E-2</v>
      </c>
      <c r="M1271" s="172">
        <f t="shared" si="3814"/>
        <v>-5.1941711750608688E-4</v>
      </c>
      <c r="N1271" s="196"/>
      <c r="O1271" s="172"/>
      <c r="P1271" s="166">
        <f>IFERROR(INDEX('Non-Labor Expenditures'!$F$7:$AB$91,MATCH($C1271,'Non-Labor Expenditures'!$D$7:$D$91,0),MATCH($G1271,'Non-Labor Expenditures'!$F$5:$AB$5,0)),"NA")</f>
        <v>44949.397404385541</v>
      </c>
      <c r="Q1271" s="166">
        <f t="shared" si="3804"/>
        <v>473.15653222018699</v>
      </c>
      <c r="R1271" s="172">
        <f t="shared" si="3815"/>
        <v>-3.0988805638703515E-2</v>
      </c>
      <c r="S1271" s="172">
        <f t="shared" si="3820"/>
        <v>-4.2989214115907328E-4</v>
      </c>
      <c r="T1271" s="172"/>
      <c r="U1271" s="172"/>
      <c r="V1271" s="166">
        <f t="shared" si="3785"/>
        <v>53982.048760155907</v>
      </c>
      <c r="W1271" s="170"/>
      <c r="X1271" s="174">
        <v>2940.2807962120664</v>
      </c>
      <c r="Y1271" s="175">
        <v>3.2869230418971343E-2</v>
      </c>
      <c r="Z1271" s="175">
        <f t="shared" si="3821"/>
        <v>4.5597832997521431E-4</v>
      </c>
      <c r="AA1271" s="175"/>
      <c r="AB1271" s="175"/>
      <c r="AC1271" s="170">
        <f t="shared" si="3648"/>
        <v>129969.84411433956</v>
      </c>
      <c r="AD1271" s="175">
        <f t="shared" si="3816"/>
        <v>-1.0908232417274476E-2</v>
      </c>
      <c r="AE1271" s="170"/>
      <c r="AF1271" s="170"/>
      <c r="AG1271" s="121">
        <f t="shared" si="3817"/>
        <v>218.54616953421976</v>
      </c>
      <c r="AH1271" s="119">
        <f>+AZ1271/$BB$47</f>
        <v>1.6676395052351477E-2</v>
      </c>
      <c r="AI1271" s="119"/>
      <c r="AJ1271" s="176">
        <f t="shared" si="3822"/>
        <v>3.6445622603308294</v>
      </c>
      <c r="AK1271" s="176">
        <f t="shared" si="3823"/>
        <v>0</v>
      </c>
      <c r="AL1271" s="120">
        <f t="shared" si="3805"/>
        <v>0.23881230420259955</v>
      </c>
      <c r="AM1271" s="120">
        <f t="shared" si="3806"/>
        <v>0.3458448204711379</v>
      </c>
      <c r="AN1271" s="120">
        <f t="shared" si="3807"/>
        <v>0.41534287532626252</v>
      </c>
      <c r="AO1271" s="120">
        <f t="shared" si="3811"/>
        <v>-6.2478121375248909E-3</v>
      </c>
      <c r="AP1271" s="173">
        <f t="shared" si="3827"/>
        <v>95.449066568721577</v>
      </c>
      <c r="AQ1271" s="175">
        <f t="shared" si="3828"/>
        <v>-6.2478121375248007E-3</v>
      </c>
      <c r="AR1271" s="177">
        <f>+AC1271/$AE$47</f>
        <v>1.3872497900408232E-2</v>
      </c>
      <c r="AS1271" s="177">
        <f t="shared" si="3824"/>
        <v>-8.6672760759957864E-5</v>
      </c>
      <c r="AT1271" s="177"/>
      <c r="AU1271" s="177"/>
      <c r="AV1271" s="177"/>
      <c r="AW1271" s="190"/>
      <c r="AX1271" s="120"/>
      <c r="AY1271" s="120"/>
      <c r="AZ1271" s="118">
        <f>IFERROR(INDEX('Total Customers'!$F$7:$AB$91,MATCH($C1271,'Total Customers'!$D$7:$D$91,0),MATCH($G1271,'Total Customers'!$F$5:$AB$5,0)),"NA")</f>
        <v>594702</v>
      </c>
      <c r="BA1271" s="119">
        <f t="shared" si="3786"/>
        <v>4.7261170052574622E-3</v>
      </c>
      <c r="BB1271" s="119"/>
      <c r="BC1271" s="121"/>
      <c r="BD1271" s="119"/>
      <c r="BE1271" s="119"/>
      <c r="BF1271" s="119"/>
      <c r="BG1271" s="173"/>
      <c r="BH1271" s="173"/>
      <c r="BI1271" s="173"/>
      <c r="BJ1271" s="173"/>
      <c r="BK1271" s="173"/>
      <c r="BL1271" s="173"/>
      <c r="BM1271" s="173"/>
      <c r="BN1271" s="173"/>
      <c r="BO1271" s="173"/>
      <c r="BP1271" s="173"/>
      <c r="BQ1271" s="118"/>
      <c r="BR1271" s="118"/>
      <c r="BS1271" s="118">
        <f>INDEX('Dist. Plant Gas Additions'!$F$7:$AE$91,MATCH($C1271,'Dist. Plant Gas Additions'!$D$7:$D$91,0),MATCH(Calculation!$G1271,'Dist. Plant Gas Additions'!$F$5:$AE$5,0))</f>
        <v>56538</v>
      </c>
      <c r="BT1271" s="118">
        <f>INDEX('Gen. Plant Additions'!$F$7:$AE$91,MATCH($C1271,'Gen. Plant Additions'!$D$7:$D$91,0),MATCH(Calculation!$G1271,'Gen. Plant Additions'!$F$5:$AE$5,0))</f>
        <v>6339</v>
      </c>
      <c r="BU1271" s="118"/>
      <c r="BV1271" s="118"/>
      <c r="BW1271" s="118">
        <f>INDEX('Dist Plant Depreciation'!$E$7:$AD$94,MATCH($C1271,'Dist Plant Depreciation'!$D$7:$D$94,0),MATCH(Calculation!$G1271,'Dist Plant Depreciation'!$E$5:$AD$5,0))</f>
        <v>664392</v>
      </c>
      <c r="BX1271" s="118">
        <f>INDEX('Gen. Plant Depreciation'!$E$7:$AD$94,MATCH($C1271,'Gen. Plant Depreciation'!$D$7:$D$94,0),MATCH(Calculation!$G1271,'Gen. Plant Depreciation'!$E$5:$AD$5,0))</f>
        <v>42450</v>
      </c>
      <c r="BY1271" s="118"/>
      <c r="BZ1271" s="118"/>
      <c r="CA1271" s="118"/>
      <c r="CB1271" s="118"/>
      <c r="CC1271" s="118"/>
      <c r="CD1271" s="183"/>
      <c r="CE1271" s="118">
        <f>INDEX('Gross Dx Plant'!$E$7:$AD$91,MATCH($C1271,'Gross Dx Plant'!$D$7:$D$91,0),MATCH(Calculation!$G1271,'Gross Dx Plant'!$E$5:$AD$5,0))</f>
        <v>1103483</v>
      </c>
      <c r="CF1271" s="118">
        <f>INDEX('Gross Gen Plant'!$E$7:$AD$91,MATCH($C1271,'Gross Gen Plant'!$D$7:$D$91,0),MATCH(Calculation!$G1271,'Gross Gen Plant'!$E$5:$AD$5,0))</f>
        <v>103401</v>
      </c>
      <c r="CG1271" s="118">
        <f t="shared" si="3767"/>
        <v>500042</v>
      </c>
      <c r="CH1271" s="118"/>
      <c r="CI1271" s="121">
        <v>2009</v>
      </c>
      <c r="CJ1271" s="118"/>
      <c r="CK1271" s="118"/>
      <c r="CL1271" s="118"/>
      <c r="CM1271" s="183"/>
      <c r="CN1271" s="118">
        <f t="shared" si="3787"/>
        <v>62877</v>
      </c>
      <c r="CO1271" s="118">
        <f t="shared" si="3788"/>
        <v>114.12663325318644</v>
      </c>
      <c r="CP1271" s="186">
        <v>0.93567251461988299</v>
      </c>
      <c r="CQ1271" s="118">
        <f>+CQ1260*CP1271+CO1261*CP1270+CO1262*CP1269+CO1263*CP1268+CO1264*CP1267+CO1265*CP1266+CO1266*CP1265+CO1267*CP1264+CO1268*CP1263+CO1269*CP1262+CO1270*CP1261+CO1271</f>
        <v>2940.2807962120664</v>
      </c>
      <c r="CR1271" s="119">
        <f t="shared" si="3789"/>
        <v>3.2869230418971343E-2</v>
      </c>
      <c r="CS1271" s="119"/>
      <c r="CT1271" s="177">
        <f t="shared" si="3790"/>
        <v>6.6964987133895926E-3</v>
      </c>
      <c r="CU1271" s="177">
        <f t="shared" si="3798"/>
        <v>6.5177544396435539E-3</v>
      </c>
      <c r="CV1271" s="119">
        <f>VLOOKUP($H1271,RoR!$E:$F,2,FALSE)</f>
        <v>5.3133333333333324E-2</v>
      </c>
      <c r="CW1271" s="177">
        <v>7.7972502758210105E-3</v>
      </c>
      <c r="CX1271" s="177">
        <f t="shared" si="3796"/>
        <v>4.5336083057512314E-2</v>
      </c>
      <c r="CY1271" s="177">
        <f t="shared" si="3799"/>
        <v>2.438418716889007E-2</v>
      </c>
      <c r="CZ1271" s="177">
        <f t="shared" si="3800"/>
        <v>6.3720160300892073E-2</v>
      </c>
      <c r="DA1271" s="187">
        <f t="shared" si="3791"/>
        <v>0.84949374999999994</v>
      </c>
      <c r="DB1271" s="188">
        <f t="shared" si="3792"/>
        <v>0.96515780330083989</v>
      </c>
      <c r="DC1271" s="188">
        <f t="shared" si="3793"/>
        <v>0.50448557089084056</v>
      </c>
      <c r="DD1271" s="188">
        <f t="shared" si="3794"/>
        <v>0.87391435735465484</v>
      </c>
      <c r="DE1271" s="188">
        <f t="shared" si="3795"/>
        <v>0.42551605393279146</v>
      </c>
      <c r="DF1271" s="189">
        <f>INDEX('State Tax Lookup'!$D$7:$Z$91,MATCH(Calculation!$C1271,'State Tax Lookup'!$B$7:$B$91,0),MATCH($H1271,'State Tax Lookup'!$D$6:$Z$6,0))</f>
        <v>0.40134999999999998</v>
      </c>
      <c r="DG1271" s="189">
        <v>0.375</v>
      </c>
      <c r="DH1271" s="190">
        <f t="shared" si="3797"/>
        <v>18.97297703814877</v>
      </c>
      <c r="DI1271" s="190">
        <v>18.661870713989526</v>
      </c>
      <c r="DJ1271" s="177"/>
      <c r="DK1271" s="189">
        <f>VLOOKUP($H1271,RoR!$E:$F,2,FALSE)</f>
        <v>5.3133333333333324E-2</v>
      </c>
      <c r="DL1271" s="191">
        <f>HLOOKUP($H1271,'GDP-PI'!$D$8:$CQ$11,3,FALSE)</f>
        <v>7.7972502758210105E-3</v>
      </c>
      <c r="DM1271" s="189">
        <f>VLOOKUP(H1271,'HW Dx Data'!$E:$F,2,FALSE)</f>
        <v>550.94063679692806</v>
      </c>
      <c r="DN1271" s="183">
        <f>VLOOKUP(H1271,'ECI - Input Price'!$G$17:$H$37,2,FALSE)</f>
        <v>109.77499999999999</v>
      </c>
      <c r="DO1271" s="177">
        <f t="shared" ref="DO1271" si="3831">LN(DN1271/DN1270)</f>
        <v>1.4220423119736749E-2</v>
      </c>
      <c r="DP1271" s="183">
        <f>HLOOKUP(H1271,'GDP-PI'!$8:$9,2,FALSE)</f>
        <v>94.998999999999995</v>
      </c>
      <c r="DQ1271" s="177">
        <f t="shared" ref="DQ1271" si="3832">LN(DP1271/DP1270)</f>
        <v>7.7670088183096342E-3</v>
      </c>
    </row>
    <row r="1272" spans="1:121" s="167" customFormat="1" ht="21" x14ac:dyDescent="0.35">
      <c r="A1272" s="167" t="s">
        <v>117</v>
      </c>
      <c r="B1272" s="167" t="s">
        <v>117</v>
      </c>
      <c r="C1272" s="167">
        <v>4008752</v>
      </c>
      <c r="D1272" s="168" t="s">
        <v>144</v>
      </c>
      <c r="E1272" s="168"/>
      <c r="F1272" s="198"/>
      <c r="G1272" s="167" t="s">
        <v>16</v>
      </c>
      <c r="H1272" s="169">
        <v>2010</v>
      </c>
      <c r="I1272" s="170"/>
      <c r="J1272" s="166">
        <f>IFERROR(INDEX('Labor Expenditures'!$F$7:$X$91,MATCH($C1272,'Labor Expenditures'!$D$7:$D$91,0),MATCH($G1272,'Labor Expenditures'!$F$5:$X$5,0)),"NA")</f>
        <v>30655.385987143243</v>
      </c>
      <c r="K1272" s="166">
        <f t="shared" si="3803"/>
        <v>274.01462334876641</v>
      </c>
      <c r="L1272" s="172">
        <f t="shared" si="3810"/>
        <v>-3.1366069225377165E-2</v>
      </c>
      <c r="M1272" s="172">
        <f t="shared" si="3814"/>
        <v>-4.2728520747720416E-4</v>
      </c>
      <c r="N1272" s="196"/>
      <c r="O1272" s="172"/>
      <c r="P1272" s="166">
        <f>IFERROR(INDEX('Non-Labor Expenditures'!$F$7:$AB$91,MATCH($C1272,'Non-Labor Expenditures'!$D$7:$D$91,0),MATCH($G1272,'Non-Labor Expenditures'!$F$5:$AB$5,0)),"NA")</f>
        <v>44394.724545694429</v>
      </c>
      <c r="Q1272" s="166">
        <f t="shared" si="3804"/>
        <v>461.92057503141672</v>
      </c>
      <c r="R1272" s="172">
        <f t="shared" si="3815"/>
        <v>-2.4033307885289287E-2</v>
      </c>
      <c r="S1272" s="172">
        <f t="shared" si="3820"/>
        <v>-3.2739444883393346E-4</v>
      </c>
      <c r="T1272" s="172"/>
      <c r="U1272" s="172"/>
      <c r="V1272" s="166">
        <f t="shared" si="3785"/>
        <v>57240.435994962361</v>
      </c>
      <c r="W1272" s="170"/>
      <c r="X1272" s="174">
        <v>3043.3840919552608</v>
      </c>
      <c r="Y1272" s="175">
        <v>3.4464998721247052E-2</v>
      </c>
      <c r="Z1272" s="175">
        <f t="shared" si="3821"/>
        <v>4.6950046636366635E-4</v>
      </c>
      <c r="AA1272" s="175"/>
      <c r="AB1272" s="175"/>
      <c r="AC1272" s="170">
        <f t="shared" si="3648"/>
        <v>132290.54652780003</v>
      </c>
      <c r="AD1272" s="175">
        <f t="shared" si="3816"/>
        <v>1.7698158556037898E-2</v>
      </c>
      <c r="AE1272" s="170"/>
      <c r="AF1272" s="170"/>
      <c r="AG1272" s="121">
        <f t="shared" si="3817"/>
        <v>221.47126782996227</v>
      </c>
      <c r="AH1272" s="119">
        <f>+AZ1272/$BB$48</f>
        <v>1.6657765600183821E-2</v>
      </c>
      <c r="AI1272" s="119"/>
      <c r="AJ1272" s="176">
        <f t="shared" si="3822"/>
        <v>3.6892164666870433</v>
      </c>
      <c r="AK1272" s="176">
        <f t="shared" si="3823"/>
        <v>0</v>
      </c>
      <c r="AL1272" s="120">
        <f t="shared" si="3805"/>
        <v>0.23172771442667828</v>
      </c>
      <c r="AM1272" s="120">
        <f t="shared" si="3806"/>
        <v>0.33558501125675788</v>
      </c>
      <c r="AN1272" s="120">
        <f t="shared" si="3807"/>
        <v>0.43268727431656379</v>
      </c>
      <c r="AO1272" s="120">
        <f t="shared" si="3811"/>
        <v>-9.54322861377312E-4</v>
      </c>
      <c r="AP1272" s="173">
        <f t="shared" si="3827"/>
        <v>95.358020792840463</v>
      </c>
      <c r="AQ1272" s="175">
        <f t="shared" si="3828"/>
        <v>-9.5432286137728684E-4</v>
      </c>
      <c r="AR1272" s="177">
        <f>+AC1272/$AE$48</f>
        <v>1.3622529632482701E-2</v>
      </c>
      <c r="AS1272" s="177">
        <f t="shared" si="3824"/>
        <v>-1.3000291458067771E-5</v>
      </c>
      <c r="AT1272" s="177"/>
      <c r="AU1272" s="177"/>
      <c r="AV1272" s="177"/>
      <c r="AW1272" s="190"/>
      <c r="AX1272" s="120"/>
      <c r="AY1272" s="120"/>
      <c r="AZ1272" s="118">
        <f>IFERROR(INDEX('Total Customers'!$F$7:$AB$91,MATCH($C1272,'Total Customers'!$D$7:$D$91,0),MATCH($G1272,'Total Customers'!$F$5:$AB$5,0)),"NA")</f>
        <v>597326</v>
      </c>
      <c r="BA1272" s="119">
        <f t="shared" si="3786"/>
        <v>4.4025882586102415E-3</v>
      </c>
      <c r="BB1272" s="119"/>
      <c r="BC1272" s="121"/>
      <c r="BD1272" s="119"/>
      <c r="BE1272" s="119"/>
      <c r="BF1272" s="119"/>
      <c r="BG1272" s="173"/>
      <c r="BH1272" s="173"/>
      <c r="BI1272" s="173"/>
      <c r="BJ1272" s="173"/>
      <c r="BK1272" s="173"/>
      <c r="BL1272" s="173"/>
      <c r="BM1272" s="173"/>
      <c r="BN1272" s="173"/>
      <c r="BO1272" s="173"/>
      <c r="BP1272" s="173"/>
      <c r="BQ1272" s="118"/>
      <c r="BR1272" s="118"/>
      <c r="BS1272" s="118">
        <f>INDEX('Dist. Plant Gas Additions'!$F$7:$AE$91,MATCH($C1272,'Dist. Plant Gas Additions'!$D$7:$D$91,0),MATCH(Calculation!$G1272,'Dist. Plant Gas Additions'!$F$5:$AE$5,0))</f>
        <v>65517</v>
      </c>
      <c r="BT1272" s="118">
        <f>INDEX('Gen. Plant Additions'!$F$7:$AE$91,MATCH($C1272,'Gen. Plant Additions'!$D$7:$D$91,0),MATCH(Calculation!$G1272,'Gen. Plant Additions'!$F$5:$AE$5,0))</f>
        <v>4687</v>
      </c>
      <c r="BU1272" s="118"/>
      <c r="BV1272" s="118"/>
      <c r="BW1272" s="118">
        <f>INDEX('Dist Plant Depreciation'!$E$7:$AD$94,MATCH($C1272,'Dist Plant Depreciation'!$D$7:$D$94,0),MATCH(Calculation!$G1272,'Dist Plant Depreciation'!$E$5:$AD$5,0))</f>
        <v>681627</v>
      </c>
      <c r="BX1272" s="118">
        <f>INDEX('Gen. Plant Depreciation'!$E$7:$AD$94,MATCH($C1272,'Gen. Plant Depreciation'!$D$7:$D$94,0),MATCH(Calculation!$G1272,'Gen. Plant Depreciation'!$E$5:$AD$5,0))</f>
        <v>44692</v>
      </c>
      <c r="BY1272" s="118"/>
      <c r="BZ1272" s="118"/>
      <c r="CA1272" s="118"/>
      <c r="CB1272" s="118"/>
      <c r="CC1272" s="118"/>
      <c r="CD1272" s="183"/>
      <c r="CE1272" s="118">
        <f>INDEX('Gross Dx Plant'!$E$7:$AD$91,MATCH($C1272,'Gross Dx Plant'!$D$7:$D$91,0),MATCH(Calculation!$G1272,'Gross Dx Plant'!$E$5:$AD$5,0))</f>
        <v>1157689</v>
      </c>
      <c r="CF1272" s="118">
        <f>INDEX('Gross Gen Plant'!$E$7:$AD$91,MATCH($C1272,'Gross Gen Plant'!$D$7:$D$91,0),MATCH(Calculation!$G1272,'Gross Gen Plant'!$E$5:$AD$5,0))</f>
        <v>105052</v>
      </c>
      <c r="CG1272" s="118">
        <f t="shared" si="3767"/>
        <v>536422</v>
      </c>
      <c r="CH1272" s="118"/>
      <c r="CI1272" s="121">
        <v>2010</v>
      </c>
      <c r="CJ1272" s="118"/>
      <c r="CK1272" s="118"/>
      <c r="CL1272" s="118"/>
      <c r="CM1272" s="183"/>
      <c r="CN1272" s="118">
        <f t="shared" si="3787"/>
        <v>70204</v>
      </c>
      <c r="CO1272" s="118">
        <f t="shared" si="3788"/>
        <v>123.38364710690772</v>
      </c>
      <c r="CP1272" s="186">
        <v>0.9285714285714286</v>
      </c>
      <c r="CQ1272" s="118">
        <f>+CQ1260*CP1272+CO1261*CP1271+CO1262*CP1270+CO1263*CP1269+CO1264*CP1268+CO1265*CP1267+CO1266*CP1266+CO1267*CP1265+CO1268*CP1264+CO1269*CP1263+CO1270*CP1262+CO1271*CP1261+CO1272</f>
        <v>3043.3840919552608</v>
      </c>
      <c r="CR1272" s="119">
        <f t="shared" si="3789"/>
        <v>3.4464998721247052E-2</v>
      </c>
      <c r="CS1272" s="119"/>
      <c r="CT1272" s="177">
        <f t="shared" si="3790"/>
        <v>6.8974199300421545E-3</v>
      </c>
      <c r="CU1272" s="177">
        <f t="shared" si="3798"/>
        <v>6.7062778554515369E-3</v>
      </c>
      <c r="CV1272" s="119">
        <f>VLOOKUP($H1272,RoR!$E:$F,2,FALSE)</f>
        <v>4.9433333333333322E-2</v>
      </c>
      <c r="CW1272" s="177">
        <v>1.1684333519300205E-2</v>
      </c>
      <c r="CX1272" s="177">
        <f t="shared" si="3796"/>
        <v>3.7748999814033117E-2</v>
      </c>
      <c r="CY1272" s="177">
        <f t="shared" si="3799"/>
        <v>2.4195663753082089E-2</v>
      </c>
      <c r="CZ1272" s="177">
        <f t="shared" si="3800"/>
        <v>4.7937530248493419E-2</v>
      </c>
      <c r="DA1272" s="187">
        <f t="shared" si="3791"/>
        <v>0.84949374999999994</v>
      </c>
      <c r="DB1272" s="188">
        <f t="shared" si="3792"/>
        <v>1.037398205301105</v>
      </c>
      <c r="DC1272" s="188">
        <f t="shared" si="3793"/>
        <v>0.46926837491571133</v>
      </c>
      <c r="DD1272" s="188">
        <f t="shared" si="3794"/>
        <v>0.8548537519972772</v>
      </c>
      <c r="DE1272" s="188">
        <f t="shared" si="3795"/>
        <v>0.41615833911547367</v>
      </c>
      <c r="DF1272" s="189">
        <f>INDEX('State Tax Lookup'!$D$7:$Z$91,MATCH(Calculation!$C1272,'State Tax Lookup'!$B$7:$B$91,0),MATCH($H1272,'State Tax Lookup'!$D$6:$Z$6,0))</f>
        <v>0.40134999999999998</v>
      </c>
      <c r="DG1272" s="189">
        <v>0.375</v>
      </c>
      <c r="DH1272" s="190">
        <f t="shared" si="3797"/>
        <v>19.467676716014548</v>
      </c>
      <c r="DI1272" s="190">
        <v>19.168770450696158</v>
      </c>
      <c r="DJ1272" s="177"/>
      <c r="DK1272" s="189">
        <f>VLOOKUP($H1272,RoR!$E:$F,2,FALSE)</f>
        <v>4.9433333333333322E-2</v>
      </c>
      <c r="DL1272" s="191">
        <f>HLOOKUP($H1272,'GDP-PI'!$D$8:$CQ$11,3,FALSE)</f>
        <v>1.1684333519300205E-2</v>
      </c>
      <c r="DM1272" s="189">
        <f>VLOOKUP(H1272,'HW Dx Data'!$E:$F,2,FALSE)</f>
        <v>568.98950262971744</v>
      </c>
      <c r="DN1272" s="183">
        <f>VLOOKUP(H1272,'ECI - Input Price'!$G$17:$H$37,2,FALSE)</f>
        <v>111.875</v>
      </c>
      <c r="DO1272" s="177">
        <f t="shared" ref="DO1272" si="3833">LN(DN1272/DN1271)</f>
        <v>1.8949360147238387E-2</v>
      </c>
      <c r="DP1272" s="183">
        <f>HLOOKUP(H1272,'GDP-PI'!$8:$9,2,FALSE)</f>
        <v>96.108999999999995</v>
      </c>
      <c r="DQ1272" s="177">
        <f t="shared" ref="DQ1272" si="3834">LN(DP1272/DP1271)</f>
        <v>1.1616598807150427E-2</v>
      </c>
    </row>
    <row r="1273" spans="1:121" s="167" customFormat="1" ht="21" x14ac:dyDescent="0.35">
      <c r="A1273" s="167" t="s">
        <v>117</v>
      </c>
      <c r="B1273" s="167" t="s">
        <v>117</v>
      </c>
      <c r="C1273" s="167">
        <v>4008752</v>
      </c>
      <c r="D1273" s="168" t="s">
        <v>144</v>
      </c>
      <c r="E1273" s="168"/>
      <c r="F1273" s="198"/>
      <c r="G1273" s="167" t="s">
        <v>17</v>
      </c>
      <c r="H1273" s="169">
        <v>2011</v>
      </c>
      <c r="I1273" s="170"/>
      <c r="J1273" s="166">
        <f>IFERROR(INDEX('Labor Expenditures'!$F$7:$X$91,MATCH($C1273,'Labor Expenditures'!$D$7:$D$91,0),MATCH($G1273,'Labor Expenditures'!$F$5:$X$5,0)),"NA")</f>
        <v>32471.442668192594</v>
      </c>
      <c r="K1273" s="166">
        <f t="shared" si="3803"/>
        <v>284.08961214516705</v>
      </c>
      <c r="L1273" s="172">
        <f t="shared" si="3810"/>
        <v>3.6108249262741296E-2</v>
      </c>
      <c r="M1273" s="172">
        <f t="shared" si="3814"/>
        <v>5.0554241612738851E-4</v>
      </c>
      <c r="N1273" s="196"/>
      <c r="O1273" s="172"/>
      <c r="P1273" s="166">
        <f>IFERROR(INDEX('Non-Labor Expenditures'!$F$7:$AB$91,MATCH($C1273,'Non-Labor Expenditures'!$D$7:$D$91,0),MATCH($G1273,'Non-Labor Expenditures'!$F$5:$AB$5,0)),"NA")</f>
        <v>47024.713812453847</v>
      </c>
      <c r="Q1273" s="166">
        <f t="shared" si="3804"/>
        <v>479.29625135002698</v>
      </c>
      <c r="R1273" s="172">
        <f t="shared" si="3815"/>
        <v>3.6925924255637517E-2</v>
      </c>
      <c r="S1273" s="172">
        <f t="shared" si="3820"/>
        <v>5.169904757801239E-4</v>
      </c>
      <c r="T1273" s="172"/>
      <c r="U1273" s="172"/>
      <c r="V1273" s="166">
        <f t="shared" si="3785"/>
        <v>63295.358354267279</v>
      </c>
      <c r="W1273" s="170"/>
      <c r="X1273" s="174">
        <v>3155.3433737673963</v>
      </c>
      <c r="Y1273" s="175">
        <v>3.6127240435847932E-2</v>
      </c>
      <c r="Z1273" s="175">
        <f t="shared" si="3821"/>
        <v>5.0580830671287662E-4</v>
      </c>
      <c r="AA1273" s="175"/>
      <c r="AB1273" s="175"/>
      <c r="AC1273" s="170">
        <f t="shared" si="3648"/>
        <v>142791.51483491372</v>
      </c>
      <c r="AD1273" s="175">
        <f t="shared" si="3816"/>
        <v>7.6385014464910375E-2</v>
      </c>
      <c r="AE1273" s="170"/>
      <c r="AF1273" s="170"/>
      <c r="AG1273" s="121">
        <f t="shared" si="3817"/>
        <v>238.193086043047</v>
      </c>
      <c r="AH1273" s="119">
        <f>+AZ1273/$BB$49</f>
        <v>1.6636507411872871E-2</v>
      </c>
      <c r="AI1273" s="119"/>
      <c r="AJ1273" s="176">
        <f t="shared" si="3822"/>
        <v>3.9627010414120241</v>
      </c>
      <c r="AK1273" s="176">
        <f t="shared" si="3823"/>
        <v>0</v>
      </c>
      <c r="AL1273" s="120">
        <f t="shared" si="3805"/>
        <v>0.22740456746140672</v>
      </c>
      <c r="AM1273" s="120">
        <f t="shared" si="3806"/>
        <v>0.32932428699857108</v>
      </c>
      <c r="AN1273" s="120">
        <f t="shared" si="3807"/>
        <v>0.44327114554002223</v>
      </c>
      <c r="AO1273" s="120">
        <f t="shared" si="3811"/>
        <v>3.6388406854597932E-2</v>
      </c>
      <c r="AP1273" s="173">
        <f t="shared" si="3827"/>
        <v>98.891852579665894</v>
      </c>
      <c r="AQ1273" s="175">
        <f t="shared" si="3828"/>
        <v>3.6388406854597891E-2</v>
      </c>
      <c r="AR1273" s="177">
        <f>+AC1273/$AE$49</f>
        <v>1.4000745714609823E-2</v>
      </c>
      <c r="AS1273" s="177">
        <f t="shared" si="3824"/>
        <v>5.094648313309901E-4</v>
      </c>
      <c r="AT1273" s="177"/>
      <c r="AU1273" s="177"/>
      <c r="AV1273" s="177"/>
      <c r="AW1273" s="190"/>
      <c r="AX1273" s="120"/>
      <c r="AY1273" s="120"/>
      <c r="AZ1273" s="118">
        <f>IFERROR(INDEX('Total Customers'!$F$7:$AB$91,MATCH($C1273,'Total Customers'!$D$7:$D$91,0),MATCH($G1273,'Total Customers'!$F$5:$AB$5,0)),"NA")</f>
        <v>599478</v>
      </c>
      <c r="BA1273" s="119">
        <f t="shared" si="3786"/>
        <v>3.5962485408106868E-3</v>
      </c>
      <c r="BB1273" s="119"/>
      <c r="BC1273" s="121"/>
      <c r="BD1273" s="119"/>
      <c r="BE1273" s="119"/>
      <c r="BF1273" s="119"/>
      <c r="BG1273" s="173"/>
      <c r="BH1273" s="173"/>
      <c r="BI1273" s="173"/>
      <c r="BJ1273" s="173"/>
      <c r="BK1273" s="173"/>
      <c r="BL1273" s="173"/>
      <c r="BM1273" s="173"/>
      <c r="BN1273" s="173"/>
      <c r="BO1273" s="173"/>
      <c r="BP1273" s="173"/>
      <c r="BQ1273" s="118"/>
      <c r="BR1273" s="118"/>
      <c r="BS1273" s="118">
        <f>INDEX('Dist. Plant Gas Additions'!$F$7:$AE$91,MATCH($C1273,'Dist. Plant Gas Additions'!$D$7:$D$91,0),MATCH(Calculation!$G1273,'Dist. Plant Gas Additions'!$F$5:$AE$5,0))</f>
        <v>77117</v>
      </c>
      <c r="BT1273" s="118">
        <f>INDEX('Gen. Plant Additions'!$F$7:$AE$91,MATCH($C1273,'Gen. Plant Additions'!$D$7:$D$91,0),MATCH(Calculation!$G1273,'Gen. Plant Additions'!$F$5:$AE$5,0))</f>
        <v>4573</v>
      </c>
      <c r="BU1273" s="118"/>
      <c r="BV1273" s="118"/>
      <c r="BW1273" s="118">
        <f>INDEX('Dist Plant Depreciation'!$E$7:$AD$94,MATCH($C1273,'Dist Plant Depreciation'!$D$7:$D$94,0),MATCH(Calculation!$G1273,'Dist Plant Depreciation'!$E$5:$AD$5,0))</f>
        <v>692456</v>
      </c>
      <c r="BX1273" s="118">
        <f>INDEX('Gen. Plant Depreciation'!$E$7:$AD$94,MATCH($C1273,'Gen. Plant Depreciation'!$D$7:$D$94,0),MATCH(Calculation!$G1273,'Gen. Plant Depreciation'!$E$5:$AD$5,0))</f>
        <v>49597</v>
      </c>
      <c r="BY1273" s="118"/>
      <c r="BZ1273" s="118"/>
      <c r="CA1273" s="118"/>
      <c r="CB1273" s="118"/>
      <c r="CC1273" s="118"/>
      <c r="CD1273" s="183"/>
      <c r="CE1273" s="118">
        <f>INDEX('Gross Dx Plant'!$E$7:$AD$91,MATCH($C1273,'Gross Dx Plant'!$D$7:$D$91,0),MATCH(Calculation!$G1273,'Gross Dx Plant'!$E$5:$AD$5,0))</f>
        <v>1222177</v>
      </c>
      <c r="CF1273" s="118">
        <f>INDEX('Gross Gen Plant'!$E$7:$AD$91,MATCH($C1273,'Gross Gen Plant'!$D$7:$D$91,0),MATCH(Calculation!$G1273,'Gross Gen Plant'!$E$5:$AD$5,0))</f>
        <v>106530</v>
      </c>
      <c r="CG1273" s="118">
        <f t="shared" si="3767"/>
        <v>586654</v>
      </c>
      <c r="CH1273" s="118"/>
      <c r="CI1273" s="121">
        <v>2011</v>
      </c>
      <c r="CJ1273" s="118"/>
      <c r="CK1273" s="118"/>
      <c r="CL1273" s="118"/>
      <c r="CM1273" s="183"/>
      <c r="CN1273" s="118">
        <f t="shared" si="3787"/>
        <v>81690</v>
      </c>
      <c r="CO1273" s="118">
        <f t="shared" si="3788"/>
        <v>133.56526805653948</v>
      </c>
      <c r="CP1273" s="186">
        <v>0.92121212121212126</v>
      </c>
      <c r="CQ1273" s="118">
        <f>+CQ1260*CP1273+CO1261*CP1272+CO1262*CP1271+CO1263*CP1270+CO1264*CP1269+CO1265*CP1268+CO1266*CP1267+CO1267*CP1266+CO1268*CP1265+CO1269*CP1264+CO1270*CP1263+CO1271*CP1262+CO1272*CP1261+CO1273</f>
        <v>3155.3433737673963</v>
      </c>
      <c r="CR1273" s="119">
        <f t="shared" si="3789"/>
        <v>3.6127240435847932E-2</v>
      </c>
      <c r="CS1273" s="119"/>
      <c r="CT1273" s="177">
        <f t="shared" si="3790"/>
        <v>7.0993294278945095E-3</v>
      </c>
      <c r="CU1273" s="177">
        <f t="shared" si="3798"/>
        <v>6.8977493571087513E-3</v>
      </c>
      <c r="CV1273" s="119">
        <f>VLOOKUP($H1273,RoR!$E:$F,2,FALSE)</f>
        <v>4.6391666666666664E-2</v>
      </c>
      <c r="CW1273" s="177">
        <v>2.0840920205183799E-2</v>
      </c>
      <c r="CX1273" s="177">
        <f t="shared" si="3796"/>
        <v>2.5550746461482865E-2</v>
      </c>
      <c r="CY1273" s="177">
        <f t="shared" si="3799"/>
        <v>2.4004192251424875E-2</v>
      </c>
      <c r="CZ1273" s="177">
        <f t="shared" si="3800"/>
        <v>2.4810540821321614E-2</v>
      </c>
      <c r="DA1273" s="187">
        <f t="shared" si="3791"/>
        <v>0.84949374999999994</v>
      </c>
      <c r="DB1273" s="188">
        <f t="shared" si="3792"/>
        <v>1.1054151524782025</v>
      </c>
      <c r="DC1273" s="188">
        <f t="shared" si="3793"/>
        <v>0.43611011316687626</v>
      </c>
      <c r="DD1273" s="188">
        <f t="shared" si="3794"/>
        <v>0.83698442246886229</v>
      </c>
      <c r="DE1273" s="188">
        <f t="shared" si="3795"/>
        <v>0.40349573304423936</v>
      </c>
      <c r="DF1273" s="189">
        <f>INDEX('State Tax Lookup'!$D$7:$Z$91,MATCH(Calculation!$C1273,'State Tax Lookup'!$B$7:$B$91,0),MATCH($H1273,'State Tax Lookup'!$D$6:$Z$6,0))</f>
        <v>0.40134999999999998</v>
      </c>
      <c r="DG1273" s="189">
        <v>0.375</v>
      </c>
      <c r="DH1273" s="190">
        <f t="shared" si="3797"/>
        <v>20.797689822188158</v>
      </c>
      <c r="DI1273" s="190">
        <v>20.474011045013462</v>
      </c>
      <c r="DJ1273" s="177"/>
      <c r="DK1273" s="189">
        <f>VLOOKUP($H1273,RoR!$E:$F,2,FALSE)</f>
        <v>4.6391666666666664E-2</v>
      </c>
      <c r="DL1273" s="191">
        <f>HLOOKUP($H1273,'GDP-PI'!$D$8:$CQ$11,3,FALSE)</f>
        <v>2.0840920205183799E-2</v>
      </c>
      <c r="DM1273" s="189">
        <f>VLOOKUP(H1273,'HW Dx Data'!$E:$F,2,FALSE)</f>
        <v>611.61109612283201</v>
      </c>
      <c r="DN1273" s="183">
        <f>VLOOKUP(H1273,'ECI - Input Price'!$G$17:$H$37,2,FALSE)</f>
        <v>114.3</v>
      </c>
      <c r="DO1273" s="177">
        <f t="shared" ref="DO1273" si="3835">LN(DN1273/DN1272)</f>
        <v>2.1444394205745516E-2</v>
      </c>
      <c r="DP1273" s="183">
        <f>HLOOKUP(H1273,'GDP-PI'!$8:$9,2,FALSE)</f>
        <v>98.111999999999995</v>
      </c>
      <c r="DQ1273" s="177">
        <f t="shared" ref="DQ1273" si="3836">LN(DP1273/DP1272)</f>
        <v>2.0626719212849295E-2</v>
      </c>
    </row>
    <row r="1274" spans="1:121" s="167" customFormat="1" ht="21" x14ac:dyDescent="0.35">
      <c r="A1274" s="167" t="s">
        <v>117</v>
      </c>
      <c r="B1274" s="167" t="s">
        <v>117</v>
      </c>
      <c r="C1274" s="167">
        <v>4008752</v>
      </c>
      <c r="D1274" s="168" t="s">
        <v>144</v>
      </c>
      <c r="E1274" s="168"/>
      <c r="F1274" s="198"/>
      <c r="G1274" s="167" t="s">
        <v>18</v>
      </c>
      <c r="H1274" s="169">
        <v>2012</v>
      </c>
      <c r="I1274" s="170"/>
      <c r="J1274" s="166">
        <f>IFERROR(INDEX('Labor Expenditures'!$F$7:$X$91,MATCH($C1274,'Labor Expenditures'!$D$7:$D$91,0),MATCH($G1274,'Labor Expenditures'!$F$5:$X$5,0)),"NA")</f>
        <v>28804.610188444065</v>
      </c>
      <c r="K1274" s="166">
        <f t="shared" si="3803"/>
        <v>247.24987286218081</v>
      </c>
      <c r="L1274" s="172">
        <f t="shared" si="3810"/>
        <v>-0.13889026781756916</v>
      </c>
      <c r="M1274" s="172">
        <f t="shared" si="3814"/>
        <v>-1.8391727242984322E-3</v>
      </c>
      <c r="N1274" s="196"/>
      <c r="O1274" s="172"/>
      <c r="P1274" s="166">
        <f>IFERROR(INDEX('Non-Labor Expenditures'!$F$7:$AB$91,MATCH($C1274,'Non-Labor Expenditures'!$D$7:$D$91,0),MATCH($G1274,'Non-Labor Expenditures'!$F$5:$AB$5,0)),"NA")</f>
        <v>41714.455511941364</v>
      </c>
      <c r="Q1274" s="166">
        <f t="shared" si="3804"/>
        <v>417.14455511941361</v>
      </c>
      <c r="R1274" s="172">
        <f t="shared" si="3815"/>
        <v>-0.13888606835132128</v>
      </c>
      <c r="S1274" s="172">
        <f t="shared" si="3820"/>
        <v>-1.83911711533532E-3</v>
      </c>
      <c r="T1274" s="172"/>
      <c r="U1274" s="172"/>
      <c r="V1274" s="166">
        <f t="shared" si="3785"/>
        <v>70989.659187299898</v>
      </c>
      <c r="W1274" s="170"/>
      <c r="X1274" s="174">
        <v>3312.5860650929908</v>
      </c>
      <c r="Y1274" s="175">
        <v>4.8631848027013702E-2</v>
      </c>
      <c r="Z1274" s="175">
        <f t="shared" si="3821"/>
        <v>6.4397865904464733E-4</v>
      </c>
      <c r="AA1274" s="175"/>
      <c r="AB1274" s="175"/>
      <c r="AC1274" s="170">
        <f t="shared" si="3648"/>
        <v>141508.72488768533</v>
      </c>
      <c r="AD1274" s="175">
        <f t="shared" si="3816"/>
        <v>-9.0242530504414508E-3</v>
      </c>
      <c r="AE1274" s="170"/>
      <c r="AF1274" s="170"/>
      <c r="AG1274" s="121">
        <f t="shared" si="3817"/>
        <v>235.07604180886975</v>
      </c>
      <c r="AH1274" s="119">
        <f>+AZ1274/$BB$50</f>
        <v>1.6625274588559238E-2</v>
      </c>
      <c r="AI1274" s="119"/>
      <c r="AJ1274" s="176">
        <f t="shared" si="3822"/>
        <v>3.9082037442640911</v>
      </c>
      <c r="AK1274" s="176">
        <f t="shared" si="3823"/>
        <v>0</v>
      </c>
      <c r="AL1274" s="120">
        <f t="shared" si="3805"/>
        <v>0.2035535986300924</v>
      </c>
      <c r="AM1274" s="120">
        <f t="shared" si="3806"/>
        <v>0.29478362938433578</v>
      </c>
      <c r="AN1274" s="120">
        <f t="shared" si="3807"/>
        <v>0.50166277198557185</v>
      </c>
      <c r="AO1274" s="120">
        <f t="shared" si="3811"/>
        <v>-5.0290953583649239E-2</v>
      </c>
      <c r="AP1274" s="173">
        <f t="shared" si="3827"/>
        <v>94.041474332317406</v>
      </c>
      <c r="AQ1274" s="175">
        <f t="shared" si="3828"/>
        <v>-5.0290953583649226E-2</v>
      </c>
      <c r="AR1274" s="177">
        <f>+AC1274/$AE$50</f>
        <v>1.3241912145451151E-2</v>
      </c>
      <c r="AS1274" s="177">
        <f t="shared" si="3824"/>
        <v>-6.659483890656448E-4</v>
      </c>
      <c r="AT1274" s="177"/>
      <c r="AU1274" s="177"/>
      <c r="AV1274" s="177"/>
      <c r="AW1274" s="190"/>
      <c r="AX1274" s="120"/>
      <c r="AY1274" s="120"/>
      <c r="AZ1274" s="118">
        <f>IFERROR(INDEX('Total Customers'!$F$7:$AB$91,MATCH($C1274,'Total Customers'!$D$7:$D$91,0),MATCH($G1274,'Total Customers'!$F$5:$AB$5,0)),"NA")</f>
        <v>601970</v>
      </c>
      <c r="BA1274" s="119">
        <f t="shared" si="3786"/>
        <v>4.1483336335264029E-3</v>
      </c>
      <c r="BB1274" s="119"/>
      <c r="BC1274" s="121"/>
      <c r="BD1274" s="119"/>
      <c r="BE1274" s="119"/>
      <c r="BF1274" s="119"/>
      <c r="BG1274" s="173"/>
      <c r="BH1274" s="173"/>
      <c r="BI1274" s="173"/>
      <c r="BJ1274" s="173"/>
      <c r="BK1274" s="173"/>
      <c r="BL1274" s="173"/>
      <c r="BM1274" s="173"/>
      <c r="BN1274" s="173"/>
      <c r="BO1274" s="173"/>
      <c r="BP1274" s="173"/>
      <c r="BQ1274" s="118"/>
      <c r="BR1274" s="118"/>
      <c r="BS1274" s="118">
        <f>INDEX('Dist. Plant Gas Additions'!$F$7:$AE$91,MATCH($C1274,'Dist. Plant Gas Additions'!$D$7:$D$91,0),MATCH(Calculation!$G1274,'Dist. Plant Gas Additions'!$F$5:$AE$5,0))</f>
        <v>112569</v>
      </c>
      <c r="BT1274" s="118">
        <f>INDEX('Gen. Plant Additions'!$F$7:$AE$91,MATCH($C1274,'Gen. Plant Additions'!$D$7:$D$91,0),MATCH(Calculation!$G1274,'Gen. Plant Additions'!$F$5:$AE$5,0))</f>
        <v>8025</v>
      </c>
      <c r="BU1274" s="118"/>
      <c r="BV1274" s="118"/>
      <c r="BW1274" s="118">
        <f>INDEX('Dist Plant Depreciation'!$E$7:$AD$94,MATCH($C1274,'Dist Plant Depreciation'!$D$7:$D$94,0),MATCH(Calculation!$G1274,'Dist Plant Depreciation'!$E$5:$AD$5,0))</f>
        <v>706628</v>
      </c>
      <c r="BX1274" s="118">
        <f>INDEX('Gen. Plant Depreciation'!$E$7:$AD$94,MATCH($C1274,'Gen. Plant Depreciation'!$D$7:$D$94,0),MATCH(Calculation!$G1274,'Gen. Plant Depreciation'!$E$5:$AD$5,0))</f>
        <v>54584</v>
      </c>
      <c r="BY1274" s="118"/>
      <c r="BZ1274" s="118"/>
      <c r="CA1274" s="118"/>
      <c r="CB1274" s="118"/>
      <c r="CC1274" s="118"/>
      <c r="CD1274" s="183"/>
      <c r="CE1274" s="118">
        <f>INDEX('Gross Dx Plant'!$E$7:$AD$91,MATCH($C1274,'Gross Dx Plant'!$D$7:$D$91,0),MATCH(Calculation!$G1274,'Gross Dx Plant'!$E$5:$AD$5,0))</f>
        <v>1324645</v>
      </c>
      <c r="CF1274" s="118">
        <f>INDEX('Gross Gen Plant'!$E$7:$AD$91,MATCH($C1274,'Gross Gen Plant'!$D$7:$D$91,0),MATCH(Calculation!$G1274,'Gross Gen Plant'!$E$5:$AD$5,0))</f>
        <v>111221</v>
      </c>
      <c r="CG1274" s="118">
        <f t="shared" si="3767"/>
        <v>674654</v>
      </c>
      <c r="CH1274" s="118"/>
      <c r="CI1274" s="121">
        <v>2012</v>
      </c>
      <c r="CJ1274" s="118"/>
      <c r="CK1274" s="118"/>
      <c r="CL1274" s="118"/>
      <c r="CM1274" s="183"/>
      <c r="CN1274" s="118">
        <f t="shared" si="3787"/>
        <v>120594</v>
      </c>
      <c r="CO1274" s="118">
        <f t="shared" si="3788"/>
        <v>180.28183072830473</v>
      </c>
      <c r="CP1274" s="186">
        <v>0.9135802469135802</v>
      </c>
      <c r="CQ1274" s="118">
        <f>+CQ1260*CP1274+CO1261*CP1273+CO1262*CP1272+CO1263*CP1271+CO1264*CP1270+CO1265*CP1269+CO1266*CP1268+CO1267*CP1267+CO1268*CP1266+CO1269*CP1265+CO1270*CP1264+CO1271*CP1263+CO1272*CP1262+CO1273*CP1261+CO1274</f>
        <v>3312.5860650929908</v>
      </c>
      <c r="CR1274" s="119">
        <f t="shared" si="3789"/>
        <v>4.8631848027013702E-2</v>
      </c>
      <c r="CS1274" s="119"/>
      <c r="CT1274" s="177">
        <f t="shared" si="3790"/>
        <v>7.301626692755827E-3</v>
      </c>
      <c r="CU1274" s="177">
        <f t="shared" si="3798"/>
        <v>7.0994586835641639E-3</v>
      </c>
      <c r="CV1274" s="119">
        <f>VLOOKUP($H1274,RoR!$E:$F,2,FALSE)</f>
        <v>3.6733333333333333E-2</v>
      </c>
      <c r="CW1274" s="177">
        <v>1.924331376386168E-2</v>
      </c>
      <c r="CX1274" s="177">
        <f t="shared" si="3796"/>
        <v>1.7490019569471653E-2</v>
      </c>
      <c r="CY1274" s="177">
        <f t="shared" si="3799"/>
        <v>2.3802482924969462E-2</v>
      </c>
      <c r="CZ1274" s="177">
        <f t="shared" si="3800"/>
        <v>6.7122682943869583E-2</v>
      </c>
      <c r="DA1274" s="187">
        <f t="shared" si="3791"/>
        <v>0.84949374999999994</v>
      </c>
      <c r="DB1274" s="188">
        <f t="shared" si="3792"/>
        <v>1.3960631020522127</v>
      </c>
      <c r="DC1274" s="188">
        <f t="shared" si="3793"/>
        <v>0.29441923774954631</v>
      </c>
      <c r="DD1274" s="188">
        <f t="shared" si="3794"/>
        <v>0.76377954189366437</v>
      </c>
      <c r="DE1274" s="188">
        <f t="shared" si="3795"/>
        <v>0.31393465103033691</v>
      </c>
      <c r="DF1274" s="189">
        <f>INDEX('State Tax Lookup'!$D$7:$Z$91,MATCH(Calculation!$C1274,'State Tax Lookup'!$B$7:$B$91,0),MATCH($H1274,'State Tax Lookup'!$D$6:$Z$6,0))</f>
        <v>0.40134999999999998</v>
      </c>
      <c r="DG1274" s="189">
        <v>0.375</v>
      </c>
      <c r="DH1274" s="190">
        <f t="shared" si="3797"/>
        <v>22.498235779182451</v>
      </c>
      <c r="DI1274" s="190">
        <v>22.195314924612862</v>
      </c>
      <c r="DJ1274" s="177"/>
      <c r="DK1274" s="189">
        <f>VLOOKUP($H1274,RoR!$E:$F,2,FALSE)</f>
        <v>3.6733333333333333E-2</v>
      </c>
      <c r="DL1274" s="191">
        <f>HLOOKUP($H1274,'GDP-PI'!$D$8:$CQ$11,3,FALSE)</f>
        <v>1.924331376386168E-2</v>
      </c>
      <c r="DM1274" s="189">
        <f>VLOOKUP(H1274,'HW Dx Data'!$E:$F,2,FALSE)</f>
        <v>668.91932211262167</v>
      </c>
      <c r="DN1274" s="183">
        <f>VLOOKUP(H1274,'ECI - Input Price'!$G$17:$H$37,2,FALSE)</f>
        <v>116.5</v>
      </c>
      <c r="DO1274" s="177">
        <f t="shared" ref="DO1274" si="3837">LN(DN1274/DN1273)</f>
        <v>1.9064702204990347E-2</v>
      </c>
      <c r="DP1274" s="183">
        <f>HLOOKUP(H1274,'GDP-PI'!$8:$9,2,FALSE)</f>
        <v>100</v>
      </c>
      <c r="DQ1274" s="177">
        <f t="shared" ref="DQ1274" si="3838">LN(DP1274/DP1273)</f>
        <v>1.9060502738742411E-2</v>
      </c>
    </row>
    <row r="1275" spans="1:121" s="167" customFormat="1" ht="21" x14ac:dyDescent="0.35">
      <c r="A1275" s="167" t="s">
        <v>117</v>
      </c>
      <c r="B1275" s="167" t="s">
        <v>117</v>
      </c>
      <c r="C1275" s="167">
        <v>4008752</v>
      </c>
      <c r="D1275" s="168" t="s">
        <v>144</v>
      </c>
      <c r="E1275" s="168"/>
      <c r="F1275" s="198"/>
      <c r="G1275" s="167" t="s">
        <v>19</v>
      </c>
      <c r="H1275" s="169">
        <v>2013</v>
      </c>
      <c r="I1275" s="170"/>
      <c r="J1275" s="166">
        <f>IFERROR(INDEX('Labor Expenditures'!$F$7:$X$91,MATCH($C1275,'Labor Expenditures'!$D$7:$D$91,0),MATCH($G1275,'Labor Expenditures'!$F$5:$X$5,0)),"NA")</f>
        <v>28282.8393480343</v>
      </c>
      <c r="K1275" s="166">
        <f t="shared" si="3803"/>
        <v>238.22143060041526</v>
      </c>
      <c r="L1275" s="172">
        <f t="shared" si="3810"/>
        <v>-3.7198834485479088E-2</v>
      </c>
      <c r="M1275" s="172">
        <f t="shared" si="3814"/>
        <v>-4.7853087007717227E-4</v>
      </c>
      <c r="N1275" s="196"/>
      <c r="O1275" s="172"/>
      <c r="P1275" s="166">
        <f>IFERROR(INDEX('Non-Labor Expenditures'!$F$7:$AB$91,MATCH($C1275,'Non-Labor Expenditures'!$D$7:$D$91,0),MATCH($G1275,'Non-Labor Expenditures'!$F$5:$AB$5,0)),"NA")</f>
        <v>40958.833881677703</v>
      </c>
      <c r="Q1275" s="166">
        <f t="shared" si="3804"/>
        <v>402.45284979000036</v>
      </c>
      <c r="R1275" s="172">
        <f t="shared" si="3815"/>
        <v>-3.5854870072559226E-2</v>
      </c>
      <c r="S1275" s="172">
        <f t="shared" si="3820"/>
        <v>-4.6124192893794521E-4</v>
      </c>
      <c r="T1275" s="172"/>
      <c r="U1275" s="172"/>
      <c r="V1275" s="166">
        <f t="shared" si="3785"/>
        <v>73355.595627639705</v>
      </c>
      <c r="W1275" s="170"/>
      <c r="X1275" s="174">
        <v>3483.5724974461864</v>
      </c>
      <c r="Y1275" s="175">
        <v>5.0329174049998461E-2</v>
      </c>
      <c r="Z1275" s="175">
        <f t="shared" si="3821"/>
        <v>6.4744134544894528E-4</v>
      </c>
      <c r="AA1275" s="175"/>
      <c r="AB1275" s="175"/>
      <c r="AC1275" s="170">
        <f t="shared" si="3648"/>
        <v>142597.26885735171</v>
      </c>
      <c r="AD1275" s="175">
        <f t="shared" si="3816"/>
        <v>7.6629801577596498E-3</v>
      </c>
      <c r="AE1275" s="170"/>
      <c r="AF1275" s="170"/>
      <c r="AG1275" s="121">
        <f t="shared" si="3817"/>
        <v>235.65044545951349</v>
      </c>
      <c r="AH1275" s="119">
        <f>+AZ1275/$BB$51</f>
        <v>1.6605479701532803E-2</v>
      </c>
      <c r="AI1275" s="119"/>
      <c r="AJ1275" s="176">
        <f t="shared" si="3822"/>
        <v>3.9130886887351144</v>
      </c>
      <c r="AK1275" s="176">
        <f t="shared" si="3823"/>
        <v>0</v>
      </c>
      <c r="AL1275" s="120">
        <f t="shared" si="3805"/>
        <v>0.19834068053804915</v>
      </c>
      <c r="AM1275" s="120">
        <f t="shared" si="3806"/>
        <v>0.28723435034826084</v>
      </c>
      <c r="AN1275" s="120">
        <f t="shared" si="3807"/>
        <v>0.51442496911369007</v>
      </c>
      <c r="AO1275" s="120">
        <f t="shared" si="3811"/>
        <v>7.6603394786061221E-3</v>
      </c>
      <c r="AP1275" s="173">
        <f t="shared" si="3827"/>
        <v>94.76463022430876</v>
      </c>
      <c r="AQ1275" s="175">
        <f t="shared" si="3828"/>
        <v>7.6603394786060224E-3</v>
      </c>
      <c r="AR1275" s="177">
        <f>+AC1275/$AE$51</f>
        <v>1.2864136113296003E-2</v>
      </c>
      <c r="AS1275" s="177">
        <f t="shared" si="3824"/>
        <v>9.8543649726842811E-5</v>
      </c>
      <c r="AT1275" s="177"/>
      <c r="AU1275" s="177"/>
      <c r="AV1275" s="177"/>
      <c r="AW1275" s="190"/>
      <c r="AX1275" s="120"/>
      <c r="AY1275" s="120"/>
      <c r="AZ1275" s="118">
        <f>IFERROR(INDEX('Total Customers'!$F$7:$AB$91,MATCH($C1275,'Total Customers'!$D$7:$D$91,0),MATCH($G1275,'Total Customers'!$F$5:$AB$5,0)),"NA")</f>
        <v>605122</v>
      </c>
      <c r="BA1275" s="119">
        <f t="shared" si="3786"/>
        <v>5.2224804141633692E-3</v>
      </c>
      <c r="BB1275" s="119"/>
      <c r="BC1275" s="121"/>
      <c r="BD1275" s="119"/>
      <c r="BE1275" s="119"/>
      <c r="BF1275" s="119"/>
      <c r="BG1275" s="173"/>
      <c r="BH1275" s="173"/>
      <c r="BI1275" s="173"/>
      <c r="BJ1275" s="173"/>
      <c r="BK1275" s="173"/>
      <c r="BL1275" s="173"/>
      <c r="BM1275" s="173"/>
      <c r="BN1275" s="173"/>
      <c r="BO1275" s="173"/>
      <c r="BP1275" s="173"/>
      <c r="BQ1275" s="118"/>
      <c r="BR1275" s="118"/>
      <c r="BS1275" s="118">
        <f>INDEX('Dist. Plant Gas Additions'!$F$7:$AE$91,MATCH($C1275,'Dist. Plant Gas Additions'!$D$7:$D$91,0),MATCH(Calculation!$G1275,'Dist. Plant Gas Additions'!$F$5:$AE$5,0))</f>
        <v>119400</v>
      </c>
      <c r="BT1275" s="118">
        <f>INDEX('Gen. Plant Additions'!$F$7:$AE$91,MATCH($C1275,'Gen. Plant Additions'!$D$7:$D$91,0),MATCH(Calculation!$G1275,'Gen. Plant Additions'!$F$5:$AE$5,0))</f>
        <v>10433</v>
      </c>
      <c r="BU1275" s="118"/>
      <c r="BV1275" s="118"/>
      <c r="BW1275" s="118">
        <f>INDEX('Dist Plant Depreciation'!$E$7:$AD$94,MATCH($C1275,'Dist Plant Depreciation'!$D$7:$D$94,0),MATCH(Calculation!$G1275,'Dist Plant Depreciation'!$E$5:$AD$5,0))</f>
        <v>713860</v>
      </c>
      <c r="BX1275" s="118">
        <f>INDEX('Gen. Plant Depreciation'!$E$7:$AD$94,MATCH($C1275,'Gen. Plant Depreciation'!$D$7:$D$94,0),MATCH(Calculation!$G1275,'Gen. Plant Depreciation'!$E$5:$AD$5,0))</f>
        <v>59324</v>
      </c>
      <c r="BY1275" s="118"/>
      <c r="BZ1275" s="118"/>
      <c r="CA1275" s="118"/>
      <c r="CB1275" s="118"/>
      <c r="CC1275" s="118"/>
      <c r="CD1275" s="183"/>
      <c r="CE1275" s="118">
        <f>INDEX('Gross Dx Plant'!$E$7:$AD$91,MATCH($C1275,'Gross Dx Plant'!$D$7:$D$91,0),MATCH(Calculation!$G1275,'Gross Dx Plant'!$E$5:$AD$5,0))</f>
        <v>1425191</v>
      </c>
      <c r="CF1275" s="118">
        <f>INDEX('Gross Gen Plant'!$E$7:$AD$91,MATCH($C1275,'Gross Gen Plant'!$D$7:$D$91,0),MATCH(Calculation!$G1275,'Gross Gen Plant'!$E$5:$AD$5,0))</f>
        <v>117581</v>
      </c>
      <c r="CG1275" s="118">
        <f t="shared" si="3767"/>
        <v>769588</v>
      </c>
      <c r="CH1275" s="118"/>
      <c r="CI1275" s="121">
        <v>2013</v>
      </c>
      <c r="CJ1275" s="118"/>
      <c r="CK1275" s="118"/>
      <c r="CL1275" s="118"/>
      <c r="CM1275" s="183"/>
      <c r="CN1275" s="118">
        <f t="shared" si="3787"/>
        <v>129833</v>
      </c>
      <c r="CO1275" s="118">
        <f t="shared" si="3788"/>
        <v>195.75320336342241</v>
      </c>
      <c r="CP1275" s="186">
        <v>0.90566037735849059</v>
      </c>
      <c r="CQ1275" s="118">
        <f>+CQ1260*CP1275+CO1261*CP1274+CO1262*CP1273+CO1263*CP1272+CO1264*CP1271+CO1265*CP1270+CO1266*CP1269+CO1267*CP1268+CO1268*CP1267+CO1269*CP1266+CO1270*CP1265+CO1271*CP1264+CO1272*CP1263+CO1273*CP1262+CO1274*CP1261+CO1275</f>
        <v>3483.5724974461864</v>
      </c>
      <c r="CR1275" s="119">
        <f t="shared" si="3789"/>
        <v>5.0329174049998461E-2</v>
      </c>
      <c r="CS1275" s="119"/>
      <c r="CT1275" s="177">
        <f t="shared" si="3790"/>
        <v>7.4765668041689255E-3</v>
      </c>
      <c r="CU1275" s="177">
        <f t="shared" si="3798"/>
        <v>7.2925076416064209E-3</v>
      </c>
      <c r="CV1275" s="119">
        <f>VLOOKUP($H1275,RoR!$E:$F,2,FALSE)</f>
        <v>4.2350000000000006E-2</v>
      </c>
      <c r="CW1275" s="177">
        <v>1.7730000000000024E-2</v>
      </c>
      <c r="CX1275" s="177">
        <f t="shared" si="3796"/>
        <v>2.4619999999999982E-2</v>
      </c>
      <c r="CY1275" s="177">
        <f t="shared" si="3799"/>
        <v>2.3609433966927204E-2</v>
      </c>
      <c r="CZ1275" s="177">
        <f t="shared" si="3800"/>
        <v>5.3376742735721204E-2</v>
      </c>
      <c r="DA1275" s="187">
        <f t="shared" si="3791"/>
        <v>0.84949374999999994</v>
      </c>
      <c r="DB1275" s="188">
        <f t="shared" si="3792"/>
        <v>1.2109103018193925</v>
      </c>
      <c r="DC1275" s="188">
        <f t="shared" si="3793"/>
        <v>0.38468122786304604</v>
      </c>
      <c r="DD1275" s="188">
        <f t="shared" si="3794"/>
        <v>0.80969194503422559</v>
      </c>
      <c r="DE1275" s="188">
        <f t="shared" si="3795"/>
        <v>0.37716621754800816</v>
      </c>
      <c r="DF1275" s="189">
        <f>INDEX('State Tax Lookup'!$D$7:$Z$91,MATCH(Calculation!$C1275,'State Tax Lookup'!$B$7:$B$91,0),MATCH($H1275,'State Tax Lookup'!$D$6:$Z$6,0))</f>
        <v>0.40134999999999998</v>
      </c>
      <c r="DG1275" s="189">
        <v>0.375</v>
      </c>
      <c r="DH1275" s="190">
        <f t="shared" si="3797"/>
        <v>22.14451011571845</v>
      </c>
      <c r="DI1275" s="190">
        <v>21.858362454564574</v>
      </c>
      <c r="DJ1275" s="177"/>
      <c r="DK1275" s="189">
        <f>VLOOKUP($H1275,RoR!$E:$F,2,FALSE)</f>
        <v>4.2350000000000006E-2</v>
      </c>
      <c r="DL1275" s="191">
        <f>HLOOKUP($H1275,'GDP-PI'!$D$8:$CQ$11,3,FALSE)</f>
        <v>1.7730000000000024E-2</v>
      </c>
      <c r="DM1275" s="189">
        <f>VLOOKUP(H1275,'HW Dx Data'!$E:$F,2,FALSE)</f>
        <v>663.24840548821396</v>
      </c>
      <c r="DN1275" s="183">
        <f>VLOOKUP(H1275,'ECI - Input Price'!$G$17:$H$37,2,FALSE)</f>
        <v>118.72499999999999</v>
      </c>
      <c r="DO1275" s="177">
        <f t="shared" ref="DO1275" si="3839">LN(DN1275/DN1274)</f>
        <v>1.8918621429430321E-2</v>
      </c>
      <c r="DP1275" s="183">
        <f>HLOOKUP(H1275,'GDP-PI'!$8:$9,2,FALSE)</f>
        <v>101.773</v>
      </c>
      <c r="DQ1275" s="177">
        <f t="shared" ref="DQ1275" si="3840">LN(DP1275/DP1274)</f>
        <v>1.7574657016510519E-2</v>
      </c>
    </row>
    <row r="1276" spans="1:121" s="167" customFormat="1" ht="21" x14ac:dyDescent="0.35">
      <c r="A1276" s="167" t="s">
        <v>117</v>
      </c>
      <c r="B1276" s="167" t="s">
        <v>117</v>
      </c>
      <c r="C1276" s="167">
        <v>4008752</v>
      </c>
      <c r="D1276" s="168" t="s">
        <v>144</v>
      </c>
      <c r="E1276" s="168"/>
      <c r="F1276" s="198"/>
      <c r="G1276" s="167" t="s">
        <v>20</v>
      </c>
      <c r="H1276" s="169">
        <v>2014</v>
      </c>
      <c r="I1276" s="170"/>
      <c r="J1276" s="166">
        <f>IFERROR(INDEX('Labor Expenditures'!$F$7:$X$91,MATCH($C1276,'Labor Expenditures'!$D$7:$D$91,0),MATCH($G1276,'Labor Expenditures'!$F$5:$X$5,0)),"NA")</f>
        <v>29978.546517369425</v>
      </c>
      <c r="K1276" s="166">
        <f t="shared" si="3803"/>
        <v>247.34774354265201</v>
      </c>
      <c r="L1276" s="172">
        <f t="shared" si="3810"/>
        <v>3.7594593294265968E-2</v>
      </c>
      <c r="M1276" s="172">
        <f t="shared" si="3814"/>
        <v>5.0368003418612122E-4</v>
      </c>
      <c r="N1276" s="196"/>
      <c r="O1276" s="172"/>
      <c r="P1276" s="166">
        <f>IFERROR(INDEX('Non-Labor Expenditures'!$F$7:$AB$91,MATCH($C1276,'Non-Labor Expenditures'!$D$7:$D$91,0),MATCH($G1276,'Non-Labor Expenditures'!$F$5:$AB$5,0)),"NA")</f>
        <v>43414.534577286773</v>
      </c>
      <c r="Q1276" s="166">
        <f t="shared" si="3804"/>
        <v>418.86918653976255</v>
      </c>
      <c r="R1276" s="172">
        <f t="shared" si="3815"/>
        <v>3.9980720596038639E-2</v>
      </c>
      <c r="S1276" s="172">
        <f t="shared" si="3820"/>
        <v>5.3564858539565383E-4</v>
      </c>
      <c r="T1276" s="172"/>
      <c r="U1276" s="172"/>
      <c r="V1276" s="166">
        <f t="shared" si="3785"/>
        <v>79069.820449511652</v>
      </c>
      <c r="W1276" s="170"/>
      <c r="X1276" s="174">
        <v>3679.3193020267395</v>
      </c>
      <c r="Y1276" s="175">
        <v>5.4669415856335585E-2</v>
      </c>
      <c r="Z1276" s="175">
        <f t="shared" si="3821"/>
        <v>7.3244290826399855E-4</v>
      </c>
      <c r="AA1276" s="175"/>
      <c r="AB1276" s="175"/>
      <c r="AC1276" s="170">
        <f t="shared" si="3648"/>
        <v>152462.90154416783</v>
      </c>
      <c r="AD1276" s="175">
        <f t="shared" si="3816"/>
        <v>6.6896942566240708E-2</v>
      </c>
      <c r="AE1276" s="170"/>
      <c r="AF1276" s="170"/>
      <c r="AG1276" s="121">
        <f t="shared" si="3817"/>
        <v>250.3857725651126</v>
      </c>
      <c r="AH1276" s="119">
        <f>+AZ1276/$BB$52</f>
        <v>1.6619785324147662E-2</v>
      </c>
      <c r="AI1276" s="119"/>
      <c r="AJ1276" s="176">
        <f t="shared" si="3822"/>
        <v>4.1613577882530324</v>
      </c>
      <c r="AK1276" s="176">
        <f t="shared" si="3823"/>
        <v>0</v>
      </c>
      <c r="AL1276" s="120">
        <f t="shared" si="3805"/>
        <v>0.19662846642522261</v>
      </c>
      <c r="AM1276" s="120">
        <f t="shared" si="3806"/>
        <v>0.28475474451540445</v>
      </c>
      <c r="AN1276" s="120">
        <f t="shared" si="3807"/>
        <v>0.51861678905937303</v>
      </c>
      <c r="AO1276" s="120">
        <f t="shared" si="3811"/>
        <v>4.7096515052057926E-2</v>
      </c>
      <c r="AP1276" s="173">
        <f t="shared" si="3827"/>
        <v>99.33448143039638</v>
      </c>
      <c r="AQ1276" s="175">
        <f t="shared" si="3828"/>
        <v>4.7096515052057947E-2</v>
      </c>
      <c r="AR1276" s="177">
        <f>+AC1276/$AE$52</f>
        <v>1.3397672113211658E-2</v>
      </c>
      <c r="AS1276" s="177">
        <f t="shared" si="3824"/>
        <v>6.3098366634240985E-4</v>
      </c>
      <c r="AT1276" s="177"/>
      <c r="AU1276" s="177"/>
      <c r="AV1276" s="177"/>
      <c r="AW1276" s="190"/>
      <c r="AX1276" s="120"/>
      <c r="AY1276" s="120"/>
      <c r="AZ1276" s="118">
        <f>IFERROR(INDEX('Total Customers'!$F$7:$AB$91,MATCH($C1276,'Total Customers'!$D$7:$D$91,0),MATCH($G1276,'Total Customers'!$F$5:$AB$5,0)),"NA")</f>
        <v>608912</v>
      </c>
      <c r="BA1276" s="119">
        <f t="shared" si="3786"/>
        <v>6.2436674957111419E-3</v>
      </c>
      <c r="BB1276" s="119"/>
      <c r="BC1276" s="121"/>
      <c r="BD1276" s="119"/>
      <c r="BE1276" s="119"/>
      <c r="BF1276" s="119"/>
      <c r="BG1276" s="173"/>
      <c r="BH1276" s="173"/>
      <c r="BI1276" s="173"/>
      <c r="BJ1276" s="173"/>
      <c r="BK1276" s="173"/>
      <c r="BL1276" s="173"/>
      <c r="BM1276" s="173"/>
      <c r="BN1276" s="173"/>
      <c r="BO1276" s="173"/>
      <c r="BP1276" s="173"/>
      <c r="BQ1276" s="118"/>
      <c r="BR1276" s="118"/>
      <c r="BS1276" s="118">
        <f>INDEX('Dist. Plant Gas Additions'!$F$7:$AE$91,MATCH($C1276,'Dist. Plant Gas Additions'!$D$7:$D$91,0),MATCH(Calculation!$G1276,'Dist. Plant Gas Additions'!$F$5:$AE$5,0))</f>
        <v>139849</v>
      </c>
      <c r="BT1276" s="118">
        <f>INDEX('Gen. Plant Additions'!$F$7:$AE$91,MATCH($C1276,'Gen. Plant Additions'!$D$7:$D$91,0),MATCH(Calculation!$G1276,'Gen. Plant Additions'!$F$5:$AE$5,0))</f>
        <v>12371</v>
      </c>
      <c r="BU1276" s="118"/>
      <c r="BV1276" s="118"/>
      <c r="BW1276" s="118">
        <f>INDEX('Dist Plant Depreciation'!$E$7:$AD$94,MATCH($C1276,'Dist Plant Depreciation'!$D$7:$D$94,0),MATCH(Calculation!$G1276,'Dist Plant Depreciation'!$E$5:$AD$5,0))</f>
        <v>721830</v>
      </c>
      <c r="BX1276" s="118">
        <f>INDEX('Gen. Plant Depreciation'!$E$7:$AD$94,MATCH($C1276,'Gen. Plant Depreciation'!$D$7:$D$94,0),MATCH(Calculation!$G1276,'Gen. Plant Depreciation'!$E$5:$AD$5,0))</f>
        <v>66112</v>
      </c>
      <c r="BY1276" s="118"/>
      <c r="BZ1276" s="118"/>
      <c r="CA1276" s="118"/>
      <c r="CB1276" s="118"/>
      <c r="CC1276" s="118"/>
      <c r="CD1276" s="183"/>
      <c r="CE1276" s="118">
        <f>INDEX('Gross Dx Plant'!$E$7:$AD$91,MATCH($C1276,'Gross Dx Plant'!$D$7:$D$91,0),MATCH(Calculation!$G1276,'Gross Dx Plant'!$E$5:$AD$5,0))</f>
        <v>1542369</v>
      </c>
      <c r="CF1276" s="118">
        <f>INDEX('Gross Gen Plant'!$E$7:$AD$91,MATCH($C1276,'Gross Gen Plant'!$D$7:$D$91,0),MATCH(Calculation!$G1276,'Gross Gen Plant'!$E$5:$AD$5,0))</f>
        <v>127509</v>
      </c>
      <c r="CG1276" s="118">
        <f t="shared" si="3767"/>
        <v>881936</v>
      </c>
      <c r="CH1276" s="118"/>
      <c r="CI1276" s="121">
        <v>2014</v>
      </c>
      <c r="CJ1276" s="118"/>
      <c r="CK1276" s="118"/>
      <c r="CL1276" s="118"/>
      <c r="CM1276" s="183"/>
      <c r="CN1276" s="118">
        <f t="shared" si="3787"/>
        <v>152220</v>
      </c>
      <c r="CO1276" s="118">
        <f t="shared" si="3788"/>
        <v>222.3913255842175</v>
      </c>
      <c r="CP1276" s="186">
        <v>0.89743589743589747</v>
      </c>
      <c r="CQ1276" s="118">
        <f>+CQ1260*CP1276+CO1261*CP1275+CO1262*CP1274+CO1263*CP1273+CO1264*CP1272+CO1265*CP1271+CO1266*CP1270+CO1267*CP1269+CO1268*CP1268+CO1269*CP1267+CO1270*CP1266+CO1271*CP1265+CO1272*CP1264+CO1273*CP1263+CO1274*CP1262+CO1275*CP1261+CO1276</f>
        <v>3679.3193020267395</v>
      </c>
      <c r="CR1276" s="119">
        <f t="shared" si="3789"/>
        <v>5.4669415856335585E-2</v>
      </c>
      <c r="CS1276" s="119"/>
      <c r="CT1276" s="177">
        <f t="shared" si="3790"/>
        <v>7.648619634928671E-3</v>
      </c>
      <c r="CU1276" s="177">
        <f t="shared" si="3798"/>
        <v>7.4756043772844748E-3</v>
      </c>
      <c r="CV1276" s="119">
        <f>VLOOKUP($H1276,RoR!$E:$F,2,FALSE)</f>
        <v>4.1625000000000002E-2</v>
      </c>
      <c r="CW1276" s="177">
        <v>1.841352814597208E-2</v>
      </c>
      <c r="CX1276" s="177">
        <f t="shared" si="3796"/>
        <v>2.3211471854027922E-2</v>
      </c>
      <c r="CY1276" s="177">
        <f t="shared" si="3799"/>
        <v>2.342633723124915E-2</v>
      </c>
      <c r="CZ1276" s="177">
        <f t="shared" si="3800"/>
        <v>3.9072621432650924E-2</v>
      </c>
      <c r="DA1276" s="187">
        <f t="shared" si="3791"/>
        <v>0.84949374999999994</v>
      </c>
      <c r="DB1276" s="188">
        <f t="shared" si="3792"/>
        <v>1.2320012320012319</v>
      </c>
      <c r="DC1276" s="188">
        <f t="shared" si="3793"/>
        <v>0.37439939939939942</v>
      </c>
      <c r="DD1276" s="188">
        <f t="shared" si="3794"/>
        <v>0.80432100613819935</v>
      </c>
      <c r="DE1276" s="188">
        <f t="shared" si="3795"/>
        <v>0.37100152660040037</v>
      </c>
      <c r="DF1276" s="189">
        <f>INDEX('State Tax Lookup'!$D$7:$Z$91,MATCH(Calculation!$C1276,'State Tax Lookup'!$B$7:$B$91,0),MATCH($H1276,'State Tax Lookup'!$D$6:$Z$6,0))</f>
        <v>0.40134999999999998</v>
      </c>
      <c r="DG1276" s="189">
        <v>0.375</v>
      </c>
      <c r="DH1276" s="190">
        <f t="shared" si="3797"/>
        <v>22.697911557023108</v>
      </c>
      <c r="DI1276" s="190">
        <v>22.40103593628054</v>
      </c>
      <c r="DJ1276" s="177"/>
      <c r="DK1276" s="189">
        <f>VLOOKUP($H1276,RoR!$E:$F,2,FALSE)</f>
        <v>4.1625000000000002E-2</v>
      </c>
      <c r="DL1276" s="191">
        <f>HLOOKUP($H1276,'GDP-PI'!$D$8:$CQ$11,3,FALSE)</f>
        <v>1.841352814597208E-2</v>
      </c>
      <c r="DM1276" s="189">
        <f>VLOOKUP(H1276,'HW Dx Data'!$E:$F,2,FALSE)</f>
        <v>684.46914285042885</v>
      </c>
      <c r="DN1276" s="183">
        <f>VLOOKUP(H1276,'ECI - Input Price'!$G$17:$H$37,2,FALSE)</f>
        <v>121.2</v>
      </c>
      <c r="DO1276" s="177">
        <f t="shared" ref="DO1276" si="3841">LN(DN1276/DN1275)</f>
        <v>2.0632179200028689E-2</v>
      </c>
      <c r="DP1276" s="183">
        <f>HLOOKUP(H1276,'GDP-PI'!$8:$9,2,FALSE)</f>
        <v>103.64700000000001</v>
      </c>
      <c r="DQ1276" s="177">
        <f t="shared" ref="DQ1276" si="3842">LN(DP1276/DP1275)</f>
        <v>1.8246051898256087E-2</v>
      </c>
    </row>
    <row r="1277" spans="1:121" s="167" customFormat="1" ht="21" x14ac:dyDescent="0.35">
      <c r="A1277" s="167" t="s">
        <v>117</v>
      </c>
      <c r="B1277" s="167" t="s">
        <v>117</v>
      </c>
      <c r="C1277" s="167">
        <v>4008752</v>
      </c>
      <c r="D1277" s="168" t="s">
        <v>144</v>
      </c>
      <c r="E1277" s="168"/>
      <c r="F1277" s="198"/>
      <c r="G1277" s="167" t="s">
        <v>21</v>
      </c>
      <c r="H1277" s="169">
        <v>2015</v>
      </c>
      <c r="I1277" s="170"/>
      <c r="J1277" s="166">
        <f>IFERROR(INDEX('Labor Expenditures'!$F$7:$X$91,MATCH($C1277,'Labor Expenditures'!$D$7:$D$91,0),MATCH($G1277,'Labor Expenditures'!$F$5:$X$5,0)),"NA")</f>
        <v>29547.537879615404</v>
      </c>
      <c r="K1277" s="166">
        <f t="shared" si="3803"/>
        <v>238.76798286557903</v>
      </c>
      <c r="L1277" s="172">
        <f t="shared" si="3810"/>
        <v>-3.5302917676604664E-2</v>
      </c>
      <c r="M1277" s="172">
        <f t="shared" si="3814"/>
        <v>-4.7406114665929318E-4</v>
      </c>
      <c r="N1277" s="196"/>
      <c r="O1277" s="172"/>
      <c r="P1277" s="166">
        <f>IFERROR(INDEX('Non-Labor Expenditures'!$F$7:$AB$91,MATCH($C1277,'Non-Labor Expenditures'!$D$7:$D$91,0),MATCH($G1277,'Non-Labor Expenditures'!$F$5:$AB$5,0)),"NA")</f>
        <v>42790.353568509723</v>
      </c>
      <c r="Q1277" s="166">
        <f t="shared" si="3804"/>
        <v>408.93312788262239</v>
      </c>
      <c r="R1277" s="172">
        <f t="shared" si="3815"/>
        <v>-2.400702604846195E-2</v>
      </c>
      <c r="S1277" s="172">
        <f t="shared" si="3820"/>
        <v>-3.2237557248576871E-4</v>
      </c>
      <c r="T1277" s="172"/>
      <c r="U1277" s="172"/>
      <c r="V1277" s="166">
        <f t="shared" si="3785"/>
        <v>82017.869924297891</v>
      </c>
      <c r="W1277" s="170"/>
      <c r="X1277" s="174">
        <v>4011.6007547181603</v>
      </c>
      <c r="Y1277" s="175">
        <v>8.6462589569834367E-2</v>
      </c>
      <c r="Z1277" s="175">
        <f t="shared" si="3821"/>
        <v>1.1610528832230415E-3</v>
      </c>
      <c r="AA1277" s="175"/>
      <c r="AB1277" s="175"/>
      <c r="AC1277" s="170">
        <f t="shared" si="3648"/>
        <v>154355.76137242303</v>
      </c>
      <c r="AD1277" s="175">
        <f t="shared" si="3816"/>
        <v>1.2338779037395636E-2</v>
      </c>
      <c r="AE1277" s="170"/>
      <c r="AF1277" s="170"/>
      <c r="AG1277" s="121">
        <f t="shared" si="3817"/>
        <v>251.19287568479118</v>
      </c>
      <c r="AH1277" s="119">
        <f>+AZ1277/$BB$53</f>
        <v>1.6636069227761976E-2</v>
      </c>
      <c r="AI1277" s="119"/>
      <c r="AJ1277" s="176">
        <f t="shared" si="3822"/>
        <v>4.1788620694127943</v>
      </c>
      <c r="AK1277" s="176">
        <f t="shared" si="3823"/>
        <v>0</v>
      </c>
      <c r="AL1277" s="120">
        <f t="shared" si="3805"/>
        <v>0.19142491097772735</v>
      </c>
      <c r="AM1277" s="120">
        <f t="shared" si="3806"/>
        <v>0.2772190243373357</v>
      </c>
      <c r="AN1277" s="120">
        <f t="shared" si="3807"/>
        <v>0.5313560646849369</v>
      </c>
      <c r="AO1277" s="120">
        <f t="shared" si="3811"/>
        <v>3.1796318284388586E-2</v>
      </c>
      <c r="AP1277" s="173">
        <f t="shared" si="3827"/>
        <v>102.54370255280857</v>
      </c>
      <c r="AQ1277" s="175">
        <f t="shared" si="3828"/>
        <v>3.1796318284388655E-2</v>
      </c>
      <c r="AR1277" s="177">
        <f>+AC1277/$AE$53</f>
        <v>1.3428384333611461E-2</v>
      </c>
      <c r="AS1277" s="177">
        <f t="shared" si="3824"/>
        <v>4.269731823166083E-4</v>
      </c>
      <c r="AT1277" s="177"/>
      <c r="AU1277" s="177"/>
      <c r="AV1277" s="177"/>
      <c r="AW1277" s="190"/>
      <c r="AX1277" s="120"/>
      <c r="AY1277" s="120"/>
      <c r="AZ1277" s="118">
        <f>IFERROR(INDEX('Total Customers'!$F$7:$AB$91,MATCH($C1277,'Total Customers'!$D$7:$D$91,0),MATCH($G1277,'Total Customers'!$F$5:$AB$5,0)),"NA")</f>
        <v>614491</v>
      </c>
      <c r="BA1277" s="119">
        <f t="shared" si="3786"/>
        <v>9.1205247552298713E-3</v>
      </c>
      <c r="BB1277" s="119"/>
      <c r="BC1277" s="121"/>
      <c r="BD1277" s="119"/>
      <c r="BE1277" s="119"/>
      <c r="BF1277" s="119"/>
      <c r="BG1277" s="173"/>
      <c r="BH1277" s="173"/>
      <c r="BI1277" s="173"/>
      <c r="BJ1277" s="173"/>
      <c r="BK1277" s="173"/>
      <c r="BL1277" s="173"/>
      <c r="BM1277" s="173"/>
      <c r="BN1277" s="173"/>
      <c r="BO1277" s="173"/>
      <c r="BP1277" s="173"/>
      <c r="BQ1277" s="118"/>
      <c r="BR1277" s="118"/>
      <c r="BS1277" s="118">
        <f>INDEX('Dist. Plant Gas Additions'!$F$7:$AE$91,MATCH($C1277,'Dist. Plant Gas Additions'!$D$7:$D$91,0),MATCH(Calculation!$G1277,'Dist. Plant Gas Additions'!$F$5:$AE$5,0))</f>
        <v>237906</v>
      </c>
      <c r="BT1277" s="118">
        <f>INDEX('Gen. Plant Additions'!$F$7:$AE$91,MATCH($C1277,'Gen. Plant Additions'!$D$7:$D$91,0),MATCH(Calculation!$G1277,'Gen. Plant Additions'!$F$5:$AE$5,0))</f>
        <v>6002</v>
      </c>
      <c r="BU1277" s="118"/>
      <c r="BV1277" s="118"/>
      <c r="BW1277" s="118">
        <f>INDEX('Dist Plant Depreciation'!$E$7:$AD$94,MATCH($C1277,'Dist Plant Depreciation'!$D$7:$D$94,0),MATCH(Calculation!$G1277,'Dist Plant Depreciation'!$E$5:$AD$5,0))</f>
        <v>744491</v>
      </c>
      <c r="BX1277" s="118">
        <f>INDEX('Gen. Plant Depreciation'!$E$7:$AD$94,MATCH($C1277,'Gen. Plant Depreciation'!$D$7:$D$94,0),MATCH(Calculation!$G1277,'Gen. Plant Depreciation'!$E$5:$AD$5,0))</f>
        <v>69976</v>
      </c>
      <c r="BY1277" s="118"/>
      <c r="BZ1277" s="118"/>
      <c r="CA1277" s="118"/>
      <c r="CB1277" s="118"/>
      <c r="CC1277" s="118"/>
      <c r="CD1277" s="183"/>
      <c r="CE1277" s="118">
        <f>INDEX('Gross Dx Plant'!$E$7:$AD$91,MATCH($C1277,'Gross Dx Plant'!$D$7:$D$91,0),MATCH(Calculation!$G1277,'Gross Dx Plant'!$E$5:$AD$5,0))</f>
        <v>1774474</v>
      </c>
      <c r="CF1277" s="118">
        <f>INDEX('Gross Gen Plant'!$E$7:$AD$91,MATCH($C1277,'Gross Gen Plant'!$D$7:$D$91,0),MATCH(Calculation!$G1277,'Gross Gen Plant'!$E$5:$AD$5,0))</f>
        <v>127953</v>
      </c>
      <c r="CG1277" s="118">
        <f t="shared" si="3767"/>
        <v>1087960</v>
      </c>
      <c r="CH1277" s="118"/>
      <c r="CI1277" s="121">
        <v>2015</v>
      </c>
      <c r="CJ1277" s="118"/>
      <c r="CK1277" s="118"/>
      <c r="CL1277" s="118"/>
      <c r="CM1277" s="183"/>
      <c r="CN1277" s="118">
        <f t="shared" si="3787"/>
        <v>243908</v>
      </c>
      <c r="CO1277" s="118">
        <f t="shared" si="3788"/>
        <v>361.01645532108404</v>
      </c>
      <c r="CP1277" s="186">
        <v>0.88888888888888884</v>
      </c>
      <c r="CQ1277" s="118">
        <f>+CQ1260*CP1277+CO1261*CP1276+CO1262*CP1275+CO1263*CP1274+CO1264*CP1273+CO1265*CP1272+CO1266*CP1271+CO1267*CP1270+CO1268*CP1269+CO1269*CP1268+CO1270*CP1267+CO1271*CP1266+CO1272*CP1265+CO1273*CP1264+CO1274*CP1263+CO1275*CP1262+CO1276*CP1261+CO1277</f>
        <v>4011.6007547181603</v>
      </c>
      <c r="CR1277" s="119">
        <f t="shared" si="3789"/>
        <v>8.6462589569834367E-2</v>
      </c>
      <c r="CS1277" s="119"/>
      <c r="CT1277" s="177">
        <f t="shared" si="3790"/>
        <v>7.809869236908764E-3</v>
      </c>
      <c r="CU1277" s="177">
        <f t="shared" si="3798"/>
        <v>7.6450185586687874E-3</v>
      </c>
      <c r="CV1277" s="119">
        <f>VLOOKUP($H1277,RoR!$E:$F,2,FALSE)</f>
        <v>3.8866666666666674E-2</v>
      </c>
      <c r="CW1277" s="177">
        <v>9.5709475431029478E-3</v>
      </c>
      <c r="CX1277" s="177">
        <f t="shared" si="3796"/>
        <v>2.9295719123563727E-2</v>
      </c>
      <c r="CY1277" s="177">
        <f t="shared" si="3799"/>
        <v>2.3256923049864837E-2</v>
      </c>
      <c r="CZ1277" s="177">
        <f t="shared" si="3800"/>
        <v>3.5270373279175926E-3</v>
      </c>
      <c r="DA1277" s="187">
        <f t="shared" si="3791"/>
        <v>0.84949374999999994</v>
      </c>
      <c r="DB1277" s="188">
        <f t="shared" si="3792"/>
        <v>1.3194352816994324</v>
      </c>
      <c r="DC1277" s="188">
        <f t="shared" si="3793"/>
        <v>0.33177530017152673</v>
      </c>
      <c r="DD1277" s="188">
        <f t="shared" si="3794"/>
        <v>0.78242572977668579</v>
      </c>
      <c r="DE1277" s="188">
        <f t="shared" si="3795"/>
        <v>0.34251158643433932</v>
      </c>
      <c r="DF1277" s="189">
        <f>INDEX('State Tax Lookup'!$D$7:$Z$91,MATCH(Calculation!$C1277,'State Tax Lookup'!$B$7:$B$91,0),MATCH($H1277,'State Tax Lookup'!$D$6:$Z$6,0))</f>
        <v>0.40134999999999998</v>
      </c>
      <c r="DG1277" s="189">
        <v>0.375</v>
      </c>
      <c r="DH1277" s="190">
        <f t="shared" si="3797"/>
        <v>22.291587979091307</v>
      </c>
      <c r="DI1277" s="190">
        <v>21.978315881188614</v>
      </c>
      <c r="DJ1277" s="177"/>
      <c r="DK1277" s="189">
        <f>VLOOKUP($H1277,RoR!$E:$F,2,FALSE)</f>
        <v>3.8866666666666674E-2</v>
      </c>
      <c r="DL1277" s="191">
        <f>HLOOKUP($H1277,'GDP-PI'!$D$8:$CQ$11,3,FALSE)</f>
        <v>9.5709475431029478E-3</v>
      </c>
      <c r="DM1277" s="189">
        <f>VLOOKUP(H1277,'HW Dx Data'!$E:$F,2,FALSE)</f>
        <v>675.61463308665782</v>
      </c>
      <c r="DN1277" s="183">
        <f>VLOOKUP(H1277,'ECI - Input Price'!$G$17:$H$37,2,FALSE)</f>
        <v>123.75</v>
      </c>
      <c r="DO1277" s="177">
        <f t="shared" ref="DO1277" si="3843">LN(DN1277/DN1276)</f>
        <v>2.0821327813585516E-2</v>
      </c>
      <c r="DP1277" s="183">
        <f>HLOOKUP(H1277,'GDP-PI'!$8:$9,2,FALSE)</f>
        <v>104.639</v>
      </c>
      <c r="DQ1277" s="177">
        <f t="shared" ref="DQ1277" si="3844">LN(DP1277/DP1276)</f>
        <v>9.5254361854427965E-3</v>
      </c>
    </row>
    <row r="1278" spans="1:121" s="167" customFormat="1" ht="21" x14ac:dyDescent="0.35">
      <c r="A1278" s="167" t="s">
        <v>117</v>
      </c>
      <c r="B1278" s="167" t="s">
        <v>117</v>
      </c>
      <c r="C1278" s="167">
        <v>4008752</v>
      </c>
      <c r="D1278" s="168" t="s">
        <v>144</v>
      </c>
      <c r="E1278" s="168"/>
      <c r="F1278" s="198"/>
      <c r="G1278" s="167" t="s">
        <v>22</v>
      </c>
      <c r="H1278" s="169">
        <v>2016</v>
      </c>
      <c r="I1278" s="170"/>
      <c r="J1278" s="166">
        <f>IFERROR(INDEX('Labor Expenditures'!$F$7:$X$91,MATCH($C1278,'Labor Expenditures'!$D$7:$D$91,0),MATCH($G1278,'Labor Expenditures'!$F$5:$X$5,0)),"NA")</f>
        <v>29453.666069882729</v>
      </c>
      <c r="K1278" s="166">
        <f t="shared" si="3803"/>
        <v>233.01951004654057</v>
      </c>
      <c r="L1278" s="172">
        <f t="shared" si="3810"/>
        <v>-2.4370113261791213E-2</v>
      </c>
      <c r="M1278" s="172">
        <f t="shared" si="3814"/>
        <v>-3.2867861700927473E-4</v>
      </c>
      <c r="N1278" s="196"/>
      <c r="O1278" s="172"/>
      <c r="P1278" s="166">
        <f>IFERROR(INDEX('Non-Labor Expenditures'!$F$7:$AB$91,MATCH($C1278,'Non-Labor Expenditures'!$D$7:$D$91,0),MATCH($G1278,'Non-Labor Expenditures'!$F$5:$AB$5,0)),"NA")</f>
        <v>42654.409655181225</v>
      </c>
      <c r="Q1278" s="166">
        <f t="shared" si="3804"/>
        <v>403.40479737441575</v>
      </c>
      <c r="R1278" s="172">
        <f t="shared" si="3815"/>
        <v>-1.3611123365038728E-2</v>
      </c>
      <c r="S1278" s="172">
        <f t="shared" si="3820"/>
        <v>-1.8357260614695794E-4</v>
      </c>
      <c r="T1278" s="172"/>
      <c r="U1278" s="172"/>
      <c r="V1278" s="166">
        <f t="shared" si="3785"/>
        <v>88358.17516778245</v>
      </c>
      <c r="W1278" s="170"/>
      <c r="X1278" s="174">
        <v>4157.7172738015515</v>
      </c>
      <c r="Y1278" s="175">
        <v>3.5775839039434904E-2</v>
      </c>
      <c r="Z1278" s="175">
        <f t="shared" si="3821"/>
        <v>4.8250712549062692E-4</v>
      </c>
      <c r="AA1278" s="175"/>
      <c r="AB1278" s="175"/>
      <c r="AC1278" s="170">
        <f t="shared" ref="AC1278:AC1331" si="3845">+J1278+P1278+V1278</f>
        <v>160466.25089284641</v>
      </c>
      <c r="AD1278" s="175">
        <f t="shared" si="3816"/>
        <v>3.8823568720865682E-2</v>
      </c>
      <c r="AE1278" s="170"/>
      <c r="AF1278" s="170"/>
      <c r="AG1278" s="121">
        <f t="shared" si="3817"/>
        <v>258.65716750783616</v>
      </c>
      <c r="AH1278" s="119">
        <f>+AZ1278/$BB$54</f>
        <v>1.6650438631383751E-2</v>
      </c>
      <c r="AI1278" s="119"/>
      <c r="AJ1278" s="176">
        <f t="shared" si="3822"/>
        <v>4.3067552941567735</v>
      </c>
      <c r="AK1278" s="176">
        <f t="shared" si="3823"/>
        <v>0</v>
      </c>
      <c r="AL1278" s="120">
        <f t="shared" si="3805"/>
        <v>0.18355053418398132</v>
      </c>
      <c r="AM1278" s="120">
        <f t="shared" si="3806"/>
        <v>0.26581545600927825</v>
      </c>
      <c r="AN1278" s="120">
        <f t="shared" si="3807"/>
        <v>0.55063400980674038</v>
      </c>
      <c r="AO1278" s="120">
        <f t="shared" si="3811"/>
        <v>1.1089799687415773E-2</v>
      </c>
      <c r="AP1278" s="173">
        <f t="shared" si="3827"/>
        <v>103.68722064714866</v>
      </c>
      <c r="AQ1278" s="175">
        <f t="shared" si="3828"/>
        <v>1.1089799687415707E-2</v>
      </c>
      <c r="AR1278" s="177">
        <f>+AC1278/$AE$54</f>
        <v>1.3486954840074335E-2</v>
      </c>
      <c r="AS1278" s="177">
        <f t="shared" si="3824"/>
        <v>1.4956762756964612E-4</v>
      </c>
      <c r="AT1278" s="177"/>
      <c r="AU1278" s="177"/>
      <c r="AV1278" s="177"/>
      <c r="AW1278" s="190"/>
      <c r="AX1278" s="120"/>
      <c r="AY1278" s="120"/>
      <c r="AZ1278" s="118">
        <f>IFERROR(INDEX('Total Customers'!$F$7:$AB$91,MATCH($C1278,'Total Customers'!$D$7:$D$91,0),MATCH($G1278,'Total Customers'!$F$5:$AB$5,0)),"NA")</f>
        <v>620382</v>
      </c>
      <c r="BA1278" s="119">
        <f t="shared" si="3786"/>
        <v>9.5411344966982569E-3</v>
      </c>
      <c r="BB1278" s="119"/>
      <c r="BC1278" s="121"/>
      <c r="BD1278" s="119"/>
      <c r="BE1278" s="119"/>
      <c r="BF1278" s="119"/>
      <c r="BG1278" s="173"/>
      <c r="BH1278" s="173"/>
      <c r="BI1278" s="173"/>
      <c r="BJ1278" s="173"/>
      <c r="BK1278" s="173"/>
      <c r="BL1278" s="173"/>
      <c r="BM1278" s="173"/>
      <c r="BN1278" s="173"/>
      <c r="BO1278" s="173"/>
      <c r="BP1278" s="173"/>
      <c r="BQ1278" s="118"/>
      <c r="BR1278" s="118"/>
      <c r="BS1278" s="118">
        <f>INDEX('Dist. Plant Gas Additions'!$F$7:$AE$91,MATCH($C1278,'Dist. Plant Gas Additions'!$D$7:$D$91,0),MATCH(Calculation!$G1278,'Dist. Plant Gas Additions'!$F$5:$AE$5,0))</f>
        <v>109519</v>
      </c>
      <c r="BT1278" s="118">
        <f>INDEX('Gen. Plant Additions'!$F$7:$AE$91,MATCH($C1278,'Gen. Plant Additions'!$D$7:$D$91,0),MATCH(Calculation!$G1278,'Gen. Plant Additions'!$F$5:$AE$5,0))</f>
        <v>9813</v>
      </c>
      <c r="BU1278" s="118"/>
      <c r="BV1278" s="118"/>
      <c r="BW1278" s="118">
        <f>INDEX('Dist Plant Depreciation'!$E$7:$AD$94,MATCH($C1278,'Dist Plant Depreciation'!$D$7:$D$94,0),MATCH(Calculation!$G1278,'Dist Plant Depreciation'!$E$5:$AD$5,0))</f>
        <v>771390</v>
      </c>
      <c r="BX1278" s="118">
        <f>INDEX('Gen. Plant Depreciation'!$E$7:$AD$94,MATCH($C1278,'Gen. Plant Depreciation'!$D$7:$D$94,0),MATCH(Calculation!$G1278,'Gen. Plant Depreciation'!$E$5:$AD$5,0))</f>
        <v>59722</v>
      </c>
      <c r="BY1278" s="118"/>
      <c r="BZ1278" s="118"/>
      <c r="CA1278" s="118"/>
      <c r="CB1278" s="118"/>
      <c r="CC1278" s="118"/>
      <c r="CD1278" s="183"/>
      <c r="CE1278" s="118">
        <f>INDEX('Gross Dx Plant'!$E$7:$AD$91,MATCH($C1278,'Gross Dx Plant'!$D$7:$D$91,0),MATCH(Calculation!$G1278,'Gross Dx Plant'!$E$5:$AD$5,0))</f>
        <v>1877033</v>
      </c>
      <c r="CF1278" s="118">
        <f>INDEX('Gross Gen Plant'!$E$7:$AD$91,MATCH($C1278,'Gross Gen Plant'!$D$7:$D$91,0),MATCH(Calculation!$G1278,'Gross Gen Plant'!$E$5:$AD$5,0))</f>
        <v>118394</v>
      </c>
      <c r="CG1278" s="118">
        <f t="shared" si="3767"/>
        <v>1164315</v>
      </c>
      <c r="CH1278" s="118"/>
      <c r="CI1278" s="121">
        <v>2016</v>
      </c>
      <c r="CJ1278" s="118"/>
      <c r="CK1278" s="118"/>
      <c r="CL1278" s="118"/>
      <c r="CM1278" s="183"/>
      <c r="CN1278" s="118">
        <f t="shared" si="3787"/>
        <v>119332</v>
      </c>
      <c r="CO1278" s="118">
        <f t="shared" si="3788"/>
        <v>177.72114628925868</v>
      </c>
      <c r="CP1278" s="186">
        <v>0.88</v>
      </c>
      <c r="CQ1278" s="118">
        <f>+CQ1260*CP1278+CO1261*CP1277+CO1262*CP1276+CO1263*CP1275+CO1264*CP1274+CO1265*CP1273+CO1266*CP1272+CO1267*CP1271+CO1268*CP1270+CO1269*CP1269+CO1270*CP1268+CO1271*CP1267+CO1272*CP1266+CO1273*CP1265+CO1274*CP1264+CO1275*CP1263+CO1276*CP1262+CO1277*CP1261+CO1278</f>
        <v>4157.7172738015515</v>
      </c>
      <c r="CR1278" s="119">
        <f t="shared" si="3789"/>
        <v>3.5775839039434904E-2</v>
      </c>
      <c r="CS1278" s="119"/>
      <c r="CT1278" s="177">
        <f t="shared" si="3790"/>
        <v>7.8783082211499478E-3</v>
      </c>
      <c r="CU1278" s="177">
        <f t="shared" si="3798"/>
        <v>7.7789323643291282E-3</v>
      </c>
      <c r="CV1278" s="119">
        <f>VLOOKUP($H1278,RoR!$E:$F,2,FALSE)</f>
        <v>3.6658333333333334E-2</v>
      </c>
      <c r="CW1278" s="177">
        <v>1.0483662879041455E-2</v>
      </c>
      <c r="CX1278" s="177">
        <f t="shared" si="3796"/>
        <v>2.6174670454291879E-2</v>
      </c>
      <c r="CY1278" s="177">
        <f t="shared" si="3799"/>
        <v>2.3123009244204497E-2</v>
      </c>
      <c r="CZ1278" s="177">
        <f t="shared" si="3800"/>
        <v>4.301363574220729E-3</v>
      </c>
      <c r="DA1278" s="187">
        <f t="shared" si="3791"/>
        <v>0.84949374999999994</v>
      </c>
      <c r="DB1278" s="188">
        <f t="shared" si="3792"/>
        <v>1.3989193348138562</v>
      </c>
      <c r="DC1278" s="188">
        <f t="shared" si="3793"/>
        <v>0.29302682427824522</v>
      </c>
      <c r="DD1278" s="188">
        <f t="shared" si="3794"/>
        <v>0.76309497491941802</v>
      </c>
      <c r="DE1278" s="188">
        <f t="shared" si="3795"/>
        <v>0.31280857135128509</v>
      </c>
      <c r="DF1278" s="189">
        <f>INDEX('State Tax Lookup'!$D$7:$Z$91,MATCH(Calculation!$C1278,'State Tax Lookup'!$B$7:$B$91,0),MATCH($H1278,'State Tax Lookup'!$D$6:$Z$6,0))</f>
        <v>0.40134999999999998</v>
      </c>
      <c r="DG1278" s="189">
        <v>0.375</v>
      </c>
      <c r="DH1278" s="190">
        <f t="shared" si="3797"/>
        <v>22.025665207052779</v>
      </c>
      <c r="DI1278" s="190">
        <v>21.750267549362238</v>
      </c>
      <c r="DJ1278" s="177"/>
      <c r="DK1278" s="189">
        <f>VLOOKUP($H1278,RoR!$E:$F,2,FALSE)</f>
        <v>3.6658333333333334E-2</v>
      </c>
      <c r="DL1278" s="191">
        <f>HLOOKUP($H1278,'GDP-PI'!$D$8:$CQ$11,3,FALSE)</f>
        <v>1.0483662879041455E-2</v>
      </c>
      <c r="DM1278" s="189">
        <f>VLOOKUP(H1278,'HW Dx Data'!$E:$F,2,FALSE)</f>
        <v>671.45639385971219</v>
      </c>
      <c r="DN1278" s="183">
        <f>VLOOKUP(H1278,'ECI - Input Price'!$G$17:$H$37,2,FALSE)</f>
        <v>126.4</v>
      </c>
      <c r="DO1278" s="177">
        <f t="shared" ref="DO1278" si="3846">LN(DN1278/DN1277)</f>
        <v>2.11880802639575E-2</v>
      </c>
      <c r="DP1278" s="183">
        <f>HLOOKUP(H1278,'GDP-PI'!$8:$9,2,FALSE)</f>
        <v>105.736</v>
      </c>
      <c r="DQ1278" s="177">
        <f t="shared" ref="DQ1278" si="3847">LN(DP1278/DP1277)</f>
        <v>1.0429090367205095E-2</v>
      </c>
    </row>
    <row r="1279" spans="1:121" s="167" customFormat="1" ht="21" x14ac:dyDescent="0.35">
      <c r="A1279" s="167" t="s">
        <v>117</v>
      </c>
      <c r="B1279" s="167" t="s">
        <v>117</v>
      </c>
      <c r="C1279" s="167">
        <v>4008752</v>
      </c>
      <c r="D1279" s="168" t="s">
        <v>144</v>
      </c>
      <c r="E1279" s="168"/>
      <c r="F1279" s="198"/>
      <c r="G1279" s="167" t="s">
        <v>23</v>
      </c>
      <c r="H1279" s="169">
        <v>2017</v>
      </c>
      <c r="I1279" s="170"/>
      <c r="J1279" s="166">
        <f>IFERROR(INDEX('Labor Expenditures'!$F$7:$X$91,MATCH($C1279,'Labor Expenditures'!$D$7:$D$91,0),MATCH($G1279,'Labor Expenditures'!$F$5:$X$5,0)),"NA")</f>
        <v>28372.660488100752</v>
      </c>
      <c r="K1279" s="166">
        <f t="shared" si="3803"/>
        <v>219.09390338301739</v>
      </c>
      <c r="L1279" s="172">
        <f t="shared" si="3810"/>
        <v>-6.1621763679141059E-2</v>
      </c>
      <c r="M1279" s="172">
        <f t="shared" si="3814"/>
        <v>-7.9311760029338507E-4</v>
      </c>
      <c r="N1279" s="196"/>
      <c r="O1279" s="172"/>
      <c r="P1279" s="166">
        <f>IFERROR(INDEX('Non-Labor Expenditures'!$F$7:$AB$91,MATCH($C1279,'Non-Labor Expenditures'!$D$7:$D$91,0),MATCH($G1279,'Non-Labor Expenditures'!$F$5:$AB$5,0)),"NA")</f>
        <v>41088.911668768778</v>
      </c>
      <c r="Q1279" s="166">
        <f t="shared" si="3804"/>
        <v>381.33206809002957</v>
      </c>
      <c r="R1279" s="172">
        <f t="shared" si="3815"/>
        <v>-5.6269952480050893E-2</v>
      </c>
      <c r="S1279" s="172">
        <f t="shared" si="3820"/>
        <v>-7.242358383635093E-4</v>
      </c>
      <c r="T1279" s="172"/>
      <c r="U1279" s="172"/>
      <c r="V1279" s="166">
        <f t="shared" si="3785"/>
        <v>83022.847249239392</v>
      </c>
      <c r="W1279" s="170"/>
      <c r="X1279" s="174">
        <v>4351.5800800438765</v>
      </c>
      <c r="Y1279" s="175">
        <v>4.5572824532491146E-2</v>
      </c>
      <c r="Z1279" s="175">
        <f t="shared" si="3821"/>
        <v>5.8655590287877174E-4</v>
      </c>
      <c r="AA1279" s="175"/>
      <c r="AB1279" s="175"/>
      <c r="AC1279" s="170">
        <f t="shared" si="3845"/>
        <v>152484.41940610891</v>
      </c>
      <c r="AD1279" s="175">
        <f t="shared" si="3816"/>
        <v>-5.1021222649112977E-2</v>
      </c>
      <c r="AE1279" s="170"/>
      <c r="AF1279" s="170"/>
      <c r="AG1279" s="121">
        <f t="shared" si="3817"/>
        <v>243.36374133154942</v>
      </c>
      <c r="AH1279" s="119">
        <f>+AZ1279/$BB$55</f>
        <v>1.66901718846677E-2</v>
      </c>
      <c r="AI1279" s="119"/>
      <c r="AJ1279" s="176">
        <f t="shared" si="3822"/>
        <v>4.0617826733193692</v>
      </c>
      <c r="AK1279" s="176">
        <f t="shared" si="3823"/>
        <v>0</v>
      </c>
      <c r="AL1279" s="120">
        <f t="shared" si="3805"/>
        <v>0.18606924299941999</v>
      </c>
      <c r="AM1279" s="120">
        <f t="shared" si="3806"/>
        <v>0.2694630168039493</v>
      </c>
      <c r="AN1279" s="120">
        <f t="shared" si="3807"/>
        <v>0.5444677401966308</v>
      </c>
      <c r="AO1279" s="120">
        <f t="shared" si="3811"/>
        <v>-1.4949184456996244E-3</v>
      </c>
      <c r="AP1279" s="173">
        <f t="shared" si="3827"/>
        <v>103.53233250983175</v>
      </c>
      <c r="AQ1279" s="175">
        <f t="shared" si="3828"/>
        <v>-1.4949184456997222E-3</v>
      </c>
      <c r="AR1279" s="177">
        <f>+AC1279/$AE$55</f>
        <v>1.287073840377365E-2</v>
      </c>
      <c r="AS1279" s="177">
        <f t="shared" si="3824"/>
        <v>-1.9240704249577026E-5</v>
      </c>
      <c r="AT1279" s="177"/>
      <c r="AU1279" s="177"/>
      <c r="AV1279" s="177"/>
      <c r="AW1279" s="190"/>
      <c r="AX1279" s="120"/>
      <c r="AY1279" s="120"/>
      <c r="AZ1279" s="118">
        <f>IFERROR(INDEX('Total Customers'!$F$7:$AB$91,MATCH($C1279,'Total Customers'!$D$7:$D$91,0),MATCH($G1279,'Total Customers'!$F$5:$AB$5,0)),"NA")</f>
        <v>626570</v>
      </c>
      <c r="BA1279" s="119">
        <f t="shared" si="3786"/>
        <v>9.9250825963298501E-3</v>
      </c>
      <c r="BB1279" s="119"/>
      <c r="BC1279" s="121"/>
      <c r="BD1279" s="119"/>
      <c r="BE1279" s="119"/>
      <c r="BF1279" s="119"/>
      <c r="BG1279" s="173"/>
      <c r="BH1279" s="173"/>
      <c r="BI1279" s="173"/>
      <c r="BJ1279" s="173"/>
      <c r="BK1279" s="173"/>
      <c r="BL1279" s="173"/>
      <c r="BM1279" s="173"/>
      <c r="BN1279" s="173"/>
      <c r="BO1279" s="173"/>
      <c r="BP1279" s="173"/>
      <c r="BQ1279" s="118"/>
      <c r="BR1279" s="118"/>
      <c r="BS1279" s="118">
        <f>INDEX('Dist. Plant Gas Additions'!$F$7:$AE$91,MATCH($C1279,'Dist. Plant Gas Additions'!$D$7:$D$91,0),MATCH(Calculation!$G1279,'Dist. Plant Gas Additions'!$F$5:$AE$5,0))</f>
        <v>149642</v>
      </c>
      <c r="BT1279" s="118">
        <f>INDEX('Gen. Plant Additions'!$F$7:$AE$91,MATCH($C1279,'Gen. Plant Additions'!$D$7:$D$91,0),MATCH(Calculation!$G1279,'Gen. Plant Additions'!$F$5:$AE$5,0))</f>
        <v>12465</v>
      </c>
      <c r="BU1279" s="118"/>
      <c r="BV1279" s="118"/>
      <c r="BW1279" s="118">
        <f>INDEX('Dist Plant Depreciation'!$E$7:$AD$94,MATCH($C1279,'Dist Plant Depreciation'!$D$7:$D$94,0),MATCH(Calculation!$G1279,'Dist Plant Depreciation'!$E$5:$AD$5,0))</f>
        <v>796100</v>
      </c>
      <c r="BX1279" s="118">
        <f>INDEX('Gen. Plant Depreciation'!$E$7:$AD$94,MATCH($C1279,'Gen. Plant Depreciation'!$D$7:$D$94,0),MATCH(Calculation!$G1279,'Gen. Plant Depreciation'!$E$5:$AD$5,0))</f>
        <v>59381</v>
      </c>
      <c r="BY1279" s="118"/>
      <c r="BZ1279" s="118"/>
      <c r="CA1279" s="118"/>
      <c r="CB1279" s="118"/>
      <c r="CC1279" s="118"/>
      <c r="CD1279" s="183"/>
      <c r="CE1279" s="118">
        <f>INDEX('Gross Dx Plant'!$E$7:$AD$91,MATCH($C1279,'Gross Dx Plant'!$D$7:$D$91,0),MATCH(Calculation!$G1279,'Gross Dx Plant'!$E$5:$AD$5,0))</f>
        <v>2014531</v>
      </c>
      <c r="CF1279" s="118">
        <f>INDEX('Gross Gen Plant'!$E$7:$AD$91,MATCH($C1279,'Gross Gen Plant'!$D$7:$D$91,0),MATCH(Calculation!$G1279,'Gross Gen Plant'!$E$5:$AD$5,0))</f>
        <v>122033</v>
      </c>
      <c r="CG1279" s="118">
        <f t="shared" si="3767"/>
        <v>1281083</v>
      </c>
      <c r="CH1279" s="118"/>
      <c r="CI1279" s="121">
        <v>2017</v>
      </c>
      <c r="CJ1279" s="118"/>
      <c r="CK1279" s="118"/>
      <c r="CL1279" s="118"/>
      <c r="CM1279" s="183"/>
      <c r="CN1279" s="118">
        <f t="shared" si="3787"/>
        <v>162107</v>
      </c>
      <c r="CO1279" s="118">
        <f t="shared" si="3788"/>
        <v>227.54140373983043</v>
      </c>
      <c r="CP1279" s="186">
        <v>0.87074829931972786</v>
      </c>
      <c r="CQ1279" s="118">
        <f>+CQ1260*CP1279+CO1261*CP1278+CO1262*CP1277+CO1263*CP1276+CO1264*CP1275+CO1265*CP1274+CO1266*CP1273+CO1267*CP1272+CO1268*CP1271+CO1269*CP1270+CO1270*CP1269+CO1271*CP1268+CO1272*CP1267+CO1273*CP1266+CO1274*CP1265+CO1275*CP1264+CO1276*CP1263+CO1277*CP1262+CO1278*CP1261+CO1279</f>
        <v>4351.5800800438765</v>
      </c>
      <c r="CR1279" s="119">
        <f t="shared" si="3789"/>
        <v>4.5572824532491146E-2</v>
      </c>
      <c r="CS1279" s="119"/>
      <c r="CT1279" s="177">
        <f t="shared" si="3790"/>
        <v>8.1002615809689042E-3</v>
      </c>
      <c r="CU1279" s="177">
        <f t="shared" si="3798"/>
        <v>7.9294796796758726E-3</v>
      </c>
      <c r="CV1279" s="119">
        <f>VLOOKUP($H1279,RoR!$E:$F,2,FALSE)</f>
        <v>3.7433333333333339E-2</v>
      </c>
      <c r="CW1279" s="177">
        <v>1.9056896421275615E-2</v>
      </c>
      <c r="CX1279" s="177">
        <f t="shared" si="3796"/>
        <v>1.8376436912057724E-2</v>
      </c>
      <c r="CY1279" s="177">
        <f t="shared" si="3799"/>
        <v>2.2972461928857754E-2</v>
      </c>
      <c r="CZ1279" s="177">
        <f t="shared" si="3800"/>
        <v>1.3976271617800498E-2</v>
      </c>
      <c r="DA1279" s="187">
        <f t="shared" si="3791"/>
        <v>0.90199375000000004</v>
      </c>
      <c r="DB1279" s="188">
        <f t="shared" si="3792"/>
        <v>1.3699568463593395</v>
      </c>
      <c r="DC1279" s="188">
        <f t="shared" si="3793"/>
        <v>0.30714603739982199</v>
      </c>
      <c r="DD1279" s="188">
        <f t="shared" si="3794"/>
        <v>0.77007188472689425</v>
      </c>
      <c r="DE1279" s="188">
        <f t="shared" si="3795"/>
        <v>0.32402839633793828</v>
      </c>
      <c r="DF1279" s="189">
        <f>INDEX('State Tax Lookup'!$D$7:$Z$91,MATCH(Calculation!$C1279,'State Tax Lookup'!$B$7:$B$91,0),MATCH($H1279,'State Tax Lookup'!$D$6:$Z$6,0))</f>
        <v>0.26134999999999997</v>
      </c>
      <c r="DG1279" s="189">
        <v>0.375</v>
      </c>
      <c r="DH1279" s="190">
        <f t="shared" si="3797"/>
        <v>19.968372494296275</v>
      </c>
      <c r="DI1279" s="190">
        <v>19.691778537075493</v>
      </c>
      <c r="DJ1279" s="177"/>
      <c r="DK1279" s="189">
        <f>VLOOKUP($H1279,RoR!$E:$F,2,FALSE)</f>
        <v>3.7433333333333339E-2</v>
      </c>
      <c r="DL1279" s="191">
        <f>HLOOKUP($H1279,'GDP-PI'!$D$8:$CQ$11,3,FALSE)</f>
        <v>1.9056896421275615E-2</v>
      </c>
      <c r="DM1279" s="189">
        <f>VLOOKUP(H1279,'HW Dx Data'!$E:$F,2,FALSE)</f>
        <v>712.42858370229726</v>
      </c>
      <c r="DN1279" s="183">
        <f>VLOOKUP(H1279,'ECI - Input Price'!$G$17:$H$37,2,FALSE)</f>
        <v>129.5</v>
      </c>
      <c r="DO1279" s="177">
        <f t="shared" ref="DO1279" si="3848">LN(DN1279/DN1278)</f>
        <v>2.4229399426835413E-2</v>
      </c>
      <c r="DP1279" s="183">
        <f>HLOOKUP(H1279,'GDP-PI'!$8:$9,2,FALSE)</f>
        <v>107.751</v>
      </c>
      <c r="DQ1279" s="177">
        <f t="shared" ref="DQ1279" si="3849">LN(DP1279/DP1278)</f>
        <v>1.8877588227745139E-2</v>
      </c>
    </row>
    <row r="1280" spans="1:121" s="167" customFormat="1" ht="21" x14ac:dyDescent="0.35">
      <c r="A1280" s="167" t="s">
        <v>117</v>
      </c>
      <c r="B1280" s="167" t="s">
        <v>117</v>
      </c>
      <c r="C1280" s="167">
        <v>4008752</v>
      </c>
      <c r="D1280" s="168" t="s">
        <v>144</v>
      </c>
      <c r="E1280" s="168"/>
      <c r="F1280" s="198"/>
      <c r="G1280" s="167" t="s">
        <v>24</v>
      </c>
      <c r="H1280" s="169">
        <v>2018</v>
      </c>
      <c r="I1280" s="170"/>
      <c r="J1280" s="166">
        <f>IFERROR(INDEX('Labor Expenditures'!$F$7:$X$91,MATCH($C1280,'Labor Expenditures'!$D$7:$D$91,0),MATCH($G1280,'Labor Expenditures'!$F$5:$X$5,0)),"NA")</f>
        <v>28997.248915172193</v>
      </c>
      <c r="K1280" s="166">
        <f t="shared" si="3803"/>
        <v>217.61537647408775</v>
      </c>
      <c r="L1280" s="172">
        <f t="shared" si="3810"/>
        <v>-6.7712440577526551E-3</v>
      </c>
      <c r="M1280" s="172">
        <f t="shared" si="3814"/>
        <v>-8.5320774733775359E-5</v>
      </c>
      <c r="N1280" s="196"/>
      <c r="O1280" s="172"/>
      <c r="P1280" s="166">
        <f>IFERROR(INDEX('Non-Labor Expenditures'!$F$7:$AB$91,MATCH($C1280,'Non-Labor Expenditures'!$D$7:$D$91,0),MATCH($G1280,'Non-Labor Expenditures'!$F$5:$AB$5,0)),"NA")</f>
        <v>41993.432368194786</v>
      </c>
      <c r="Q1280" s="166">
        <f t="shared" si="3804"/>
        <v>380.64422661114543</v>
      </c>
      <c r="R1280" s="172">
        <f t="shared" si="3815"/>
        <v>-1.8054148678998243E-3</v>
      </c>
      <c r="S1280" s="172">
        <f t="shared" si="3820"/>
        <v>-2.2749053782624203E-5</v>
      </c>
      <c r="T1280" s="172"/>
      <c r="U1280" s="172"/>
      <c r="V1280" s="166">
        <f t="shared" si="3785"/>
        <v>91329.45526759178</v>
      </c>
      <c r="W1280" s="170"/>
      <c r="X1280" s="174">
        <v>4509.9040523114427</v>
      </c>
      <c r="Y1280" s="175">
        <v>3.5736862918454557E-2</v>
      </c>
      <c r="Z1280" s="175">
        <f t="shared" si="3821"/>
        <v>4.5030083168634923E-4</v>
      </c>
      <c r="AA1280" s="175"/>
      <c r="AB1280" s="175"/>
      <c r="AC1280" s="170">
        <f t="shared" si="3845"/>
        <v>162320.13655095876</v>
      </c>
      <c r="AD1280" s="175">
        <f t="shared" si="3816"/>
        <v>6.2508113763454873E-2</v>
      </c>
      <c r="AE1280" s="170"/>
      <c r="AF1280" s="170"/>
      <c r="AG1280" s="121">
        <f t="shared" si="3817"/>
        <v>256.51339385480702</v>
      </c>
      <c r="AH1280" s="119">
        <f>+AZ1280/$BB$56</f>
        <v>1.6709547341781029E-2</v>
      </c>
      <c r="AI1280" s="119"/>
      <c r="AJ1280" s="176">
        <f t="shared" si="3822"/>
        <v>4.2862226984178209</v>
      </c>
      <c r="AK1280" s="176">
        <f t="shared" si="3823"/>
        <v>0</v>
      </c>
      <c r="AL1280" s="120">
        <f t="shared" si="3805"/>
        <v>0.17864233933827919</v>
      </c>
      <c r="AM1280" s="120">
        <f t="shared" si="3806"/>
        <v>0.2587074731483569</v>
      </c>
      <c r="AN1280" s="120">
        <f t="shared" si="3807"/>
        <v>0.56265018751336393</v>
      </c>
      <c r="AO1280" s="120">
        <f t="shared" si="3811"/>
        <v>1.8070901813546009E-2</v>
      </c>
      <c r="AP1280" s="173">
        <f t="shared" si="3827"/>
        <v>105.42026204358039</v>
      </c>
      <c r="AQ1280" s="175">
        <f t="shared" si="3828"/>
        <v>1.8070901813546116E-2</v>
      </c>
      <c r="AR1280" s="177">
        <f>+AC1280/$AE$56</f>
        <v>1.2600457760208532E-2</v>
      </c>
      <c r="AS1280" s="177">
        <f t="shared" si="3824"/>
        <v>2.2770163499046361E-4</v>
      </c>
      <c r="AT1280" s="177"/>
      <c r="AU1280" s="177"/>
      <c r="AV1280" s="177"/>
      <c r="AW1280" s="190"/>
      <c r="AX1280" s="120"/>
      <c r="AY1280" s="120"/>
      <c r="AZ1280" s="118">
        <f>IFERROR(INDEX('Total Customers'!$F$7:$AB$91,MATCH($C1280,'Total Customers'!$D$7:$D$91,0),MATCH($G1280,'Total Customers'!$F$5:$AB$5,0)),"NA")</f>
        <v>632794</v>
      </c>
      <c r="BA1280" s="119">
        <f t="shared" si="3786"/>
        <v>9.8844348015583207E-3</v>
      </c>
      <c r="BB1280" s="119"/>
      <c r="BC1280" s="121"/>
      <c r="BD1280" s="119"/>
      <c r="BE1280" s="119"/>
      <c r="BF1280" s="119"/>
      <c r="BG1280" s="173"/>
      <c r="BH1280" s="173"/>
      <c r="BI1280" s="173"/>
      <c r="BJ1280" s="173"/>
      <c r="BK1280" s="173"/>
      <c r="BL1280" s="173"/>
      <c r="BM1280" s="173"/>
      <c r="BN1280" s="173"/>
      <c r="BO1280" s="173"/>
      <c r="BP1280" s="173"/>
      <c r="BQ1280" s="118"/>
      <c r="BR1280" s="118"/>
      <c r="BS1280" s="118">
        <f>INDEX('Dist. Plant Gas Additions'!$F$7:$AE$91,MATCH($C1280,'Dist. Plant Gas Additions'!$D$7:$D$91,0),MATCH(Calculation!$G1280,'Dist. Plant Gas Additions'!$F$5:$AE$5,0))</f>
        <v>134043</v>
      </c>
      <c r="BT1280" s="118">
        <f>INDEX('Gen. Plant Additions'!$F$7:$AE$91,MATCH($C1280,'Gen. Plant Additions'!$D$7:$D$91,0),MATCH(Calculation!$G1280,'Gen. Plant Additions'!$F$5:$AE$5,0))</f>
        <v>12771</v>
      </c>
      <c r="BU1280" s="118"/>
      <c r="BV1280" s="118"/>
      <c r="BW1280" s="118">
        <f>INDEX('Dist Plant Depreciation'!$E$7:$AD$94,MATCH($C1280,'Dist Plant Depreciation'!$D$7:$D$94,0),MATCH(Calculation!$G1280,'Dist Plant Depreciation'!$E$5:$AD$5,0))</f>
        <v>827324</v>
      </c>
      <c r="BX1280" s="118">
        <f>INDEX('Gen. Plant Depreciation'!$E$7:$AD$94,MATCH($C1280,'Gen. Plant Depreciation'!$D$7:$D$94,0),MATCH(Calculation!$G1280,'Gen. Plant Depreciation'!$E$5:$AD$5,0))</f>
        <v>51133</v>
      </c>
      <c r="BY1280" s="118"/>
      <c r="BZ1280" s="118"/>
      <c r="CA1280" s="118"/>
      <c r="CB1280" s="118"/>
      <c r="CC1280" s="118"/>
      <c r="CD1280" s="183"/>
      <c r="CE1280" s="118">
        <f>INDEX('Gross Dx Plant'!$E$7:$AD$91,MATCH($C1280,'Gross Dx Plant'!$D$7:$D$91,0),MATCH(Calculation!$G1280,'Gross Dx Plant'!$E$5:$AD$5,0))</f>
        <v>2140766</v>
      </c>
      <c r="CF1280" s="118">
        <f>INDEX('Gross Gen Plant'!$E$7:$AD$91,MATCH($C1280,'Gross Gen Plant'!$D$7:$D$91,0),MATCH(Calculation!$G1280,'Gross Gen Plant'!$E$5:$AD$5,0))</f>
        <v>117045</v>
      </c>
      <c r="CG1280" s="118">
        <f t="shared" si="3767"/>
        <v>1379354</v>
      </c>
      <c r="CH1280" s="118"/>
      <c r="CI1280" s="121">
        <v>2018</v>
      </c>
      <c r="CJ1280" s="118"/>
      <c r="CK1280" s="118"/>
      <c r="CL1280" s="118"/>
      <c r="CM1280" s="183"/>
      <c r="CN1280" s="118">
        <f t="shared" si="3787"/>
        <v>146814</v>
      </c>
      <c r="CO1280" s="118">
        <f t="shared" si="3788"/>
        <v>194.42042376124905</v>
      </c>
      <c r="CP1280" s="186">
        <v>0.86111111111111116</v>
      </c>
      <c r="CQ1280" s="118">
        <f>+CQ1260*CP1280++CO1261*CP1279+CO1262*CP1278+CO1263*CP1277+CO1264*CP1276+CO1265*CP1275+CO1266*CP1274+CO1267*CP1273+CO1268*CP1272+CO1269*CP1271+CO1270*CP1270+CO1271*CP1269+CO1272*CP1268+CO1273*CP1267+CO1274*CP1266+CO1275*CP1265+CO1276*CP1264+CO1277*CP1263+CO1278*CP1262+CO1279*CP1261+CO1280</f>
        <v>4509.9040523114427</v>
      </c>
      <c r="CR1280" s="119">
        <f t="shared" si="3789"/>
        <v>3.5736862918454557E-2</v>
      </c>
      <c r="CS1280" s="119"/>
      <c r="CT1280" s="177">
        <f t="shared" si="3790"/>
        <v>8.2950217690395556E-3</v>
      </c>
      <c r="CU1280" s="177">
        <f t="shared" si="3798"/>
        <v>8.091197190386137E-3</v>
      </c>
      <c r="CV1280" s="119">
        <f>VLOOKUP($H1280,RoR!$E:$F,2,FALSE)</f>
        <v>3.9299999999999995E-2</v>
      </c>
      <c r="CW1280" s="177">
        <v>2.386056741932796E-2</v>
      </c>
      <c r="CX1280" s="177">
        <f t="shared" si="3796"/>
        <v>1.5439432580672034E-2</v>
      </c>
      <c r="CY1280" s="177">
        <f t="shared" si="3799"/>
        <v>2.281074441814749E-2</v>
      </c>
      <c r="CZ1280" s="177">
        <f t="shared" si="3800"/>
        <v>3.8270792163076606E-2</v>
      </c>
      <c r="DA1280" s="187">
        <f t="shared" si="3791"/>
        <v>0.90199375000000004</v>
      </c>
      <c r="DB1280" s="188">
        <f t="shared" si="3792"/>
        <v>1.3048868010700074</v>
      </c>
      <c r="DC1280" s="188">
        <f t="shared" si="3793"/>
        <v>0.33886768447837151</v>
      </c>
      <c r="DD1280" s="188">
        <f t="shared" si="3794"/>
        <v>0.78602506232557801</v>
      </c>
      <c r="DE1280" s="188">
        <f t="shared" si="3795"/>
        <v>0.34756768162358759</v>
      </c>
      <c r="DF1280" s="189">
        <f>INDEX('State Tax Lookup'!$D$7:$Z$91,MATCH(Calculation!$C1280,'State Tax Lookup'!$B$7:$B$91,0),MATCH($H1280,'State Tax Lookup'!$D$6:$Z$6,0))</f>
        <v>0.26134999999999997</v>
      </c>
      <c r="DG1280" s="189">
        <v>0.375</v>
      </c>
      <c r="DH1280" s="190">
        <f t="shared" si="3797"/>
        <v>20.987653585056147</v>
      </c>
      <c r="DI1280" s="190">
        <v>20.680535103252893</v>
      </c>
      <c r="DJ1280" s="177"/>
      <c r="DK1280" s="189">
        <f>VLOOKUP($H1280,RoR!$E:$F,2,FALSE)</f>
        <v>3.9299999999999995E-2</v>
      </c>
      <c r="DL1280" s="191">
        <f>HLOOKUP($H1280,'GDP-PI'!$D$8:$CQ$11,3,FALSE)</f>
        <v>2.386056741932796E-2</v>
      </c>
      <c r="DM1280" s="189">
        <f>VLOOKUP(H1280,'HW Dx Data'!$E:$F,2,FALSE)</f>
        <v>755.13671434174842</v>
      </c>
      <c r="DN1280" s="183">
        <f>VLOOKUP(H1280,'ECI - Input Price'!$G$17:$H$37,2,FALSE)</f>
        <v>133.25</v>
      </c>
      <c r="DO1280" s="177">
        <f t="shared" ref="DO1280" si="3850">LN(DN1280/DN1279)</f>
        <v>2.8546181906361531E-2</v>
      </c>
      <c r="DP1280" s="183">
        <f>HLOOKUP(H1280,'GDP-PI'!$8:$9,2,FALSE)</f>
        <v>110.322</v>
      </c>
      <c r="DQ1280" s="177">
        <f t="shared" ref="DQ1280" si="3851">LN(DP1280/DP1279)</f>
        <v>2.3580352716508712E-2</v>
      </c>
    </row>
    <row r="1281" spans="1:121" s="167" customFormat="1" ht="21" x14ac:dyDescent="0.35">
      <c r="A1281" s="167" t="s">
        <v>117</v>
      </c>
      <c r="B1281" s="167" t="s">
        <v>117</v>
      </c>
      <c r="C1281" s="167">
        <v>4008752</v>
      </c>
      <c r="D1281" s="168" t="s">
        <v>144</v>
      </c>
      <c r="E1281" s="168"/>
      <c r="F1281" s="198"/>
      <c r="G1281" s="167" t="s">
        <v>25</v>
      </c>
      <c r="H1281" s="169">
        <v>2019</v>
      </c>
      <c r="I1281" s="170"/>
      <c r="J1281" s="166">
        <f>IFERROR(INDEX('Labor Expenditures'!$F$7:$X$91,MATCH($C1281,'Labor Expenditures'!$D$7:$D$91,0),MATCH($G1281,'Labor Expenditures'!$F$5:$X$5,0)),"NA")</f>
        <v>32398.991040669644</v>
      </c>
      <c r="K1281" s="166">
        <f t="shared" si="3803"/>
        <v>236.74819905494809</v>
      </c>
      <c r="L1281" s="172">
        <f t="shared" si="3810"/>
        <v>8.4267948660151082E-2</v>
      </c>
      <c r="M1281" s="172">
        <f t="shared" si="3814"/>
        <v>1.1119522085888721E-3</v>
      </c>
      <c r="N1281" s="196"/>
      <c r="O1281" s="172"/>
      <c r="P1281" s="166">
        <f>IFERROR(INDEX('Non-Labor Expenditures'!$F$7:$AB$91,MATCH($C1281,'Non-Labor Expenditures'!$D$7:$D$91,0),MATCH($G1281,'Non-Labor Expenditures'!$F$5:$AB$5,0)),"NA")</f>
        <v>46919.790323703215</v>
      </c>
      <c r="Q1281" s="166">
        <f t="shared" si="3804"/>
        <v>417.74061436014898</v>
      </c>
      <c r="R1281" s="172">
        <f t="shared" si="3815"/>
        <v>9.2995549649483464E-2</v>
      </c>
      <c r="S1281" s="172">
        <f t="shared" si="3820"/>
        <v>1.2271166969865794E-3</v>
      </c>
      <c r="T1281" s="172"/>
      <c r="U1281" s="172"/>
      <c r="V1281" s="166">
        <f t="shared" si="3785"/>
        <v>95985.696637948742</v>
      </c>
      <c r="W1281" s="170"/>
      <c r="X1281" s="174">
        <v>4690.6845415827329</v>
      </c>
      <c r="Y1281" s="175">
        <v>3.9302650644716275E-2</v>
      </c>
      <c r="Z1281" s="175">
        <f t="shared" si="3821"/>
        <v>5.1861555766641548E-4</v>
      </c>
      <c r="AA1281" s="175"/>
      <c r="AB1281" s="175"/>
      <c r="AC1281" s="170">
        <f t="shared" si="3845"/>
        <v>175304.47800232162</v>
      </c>
      <c r="AD1281" s="175">
        <f t="shared" si="3816"/>
        <v>7.6953799631907363E-2</v>
      </c>
      <c r="AE1281" s="170"/>
      <c r="AF1281" s="170"/>
      <c r="AG1281" s="121">
        <f t="shared" si="3817"/>
        <v>274.44584334336571</v>
      </c>
      <c r="AH1281" s="119">
        <f>+AZ1281/$BB$57</f>
        <v>1.6729038901187106E-2</v>
      </c>
      <c r="AI1281" s="119"/>
      <c r="AJ1281" s="176">
        <f t="shared" si="3822"/>
        <v>4.5912151895602671</v>
      </c>
      <c r="AK1281" s="176">
        <f t="shared" si="3823"/>
        <v>0</v>
      </c>
      <c r="AL1281" s="120">
        <f t="shared" si="3805"/>
        <v>0.1848155358600741</v>
      </c>
      <c r="AM1281" s="120">
        <f t="shared" si="3806"/>
        <v>0.2676474147059828</v>
      </c>
      <c r="AN1281" s="120">
        <f t="shared" si="3807"/>
        <v>0.54753704943394299</v>
      </c>
      <c r="AO1281" s="120">
        <f t="shared" si="3811"/>
        <v>6.160490639900592E-2</v>
      </c>
      <c r="AP1281" s="173">
        <f t="shared" si="3827"/>
        <v>112.11888298054258</v>
      </c>
      <c r="AQ1281" s="175">
        <f t="shared" si="3828"/>
        <v>6.1604906399005871E-2</v>
      </c>
      <c r="AR1281" s="177">
        <f>+AC1281/$AE$57</f>
        <v>1.3195434637590696E-2</v>
      </c>
      <c r="AS1281" s="177">
        <f t="shared" si="3824"/>
        <v>8.1290351574297482E-4</v>
      </c>
      <c r="AT1281" s="177"/>
      <c r="AU1281" s="177"/>
      <c r="AV1281" s="177"/>
      <c r="AW1281" s="190"/>
      <c r="AX1281" s="120"/>
      <c r="AY1281" s="120"/>
      <c r="AZ1281" s="118">
        <f>IFERROR(INDEX('Total Customers'!$F$7:$AB$91,MATCH($C1281,'Total Customers'!$D$7:$D$91,0),MATCH($G1281,'Total Customers'!$F$5:$AB$5,0)),"NA")</f>
        <v>638758</v>
      </c>
      <c r="BA1281" s="119">
        <f t="shared" si="3786"/>
        <v>9.3807311616041431E-3</v>
      </c>
      <c r="BB1281" s="119"/>
      <c r="BC1281" s="121"/>
      <c r="BD1281" s="119"/>
      <c r="BE1281" s="119"/>
      <c r="BF1281" s="119"/>
      <c r="BG1281" s="173"/>
      <c r="BH1281" s="173"/>
      <c r="BI1281" s="173"/>
      <c r="BJ1281" s="173"/>
      <c r="BK1281" s="173"/>
      <c r="BL1281" s="173"/>
      <c r="BM1281" s="173"/>
      <c r="BN1281" s="173"/>
      <c r="BO1281" s="173"/>
      <c r="BP1281" s="173"/>
      <c r="BQ1281" s="118"/>
      <c r="BR1281" s="118"/>
      <c r="BS1281" s="118">
        <f>INDEX('Dist. Plant Gas Additions'!$F$7:$AE$91,MATCH($C1281,'Dist. Plant Gas Additions'!$D$7:$D$91,0),MATCH(Calculation!$G1281,'Dist. Plant Gas Additions'!$F$5:$AE$5,0))</f>
        <v>156761</v>
      </c>
      <c r="BT1281" s="118">
        <f>INDEX('Gen. Plant Additions'!$F$7:$AE$91,MATCH($C1281,'Gen. Plant Additions'!$D$7:$D$91,0),MATCH(Calculation!$G1281,'Gen. Plant Additions'!$F$5:$AE$5,0))</f>
        <v>12830</v>
      </c>
      <c r="BU1281" s="118"/>
      <c r="BV1281" s="118"/>
      <c r="BW1281" s="118">
        <f>INDEX('Dist Plant Depreciation'!$E$7:$AD$94,MATCH($C1281,'Dist Plant Depreciation'!$D$7:$D$94,0),MATCH(Calculation!$G1281,'Dist Plant Depreciation'!$E$5:$AD$5,0))</f>
        <v>855980</v>
      </c>
      <c r="BX1281" s="118">
        <f>INDEX('Gen. Plant Depreciation'!$E$7:$AD$94,MATCH($C1281,'Gen. Plant Depreciation'!$D$7:$D$94,0),MATCH(Calculation!$G1281,'Gen. Plant Depreciation'!$E$5:$AD$5,0))</f>
        <v>43290</v>
      </c>
      <c r="BY1281" s="118"/>
      <c r="BZ1281" s="118"/>
      <c r="CA1281" s="118"/>
      <c r="CB1281" s="118"/>
      <c r="CC1281" s="118"/>
      <c r="CD1281" s="183"/>
      <c r="CE1281" s="118">
        <f>INDEX('Gross Dx Plant'!$E$7:$AD$91,MATCH($C1281,'Gross Dx Plant'!$D$7:$D$91,0),MATCH(Calculation!$G1281,'Gross Dx Plant'!$E$5:$AD$5,0))</f>
        <v>2285370</v>
      </c>
      <c r="CF1281" s="118">
        <f>INDEX('Gross Gen Plant'!$E$7:$AD$91,MATCH($C1281,'Gross Gen Plant'!$D$7:$D$91,0),MATCH(Calculation!$G1281,'Gross Gen Plant'!$E$5:$AD$5,0))</f>
        <v>112237</v>
      </c>
      <c r="CG1281" s="118">
        <f t="shared" si="3767"/>
        <v>1498337</v>
      </c>
      <c r="CH1281" s="118"/>
      <c r="CI1281" s="121">
        <v>2019</v>
      </c>
      <c r="CJ1281" s="118"/>
      <c r="CK1281" s="118"/>
      <c r="CL1281" s="118"/>
      <c r="CM1281" s="183"/>
      <c r="CN1281" s="118">
        <f t="shared" si="3787"/>
        <v>169591</v>
      </c>
      <c r="CO1281" s="118">
        <f t="shared" si="3788"/>
        <v>219.24031584661489</v>
      </c>
      <c r="CP1281" s="186">
        <v>0.85106382978723405</v>
      </c>
      <c r="CQ1281" s="118">
        <f>CQ1260*CP1281+CO1261*CP1280+CO1262*CP1279+CO1263*CP1278+CO1264*CP1277+CO1265*CP1276+CO1266*CP1275+CO1267*CP1274+CO1268*CP1273+CO1269*CP1272+CO1270*CP1271+CO1271*CP1270+CO1272*CP1269+CO1273*CP1268+CO1274*CP1267+CO1275*CP1266+CO1276*CP1265+CO1277*CP1264+CO1278*CP1263+CO1279*CP1262+CO1280*CP1261+CO1281</f>
        <v>4690.6845415827329</v>
      </c>
      <c r="CR1281" s="119">
        <f t="shared" si="3789"/>
        <v>3.9302650644716275E-2</v>
      </c>
      <c r="CS1281" s="119"/>
      <c r="CT1281" s="177">
        <f t="shared" si="3790"/>
        <v>8.5278591582481737E-3</v>
      </c>
      <c r="CU1281" s="177">
        <f t="shared" si="3798"/>
        <v>8.3077141694188773E-3</v>
      </c>
      <c r="CV1281" s="119">
        <f>VLOOKUP($H1281,RoR!$E:$F,2,FALSE)</f>
        <v>3.3875000000000009E-2</v>
      </c>
      <c r="CW1281" s="177">
        <v>1.8092492884465461E-2</v>
      </c>
      <c r="CX1281" s="177">
        <f t="shared" si="3796"/>
        <v>1.5782507115534548E-2</v>
      </c>
      <c r="CY1281" s="177">
        <f t="shared" si="3799"/>
        <v>2.2594227439114746E-2</v>
      </c>
      <c r="CZ1281" s="177">
        <f t="shared" si="3800"/>
        <v>4.8445665544254078E-2</v>
      </c>
      <c r="DA1281" s="187">
        <f t="shared" si="3791"/>
        <v>0.90199375000000004</v>
      </c>
      <c r="DB1281" s="188">
        <f t="shared" si="3792"/>
        <v>1.513861292459078</v>
      </c>
      <c r="DC1281" s="188">
        <f t="shared" si="3793"/>
        <v>0.23699261992619944</v>
      </c>
      <c r="DD1281" s="188">
        <f t="shared" si="3794"/>
        <v>0.73619765810468829</v>
      </c>
      <c r="DE1281" s="188">
        <f t="shared" si="3795"/>
        <v>0.26412854465362851</v>
      </c>
      <c r="DF1281" s="189">
        <f>INDEX('State Tax Lookup'!$D$7:$Z$91,MATCH(Calculation!$C1281,'State Tax Lookup'!$B$7:$B$91,0),MATCH($H1281,'State Tax Lookup'!$D$6:$Z$6,0))</f>
        <v>0.26134999999999997</v>
      </c>
      <c r="DG1281" s="189">
        <v>0.375</v>
      </c>
      <c r="DH1281" s="190">
        <f t="shared" si="3797"/>
        <v>21.283312355337934</v>
      </c>
      <c r="DI1281" s="190">
        <v>20.964201006646153</v>
      </c>
      <c r="DJ1281" s="177"/>
      <c r="DK1281" s="189">
        <f>VLOOKUP($H1281,RoR!$E:$F,2,FALSE)</f>
        <v>3.3875000000000009E-2</v>
      </c>
      <c r="DL1281" s="191">
        <f>HLOOKUP($H1281,'GDP-PI'!$D$8:$CQ$11,3,FALSE)</f>
        <v>1.8092492884465461E-2</v>
      </c>
      <c r="DM1281" s="189">
        <f>VLOOKUP(H1281,'HW Dx Data'!$E:$F,2,FALSE)</f>
        <v>773.53929793938721</v>
      </c>
      <c r="DN1281" s="183">
        <f>VLOOKUP(H1281,'ECI - Input Price'!$G$17:$H$37,2,FALSE)</f>
        <v>136.85</v>
      </c>
      <c r="DO1281" s="177">
        <f t="shared" ref="DO1281" si="3852">LN(DN1281/DN1280)</f>
        <v>2.6658372440734168E-2</v>
      </c>
      <c r="DP1281" s="183">
        <f>HLOOKUP(H1281,'GDP-PI'!$8:$9,2,FALSE)</f>
        <v>112.318</v>
      </c>
      <c r="DQ1281" s="177">
        <f t="shared" ref="DQ1281" si="3853">LN(DP1281/DP1280)</f>
        <v>1.7930771451401852E-2</v>
      </c>
    </row>
    <row r="1282" spans="1:121" s="167" customFormat="1" ht="21" x14ac:dyDescent="0.35">
      <c r="A1282" s="167" t="s">
        <v>117</v>
      </c>
      <c r="B1282" s="167" t="s">
        <v>117</v>
      </c>
      <c r="C1282" s="167">
        <v>4008752</v>
      </c>
      <c r="D1282" s="167" t="s">
        <v>144</v>
      </c>
      <c r="G1282" s="168" t="s">
        <v>26</v>
      </c>
      <c r="H1282" s="169">
        <v>2020</v>
      </c>
      <c r="I1282" s="170"/>
      <c r="J1282" s="166">
        <f>IFERROR(INDEX('Labor Expenditures'!$F$7:$X$91,MATCH($C1282,'Labor Expenditures'!$D$7:$D$91,0),MATCH($G1282,'Labor Expenditures'!$F$5:$X$5,0)),"NA")</f>
        <v>31117.178481389019</v>
      </c>
      <c r="K1282" s="166">
        <f t="shared" si="3803"/>
        <v>221.55342457379155</v>
      </c>
      <c r="L1282" s="172">
        <f t="shared" si="3810"/>
        <v>-6.6333370222225616E-2</v>
      </c>
      <c r="M1282" s="172">
        <f t="shared" si="3814"/>
        <v>-8.7240471473694098E-4</v>
      </c>
      <c r="N1282" s="196"/>
      <c r="O1282" s="172"/>
      <c r="P1282" s="166">
        <f>IFERROR(INDEX('Non-Labor Expenditures'!$F$7:$AB$91,MATCH($C1282,'Non-Labor Expenditures'!$D$7:$D$91,0),MATCH($G1282,'Non-Labor Expenditures'!$F$5:$AB$5,0)),"NA")</f>
        <v>45063.486328302832</v>
      </c>
      <c r="Q1282" s="166">
        <f t="shared" si="3804"/>
        <v>396.60532047475272</v>
      </c>
      <c r="R1282" s="172">
        <f t="shared" si="3815"/>
        <v>-5.1919068890053946E-2</v>
      </c>
      <c r="S1282" s="172">
        <f t="shared" si="3820"/>
        <v>-6.828303813403826E-4</v>
      </c>
      <c r="T1282" s="172"/>
      <c r="U1282" s="172"/>
      <c r="V1282" s="166">
        <f t="shared" si="3785"/>
        <v>103955.49836013815</v>
      </c>
      <c r="W1282" s="170"/>
      <c r="X1282" s="174">
        <v>4840.3439889135025</v>
      </c>
      <c r="Y1282" s="175">
        <v>3.1407260791658981E-2</v>
      </c>
      <c r="Z1282" s="175">
        <f t="shared" si="3821"/>
        <v>4.1306272091743334E-4</v>
      </c>
      <c r="AA1282" s="175"/>
      <c r="AB1282" s="175"/>
      <c r="AC1282" s="170">
        <f t="shared" si="3845"/>
        <v>180136.16316982999</v>
      </c>
      <c r="AD1282" s="175">
        <f t="shared" si="3816"/>
        <v>2.7188690577064644E-2</v>
      </c>
      <c r="AE1282" s="170"/>
      <c r="AF1282" s="170"/>
      <c r="AG1282" s="121">
        <f t="shared" si="3817"/>
        <v>279.65461309506657</v>
      </c>
      <c r="AH1282" s="119">
        <f>+AZ1282/$BB$58</f>
        <v>1.6751334670517745E-2</v>
      </c>
      <c r="AI1282" s="119"/>
      <c r="AJ1282" s="176">
        <f t="shared" si="3822"/>
        <v>4.6845880161096147</v>
      </c>
      <c r="AK1282" s="176">
        <f t="shared" si="3823"/>
        <v>0</v>
      </c>
      <c r="AL1282" s="120">
        <f t="shared" si="3805"/>
        <v>0.17274254060830727</v>
      </c>
      <c r="AM1282" s="120">
        <f t="shared" si="3806"/>
        <v>0.25016346265695455</v>
      </c>
      <c r="AN1282" s="120">
        <f t="shared" si="3807"/>
        <v>0.57709399673473827</v>
      </c>
      <c r="AO1282" s="120">
        <f t="shared" si="3811"/>
        <v>-7.6403551573667843E-3</v>
      </c>
      <c r="AP1282" s="173">
        <f t="shared" si="3827"/>
        <v>111.26551904774436</v>
      </c>
      <c r="AQ1282" s="175">
        <f t="shared" si="3828"/>
        <v>-7.6403551573668146E-3</v>
      </c>
      <c r="AR1282" s="177">
        <f>+AC1282/$AE$58</f>
        <v>1.3151822556494101E-2</v>
      </c>
      <c r="AS1282" s="177">
        <f t="shared" si="3824"/>
        <v>-1.0048459529828291E-4</v>
      </c>
      <c r="AT1282" s="177"/>
      <c r="AU1282" s="177"/>
      <c r="AV1282" s="177"/>
      <c r="AW1282" s="190"/>
      <c r="AX1282" s="120"/>
      <c r="AY1282" s="120"/>
      <c r="AZ1282" s="118">
        <f>IFERROR(INDEX('Total Customers'!$F$7:$AB$91,MATCH($C1282,'Total Customers'!$D$7:$D$91,0),MATCH($G1282,'Total Customers'!$F$5:$AB$5,0)),"NA")</f>
        <v>644138</v>
      </c>
      <c r="BA1282" s="119">
        <f t="shared" si="3786"/>
        <v>8.3873229614116682E-3</v>
      </c>
      <c r="BB1282" s="119"/>
      <c r="BC1282" s="121"/>
      <c r="BD1282" s="119"/>
      <c r="BE1282" s="119"/>
      <c r="BF1282" s="119"/>
      <c r="BG1282" s="173"/>
      <c r="BH1282" s="173"/>
      <c r="BI1282" s="173"/>
      <c r="BJ1282" s="173"/>
      <c r="BK1282" s="173"/>
      <c r="BL1282" s="173"/>
      <c r="BM1282" s="173"/>
      <c r="BN1282" s="173"/>
      <c r="BO1282" s="173"/>
      <c r="BP1282" s="173"/>
      <c r="BQ1282" s="118"/>
      <c r="BR1282" s="118"/>
      <c r="BS1282" s="118">
        <f>INDEX('Dist. Plant Gas Additions'!$F$7:$AE$91,MATCH($C1282,'Dist. Plant Gas Additions'!$D$7:$D$91,0),MATCH(Calculation!$G1282,'Dist. Plant Gas Additions'!$F$5:$AE$5,0))</f>
        <v>136913</v>
      </c>
      <c r="BT1282" s="118">
        <f>INDEX('Gen. Plant Additions'!$F$7:$AE$91,MATCH($C1282,'Gen. Plant Additions'!$D$7:$D$91,0),MATCH(Calculation!$G1282,'Gen. Plant Additions'!$F$5:$AE$5,0))</f>
        <v>18157</v>
      </c>
      <c r="BU1282" s="118"/>
      <c r="BV1282" s="118"/>
      <c r="BW1282" s="118">
        <f>INDEX('Dist Plant Depreciation'!$E$7:$AD$94,MATCH($C1282,'Dist Plant Depreciation'!$D$7:$D$94,0),MATCH(Calculation!$G1282,'Dist Plant Depreciation'!$E$5:$AD$5,0))</f>
        <v>884905</v>
      </c>
      <c r="BX1282" s="118">
        <f>INDEX('Gen. Plant Depreciation'!$E$7:$AD$94,MATCH($C1282,'Gen. Plant Depreciation'!$D$7:$D$94,0),MATCH(Calculation!$G1282,'Gen. Plant Depreciation'!$E$5:$AD$5,0))</f>
        <v>48867</v>
      </c>
      <c r="BY1282" s="118"/>
      <c r="BZ1282" s="118"/>
      <c r="CA1282" s="118"/>
      <c r="CB1282" s="118"/>
      <c r="CC1282" s="118"/>
      <c r="CD1282" s="183"/>
      <c r="CE1282" s="118">
        <f>INDEX('Gross Dx Plant'!$E$7:$AD$91,MATCH($C1282,'Gross Dx Plant'!$D$7:$D$91,0),MATCH(Calculation!$G1282,'Gross Dx Plant'!$E$5:$AD$5,0))</f>
        <v>2407670</v>
      </c>
      <c r="CF1282" s="118">
        <f>INDEX('Gross Gen Plant'!$E$7:$AD$91,MATCH($C1282,'Gross Gen Plant'!$D$7:$D$91,0),MATCH(Calculation!$G1282,'Gross Gen Plant'!$E$5:$AD$5,0))</f>
        <v>125142</v>
      </c>
      <c r="CG1282" s="118">
        <f t="shared" si="3767"/>
        <v>1599040</v>
      </c>
      <c r="CH1282" s="118"/>
      <c r="CI1282" s="121">
        <v>2020</v>
      </c>
      <c r="CJ1282" s="118"/>
      <c r="CK1282" s="118"/>
      <c r="CL1282" s="118"/>
      <c r="CM1282" s="183"/>
      <c r="CN1282" s="118">
        <f t="shared" si="3787"/>
        <v>155070</v>
      </c>
      <c r="CO1282" s="118">
        <f t="shared" si="3788"/>
        <v>190.7192023121722</v>
      </c>
      <c r="CP1282" s="186">
        <v>0.84057971014492749</v>
      </c>
      <c r="CQ1282" s="118">
        <f>CQ1260*CP1282+CO1261*CP1281+CO1262*CP1280+CO1263*CP1279+CO1264*CP1278+CO1265*CP1277+CO1266*CP1276+CO1267*CP1275+CO1268*CP1274+CO1269*CP1273+CO1270*CP1272+CO1271*CP1271+CO1272*CP1270+CO1273*CP1269+CO1274*CP1268+CO1275*CP1267+CO1276*CP1266+CO1277*CP1265+CO1278*CP1264+CO1279*CP1263+CO1280*CP1262+CO1281*CP1261+CO1282</f>
        <v>4840.3439889135025</v>
      </c>
      <c r="CR1282" s="119">
        <f t="shared" si="3789"/>
        <v>3.1407260791658981E-2</v>
      </c>
      <c r="CS1282" s="119"/>
      <c r="CT1282" s="177">
        <f t="shared" si="3790"/>
        <v>8.7534675626573296E-3</v>
      </c>
      <c r="CU1282" s="177">
        <f t="shared" si="3798"/>
        <v>8.5254494966483518E-3</v>
      </c>
      <c r="CV1282" s="119">
        <f>VLOOKUP($H1282,RoR!$E:$F,2,FALSE)</f>
        <v>2.4766666666666666E-2</v>
      </c>
      <c r="CW1282" s="177">
        <v>1.1618796630994188E-2</v>
      </c>
      <c r="CX1282" s="177">
        <f t="shared" si="3796"/>
        <v>1.3147870035672478E-2</v>
      </c>
      <c r="CY1282" s="177">
        <f t="shared" si="3799"/>
        <v>2.2376492111885273E-2</v>
      </c>
      <c r="CZ1282" s="177">
        <f t="shared" si="3800"/>
        <v>4.5144642961987357E-2</v>
      </c>
      <c r="DA1282" s="187">
        <f t="shared" si="3791"/>
        <v>0.90199375000000004</v>
      </c>
      <c r="DB1282" s="188">
        <f t="shared" si="3792"/>
        <v>2.0706077233668081</v>
      </c>
      <c r="DC1282" s="188">
        <f t="shared" si="3793"/>
        <v>-3.4421265141318998E-2</v>
      </c>
      <c r="DD1282" s="188">
        <f t="shared" si="3794"/>
        <v>0.62416226176410472</v>
      </c>
      <c r="DE1282" s="188">
        <f t="shared" si="3795"/>
        <v>-4.4485877841158712E-2</v>
      </c>
      <c r="DF1282" s="189">
        <v>0.26134999999999997</v>
      </c>
      <c r="DG1282" s="189">
        <v>0.375</v>
      </c>
      <c r="DH1282" s="190">
        <f t="shared" si="3797"/>
        <v>22.162116731273819</v>
      </c>
      <c r="DI1282" s="190">
        <v>21.85867747775303</v>
      </c>
      <c r="DJ1282" s="177"/>
      <c r="DK1282" s="189">
        <f>VLOOKUP($H1282,RoR!$E:$F,2,FALSE)</f>
        <v>2.4766666666666666E-2</v>
      </c>
      <c r="DL1282" s="191">
        <f>HLOOKUP($H1282,'GDP-PI'!$D$8:$CQ$11,3,FALSE)</f>
        <v>1.1618796630994188E-2</v>
      </c>
      <c r="DM1282" s="189">
        <f>VLOOKUP(H1282,'HW Dx Data'!$E:$F,2,FALSE)</f>
        <v>813.080162458833</v>
      </c>
      <c r="DN1282" s="183">
        <f>VLOOKUP(H1282,'ECI - Input Price'!$G$17:$H$37,2,FALSE)</f>
        <v>140.44999999999999</v>
      </c>
      <c r="DO1282" s="177">
        <f t="shared" ref="DO1282" si="3854">LN(DN1282/DN1281)</f>
        <v>2.5966118063564539E-2</v>
      </c>
      <c r="DP1282" s="183">
        <f>HLOOKUP(H1282,'GDP-PI'!$8:$9,2,FALSE)</f>
        <v>113.623</v>
      </c>
      <c r="DQ1282" s="177">
        <f t="shared" ref="DQ1282" si="3855">LN(DP1282/DP1281)</f>
        <v>1.1551816731392881E-2</v>
      </c>
    </row>
    <row r="1283" spans="1:121" s="167" customFormat="1" ht="21" x14ac:dyDescent="0.35">
      <c r="A1283" s="167" t="s">
        <v>117</v>
      </c>
      <c r="B1283" s="167" t="s">
        <v>117</v>
      </c>
      <c r="C1283" s="167">
        <v>4008752</v>
      </c>
      <c r="D1283" s="167" t="s">
        <v>144</v>
      </c>
      <c r="G1283" s="168" t="s">
        <v>462</v>
      </c>
      <c r="H1283" s="169">
        <v>2021</v>
      </c>
      <c r="I1283" s="170"/>
      <c r="J1283" s="166">
        <f>IFERROR(INDEX('Labor Expenditures'!$E$7:$X$91,MATCH($C1283,'Labor Expenditures'!$D$7:$D$91,0),MATCH($G1283,'Labor Expenditures'!$E$5:$X$5,0)),"NA")</f>
        <v>28284.923588245212</v>
      </c>
      <c r="K1283" s="166">
        <f t="shared" si="3803"/>
        <v>194.43150773841009</v>
      </c>
      <c r="L1283" s="171">
        <f t="shared" si="3810"/>
        <v>-0.13058379912957271</v>
      </c>
      <c r="M1283" s="172">
        <f t="shared" si="3814"/>
        <v>-1.4500069250577496E-3</v>
      </c>
      <c r="N1283" s="196"/>
      <c r="O1283" s="172"/>
      <c r="P1283" s="166">
        <f>IFERROR(INDEX('Non-Labor Expenditures'!$E$7:$AB$91,MATCH($C1283,'Non-Labor Expenditures'!$D$7:$D$91,0),MATCH($G1283,'Non-Labor Expenditures'!$E$5:$AB$5,0)),"NA")</f>
        <v>39871.518793068557</v>
      </c>
      <c r="Q1283" s="166">
        <f t="shared" si="3804"/>
        <v>336.49690938533683</v>
      </c>
      <c r="R1283" s="172">
        <f t="shared" si="3815"/>
        <v>-0.164352666759709</v>
      </c>
      <c r="S1283" s="172">
        <f t="shared" si="3820"/>
        <v>-1.8249775741079441E-3</v>
      </c>
      <c r="T1283" s="172"/>
      <c r="U1283" s="172"/>
      <c r="V1283" s="166">
        <f t="shared" si="3785"/>
        <v>95610.592510881863</v>
      </c>
      <c r="W1283" s="170"/>
      <c r="X1283" s="174">
        <v>4876.008663717761</v>
      </c>
      <c r="Y1283" s="175"/>
      <c r="Z1283" s="175">
        <f t="shared" si="3821"/>
        <v>0</v>
      </c>
      <c r="AA1283" s="175"/>
      <c r="AB1283" s="175"/>
      <c r="AC1283" s="170">
        <f t="shared" si="3845"/>
        <v>163767.03489219563</v>
      </c>
      <c r="AD1283" s="175">
        <f t="shared" si="3816"/>
        <v>-9.526812799097803E-2</v>
      </c>
      <c r="AE1283" s="118"/>
      <c r="AF1283" s="119"/>
      <c r="AG1283" s="121">
        <f t="shared" si="3817"/>
        <v>254.30848469990161</v>
      </c>
      <c r="AH1283" s="119">
        <f>+AZ1283/$BB$59</f>
        <v>1.6522144791448045E-2</v>
      </c>
      <c r="AI1283" s="119"/>
      <c r="AJ1283" s="176">
        <f t="shared" si="3822"/>
        <v>4.201721605905524</v>
      </c>
      <c r="AK1283" s="176">
        <f t="shared" si="3823"/>
        <v>0</v>
      </c>
      <c r="AL1283" s="120">
        <f t="shared" si="3805"/>
        <v>0.17271439033419991</v>
      </c>
      <c r="AM1283" s="120">
        <f t="shared" si="3806"/>
        <v>0.2434648634831493</v>
      </c>
      <c r="AN1283" s="120">
        <f t="shared" si="3807"/>
        <v>0.58382074618265078</v>
      </c>
      <c r="AO1283" s="120">
        <f t="shared" si="3811"/>
        <v>-6.3120105133686238E-2</v>
      </c>
      <c r="AP1283" s="173">
        <f t="shared" si="3827"/>
        <v>104.45948608251587</v>
      </c>
      <c r="AQ1283" s="175">
        <f t="shared" si="3828"/>
        <v>-6.3120105133686294E-2</v>
      </c>
      <c r="AR1283" s="177">
        <f>+AC1283/$AE$59</f>
        <v>1.110403384434366E-2</v>
      </c>
      <c r="AS1283" s="177">
        <f t="shared" si="3824"/>
        <v>-7.0088778366298257E-4</v>
      </c>
      <c r="AT1283" s="177"/>
      <c r="AU1283" s="177"/>
      <c r="AV1283" s="177"/>
      <c r="AW1283" s="190"/>
      <c r="AX1283" s="120"/>
      <c r="AY1283" s="120"/>
      <c r="AZ1283" s="118">
        <f>INDEX('Total Customers'!$E$7:$E$91,MATCH(Calculation!$C1283,'Total Customers'!$D$7:$D$91,0))</f>
        <v>643970</v>
      </c>
      <c r="BA1283" s="119">
        <f t="shared" si="3786"/>
        <v>-2.6084769437432424E-4</v>
      </c>
      <c r="BB1283" s="118"/>
      <c r="BC1283" s="121"/>
      <c r="BD1283" s="118"/>
      <c r="BE1283" s="119"/>
      <c r="BF1283" s="119"/>
      <c r="BG1283" s="173"/>
      <c r="BH1283" s="173"/>
      <c r="BI1283" s="173"/>
      <c r="BJ1283" s="173"/>
      <c r="BK1283" s="173"/>
      <c r="BL1283" s="173"/>
      <c r="BM1283" s="173"/>
      <c r="BN1283" s="173"/>
      <c r="BO1283" s="173"/>
      <c r="BP1283" s="173"/>
      <c r="BQ1283" s="118"/>
      <c r="BR1283" s="118"/>
      <c r="BS1283" s="118">
        <f>INDEX('Dist. Plant Gas Additions'!$E$7:$AE$91,MATCH($C1283,'Dist. Plant Gas Additions'!$D$7:$D$91,0),MATCH(Calculation!$G1283,'Dist. Plant Gas Additions'!$E$5:$AE$5,0))</f>
        <v>125524</v>
      </c>
      <c r="BT1283" s="118">
        <f>INDEX('Gen. Plant Additions'!$E$7:$AE$91,MATCH($C1283,'Gen. Plant Additions'!$D$7:$D$91,0),MATCH(Calculation!$G1283,'Gen. Plant Additions'!$E$5:$AE$5,0))</f>
        <v>12412</v>
      </c>
      <c r="BU1283" s="118"/>
      <c r="BV1283" s="118"/>
      <c r="BW1283" s="118"/>
      <c r="BX1283" s="118"/>
      <c r="BY1283" s="183"/>
      <c r="BZ1283" s="183"/>
      <c r="CA1283" s="178"/>
      <c r="CB1283" s="184"/>
      <c r="CC1283" s="185"/>
      <c r="CD1283" s="185"/>
      <c r="CE1283" s="118"/>
      <c r="CF1283" s="118"/>
      <c r="CG1283" s="118"/>
      <c r="CH1283" s="118"/>
      <c r="CI1283" s="121">
        <v>2021</v>
      </c>
      <c r="CJ1283" s="118"/>
      <c r="CK1283" s="118"/>
      <c r="CL1283" s="118"/>
      <c r="CM1283" s="183"/>
      <c r="CN1283" s="118">
        <f t="shared" si="3787"/>
        <v>137936</v>
      </c>
      <c r="CO1283" s="118">
        <f t="shared" si="3788"/>
        <v>147.83780682224955</v>
      </c>
      <c r="CP1283" s="186">
        <f>+(51-23)/(51-23*0.75)</f>
        <v>0.82962962962962961</v>
      </c>
      <c r="CQ1283" s="118">
        <f>CQ1260*CP1283+CO1261*CP1282+CO1262*CP1281+CO1263*CP1280+CO1264*CP1279+CO1265*CP1278+CO1266*CP1277+CO1267*CP1276+CO1268*CP1275+CO1269*CP1274+CO1270*CP1273+CO1271*CP1272+CO1272*CP1271+CO1273*CP1270+CO1274*CP1269+CO1265*CP1268+CO1276*CP1267+CO1277*CP1266+CO1278*CP1265+CO1279*CP1264+CO1280*CP1263+CO1281*CP1262+CO1283+CO1282*CP1261</f>
        <v>4876.008663717761</v>
      </c>
      <c r="CR1283" s="119"/>
      <c r="CS1283" s="118"/>
      <c r="CT1283" s="177">
        <f t="shared" si="3790"/>
        <v>2.3174619877206325E-2</v>
      </c>
      <c r="CU1283" s="177">
        <f t="shared" si="3798"/>
        <v>1.3485315532703943E-2</v>
      </c>
      <c r="CV1283" s="119">
        <f>VLOOKUP($H1283,RoR!$E:$F,2,FALSE)</f>
        <v>2.7033333333333336E-2</v>
      </c>
      <c r="CW1283" s="177"/>
      <c r="CX1283" s="177"/>
      <c r="CY1283" s="177">
        <f t="shared" si="3799"/>
        <v>1.741662607582968E-2</v>
      </c>
      <c r="CZ1283" s="177">
        <f t="shared" si="3800"/>
        <v>7.433422950153494E-2</v>
      </c>
      <c r="DA1283" s="187">
        <f t="shared" si="3791"/>
        <v>0.90199375000000004</v>
      </c>
      <c r="DB1283" s="188">
        <f t="shared" si="3792"/>
        <v>1.8969932656739068</v>
      </c>
      <c r="DC1283" s="188">
        <f t="shared" si="3793"/>
        <v>5.0215782983970621E-2</v>
      </c>
      <c r="DD1283" s="188">
        <f t="shared" si="3794"/>
        <v>0.655952481704143</v>
      </c>
      <c r="DE1283" s="188">
        <f t="shared" si="3795"/>
        <v>6.2485378865697057E-2</v>
      </c>
      <c r="DF1283" s="189">
        <f>DF1282</f>
        <v>0.26134999999999997</v>
      </c>
      <c r="DG1283" s="189">
        <v>0.375</v>
      </c>
      <c r="DH1283" s="190">
        <f t="shared" si="3797"/>
        <v>19.752850774629199</v>
      </c>
      <c r="DI1283" s="190"/>
      <c r="DJ1283" s="177">
        <f t="shared" ref="DJ1283" si="3856">LN(DH1283/DH1282)</f>
        <v>-0.11508655373176604</v>
      </c>
      <c r="DK1283" s="189">
        <f>VLOOKUP($H1283,RoR!$E:$F,2,FALSE)</f>
        <v>2.7033333333333336E-2</v>
      </c>
      <c r="DL1283" s="191">
        <f>HLOOKUP($H1283,'GDP-PI'!$D$8:$CR$11,3,FALSE)</f>
        <v>4.2834637353352578E-2</v>
      </c>
      <c r="DM1283" s="189">
        <f>VLOOKUP(H1283,'HW Dx Data'!$E:$F,2,FALSE)</f>
        <v>933.02249921662576</v>
      </c>
      <c r="DN1283" s="183">
        <f>VLOOKUP(H1283,'ECI - Input Price'!$G$17:$H$37,2,FALSE)</f>
        <v>145.47500000000002</v>
      </c>
      <c r="DO1283" s="177">
        <f t="shared" ref="DO1283" si="3857">LN(DN1283/DN1282)</f>
        <v>3.5152696992481205E-2</v>
      </c>
      <c r="DP1283" s="183">
        <f>HLOOKUP(H1283,'GDP-PI'!$8:$9,2,FALSE)</f>
        <v>118.49</v>
      </c>
      <c r="DQ1283" s="177">
        <f t="shared" ref="DQ1283" si="3858">LN(DP1283/DP1282)</f>
        <v>4.194261824609434E-2</v>
      </c>
    </row>
    <row r="1284" spans="1:121" s="167" customFormat="1" ht="21" x14ac:dyDescent="0.35">
      <c r="A1284" s="167" t="s">
        <v>118</v>
      </c>
      <c r="B1284" s="167" t="s">
        <v>118</v>
      </c>
      <c r="C1284" s="167">
        <v>4008669</v>
      </c>
      <c r="D1284" s="168" t="s">
        <v>144</v>
      </c>
      <c r="E1284" s="168"/>
      <c r="F1284" s="198"/>
      <c r="G1284" s="167" t="s">
        <v>4</v>
      </c>
      <c r="H1284" s="169">
        <v>1998</v>
      </c>
      <c r="I1284" s="170"/>
      <c r="J1284" s="166"/>
      <c r="K1284" s="166"/>
      <c r="L1284" s="166"/>
      <c r="M1284" s="166"/>
      <c r="N1284" s="196"/>
      <c r="O1284" s="166"/>
      <c r="P1284" s="172"/>
      <c r="Q1284" s="172"/>
      <c r="R1284" s="172"/>
      <c r="S1284" s="166"/>
      <c r="T1284" s="172"/>
      <c r="U1284" s="172"/>
      <c r="V1284" s="166"/>
      <c r="W1284" s="170"/>
      <c r="X1284" s="174">
        <v>632.36344910360026</v>
      </c>
      <c r="Y1284" s="175"/>
      <c r="Z1284" s="166"/>
      <c r="AA1284" s="175"/>
      <c r="AB1284" s="175"/>
      <c r="AC1284" s="170">
        <f t="shared" si="3845"/>
        <v>0</v>
      </c>
      <c r="AD1284" s="170"/>
      <c r="AE1284" s="170"/>
      <c r="AF1284" s="119"/>
      <c r="AG1284" s="174"/>
      <c r="AH1284" s="175"/>
      <c r="AI1284" s="175"/>
      <c r="AJ1284" s="174"/>
      <c r="AK1284" s="174"/>
      <c r="AL1284" s="120"/>
      <c r="AM1284" s="120"/>
      <c r="AN1284" s="120"/>
      <c r="AO1284" s="120"/>
      <c r="AP1284" s="120"/>
      <c r="AQ1284" s="175">
        <f>AVERAGE(AQ1293:AQ1307)</f>
        <v>1.1716539343774333E-2</v>
      </c>
      <c r="AR1284" s="120"/>
      <c r="AS1284" s="120"/>
      <c r="AT1284" s="120"/>
      <c r="AU1284" s="120"/>
      <c r="AV1284" s="120"/>
      <c r="AW1284" s="120"/>
      <c r="AX1284" s="120"/>
      <c r="AY1284" s="120"/>
      <c r="AZ1284" s="118">
        <f>IFERROR(INDEX('Total Customers'!$F$7:$AB$91,MATCH($C1284,'Total Customers'!$D$7:$D$91,0),MATCH($G1284,'Total Customers'!$F$5:$AB$5,0)),"NA")</f>
        <v>150657</v>
      </c>
      <c r="BA1284" s="119"/>
      <c r="BB1284" s="119"/>
      <c r="BC1284" s="121"/>
      <c r="BD1284" s="119"/>
      <c r="BE1284" s="119"/>
      <c r="BF1284" s="119"/>
      <c r="BG1284" s="173"/>
      <c r="BH1284" s="173"/>
      <c r="BI1284" s="173"/>
      <c r="BJ1284" s="173"/>
      <c r="BK1284" s="173"/>
      <c r="BL1284" s="173"/>
      <c r="BM1284" s="173"/>
      <c r="BN1284" s="173"/>
      <c r="BO1284" s="173"/>
      <c r="BP1284" s="173"/>
      <c r="BQ1284" s="118">
        <f>INDEX('Gross Dx Plant'!$E$7:$AD$91,MATCH($C1284,'Gross Dx Plant'!$D$7:$D$91,0),MATCH(Calculation!$G1284,'Gross Dx Plant'!$E$5:$AD$5,0))</f>
        <v>227831</v>
      </c>
      <c r="BR1284" s="118">
        <f>INDEX('Gross Gen Plant'!$E$7:$AD$91,MATCH($C1284,'Gross Gen Plant'!$D$7:$D$91,0),MATCH(Calculation!$G1284,'Gross Gen Plant'!$E$5:$AD$5,0))</f>
        <v>6882</v>
      </c>
      <c r="BS1284" s="118">
        <f>INDEX('Dist. Plant Gas Additions'!$F$7:$AE$91,MATCH($C1284,'Dist. Plant Gas Additions'!$D$7:$D$91,0),MATCH(Calculation!$G1284,'Dist. Plant Gas Additions'!$F$5:$AE$5,0))</f>
        <v>7050</v>
      </c>
      <c r="BT1284" s="118">
        <f>INDEX('Gen. Plant Additions'!$F$7:$AE$91,MATCH($C1284,'Gen. Plant Additions'!$D$7:$D$91,0),MATCH(Calculation!$G1284,'Gen. Plant Additions'!$F$5:$AE$5,0))</f>
        <v>199</v>
      </c>
      <c r="BU1284" s="118" t="e">
        <f>INDEX('Dist Plant Depreciation'!$E$7:$AA$94,MATCH($C1284,'Dist Plant Depreciation'!$D$7:$D$94,0),MATCH(#REF!,'Dist Plant Depreciation'!$E$5:$AA$5,0))</f>
        <v>#REF!</v>
      </c>
      <c r="BV1284" s="118" t="e">
        <f>INDEX('Gen. Plant Depreciation'!$E$7:$AA$94,MATCH($C1284,'Gen. Plant Depreciation'!$D$7:$D$94,0),MATCH(#REF!,'Gen. Plant Depreciation'!$E$5:$AA$5,0))</f>
        <v>#REF!</v>
      </c>
      <c r="BW1284" s="118">
        <f>INDEX('Dist Plant Depreciation'!$E$7:$AD$94,MATCH($C1284,'Dist Plant Depreciation'!$D$7:$D$94,0),MATCH(Calculation!$G1284,'Dist Plant Depreciation'!$E$5:$AD$5,0))</f>
        <v>103974</v>
      </c>
      <c r="BX1284" s="118">
        <f>INDEX('Gen. Plant Depreciation'!$E$7:$AD$94,MATCH($C1284,'Gen. Plant Depreciation'!$D$7:$D$94,0),MATCH(Calculation!$G1284,'Gen. Plant Depreciation'!$E$5:$AD$5,0))</f>
        <v>3179</v>
      </c>
      <c r="BY1284" s="118"/>
      <c r="BZ1284" s="118"/>
      <c r="CA1284" s="118"/>
      <c r="CB1284" s="118"/>
      <c r="CC1284" s="118"/>
      <c r="CD1284" s="183"/>
      <c r="CE1284" s="118">
        <f>INDEX('Gross Dx Plant'!$E$7:$AD$91,MATCH($C1284,'Gross Dx Plant'!$D$7:$D$91,0),MATCH(Calculation!$G1284,'Gross Dx Plant'!$E$5:$AD$5,0))</f>
        <v>227831</v>
      </c>
      <c r="CF1284" s="118">
        <f>INDEX('Gross Gen Plant'!$E$7:$AD$91,MATCH($C1284,'Gross Gen Plant'!$D$7:$D$91,0),MATCH(Calculation!$G1284,'Gross Gen Plant'!$E$5:$AD$5,0))</f>
        <v>6882</v>
      </c>
      <c r="CG1284" s="118">
        <f t="shared" si="3767"/>
        <v>127560</v>
      </c>
      <c r="CH1284" s="118"/>
      <c r="CI1284" s="121">
        <v>1998</v>
      </c>
      <c r="CJ1284" s="118">
        <f>BQ1284+BR1284</f>
        <v>234713</v>
      </c>
      <c r="CK1284" s="118">
        <f>103974+3179</f>
        <v>107153</v>
      </c>
      <c r="CL1284" s="118">
        <f>+CJ1284-CK1284</f>
        <v>127560</v>
      </c>
      <c r="CM1284" s="118">
        <f>CL1284/$CD$36</f>
        <v>632.36344910360026</v>
      </c>
      <c r="CN1284" s="183"/>
      <c r="CO1284" s="183"/>
      <c r="CP1284" s="186">
        <v>1</v>
      </c>
      <c r="CQ1284" s="118">
        <f>+CM1284</f>
        <v>632.36344910360026</v>
      </c>
      <c r="CR1284" s="119"/>
      <c r="CS1284" s="119"/>
      <c r="CT1284" s="177"/>
      <c r="CU1284" s="177"/>
      <c r="CV1284" s="119" t="e">
        <f>VLOOKUP($H1284,RoR!$E:$F,2,FALSE)</f>
        <v>#N/A</v>
      </c>
      <c r="CW1284" s="177">
        <v>1.1028127770464469E-2</v>
      </c>
      <c r="CX1284" s="177"/>
      <c r="CY1284" s="177"/>
      <c r="CZ1284" s="177"/>
      <c r="DA1284" s="187"/>
      <c r="DB1284" s="190" t="e">
        <f>2/(DK1284*39)</f>
        <v>#N/A</v>
      </c>
      <c r="DC1284" s="188" t="e">
        <f>+(DK1284*40-(1+DK1284))/(DK1284*40)</f>
        <v>#N/A</v>
      </c>
      <c r="DD1284" s="188" t="e">
        <f>+(1-(1/(1+DK1284)^40))</f>
        <v>#N/A</v>
      </c>
      <c r="DE1284" s="188" t="e">
        <f>+DD1284*DC1284*DB1284</f>
        <v>#N/A</v>
      </c>
      <c r="DF1284" s="189">
        <f>INDEX('State Tax Lookup'!$D$7:$Z$91,MATCH(Calculation!$C1284,'State Tax Lookup'!$B$7:$B$91,0),MATCH($H1284,'State Tax Lookup'!$D$6:$Z$6,0))</f>
        <v>0.40134999999999998</v>
      </c>
      <c r="DG1284" s="189">
        <v>0.375</v>
      </c>
      <c r="DH1284" s="183"/>
      <c r="DI1284" s="183"/>
      <c r="DJ1284" s="177"/>
      <c r="DK1284" s="189" t="e">
        <f>VLOOKUP($H1284,RoR!$E:$F,2,FALSE)</f>
        <v>#N/A</v>
      </c>
      <c r="DL1284" s="191">
        <f>HLOOKUP($H1284,'GDP-PI'!$D$8:$CQ$11,3,FALSE)</f>
        <v>1.1028127770464469E-2</v>
      </c>
      <c r="DM1284" s="189">
        <f>VLOOKUP(H1284,'HW Dx Data'!$E:$F,2,FALSE)</f>
        <v>329.24564746449528</v>
      </c>
      <c r="DN1284" s="183" t="e">
        <f>VLOOKUP(H1284,'ECI - Input Price'!$G$17:$H$37,2,FALSE)</f>
        <v>#N/A</v>
      </c>
      <c r="DO1284" s="177"/>
      <c r="DP1284" s="183">
        <f>HLOOKUP(H1284,'GDP-PI'!$8:$9,2,FALSE)</f>
        <v>75.266999999999996</v>
      </c>
    </row>
    <row r="1285" spans="1:121" s="167" customFormat="1" ht="21" x14ac:dyDescent="0.35">
      <c r="A1285" s="167" t="s">
        <v>118</v>
      </c>
      <c r="B1285" s="167" t="s">
        <v>118</v>
      </c>
      <c r="C1285" s="167">
        <v>4008669</v>
      </c>
      <c r="D1285" s="168" t="s">
        <v>144</v>
      </c>
      <c r="E1285" s="168"/>
      <c r="F1285" s="198"/>
      <c r="G1285" s="167" t="s">
        <v>5</v>
      </c>
      <c r="H1285" s="169">
        <v>1999</v>
      </c>
      <c r="I1285" s="170"/>
      <c r="J1285" s="166"/>
      <c r="K1285" s="170"/>
      <c r="L1285" s="170"/>
      <c r="M1285" s="166"/>
      <c r="N1285" s="173"/>
      <c r="O1285" s="170"/>
      <c r="P1285" s="177"/>
      <c r="Q1285" s="177"/>
      <c r="R1285" s="177"/>
      <c r="S1285" s="195"/>
      <c r="T1285" s="177"/>
      <c r="U1285" s="177"/>
      <c r="V1285" s="166">
        <f t="shared" ref="V1285:V1307" si="3859">+CQ1284*DH1285</f>
        <v>0</v>
      </c>
      <c r="W1285" s="170"/>
      <c r="X1285" s="174">
        <v>672.13393685775304</v>
      </c>
      <c r="Y1285" s="175">
        <v>6.0993324915000882E-2</v>
      </c>
      <c r="Z1285" s="175"/>
      <c r="AA1285" s="175"/>
      <c r="AB1285" s="175"/>
      <c r="AC1285" s="170">
        <f t="shared" si="3845"/>
        <v>0</v>
      </c>
      <c r="AD1285" s="175"/>
      <c r="AE1285" s="170"/>
      <c r="AF1285" s="119"/>
      <c r="AG1285" s="174"/>
      <c r="AH1285" s="175"/>
      <c r="AI1285" s="175"/>
      <c r="AJ1285" s="174"/>
      <c r="AK1285" s="174"/>
      <c r="AL1285" s="120"/>
      <c r="AM1285" s="120"/>
      <c r="AN1285" s="120"/>
      <c r="AO1285" s="120"/>
      <c r="AP1285" s="120"/>
      <c r="AQ1285" s="175"/>
      <c r="AR1285" s="120"/>
      <c r="AS1285" s="120"/>
      <c r="AT1285" s="120"/>
      <c r="AU1285" s="120"/>
      <c r="AV1285" s="120"/>
      <c r="AW1285" s="120"/>
      <c r="AX1285" s="120"/>
      <c r="AY1285" s="120"/>
      <c r="AZ1285" s="118">
        <f>IFERROR(INDEX('Total Customers'!$F$7:$AB$91,MATCH($C1285,'Total Customers'!$D$7:$D$91,0),MATCH($G1285,'Total Customers'!$F$5:$AB$5,0)),"NA")</f>
        <v>153970</v>
      </c>
      <c r="BA1285" s="119">
        <f t="shared" ref="BA1285:BA1307" si="3860">LN(AZ1285/AZ1284)</f>
        <v>2.1752048428036758E-2</v>
      </c>
      <c r="BB1285" s="119"/>
      <c r="BC1285" s="121"/>
      <c r="BD1285" s="119"/>
      <c r="BE1285" s="119"/>
      <c r="BF1285" s="119"/>
      <c r="BG1285" s="173"/>
      <c r="BH1285" s="173"/>
      <c r="BI1285" s="173"/>
      <c r="BJ1285" s="173"/>
      <c r="BK1285" s="173"/>
      <c r="BL1285" s="173"/>
      <c r="BM1285" s="173"/>
      <c r="BN1285" s="173"/>
      <c r="BO1285" s="173"/>
      <c r="BP1285" s="173"/>
      <c r="BQ1285" s="118"/>
      <c r="BR1285" s="118"/>
      <c r="BS1285" s="118">
        <f>INDEX('Dist. Plant Gas Additions'!$F$7:$AE$91,MATCH($C1285,'Dist. Plant Gas Additions'!$D$7:$D$91,0),MATCH(Calculation!$G1285,'Dist. Plant Gas Additions'!$F$5:$AE$5,0))</f>
        <v>10210</v>
      </c>
      <c r="BT1285" s="118">
        <f>INDEX('Gen. Plant Additions'!$F$7:$AE$91,MATCH($C1285,'Gen. Plant Additions'!$D$7:$D$91,0),MATCH(Calculation!$G1285,'Gen. Plant Additions'!$F$5:$AE$5,0))</f>
        <v>4181</v>
      </c>
      <c r="BU1285" s="118"/>
      <c r="BV1285" s="118"/>
      <c r="BW1285" s="118">
        <f>INDEX('Dist Plant Depreciation'!$E$7:$AD$94,MATCH($C1285,'Dist Plant Depreciation'!$D$7:$D$94,0),MATCH(Calculation!$G1285,'Dist Plant Depreciation'!$E$5:$AD$5,0))</f>
        <v>112341</v>
      </c>
      <c r="BX1285" s="118">
        <f>INDEX('Gen. Plant Depreciation'!$E$7:$AD$94,MATCH($C1285,'Gen. Plant Depreciation'!$D$7:$D$94,0),MATCH(Calculation!$G1285,'Gen. Plant Depreciation'!$E$5:$AD$5,0))</f>
        <v>3042</v>
      </c>
      <c r="BY1285" s="118"/>
      <c r="BZ1285" s="118"/>
      <c r="CA1285" s="118"/>
      <c r="CB1285" s="118"/>
      <c r="CC1285" s="118"/>
      <c r="CD1285" s="183"/>
      <c r="CE1285" s="118">
        <f>INDEX('Gross Dx Plant'!$E$7:$AD$91,MATCH($C1285,'Gross Dx Plant'!$D$7:$D$91,0),MATCH(Calculation!$G1285,'Gross Dx Plant'!$E$5:$AD$5,0))</f>
        <v>236673</v>
      </c>
      <c r="CF1285" s="118">
        <f>INDEX('Gross Gen Plant'!$E$7:$AD$91,MATCH($C1285,'Gross Gen Plant'!$D$7:$D$91,0),MATCH(Calculation!$G1285,'Gross Gen Plant'!$E$5:$AD$5,0))</f>
        <v>11063</v>
      </c>
      <c r="CG1285" s="118">
        <f t="shared" si="3767"/>
        <v>132353</v>
      </c>
      <c r="CH1285" s="118"/>
      <c r="CI1285" s="121">
        <v>1999</v>
      </c>
      <c r="CJ1285" s="118"/>
      <c r="CK1285" s="118"/>
      <c r="CL1285" s="118"/>
      <c r="CM1285" s="183"/>
      <c r="CN1285" s="118">
        <f t="shared" ref="CN1285:CN1307" si="3861">+BT1285+BS1285</f>
        <v>14391</v>
      </c>
      <c r="CO1285" s="118">
        <f t="shared" ref="CO1285:CO1307" si="3862">+CN1285/$DM1285</f>
        <v>42.916574565613431</v>
      </c>
      <c r="CP1285" s="186">
        <v>0.99502487562189057</v>
      </c>
      <c r="CQ1285" s="118">
        <f>+CQ1284*CP1285+CO1285</f>
        <v>672.13393685775304</v>
      </c>
      <c r="CR1285" s="119">
        <f t="shared" ref="CR1285:CR1306" si="3863">LN(CQ1285/CQ1284)</f>
        <v>6.0993324915000882E-2</v>
      </c>
      <c r="CS1285" s="119"/>
      <c r="CT1285" s="177">
        <f t="shared" ref="CT1285:CT1307" si="3864">+(CQ1284-CQ1285+CO1285)/CQ1284</f>
        <v>4.9751243781093746E-3</v>
      </c>
      <c r="CU1285" s="177"/>
      <c r="CV1285" s="119">
        <f>VLOOKUP($H1285,RoR!$E:$F,2,FALSE)</f>
        <v>7.0416666666666669E-2</v>
      </c>
      <c r="CW1285" s="177">
        <v>1.4335631817396832E-2</v>
      </c>
      <c r="CX1285" s="177">
        <f>+CV1285-CW1285</f>
        <v>5.6081034849269837E-2</v>
      </c>
      <c r="CY1285" s="177"/>
      <c r="CZ1285" s="177"/>
      <c r="DA1285" s="187">
        <f t="shared" ref="DA1285:DA1307" si="3865">1-DF1285*DG1285</f>
        <v>0.84949374999999994</v>
      </c>
      <c r="DB1285" s="188">
        <f t="shared" ref="DB1285:DB1307" si="3866">2/(DK1285*39)</f>
        <v>0.72826581702321336</v>
      </c>
      <c r="DC1285" s="188">
        <f t="shared" ref="DC1285:DC1307" si="3867">+(DK1285*40-(1+DK1285))/(DK1285*40)</f>
        <v>0.61997041420118348</v>
      </c>
      <c r="DD1285" s="188">
        <f t="shared" ref="DD1285:DD1307" si="3868">+(1-(1/(1+DK1285)^40))</f>
        <v>0.93425155319585029</v>
      </c>
      <c r="DE1285" s="188">
        <f t="shared" ref="DE1285:DE1307" si="3869">+DD1285*DC1285*DB1285</f>
        <v>0.42181762214141483</v>
      </c>
      <c r="DF1285" s="189">
        <f>INDEX('State Tax Lookup'!$D$7:$Z$91,MATCH(Calculation!$C1285,'State Tax Lookup'!$B$7:$B$91,0),MATCH($H1285,'State Tax Lookup'!$D$6:$Z$6,0))</f>
        <v>0.40134999999999998</v>
      </c>
      <c r="DG1285" s="189">
        <v>0.375</v>
      </c>
      <c r="DH1285" s="190"/>
      <c r="DI1285" s="190"/>
      <c r="DJ1285" s="177"/>
      <c r="DK1285" s="189">
        <f>VLOOKUP($H1285,RoR!$E:$F,2,FALSE)</f>
        <v>7.0416666666666669E-2</v>
      </c>
      <c r="DL1285" s="191">
        <f>HLOOKUP($H1285,'GDP-PI'!$D$8:$CQ$11,3,FALSE)</f>
        <v>1.4335631817396832E-2</v>
      </c>
      <c r="DM1285" s="189">
        <f>VLOOKUP(H1285,'HW Dx Data'!$E:$F,2,FALSE)</f>
        <v>335.32499146683239</v>
      </c>
      <c r="DN1285" s="183" t="e">
        <f>VLOOKUP(H1285,'ECI - Input Price'!$G$17:$H$37,2,FALSE)</f>
        <v>#N/A</v>
      </c>
      <c r="DO1285" s="177"/>
      <c r="DP1285" s="183">
        <f>HLOOKUP(H1285,'GDP-PI'!$8:$9,2,FALSE)</f>
        <v>76.346000000000004</v>
      </c>
    </row>
    <row r="1286" spans="1:121" s="167" customFormat="1" ht="21" x14ac:dyDescent="0.35">
      <c r="A1286" s="167" t="s">
        <v>118</v>
      </c>
      <c r="B1286" s="167" t="s">
        <v>118</v>
      </c>
      <c r="C1286" s="167">
        <v>4008669</v>
      </c>
      <c r="D1286" s="168" t="s">
        <v>144</v>
      </c>
      <c r="E1286" s="168"/>
      <c r="F1286" s="198"/>
      <c r="G1286" s="167" t="s">
        <v>6</v>
      </c>
      <c r="H1286" s="169">
        <v>2000</v>
      </c>
      <c r="I1286" s="170"/>
      <c r="J1286" s="166"/>
      <c r="K1286" s="166"/>
      <c r="L1286" s="166"/>
      <c r="M1286" s="166"/>
      <c r="N1286" s="196"/>
      <c r="O1286" s="166"/>
      <c r="P1286" s="166"/>
      <c r="Q1286" s="166"/>
      <c r="R1286" s="166"/>
      <c r="S1286" s="166"/>
      <c r="T1286" s="166"/>
      <c r="U1286" s="166"/>
      <c r="V1286" s="166">
        <f t="shared" si="3859"/>
        <v>0</v>
      </c>
      <c r="W1286" s="170"/>
      <c r="X1286" s="174">
        <v>717.24281562259262</v>
      </c>
      <c r="Y1286" s="175">
        <v>6.495680678804186E-2</v>
      </c>
      <c r="Z1286" s="175"/>
      <c r="AA1286" s="175"/>
      <c r="AB1286" s="175"/>
      <c r="AC1286" s="170">
        <f t="shared" si="3845"/>
        <v>0</v>
      </c>
      <c r="AD1286" s="175"/>
      <c r="AE1286" s="170"/>
      <c r="AF1286" s="170"/>
      <c r="AG1286" s="174"/>
      <c r="AH1286" s="175"/>
      <c r="AI1286" s="175"/>
      <c r="AJ1286" s="174"/>
      <c r="AK1286" s="174"/>
      <c r="AL1286" s="120"/>
      <c r="AM1286" s="120"/>
      <c r="AN1286" s="120"/>
      <c r="AO1286" s="120"/>
      <c r="AP1286" s="120"/>
      <c r="AQ1286" s="175"/>
      <c r="AR1286" s="120"/>
      <c r="AS1286" s="120"/>
      <c r="AT1286" s="120"/>
      <c r="AU1286" s="120"/>
      <c r="AV1286" s="120"/>
      <c r="AW1286" s="120"/>
      <c r="AX1286" s="120"/>
      <c r="AY1286" s="120"/>
      <c r="AZ1286" s="118">
        <f>IFERROR(INDEX('Total Customers'!$F$7:$AB$91,MATCH($C1286,'Total Customers'!$D$7:$D$91,0),MATCH($G1286,'Total Customers'!$F$5:$AB$5,0)),"NA")</f>
        <v>157077</v>
      </c>
      <c r="BA1286" s="119">
        <f t="shared" si="3860"/>
        <v>1.9978352737091601E-2</v>
      </c>
      <c r="BB1286" s="119"/>
      <c r="BC1286" s="121"/>
      <c r="BD1286" s="119"/>
      <c r="BE1286" s="119"/>
      <c r="BF1286" s="119"/>
      <c r="BG1286" s="173"/>
      <c r="BH1286" s="173"/>
      <c r="BI1286" s="173"/>
      <c r="BJ1286" s="173"/>
      <c r="BK1286" s="173"/>
      <c r="BL1286" s="173"/>
      <c r="BM1286" s="173"/>
      <c r="BN1286" s="173"/>
      <c r="BO1286" s="173"/>
      <c r="BP1286" s="173"/>
      <c r="BQ1286" s="118"/>
      <c r="BR1286" s="118"/>
      <c r="BS1286" s="118">
        <f>INDEX('Dist. Plant Gas Additions'!$F$7:$AE$91,MATCH($C1286,'Dist. Plant Gas Additions'!$D$7:$D$91,0),MATCH(Calculation!$G1286,'Dist. Plant Gas Additions'!$F$5:$AE$5,0))</f>
        <v>15138</v>
      </c>
      <c r="BT1286" s="118">
        <f>INDEX('Gen. Plant Additions'!$F$7:$AE$91,MATCH($C1286,'Gen. Plant Additions'!$D$7:$D$91,0),MATCH(Calculation!$G1286,'Gen. Plant Additions'!$F$5:$AE$5,0))</f>
        <v>1691</v>
      </c>
      <c r="BU1286" s="118"/>
      <c r="BV1286" s="118"/>
      <c r="BW1286" s="118">
        <f>INDEX('Dist Plant Depreciation'!$E$7:$AD$94,MATCH($C1286,'Dist Plant Depreciation'!$D$7:$D$94,0),MATCH(Calculation!$G1286,'Dist Plant Depreciation'!$E$5:$AD$5,0))</f>
        <v>119306</v>
      </c>
      <c r="BX1286" s="118">
        <f>INDEX('Gen. Plant Depreciation'!$E$7:$AD$94,MATCH($C1286,'Gen. Plant Depreciation'!$D$7:$D$94,0),MATCH(Calculation!$G1286,'Gen. Plant Depreciation'!$E$5:$AD$5,0))</f>
        <v>4811</v>
      </c>
      <c r="BY1286" s="118"/>
      <c r="BZ1286" s="118"/>
      <c r="CA1286" s="118"/>
      <c r="CB1286" s="118"/>
      <c r="CC1286" s="118"/>
      <c r="CD1286" s="183"/>
      <c r="CE1286" s="118">
        <f>INDEX('Gross Dx Plant'!$E$7:$AD$91,MATCH($C1286,'Gross Dx Plant'!$D$7:$D$91,0),MATCH(Calculation!$G1286,'Gross Dx Plant'!$E$5:$AD$5,0))</f>
        <v>250863</v>
      </c>
      <c r="CF1286" s="118">
        <f>INDEX('Gross Gen Plant'!$E$7:$AD$91,MATCH($C1286,'Gross Gen Plant'!$D$7:$D$91,0),MATCH(Calculation!$G1286,'Gross Gen Plant'!$E$5:$AD$5,0))</f>
        <v>11932</v>
      </c>
      <c r="CG1286" s="118">
        <f t="shared" si="3767"/>
        <v>138678</v>
      </c>
      <c r="CH1286" s="118"/>
      <c r="CI1286" s="121">
        <v>2000</v>
      </c>
      <c r="CJ1286" s="118"/>
      <c r="CK1286" s="118"/>
      <c r="CL1286" s="118"/>
      <c r="CM1286" s="183"/>
      <c r="CN1286" s="118">
        <f t="shared" si="3861"/>
        <v>16829</v>
      </c>
      <c r="CO1286" s="118">
        <f t="shared" si="3862"/>
        <v>48.563816836630245</v>
      </c>
      <c r="CP1286" s="186">
        <v>0.98989898989898994</v>
      </c>
      <c r="CQ1286" s="118">
        <f>+CQ1284*CP1286+CO1285*CP1285+CO1286</f>
        <v>717.24281562259262</v>
      </c>
      <c r="CR1286" s="119">
        <f t="shared" si="3863"/>
        <v>6.495680678804186E-2</v>
      </c>
      <c r="CS1286" s="119"/>
      <c r="CT1286" s="177">
        <f t="shared" si="3864"/>
        <v>5.1402523847294693E-3</v>
      </c>
      <c r="CU1286" s="177"/>
      <c r="CV1286" s="119">
        <f>VLOOKUP($H1286,RoR!$E:$F,2,FALSE)</f>
        <v>7.6225000000000001E-2</v>
      </c>
      <c r="CW1286" s="177">
        <v>2.2568307442433211E-2</v>
      </c>
      <c r="CX1286" s="177">
        <f t="shared" ref="CX1286:CX1306" si="3870">+CV1286-CW1286</f>
        <v>5.365669255756679E-2</v>
      </c>
      <c r="CY1286" s="177"/>
      <c r="CZ1286" s="177"/>
      <c r="DA1286" s="187">
        <f t="shared" si="3865"/>
        <v>0.84949374999999994</v>
      </c>
      <c r="DB1286" s="188">
        <f t="shared" si="3866"/>
        <v>0.67277207323124022</v>
      </c>
      <c r="DC1286" s="188">
        <f t="shared" si="3867"/>
        <v>0.6470236142997704</v>
      </c>
      <c r="DD1286" s="188">
        <f t="shared" si="3868"/>
        <v>0.94704866037543145</v>
      </c>
      <c r="DE1286" s="188">
        <f t="shared" si="3869"/>
        <v>0.41224973107878493</v>
      </c>
      <c r="DF1286" s="189">
        <f>INDEX('State Tax Lookup'!$D$7:$Z$91,MATCH(Calculation!$C1286,'State Tax Lookup'!$B$7:$B$91,0),MATCH($H1286,'State Tax Lookup'!$D$6:$Z$6,0))</f>
        <v>0.40134999999999998</v>
      </c>
      <c r="DG1286" s="189">
        <v>0.375</v>
      </c>
      <c r="DH1286" s="190"/>
      <c r="DI1286" s="190"/>
      <c r="DJ1286" s="177"/>
      <c r="DK1286" s="189">
        <f>VLOOKUP($H1286,RoR!$E:$F,2,FALSE)</f>
        <v>7.6225000000000001E-2</v>
      </c>
      <c r="DL1286" s="191">
        <f>HLOOKUP($H1286,'GDP-PI'!$D$8:$CQ$11,3,FALSE)</f>
        <v>2.2568307442433211E-2</v>
      </c>
      <c r="DM1286" s="189">
        <f>VLOOKUP(H1286,'HW Dx Data'!$E:$F,2,FALSE)</f>
        <v>346.53371782150339</v>
      </c>
      <c r="DN1286" s="183" t="e">
        <f>VLOOKUP(H1286,'ECI - Input Price'!$G$17:$H$37,2,FALSE)</f>
        <v>#N/A</v>
      </c>
      <c r="DO1286" s="177"/>
      <c r="DP1286" s="183">
        <f>HLOOKUP(H1286,'GDP-PI'!$8:$9,2,FALSE)</f>
        <v>78.069000000000003</v>
      </c>
    </row>
    <row r="1287" spans="1:121" s="167" customFormat="1" ht="21" x14ac:dyDescent="0.35">
      <c r="A1287" s="167" t="s">
        <v>118</v>
      </c>
      <c r="B1287" s="167" t="s">
        <v>118</v>
      </c>
      <c r="C1287" s="167">
        <v>4008669</v>
      </c>
      <c r="D1287" s="168" t="s">
        <v>144</v>
      </c>
      <c r="E1287" s="168"/>
      <c r="F1287" s="198"/>
      <c r="G1287" s="167" t="s">
        <v>7</v>
      </c>
      <c r="H1287" s="169">
        <v>2001</v>
      </c>
      <c r="I1287" s="170"/>
      <c r="J1287" s="166"/>
      <c r="K1287" s="166"/>
      <c r="L1287" s="166"/>
      <c r="M1287" s="166"/>
      <c r="N1287" s="196"/>
      <c r="O1287" s="166"/>
      <c r="P1287" s="166"/>
      <c r="Q1287" s="166"/>
      <c r="R1287" s="166"/>
      <c r="S1287" s="166"/>
      <c r="T1287" s="166"/>
      <c r="U1287" s="166"/>
      <c r="V1287" s="166">
        <f t="shared" si="3859"/>
        <v>9283.7213225682099</v>
      </c>
      <c r="W1287" s="170"/>
      <c r="X1287" s="174">
        <v>748.22995397702744</v>
      </c>
      <c r="Y1287" s="175">
        <v>4.2295917580380621E-2</v>
      </c>
      <c r="Z1287" s="175"/>
      <c r="AA1287" s="175"/>
      <c r="AB1287" s="175"/>
      <c r="AC1287" s="170">
        <f t="shared" si="3845"/>
        <v>9283.7213225682099</v>
      </c>
      <c r="AD1287" s="175"/>
      <c r="AE1287" s="170"/>
      <c r="AF1287" s="170"/>
      <c r="AG1287" s="174"/>
      <c r="AH1287" s="175"/>
      <c r="AI1287" s="175"/>
      <c r="AJ1287" s="174"/>
      <c r="AK1287" s="174"/>
      <c r="AL1287" s="120"/>
      <c r="AM1287" s="120"/>
      <c r="AN1287" s="120"/>
      <c r="AO1287" s="120"/>
      <c r="AP1287" s="120"/>
      <c r="AQ1287" s="175"/>
      <c r="AR1287" s="120"/>
      <c r="AS1287" s="120"/>
      <c r="AT1287" s="120"/>
      <c r="AU1287" s="120"/>
      <c r="AV1287" s="120"/>
      <c r="AW1287" s="120"/>
      <c r="AX1287" s="120"/>
      <c r="AY1287" s="120"/>
      <c r="AZ1287" s="118">
        <f>IFERROR(INDEX('Total Customers'!$F$7:$AB$91,MATCH($C1287,'Total Customers'!$D$7:$D$91,0),MATCH($G1287,'Total Customers'!$F$5:$AB$5,0)),"NA")</f>
        <v>159515</v>
      </c>
      <c r="BA1287" s="119">
        <f t="shared" si="3860"/>
        <v>1.540183071127855E-2</v>
      </c>
      <c r="BB1287" s="119"/>
      <c r="BC1287" s="121"/>
      <c r="BD1287" s="119"/>
      <c r="BE1287" s="119"/>
      <c r="BF1287" s="119"/>
      <c r="BG1287" s="173"/>
      <c r="BH1287" s="173"/>
      <c r="BI1287" s="173"/>
      <c r="BJ1287" s="173"/>
      <c r="BK1287" s="173"/>
      <c r="BL1287" s="173"/>
      <c r="BM1287" s="173"/>
      <c r="BN1287" s="173"/>
      <c r="BO1287" s="173"/>
      <c r="BP1287" s="173"/>
      <c r="BQ1287" s="118"/>
      <c r="BR1287" s="118"/>
      <c r="BS1287" s="118">
        <f>INDEX('Dist. Plant Gas Additions'!$F$7:$AE$91,MATCH($C1287,'Dist. Plant Gas Additions'!$D$7:$D$91,0),MATCH(Calculation!$G1287,'Dist. Plant Gas Additions'!$F$5:$AE$5,0))</f>
        <v>11237</v>
      </c>
      <c r="BT1287" s="118">
        <f>INDEX('Gen. Plant Additions'!$F$7:$AE$91,MATCH($C1287,'Gen. Plant Additions'!$D$7:$D$91,0),MATCH(Calculation!$G1287,'Gen. Plant Additions'!$F$5:$AE$5,0))</f>
        <v>974</v>
      </c>
      <c r="BU1287" s="118"/>
      <c r="BV1287" s="118"/>
      <c r="BW1287" s="118">
        <f>INDEX('Dist Plant Depreciation'!$E$7:$AD$94,MATCH($C1287,'Dist Plant Depreciation'!$D$7:$D$94,0),MATCH(Calculation!$G1287,'Dist Plant Depreciation'!$E$5:$AD$5,0))</f>
        <v>124486</v>
      </c>
      <c r="BX1287" s="118">
        <f>INDEX('Gen. Plant Depreciation'!$E$7:$AD$94,MATCH($C1287,'Gen. Plant Depreciation'!$D$7:$D$94,0),MATCH(Calculation!$G1287,'Gen. Plant Depreciation'!$E$5:$AD$5,0))</f>
        <v>5601</v>
      </c>
      <c r="BY1287" s="118"/>
      <c r="BZ1287" s="118"/>
      <c r="CA1287" s="118"/>
      <c r="CB1287" s="118"/>
      <c r="CC1287" s="118"/>
      <c r="CD1287" s="183"/>
      <c r="CE1287" s="118">
        <f>INDEX('Gross Dx Plant'!$E$7:$AD$91,MATCH($C1287,'Gross Dx Plant'!$D$7:$D$91,0),MATCH(Calculation!$G1287,'Gross Dx Plant'!$E$5:$AD$5,0))</f>
        <v>258099</v>
      </c>
      <c r="CF1287" s="118">
        <f>INDEX('Gross Gen Plant'!$E$7:$AD$91,MATCH($C1287,'Gross Gen Plant'!$D$7:$D$91,0),MATCH(Calculation!$G1287,'Gross Gen Plant'!$E$5:$AD$5,0))</f>
        <v>12028</v>
      </c>
      <c r="CG1287" s="118">
        <f t="shared" si="3767"/>
        <v>140040</v>
      </c>
      <c r="CH1287" s="118"/>
      <c r="CI1287" s="121">
        <v>2001</v>
      </c>
      <c r="CJ1287" s="118"/>
      <c r="CK1287" s="118"/>
      <c r="CL1287" s="118"/>
      <c r="CM1287" s="183"/>
      <c r="CN1287" s="118">
        <f t="shared" si="3861"/>
        <v>12211</v>
      </c>
      <c r="CO1287" s="118">
        <f t="shared" si="3862"/>
        <v>34.548282672119043</v>
      </c>
      <c r="CP1287" s="186">
        <v>0.98461538461538467</v>
      </c>
      <c r="CQ1287" s="118">
        <f>+CQ1284*CP1287+CO1285*CP1286+CO1286*CP1284+CO1287</f>
        <v>748.22995397702744</v>
      </c>
      <c r="CR1287" s="119">
        <f t="shared" si="3863"/>
        <v>4.2295917580380621E-2</v>
      </c>
      <c r="CS1287" s="119"/>
      <c r="CT1287" s="177">
        <f t="shared" si="3864"/>
        <v>4.9650470386280871E-3</v>
      </c>
      <c r="CU1287" s="177">
        <f>+(CT1287+CT1286+CT1285)/3</f>
        <v>5.0268079338223097E-3</v>
      </c>
      <c r="CV1287" s="119">
        <f>VLOOKUP($H1287,RoR!$E:$F,2,FALSE)</f>
        <v>7.0824999999999999E-2</v>
      </c>
      <c r="CW1287" s="177">
        <v>2.2454495382290052E-2</v>
      </c>
      <c r="CX1287" s="177">
        <f t="shared" si="3870"/>
        <v>4.8370504617709947E-2</v>
      </c>
      <c r="CY1287" s="177">
        <f>+$CX$35-CU1287</f>
        <v>2.5875133674711316E-2</v>
      </c>
      <c r="CZ1287" s="177">
        <f>+((DM1285/DM1284-1)+(DM1286/DM1285-1)+(DM1287/DM1286-1))/3</f>
        <v>2.3947275901631187E-2</v>
      </c>
      <c r="DA1287" s="187">
        <f t="shared" si="3865"/>
        <v>0.84949374999999994</v>
      </c>
      <c r="DB1287" s="188">
        <f t="shared" si="3866"/>
        <v>0.72406708481540816</v>
      </c>
      <c r="DC1287" s="188">
        <f t="shared" si="3867"/>
        <v>0.62201729615248857</v>
      </c>
      <c r="DD1287" s="188">
        <f t="shared" si="3868"/>
        <v>0.9352469954311422</v>
      </c>
      <c r="DE1287" s="188">
        <f t="shared" si="3869"/>
        <v>0.42121864641655071</v>
      </c>
      <c r="DF1287" s="189">
        <f>INDEX('State Tax Lookup'!$D$7:$Z$91,MATCH(Calculation!$C1287,'State Tax Lookup'!$B$7:$B$91,0),MATCH($H1287,'State Tax Lookup'!$D$6:$Z$6,0))</f>
        <v>0.40134999999999998</v>
      </c>
      <c r="DG1287" s="189">
        <v>0.375</v>
      </c>
      <c r="DH1287" s="190">
        <f t="shared" ref="DH1287:DH1307" si="3871">+(DM1287*CY1287-CZ1287)*DA1287/(1-DF1287)</f>
        <v>12.943624000624677</v>
      </c>
      <c r="DI1287" s="190"/>
      <c r="DJ1287" s="177"/>
      <c r="DK1287" s="189">
        <f>VLOOKUP($H1287,RoR!$E:$F,2,FALSE)</f>
        <v>7.0824999999999999E-2</v>
      </c>
      <c r="DL1287" s="191">
        <f>HLOOKUP($H1287,'GDP-PI'!$D$8:$CQ$11,3,FALSE)</f>
        <v>2.2454495382290052E-2</v>
      </c>
      <c r="DM1287" s="189">
        <f>VLOOKUP(H1287,'HW Dx Data'!$E:$F,2,FALSE)</f>
        <v>353.44738017483138</v>
      </c>
      <c r="DN1287" s="183">
        <f>VLOOKUP(H1287,'ECI - Input Price'!$G$17:$H$37,2,FALSE)</f>
        <v>86.2</v>
      </c>
      <c r="DO1287" s="177"/>
      <c r="DP1287" s="183">
        <f>HLOOKUP(H1287,'GDP-PI'!$8:$9,2,FALSE)</f>
        <v>79.822000000000003</v>
      </c>
    </row>
    <row r="1288" spans="1:121" s="167" customFormat="1" ht="21" x14ac:dyDescent="0.35">
      <c r="A1288" s="167" t="s">
        <v>118</v>
      </c>
      <c r="B1288" s="167" t="s">
        <v>118</v>
      </c>
      <c r="C1288" s="167">
        <v>4008669</v>
      </c>
      <c r="D1288" s="168" t="s">
        <v>144</v>
      </c>
      <c r="E1288" s="168"/>
      <c r="F1288" s="198"/>
      <c r="G1288" s="167" t="s">
        <v>8</v>
      </c>
      <c r="H1288" s="169">
        <v>2002</v>
      </c>
      <c r="I1288" s="170"/>
      <c r="J1288" s="166"/>
      <c r="K1288" s="166"/>
      <c r="L1288" s="166"/>
      <c r="M1288" s="166"/>
      <c r="N1288" s="196"/>
      <c r="O1288" s="166"/>
      <c r="P1288" s="166"/>
      <c r="Q1288" s="166"/>
      <c r="R1288" s="166"/>
      <c r="S1288" s="166"/>
      <c r="T1288" s="166"/>
      <c r="U1288" s="166"/>
      <c r="V1288" s="166">
        <f t="shared" si="3859"/>
        <v>9795.8493238286974</v>
      </c>
      <c r="W1288" s="170"/>
      <c r="X1288" s="174">
        <v>761.63986310585062</v>
      </c>
      <c r="Y1288" s="175">
        <v>1.776346753829279E-2</v>
      </c>
      <c r="Z1288" s="175"/>
      <c r="AA1288" s="175"/>
      <c r="AB1288" s="175"/>
      <c r="AC1288" s="170">
        <f t="shared" si="3845"/>
        <v>9795.8493238286974</v>
      </c>
      <c r="AD1288" s="175"/>
      <c r="AE1288" s="170"/>
      <c r="AF1288" s="170"/>
      <c r="AG1288" s="174"/>
      <c r="AH1288" s="175"/>
      <c r="AI1288" s="175"/>
      <c r="AJ1288" s="174"/>
      <c r="AK1288" s="174"/>
      <c r="AL1288" s="120"/>
      <c r="AM1288" s="120"/>
      <c r="AN1288" s="120"/>
      <c r="AO1288" s="120"/>
      <c r="AP1288" s="120"/>
      <c r="AQ1288" s="175"/>
      <c r="AR1288" s="120"/>
      <c r="AS1288" s="120"/>
      <c r="AT1288" s="120"/>
      <c r="AU1288" s="120"/>
      <c r="AV1288" s="120"/>
      <c r="AW1288" s="120"/>
      <c r="AX1288" s="120"/>
      <c r="AY1288" s="120"/>
      <c r="AZ1288" s="118">
        <f>IFERROR(INDEX('Total Customers'!$F$7:$AB$91,MATCH($C1288,'Total Customers'!$D$7:$D$91,0),MATCH($G1288,'Total Customers'!$F$5:$AB$5,0)),"NA")</f>
        <v>165567</v>
      </c>
      <c r="BA1288" s="119">
        <f t="shared" si="3860"/>
        <v>3.7237985040669837E-2</v>
      </c>
      <c r="BB1288" s="119"/>
      <c r="BC1288" s="121"/>
      <c r="BD1288" s="119"/>
      <c r="BE1288" s="119"/>
      <c r="BF1288" s="119"/>
      <c r="BG1288" s="173"/>
      <c r="BH1288" s="173"/>
      <c r="BI1288" s="173"/>
      <c r="BJ1288" s="173"/>
      <c r="BK1288" s="173"/>
      <c r="BL1288" s="173"/>
      <c r="BM1288" s="173"/>
      <c r="BN1288" s="173"/>
      <c r="BO1288" s="173"/>
      <c r="BP1288" s="173"/>
      <c r="BQ1288" s="118"/>
      <c r="BR1288" s="118"/>
      <c r="BS1288" s="118">
        <f>INDEX('Dist. Plant Gas Additions'!$F$7:$AE$91,MATCH($C1288,'Dist. Plant Gas Additions'!$D$7:$D$91,0),MATCH(Calculation!$G1288,'Dist. Plant Gas Additions'!$F$5:$AE$5,0))</f>
        <v>6134</v>
      </c>
      <c r="BT1288" s="118">
        <f>INDEX('Gen. Plant Additions'!$F$7:$AE$91,MATCH($C1288,'Gen. Plant Additions'!$D$7:$D$91,0),MATCH(Calculation!$G1288,'Gen. Plant Additions'!$F$5:$AE$5,0))</f>
        <v>278</v>
      </c>
      <c r="BU1288" s="118"/>
      <c r="BV1288" s="118"/>
      <c r="BW1288" s="118">
        <f>INDEX('Dist Plant Depreciation'!$E$7:$AD$94,MATCH($C1288,'Dist Plant Depreciation'!$D$7:$D$94,0),MATCH(Calculation!$G1288,'Dist Plant Depreciation'!$E$5:$AD$5,0))</f>
        <v>132894</v>
      </c>
      <c r="BX1288" s="118">
        <f>INDEX('Gen. Plant Depreciation'!$E$7:$AD$94,MATCH($C1288,'Gen. Plant Depreciation'!$D$7:$D$94,0),MATCH(Calculation!$G1288,'Gen. Plant Depreciation'!$E$5:$AD$5,0))</f>
        <v>7042</v>
      </c>
      <c r="BY1288" s="118"/>
      <c r="BZ1288" s="118"/>
      <c r="CA1288" s="118"/>
      <c r="CB1288" s="118"/>
      <c r="CC1288" s="118"/>
      <c r="CD1288" s="183"/>
      <c r="CE1288" s="118">
        <f>INDEX('Gross Dx Plant'!$E$7:$AD$91,MATCH($C1288,'Gross Dx Plant'!$D$7:$D$91,0),MATCH(Calculation!$G1288,'Gross Dx Plant'!$E$5:$AD$5,0))</f>
        <v>263418</v>
      </c>
      <c r="CF1288" s="118">
        <f>INDEX('Gross Gen Plant'!$E$7:$AD$91,MATCH($C1288,'Gross Gen Plant'!$D$7:$D$91,0),MATCH(Calculation!$G1288,'Gross Gen Plant'!$E$5:$AD$5,0))</f>
        <v>12165</v>
      </c>
      <c r="CG1288" s="118">
        <f t="shared" si="3767"/>
        <v>135647</v>
      </c>
      <c r="CH1288" s="118"/>
      <c r="CI1288" s="121">
        <v>2002</v>
      </c>
      <c r="CJ1288" s="118"/>
      <c r="CK1288" s="118"/>
      <c r="CL1288" s="118"/>
      <c r="CM1288" s="183"/>
      <c r="CN1288" s="118">
        <f t="shared" si="3861"/>
        <v>6412</v>
      </c>
      <c r="CO1288" s="118">
        <f t="shared" si="3862"/>
        <v>17.744659051950649</v>
      </c>
      <c r="CP1288" s="186">
        <v>0.97916666666666663</v>
      </c>
      <c r="CQ1288" s="118">
        <f>+CQ1284*CP1288+CO1285*CP1287+CO1286*CP1286+CO1287*CP1285+CO1288</f>
        <v>761.63986310585062</v>
      </c>
      <c r="CR1288" s="119">
        <f t="shared" si="3863"/>
        <v>1.776346753829279E-2</v>
      </c>
      <c r="CS1288" s="119"/>
      <c r="CT1288" s="177">
        <f t="shared" si="3864"/>
        <v>5.7933392001846386E-3</v>
      </c>
      <c r="CU1288" s="177">
        <f t="shared" ref="CU1288:CU1307" si="3872">+(CT1288+CT1287+CT1286)/3</f>
        <v>5.2995462078473977E-3</v>
      </c>
      <c r="CV1288" s="119">
        <f>VLOOKUP($H1288,RoR!$E:$F,2,FALSE)</f>
        <v>6.4916666666666664E-2</v>
      </c>
      <c r="CW1288" s="177">
        <v>1.5246423291824351E-2</v>
      </c>
      <c r="CX1288" s="177">
        <f t="shared" si="3870"/>
        <v>4.9670243374842313E-2</v>
      </c>
      <c r="CY1288" s="177">
        <f t="shared" ref="CY1288:CY1307" si="3873">+$CX$35-CU1288</f>
        <v>2.5602395400686227E-2</v>
      </c>
      <c r="CZ1288" s="177">
        <f t="shared" ref="CZ1288:CZ1307" si="3874">+((DM1286/DM1285-1)+(DM1287/DM1286-1)+(DM1288/DM1287-1))/3</f>
        <v>2.5243621214759093E-2</v>
      </c>
      <c r="DA1288" s="187">
        <f t="shared" si="3865"/>
        <v>0.84949374999999994</v>
      </c>
      <c r="DB1288" s="188">
        <f t="shared" si="3866"/>
        <v>0.78996741384417901</v>
      </c>
      <c r="DC1288" s="188">
        <f t="shared" si="3867"/>
        <v>0.58989088575096271</v>
      </c>
      <c r="DD1288" s="188">
        <f t="shared" si="3868"/>
        <v>0.91920675783645744</v>
      </c>
      <c r="DE1288" s="188">
        <f t="shared" si="3869"/>
        <v>0.42834536472275586</v>
      </c>
      <c r="DF1288" s="189">
        <f>INDEX('State Tax Lookup'!$D$7:$Z$91,MATCH(Calculation!$C1288,'State Tax Lookup'!$B$7:$B$91,0),MATCH($H1288,'State Tax Lookup'!$D$6:$Z$6,0))</f>
        <v>0.40134999999999998</v>
      </c>
      <c r="DG1288" s="189">
        <v>0.375</v>
      </c>
      <c r="DH1288" s="190">
        <f t="shared" si="3871"/>
        <v>13.092030426958095</v>
      </c>
      <c r="DI1288" s="190"/>
      <c r="DJ1288" s="177"/>
      <c r="DK1288" s="189">
        <f>VLOOKUP($H1288,RoR!$E:$F,2,FALSE)</f>
        <v>6.4916666666666664E-2</v>
      </c>
      <c r="DL1288" s="191">
        <f>HLOOKUP($H1288,'GDP-PI'!$D$8:$CQ$11,3,FALSE)</f>
        <v>1.5246423291824351E-2</v>
      </c>
      <c r="DM1288" s="189">
        <f>VLOOKUP(H1288,'HW Dx Data'!$E:$F,2,FALSE)</f>
        <v>361.34816573413599</v>
      </c>
      <c r="DN1288" s="183">
        <f>VLOOKUP(H1288,'ECI - Input Price'!$G$17:$H$37,2,FALSE)</f>
        <v>89.275000000000006</v>
      </c>
      <c r="DO1288" s="177">
        <f>LN(DN1288/DN1287)</f>
        <v>3.5051315810864674E-2</v>
      </c>
      <c r="DP1288" s="183">
        <f>HLOOKUP(H1288,'GDP-PI'!$8:$9,2,FALSE)</f>
        <v>81.039000000000001</v>
      </c>
      <c r="DQ1288" s="177">
        <f>LN(DP1288/DP1287)</f>
        <v>1.513136459537477E-2</v>
      </c>
    </row>
    <row r="1289" spans="1:121" s="167" customFormat="1" ht="21" x14ac:dyDescent="0.35">
      <c r="A1289" s="167" t="s">
        <v>118</v>
      </c>
      <c r="B1289" s="167" t="s">
        <v>118</v>
      </c>
      <c r="C1289" s="167">
        <v>4008669</v>
      </c>
      <c r="D1289" s="168" t="s">
        <v>144</v>
      </c>
      <c r="E1289" s="168"/>
      <c r="F1289" s="198"/>
      <c r="G1289" s="167" t="s">
        <v>9</v>
      </c>
      <c r="H1289" s="169">
        <v>2003</v>
      </c>
      <c r="I1289" s="170"/>
      <c r="J1289" s="166"/>
      <c r="K1289" s="166"/>
      <c r="L1289" s="166"/>
      <c r="M1289" s="172"/>
      <c r="N1289" s="196"/>
      <c r="O1289" s="172"/>
      <c r="P1289" s="166"/>
      <c r="Q1289" s="166"/>
      <c r="R1289" s="166"/>
      <c r="S1289" s="166"/>
      <c r="T1289" s="166"/>
      <c r="U1289" s="166"/>
      <c r="V1289" s="166">
        <f t="shared" si="3859"/>
        <v>10124.656099626412</v>
      </c>
      <c r="W1289" s="170"/>
      <c r="X1289" s="174">
        <v>802.7638292199498</v>
      </c>
      <c r="Y1289" s="175">
        <v>5.2586736756973937E-2</v>
      </c>
      <c r="Z1289" s="175"/>
      <c r="AA1289" s="175"/>
      <c r="AB1289" s="175"/>
      <c r="AC1289" s="170">
        <f t="shared" si="3845"/>
        <v>10124.656099626412</v>
      </c>
      <c r="AD1289" s="175"/>
      <c r="AE1289" s="170"/>
      <c r="AF1289" s="170"/>
      <c r="AG1289" s="174"/>
      <c r="AH1289" s="175"/>
      <c r="AI1289" s="175"/>
      <c r="AJ1289" s="174"/>
      <c r="AK1289" s="174"/>
      <c r="AL1289" s="120"/>
      <c r="AM1289" s="120"/>
      <c r="AN1289" s="120"/>
      <c r="AO1289" s="120"/>
      <c r="AP1289" s="120"/>
      <c r="AQ1289" s="175"/>
      <c r="AR1289" s="120"/>
      <c r="AS1289" s="120"/>
      <c r="AT1289" s="120"/>
      <c r="AU1289" s="120"/>
      <c r="AV1289" s="120"/>
      <c r="AW1289" s="120"/>
      <c r="AX1289" s="120"/>
      <c r="AY1289" s="120"/>
      <c r="AZ1289" s="118">
        <f>IFERROR(INDEX('Total Customers'!$F$7:$AB$91,MATCH($C1289,'Total Customers'!$D$7:$D$91,0),MATCH($G1289,'Total Customers'!$F$5:$AB$5,0)),"NA")</f>
        <v>166961</v>
      </c>
      <c r="BA1289" s="119">
        <f t="shared" si="3860"/>
        <v>8.3843054786942092E-3</v>
      </c>
      <c r="BB1289" s="119"/>
      <c r="BC1289" s="121"/>
      <c r="BD1289" s="119"/>
      <c r="BE1289" s="119"/>
      <c r="BF1289" s="119"/>
      <c r="BG1289" s="173"/>
      <c r="BH1289" s="173"/>
      <c r="BI1289" s="173"/>
      <c r="BJ1289" s="173"/>
      <c r="BK1289" s="173"/>
      <c r="BL1289" s="173"/>
      <c r="BM1289" s="173"/>
      <c r="BN1289" s="173"/>
      <c r="BO1289" s="173"/>
      <c r="BP1289" s="173"/>
      <c r="BQ1289" s="118"/>
      <c r="BR1289" s="118"/>
      <c r="BS1289" s="118">
        <f>INDEX('Dist. Plant Gas Additions'!$F$7:$AE$91,MATCH($C1289,'Dist. Plant Gas Additions'!$D$7:$D$91,0),MATCH(Calculation!$G1289,'Dist. Plant Gas Additions'!$F$5:$AE$5,0))</f>
        <v>16462</v>
      </c>
      <c r="BT1289" s="118">
        <f>INDEX('Gen. Plant Additions'!$F$7:$AE$91,MATCH($C1289,'Gen. Plant Additions'!$D$7:$D$91,0),MATCH(Calculation!$G1289,'Gen. Plant Additions'!$F$5:$AE$5,0))</f>
        <v>314</v>
      </c>
      <c r="BU1289" s="118"/>
      <c r="BV1289" s="118"/>
      <c r="BW1289" s="118">
        <f>INDEX('Dist Plant Depreciation'!$E$7:$AD$94,MATCH($C1289,'Dist Plant Depreciation'!$D$7:$D$94,0),MATCH(Calculation!$G1289,'Dist Plant Depreciation'!$E$5:$AD$5,0))</f>
        <v>141966</v>
      </c>
      <c r="BX1289" s="118">
        <f>INDEX('Gen. Plant Depreciation'!$E$7:$AD$94,MATCH($C1289,'Gen. Plant Depreciation'!$D$7:$D$94,0),MATCH(Calculation!$G1289,'Gen. Plant Depreciation'!$E$5:$AD$5,0))</f>
        <v>6928</v>
      </c>
      <c r="BY1289" s="118"/>
      <c r="BZ1289" s="118"/>
      <c r="CA1289" s="118"/>
      <c r="CB1289" s="118"/>
      <c r="CC1289" s="118"/>
      <c r="CD1289" s="183"/>
      <c r="CE1289" s="118">
        <f>INDEX('Gross Dx Plant'!$E$7:$AD$91,MATCH($C1289,'Gross Dx Plant'!$D$7:$D$91,0),MATCH(Calculation!$G1289,'Gross Dx Plant'!$E$5:$AD$5,0))</f>
        <v>278921</v>
      </c>
      <c r="CF1289" s="118">
        <f>INDEX('Gross Gen Plant'!$E$7:$AD$91,MATCH($C1289,'Gross Gen Plant'!$D$7:$D$91,0),MATCH(Calculation!$G1289,'Gross Gen Plant'!$E$5:$AD$5,0))</f>
        <v>10825</v>
      </c>
      <c r="CG1289" s="118">
        <f t="shared" si="3767"/>
        <v>140852</v>
      </c>
      <c r="CH1289" s="118"/>
      <c r="CI1289" s="121">
        <v>2003</v>
      </c>
      <c r="CJ1289" s="118"/>
      <c r="CK1289" s="118"/>
      <c r="CL1289" s="118"/>
      <c r="CM1289" s="183"/>
      <c r="CN1289" s="118">
        <f t="shared" si="3861"/>
        <v>16776</v>
      </c>
      <c r="CO1289" s="118">
        <f t="shared" si="3862"/>
        <v>45.434724150428721</v>
      </c>
      <c r="CP1289" s="186">
        <v>0.97354497354497349</v>
      </c>
      <c r="CQ1289" s="118">
        <f>+CQ1284*CP1289+CO1285*CP1288+CO1286*CP1287+CO1287*CP1286+CO1288*CP1285+CO1289</f>
        <v>802.7638292199498</v>
      </c>
      <c r="CR1289" s="119">
        <f t="shared" si="3863"/>
        <v>5.2586736756973937E-2</v>
      </c>
      <c r="CS1289" s="119"/>
      <c r="CT1289" s="177">
        <f t="shared" si="3864"/>
        <v>5.6598377332180792E-3</v>
      </c>
      <c r="CU1289" s="177">
        <f t="shared" si="3872"/>
        <v>5.4727413240102689E-3</v>
      </c>
      <c r="CV1289" s="119">
        <f>VLOOKUP($H1289,RoR!$E:$F,2,FALSE)</f>
        <v>5.6666666666666671E-2</v>
      </c>
      <c r="CW1289" s="177">
        <v>1.8855119140166909E-2</v>
      </c>
      <c r="CX1289" s="177">
        <f t="shared" si="3870"/>
        <v>3.7811547526499761E-2</v>
      </c>
      <c r="CY1289" s="177">
        <f t="shared" si="3873"/>
        <v>2.5429200284523355E-2</v>
      </c>
      <c r="CZ1289" s="177">
        <f t="shared" si="3874"/>
        <v>2.1375012817671957E-2</v>
      </c>
      <c r="DA1289" s="187">
        <f t="shared" si="3865"/>
        <v>0.84949374999999994</v>
      </c>
      <c r="DB1289" s="188">
        <f t="shared" si="3866"/>
        <v>0.90497737556561086</v>
      </c>
      <c r="DC1289" s="188">
        <f t="shared" si="3867"/>
        <v>0.5338235294117647</v>
      </c>
      <c r="DD1289" s="188">
        <f t="shared" si="3868"/>
        <v>0.88972433127405692</v>
      </c>
      <c r="DE1289" s="188">
        <f t="shared" si="3869"/>
        <v>0.42982423775949252</v>
      </c>
      <c r="DF1289" s="189">
        <f>INDEX('State Tax Lookup'!$D$7:$Z$91,MATCH(Calculation!$C1289,'State Tax Lookup'!$B$7:$B$91,0),MATCH($H1289,'State Tax Lookup'!$D$6:$Z$6,0))</f>
        <v>0.40134999999999998</v>
      </c>
      <c r="DG1289" s="189">
        <v>0.375</v>
      </c>
      <c r="DH1289" s="190">
        <f t="shared" si="3871"/>
        <v>13.293232917641175</v>
      </c>
      <c r="DI1289" s="190"/>
      <c r="DJ1289" s="177"/>
      <c r="DK1289" s="189">
        <f>VLOOKUP($H1289,RoR!$E:$F,2,FALSE)</f>
        <v>5.6666666666666671E-2</v>
      </c>
      <c r="DL1289" s="191">
        <f>HLOOKUP($H1289,'GDP-PI'!$D$8:$CQ$11,3,FALSE)</f>
        <v>1.8855119140166909E-2</v>
      </c>
      <c r="DM1289" s="189">
        <f>VLOOKUP(H1289,'HW Dx Data'!$E:$F,2,FALSE)</f>
        <v>369.23301095560191</v>
      </c>
      <c r="DN1289" s="183">
        <f>VLOOKUP(H1289,'ECI - Input Price'!$G$17:$H$37,2,FALSE)</f>
        <v>92.625</v>
      </c>
      <c r="DO1289" s="177">
        <f t="shared" ref="DO1289" si="3875">LN(DN1289/DN1288)</f>
        <v>3.6837590135738785E-2</v>
      </c>
      <c r="DP1289" s="183">
        <f>HLOOKUP(H1289,'GDP-PI'!$8:$9,2,FALSE)</f>
        <v>82.566999999999993</v>
      </c>
      <c r="DQ1289" s="177">
        <f t="shared" ref="DQ1289" si="3876">LN(DP1289/DP1288)</f>
        <v>1.8679564681853753E-2</v>
      </c>
    </row>
    <row r="1290" spans="1:121" s="167" customFormat="1" ht="21" x14ac:dyDescent="0.35">
      <c r="A1290" s="167" t="s">
        <v>118</v>
      </c>
      <c r="B1290" s="167" t="s">
        <v>118</v>
      </c>
      <c r="C1290" s="167">
        <v>4008669</v>
      </c>
      <c r="D1290" s="168" t="s">
        <v>144</v>
      </c>
      <c r="E1290" s="168"/>
      <c r="F1290" s="198"/>
      <c r="G1290" s="167" t="s">
        <v>10</v>
      </c>
      <c r="H1290" s="169">
        <v>2004</v>
      </c>
      <c r="I1290" s="170"/>
      <c r="J1290" s="166">
        <f>IFERROR(INDEX('Labor Expenditures'!$F$7:$X$91,MATCH($C1290,'Labor Expenditures'!$D$7:$D$91,0),MATCH($G1290,'Labor Expenditures'!$F$5:$X$5,0)),"NA")</f>
        <v>9427.210217984577</v>
      </c>
      <c r="K1290" s="166">
        <f t="shared" ref="K1290:K1307" si="3877">+J1290/DN1290</f>
        <v>98.02142155429766</v>
      </c>
      <c r="L1290" s="172"/>
      <c r="M1290" s="172"/>
      <c r="N1290" s="196"/>
      <c r="O1290" s="172"/>
      <c r="P1290" s="166">
        <f>IFERROR(INDEX('Non-Labor Expenditures'!$F$7:$AB$91,MATCH($C1290,'Non-Labor Expenditures'!$D$7:$D$91,0),MATCH($G1290,'Non-Labor Expenditures'!$F$5:$AB$5,0)),"NA")</f>
        <v>13652.361155632041</v>
      </c>
      <c r="Q1290" s="166">
        <f t="shared" ref="Q1290:Q1307" si="3878">+P1290/DP1290</f>
        <v>161.03660331255799</v>
      </c>
      <c r="R1290" s="166"/>
      <c r="S1290" s="166"/>
      <c r="T1290" s="166"/>
      <c r="U1290" s="166"/>
      <c r="V1290" s="166">
        <f t="shared" si="3859"/>
        <v>11819.162129487775</v>
      </c>
      <c r="W1290" s="170"/>
      <c r="X1290" s="174">
        <v>845.42936505829834</v>
      </c>
      <c r="Y1290" s="175">
        <v>5.1784062507760707E-2</v>
      </c>
      <c r="Z1290" s="175"/>
      <c r="AA1290" s="175"/>
      <c r="AB1290" s="175"/>
      <c r="AC1290" s="170">
        <f t="shared" si="3845"/>
        <v>34898.733503104391</v>
      </c>
      <c r="AD1290" s="175"/>
      <c r="AE1290" s="170"/>
      <c r="AF1290" s="170"/>
      <c r="AG1290" s="174"/>
      <c r="AH1290" s="175"/>
      <c r="AI1290" s="175"/>
      <c r="AJ1290" s="174"/>
      <c r="AK1290" s="174"/>
      <c r="AL1290" s="120">
        <f t="shared" ref="AL1290:AL1307" si="3879">+J1290/AC1290</f>
        <v>0.27013043946554638</v>
      </c>
      <c r="AM1290" s="120">
        <f t="shared" ref="AM1290:AM1307" si="3880">+P1290/AC1290</f>
        <v>0.3911993297526859</v>
      </c>
      <c r="AN1290" s="120">
        <f t="shared" ref="AN1290:AN1307" si="3881">+V1290/AC1290</f>
        <v>0.33867023078176778</v>
      </c>
      <c r="AO1290" s="120"/>
      <c r="AP1290" s="120"/>
      <c r="AQ1290" s="175"/>
      <c r="AR1290" s="120"/>
      <c r="AS1290" s="120"/>
      <c r="AT1290" s="120"/>
      <c r="AU1290" s="120"/>
      <c r="AV1290" s="120"/>
      <c r="AW1290" s="120"/>
      <c r="AX1290" s="120"/>
      <c r="AY1290" s="120"/>
      <c r="AZ1290" s="118">
        <f>IFERROR(INDEX('Total Customers'!$F$7:$AB$91,MATCH($C1290,'Total Customers'!$D$7:$D$91,0),MATCH($G1290,'Total Customers'!$F$5:$AB$5,0)),"NA")</f>
        <v>169216</v>
      </c>
      <c r="BA1290" s="119">
        <f t="shared" si="3860"/>
        <v>1.3415753139550235E-2</v>
      </c>
      <c r="BB1290" s="119"/>
      <c r="BC1290" s="121"/>
      <c r="BD1290" s="119"/>
      <c r="BE1290" s="119"/>
      <c r="BF1290" s="119"/>
      <c r="BG1290" s="173"/>
      <c r="BH1290" s="173"/>
      <c r="BI1290" s="173"/>
      <c r="BJ1290" s="173"/>
      <c r="BK1290" s="173"/>
      <c r="BL1290" s="173"/>
      <c r="BM1290" s="173"/>
      <c r="BN1290" s="173"/>
      <c r="BO1290" s="173"/>
      <c r="BP1290" s="173"/>
      <c r="BQ1290" s="118"/>
      <c r="BR1290" s="118"/>
      <c r="BS1290" s="118">
        <f>INDEX('Dist. Plant Gas Additions'!$F$7:$AE$91,MATCH($C1290,'Dist. Plant Gas Additions'!$D$7:$D$91,0),MATCH(Calculation!$G1290,'Dist. Plant Gas Additions'!$F$5:$AE$5,0))</f>
        <v>18903</v>
      </c>
      <c r="BT1290" s="118">
        <f>INDEX('Gen. Plant Additions'!$F$7:$AE$91,MATCH($C1290,'Gen. Plant Additions'!$D$7:$D$91,0),MATCH(Calculation!$G1290,'Gen. Plant Additions'!$F$5:$AE$5,0))</f>
        <v>738</v>
      </c>
      <c r="BU1290" s="118"/>
      <c r="BV1290" s="118"/>
      <c r="BW1290" s="118">
        <f>INDEX('Dist Plant Depreciation'!$E$7:$AD$94,MATCH($C1290,'Dist Plant Depreciation'!$D$7:$D$94,0),MATCH(Calculation!$G1290,'Dist Plant Depreciation'!$E$5:$AD$5,0))</f>
        <v>147410</v>
      </c>
      <c r="BX1290" s="118">
        <f>INDEX('Gen. Plant Depreciation'!$E$7:$AD$94,MATCH($C1290,'Gen. Plant Depreciation'!$D$7:$D$94,0),MATCH(Calculation!$G1290,'Gen. Plant Depreciation'!$E$5:$AD$5,0))</f>
        <v>7939</v>
      </c>
      <c r="BY1290" s="118"/>
      <c r="BZ1290" s="118"/>
      <c r="CA1290" s="118"/>
      <c r="CB1290" s="118"/>
      <c r="CC1290" s="118"/>
      <c r="CD1290" s="183"/>
      <c r="CE1290" s="118">
        <f>INDEX('Gross Dx Plant'!$E$7:$AD$91,MATCH($C1290,'Gross Dx Plant'!$D$7:$D$91,0),MATCH(Calculation!$G1290,'Gross Dx Plant'!$E$5:$AD$5,0))</f>
        <v>293049</v>
      </c>
      <c r="CF1290" s="118">
        <f>INDEX('Gross Gen Plant'!$E$7:$AD$91,MATCH($C1290,'Gross Gen Plant'!$D$7:$D$91,0),MATCH(Calculation!$G1290,'Gross Gen Plant'!$E$5:$AD$5,0))</f>
        <v>11058</v>
      </c>
      <c r="CG1290" s="118">
        <f t="shared" si="3767"/>
        <v>148758</v>
      </c>
      <c r="CH1290" s="118"/>
      <c r="CI1290" s="121">
        <v>2004</v>
      </c>
      <c r="CJ1290" s="118"/>
      <c r="CK1290" s="118"/>
      <c r="CL1290" s="118"/>
      <c r="CM1290" s="183"/>
      <c r="CN1290" s="118">
        <f t="shared" si="3861"/>
        <v>19641</v>
      </c>
      <c r="CO1290" s="118">
        <f t="shared" si="3862"/>
        <v>47.340579341536454</v>
      </c>
      <c r="CP1290" s="186">
        <v>0.967741935483871</v>
      </c>
      <c r="CQ1290" s="118">
        <f>+CQ1284*CP1290+CO1285*CP1289+CO1286*CP1288+CO1287*CP1287+CO1288*CP1286+CO1289*CP1285+CO1290</f>
        <v>845.42936505829834</v>
      </c>
      <c r="CR1290" s="119">
        <f t="shared" si="3863"/>
        <v>5.1784062507760707E-2</v>
      </c>
      <c r="CS1290" s="119"/>
      <c r="CT1290" s="177">
        <f t="shared" si="3864"/>
        <v>5.8236847912426174E-3</v>
      </c>
      <c r="CU1290" s="177">
        <f t="shared" si="3872"/>
        <v>5.7589539082151114E-3</v>
      </c>
      <c r="CV1290" s="119">
        <f>VLOOKUP($H1290,RoR!$E:$F,2,FALSE)</f>
        <v>5.6283333333333331E-2</v>
      </c>
      <c r="CW1290" s="177">
        <v>2.6778252812867276E-2</v>
      </c>
      <c r="CX1290" s="177">
        <f t="shared" si="3870"/>
        <v>2.9505080520466055E-2</v>
      </c>
      <c r="CY1290" s="177">
        <f t="shared" si="3873"/>
        <v>2.5142987700318514E-2</v>
      </c>
      <c r="CZ1290" s="177">
        <f t="shared" si="3874"/>
        <v>5.5940039414565046E-2</v>
      </c>
      <c r="DA1290" s="187">
        <f t="shared" si="3865"/>
        <v>0.84949374999999994</v>
      </c>
      <c r="DB1290" s="188">
        <f t="shared" si="3866"/>
        <v>0.91114097628755619</v>
      </c>
      <c r="DC1290" s="188">
        <f t="shared" si="3867"/>
        <v>0.53081877405981637</v>
      </c>
      <c r="DD1290" s="188">
        <f t="shared" si="3868"/>
        <v>0.88811215519385678</v>
      </c>
      <c r="DE1290" s="188">
        <f t="shared" si="3869"/>
        <v>0.42953609753547711</v>
      </c>
      <c r="DF1290" s="189">
        <f>INDEX('State Tax Lookup'!$D$7:$Z$91,MATCH(Calculation!$C1290,'State Tax Lookup'!$B$7:$B$91,0),MATCH($H1290,'State Tax Lookup'!$D$6:$Z$6,0))</f>
        <v>0.40134999999999998</v>
      </c>
      <c r="DG1290" s="189">
        <v>0.375</v>
      </c>
      <c r="DH1290" s="190">
        <f t="shared" si="3871"/>
        <v>14.723087537429935</v>
      </c>
      <c r="DI1290" s="190"/>
      <c r="DJ1290" s="177"/>
      <c r="DK1290" s="189">
        <f>VLOOKUP($H1290,RoR!$E:$F,2,FALSE)</f>
        <v>5.6283333333333331E-2</v>
      </c>
      <c r="DL1290" s="191">
        <f>HLOOKUP($H1290,'GDP-PI'!$D$8:$CQ$11,3,FALSE)</f>
        <v>2.6778252812867276E-2</v>
      </c>
      <c r="DM1290" s="189">
        <f>VLOOKUP(H1290,'HW Dx Data'!$E:$F,2,FALSE)</f>
        <v>414.88719135228365</v>
      </c>
      <c r="DN1290" s="183">
        <f>VLOOKUP(H1290,'ECI - Input Price'!$G$17:$H$37,2,FALSE)</f>
        <v>96.174999999999997</v>
      </c>
      <c r="DO1290" s="177">
        <f t="shared" ref="DO1290" si="3882">LN(DN1290/DN1289)</f>
        <v>3.7610365022107912E-2</v>
      </c>
      <c r="DP1290" s="183">
        <f>HLOOKUP(H1290,'GDP-PI'!$8:$9,2,FALSE)</f>
        <v>84.778000000000006</v>
      </c>
      <c r="DQ1290" s="177">
        <f t="shared" ref="DQ1290" si="3883">LN(DP1290/DP1289)</f>
        <v>2.6425990216022755E-2</v>
      </c>
    </row>
    <row r="1291" spans="1:121" s="167" customFormat="1" ht="21" x14ac:dyDescent="0.35">
      <c r="A1291" s="167" t="s">
        <v>118</v>
      </c>
      <c r="B1291" s="167" t="s">
        <v>118</v>
      </c>
      <c r="C1291" s="167">
        <v>4008669</v>
      </c>
      <c r="D1291" s="168" t="s">
        <v>144</v>
      </c>
      <c r="E1291" s="168"/>
      <c r="F1291" s="198"/>
      <c r="G1291" s="167" t="s">
        <v>11</v>
      </c>
      <c r="H1291" s="169">
        <v>2005</v>
      </c>
      <c r="I1291" s="170"/>
      <c r="J1291" s="166">
        <f>IFERROR(INDEX('Labor Expenditures'!$F$7:$X$91,MATCH($C1291,'Labor Expenditures'!$D$7:$D$91,0),MATCH($G1291,'Labor Expenditures'!$F$5:$X$5,0)),"NA")</f>
        <v>8067.5425623243082</v>
      </c>
      <c r="K1291" s="166">
        <f t="shared" si="3877"/>
        <v>81.367045510078739</v>
      </c>
      <c r="L1291" s="172">
        <f t="shared" ref="L1291:L1307" si="3884">LN(K1291/K1290)</f>
        <v>-0.18621569735003113</v>
      </c>
      <c r="M1291" s="172"/>
      <c r="N1291" s="196"/>
      <c r="O1291" s="172"/>
      <c r="P1291" s="166">
        <f>IFERROR(INDEX('Non-Labor Expenditures'!$F$7:$AB$91,MATCH($C1291,'Non-Labor Expenditures'!$D$7:$D$91,0),MATCH($G1291,'Non-Labor Expenditures'!$F$5:$AB$5,0)),"NA")</f>
        <v>11683.308439347753</v>
      </c>
      <c r="Q1291" s="166">
        <f t="shared" si="3878"/>
        <v>133.66559245080776</v>
      </c>
      <c r="R1291" s="172">
        <f>LN(Q1291/Q1290)</f>
        <v>-0.1862905868333182</v>
      </c>
      <c r="S1291" s="172"/>
      <c r="T1291" s="172"/>
      <c r="U1291" s="172"/>
      <c r="V1291" s="166">
        <f t="shared" si="3859"/>
        <v>14005.810825251025</v>
      </c>
      <c r="W1291" s="170"/>
      <c r="X1291" s="174">
        <v>875.60739408298696</v>
      </c>
      <c r="Y1291" s="175">
        <v>3.5073187567964785E-2</v>
      </c>
      <c r="Z1291" s="175"/>
      <c r="AA1291" s="175"/>
      <c r="AB1291" s="175"/>
      <c r="AC1291" s="170">
        <f t="shared" si="3845"/>
        <v>33756.661826923082</v>
      </c>
      <c r="AD1291" s="175">
        <f>LN(AC1291/AC1290)</f>
        <v>-3.3272753935994777E-2</v>
      </c>
      <c r="AE1291" s="170"/>
      <c r="AF1291" s="170"/>
      <c r="AG1291" s="121"/>
      <c r="AH1291" s="119"/>
      <c r="AI1291" s="119"/>
      <c r="AJ1291" s="121"/>
      <c r="AK1291" s="121"/>
      <c r="AL1291" s="120">
        <f t="shared" si="3879"/>
        <v>0.23899112429090755</v>
      </c>
      <c r="AM1291" s="120">
        <f t="shared" si="3880"/>
        <v>0.3461037853579933</v>
      </c>
      <c r="AN1291" s="120">
        <f t="shared" si="3881"/>
        <v>0.41490509035109924</v>
      </c>
      <c r="AO1291" s="120">
        <f t="shared" ref="AO1291:AO1307" si="3885">+(((AL1291+AL1290)/2)*L1291+((AM1290+AM1291)/2)*R1291+((AN1290+AN1291)/2)*Y1291)</f>
        <v>-0.10286438421708301</v>
      </c>
      <c r="AP1291" s="173">
        <v>100</v>
      </c>
      <c r="AQ1291" s="175"/>
      <c r="AR1291" s="120"/>
      <c r="AS1291" s="120"/>
      <c r="AT1291" s="120"/>
      <c r="AU1291" s="120"/>
      <c r="AV1291" s="120"/>
      <c r="AW1291" s="120"/>
      <c r="AX1291" s="120"/>
      <c r="AY1291" s="120"/>
      <c r="AZ1291" s="118">
        <f>IFERROR(INDEX('Total Customers'!$F$7:$AB$91,MATCH($C1291,'Total Customers'!$D$7:$D$91,0),MATCH($G1291,'Total Customers'!$F$5:$AB$5,0)),"NA")</f>
        <v>172312</v>
      </c>
      <c r="BA1291" s="119">
        <f t="shared" si="3860"/>
        <v>1.813078172594234E-2</v>
      </c>
      <c r="BB1291" s="119"/>
      <c r="BC1291" s="121"/>
      <c r="BD1291" s="119"/>
      <c r="BE1291" s="119"/>
      <c r="BF1291" s="119"/>
      <c r="BG1291" s="173"/>
      <c r="BH1291" s="173"/>
      <c r="BI1291" s="173"/>
      <c r="BJ1291" s="173"/>
      <c r="BK1291" s="173"/>
      <c r="BL1291" s="173"/>
      <c r="BM1291" s="173"/>
      <c r="BN1291" s="173"/>
      <c r="BO1291" s="173"/>
      <c r="BP1291" s="173"/>
      <c r="BQ1291" s="118"/>
      <c r="BR1291" s="118"/>
      <c r="BS1291" s="118">
        <f>INDEX('Dist. Plant Gas Additions'!$F$7:$AE$91,MATCH($C1291,'Dist. Plant Gas Additions'!$D$7:$D$91,0),MATCH(Calculation!$G1291,'Dist. Plant Gas Additions'!$F$5:$AE$5,0))</f>
        <v>15931</v>
      </c>
      <c r="BT1291" s="118">
        <f>INDEX('Gen. Plant Additions'!$F$7:$AE$91,MATCH($C1291,'Gen. Plant Additions'!$D$7:$D$91,0),MATCH(Calculation!$G1291,'Gen. Plant Additions'!$F$5:$AE$5,0))</f>
        <v>604</v>
      </c>
      <c r="BU1291" s="118"/>
      <c r="BV1291" s="118"/>
      <c r="BW1291" s="118">
        <f>INDEX('Dist Plant Depreciation'!$E$7:$AD$94,MATCH($C1291,'Dist Plant Depreciation'!$D$7:$D$94,0),MATCH(Calculation!$G1291,'Dist Plant Depreciation'!$E$5:$AD$5,0))</f>
        <v>156022</v>
      </c>
      <c r="BX1291" s="118">
        <f>INDEX('Gen. Plant Depreciation'!$E$7:$AD$94,MATCH($C1291,'Gen. Plant Depreciation'!$D$7:$D$94,0),MATCH(Calculation!$G1291,'Gen. Plant Depreciation'!$E$5:$AD$5,0))</f>
        <v>9111</v>
      </c>
      <c r="BY1291" s="118"/>
      <c r="BZ1291" s="118"/>
      <c r="CA1291" s="118"/>
      <c r="CB1291" s="118"/>
      <c r="CC1291" s="118"/>
      <c r="CD1291" s="183"/>
      <c r="CE1291" s="118">
        <f>INDEX('Gross Dx Plant'!$E$7:$AD$91,MATCH($C1291,'Gross Dx Plant'!$D$7:$D$91,0),MATCH(Calculation!$G1291,'Gross Dx Plant'!$E$5:$AD$5,0))</f>
        <v>307677</v>
      </c>
      <c r="CF1291" s="118">
        <f>INDEX('Gross Gen Plant'!$E$7:$AD$91,MATCH($C1291,'Gross Gen Plant'!$D$7:$D$91,0),MATCH(Calculation!$G1291,'Gross Gen Plant'!$E$5:$AD$5,0))</f>
        <v>11604</v>
      </c>
      <c r="CG1291" s="118">
        <f t="shared" si="3767"/>
        <v>154148</v>
      </c>
      <c r="CH1291" s="118"/>
      <c r="CI1291" s="121">
        <v>2005</v>
      </c>
      <c r="CJ1291" s="118"/>
      <c r="CK1291" s="118"/>
      <c r="CL1291" s="118"/>
      <c r="CM1291" s="183"/>
      <c r="CN1291" s="118">
        <f t="shared" si="3861"/>
        <v>16535</v>
      </c>
      <c r="CO1291" s="118">
        <f t="shared" si="3862"/>
        <v>35.240449385717099</v>
      </c>
      <c r="CP1291" s="186">
        <v>0.96174863387978138</v>
      </c>
      <c r="CQ1291" s="118">
        <f>+CQ1284*CP1291+CO1285*CP1290+CO1286*CP1289+CO1287*CP1288+CO1288*CP1287+CO1289*CP1286+CO1290*CP1285+CO1291</f>
        <v>875.60739408298696</v>
      </c>
      <c r="CR1291" s="119">
        <f t="shared" si="3863"/>
        <v>3.5073187567964785E-2</v>
      </c>
      <c r="CS1291" s="119"/>
      <c r="CT1291" s="177">
        <f t="shared" si="3864"/>
        <v>5.987987370984443E-3</v>
      </c>
      <c r="CU1291" s="177">
        <f t="shared" si="3872"/>
        <v>5.8238366318150462E-3</v>
      </c>
      <c r="CV1291" s="119">
        <f>VLOOKUP($H1291,RoR!$E:$F,2,FALSE)</f>
        <v>5.2350000000000001E-2</v>
      </c>
      <c r="CW1291" s="177">
        <v>3.1010403642454332E-2</v>
      </c>
      <c r="CX1291" s="177">
        <f t="shared" si="3870"/>
        <v>2.1339596357545669E-2</v>
      </c>
      <c r="CY1291" s="177">
        <f t="shared" si="3873"/>
        <v>2.5078104976718578E-2</v>
      </c>
      <c r="CZ1291" s="177">
        <f t="shared" si="3874"/>
        <v>9.2129610649277341E-2</v>
      </c>
      <c r="DA1291" s="187">
        <f t="shared" si="3865"/>
        <v>0.84949374999999994</v>
      </c>
      <c r="DB1291" s="188">
        <f t="shared" si="3866"/>
        <v>0.97959983346802826</v>
      </c>
      <c r="DC1291" s="188">
        <f t="shared" si="3867"/>
        <v>0.49744508118433622</v>
      </c>
      <c r="DD1291" s="188">
        <f t="shared" si="3868"/>
        <v>0.87010519444335932</v>
      </c>
      <c r="DE1291" s="188">
        <f t="shared" si="3869"/>
        <v>0.42399975420741998</v>
      </c>
      <c r="DF1291" s="189">
        <f>INDEX('State Tax Lookup'!$D$7:$Z$91,MATCH(Calculation!$C1291,'State Tax Lookup'!$B$7:$B$91,0),MATCH($H1291,'State Tax Lookup'!$D$6:$Z$6,0))</f>
        <v>0.40134999999999998</v>
      </c>
      <c r="DG1291" s="189">
        <v>0.375</v>
      </c>
      <c r="DH1291" s="190">
        <f t="shared" si="3871"/>
        <v>16.566506208694591</v>
      </c>
      <c r="DI1291" s="190"/>
      <c r="DJ1291" s="177"/>
      <c r="DK1291" s="189">
        <f>VLOOKUP($H1291,RoR!$E:$F,2,FALSE)</f>
        <v>5.2350000000000001E-2</v>
      </c>
      <c r="DL1291" s="191">
        <f>HLOOKUP($H1291,'GDP-PI'!$D$8:$CQ$11,3,FALSE)</f>
        <v>3.1010403642454332E-2</v>
      </c>
      <c r="DM1291" s="189">
        <f>VLOOKUP(H1291,'HW Dx Data'!$E:$F,2,FALSE)</f>
        <v>469.20514034936258</v>
      </c>
      <c r="DN1291" s="183">
        <f>VLOOKUP(H1291,'ECI - Input Price'!$G$17:$H$37,2,FALSE)</f>
        <v>99.15</v>
      </c>
      <c r="DO1291" s="177">
        <f t="shared" ref="DO1291" si="3886">LN(DN1291/DN1290)</f>
        <v>3.046440632744625E-2</v>
      </c>
      <c r="DP1291" s="183">
        <f>HLOOKUP(H1291,'GDP-PI'!$8:$9,2,FALSE)</f>
        <v>87.406999999999996</v>
      </c>
      <c r="DQ1291" s="177">
        <f t="shared" ref="DQ1291" si="3887">LN(DP1291/DP1290)</f>
        <v>3.0539295810733648E-2</v>
      </c>
    </row>
    <row r="1292" spans="1:121" s="167" customFormat="1" ht="21" x14ac:dyDescent="0.35">
      <c r="A1292" s="167" t="s">
        <v>118</v>
      </c>
      <c r="B1292" s="167" t="s">
        <v>118</v>
      </c>
      <c r="C1292" s="167">
        <v>4008669</v>
      </c>
      <c r="D1292" s="168" t="s">
        <v>144</v>
      </c>
      <c r="E1292" s="168"/>
      <c r="F1292" s="198"/>
      <c r="G1292" s="167" t="s">
        <v>12</v>
      </c>
      <c r="H1292" s="169">
        <v>2006</v>
      </c>
      <c r="I1292" s="170"/>
      <c r="J1292" s="166">
        <f>IFERROR(INDEX('Labor Expenditures'!$F$7:$X$91,MATCH($C1292,'Labor Expenditures'!$D$7:$D$91,0),MATCH($G1292,'Labor Expenditures'!$F$5:$X$5,0)),"NA")</f>
        <v>9275.8279611023318</v>
      </c>
      <c r="K1292" s="166">
        <f t="shared" si="3877"/>
        <v>90.894933474790122</v>
      </c>
      <c r="L1292" s="172">
        <f t="shared" si="3884"/>
        <v>0.11073391755643355</v>
      </c>
      <c r="M1292" s="172">
        <f t="shared" ref="M1292:M1307" si="3888">+L1292*AR1292</f>
        <v>5.1340242820882857E-4</v>
      </c>
      <c r="N1292" s="196"/>
      <c r="O1292" s="172"/>
      <c r="P1292" s="166">
        <f>IFERROR(INDEX('Non-Labor Expenditures'!$F$7:$AB$91,MATCH($C1292,'Non-Labor Expenditures'!$D$7:$D$91,0),MATCH($G1292,'Non-Labor Expenditures'!$F$5:$AB$5,0)),"NA")</f>
        <v>13433.13137336111</v>
      </c>
      <c r="Q1292" s="166">
        <f t="shared" si="3878"/>
        <v>149.13439364701367</v>
      </c>
      <c r="R1292" s="172">
        <f t="shared" ref="R1292:R1307" si="3889">LN(Q1292/Q1291)</f>
        <v>0.10950676812102779</v>
      </c>
      <c r="S1292" s="172">
        <f>+R1292*AR1292</f>
        <v>5.0771292029819833E-4</v>
      </c>
      <c r="T1292" s="172"/>
      <c r="U1292" s="172"/>
      <c r="V1292" s="166">
        <f t="shared" si="3859"/>
        <v>14171.152770592133</v>
      </c>
      <c r="W1292" s="170"/>
      <c r="X1292" s="174">
        <v>906.06414991787335</v>
      </c>
      <c r="Y1292" s="175">
        <v>3.4192298982211392E-2</v>
      </c>
      <c r="Z1292" s="175">
        <f>+Y1292*AR1292</f>
        <v>1.5852784504407421E-4</v>
      </c>
      <c r="AA1292" s="175"/>
      <c r="AB1292" s="175"/>
      <c r="AC1292" s="170">
        <f t="shared" si="3845"/>
        <v>36880.112105055574</v>
      </c>
      <c r="AD1292" s="175">
        <f t="shared" ref="AD1292:AD1307" si="3890">LN(AC1292/AC1291)</f>
        <v>8.8494653104123341E-2</v>
      </c>
      <c r="AE1292" s="170"/>
      <c r="AF1292" s="170"/>
      <c r="AG1292" s="121">
        <f t="shared" ref="AG1292:AG1307" si="3891">+(AC1292*1000)/AZ1292</f>
        <v>213.56994339403516</v>
      </c>
      <c r="AH1292" s="119">
        <f>+AZ1292/$BB$44</f>
        <v>4.9121573961230644E-3</v>
      </c>
      <c r="AI1292" s="119"/>
      <c r="AJ1292" s="176">
        <f>+AH1292*AG1292</f>
        <v>1.0490891770325941</v>
      </c>
      <c r="AK1292" s="176">
        <f>+AI1292*AG1292</f>
        <v>0</v>
      </c>
      <c r="AL1292" s="120">
        <f t="shared" si="3879"/>
        <v>0.2515130088183975</v>
      </c>
      <c r="AM1292" s="120">
        <f t="shared" si="3880"/>
        <v>0.36423781291922047</v>
      </c>
      <c r="AN1292" s="120">
        <f t="shared" si="3881"/>
        <v>0.38424917826238203</v>
      </c>
      <c r="AO1292" s="120">
        <f t="shared" si="3885"/>
        <v>7.9713789305710714E-2</v>
      </c>
      <c r="AP1292" s="173">
        <f>+AP1291*EXP(AO1292)</f>
        <v>108.29770636965479</v>
      </c>
      <c r="AQ1292" s="175">
        <f>LN(AP1292/AP1291)</f>
        <v>7.9713789305710755E-2</v>
      </c>
      <c r="AR1292" s="177">
        <f>+AC1292/$AE$44</f>
        <v>4.6363611036084069E-3</v>
      </c>
      <c r="AS1292" s="177">
        <f>+AR1292*AQ1292</f>
        <v>3.6958191215823313E-4</v>
      </c>
      <c r="AT1292" s="177"/>
      <c r="AU1292" s="177"/>
      <c r="AV1292" s="177"/>
      <c r="AW1292" s="190"/>
      <c r="AX1292" s="120"/>
      <c r="AY1292" s="120"/>
      <c r="AZ1292" s="118">
        <f>IFERROR(INDEX('Total Customers'!$F$7:$AB$91,MATCH($C1292,'Total Customers'!$D$7:$D$91,0),MATCH($G1292,'Total Customers'!$F$5:$AB$5,0)),"NA")</f>
        <v>172684</v>
      </c>
      <c r="BA1292" s="119">
        <f t="shared" si="3860"/>
        <v>2.1565475783580285E-3</v>
      </c>
      <c r="BB1292" s="119"/>
      <c r="BC1292" s="121"/>
      <c r="BD1292" s="119"/>
      <c r="BE1292" s="119"/>
      <c r="BF1292" s="119"/>
      <c r="BG1292" s="173"/>
      <c r="BH1292" s="173"/>
      <c r="BI1292" s="173"/>
      <c r="BJ1292" s="173"/>
      <c r="BK1292" s="173"/>
      <c r="BL1292" s="173"/>
      <c r="BM1292" s="173"/>
      <c r="BN1292" s="173"/>
      <c r="BO1292" s="173"/>
      <c r="BP1292" s="173"/>
      <c r="BQ1292" s="118"/>
      <c r="BR1292" s="118"/>
      <c r="BS1292" s="118">
        <v>15931</v>
      </c>
      <c r="BT1292" s="118">
        <v>604</v>
      </c>
      <c r="BU1292" s="118"/>
      <c r="BV1292" s="118"/>
      <c r="BW1292" s="118">
        <f>INDEX('Dist Plant Depreciation'!$E$7:$AD$94,MATCH($C1292,'Dist Plant Depreciation'!$D$7:$D$94,0),MATCH(Calculation!$G1292,'Dist Plant Depreciation'!$E$5:$AD$5,0))</f>
        <v>166490</v>
      </c>
      <c r="BX1292" s="118">
        <f>INDEX('Gen. Plant Depreciation'!$E$7:$AD$94,MATCH($C1292,'Gen. Plant Depreciation'!$D$7:$D$94,0),MATCH(Calculation!$G1292,'Gen. Plant Depreciation'!$E$5:$AD$5,0))</f>
        <v>-6963</v>
      </c>
      <c r="BY1292" s="118"/>
      <c r="BZ1292" s="118"/>
      <c r="CA1292" s="118"/>
      <c r="CB1292" s="118"/>
      <c r="CC1292" s="118"/>
      <c r="CD1292" s="183"/>
      <c r="CE1292" s="118">
        <f>INDEX('Gross Dx Plant'!$E$7:$AD$91,MATCH($C1292,'Gross Dx Plant'!$D$7:$D$91,0),MATCH(Calculation!$G1292,'Gross Dx Plant'!$E$5:$AD$5,0))</f>
        <v>318969</v>
      </c>
      <c r="CF1292" s="118">
        <f>INDEX('Gross Gen Plant'!$E$7:$AD$91,MATCH($C1292,'Gross Gen Plant'!$D$7:$D$91,0),MATCH(Calculation!$G1292,'Gross Gen Plant'!$E$5:$AD$5,0))</f>
        <v>6579</v>
      </c>
      <c r="CG1292" s="118">
        <f t="shared" si="3767"/>
        <v>166021</v>
      </c>
      <c r="CH1292" s="119" t="e">
        <f>SUM(#REF!)/15</f>
        <v>#REF!</v>
      </c>
      <c r="CI1292" s="121">
        <v>2006</v>
      </c>
      <c r="CJ1292" s="118"/>
      <c r="CK1292" s="118"/>
      <c r="CL1292" s="118"/>
      <c r="CM1292" s="183"/>
      <c r="CN1292" s="118">
        <f t="shared" si="3861"/>
        <v>16535</v>
      </c>
      <c r="CO1292" s="118">
        <f t="shared" si="3862"/>
        <v>35.861014509753765</v>
      </c>
      <c r="CP1292" s="186">
        <v>0.9555555555555556</v>
      </c>
      <c r="CQ1292" s="118">
        <f>+CQ1284*CP1292+CO1285*CP1291+CO1286*CP1290+CO1287*CP1289+CO1288*CP1288+CO1289*CP1287+CO1290*CP1286+CO1291*CP1285+CO1292</f>
        <v>906.06414991787335</v>
      </c>
      <c r="CR1292" s="119">
        <f t="shared" si="3863"/>
        <v>3.4192298982211392E-2</v>
      </c>
      <c r="CS1292" s="119"/>
      <c r="CT1292" s="177">
        <f t="shared" si="3864"/>
        <v>6.1720112362997868E-3</v>
      </c>
      <c r="CU1292" s="177">
        <f t="shared" si="3872"/>
        <v>5.9945611328422821E-3</v>
      </c>
      <c r="CV1292" s="119">
        <f>VLOOKUP($H1292,RoR!$E:$F,2,FALSE)</f>
        <v>5.5874999999999994E-2</v>
      </c>
      <c r="CW1292" s="177">
        <v>3.0512430354548314E-2</v>
      </c>
      <c r="CX1292" s="177">
        <f t="shared" si="3870"/>
        <v>2.536256964545168E-2</v>
      </c>
      <c r="CY1292" s="177">
        <f t="shared" si="3873"/>
        <v>2.4907380475691344E-2</v>
      </c>
      <c r="CZ1292" s="177">
        <f t="shared" si="3874"/>
        <v>7.9087823893859641E-2</v>
      </c>
      <c r="DA1292" s="187">
        <f t="shared" si="3865"/>
        <v>0.84949374999999994</v>
      </c>
      <c r="DB1292" s="188">
        <f t="shared" si="3866"/>
        <v>0.91779957551769631</v>
      </c>
      <c r="DC1292" s="188">
        <f t="shared" si="3867"/>
        <v>0.52757270693512304</v>
      </c>
      <c r="DD1292" s="188">
        <f t="shared" si="3868"/>
        <v>0.88636824549024895</v>
      </c>
      <c r="DE1292" s="188">
        <f t="shared" si="3869"/>
        <v>0.42918482841932087</v>
      </c>
      <c r="DF1292" s="189">
        <f>INDEX('State Tax Lookup'!$D$7:$Z$91,MATCH(Calculation!$C1292,'State Tax Lookup'!$B$7:$B$91,0),MATCH($H1292,'State Tax Lookup'!$D$6:$Z$6,0))</f>
        <v>0.40134999999999998</v>
      </c>
      <c r="DG1292" s="189">
        <v>0.375</v>
      </c>
      <c r="DH1292" s="190">
        <f t="shared" si="3871"/>
        <v>16.184368549597973</v>
      </c>
      <c r="DI1292" s="190">
        <v>15.724919238986734</v>
      </c>
      <c r="DJ1292" s="177"/>
      <c r="DK1292" s="189">
        <f>VLOOKUP($H1292,RoR!$E:$F,2,FALSE)</f>
        <v>5.5874999999999994E-2</v>
      </c>
      <c r="DL1292" s="191">
        <f>HLOOKUP($H1292,'GDP-PI'!$D$8:$CQ$11,3,FALSE)</f>
        <v>3.0512430354548314E-2</v>
      </c>
      <c r="DM1292" s="189">
        <f>VLOOKUP(H1292,'HW Dx Data'!$E:$F,2,FALSE)</f>
        <v>461.08567272971823</v>
      </c>
      <c r="DN1292" s="183">
        <f>VLOOKUP(H1292,'ECI - Input Price'!$G$17:$H$37,2,FALSE)</f>
        <v>102.05</v>
      </c>
      <c r="DO1292" s="177">
        <f t="shared" ref="DO1292" si="3892">LN(DN1292/DN1291)</f>
        <v>2.8829034290048662E-2</v>
      </c>
      <c r="DP1292" s="183">
        <f>HLOOKUP(H1292,'GDP-PI'!$8:$9,2,FALSE)</f>
        <v>90.073999999999998</v>
      </c>
      <c r="DQ1292" s="177">
        <f t="shared" ref="DQ1292" si="3893">LN(DP1292/DP1291)</f>
        <v>3.005618372545445E-2</v>
      </c>
    </row>
    <row r="1293" spans="1:121" s="167" customFormat="1" ht="21" x14ac:dyDescent="0.35">
      <c r="A1293" s="167" t="s">
        <v>118</v>
      </c>
      <c r="B1293" s="167" t="s">
        <v>118</v>
      </c>
      <c r="C1293" s="167">
        <v>4008669</v>
      </c>
      <c r="D1293" s="168" t="s">
        <v>144</v>
      </c>
      <c r="E1293" s="168"/>
      <c r="F1293" s="198"/>
      <c r="G1293" s="167" t="s">
        <v>13</v>
      </c>
      <c r="H1293" s="169">
        <v>2007</v>
      </c>
      <c r="I1293" s="170"/>
      <c r="J1293" s="166">
        <f>IFERROR(INDEX('Labor Expenditures'!$F$7:$X$91,MATCH($C1293,'Labor Expenditures'!$D$7:$D$91,0),MATCH($G1293,'Labor Expenditures'!$F$5:$X$5,0)),"NA")</f>
        <v>7498.8348460240086</v>
      </c>
      <c r="K1293" s="166">
        <f t="shared" si="3877"/>
        <v>71.264764514364529</v>
      </c>
      <c r="L1293" s="172">
        <f t="shared" si="3884"/>
        <v>-0.24330224334336514</v>
      </c>
      <c r="M1293" s="172">
        <f t="shared" si="3888"/>
        <v>-9.8773894507518689E-4</v>
      </c>
      <c r="N1293" s="196"/>
      <c r="O1293" s="172"/>
      <c r="P1293" s="166">
        <f>IFERROR(INDEX('Non-Labor Expenditures'!$F$7:$AB$91,MATCH($C1293,'Non-Labor Expenditures'!$D$7:$D$91,0),MATCH($G1293,'Non-Labor Expenditures'!$F$5:$AB$5,0)),"NA")</f>
        <v>10859.713446195441</v>
      </c>
      <c r="Q1293" s="166">
        <f t="shared" si="3878"/>
        <v>117.40484600959415</v>
      </c>
      <c r="R1293" s="172">
        <f t="shared" si="3889"/>
        <v>-0.23921968589262232</v>
      </c>
      <c r="S1293" s="172">
        <f t="shared" ref="S1293:S1307" si="3894">+R1293*AR1293</f>
        <v>-9.7116490558343165E-4</v>
      </c>
      <c r="T1293" s="172"/>
      <c r="U1293" s="172"/>
      <c r="V1293" s="166">
        <f t="shared" si="3859"/>
        <v>15751.052180179164</v>
      </c>
      <c r="W1293" s="170"/>
      <c r="X1293" s="174">
        <v>909.01977844995315</v>
      </c>
      <c r="Y1293" s="175">
        <v>3.256743226317858E-3</v>
      </c>
      <c r="Z1293" s="175">
        <f t="shared" ref="Z1293:Z1307" si="3895">+Y1293*AR1293</f>
        <v>1.3221465098470839E-5</v>
      </c>
      <c r="AA1293" s="175"/>
      <c r="AB1293" s="175"/>
      <c r="AC1293" s="170">
        <f t="shared" si="3845"/>
        <v>34109.600472398612</v>
      </c>
      <c r="AD1293" s="175">
        <f t="shared" si="3890"/>
        <v>-7.8093554963823544E-2</v>
      </c>
      <c r="AE1293" s="170"/>
      <c r="AF1293" s="170"/>
      <c r="AG1293" s="121">
        <f t="shared" si="3891"/>
        <v>195.07698208998815</v>
      </c>
      <c r="AH1293" s="119">
        <f>+AZ1293/$BB$45</f>
        <v>4.9365354765453862E-3</v>
      </c>
      <c r="AI1293" s="119"/>
      <c r="AJ1293" s="176">
        <f t="shared" ref="AJ1293:AJ1307" si="3896">+AH1293*AG1293</f>
        <v>0.96300444274463537</v>
      </c>
      <c r="AK1293" s="176">
        <f t="shared" ref="AK1293:AK1307" si="3897">+AI1293*AG1293</f>
        <v>0</v>
      </c>
      <c r="AL1293" s="120">
        <f t="shared" si="3879"/>
        <v>0.21984528526190283</v>
      </c>
      <c r="AM1293" s="120">
        <f t="shared" si="3880"/>
        <v>0.31837703449452859</v>
      </c>
      <c r="AN1293" s="120">
        <f t="shared" si="3881"/>
        <v>0.46177768024356863</v>
      </c>
      <c r="AO1293" s="120">
        <f t="shared" si="3885"/>
        <v>-0.13761107375573692</v>
      </c>
      <c r="AP1293" s="173">
        <f>+AP1292*EXP(AO1293)</f>
        <v>94.374687993828459</v>
      </c>
      <c r="AQ1293" s="175">
        <f>LN(AP1293/AP1292)</f>
        <v>-0.13761107375573695</v>
      </c>
      <c r="AR1293" s="177">
        <f>+AC1293/$AE$45</f>
        <v>4.0597198427028908E-3</v>
      </c>
      <c r="AS1293" s="177">
        <f t="shared" ref="AS1293:AS1307" si="3898">+AR1293*AQ1293</f>
        <v>-5.5866240670181635E-4</v>
      </c>
      <c r="AT1293" s="177"/>
      <c r="AU1293" s="177"/>
      <c r="AV1293" s="177"/>
      <c r="AW1293" s="190"/>
      <c r="AX1293" s="120"/>
      <c r="AY1293" s="120"/>
      <c r="AZ1293" s="118">
        <f>IFERROR(INDEX('Total Customers'!$F$7:$AB$91,MATCH($C1293,'Total Customers'!$D$7:$D$91,0),MATCH($G1293,'Total Customers'!$F$5:$AB$5,0)),"NA")</f>
        <v>174852</v>
      </c>
      <c r="BA1293" s="119">
        <f t="shared" si="3860"/>
        <v>1.2476567166305616E-2</v>
      </c>
      <c r="BB1293" s="119"/>
      <c r="BC1293" s="121"/>
      <c r="BD1293" s="119"/>
      <c r="BE1293" s="119"/>
      <c r="BF1293" s="119"/>
      <c r="BG1293" s="173"/>
      <c r="BH1293" s="173"/>
      <c r="BI1293" s="173"/>
      <c r="BJ1293" s="173"/>
      <c r="BK1293" s="173"/>
      <c r="BL1293" s="173"/>
      <c r="BM1293" s="173"/>
      <c r="BN1293" s="173"/>
      <c r="BO1293" s="173"/>
      <c r="BP1293" s="173"/>
      <c r="BQ1293" s="118"/>
      <c r="BR1293" s="118"/>
      <c r="BS1293" s="118">
        <f>INDEX('Dist. Plant Gas Additions'!$F$7:$AE$91,MATCH($C1293,'Dist. Plant Gas Additions'!$D$7:$D$91,0),MATCH(Calculation!$G1293,'Dist. Plant Gas Additions'!$F$5:$AE$5,0))</f>
        <v>4301</v>
      </c>
      <c r="BT1293" s="118">
        <f>INDEX('Gen. Plant Additions'!$F$7:$AE$91,MATCH($C1293,'Gen. Plant Additions'!$D$7:$D$91,0),MATCH(Calculation!$G1293,'Gen. Plant Additions'!$F$5:$AE$5,0))</f>
        <v>41</v>
      </c>
      <c r="BU1293" s="118"/>
      <c r="BV1293" s="118"/>
      <c r="BW1293" s="118">
        <f>INDEX('Dist Plant Depreciation'!$E$7:$AD$94,MATCH($C1293,'Dist Plant Depreciation'!$D$7:$D$94,0),MATCH(Calculation!$G1293,'Dist Plant Depreciation'!$E$5:$AD$5,0))</f>
        <v>171380</v>
      </c>
      <c r="BX1293" s="118">
        <f>INDEX('Gen. Plant Depreciation'!$E$7:$AD$94,MATCH($C1293,'Gen. Plant Depreciation'!$D$7:$D$94,0),MATCH(Calculation!$G1293,'Gen. Plant Depreciation'!$E$5:$AD$5,0))</f>
        <v>4896</v>
      </c>
      <c r="BY1293" s="118"/>
      <c r="BZ1293" s="118"/>
      <c r="CA1293" s="118"/>
      <c r="CB1293" s="118"/>
      <c r="CC1293" s="118"/>
      <c r="CD1293" s="183"/>
      <c r="CE1293" s="118">
        <f>INDEX('Gross Dx Plant'!$E$7:$AD$91,MATCH($C1293,'Gross Dx Plant'!$D$7:$D$91,0),MATCH(Calculation!$G1293,'Gross Dx Plant'!$E$5:$AD$5,0))</f>
        <v>279904</v>
      </c>
      <c r="CF1293" s="118">
        <f>INDEX('Gross Gen Plant'!$E$7:$AD$91,MATCH($C1293,'Gross Gen Plant'!$D$7:$D$91,0),MATCH(Calculation!$G1293,'Gross Gen Plant'!$E$5:$AD$5,0))</f>
        <v>6335</v>
      </c>
      <c r="CG1293" s="118">
        <f t="shared" si="3767"/>
        <v>109963</v>
      </c>
      <c r="CH1293" s="118"/>
      <c r="CI1293" s="121">
        <v>2007</v>
      </c>
      <c r="CJ1293" s="118"/>
      <c r="CK1293" s="118"/>
      <c r="CL1293" s="118"/>
      <c r="CM1293" s="183"/>
      <c r="CN1293" s="118">
        <f t="shared" si="3861"/>
        <v>4342</v>
      </c>
      <c r="CO1293" s="118">
        <f t="shared" si="3862"/>
        <v>8.7184848250002283</v>
      </c>
      <c r="CP1293" s="186">
        <v>0.94915254237288138</v>
      </c>
      <c r="CQ1293" s="118">
        <f>+CQ1284*CP1293+CO1285*CP1292+CO1286*CP1291+CO1287*CP1290+CO1288*CP1289+CO1289*CP1288+CO1290*CP1287+CO1291*CP1286+CO1292*CP1285+CO1293</f>
        <v>909.01977844995315</v>
      </c>
      <c r="CR1293" s="119">
        <f t="shared" si="3863"/>
        <v>3.256743226317858E-3</v>
      </c>
      <c r="CS1293" s="119"/>
      <c r="CT1293" s="177">
        <f t="shared" si="3864"/>
        <v>6.3603181887759057E-3</v>
      </c>
      <c r="CU1293" s="177">
        <f t="shared" si="3872"/>
        <v>6.1734389320200452E-3</v>
      </c>
      <c r="CV1293" s="119">
        <f>VLOOKUP($H1293,RoR!$E:$F,2,FALSE)</f>
        <v>5.5558333333333321E-2</v>
      </c>
      <c r="CW1293" s="177">
        <v>2.691120634145272E-2</v>
      </c>
      <c r="CX1293" s="177">
        <f t="shared" si="3870"/>
        <v>2.86471269918806E-2</v>
      </c>
      <c r="CY1293" s="177">
        <f t="shared" si="3873"/>
        <v>2.4728502676513581E-2</v>
      </c>
      <c r="CZ1293" s="177">
        <f t="shared" si="3874"/>
        <v>6.4575155250632399E-2</v>
      </c>
      <c r="DA1293" s="187">
        <f t="shared" si="3865"/>
        <v>0.84949374999999994</v>
      </c>
      <c r="DB1293" s="188">
        <f t="shared" si="3866"/>
        <v>0.92303077153834634</v>
      </c>
      <c r="DC1293" s="188">
        <f t="shared" si="3867"/>
        <v>0.52502249887505614</v>
      </c>
      <c r="DD1293" s="188">
        <f t="shared" si="3868"/>
        <v>0.88499666072084604</v>
      </c>
      <c r="DE1293" s="188">
        <f t="shared" si="3869"/>
        <v>0.42887993290280618</v>
      </c>
      <c r="DF1293" s="189">
        <f>INDEX('State Tax Lookup'!$D$7:$Z$91,MATCH(Calculation!$C1293,'State Tax Lookup'!$B$7:$B$91,0),MATCH($H1293,'State Tax Lookup'!$D$6:$Z$6,0))</f>
        <v>0.40134999999999998</v>
      </c>
      <c r="DG1293" s="189">
        <v>0.375</v>
      </c>
      <c r="DH1293" s="190">
        <f t="shared" si="3871"/>
        <v>17.384036419062443</v>
      </c>
      <c r="DI1293" s="190">
        <v>17.140874059687842</v>
      </c>
      <c r="DJ1293" s="177"/>
      <c r="DK1293" s="189">
        <f>VLOOKUP($H1293,RoR!$E:$F,2,FALSE)</f>
        <v>5.5558333333333321E-2</v>
      </c>
      <c r="DL1293" s="191">
        <f>HLOOKUP($H1293,'GDP-PI'!$D$8:$CQ$11,3,FALSE)</f>
        <v>2.691120634145272E-2</v>
      </c>
      <c r="DM1293" s="189">
        <f>VLOOKUP(H1293,'HW Dx Data'!$E:$F,2,FALSE)</f>
        <v>498.0223154772637</v>
      </c>
      <c r="DN1293" s="183">
        <f>VLOOKUP(H1293,'ECI - Input Price'!$G$17:$H$37,2,FALSE)</f>
        <v>105.22500000000001</v>
      </c>
      <c r="DO1293" s="177">
        <f t="shared" ref="DO1293" si="3899">LN(DN1293/DN1292)</f>
        <v>3.0638025400780679E-2</v>
      </c>
      <c r="DP1293" s="183">
        <f>HLOOKUP(H1293,'GDP-PI'!$8:$9,2,FALSE)</f>
        <v>92.498000000000005</v>
      </c>
      <c r="DQ1293" s="177">
        <f t="shared" ref="DQ1293" si="3900">LN(DP1293/DP1292)</f>
        <v>2.6555467950038037E-2</v>
      </c>
    </row>
    <row r="1294" spans="1:121" s="167" customFormat="1" ht="21" x14ac:dyDescent="0.35">
      <c r="A1294" s="167" t="s">
        <v>118</v>
      </c>
      <c r="B1294" s="167" t="s">
        <v>118</v>
      </c>
      <c r="C1294" s="167">
        <v>4008669</v>
      </c>
      <c r="D1294" s="168" t="s">
        <v>144</v>
      </c>
      <c r="E1294" s="168"/>
      <c r="F1294" s="198"/>
      <c r="G1294" s="167" t="s">
        <v>14</v>
      </c>
      <c r="H1294" s="169">
        <v>2008</v>
      </c>
      <c r="I1294" s="170"/>
      <c r="J1294" s="166">
        <f>IFERROR(INDEX('Labor Expenditures'!$F$7:$X$91,MATCH($C1294,'Labor Expenditures'!$D$7:$D$91,0),MATCH($G1294,'Labor Expenditures'!$F$5:$X$5,0)),"NA")</f>
        <v>7645.6798606609336</v>
      </c>
      <c r="K1294" s="166">
        <f t="shared" si="3877"/>
        <v>70.646152558659594</v>
      </c>
      <c r="L1294" s="172">
        <f t="shared" si="3884"/>
        <v>-8.7183690564237998E-3</v>
      </c>
      <c r="M1294" s="172">
        <f t="shared" si="3888"/>
        <v>-3.55804214217943E-5</v>
      </c>
      <c r="N1294" s="196"/>
      <c r="O1294" s="172"/>
      <c r="P1294" s="166">
        <f>IFERROR(INDEX('Non-Labor Expenditures'!$F$7:$AB$91,MATCH($C1294,'Non-Labor Expenditures'!$D$7:$D$91,0),MATCH($G1294,'Non-Labor Expenditures'!$F$5:$AB$5,0)),"NA")</f>
        <v>11072.372454255194</v>
      </c>
      <c r="Q1294" s="166">
        <f t="shared" si="3878"/>
        <v>117.46130499719081</v>
      </c>
      <c r="R1294" s="172">
        <f t="shared" si="3889"/>
        <v>4.8077586695353686E-4</v>
      </c>
      <c r="S1294" s="172">
        <f t="shared" si="3894"/>
        <v>1.9620880746074047E-6</v>
      </c>
      <c r="T1294" s="172"/>
      <c r="U1294" s="172"/>
      <c r="V1294" s="166">
        <f t="shared" si="3859"/>
        <v>17938.455574339492</v>
      </c>
      <c r="W1294" s="170"/>
      <c r="X1294" s="174">
        <v>957.76527959710165</v>
      </c>
      <c r="Y1294" s="175">
        <v>5.2235884680258748E-2</v>
      </c>
      <c r="Z1294" s="175">
        <f t="shared" si="3895"/>
        <v>2.1317918273882142E-4</v>
      </c>
      <c r="AA1294" s="175"/>
      <c r="AB1294" s="175"/>
      <c r="AC1294" s="170">
        <f t="shared" si="3845"/>
        <v>36656.507889255619</v>
      </c>
      <c r="AD1294" s="175">
        <f t="shared" si="3890"/>
        <v>7.2012097726129098E-2</v>
      </c>
      <c r="AE1294" s="170"/>
      <c r="AF1294" s="170"/>
      <c r="AG1294" s="121">
        <f t="shared" si="3891"/>
        <v>207.51276777559551</v>
      </c>
      <c r="AH1294" s="119">
        <f>+AZ1294/$BB$46</f>
        <v>4.9606218611307346E-3</v>
      </c>
      <c r="AI1294" s="119"/>
      <c r="AJ1294" s="176">
        <f t="shared" si="3896"/>
        <v>1.0293923722913645</v>
      </c>
      <c r="AK1294" s="176">
        <f t="shared" si="3897"/>
        <v>0</v>
      </c>
      <c r="AL1294" s="120">
        <f t="shared" si="3879"/>
        <v>0.20857632930446049</v>
      </c>
      <c r="AM1294" s="120">
        <f t="shared" si="3880"/>
        <v>0.30205748151750739</v>
      </c>
      <c r="AN1294" s="120">
        <f t="shared" si="3881"/>
        <v>0.4893661891780321</v>
      </c>
      <c r="AO1294" s="120">
        <f t="shared" si="3885"/>
        <v>2.312349683611345E-2</v>
      </c>
      <c r="AP1294" s="173">
        <f t="shared" ref="AP1294:AP1307" si="3901">+AP1293*EXP(AO1294)</f>
        <v>96.582387287066112</v>
      </c>
      <c r="AQ1294" s="175">
        <f t="shared" ref="AQ1294:AQ1307" si="3902">LN(AP1294/AP1293)</f>
        <v>2.312349683611347E-2</v>
      </c>
      <c r="AR1294" s="177">
        <f>+AC1294/$AE$46</f>
        <v>4.0810868628666525E-3</v>
      </c>
      <c r="AS1294" s="177">
        <f t="shared" si="3898"/>
        <v>9.4368999161401282E-5</v>
      </c>
      <c r="AT1294" s="177"/>
      <c r="AU1294" s="177"/>
      <c r="AV1294" s="177"/>
      <c r="AW1294" s="190"/>
      <c r="AX1294" s="120"/>
      <c r="AY1294" s="120"/>
      <c r="AZ1294" s="118">
        <f>IFERROR(INDEX('Total Customers'!$F$7:$AB$91,MATCH($C1294,'Total Customers'!$D$7:$D$91,0),MATCH($G1294,'Total Customers'!$F$5:$AB$5,0)),"NA")</f>
        <v>176647</v>
      </c>
      <c r="BA1294" s="119">
        <f t="shared" si="3860"/>
        <v>1.0213489107007905E-2</v>
      </c>
      <c r="BB1294" s="119"/>
      <c r="BC1294" s="121"/>
      <c r="BD1294" s="119"/>
      <c r="BE1294" s="119"/>
      <c r="BF1294" s="119"/>
      <c r="BG1294" s="173"/>
      <c r="BH1294" s="173"/>
      <c r="BI1294" s="173"/>
      <c r="BJ1294" s="173"/>
      <c r="BK1294" s="173"/>
      <c r="BL1294" s="173"/>
      <c r="BM1294" s="173"/>
      <c r="BN1294" s="173"/>
      <c r="BO1294" s="173"/>
      <c r="BP1294" s="173"/>
      <c r="BQ1294" s="118"/>
      <c r="BR1294" s="118"/>
      <c r="BS1294" s="118">
        <f>INDEX('Dist. Plant Gas Additions'!$F$7:$AE$91,MATCH($C1294,'Dist. Plant Gas Additions'!$D$7:$D$91,0),MATCH(Calculation!$G1294,'Dist. Plant Gas Additions'!$F$5:$AE$5,0))</f>
        <v>30563</v>
      </c>
      <c r="BT1294" s="118">
        <f>INDEX('Gen. Plant Additions'!$F$7:$AE$91,MATCH($C1294,'Gen. Plant Additions'!$D$7:$D$91,0),MATCH(Calculation!$G1294,'Gen. Plant Additions'!$F$5:$AE$5,0))</f>
        <v>636</v>
      </c>
      <c r="BU1294" s="118"/>
      <c r="BV1294" s="118"/>
      <c r="BW1294" s="118">
        <f>INDEX('Dist Plant Depreciation'!$E$7:$AD$94,MATCH($C1294,'Dist Plant Depreciation'!$D$7:$D$94,0),MATCH(Calculation!$G1294,'Dist Plant Depreciation'!$E$5:$AD$5,0))</f>
        <v>177176</v>
      </c>
      <c r="BX1294" s="118">
        <f>INDEX('Gen. Plant Depreciation'!$E$7:$AD$94,MATCH($C1294,'Gen. Plant Depreciation'!$D$7:$D$94,0),MATCH(Calculation!$G1294,'Gen. Plant Depreciation'!$E$5:$AD$5,0))</f>
        <v>2379</v>
      </c>
      <c r="BY1294" s="118"/>
      <c r="BZ1294" s="118"/>
      <c r="CA1294" s="118"/>
      <c r="CB1294" s="118"/>
      <c r="CC1294" s="118"/>
      <c r="CD1294" s="183"/>
      <c r="CE1294" s="118">
        <f>INDEX('Gross Dx Plant'!$E$7:$AD$91,MATCH($C1294,'Gross Dx Plant'!$D$7:$D$91,0),MATCH(Calculation!$G1294,'Gross Dx Plant'!$E$5:$AD$5,0))</f>
        <v>362749</v>
      </c>
      <c r="CF1294" s="118">
        <f>INDEX('Gross Gen Plant'!$E$7:$AD$91,MATCH($C1294,'Gross Gen Plant'!$D$7:$D$91,0),MATCH(Calculation!$G1294,'Gross Gen Plant'!$E$5:$AD$5,0))</f>
        <v>7329</v>
      </c>
      <c r="CG1294" s="118">
        <f t="shared" si="3767"/>
        <v>190523</v>
      </c>
      <c r="CH1294" s="118"/>
      <c r="CI1294" s="121">
        <v>2008</v>
      </c>
      <c r="CJ1294" s="118"/>
      <c r="CK1294" s="118"/>
      <c r="CL1294" s="118"/>
      <c r="CM1294" s="183"/>
      <c r="CN1294" s="118">
        <f t="shared" si="3861"/>
        <v>31199</v>
      </c>
      <c r="CO1294" s="118">
        <f t="shared" si="3862"/>
        <v>54.746497721651771</v>
      </c>
      <c r="CP1294" s="186">
        <v>0.94252873563218387</v>
      </c>
      <c r="CQ1294" s="118">
        <f>+CQ1284*CP1294+CO1285*CP1293+CO1286*CP1292+CO1287*CP1291+CO1288*CP1290+CO1289*CP1289+CO1290*CP1288+CO1291*CP1287+CO1292*CP1286+CO1293*CP1285+CO1294</f>
        <v>957.76527959710165</v>
      </c>
      <c r="CR1294" s="119">
        <f t="shared" si="3863"/>
        <v>5.2235884680258748E-2</v>
      </c>
      <c r="CS1294" s="119"/>
      <c r="CT1294" s="177">
        <f t="shared" si="3864"/>
        <v>6.6016127665957693E-3</v>
      </c>
      <c r="CU1294" s="177">
        <f t="shared" si="3872"/>
        <v>6.3779807305571539E-3</v>
      </c>
      <c r="CV1294" s="119">
        <f>VLOOKUP($H1294,RoR!$E:$F,2,FALSE)</f>
        <v>5.6316666666666668E-2</v>
      </c>
      <c r="CW1294" s="177">
        <v>1.9092304698479889E-2</v>
      </c>
      <c r="CX1294" s="177">
        <f t="shared" si="3870"/>
        <v>3.7224361968186778E-2</v>
      </c>
      <c r="CY1294" s="177">
        <f t="shared" si="3873"/>
        <v>2.452396087797647E-2</v>
      </c>
      <c r="CZ1294" s="177">
        <f t="shared" si="3874"/>
        <v>6.9030581091053131E-2</v>
      </c>
      <c r="DA1294" s="187">
        <f t="shared" si="3865"/>
        <v>0.84949374999999994</v>
      </c>
      <c r="DB1294" s="188">
        <f t="shared" si="3866"/>
        <v>0.91060168006009956</v>
      </c>
      <c r="DC1294" s="188">
        <f t="shared" si="3867"/>
        <v>0.53108168097070152</v>
      </c>
      <c r="DD1294" s="188">
        <f t="shared" si="3868"/>
        <v>0.88825329850328805</v>
      </c>
      <c r="DE1294" s="188">
        <f t="shared" si="3869"/>
        <v>0.4295627335323573</v>
      </c>
      <c r="DF1294" s="189">
        <f>INDEX('State Tax Lookup'!$D$7:$Z$91,MATCH(Calculation!$C1294,'State Tax Lookup'!$B$7:$B$91,0),MATCH($H1294,'State Tax Lookup'!$D$6:$Z$6,0))</f>
        <v>0.40134999999999998</v>
      </c>
      <c r="DG1294" s="189">
        <v>0.375</v>
      </c>
      <c r="DH1294" s="190">
        <f t="shared" si="3871"/>
        <v>19.733845180935312</v>
      </c>
      <c r="DI1294" s="190">
        <v>19.441459843538102</v>
      </c>
      <c r="DJ1294" s="177"/>
      <c r="DK1294" s="189">
        <f>VLOOKUP($H1294,RoR!$E:$F,2,FALSE)</f>
        <v>5.6316666666666668E-2</v>
      </c>
      <c r="DL1294" s="191">
        <f>HLOOKUP($H1294,'GDP-PI'!$D$8:$CQ$11,3,FALSE)</f>
        <v>1.9092304698479889E-2</v>
      </c>
      <c r="DM1294" s="189">
        <f>VLOOKUP(H1294,'HW Dx Data'!$E:$F,2,FALSE)</f>
        <v>569.88120333515076</v>
      </c>
      <c r="DN1294" s="183">
        <f>VLOOKUP(H1294,'ECI - Input Price'!$G$17:$H$37,2,FALSE)</f>
        <v>108.22499999999999</v>
      </c>
      <c r="DO1294" s="177">
        <f t="shared" ref="DO1294" si="3903">LN(DN1294/DN1293)</f>
        <v>2.8111478671409691E-2</v>
      </c>
      <c r="DP1294" s="183">
        <f>HLOOKUP(H1294,'GDP-PI'!$8:$9,2,FALSE)</f>
        <v>94.263999999999996</v>
      </c>
      <c r="DQ1294" s="177">
        <f t="shared" ref="DQ1294" si="3904">LN(DP1294/DP1293)</f>
        <v>1.8912333748032254E-2</v>
      </c>
    </row>
    <row r="1295" spans="1:121" s="167" customFormat="1" ht="21" x14ac:dyDescent="0.35">
      <c r="A1295" s="167" t="s">
        <v>118</v>
      </c>
      <c r="B1295" s="167" t="s">
        <v>118</v>
      </c>
      <c r="C1295" s="167">
        <v>4008669</v>
      </c>
      <c r="D1295" s="168" t="s">
        <v>144</v>
      </c>
      <c r="E1295" s="168"/>
      <c r="F1295" s="198"/>
      <c r="G1295" s="167" t="s">
        <v>15</v>
      </c>
      <c r="H1295" s="169">
        <v>2009</v>
      </c>
      <c r="I1295" s="170"/>
      <c r="J1295" s="166">
        <f>IFERROR(INDEX('Labor Expenditures'!$F$7:$X$91,MATCH($C1295,'Labor Expenditures'!$D$7:$D$91,0),MATCH($G1295,'Labor Expenditures'!$F$5:$X$5,0)),"NA")</f>
        <v>8271.472908744985</v>
      </c>
      <c r="K1295" s="166">
        <f t="shared" si="3877"/>
        <v>75.349331894739109</v>
      </c>
      <c r="L1295" s="172">
        <f t="shared" si="3884"/>
        <v>6.445140846173035E-2</v>
      </c>
      <c r="M1295" s="172">
        <f t="shared" si="3888"/>
        <v>2.6401643167645148E-4</v>
      </c>
      <c r="N1295" s="196"/>
      <c r="O1295" s="172"/>
      <c r="P1295" s="166">
        <f>IFERROR(INDEX('Non-Labor Expenditures'!$F$7:$AB$91,MATCH($C1295,'Non-Labor Expenditures'!$D$7:$D$91,0),MATCH($G1295,'Non-Labor Expenditures'!$F$5:$AB$5,0)),"NA")</f>
        <v>11978.637669899636</v>
      </c>
      <c r="Q1295" s="166">
        <f t="shared" si="3878"/>
        <v>126.09225012789226</v>
      </c>
      <c r="R1295" s="172">
        <f t="shared" si="3889"/>
        <v>7.0904822763157641E-2</v>
      </c>
      <c r="S1295" s="172">
        <f t="shared" si="3894"/>
        <v>2.9045196592865157E-4</v>
      </c>
      <c r="T1295" s="172"/>
      <c r="U1295" s="172"/>
      <c r="V1295" s="166">
        <f t="shared" si="3859"/>
        <v>18128.254946076457</v>
      </c>
      <c r="W1295" s="170"/>
      <c r="X1295" s="174">
        <v>998.05851017432121</v>
      </c>
      <c r="Y1295" s="175">
        <v>4.1209164930301939E-2</v>
      </c>
      <c r="Z1295" s="175">
        <f t="shared" si="3895"/>
        <v>1.6880774116402584E-4</v>
      </c>
      <c r="AA1295" s="175"/>
      <c r="AB1295" s="175"/>
      <c r="AC1295" s="170">
        <f t="shared" si="3845"/>
        <v>38378.365524721077</v>
      </c>
      <c r="AD1295" s="175">
        <f t="shared" si="3890"/>
        <v>4.5902921860773473E-2</v>
      </c>
      <c r="AE1295" s="170"/>
      <c r="AF1295" s="170"/>
      <c r="AG1295" s="121">
        <f t="shared" si="3891"/>
        <v>216.35143963109934</v>
      </c>
      <c r="AH1295" s="119">
        <f>+AZ1295/$BB$47</f>
        <v>4.9742712180917102E-3</v>
      </c>
      <c r="AI1295" s="119"/>
      <c r="AJ1295" s="176">
        <f t="shared" si="3896"/>
        <v>1.0761907391496837</v>
      </c>
      <c r="AK1295" s="176">
        <f t="shared" si="3897"/>
        <v>0</v>
      </c>
      <c r="AL1295" s="120">
        <f t="shared" si="3879"/>
        <v>0.21552436628435859</v>
      </c>
      <c r="AM1295" s="120">
        <f t="shared" si="3880"/>
        <v>0.31211953677870163</v>
      </c>
      <c r="AN1295" s="120">
        <f t="shared" si="3881"/>
        <v>0.47235609693693975</v>
      </c>
      <c r="AO1295" s="120">
        <f t="shared" si="3885"/>
        <v>5.5256886046727592E-2</v>
      </c>
      <c r="AP1295" s="173">
        <f t="shared" si="3901"/>
        <v>102.0694316763835</v>
      </c>
      <c r="AQ1295" s="175">
        <f t="shared" si="3902"/>
        <v>5.5256886046727523E-2</v>
      </c>
      <c r="AR1295" s="177">
        <f>+AC1295/$AE$47</f>
        <v>4.0963640357559892E-3</v>
      </c>
      <c r="AS1295" s="177">
        <f t="shared" si="3898"/>
        <v>2.2635232072968156E-4</v>
      </c>
      <c r="AT1295" s="177"/>
      <c r="AU1295" s="177"/>
      <c r="AV1295" s="177"/>
      <c r="AW1295" s="190"/>
      <c r="AX1295" s="120"/>
      <c r="AY1295" s="120"/>
      <c r="AZ1295" s="118">
        <f>IFERROR(INDEX('Total Customers'!$F$7:$AB$91,MATCH($C1295,'Total Customers'!$D$7:$D$91,0),MATCH($G1295,'Total Customers'!$F$5:$AB$5,0)),"NA")</f>
        <v>177389</v>
      </c>
      <c r="BA1295" s="119">
        <f t="shared" si="3860"/>
        <v>4.1916702618801961E-3</v>
      </c>
      <c r="BB1295" s="119"/>
      <c r="BC1295" s="121"/>
      <c r="BD1295" s="119"/>
      <c r="BE1295" s="119"/>
      <c r="BF1295" s="119"/>
      <c r="BG1295" s="173"/>
      <c r="BH1295" s="173"/>
      <c r="BI1295" s="173"/>
      <c r="BJ1295" s="173"/>
      <c r="BK1295" s="173"/>
      <c r="BL1295" s="173"/>
      <c r="BM1295" s="173"/>
      <c r="BN1295" s="173"/>
      <c r="BO1295" s="173"/>
      <c r="BP1295" s="173"/>
      <c r="BQ1295" s="118"/>
      <c r="BR1295" s="118"/>
      <c r="BS1295" s="118">
        <f>INDEX('Dist. Plant Gas Additions'!$F$7:$AE$91,MATCH($C1295,'Dist. Plant Gas Additions'!$D$7:$D$91,0),MATCH(Calculation!$G1295,'Dist. Plant Gas Additions'!$F$5:$AE$5,0))</f>
        <v>25250</v>
      </c>
      <c r="BT1295" s="118">
        <f>INDEX('Gen. Plant Additions'!$F$7:$AE$91,MATCH($C1295,'Gen. Plant Additions'!$D$7:$D$91,0),MATCH(Calculation!$G1295,'Gen. Plant Additions'!$F$5:$AE$5,0))</f>
        <v>519</v>
      </c>
      <c r="BU1295" s="118"/>
      <c r="BV1295" s="118"/>
      <c r="BW1295" s="118">
        <f>INDEX('Dist Plant Depreciation'!$E$7:$AD$94,MATCH($C1295,'Dist Plant Depreciation'!$D$7:$D$94,0),MATCH(Calculation!$G1295,'Dist Plant Depreciation'!$E$5:$AD$5,0))</f>
        <v>184575</v>
      </c>
      <c r="BX1295" s="118">
        <f>INDEX('Gen. Plant Depreciation'!$E$7:$AD$94,MATCH($C1295,'Gen. Plant Depreciation'!$D$7:$D$94,0),MATCH(Calculation!$G1295,'Gen. Plant Depreciation'!$E$5:$AD$5,0))</f>
        <v>3043</v>
      </c>
      <c r="BY1295" s="118"/>
      <c r="BZ1295" s="118"/>
      <c r="CA1295" s="118"/>
      <c r="CB1295" s="118"/>
      <c r="CC1295" s="118"/>
      <c r="CD1295" s="183"/>
      <c r="CE1295" s="118">
        <f>INDEX('Gross Dx Plant'!$E$7:$AD$91,MATCH($C1295,'Gross Dx Plant'!$D$7:$D$91,0),MATCH(Calculation!$G1295,'Gross Dx Plant'!$E$5:$AD$5,0))</f>
        <v>386148</v>
      </c>
      <c r="CF1295" s="118">
        <f>INDEX('Gross Gen Plant'!$E$7:$AD$91,MATCH($C1295,'Gross Gen Plant'!$D$7:$D$91,0),MATCH(Calculation!$G1295,'Gross Gen Plant'!$E$5:$AD$5,0))</f>
        <v>7578</v>
      </c>
      <c r="CG1295" s="118">
        <f t="shared" si="3767"/>
        <v>206108</v>
      </c>
      <c r="CH1295" s="118"/>
      <c r="CI1295" s="121">
        <v>2009</v>
      </c>
      <c r="CJ1295" s="118"/>
      <c r="CK1295" s="118"/>
      <c r="CL1295" s="118"/>
      <c r="CM1295" s="183"/>
      <c r="CN1295" s="118">
        <f t="shared" si="3861"/>
        <v>25769</v>
      </c>
      <c r="CO1295" s="118">
        <f t="shared" si="3862"/>
        <v>46.772734263742883</v>
      </c>
      <c r="CP1295" s="186">
        <v>0.93567251461988299</v>
      </c>
      <c r="CQ1295" s="118">
        <f>+CQ1284*CP1295+CO1285*CP1294+CO1286*CP1293+CO1287*CP1292+CO1288*CP1291+CO1289*CP1290+CO1290*CP1289+CO1291*CP1288+CO1292*CP1287+CO1293*CP1286+CO1294*CP1285+CO1295</f>
        <v>998.05851017432121</v>
      </c>
      <c r="CR1295" s="119">
        <f t="shared" si="3863"/>
        <v>4.1209164930301939E-2</v>
      </c>
      <c r="CS1295" s="119"/>
      <c r="CT1295" s="177">
        <f t="shared" si="3864"/>
        <v>6.7652313406568916E-3</v>
      </c>
      <c r="CU1295" s="177">
        <f t="shared" si="3872"/>
        <v>6.5757207653428552E-3</v>
      </c>
      <c r="CV1295" s="119">
        <f>VLOOKUP($H1295,RoR!$E:$F,2,FALSE)</f>
        <v>5.3133333333333324E-2</v>
      </c>
      <c r="CW1295" s="177">
        <v>7.7972502758210105E-3</v>
      </c>
      <c r="CX1295" s="177">
        <f t="shared" si="3870"/>
        <v>4.5336083057512314E-2</v>
      </c>
      <c r="CY1295" s="177">
        <f t="shared" si="3873"/>
        <v>2.432622084319077E-2</v>
      </c>
      <c r="CZ1295" s="177">
        <f t="shared" si="3874"/>
        <v>6.3720160300892073E-2</v>
      </c>
      <c r="DA1295" s="187">
        <f t="shared" si="3865"/>
        <v>0.84949374999999994</v>
      </c>
      <c r="DB1295" s="188">
        <f t="shared" si="3866"/>
        <v>0.96515780330083989</v>
      </c>
      <c r="DC1295" s="188">
        <f t="shared" si="3867"/>
        <v>0.50448557089084056</v>
      </c>
      <c r="DD1295" s="188">
        <f t="shared" si="3868"/>
        <v>0.87391435735465484</v>
      </c>
      <c r="DE1295" s="188">
        <f t="shared" si="3869"/>
        <v>0.42551605393279146</v>
      </c>
      <c r="DF1295" s="189">
        <f>INDEX('State Tax Lookup'!$D$7:$Z$91,MATCH(Calculation!$C1295,'State Tax Lookup'!$B$7:$B$91,0),MATCH($H1295,'State Tax Lookup'!$D$6:$Z$6,0))</f>
        <v>0.40134999999999998</v>
      </c>
      <c r="DG1295" s="189">
        <v>0.375</v>
      </c>
      <c r="DH1295" s="190">
        <f t="shared" si="3871"/>
        <v>18.927659346455304</v>
      </c>
      <c r="DI1295" s="190">
        <v>18.608551777007111</v>
      </c>
      <c r="DJ1295" s="177"/>
      <c r="DK1295" s="189">
        <f>VLOOKUP($H1295,RoR!$E:$F,2,FALSE)</f>
        <v>5.3133333333333324E-2</v>
      </c>
      <c r="DL1295" s="191">
        <f>HLOOKUP($H1295,'GDP-PI'!$D$8:$CQ$11,3,FALSE)</f>
        <v>7.7972502758210105E-3</v>
      </c>
      <c r="DM1295" s="189">
        <f>VLOOKUP(H1295,'HW Dx Data'!$E:$F,2,FALSE)</f>
        <v>550.94063679692806</v>
      </c>
      <c r="DN1295" s="183">
        <f>VLOOKUP(H1295,'ECI - Input Price'!$G$17:$H$37,2,FALSE)</f>
        <v>109.77499999999999</v>
      </c>
      <c r="DO1295" s="177">
        <f t="shared" ref="DO1295" si="3905">LN(DN1295/DN1294)</f>
        <v>1.4220423119736749E-2</v>
      </c>
      <c r="DP1295" s="183">
        <f>HLOOKUP(H1295,'GDP-PI'!$8:$9,2,FALSE)</f>
        <v>94.998999999999995</v>
      </c>
      <c r="DQ1295" s="177">
        <f t="shared" ref="DQ1295" si="3906">LN(DP1295/DP1294)</f>
        <v>7.7670088183096342E-3</v>
      </c>
    </row>
    <row r="1296" spans="1:121" s="167" customFormat="1" ht="21" x14ac:dyDescent="0.35">
      <c r="A1296" s="167" t="s">
        <v>118</v>
      </c>
      <c r="B1296" s="167" t="s">
        <v>118</v>
      </c>
      <c r="C1296" s="167">
        <v>4008669</v>
      </c>
      <c r="D1296" s="168" t="s">
        <v>144</v>
      </c>
      <c r="E1296" s="168"/>
      <c r="F1296" s="198"/>
      <c r="G1296" s="167" t="s">
        <v>16</v>
      </c>
      <c r="H1296" s="169">
        <v>2010</v>
      </c>
      <c r="I1296" s="170"/>
      <c r="J1296" s="166">
        <f>IFERROR(INDEX('Labor Expenditures'!$F$7:$X$91,MATCH($C1296,'Labor Expenditures'!$D$7:$D$91,0),MATCH($G1296,'Labor Expenditures'!$F$5:$X$5,0)),"NA")</f>
        <v>8736.6409130018692</v>
      </c>
      <c r="K1296" s="166">
        <f t="shared" si="3877"/>
        <v>78.092879669290454</v>
      </c>
      <c r="L1296" s="172">
        <f t="shared" si="3884"/>
        <v>3.576382494121768E-2</v>
      </c>
      <c r="M1296" s="172">
        <f t="shared" si="3888"/>
        <v>1.501289206912997E-4</v>
      </c>
      <c r="N1296" s="196"/>
      <c r="O1296" s="172"/>
      <c r="P1296" s="166">
        <f>IFERROR(INDEX('Non-Labor Expenditures'!$F$7:$AB$91,MATCH($C1296,'Non-Labor Expenditures'!$D$7:$D$91,0),MATCH($G1296,'Non-Labor Expenditures'!$F$5:$AB$5,0)),"NA")</f>
        <v>12652.287821462425</v>
      </c>
      <c r="Q1296" s="166">
        <f t="shared" si="3878"/>
        <v>131.64519266106635</v>
      </c>
      <c r="R1296" s="172">
        <f t="shared" si="3889"/>
        <v>4.3096586281305728E-2</v>
      </c>
      <c r="S1296" s="172">
        <f t="shared" si="3894"/>
        <v>1.8091029118183608E-4</v>
      </c>
      <c r="T1296" s="172"/>
      <c r="U1296" s="172"/>
      <c r="V1296" s="166">
        <f t="shared" si="3859"/>
        <v>19376.447165921694</v>
      </c>
      <c r="W1296" s="170"/>
      <c r="X1296" s="174">
        <v>1027.2693869591199</v>
      </c>
      <c r="Y1296" s="175">
        <v>2.8847578241936594E-2</v>
      </c>
      <c r="Z1296" s="175">
        <f t="shared" si="3895"/>
        <v>1.2109598996019203E-4</v>
      </c>
      <c r="AA1296" s="175"/>
      <c r="AB1296" s="175"/>
      <c r="AC1296" s="170">
        <f t="shared" si="3845"/>
        <v>40765.375900385989</v>
      </c>
      <c r="AD1296" s="175">
        <f t="shared" si="3890"/>
        <v>6.0339188195632297E-2</v>
      </c>
      <c r="AE1296" s="170"/>
      <c r="AF1296" s="170"/>
      <c r="AG1296" s="121">
        <f t="shared" si="3891"/>
        <v>228.6220880627786</v>
      </c>
      <c r="AH1296" s="119">
        <f>+AZ1296/$BB$48</f>
        <v>4.9725435129279096E-3</v>
      </c>
      <c r="AI1296" s="119"/>
      <c r="AJ1296" s="176">
        <f t="shared" si="3896"/>
        <v>1.136833280908603</v>
      </c>
      <c r="AK1296" s="176">
        <f t="shared" si="3897"/>
        <v>0</v>
      </c>
      <c r="AL1296" s="120">
        <f t="shared" si="3879"/>
        <v>0.2143152300214444</v>
      </c>
      <c r="AM1296" s="120">
        <f t="shared" si="3880"/>
        <v>0.3103684816344997</v>
      </c>
      <c r="AN1296" s="120">
        <f t="shared" si="3881"/>
        <v>0.47531628834405593</v>
      </c>
      <c r="AO1296" s="120">
        <f t="shared" si="3885"/>
        <v>3.4768934975912089E-2</v>
      </c>
      <c r="AP1296" s="173">
        <f t="shared" si="3901"/>
        <v>105.68069317670617</v>
      </c>
      <c r="AQ1296" s="175">
        <f t="shared" si="3902"/>
        <v>3.4768934975912082E-2</v>
      </c>
      <c r="AR1296" s="177">
        <f>+AC1296/$AE$48</f>
        <v>4.1977870358680973E-3</v>
      </c>
      <c r="AS1296" s="177">
        <f t="shared" si="3898"/>
        <v>1.4595258449282458E-4</v>
      </c>
      <c r="AT1296" s="177"/>
      <c r="AU1296" s="177"/>
      <c r="AV1296" s="177"/>
      <c r="AW1296" s="190"/>
      <c r="AX1296" s="120"/>
      <c r="AY1296" s="120"/>
      <c r="AZ1296" s="118">
        <f>IFERROR(INDEX('Total Customers'!$F$7:$AB$91,MATCH($C1296,'Total Customers'!$D$7:$D$91,0),MATCH($G1296,'Total Customers'!$F$5:$AB$5,0)),"NA")</f>
        <v>178309</v>
      </c>
      <c r="BA1296" s="119">
        <f t="shared" si="3860"/>
        <v>5.1729391312033178E-3</v>
      </c>
      <c r="BB1296" s="119"/>
      <c r="BC1296" s="121"/>
      <c r="BD1296" s="119"/>
      <c r="BE1296" s="119"/>
      <c r="BF1296" s="119"/>
      <c r="BG1296" s="173"/>
      <c r="BH1296" s="173"/>
      <c r="BI1296" s="173"/>
      <c r="BJ1296" s="173"/>
      <c r="BK1296" s="173"/>
      <c r="BL1296" s="173"/>
      <c r="BM1296" s="173"/>
      <c r="BN1296" s="173"/>
      <c r="BO1296" s="173"/>
      <c r="BP1296" s="173"/>
      <c r="BQ1296" s="118"/>
      <c r="BR1296" s="118"/>
      <c r="BS1296" s="118">
        <f>INDEX('Dist. Plant Gas Additions'!$F$7:$AE$91,MATCH($C1296,'Dist. Plant Gas Additions'!$D$7:$D$91,0),MATCH(Calculation!$G1296,'Dist. Plant Gas Additions'!$F$5:$AE$5,0))</f>
        <v>20274</v>
      </c>
      <c r="BT1296" s="118">
        <f>INDEX('Gen. Plant Additions'!$F$7:$AE$91,MATCH($C1296,'Gen. Plant Additions'!$D$7:$D$91,0),MATCH(Calculation!$G1296,'Gen. Plant Additions'!$F$5:$AE$5,0))</f>
        <v>294</v>
      </c>
      <c r="BU1296" s="118"/>
      <c r="BV1296" s="118"/>
      <c r="BW1296" s="118">
        <f>INDEX('Dist Plant Depreciation'!$E$7:$AD$94,MATCH($C1296,'Dist Plant Depreciation'!$D$7:$D$94,0),MATCH(Calculation!$G1296,'Dist Plant Depreciation'!$E$5:$AD$5,0))</f>
        <v>189801</v>
      </c>
      <c r="BX1296" s="118">
        <f>INDEX('Gen. Plant Depreciation'!$E$7:$AD$94,MATCH($C1296,'Gen. Plant Depreciation'!$D$7:$D$94,0),MATCH(Calculation!$G1296,'Gen. Plant Depreciation'!$E$5:$AD$5,0))</f>
        <v>3212</v>
      </c>
      <c r="BY1296" s="118"/>
      <c r="BZ1296" s="118"/>
      <c r="CA1296" s="118"/>
      <c r="CB1296" s="118"/>
      <c r="CC1296" s="118"/>
      <c r="CD1296" s="183"/>
      <c r="CE1296" s="118">
        <f>INDEX('Gross Dx Plant'!$E$7:$AD$91,MATCH($C1296,'Gross Dx Plant'!$D$7:$D$91,0),MATCH(Calculation!$G1296,'Gross Dx Plant'!$E$5:$AD$5,0))</f>
        <v>404073</v>
      </c>
      <c r="CF1296" s="118">
        <f>INDEX('Gross Gen Plant'!$E$7:$AD$91,MATCH($C1296,'Gross Gen Plant'!$D$7:$D$91,0),MATCH(Calculation!$G1296,'Gross Gen Plant'!$E$5:$AD$5,0))</f>
        <v>7279</v>
      </c>
      <c r="CG1296" s="118">
        <f t="shared" si="3767"/>
        <v>218339</v>
      </c>
      <c r="CH1296" s="118"/>
      <c r="CI1296" s="121">
        <v>2010</v>
      </c>
      <c r="CJ1296" s="118"/>
      <c r="CK1296" s="118"/>
      <c r="CL1296" s="118"/>
      <c r="CM1296" s="183"/>
      <c r="CN1296" s="118">
        <f t="shared" si="3861"/>
        <v>20568</v>
      </c>
      <c r="CO1296" s="118">
        <f t="shared" si="3862"/>
        <v>36.148294309368097</v>
      </c>
      <c r="CP1296" s="186">
        <v>0.9285714285714286</v>
      </c>
      <c r="CQ1296" s="118">
        <f>+CQ1284*CP1296+CO1285*CP1295+CO1286*CP1294+CO1287*CP1293+CO1288*CP1292+CO1289*CP1291+CO1290*CP1290+CO1291*CP1289+CO1292*CP1288+CO1293*CP1287+CO1294*CP1286+CO1295*CP1285+CO1296</f>
        <v>1027.2693869591199</v>
      </c>
      <c r="CR1296" s="119">
        <f t="shared" si="3863"/>
        <v>2.8847578241936594E-2</v>
      </c>
      <c r="CS1296" s="119"/>
      <c r="CT1296" s="177">
        <f t="shared" si="3864"/>
        <v>6.9509126507600874E-3</v>
      </c>
      <c r="CU1296" s="177">
        <f t="shared" si="3872"/>
        <v>6.7725855860042497E-3</v>
      </c>
      <c r="CV1296" s="119">
        <f>VLOOKUP($H1296,RoR!$E:$F,2,FALSE)</f>
        <v>4.9433333333333322E-2</v>
      </c>
      <c r="CW1296" s="177">
        <v>1.1684333519300205E-2</v>
      </c>
      <c r="CX1296" s="177">
        <f t="shared" si="3870"/>
        <v>3.7748999814033117E-2</v>
      </c>
      <c r="CY1296" s="177">
        <f t="shared" si="3873"/>
        <v>2.4129356022529375E-2</v>
      </c>
      <c r="CZ1296" s="177">
        <f t="shared" si="3874"/>
        <v>4.7937530248493419E-2</v>
      </c>
      <c r="DA1296" s="187">
        <f t="shared" si="3865"/>
        <v>0.84949374999999994</v>
      </c>
      <c r="DB1296" s="188">
        <f t="shared" si="3866"/>
        <v>1.037398205301105</v>
      </c>
      <c r="DC1296" s="188">
        <f t="shared" si="3867"/>
        <v>0.46926837491571133</v>
      </c>
      <c r="DD1296" s="188">
        <f t="shared" si="3868"/>
        <v>0.8548537519972772</v>
      </c>
      <c r="DE1296" s="188">
        <f t="shared" si="3869"/>
        <v>0.41615833911547367</v>
      </c>
      <c r="DF1296" s="189">
        <f>INDEX('State Tax Lookup'!$D$7:$Z$91,MATCH(Calculation!$C1296,'State Tax Lookup'!$B$7:$B$91,0),MATCH($H1296,'State Tax Lookup'!$D$6:$Z$6,0))</f>
        <v>0.40134999999999998</v>
      </c>
      <c r="DG1296" s="189">
        <v>0.375</v>
      </c>
      <c r="DH1296" s="190">
        <f t="shared" si="3871"/>
        <v>19.414139520274617</v>
      </c>
      <c r="DI1296" s="190">
        <v>19.125913026825959</v>
      </c>
      <c r="DJ1296" s="177"/>
      <c r="DK1296" s="189">
        <f>VLOOKUP($H1296,RoR!$E:$F,2,FALSE)</f>
        <v>4.9433333333333322E-2</v>
      </c>
      <c r="DL1296" s="191">
        <f>HLOOKUP($H1296,'GDP-PI'!$D$8:$CQ$11,3,FALSE)</f>
        <v>1.1684333519300205E-2</v>
      </c>
      <c r="DM1296" s="189">
        <f>VLOOKUP(H1296,'HW Dx Data'!$E:$F,2,FALSE)</f>
        <v>568.98950262971744</v>
      </c>
      <c r="DN1296" s="183">
        <f>VLOOKUP(H1296,'ECI - Input Price'!$G$17:$H$37,2,FALSE)</f>
        <v>111.875</v>
      </c>
      <c r="DO1296" s="177">
        <f t="shared" ref="DO1296" si="3907">LN(DN1296/DN1295)</f>
        <v>1.8949360147238387E-2</v>
      </c>
      <c r="DP1296" s="183">
        <f>HLOOKUP(H1296,'GDP-PI'!$8:$9,2,FALSE)</f>
        <v>96.108999999999995</v>
      </c>
      <c r="DQ1296" s="177">
        <f t="shared" ref="DQ1296" si="3908">LN(DP1296/DP1295)</f>
        <v>1.1616598807150427E-2</v>
      </c>
    </row>
    <row r="1297" spans="1:121" s="167" customFormat="1" ht="21" x14ac:dyDescent="0.35">
      <c r="A1297" s="167" t="s">
        <v>118</v>
      </c>
      <c r="B1297" s="167" t="s">
        <v>118</v>
      </c>
      <c r="C1297" s="167">
        <v>4008669</v>
      </c>
      <c r="D1297" s="168" t="s">
        <v>144</v>
      </c>
      <c r="E1297" s="168"/>
      <c r="F1297" s="198"/>
      <c r="G1297" s="167" t="s">
        <v>17</v>
      </c>
      <c r="H1297" s="169">
        <v>2011</v>
      </c>
      <c r="I1297" s="170"/>
      <c r="J1297" s="166">
        <f>IFERROR(INDEX('Labor Expenditures'!$F$7:$X$91,MATCH($C1297,'Labor Expenditures'!$D$7:$D$91,0),MATCH($G1297,'Labor Expenditures'!$F$5:$X$5,0)),"NA")</f>
        <v>9179.0850602837381</v>
      </c>
      <c r="K1297" s="166">
        <f t="shared" si="3877"/>
        <v>80.306955907994208</v>
      </c>
      <c r="L1297" s="172">
        <f t="shared" si="3884"/>
        <v>2.7957357928798859E-2</v>
      </c>
      <c r="M1297" s="172">
        <f t="shared" si="3888"/>
        <v>1.2001303201772627E-4</v>
      </c>
      <c r="N1297" s="196"/>
      <c r="O1297" s="172"/>
      <c r="P1297" s="166">
        <f>IFERROR(INDEX('Non-Labor Expenditures'!$F$7:$AB$91,MATCH($C1297,'Non-Labor Expenditures'!$D$7:$D$91,0),MATCH($G1297,'Non-Labor Expenditures'!$F$5:$AB$5,0)),"NA")</f>
        <v>13293.029583894353</v>
      </c>
      <c r="Q1297" s="166">
        <f t="shared" si="3878"/>
        <v>135.48831523049529</v>
      </c>
      <c r="R1297" s="172">
        <f t="shared" si="3889"/>
        <v>2.8775032921695178E-2</v>
      </c>
      <c r="S1297" s="172">
        <f t="shared" si="3894"/>
        <v>1.2352307954626883E-4</v>
      </c>
      <c r="T1297" s="172"/>
      <c r="U1297" s="172"/>
      <c r="V1297" s="166">
        <f t="shared" si="3859"/>
        <v>21308.667335178488</v>
      </c>
      <c r="W1297" s="170"/>
      <c r="X1297" s="174">
        <v>1045.5663470148404</v>
      </c>
      <c r="Y1297" s="175">
        <v>1.7654496194061283E-2</v>
      </c>
      <c r="Z1297" s="175">
        <f t="shared" si="3895"/>
        <v>7.5785759955956353E-5</v>
      </c>
      <c r="AA1297" s="175"/>
      <c r="AB1297" s="175"/>
      <c r="AC1297" s="170">
        <f t="shared" si="3845"/>
        <v>43780.78197935658</v>
      </c>
      <c r="AD1297" s="175">
        <f t="shared" si="3890"/>
        <v>7.1361862273715992E-2</v>
      </c>
      <c r="AE1297" s="170"/>
      <c r="AF1297" s="170"/>
      <c r="AG1297" s="121">
        <f t="shared" si="3891"/>
        <v>244.23607566472853</v>
      </c>
      <c r="AH1297" s="119">
        <f>+AZ1297/$BB$49</f>
        <v>4.9746509006547085E-3</v>
      </c>
      <c r="AI1297" s="119"/>
      <c r="AJ1297" s="176">
        <f t="shared" si="3896"/>
        <v>1.2149892137779132</v>
      </c>
      <c r="AK1297" s="176">
        <f t="shared" si="3897"/>
        <v>0</v>
      </c>
      <c r="AL1297" s="120">
        <f t="shared" si="3879"/>
        <v>0.20966014413839937</v>
      </c>
      <c r="AM1297" s="120">
        <f t="shared" si="3880"/>
        <v>0.30362704782573902</v>
      </c>
      <c r="AN1297" s="120">
        <f t="shared" si="3881"/>
        <v>0.48671280803586159</v>
      </c>
      <c r="AO1297" s="120">
        <f t="shared" si="3885"/>
        <v>2.3252555941495334E-2</v>
      </c>
      <c r="AP1297" s="173">
        <f t="shared" si="3901"/>
        <v>108.16683193056271</v>
      </c>
      <c r="AQ1297" s="175">
        <f t="shared" si="3902"/>
        <v>2.3252555941495306E-2</v>
      </c>
      <c r="AR1297" s="177">
        <f>+AC1297/$AE$49</f>
        <v>4.292717227549636E-3</v>
      </c>
      <c r="AS1297" s="177">
        <f t="shared" si="3898"/>
        <v>9.9816647474618552E-5</v>
      </c>
      <c r="AT1297" s="177"/>
      <c r="AU1297" s="177"/>
      <c r="AV1297" s="177"/>
      <c r="AW1297" s="190"/>
      <c r="AX1297" s="120"/>
      <c r="AY1297" s="120"/>
      <c r="AZ1297" s="118">
        <f>IFERROR(INDEX('Total Customers'!$F$7:$AB$91,MATCH($C1297,'Total Customers'!$D$7:$D$91,0),MATCH($G1297,'Total Customers'!$F$5:$AB$5,0)),"NA")</f>
        <v>179256</v>
      </c>
      <c r="BA1297" s="119">
        <f t="shared" si="3860"/>
        <v>5.296951403066001E-3</v>
      </c>
      <c r="BB1297" s="119"/>
      <c r="BC1297" s="121"/>
      <c r="BD1297" s="119"/>
      <c r="BE1297" s="119"/>
      <c r="BF1297" s="119"/>
      <c r="BG1297" s="173"/>
      <c r="BH1297" s="173"/>
      <c r="BI1297" s="173"/>
      <c r="BJ1297" s="173"/>
      <c r="BK1297" s="173"/>
      <c r="BL1297" s="173"/>
      <c r="BM1297" s="173"/>
      <c r="BN1297" s="173"/>
      <c r="BO1297" s="173"/>
      <c r="BP1297" s="173"/>
      <c r="BQ1297" s="118"/>
      <c r="BR1297" s="118"/>
      <c r="BS1297" s="118">
        <f>INDEX('Dist. Plant Gas Additions'!$F$7:$AE$91,MATCH($C1297,'Dist. Plant Gas Additions'!$D$7:$D$91,0),MATCH(Calculation!$G1297,'Dist. Plant Gas Additions'!$F$5:$AE$5,0))</f>
        <v>15536</v>
      </c>
      <c r="BT1297" s="118">
        <f>INDEX('Gen. Plant Additions'!$F$7:$AE$91,MATCH($C1297,'Gen. Plant Additions'!$D$7:$D$91,0),MATCH(Calculation!$G1297,'Gen. Plant Additions'!$F$5:$AE$5,0))</f>
        <v>157</v>
      </c>
      <c r="BU1297" s="118"/>
      <c r="BV1297" s="118"/>
      <c r="BW1297" s="118">
        <f>INDEX('Dist Plant Depreciation'!$E$7:$AD$94,MATCH($C1297,'Dist Plant Depreciation'!$D$7:$D$94,0),MATCH(Calculation!$G1297,'Dist Plant Depreciation'!$E$5:$AD$5,0))</f>
        <v>197584</v>
      </c>
      <c r="BX1297" s="118">
        <f>INDEX('Gen. Plant Depreciation'!$E$7:$AD$94,MATCH($C1297,'Gen. Plant Depreciation'!$D$7:$D$94,0),MATCH(Calculation!$G1297,'Gen. Plant Depreciation'!$E$5:$AD$5,0))</f>
        <v>3637</v>
      </c>
      <c r="BY1297" s="118"/>
      <c r="BZ1297" s="118"/>
      <c r="CA1297" s="118"/>
      <c r="CB1297" s="118"/>
      <c r="CC1297" s="118"/>
      <c r="CD1297" s="183"/>
      <c r="CE1297" s="118">
        <f>INDEX('Gross Dx Plant'!$E$7:$AD$91,MATCH($C1297,'Gross Dx Plant'!$D$7:$D$91,0),MATCH(Calculation!$G1297,'Gross Dx Plant'!$E$5:$AD$5,0))</f>
        <v>417620</v>
      </c>
      <c r="CF1297" s="118">
        <f>INDEX('Gross Gen Plant'!$E$7:$AD$91,MATCH($C1297,'Gross Gen Plant'!$D$7:$D$91,0),MATCH(Calculation!$G1297,'Gross Gen Plant'!$E$5:$AD$5,0))</f>
        <v>7090</v>
      </c>
      <c r="CG1297" s="118">
        <f t="shared" si="3767"/>
        <v>223489</v>
      </c>
      <c r="CH1297" s="118"/>
      <c r="CI1297" s="121">
        <v>2011</v>
      </c>
      <c r="CJ1297" s="118"/>
      <c r="CK1297" s="118"/>
      <c r="CL1297" s="118"/>
      <c r="CM1297" s="183"/>
      <c r="CN1297" s="118">
        <f t="shared" si="3861"/>
        <v>15693</v>
      </c>
      <c r="CO1297" s="118">
        <f t="shared" si="3862"/>
        <v>25.658461887761955</v>
      </c>
      <c r="CP1297" s="186">
        <v>0.92121212121212126</v>
      </c>
      <c r="CQ1297" s="118">
        <f>+CQ1284*CP1297+CO1285*CP1296+CO1286*CP1295+CO1287*CP1294+CO1288*CP1293+CO1289*CP1292+CO1290*CP1291+CO1291*CP1290+CO1292*CP1289+CO1293*CP1288+CO1294*CP1287+CO1295*CP1286+CO1296*CP1285+CO1297</f>
        <v>1045.5663470148404</v>
      </c>
      <c r="CR1297" s="119">
        <f t="shared" si="3863"/>
        <v>1.7654496194061283E-2</v>
      </c>
      <c r="CS1297" s="119"/>
      <c r="CT1297" s="177">
        <f t="shared" si="3864"/>
        <v>7.1660870317888283E-3</v>
      </c>
      <c r="CU1297" s="177">
        <f t="shared" si="3872"/>
        <v>6.9607436744019355E-3</v>
      </c>
      <c r="CV1297" s="119">
        <f>VLOOKUP($H1297,RoR!$E:$F,2,FALSE)</f>
        <v>4.6391666666666664E-2</v>
      </c>
      <c r="CW1297" s="177">
        <v>2.0840920205183799E-2</v>
      </c>
      <c r="CX1297" s="177">
        <f t="shared" si="3870"/>
        <v>2.5550746461482865E-2</v>
      </c>
      <c r="CY1297" s="177">
        <f t="shared" si="3873"/>
        <v>2.394119793413169E-2</v>
      </c>
      <c r="CZ1297" s="177">
        <f t="shared" si="3874"/>
        <v>2.4810540821321614E-2</v>
      </c>
      <c r="DA1297" s="187">
        <f t="shared" si="3865"/>
        <v>0.84949374999999994</v>
      </c>
      <c r="DB1297" s="188">
        <f t="shared" si="3866"/>
        <v>1.1054151524782025</v>
      </c>
      <c r="DC1297" s="188">
        <f t="shared" si="3867"/>
        <v>0.43611011316687626</v>
      </c>
      <c r="DD1297" s="188">
        <f t="shared" si="3868"/>
        <v>0.83698442246886229</v>
      </c>
      <c r="DE1297" s="188">
        <f t="shared" si="3869"/>
        <v>0.40349573304423936</v>
      </c>
      <c r="DF1297" s="189">
        <f>INDEX('State Tax Lookup'!$D$7:$Z$91,MATCH(Calculation!$C1297,'State Tax Lookup'!$B$7:$B$91,0),MATCH($H1297,'State Tax Lookup'!$D$6:$Z$6,0))</f>
        <v>0.40134999999999998</v>
      </c>
      <c r="DG1297" s="189">
        <v>0.375</v>
      </c>
      <c r="DH1297" s="190">
        <f t="shared" si="3871"/>
        <v>20.743017951946879</v>
      </c>
      <c r="DI1297" s="190">
        <v>20.416555838566453</v>
      </c>
      <c r="DJ1297" s="177"/>
      <c r="DK1297" s="189">
        <f>VLOOKUP($H1297,RoR!$E:$F,2,FALSE)</f>
        <v>4.6391666666666664E-2</v>
      </c>
      <c r="DL1297" s="191">
        <f>HLOOKUP($H1297,'GDP-PI'!$D$8:$CQ$11,3,FALSE)</f>
        <v>2.0840920205183799E-2</v>
      </c>
      <c r="DM1297" s="189">
        <f>VLOOKUP(H1297,'HW Dx Data'!$E:$F,2,FALSE)</f>
        <v>611.61109612283201</v>
      </c>
      <c r="DN1297" s="183">
        <f>VLOOKUP(H1297,'ECI - Input Price'!$G$17:$H$37,2,FALSE)</f>
        <v>114.3</v>
      </c>
      <c r="DO1297" s="177">
        <f t="shared" ref="DO1297" si="3909">LN(DN1297/DN1296)</f>
        <v>2.1444394205745516E-2</v>
      </c>
      <c r="DP1297" s="183">
        <f>HLOOKUP(H1297,'GDP-PI'!$8:$9,2,FALSE)</f>
        <v>98.111999999999995</v>
      </c>
      <c r="DQ1297" s="177">
        <f t="shared" ref="DQ1297" si="3910">LN(DP1297/DP1296)</f>
        <v>2.0626719212849295E-2</v>
      </c>
    </row>
    <row r="1298" spans="1:121" s="167" customFormat="1" ht="21" x14ac:dyDescent="0.35">
      <c r="A1298" s="167" t="s">
        <v>118</v>
      </c>
      <c r="B1298" s="167" t="s">
        <v>118</v>
      </c>
      <c r="C1298" s="167">
        <v>4008669</v>
      </c>
      <c r="D1298" s="168" t="s">
        <v>144</v>
      </c>
      <c r="E1298" s="168"/>
      <c r="F1298" s="198"/>
      <c r="G1298" s="167" t="s">
        <v>18</v>
      </c>
      <c r="H1298" s="169">
        <v>2012</v>
      </c>
      <c r="I1298" s="170"/>
      <c r="J1298" s="166">
        <f>IFERROR(INDEX('Labor Expenditures'!$F$7:$X$91,MATCH($C1298,'Labor Expenditures'!$D$7:$D$91,0),MATCH($G1298,'Labor Expenditures'!$F$5:$X$5,0)),"NA")</f>
        <v>8866.9588875377649</v>
      </c>
      <c r="K1298" s="166">
        <f t="shared" si="3877"/>
        <v>76.111235086161074</v>
      </c>
      <c r="L1298" s="172">
        <f t="shared" si="3884"/>
        <v>-5.3660351417014709E-2</v>
      </c>
      <c r="M1298" s="172">
        <f t="shared" si="3888"/>
        <v>-2.2673607755004866E-4</v>
      </c>
      <c r="N1298" s="196"/>
      <c r="O1298" s="172"/>
      <c r="P1298" s="166">
        <f>IFERROR(INDEX('Non-Labor Expenditures'!$F$7:$AB$91,MATCH($C1298,'Non-Labor Expenditures'!$D$7:$D$91,0),MATCH($G1298,'Non-Labor Expenditures'!$F$5:$AB$5,0)),"NA")</f>
        <v>12841.012588630592</v>
      </c>
      <c r="Q1298" s="166">
        <f t="shared" si="3878"/>
        <v>128.41012588630593</v>
      </c>
      <c r="R1298" s="172">
        <f t="shared" si="3889"/>
        <v>-5.3656151950766798E-2</v>
      </c>
      <c r="S1298" s="172">
        <f t="shared" si="3894"/>
        <v>-2.2671833315442486E-4</v>
      </c>
      <c r="T1298" s="172"/>
      <c r="U1298" s="172"/>
      <c r="V1298" s="166">
        <f t="shared" si="3859"/>
        <v>23446.382391926232</v>
      </c>
      <c r="W1298" s="170"/>
      <c r="X1298" s="174">
        <v>1059.7048628319767</v>
      </c>
      <c r="Y1298" s="175">
        <v>1.3431740588215576E-2</v>
      </c>
      <c r="Z1298" s="175">
        <f t="shared" si="3895"/>
        <v>5.6754383734358544E-5</v>
      </c>
      <c r="AA1298" s="175"/>
      <c r="AB1298" s="175"/>
      <c r="AC1298" s="170">
        <f t="shared" si="3845"/>
        <v>45154.353868094593</v>
      </c>
      <c r="AD1298" s="175">
        <f t="shared" si="3890"/>
        <v>3.0891752899705867E-2</v>
      </c>
      <c r="AE1298" s="170"/>
      <c r="AF1298" s="170"/>
      <c r="AG1298" s="121">
        <f t="shared" si="3891"/>
        <v>250.29435918125657</v>
      </c>
      <c r="AH1298" s="119">
        <f>+AZ1298/$BB$50</f>
        <v>4.9824454078260198E-3</v>
      </c>
      <c r="AI1298" s="119"/>
      <c r="AJ1298" s="176">
        <f t="shared" si="3896"/>
        <v>1.2470779805074081</v>
      </c>
      <c r="AK1298" s="176">
        <f t="shared" si="3897"/>
        <v>0</v>
      </c>
      <c r="AL1298" s="120">
        <f t="shared" si="3879"/>
        <v>0.19636996497480674</v>
      </c>
      <c r="AM1298" s="120">
        <f t="shared" si="3880"/>
        <v>0.2843803861337913</v>
      </c>
      <c r="AN1298" s="120">
        <f t="shared" si="3881"/>
        <v>0.5192496488914019</v>
      </c>
      <c r="AO1298" s="120">
        <f t="shared" si="3885"/>
        <v>-1.9913053901342754E-2</v>
      </c>
      <c r="AP1298" s="173">
        <f t="shared" si="3901"/>
        <v>106.03420401371781</v>
      </c>
      <c r="AQ1298" s="175">
        <f t="shared" si="3902"/>
        <v>-1.9913053901342789E-2</v>
      </c>
      <c r="AR1298" s="177">
        <f>+AC1298/$AE$50</f>
        <v>4.2253930800414926E-3</v>
      </c>
      <c r="AS1298" s="177">
        <f t="shared" si="3898"/>
        <v>-8.4140480157227066E-5</v>
      </c>
      <c r="AT1298" s="177"/>
      <c r="AU1298" s="177"/>
      <c r="AV1298" s="177"/>
      <c r="AW1298" s="190"/>
      <c r="AX1298" s="120"/>
      <c r="AY1298" s="120"/>
      <c r="AZ1298" s="118">
        <f>IFERROR(INDEX('Total Customers'!$F$7:$AB$91,MATCH($C1298,'Total Customers'!$D$7:$D$91,0),MATCH($G1298,'Total Customers'!$F$5:$AB$5,0)),"NA")</f>
        <v>180405</v>
      </c>
      <c r="BA1298" s="119">
        <f t="shared" si="3860"/>
        <v>6.3893717078144195E-3</v>
      </c>
      <c r="BB1298" s="119"/>
      <c r="BC1298" s="121"/>
      <c r="BD1298" s="119"/>
      <c r="BE1298" s="119"/>
      <c r="BF1298" s="119"/>
      <c r="BG1298" s="173"/>
      <c r="BH1298" s="173"/>
      <c r="BI1298" s="173"/>
      <c r="BJ1298" s="173"/>
      <c r="BK1298" s="173"/>
      <c r="BL1298" s="173"/>
      <c r="BM1298" s="173"/>
      <c r="BN1298" s="173"/>
      <c r="BO1298" s="173"/>
      <c r="BP1298" s="173"/>
      <c r="BQ1298" s="118"/>
      <c r="BR1298" s="118"/>
      <c r="BS1298" s="118">
        <f>INDEX('Dist. Plant Gas Additions'!$F$7:$AE$91,MATCH($C1298,'Dist. Plant Gas Additions'!$D$7:$D$91,0),MATCH(Calculation!$G1298,'Dist. Plant Gas Additions'!$F$5:$AE$5,0))</f>
        <v>14260</v>
      </c>
      <c r="BT1298" s="118">
        <f>INDEX('Gen. Plant Additions'!$F$7:$AE$91,MATCH($C1298,'Gen. Plant Additions'!$D$7:$D$91,0),MATCH(Calculation!$G1298,'Gen. Plant Additions'!$F$5:$AE$5,0))</f>
        <v>383</v>
      </c>
      <c r="BU1298" s="118"/>
      <c r="BV1298" s="118"/>
      <c r="BW1298" s="118">
        <f>INDEX('Dist Plant Depreciation'!$E$7:$AD$94,MATCH($C1298,'Dist Plant Depreciation'!$D$7:$D$94,0),MATCH(Calculation!$G1298,'Dist Plant Depreciation'!$E$5:$AD$5,0))</f>
        <v>205134</v>
      </c>
      <c r="BX1298" s="118">
        <f>INDEX('Gen. Plant Depreciation'!$E$7:$AD$94,MATCH($C1298,'Gen. Plant Depreciation'!$D$7:$D$94,0),MATCH(Calculation!$G1298,'Gen. Plant Depreciation'!$E$5:$AD$5,0))</f>
        <v>4364</v>
      </c>
      <c r="BY1298" s="118"/>
      <c r="BZ1298" s="118"/>
      <c r="CA1298" s="118"/>
      <c r="CB1298" s="118"/>
      <c r="CC1298" s="118"/>
      <c r="CD1298" s="183"/>
      <c r="CE1298" s="118">
        <f>INDEX('Gross Dx Plant'!$E$7:$AD$91,MATCH($C1298,'Gross Dx Plant'!$D$7:$D$91,0),MATCH(Calculation!$G1298,'Gross Dx Plant'!$E$5:$AD$5,0))</f>
        <v>429542</v>
      </c>
      <c r="CF1298" s="118">
        <f>INDEX('Gross Gen Plant'!$E$7:$AD$91,MATCH($C1298,'Gross Gen Plant'!$D$7:$D$91,0),MATCH(Calculation!$G1298,'Gross Gen Plant'!$E$5:$AD$5,0))</f>
        <v>7422</v>
      </c>
      <c r="CG1298" s="118">
        <f t="shared" si="3767"/>
        <v>227466</v>
      </c>
      <c r="CH1298" s="118"/>
      <c r="CI1298" s="121">
        <v>2012</v>
      </c>
      <c r="CJ1298" s="118"/>
      <c r="CK1298" s="118"/>
      <c r="CL1298" s="118"/>
      <c r="CM1298" s="183"/>
      <c r="CN1298" s="118">
        <f t="shared" si="3861"/>
        <v>14643</v>
      </c>
      <c r="CO1298" s="118">
        <f t="shared" si="3862"/>
        <v>21.890532259934705</v>
      </c>
      <c r="CP1298" s="186">
        <v>0.9135802469135802</v>
      </c>
      <c r="CQ1298" s="118">
        <f>+CQ1284*CP1298+CO1285*CP1297+CO1286*CP1296+CO1287*CP1295+CO1288*CP1294+CO1289*CP1293+CO1290*CP1292+CO1291*CP1291+CO1292*CP1290+CO1293*CP1289+CO1294*CP1288+CO1295*CP1287+CO1296*CP1286+CO1297*CP1285+CO1298</f>
        <v>1059.7048628319767</v>
      </c>
      <c r="CR1298" s="119">
        <f t="shared" si="3863"/>
        <v>1.3431740588215576E-2</v>
      </c>
      <c r="CS1298" s="119"/>
      <c r="CT1298" s="177">
        <f t="shared" si="3864"/>
        <v>7.4141793726729245E-3</v>
      </c>
      <c r="CU1298" s="177">
        <f t="shared" si="3872"/>
        <v>7.1770596850739476E-3</v>
      </c>
      <c r="CV1298" s="119">
        <f>VLOOKUP($H1298,RoR!$E:$F,2,FALSE)</f>
        <v>3.6733333333333333E-2</v>
      </c>
      <c r="CW1298" s="177">
        <v>1.924331376386168E-2</v>
      </c>
      <c r="CX1298" s="177">
        <f t="shared" si="3870"/>
        <v>1.7490019569471653E-2</v>
      </c>
      <c r="CY1298" s="177">
        <f t="shared" si="3873"/>
        <v>2.3724881923459677E-2</v>
      </c>
      <c r="CZ1298" s="177">
        <f t="shared" si="3874"/>
        <v>6.7122682943869583E-2</v>
      </c>
      <c r="DA1298" s="187">
        <f t="shared" si="3865"/>
        <v>0.84949374999999994</v>
      </c>
      <c r="DB1298" s="188">
        <f t="shared" si="3866"/>
        <v>1.3960631020522127</v>
      </c>
      <c r="DC1298" s="188">
        <f t="shared" si="3867"/>
        <v>0.29441923774954631</v>
      </c>
      <c r="DD1298" s="188">
        <f t="shared" si="3868"/>
        <v>0.76377954189366437</v>
      </c>
      <c r="DE1298" s="188">
        <f t="shared" si="3869"/>
        <v>0.31393465103033691</v>
      </c>
      <c r="DF1298" s="189">
        <f>INDEX('State Tax Lookup'!$D$7:$Z$91,MATCH(Calculation!$C1298,'State Tax Lookup'!$B$7:$B$91,0),MATCH($H1298,'State Tax Lookup'!$D$6:$Z$6,0))</f>
        <v>0.40134999999999998</v>
      </c>
      <c r="DG1298" s="189">
        <v>0.375</v>
      </c>
      <c r="DH1298" s="190">
        <f t="shared" si="3871"/>
        <v>22.424576363678089</v>
      </c>
      <c r="DI1298" s="190">
        <v>22.089178110957501</v>
      </c>
      <c r="DJ1298" s="177"/>
      <c r="DK1298" s="189">
        <f>VLOOKUP($H1298,RoR!$E:$F,2,FALSE)</f>
        <v>3.6733333333333333E-2</v>
      </c>
      <c r="DL1298" s="191">
        <f>HLOOKUP($H1298,'GDP-PI'!$D$8:$CQ$11,3,FALSE)</f>
        <v>1.924331376386168E-2</v>
      </c>
      <c r="DM1298" s="189">
        <f>VLOOKUP(H1298,'HW Dx Data'!$E:$F,2,FALSE)</f>
        <v>668.91932211262167</v>
      </c>
      <c r="DN1298" s="183">
        <f>VLOOKUP(H1298,'ECI - Input Price'!$G$17:$H$37,2,FALSE)</f>
        <v>116.5</v>
      </c>
      <c r="DO1298" s="177">
        <f t="shared" ref="DO1298" si="3911">LN(DN1298/DN1297)</f>
        <v>1.9064702204990347E-2</v>
      </c>
      <c r="DP1298" s="183">
        <f>HLOOKUP(H1298,'GDP-PI'!$8:$9,2,FALSE)</f>
        <v>100</v>
      </c>
      <c r="DQ1298" s="177">
        <f t="shared" ref="DQ1298" si="3912">LN(DP1298/DP1297)</f>
        <v>1.9060502738742411E-2</v>
      </c>
    </row>
    <row r="1299" spans="1:121" s="167" customFormat="1" ht="21" x14ac:dyDescent="0.35">
      <c r="A1299" s="167" t="s">
        <v>118</v>
      </c>
      <c r="B1299" s="167" t="s">
        <v>118</v>
      </c>
      <c r="C1299" s="167">
        <v>4008669</v>
      </c>
      <c r="D1299" s="168" t="s">
        <v>144</v>
      </c>
      <c r="E1299" s="168"/>
      <c r="F1299" s="198"/>
      <c r="G1299" s="167" t="s">
        <v>19</v>
      </c>
      <c r="H1299" s="169">
        <v>2013</v>
      </c>
      <c r="I1299" s="170"/>
      <c r="J1299" s="166">
        <f>IFERROR(INDEX('Labor Expenditures'!$F$7:$X$91,MATCH($C1299,'Labor Expenditures'!$D$7:$D$91,0),MATCH($G1299,'Labor Expenditures'!$F$5:$X$5,0)),"NA")</f>
        <v>9552.8849298259447</v>
      </c>
      <c r="K1299" s="166">
        <f t="shared" si="3877"/>
        <v>80.46228620615662</v>
      </c>
      <c r="L1299" s="172">
        <f t="shared" si="3884"/>
        <v>5.559269051935227E-2</v>
      </c>
      <c r="M1299" s="172">
        <f t="shared" si="3888"/>
        <v>2.3433735090828533E-4</v>
      </c>
      <c r="N1299" s="196"/>
      <c r="O1299" s="172"/>
      <c r="P1299" s="166">
        <f>IFERROR(INDEX('Non-Labor Expenditures'!$F$7:$AB$91,MATCH($C1299,'Non-Labor Expenditures'!$D$7:$D$91,0),MATCH($G1299,'Non-Labor Expenditures'!$F$5:$AB$5,0)),"NA")</f>
        <v>13834.36161117669</v>
      </c>
      <c r="Q1299" s="166">
        <f t="shared" si="3878"/>
        <v>135.93351489271899</v>
      </c>
      <c r="R1299" s="172">
        <f t="shared" si="3889"/>
        <v>5.6936654932271916E-2</v>
      </c>
      <c r="S1299" s="172">
        <f t="shared" si="3894"/>
        <v>2.4000250323849976E-4</v>
      </c>
      <c r="T1299" s="172"/>
      <c r="U1299" s="172"/>
      <c r="V1299" s="166">
        <f t="shared" si="3859"/>
        <v>23338.301509864701</v>
      </c>
      <c r="W1299" s="170"/>
      <c r="X1299" s="174">
        <v>1080.9726179045372</v>
      </c>
      <c r="Y1299" s="175">
        <v>1.987076993397479E-2</v>
      </c>
      <c r="Z1299" s="175">
        <f t="shared" si="3895"/>
        <v>8.3760356682407782E-5</v>
      </c>
      <c r="AA1299" s="175"/>
      <c r="AB1299" s="175"/>
      <c r="AC1299" s="170">
        <f t="shared" si="3845"/>
        <v>46725.548050867335</v>
      </c>
      <c r="AD1299" s="175">
        <f t="shared" si="3890"/>
        <v>3.420437615754858E-2</v>
      </c>
      <c r="AE1299" s="170"/>
      <c r="AF1299" s="170"/>
      <c r="AG1299" s="121">
        <f t="shared" si="3891"/>
        <v>256.58293229182476</v>
      </c>
      <c r="AH1299" s="119">
        <f>+AZ1299/$BB$51</f>
        <v>4.9972965650018249E-3</v>
      </c>
      <c r="AI1299" s="119"/>
      <c r="AJ1299" s="176">
        <f t="shared" si="3896"/>
        <v>1.2822210061800317</v>
      </c>
      <c r="AK1299" s="176">
        <f t="shared" si="3897"/>
        <v>0</v>
      </c>
      <c r="AL1299" s="120">
        <f t="shared" si="3879"/>
        <v>0.20444671765917619</v>
      </c>
      <c r="AM1299" s="120">
        <f t="shared" si="3880"/>
        <v>0.29607703255007389</v>
      </c>
      <c r="AN1299" s="120">
        <f t="shared" si="3881"/>
        <v>0.49947624979074989</v>
      </c>
      <c r="AO1299" s="120">
        <f t="shared" si="3885"/>
        <v>3.7787324750819862E-2</v>
      </c>
      <c r="AP1299" s="173">
        <f t="shared" si="3901"/>
        <v>110.1176176801516</v>
      </c>
      <c r="AQ1299" s="175">
        <f t="shared" si="3902"/>
        <v>3.7787324750819883E-2</v>
      </c>
      <c r="AR1299" s="177">
        <f>+AC1299/$AE$51</f>
        <v>4.2152547163859713E-3</v>
      </c>
      <c r="AS1299" s="177">
        <f t="shared" si="3898"/>
        <v>1.5928319887550187E-4</v>
      </c>
      <c r="AT1299" s="177"/>
      <c r="AU1299" s="177"/>
      <c r="AV1299" s="177"/>
      <c r="AW1299" s="190"/>
      <c r="AX1299" s="120"/>
      <c r="AY1299" s="120"/>
      <c r="AZ1299" s="118">
        <f>IFERROR(INDEX('Total Customers'!$F$7:$AB$91,MATCH($C1299,'Total Customers'!$D$7:$D$91,0),MATCH($G1299,'Total Customers'!$F$5:$AB$5,0)),"NA")</f>
        <v>182107</v>
      </c>
      <c r="BA1299" s="119">
        <f t="shared" si="3860"/>
        <v>9.3901029814119075E-3</v>
      </c>
      <c r="BB1299" s="119"/>
      <c r="BC1299" s="121"/>
      <c r="BD1299" s="119"/>
      <c r="BE1299" s="119"/>
      <c r="BF1299" s="119"/>
      <c r="BG1299" s="173"/>
      <c r="BH1299" s="173"/>
      <c r="BI1299" s="173"/>
      <c r="BJ1299" s="173"/>
      <c r="BK1299" s="173"/>
      <c r="BL1299" s="173"/>
      <c r="BM1299" s="173"/>
      <c r="BN1299" s="173"/>
      <c r="BO1299" s="173"/>
      <c r="BP1299" s="173"/>
      <c r="BQ1299" s="118"/>
      <c r="BR1299" s="118"/>
      <c r="BS1299" s="118">
        <f>INDEX('Dist. Plant Gas Additions'!$F$7:$AE$91,MATCH($C1299,'Dist. Plant Gas Additions'!$D$7:$D$91,0),MATCH(Calculation!$G1299,'Dist. Plant Gas Additions'!$F$5:$AE$5,0))</f>
        <v>19159</v>
      </c>
      <c r="BT1299" s="118">
        <f>INDEX('Gen. Plant Additions'!$F$7:$AE$91,MATCH($C1299,'Gen. Plant Additions'!$D$7:$D$91,0),MATCH(Calculation!$G1299,'Gen. Plant Additions'!$F$5:$AE$5,0))</f>
        <v>347</v>
      </c>
      <c r="BU1299" s="118"/>
      <c r="BV1299" s="118"/>
      <c r="BW1299" s="118">
        <f>INDEX('Dist Plant Depreciation'!$E$7:$AD$94,MATCH($C1299,'Dist Plant Depreciation'!$D$7:$D$94,0),MATCH(Calculation!$G1299,'Dist Plant Depreciation'!$E$5:$AD$5,0))</f>
        <v>212135</v>
      </c>
      <c r="BX1299" s="118">
        <f>INDEX('Gen. Plant Depreciation'!$E$7:$AD$94,MATCH($C1299,'Gen. Plant Depreciation'!$D$7:$D$94,0),MATCH(Calculation!$G1299,'Gen. Plant Depreciation'!$E$5:$AD$5,0))</f>
        <v>4858</v>
      </c>
      <c r="BY1299" s="118"/>
      <c r="BZ1299" s="118"/>
      <c r="CA1299" s="118"/>
      <c r="CB1299" s="118"/>
      <c r="CC1299" s="118"/>
      <c r="CD1299" s="183"/>
      <c r="CE1299" s="118">
        <f>INDEX('Gross Dx Plant'!$E$7:$AD$91,MATCH($C1299,'Gross Dx Plant'!$D$7:$D$91,0),MATCH(Calculation!$G1299,'Gross Dx Plant'!$E$5:$AD$5,0))</f>
        <v>445667</v>
      </c>
      <c r="CF1299" s="118">
        <f>INDEX('Gross Gen Plant'!$E$7:$AD$91,MATCH($C1299,'Gross Gen Plant'!$D$7:$D$91,0),MATCH(Calculation!$G1299,'Gross Gen Plant'!$E$5:$AD$5,0))</f>
        <v>7461</v>
      </c>
      <c r="CG1299" s="118">
        <f t="shared" si="3767"/>
        <v>236135</v>
      </c>
      <c r="CH1299" s="118"/>
      <c r="CI1299" s="121">
        <v>2013</v>
      </c>
      <c r="CJ1299" s="118"/>
      <c r="CK1299" s="118"/>
      <c r="CL1299" s="118"/>
      <c r="CM1299" s="183"/>
      <c r="CN1299" s="118">
        <f t="shared" si="3861"/>
        <v>19506</v>
      </c>
      <c r="CO1299" s="118">
        <f t="shared" si="3862"/>
        <v>29.40979554355917</v>
      </c>
      <c r="CP1299" s="186">
        <v>0.90566037735849059</v>
      </c>
      <c r="CQ1299" s="118">
        <f>+CQ1284*CP1299+CO1285*CP1298+CO1286*CP1297+CO1287*CP1296+CO1288*CP1295+CO1289*CP1294+CO1290*CP1293+CO1291*CP1292+CO1292*CP1291+CO1293*CP1290+CO1294*CP1289+CO1295*CP1288+CO1296*CP1287+CO1297*CP1286+CO1298*CP1285+CO1299</f>
        <v>1080.9726179045372</v>
      </c>
      <c r="CR1299" s="119">
        <f t="shared" si="3863"/>
        <v>1.987076993397479E-2</v>
      </c>
      <c r="CS1299" s="119"/>
      <c r="CT1299" s="177">
        <f t="shared" si="3864"/>
        <v>7.6833095294474166E-3</v>
      </c>
      <c r="CU1299" s="177">
        <f t="shared" si="3872"/>
        <v>7.4211919779697232E-3</v>
      </c>
      <c r="CV1299" s="119">
        <f>VLOOKUP($H1299,RoR!$E:$F,2,FALSE)</f>
        <v>4.2350000000000006E-2</v>
      </c>
      <c r="CW1299" s="177">
        <v>1.7730000000000024E-2</v>
      </c>
      <c r="CX1299" s="177">
        <f t="shared" si="3870"/>
        <v>2.4619999999999982E-2</v>
      </c>
      <c r="CY1299" s="177">
        <f t="shared" si="3873"/>
        <v>2.3480749630563902E-2</v>
      </c>
      <c r="CZ1299" s="177">
        <f t="shared" si="3874"/>
        <v>5.3376742735721204E-2</v>
      </c>
      <c r="DA1299" s="187">
        <f t="shared" si="3865"/>
        <v>0.84949374999999994</v>
      </c>
      <c r="DB1299" s="188">
        <f t="shared" si="3866"/>
        <v>1.2109103018193925</v>
      </c>
      <c r="DC1299" s="188">
        <f t="shared" si="3867"/>
        <v>0.38468122786304604</v>
      </c>
      <c r="DD1299" s="188">
        <f t="shared" si="3868"/>
        <v>0.80969194503422559</v>
      </c>
      <c r="DE1299" s="188">
        <f t="shared" si="3869"/>
        <v>0.37716621754800816</v>
      </c>
      <c r="DF1299" s="189">
        <f>INDEX('State Tax Lookup'!$D$7:$Z$91,MATCH(Calculation!$C1299,'State Tax Lookup'!$B$7:$B$91,0),MATCH($H1299,'State Tax Lookup'!$D$6:$Z$6,0))</f>
        <v>0.40134999999999998</v>
      </c>
      <c r="DG1299" s="189">
        <v>0.375</v>
      </c>
      <c r="DH1299" s="190">
        <f t="shared" si="3871"/>
        <v>22.023397578354931</v>
      </c>
      <c r="DI1299" s="190">
        <v>21.665345423809875</v>
      </c>
      <c r="DJ1299" s="177"/>
      <c r="DK1299" s="189">
        <f>VLOOKUP($H1299,RoR!$E:$F,2,FALSE)</f>
        <v>4.2350000000000006E-2</v>
      </c>
      <c r="DL1299" s="191">
        <f>HLOOKUP($H1299,'GDP-PI'!$D$8:$CQ$11,3,FALSE)</f>
        <v>1.7730000000000024E-2</v>
      </c>
      <c r="DM1299" s="189">
        <f>VLOOKUP(H1299,'HW Dx Data'!$E:$F,2,FALSE)</f>
        <v>663.24840548821396</v>
      </c>
      <c r="DN1299" s="183">
        <f>VLOOKUP(H1299,'ECI - Input Price'!$G$17:$H$37,2,FALSE)</f>
        <v>118.72499999999999</v>
      </c>
      <c r="DO1299" s="177">
        <f t="shared" ref="DO1299" si="3913">LN(DN1299/DN1298)</f>
        <v>1.8918621429430321E-2</v>
      </c>
      <c r="DP1299" s="183">
        <f>HLOOKUP(H1299,'GDP-PI'!$8:$9,2,FALSE)</f>
        <v>101.773</v>
      </c>
      <c r="DQ1299" s="177">
        <f t="shared" ref="DQ1299" si="3914">LN(DP1299/DP1298)</f>
        <v>1.7574657016510519E-2</v>
      </c>
    </row>
    <row r="1300" spans="1:121" s="167" customFormat="1" ht="21" x14ac:dyDescent="0.35">
      <c r="A1300" s="167" t="s">
        <v>118</v>
      </c>
      <c r="B1300" s="167" t="s">
        <v>118</v>
      </c>
      <c r="C1300" s="167">
        <v>4008669</v>
      </c>
      <c r="D1300" s="168" t="s">
        <v>144</v>
      </c>
      <c r="E1300" s="168"/>
      <c r="F1300" s="198"/>
      <c r="G1300" s="167" t="s">
        <v>20</v>
      </c>
      <c r="H1300" s="169">
        <v>2014</v>
      </c>
      <c r="I1300" s="170"/>
      <c r="J1300" s="166">
        <f>IFERROR(INDEX('Labor Expenditures'!$F$7:$X$91,MATCH($C1300,'Labor Expenditures'!$D$7:$D$91,0),MATCH($G1300,'Labor Expenditures'!$F$5:$X$5,0)),"NA")</f>
        <v>10689.028583694484</v>
      </c>
      <c r="K1300" s="166">
        <f t="shared" si="3877"/>
        <v>88.193305145994088</v>
      </c>
      <c r="L1300" s="172">
        <f t="shared" si="3884"/>
        <v>9.1742474444269043E-2</v>
      </c>
      <c r="M1300" s="172">
        <f t="shared" si="3888"/>
        <v>4.070360869784746E-4</v>
      </c>
      <c r="N1300" s="196"/>
      <c r="O1300" s="172"/>
      <c r="P1300" s="166">
        <f>IFERROR(INDEX('Non-Labor Expenditures'!$F$7:$AB$91,MATCH($C1300,'Non-Labor Expenditures'!$D$7:$D$91,0),MATCH($G1300,'Non-Labor Expenditures'!$F$5:$AB$5,0)),"NA")</f>
        <v>15479.709824341791</v>
      </c>
      <c r="Q1300" s="166">
        <f t="shared" si="3878"/>
        <v>149.35029305567735</v>
      </c>
      <c r="R1300" s="172">
        <f t="shared" si="3889"/>
        <v>9.4128601746041832E-2</v>
      </c>
      <c r="S1300" s="172">
        <f t="shared" si="3894"/>
        <v>4.1762267651434002E-4</v>
      </c>
      <c r="T1300" s="172"/>
      <c r="U1300" s="172"/>
      <c r="V1300" s="166">
        <f t="shared" si="3859"/>
        <v>24320.323405118223</v>
      </c>
      <c r="W1300" s="170"/>
      <c r="X1300" s="174">
        <v>1104.3900308200664</v>
      </c>
      <c r="Y1300" s="175">
        <v>2.1431966251232455E-2</v>
      </c>
      <c r="Z1300" s="175">
        <f t="shared" si="3895"/>
        <v>9.5087730432382404E-5</v>
      </c>
      <c r="AA1300" s="175"/>
      <c r="AB1300" s="175"/>
      <c r="AC1300" s="170">
        <f t="shared" si="3845"/>
        <v>50489.061813154498</v>
      </c>
      <c r="AD1300" s="175">
        <f t="shared" si="3890"/>
        <v>7.7465632502925624E-2</v>
      </c>
      <c r="AE1300" s="170"/>
      <c r="AF1300" s="170"/>
      <c r="AG1300" s="121">
        <f t="shared" si="3891"/>
        <v>274.66875829981012</v>
      </c>
      <c r="AH1300" s="119">
        <f>+AZ1300/$BB$52</f>
        <v>5.0171711162108395E-3</v>
      </c>
      <c r="AI1300" s="119"/>
      <c r="AJ1300" s="176">
        <f t="shared" si="3896"/>
        <v>1.3780601606673037</v>
      </c>
      <c r="AK1300" s="176">
        <f t="shared" si="3897"/>
        <v>0</v>
      </c>
      <c r="AL1300" s="120">
        <f t="shared" si="3879"/>
        <v>0.21170978821613889</v>
      </c>
      <c r="AM1300" s="120">
        <f t="shared" si="3880"/>
        <v>0.30659531527101347</v>
      </c>
      <c r="AN1300" s="120">
        <f t="shared" si="3881"/>
        <v>0.48169489651284764</v>
      </c>
      <c r="AO1300" s="120">
        <f t="shared" si="3885"/>
        <v>5.7968179955373643E-2</v>
      </c>
      <c r="AP1300" s="173">
        <f t="shared" si="3901"/>
        <v>116.68957762090598</v>
      </c>
      <c r="AQ1300" s="175">
        <f t="shared" si="3902"/>
        <v>5.7968179955373587E-2</v>
      </c>
      <c r="AR1300" s="177">
        <f>+AC1300/$AE$52</f>
        <v>4.4367245318387124E-3</v>
      </c>
      <c r="AS1300" s="177">
        <f t="shared" si="3898"/>
        <v>2.5718884607404713E-4</v>
      </c>
      <c r="AT1300" s="177"/>
      <c r="AU1300" s="177"/>
      <c r="AV1300" s="177"/>
      <c r="AW1300" s="190"/>
      <c r="AX1300" s="120"/>
      <c r="AY1300" s="120"/>
      <c r="AZ1300" s="118">
        <f>IFERROR(INDEX('Total Customers'!$F$7:$AB$91,MATCH($C1300,'Total Customers'!$D$7:$D$91,0),MATCH($G1300,'Total Customers'!$F$5:$AB$5,0)),"NA")</f>
        <v>183818</v>
      </c>
      <c r="BA1300" s="119">
        <f t="shared" si="3860"/>
        <v>9.3517112497719795E-3</v>
      </c>
      <c r="BB1300" s="119"/>
      <c r="BC1300" s="121"/>
      <c r="BD1300" s="119"/>
      <c r="BE1300" s="119"/>
      <c r="BF1300" s="119"/>
      <c r="BG1300" s="173"/>
      <c r="BH1300" s="173"/>
      <c r="BI1300" s="173"/>
      <c r="BJ1300" s="173"/>
      <c r="BK1300" s="173"/>
      <c r="BL1300" s="173"/>
      <c r="BM1300" s="173"/>
      <c r="BN1300" s="173"/>
      <c r="BO1300" s="173"/>
      <c r="BP1300" s="173"/>
      <c r="BQ1300" s="118"/>
      <c r="BR1300" s="118"/>
      <c r="BS1300" s="118">
        <f>INDEX('Dist. Plant Gas Additions'!$F$7:$AE$91,MATCH($C1300,'Dist. Plant Gas Additions'!$D$7:$D$91,0),MATCH(Calculation!$G1300,'Dist. Plant Gas Additions'!$F$5:$AE$5,0))</f>
        <v>21266</v>
      </c>
      <c r="BT1300" s="118">
        <f>INDEX('Gen. Plant Additions'!$F$7:$AE$91,MATCH($C1300,'Gen. Plant Additions'!$D$7:$D$91,0),MATCH(Calculation!$G1300,'Gen. Plant Additions'!$F$5:$AE$5,0))</f>
        <v>641</v>
      </c>
      <c r="BU1300" s="118"/>
      <c r="BV1300" s="118"/>
      <c r="BW1300" s="118">
        <f>INDEX('Dist Plant Depreciation'!$E$7:$AD$94,MATCH($C1300,'Dist Plant Depreciation'!$D$7:$D$94,0),MATCH(Calculation!$G1300,'Dist Plant Depreciation'!$E$5:$AD$5,0))</f>
        <v>219574</v>
      </c>
      <c r="BX1300" s="118">
        <f>INDEX('Gen. Plant Depreciation'!$E$7:$AD$94,MATCH($C1300,'Gen. Plant Depreciation'!$D$7:$D$94,0),MATCH(Calculation!$G1300,'Gen. Plant Depreciation'!$E$5:$AD$5,0))</f>
        <v>5152</v>
      </c>
      <c r="BY1300" s="118"/>
      <c r="BZ1300" s="118"/>
      <c r="CA1300" s="118"/>
      <c r="CB1300" s="118"/>
      <c r="CC1300" s="118"/>
      <c r="CD1300" s="183"/>
      <c r="CE1300" s="118">
        <f>INDEX('Gross Dx Plant'!$E$7:$AD$91,MATCH($C1300,'Gross Dx Plant'!$D$7:$D$91,0),MATCH(Calculation!$G1300,'Gross Dx Plant'!$E$5:$AD$5,0))</f>
        <v>464020</v>
      </c>
      <c r="CF1300" s="118">
        <f>INDEX('Gross Gen Plant'!$E$7:$AD$91,MATCH($C1300,'Gross Gen Plant'!$D$7:$D$91,0),MATCH(Calculation!$G1300,'Gross Gen Plant'!$E$5:$AD$5,0))</f>
        <v>8101</v>
      </c>
      <c r="CG1300" s="118">
        <f t="shared" si="3767"/>
        <v>247395</v>
      </c>
      <c r="CH1300" s="118"/>
      <c r="CI1300" s="121">
        <v>2014</v>
      </c>
      <c r="CJ1300" s="118"/>
      <c r="CK1300" s="118"/>
      <c r="CL1300" s="118"/>
      <c r="CM1300" s="183"/>
      <c r="CN1300" s="118">
        <f t="shared" si="3861"/>
        <v>21907</v>
      </c>
      <c r="CO1300" s="118">
        <f t="shared" si="3862"/>
        <v>32.005825578593175</v>
      </c>
      <c r="CP1300" s="186">
        <v>0.89743589743589747</v>
      </c>
      <c r="CQ1300" s="118">
        <f>+CQ1284*CP1300+CO1285*CP1299+CO1286*CP1298+CO1287*CP1297+CO1288*CP1296+CO1289*CP1295+CO1290*CP1294+CO1291*CP1293+CO1292*CP1292+CO1293*CP1291+CO1294*CP1290+CO1295*CP1289+CO1296*CP1288+CO1297*CP1287+CO1298*CP1286+CO1299*CP1285+CO1300</f>
        <v>1104.3900308200664</v>
      </c>
      <c r="CR1300" s="119">
        <f t="shared" si="3863"/>
        <v>2.1431966251232455E-2</v>
      </c>
      <c r="CS1300" s="119"/>
      <c r="CT1300" s="177">
        <f t="shared" si="3864"/>
        <v>7.9450788306854436E-3</v>
      </c>
      <c r="CU1300" s="177">
        <f t="shared" si="3872"/>
        <v>7.6808559109352616E-3</v>
      </c>
      <c r="CV1300" s="119">
        <f>VLOOKUP($H1300,RoR!$E:$F,2,FALSE)</f>
        <v>4.1625000000000002E-2</v>
      </c>
      <c r="CW1300" s="177">
        <v>1.841352814597208E-2</v>
      </c>
      <c r="CX1300" s="177">
        <f t="shared" si="3870"/>
        <v>2.3211471854027922E-2</v>
      </c>
      <c r="CY1300" s="177">
        <f t="shared" si="3873"/>
        <v>2.3221085697598363E-2</v>
      </c>
      <c r="CZ1300" s="177">
        <f t="shared" si="3874"/>
        <v>3.9072621432650924E-2</v>
      </c>
      <c r="DA1300" s="187">
        <f t="shared" si="3865"/>
        <v>0.84949374999999994</v>
      </c>
      <c r="DB1300" s="188">
        <f t="shared" si="3866"/>
        <v>1.2320012320012319</v>
      </c>
      <c r="DC1300" s="188">
        <f t="shared" si="3867"/>
        <v>0.37439939939939942</v>
      </c>
      <c r="DD1300" s="188">
        <f t="shared" si="3868"/>
        <v>0.80432100613819935</v>
      </c>
      <c r="DE1300" s="188">
        <f t="shared" si="3869"/>
        <v>0.37100152660040037</v>
      </c>
      <c r="DF1300" s="189">
        <f>INDEX('State Tax Lookup'!$D$7:$Z$91,MATCH(Calculation!$C1300,'State Tax Lookup'!$B$7:$B$91,0),MATCH($H1300,'State Tax Lookup'!$D$6:$Z$6,0))</f>
        <v>0.40134999999999998</v>
      </c>
      <c r="DG1300" s="189">
        <v>0.375</v>
      </c>
      <c r="DH1300" s="190">
        <f t="shared" si="3871"/>
        <v>22.498556394761518</v>
      </c>
      <c r="DI1300" s="190">
        <v>22.115751511926103</v>
      </c>
      <c r="DJ1300" s="177"/>
      <c r="DK1300" s="189">
        <f>VLOOKUP($H1300,RoR!$E:$F,2,FALSE)</f>
        <v>4.1625000000000002E-2</v>
      </c>
      <c r="DL1300" s="191">
        <f>HLOOKUP($H1300,'GDP-PI'!$D$8:$CQ$11,3,FALSE)</f>
        <v>1.841352814597208E-2</v>
      </c>
      <c r="DM1300" s="189">
        <f>VLOOKUP(H1300,'HW Dx Data'!$E:$F,2,FALSE)</f>
        <v>684.46914285042885</v>
      </c>
      <c r="DN1300" s="183">
        <f>VLOOKUP(H1300,'ECI - Input Price'!$G$17:$H$37,2,FALSE)</f>
        <v>121.2</v>
      </c>
      <c r="DO1300" s="177">
        <f t="shared" ref="DO1300" si="3915">LN(DN1300/DN1299)</f>
        <v>2.0632179200028689E-2</v>
      </c>
      <c r="DP1300" s="183">
        <f>HLOOKUP(H1300,'GDP-PI'!$8:$9,2,FALSE)</f>
        <v>103.64700000000001</v>
      </c>
      <c r="DQ1300" s="177">
        <f t="shared" ref="DQ1300" si="3916">LN(DP1300/DP1299)</f>
        <v>1.8246051898256087E-2</v>
      </c>
    </row>
    <row r="1301" spans="1:121" s="167" customFormat="1" ht="21" x14ac:dyDescent="0.35">
      <c r="A1301" s="167" t="s">
        <v>118</v>
      </c>
      <c r="B1301" s="167" t="s">
        <v>118</v>
      </c>
      <c r="C1301" s="167">
        <v>4008669</v>
      </c>
      <c r="D1301" s="168" t="s">
        <v>144</v>
      </c>
      <c r="E1301" s="168"/>
      <c r="F1301" s="198"/>
      <c r="G1301" s="167" t="s">
        <v>21</v>
      </c>
      <c r="H1301" s="169">
        <v>2015</v>
      </c>
      <c r="I1301" s="170"/>
      <c r="J1301" s="166">
        <f>IFERROR(INDEX('Labor Expenditures'!$F$7:$X$91,MATCH($C1301,'Labor Expenditures'!$D$7:$D$91,0),MATCH($G1301,'Labor Expenditures'!$F$5:$X$5,0)),"NA")</f>
        <v>11680.247909899137</v>
      </c>
      <c r="K1301" s="166">
        <f t="shared" si="3877"/>
        <v>94.385841696154642</v>
      </c>
      <c r="L1301" s="172">
        <f t="shared" si="3884"/>
        <v>6.7860025113194986E-2</v>
      </c>
      <c r="M1301" s="172">
        <f t="shared" si="3888"/>
        <v>3.1226690687095161E-4</v>
      </c>
      <c r="N1301" s="196"/>
      <c r="O1301" s="172"/>
      <c r="P1301" s="166">
        <f>IFERROR(INDEX('Non-Labor Expenditures'!$F$7:$AB$91,MATCH($C1301,'Non-Labor Expenditures'!$D$7:$D$91,0),MATCH($G1301,'Non-Labor Expenditures'!$F$5:$AB$5,0)),"NA")</f>
        <v>16915.180542918941</v>
      </c>
      <c r="Q1301" s="166">
        <f t="shared" si="3878"/>
        <v>161.65273505021017</v>
      </c>
      <c r="R1301" s="172">
        <f t="shared" si="3889"/>
        <v>7.9155916741337581E-2</v>
      </c>
      <c r="S1301" s="172">
        <f t="shared" si="3894"/>
        <v>3.6424645054464964E-4</v>
      </c>
      <c r="T1301" s="172"/>
      <c r="U1301" s="172"/>
      <c r="V1301" s="166">
        <f t="shared" si="3859"/>
        <v>24299.133757602551</v>
      </c>
      <c r="W1301" s="170"/>
      <c r="X1301" s="174">
        <v>1146.517264287995</v>
      </c>
      <c r="Y1301" s="175">
        <v>3.7435707206852541E-2</v>
      </c>
      <c r="Z1301" s="175">
        <f t="shared" si="3895"/>
        <v>1.7226537238250144E-4</v>
      </c>
      <c r="AA1301" s="175"/>
      <c r="AB1301" s="175"/>
      <c r="AC1301" s="170">
        <f t="shared" si="3845"/>
        <v>52894.562210420627</v>
      </c>
      <c r="AD1301" s="175">
        <f t="shared" si="3890"/>
        <v>4.6543824765435428E-2</v>
      </c>
      <c r="AE1301" s="170"/>
      <c r="AF1301" s="170"/>
      <c r="AG1301" s="121">
        <f t="shared" si="3891"/>
        <v>285.16894741041392</v>
      </c>
      <c r="AH1301" s="119">
        <f>+AZ1301/$BB$53</f>
        <v>5.0216216359742121E-3</v>
      </c>
      <c r="AI1301" s="119"/>
      <c r="AJ1301" s="176">
        <f t="shared" si="3896"/>
        <v>1.4320105562241268</v>
      </c>
      <c r="AK1301" s="176">
        <f t="shared" si="3897"/>
        <v>0</v>
      </c>
      <c r="AL1301" s="120">
        <f t="shared" si="3879"/>
        <v>0.22082133629225956</v>
      </c>
      <c r="AM1301" s="120">
        <f t="shared" si="3880"/>
        <v>0.31979053868767104</v>
      </c>
      <c r="AN1301" s="120">
        <f t="shared" si="3881"/>
        <v>0.45938812502006943</v>
      </c>
      <c r="AO1301" s="120">
        <f t="shared" si="3885"/>
        <v>5.7081913963365025E-2</v>
      </c>
      <c r="AP1301" s="173">
        <f t="shared" si="3901"/>
        <v>123.5442189431201</v>
      </c>
      <c r="AQ1301" s="175">
        <f t="shared" si="3902"/>
        <v>5.7081913963365039E-2</v>
      </c>
      <c r="AR1301" s="177">
        <f>+AC1301/$AE$53</f>
        <v>4.601632645288148E-3</v>
      </c>
      <c r="AS1301" s="177">
        <f t="shared" si="3898"/>
        <v>2.6266999874934992E-4</v>
      </c>
      <c r="AT1301" s="177"/>
      <c r="AU1301" s="177"/>
      <c r="AV1301" s="177"/>
      <c r="AW1301" s="190"/>
      <c r="AX1301" s="120"/>
      <c r="AY1301" s="120"/>
      <c r="AZ1301" s="118">
        <f>IFERROR(INDEX('Total Customers'!$F$7:$AB$91,MATCH($C1301,'Total Customers'!$D$7:$D$91,0),MATCH($G1301,'Total Customers'!$F$5:$AB$5,0)),"NA")</f>
        <v>185485</v>
      </c>
      <c r="BA1301" s="119">
        <f t="shared" si="3860"/>
        <v>9.0278785823727312E-3</v>
      </c>
      <c r="BB1301" s="119"/>
      <c r="BC1301" s="121"/>
      <c r="BD1301" s="119"/>
      <c r="BE1301" s="119"/>
      <c r="BF1301" s="119"/>
      <c r="BG1301" s="173"/>
      <c r="BH1301" s="173"/>
      <c r="BI1301" s="173"/>
      <c r="BJ1301" s="173"/>
      <c r="BK1301" s="173"/>
      <c r="BL1301" s="173"/>
      <c r="BM1301" s="173"/>
      <c r="BN1301" s="173"/>
      <c r="BO1301" s="173"/>
      <c r="BP1301" s="173"/>
      <c r="BQ1301" s="118"/>
      <c r="BR1301" s="118"/>
      <c r="BS1301" s="118">
        <f>INDEX('Dist. Plant Gas Additions'!$F$7:$AE$91,MATCH($C1301,'Dist. Plant Gas Additions'!$D$7:$D$91,0),MATCH(Calculation!$G1301,'Dist. Plant Gas Additions'!$F$5:$AE$5,0))</f>
        <v>33675</v>
      </c>
      <c r="BT1301" s="118">
        <f>INDEX('Gen. Plant Additions'!$F$7:$AE$91,MATCH($C1301,'Gen. Plant Additions'!$D$7:$D$91,0),MATCH(Calculation!$G1301,'Gen. Plant Additions'!$F$5:$AE$5,0))</f>
        <v>914</v>
      </c>
      <c r="BU1301" s="118"/>
      <c r="BV1301" s="118"/>
      <c r="BW1301" s="118">
        <f>INDEX('Dist Plant Depreciation'!$E$7:$AD$94,MATCH($C1301,'Dist Plant Depreciation'!$D$7:$D$94,0),MATCH(Calculation!$G1301,'Dist Plant Depreciation'!$E$5:$AD$5,0))</f>
        <v>226706</v>
      </c>
      <c r="BX1301" s="118">
        <f>INDEX('Gen. Plant Depreciation'!$E$7:$AD$94,MATCH($C1301,'Gen. Plant Depreciation'!$D$7:$D$94,0),MATCH(Calculation!$G1301,'Gen. Plant Depreciation'!$E$5:$AD$5,0))</f>
        <v>5296</v>
      </c>
      <c r="BY1301" s="118"/>
      <c r="BZ1301" s="118"/>
      <c r="CA1301" s="118"/>
      <c r="CB1301" s="118"/>
      <c r="CC1301" s="118"/>
      <c r="CD1301" s="183"/>
      <c r="CE1301" s="118">
        <f>INDEX('Gross Dx Plant'!$E$7:$AD$91,MATCH($C1301,'Gross Dx Plant'!$D$7:$D$91,0),MATCH(Calculation!$G1301,'Gross Dx Plant'!$E$5:$AD$5,0))</f>
        <v>494197</v>
      </c>
      <c r="CF1301" s="118">
        <f>INDEX('Gross Gen Plant'!$E$7:$AD$91,MATCH($C1301,'Gross Gen Plant'!$D$7:$D$91,0),MATCH(Calculation!$G1301,'Gross Gen Plant'!$E$5:$AD$5,0))</f>
        <v>8868</v>
      </c>
      <c r="CG1301" s="118">
        <f t="shared" si="3767"/>
        <v>271063</v>
      </c>
      <c r="CH1301" s="118"/>
      <c r="CI1301" s="121">
        <v>2015</v>
      </c>
      <c r="CJ1301" s="118"/>
      <c r="CK1301" s="118"/>
      <c r="CL1301" s="118"/>
      <c r="CM1301" s="183"/>
      <c r="CN1301" s="118">
        <f t="shared" si="3861"/>
        <v>34589</v>
      </c>
      <c r="CO1301" s="118">
        <f t="shared" si="3862"/>
        <v>51.196345233042692</v>
      </c>
      <c r="CP1301" s="186">
        <v>0.88888888888888884</v>
      </c>
      <c r="CQ1301" s="118">
        <f>+CQ1284*CP1301+CO1285*CP1300+CO1286*CP1299+CO1287*CP1298+CO1288*CP1297+CO1289*CP1296+CO1290*CP1295+CO1291*CP1294+CO1292*CP1293+CO1293*CP1292+CO1294*CP1291+CO1295*CP1290+CO1296*CP1289+CO1297*CP1288+CO1298*CP1287+CO1299*CP1286+CO1300*CP1285+CO1301</f>
        <v>1146.517264287995</v>
      </c>
      <c r="CR1301" s="119">
        <f t="shared" si="3863"/>
        <v>3.7435707206852541E-2</v>
      </c>
      <c r="CS1301" s="119"/>
      <c r="CT1301" s="177">
        <f t="shared" si="3864"/>
        <v>8.211873986565978E-3</v>
      </c>
      <c r="CU1301" s="177">
        <f t="shared" si="3872"/>
        <v>7.9467541155662791E-3</v>
      </c>
      <c r="CV1301" s="119">
        <f>VLOOKUP($H1301,RoR!$E:$F,2,FALSE)</f>
        <v>3.8866666666666674E-2</v>
      </c>
      <c r="CW1301" s="177">
        <v>9.5709475431029478E-3</v>
      </c>
      <c r="CX1301" s="177">
        <f t="shared" si="3870"/>
        <v>2.9295719123563727E-2</v>
      </c>
      <c r="CY1301" s="177">
        <f t="shared" si="3873"/>
        <v>2.2955187492967346E-2</v>
      </c>
      <c r="CZ1301" s="177">
        <f t="shared" si="3874"/>
        <v>3.5270373279175926E-3</v>
      </c>
      <c r="DA1301" s="187">
        <f t="shared" si="3865"/>
        <v>0.84949374999999994</v>
      </c>
      <c r="DB1301" s="188">
        <f t="shared" si="3866"/>
        <v>1.3194352816994324</v>
      </c>
      <c r="DC1301" s="188">
        <f t="shared" si="3867"/>
        <v>0.33177530017152673</v>
      </c>
      <c r="DD1301" s="188">
        <f t="shared" si="3868"/>
        <v>0.78242572977668579</v>
      </c>
      <c r="DE1301" s="188">
        <f t="shared" si="3869"/>
        <v>0.34251158643433932</v>
      </c>
      <c r="DF1301" s="189">
        <f>INDEX('State Tax Lookup'!$D$7:$Z$91,MATCH(Calculation!$C1301,'State Tax Lookup'!$B$7:$B$91,0),MATCH($H1301,'State Tax Lookup'!$D$6:$Z$6,0))</f>
        <v>0.40134999999999998</v>
      </c>
      <c r="DG1301" s="189">
        <v>0.375</v>
      </c>
      <c r="DH1301" s="190">
        <f t="shared" si="3871"/>
        <v>22.002311755348963</v>
      </c>
      <c r="DI1301" s="190">
        <v>21.5971400167101</v>
      </c>
      <c r="DJ1301" s="177"/>
      <c r="DK1301" s="189">
        <f>VLOOKUP($H1301,RoR!$E:$F,2,FALSE)</f>
        <v>3.8866666666666674E-2</v>
      </c>
      <c r="DL1301" s="191">
        <f>HLOOKUP($H1301,'GDP-PI'!$D$8:$CQ$11,3,FALSE)</f>
        <v>9.5709475431029478E-3</v>
      </c>
      <c r="DM1301" s="189">
        <f>VLOOKUP(H1301,'HW Dx Data'!$E:$F,2,FALSE)</f>
        <v>675.61463308665782</v>
      </c>
      <c r="DN1301" s="183">
        <f>VLOOKUP(H1301,'ECI - Input Price'!$G$17:$H$37,2,FALSE)</f>
        <v>123.75</v>
      </c>
      <c r="DO1301" s="177">
        <f t="shared" ref="DO1301" si="3917">LN(DN1301/DN1300)</f>
        <v>2.0821327813585516E-2</v>
      </c>
      <c r="DP1301" s="183">
        <f>HLOOKUP(H1301,'GDP-PI'!$8:$9,2,FALSE)</f>
        <v>104.639</v>
      </c>
      <c r="DQ1301" s="177">
        <f t="shared" ref="DQ1301" si="3918">LN(DP1301/DP1300)</f>
        <v>9.5254361854427965E-3</v>
      </c>
    </row>
    <row r="1302" spans="1:121" s="167" customFormat="1" ht="21" x14ac:dyDescent="0.35">
      <c r="A1302" s="167" t="s">
        <v>118</v>
      </c>
      <c r="B1302" s="167" t="s">
        <v>118</v>
      </c>
      <c r="C1302" s="167">
        <v>4008669</v>
      </c>
      <c r="D1302" s="168" t="s">
        <v>144</v>
      </c>
      <c r="E1302" s="168"/>
      <c r="F1302" s="198"/>
      <c r="G1302" s="167" t="s">
        <v>22</v>
      </c>
      <c r="H1302" s="169">
        <v>2016</v>
      </c>
      <c r="I1302" s="170"/>
      <c r="J1302" s="166">
        <f>IFERROR(INDEX('Labor Expenditures'!$F$7:$X$91,MATCH($C1302,'Labor Expenditures'!$D$7:$D$91,0),MATCH($G1302,'Labor Expenditures'!$F$5:$X$5,0)),"NA")</f>
        <v>11571.493549309196</v>
      </c>
      <c r="K1302" s="166">
        <f t="shared" si="3877"/>
        <v>91.546626181243639</v>
      </c>
      <c r="L1302" s="172">
        <f t="shared" si="3884"/>
        <v>-3.0542661627626116E-2</v>
      </c>
      <c r="M1302" s="172">
        <f t="shared" si="3888"/>
        <v>-1.3637707686819879E-4</v>
      </c>
      <c r="N1302" s="196"/>
      <c r="O1302" s="172"/>
      <c r="P1302" s="166">
        <f>IFERROR(INDEX('Non-Labor Expenditures'!$F$7:$AB$91,MATCH($C1302,'Non-Labor Expenditures'!$D$7:$D$91,0),MATCH($G1302,'Non-Labor Expenditures'!$F$5:$AB$5,0)),"NA")</f>
        <v>16757.683916272043</v>
      </c>
      <c r="Q1302" s="166">
        <f t="shared" si="3878"/>
        <v>158.48607774336122</v>
      </c>
      <c r="R1302" s="172">
        <f t="shared" si="3889"/>
        <v>-1.9783671730874003E-2</v>
      </c>
      <c r="S1302" s="172">
        <f t="shared" si="3894"/>
        <v>-8.8336745280123669E-5</v>
      </c>
      <c r="T1302" s="172"/>
      <c r="U1302" s="172"/>
      <c r="V1302" s="166">
        <f t="shared" si="3859"/>
        <v>24796.477741785569</v>
      </c>
      <c r="W1302" s="170"/>
      <c r="X1302" s="174">
        <v>1214.9788264150322</v>
      </c>
      <c r="Y1302" s="175">
        <v>5.7997768365500253E-2</v>
      </c>
      <c r="Z1302" s="175">
        <f t="shared" si="3895"/>
        <v>2.5896780742289799E-4</v>
      </c>
      <c r="AA1302" s="175"/>
      <c r="AB1302" s="175"/>
      <c r="AC1302" s="170">
        <f t="shared" si="3845"/>
        <v>53125.655207366814</v>
      </c>
      <c r="AD1302" s="175">
        <f t="shared" si="3890"/>
        <v>4.359420656915856E-3</v>
      </c>
      <c r="AE1302" s="170"/>
      <c r="AF1302" s="170"/>
      <c r="AG1302" s="121">
        <f t="shared" si="3891"/>
        <v>285.00123498493502</v>
      </c>
      <c r="AH1302" s="119">
        <f>+AZ1302/$BB$54</f>
        <v>5.0029256378861546E-3</v>
      </c>
      <c r="AI1302" s="119"/>
      <c r="AJ1302" s="176">
        <f t="shared" si="3896"/>
        <v>1.4258399853353478</v>
      </c>
      <c r="AK1302" s="176">
        <f t="shared" si="3897"/>
        <v>0</v>
      </c>
      <c r="AL1302" s="120">
        <f t="shared" si="3879"/>
        <v>0.21781366279892211</v>
      </c>
      <c r="AM1302" s="120">
        <f t="shared" si="3880"/>
        <v>0.31543486571339818</v>
      </c>
      <c r="AN1302" s="120">
        <f t="shared" si="3881"/>
        <v>0.46675147148767959</v>
      </c>
      <c r="AO1302" s="120">
        <f t="shared" si="3885"/>
        <v>1.3874929280657903E-2</v>
      </c>
      <c r="AP1302" s="173">
        <f t="shared" si="3901"/>
        <v>125.27033341044289</v>
      </c>
      <c r="AQ1302" s="175">
        <f t="shared" si="3902"/>
        <v>1.3874929280657833E-2</v>
      </c>
      <c r="AR1302" s="177">
        <f>+AC1302/$AE$54</f>
        <v>4.4651339994823663E-3</v>
      </c>
      <c r="AS1302" s="177">
        <f t="shared" si="3898"/>
        <v>6.1953418471478696E-5</v>
      </c>
      <c r="AT1302" s="177"/>
      <c r="AU1302" s="177"/>
      <c r="AV1302" s="177"/>
      <c r="AW1302" s="190"/>
      <c r="AX1302" s="120"/>
      <c r="AY1302" s="120"/>
      <c r="AZ1302" s="118">
        <f>IFERROR(INDEX('Total Customers'!$F$7:$AB$91,MATCH($C1302,'Total Customers'!$D$7:$D$91,0),MATCH($G1302,'Total Customers'!$F$5:$AB$5,0)),"NA")</f>
        <v>186405</v>
      </c>
      <c r="BA1302" s="119">
        <f t="shared" si="3860"/>
        <v>4.9477096818213622E-3</v>
      </c>
      <c r="BB1302" s="119"/>
      <c r="BC1302" s="121"/>
      <c r="BD1302" s="119"/>
      <c r="BE1302" s="119"/>
      <c r="BF1302" s="119"/>
      <c r="BG1302" s="173"/>
      <c r="BH1302" s="173"/>
      <c r="BI1302" s="173"/>
      <c r="BJ1302" s="173"/>
      <c r="BK1302" s="173"/>
      <c r="BL1302" s="173"/>
      <c r="BM1302" s="173"/>
      <c r="BN1302" s="173"/>
      <c r="BO1302" s="173"/>
      <c r="BP1302" s="173"/>
      <c r="BQ1302" s="118"/>
      <c r="BR1302" s="118"/>
      <c r="BS1302" s="118">
        <f>INDEX('Dist. Plant Gas Additions'!$F$7:$AE$91,MATCH($C1302,'Dist. Plant Gas Additions'!$D$7:$D$91,0),MATCH(Calculation!$G1302,'Dist. Plant Gas Additions'!$F$5:$AE$5,0))</f>
        <v>48571</v>
      </c>
      <c r="BT1302" s="118">
        <f>INDEX('Gen. Plant Additions'!$F$7:$AE$91,MATCH($C1302,'Gen. Plant Additions'!$D$7:$D$91,0),MATCH(Calculation!$G1302,'Gen. Plant Additions'!$F$5:$AE$5,0))</f>
        <v>3890</v>
      </c>
      <c r="BU1302" s="118"/>
      <c r="BV1302" s="118"/>
      <c r="BW1302" s="118">
        <f>INDEX('Dist Plant Depreciation'!$E$7:$AD$94,MATCH($C1302,'Dist Plant Depreciation'!$D$7:$D$94,0),MATCH(Calculation!$G1302,'Dist Plant Depreciation'!$E$5:$AD$5,0))</f>
        <v>232253</v>
      </c>
      <c r="BX1302" s="118">
        <f>INDEX('Gen. Plant Depreciation'!$E$7:$AD$94,MATCH($C1302,'Gen. Plant Depreciation'!$D$7:$D$94,0),MATCH(Calculation!$G1302,'Gen. Plant Depreciation'!$E$5:$AD$5,0))</f>
        <v>5544</v>
      </c>
      <c r="BY1302" s="118"/>
      <c r="BZ1302" s="118"/>
      <c r="CA1302" s="118"/>
      <c r="CB1302" s="118"/>
      <c r="CC1302" s="118"/>
      <c r="CD1302" s="183"/>
      <c r="CE1302" s="118">
        <f>INDEX('Gross Dx Plant'!$E$7:$AD$91,MATCH($C1302,'Gross Dx Plant'!$D$7:$D$91,0),MATCH(Calculation!$G1302,'Gross Dx Plant'!$E$5:$AD$5,0))</f>
        <v>537142</v>
      </c>
      <c r="CF1302" s="118">
        <f>INDEX('Gross Gen Plant'!$E$7:$AD$91,MATCH($C1302,'Gross Gen Plant'!$D$7:$D$91,0),MATCH(Calculation!$G1302,'Gross Gen Plant'!$E$5:$AD$5,0))</f>
        <v>12608</v>
      </c>
      <c r="CG1302" s="118">
        <f t="shared" si="3767"/>
        <v>311953</v>
      </c>
      <c r="CH1302" s="118"/>
      <c r="CI1302" s="121">
        <v>2016</v>
      </c>
      <c r="CJ1302" s="118"/>
      <c r="CK1302" s="118"/>
      <c r="CL1302" s="118"/>
      <c r="CM1302" s="183"/>
      <c r="CN1302" s="118">
        <f t="shared" si="3861"/>
        <v>52461</v>
      </c>
      <c r="CO1302" s="118">
        <f t="shared" si="3862"/>
        <v>78.13016672376898</v>
      </c>
      <c r="CP1302" s="186">
        <v>0.88</v>
      </c>
      <c r="CQ1302" s="118">
        <f>+CQ1284*CP1302+CO1285*CP1301+CO1286*CP1300+CO1287*CP1299+CO1288*CP1298+CO1289*CP1297+CO1290*CP1296+CO1291*CP1295+CO1292*CP1294+CO1293*CP1293+CO1294*CP1292+CO1295*CP1291+CO1296*CP1290+CO1297*CP1289+CO1298*CP1288+CO1299*CP1287+CO1300*CP1286+CO1301*CP1285+CO1302</f>
        <v>1214.9788264150322</v>
      </c>
      <c r="CR1302" s="119">
        <f t="shared" si="3863"/>
        <v>5.7997768365500253E-2</v>
      </c>
      <c r="CS1302" s="119"/>
      <c r="CT1302" s="177">
        <f t="shared" si="3864"/>
        <v>8.4330213751609446E-3</v>
      </c>
      <c r="CU1302" s="177">
        <f t="shared" si="3872"/>
        <v>8.1966580641374548E-3</v>
      </c>
      <c r="CV1302" s="119">
        <f>VLOOKUP($H1302,RoR!$E:$F,2,FALSE)</f>
        <v>3.6658333333333334E-2</v>
      </c>
      <c r="CW1302" s="177">
        <v>1.0483662879041455E-2</v>
      </c>
      <c r="CX1302" s="177">
        <f t="shared" si="3870"/>
        <v>2.6174670454291879E-2</v>
      </c>
      <c r="CY1302" s="177">
        <f t="shared" si="3873"/>
        <v>2.270528354439617E-2</v>
      </c>
      <c r="CZ1302" s="177">
        <f t="shared" si="3874"/>
        <v>4.301363574220729E-3</v>
      </c>
      <c r="DA1302" s="187">
        <f t="shared" si="3865"/>
        <v>0.84949374999999994</v>
      </c>
      <c r="DB1302" s="188">
        <f t="shared" si="3866"/>
        <v>1.3989193348138562</v>
      </c>
      <c r="DC1302" s="188">
        <f t="shared" si="3867"/>
        <v>0.29302682427824522</v>
      </c>
      <c r="DD1302" s="188">
        <f t="shared" si="3868"/>
        <v>0.76309497491941802</v>
      </c>
      <c r="DE1302" s="188">
        <f t="shared" si="3869"/>
        <v>0.31280857135128509</v>
      </c>
      <c r="DF1302" s="189">
        <f>INDEX('State Tax Lookup'!$D$7:$Z$91,MATCH(Calculation!$C1302,'State Tax Lookup'!$B$7:$B$91,0),MATCH($H1302,'State Tax Lookup'!$D$6:$Z$6,0))</f>
        <v>0.40134999999999998</v>
      </c>
      <c r="DG1302" s="189">
        <v>0.375</v>
      </c>
      <c r="DH1302" s="190">
        <f t="shared" si="3871"/>
        <v>21.627653166814341</v>
      </c>
      <c r="DI1302" s="190">
        <v>21.228297135670626</v>
      </c>
      <c r="DJ1302" s="177"/>
      <c r="DK1302" s="189">
        <f>VLOOKUP($H1302,RoR!$E:$F,2,FALSE)</f>
        <v>3.6658333333333334E-2</v>
      </c>
      <c r="DL1302" s="191">
        <f>HLOOKUP($H1302,'GDP-PI'!$D$8:$CQ$11,3,FALSE)</f>
        <v>1.0483662879041455E-2</v>
      </c>
      <c r="DM1302" s="189">
        <f>VLOOKUP(H1302,'HW Dx Data'!$E:$F,2,FALSE)</f>
        <v>671.45639385971219</v>
      </c>
      <c r="DN1302" s="183">
        <f>VLOOKUP(H1302,'ECI - Input Price'!$G$17:$H$37,2,FALSE)</f>
        <v>126.4</v>
      </c>
      <c r="DO1302" s="177">
        <f t="shared" ref="DO1302" si="3919">LN(DN1302/DN1301)</f>
        <v>2.11880802639575E-2</v>
      </c>
      <c r="DP1302" s="183">
        <f>HLOOKUP(H1302,'GDP-PI'!$8:$9,2,FALSE)</f>
        <v>105.736</v>
      </c>
      <c r="DQ1302" s="177">
        <f t="shared" ref="DQ1302" si="3920">LN(DP1302/DP1301)</f>
        <v>1.0429090367205095E-2</v>
      </c>
    </row>
    <row r="1303" spans="1:121" s="167" customFormat="1" ht="21" x14ac:dyDescent="0.35">
      <c r="A1303" s="167" t="s">
        <v>118</v>
      </c>
      <c r="B1303" s="167" t="s">
        <v>118</v>
      </c>
      <c r="C1303" s="167">
        <v>4008669</v>
      </c>
      <c r="D1303" s="168" t="s">
        <v>144</v>
      </c>
      <c r="E1303" s="168"/>
      <c r="F1303" s="198"/>
      <c r="G1303" s="167" t="s">
        <v>23</v>
      </c>
      <c r="H1303" s="169">
        <v>2017</v>
      </c>
      <c r="I1303" s="170"/>
      <c r="J1303" s="166">
        <f>IFERROR(INDEX('Labor Expenditures'!$F$7:$X$91,MATCH($C1303,'Labor Expenditures'!$D$7:$D$91,0),MATCH($G1303,'Labor Expenditures'!$F$5:$X$5,0)),"NA")</f>
        <v>11834.48054413148</v>
      </c>
      <c r="K1303" s="166">
        <f t="shared" si="3877"/>
        <v>91.385950147733439</v>
      </c>
      <c r="L1303" s="172">
        <f t="shared" si="3884"/>
        <v>-1.756669895035862E-3</v>
      </c>
      <c r="M1303" s="172">
        <f t="shared" si="3888"/>
        <v>-7.8180215881348243E-6</v>
      </c>
      <c r="N1303" s="196"/>
      <c r="O1303" s="172"/>
      <c r="P1303" s="166">
        <f>IFERROR(INDEX('Non-Labor Expenditures'!$F$7:$AB$91,MATCH($C1303,'Non-Labor Expenditures'!$D$7:$D$91,0),MATCH($G1303,'Non-Labor Expenditures'!$F$5:$AB$5,0)),"NA")</f>
        <v>17138.538203969867</v>
      </c>
      <c r="Q1303" s="166">
        <f t="shared" si="3878"/>
        <v>159.05688303560865</v>
      </c>
      <c r="R1303" s="172">
        <f t="shared" si="3889"/>
        <v>3.5951413040545273E-3</v>
      </c>
      <c r="S1303" s="172">
        <f t="shared" si="3894"/>
        <v>1.6000099054990456E-5</v>
      </c>
      <c r="T1303" s="172"/>
      <c r="U1303" s="172"/>
      <c r="V1303" s="166">
        <f t="shared" si="3859"/>
        <v>23753.453337628271</v>
      </c>
      <c r="W1303" s="170"/>
      <c r="X1303" s="174">
        <v>1265.0250791256299</v>
      </c>
      <c r="Y1303" s="175">
        <v>4.0365297556958231E-2</v>
      </c>
      <c r="Z1303" s="175">
        <f t="shared" si="3895"/>
        <v>1.7964488866324137E-4</v>
      </c>
      <c r="AA1303" s="175"/>
      <c r="AB1303" s="175"/>
      <c r="AC1303" s="170">
        <f t="shared" si="3845"/>
        <v>52726.47208572962</v>
      </c>
      <c r="AD1303" s="175">
        <f t="shared" si="3890"/>
        <v>-7.5423144378486736E-3</v>
      </c>
      <c r="AE1303" s="170"/>
      <c r="AF1303" s="170"/>
      <c r="AG1303" s="121">
        <f t="shared" si="3891"/>
        <v>280.28552488998668</v>
      </c>
      <c r="AH1303" s="119">
        <f>+AZ1303/$BB$55</f>
        <v>5.0109406202467942E-3</v>
      </c>
      <c r="AI1303" s="119"/>
      <c r="AJ1303" s="176">
        <f t="shared" si="3896"/>
        <v>1.4044941219384282</v>
      </c>
      <c r="AK1303" s="176">
        <f t="shared" si="3897"/>
        <v>0</v>
      </c>
      <c r="AL1303" s="120">
        <f t="shared" si="3879"/>
        <v>0.22445045298857524</v>
      </c>
      <c r="AM1303" s="120">
        <f t="shared" si="3880"/>
        <v>0.32504617748943609</v>
      </c>
      <c r="AN1303" s="120">
        <f t="shared" si="3881"/>
        <v>0.45050336952198866</v>
      </c>
      <c r="AO1303" s="120">
        <f t="shared" si="3885"/>
        <v>1.9275486193969779E-2</v>
      </c>
      <c r="AP1303" s="173">
        <f t="shared" si="3901"/>
        <v>127.70840198408901</v>
      </c>
      <c r="AQ1303" s="175">
        <f t="shared" si="3902"/>
        <v>1.9275486193969772E-2</v>
      </c>
      <c r="AR1303" s="177">
        <f>+AC1303/$AE$55</f>
        <v>4.4504784935562531E-3</v>
      </c>
      <c r="AS1303" s="177">
        <f t="shared" si="3898"/>
        <v>8.578513675910295E-5</v>
      </c>
      <c r="AT1303" s="177"/>
      <c r="AU1303" s="177"/>
      <c r="AV1303" s="177"/>
      <c r="AW1303" s="190"/>
      <c r="AX1303" s="120"/>
      <c r="AY1303" s="120"/>
      <c r="AZ1303" s="118">
        <f>IFERROR(INDEX('Total Customers'!$F$7:$AB$91,MATCH($C1303,'Total Customers'!$D$7:$D$91,0),MATCH($G1303,'Total Customers'!$F$5:$AB$5,0)),"NA")</f>
        <v>188117</v>
      </c>
      <c r="BA1303" s="119">
        <f t="shared" si="3860"/>
        <v>9.1423837559191142E-3</v>
      </c>
      <c r="BB1303" s="119"/>
      <c r="BC1303" s="121"/>
      <c r="BD1303" s="119"/>
      <c r="BE1303" s="119"/>
      <c r="BF1303" s="119"/>
      <c r="BG1303" s="173"/>
      <c r="BH1303" s="173"/>
      <c r="BI1303" s="173"/>
      <c r="BJ1303" s="173"/>
      <c r="BK1303" s="173"/>
      <c r="BL1303" s="173"/>
      <c r="BM1303" s="173"/>
      <c r="BN1303" s="173"/>
      <c r="BO1303" s="173"/>
      <c r="BP1303" s="173"/>
      <c r="BQ1303" s="118"/>
      <c r="BR1303" s="118"/>
      <c r="BS1303" s="118">
        <f>INDEX('Dist. Plant Gas Additions'!$F$7:$AE$91,MATCH($C1303,'Dist. Plant Gas Additions'!$D$7:$D$91,0),MATCH(Calculation!$G1303,'Dist. Plant Gas Additions'!$F$5:$AE$5,0))</f>
        <v>41559</v>
      </c>
      <c r="BT1303" s="118">
        <f>INDEX('Gen. Plant Additions'!$F$7:$AE$91,MATCH($C1303,'Gen. Plant Additions'!$D$7:$D$91,0),MATCH(Calculation!$G1303,'Gen. Plant Additions'!$F$5:$AE$5,0))</f>
        <v>1526</v>
      </c>
      <c r="BU1303" s="118"/>
      <c r="BV1303" s="118"/>
      <c r="BW1303" s="118">
        <f>INDEX('Dist Plant Depreciation'!$E$7:$AD$94,MATCH($C1303,'Dist Plant Depreciation'!$D$7:$D$94,0),MATCH(Calculation!$G1303,'Dist Plant Depreciation'!$E$5:$AD$5,0))</f>
        <v>237748</v>
      </c>
      <c r="BX1303" s="118">
        <f>INDEX('Gen. Plant Depreciation'!$E$7:$AD$94,MATCH($C1303,'Gen. Plant Depreciation'!$D$7:$D$94,0),MATCH(Calculation!$G1303,'Gen. Plant Depreciation'!$E$5:$AD$5,0))</f>
        <v>5053</v>
      </c>
      <c r="BY1303" s="118"/>
      <c r="BZ1303" s="118"/>
      <c r="CA1303" s="118"/>
      <c r="CB1303" s="118"/>
      <c r="CC1303" s="118"/>
      <c r="CD1303" s="183"/>
      <c r="CE1303" s="118">
        <f>INDEX('Gross Dx Plant'!$E$7:$AD$91,MATCH($C1303,'Gross Dx Plant'!$D$7:$D$91,0),MATCH(Calculation!$G1303,'Gross Dx Plant'!$E$5:$AD$5,0))</f>
        <v>572015</v>
      </c>
      <c r="CF1303" s="118">
        <f>INDEX('Gross Gen Plant'!$E$7:$AD$91,MATCH($C1303,'Gross Gen Plant'!$D$7:$D$91,0),MATCH(Calculation!$G1303,'Gross Gen Plant'!$E$5:$AD$5,0))</f>
        <v>13165</v>
      </c>
      <c r="CG1303" s="118">
        <f t="shared" si="3767"/>
        <v>342379</v>
      </c>
      <c r="CH1303" s="118"/>
      <c r="CI1303" s="121">
        <v>2017</v>
      </c>
      <c r="CJ1303" s="118"/>
      <c r="CK1303" s="118"/>
      <c r="CL1303" s="118"/>
      <c r="CM1303" s="183"/>
      <c r="CN1303" s="118">
        <f t="shared" si="3861"/>
        <v>43085</v>
      </c>
      <c r="CO1303" s="118">
        <f t="shared" si="3862"/>
        <v>60.476237177485203</v>
      </c>
      <c r="CP1303" s="186">
        <v>0.87074829931972786</v>
      </c>
      <c r="CQ1303" s="118">
        <f>+CQ1284*CP1303+CO1285*CP1302+CO1286*CP1301+CO1287*CP1300+CO1288*CP1299+CO1289*CP1298+CO1290*CP1297+CO1291*CP1296+CO1292*CP1295+CO1293*CP1294+CO1294*CP1293+CO1295*CP1292+CO1296*CP1291+CO1297*CP1290+CO1298*CP1289+CO1299*CP1288+CO1300*CP1287+CO1301*CP1286+CO1302*CP1285+CO1303</f>
        <v>1265.0250791256299</v>
      </c>
      <c r="CR1303" s="119">
        <f t="shared" si="3863"/>
        <v>4.0365297556958231E-2</v>
      </c>
      <c r="CS1303" s="119"/>
      <c r="CT1303" s="177">
        <f t="shared" si="3864"/>
        <v>8.5844989559717075E-3</v>
      </c>
      <c r="CU1303" s="177">
        <f t="shared" si="3872"/>
        <v>8.4097981058995422E-3</v>
      </c>
      <c r="CV1303" s="119">
        <f>VLOOKUP($H1303,RoR!$E:$F,2,FALSE)</f>
        <v>3.7433333333333339E-2</v>
      </c>
      <c r="CW1303" s="177">
        <v>1.9056896421275615E-2</v>
      </c>
      <c r="CX1303" s="177">
        <f t="shared" si="3870"/>
        <v>1.8376436912057724E-2</v>
      </c>
      <c r="CY1303" s="177">
        <f t="shared" si="3873"/>
        <v>2.2492143502634083E-2</v>
      </c>
      <c r="CZ1303" s="177">
        <f t="shared" si="3874"/>
        <v>1.3976271617800498E-2</v>
      </c>
      <c r="DA1303" s="187">
        <f t="shared" si="3865"/>
        <v>0.90199375000000004</v>
      </c>
      <c r="DB1303" s="188">
        <f t="shared" si="3866"/>
        <v>1.3699568463593395</v>
      </c>
      <c r="DC1303" s="188">
        <f t="shared" si="3867"/>
        <v>0.30714603739982199</v>
      </c>
      <c r="DD1303" s="188">
        <f t="shared" si="3868"/>
        <v>0.77007188472689425</v>
      </c>
      <c r="DE1303" s="188">
        <f t="shared" si="3869"/>
        <v>0.32402839633793828</v>
      </c>
      <c r="DF1303" s="189">
        <f>INDEX('State Tax Lookup'!$D$7:$Z$91,MATCH(Calculation!$C1303,'State Tax Lookup'!$B$7:$B$91,0),MATCH($H1303,'State Tax Lookup'!$D$6:$Z$6,0))</f>
        <v>0.26134999999999997</v>
      </c>
      <c r="DG1303" s="189">
        <v>0.375</v>
      </c>
      <c r="DH1303" s="190">
        <f t="shared" si="3871"/>
        <v>19.550508059236069</v>
      </c>
      <c r="DI1303" s="190">
        <v>19.275481713833589</v>
      </c>
      <c r="DJ1303" s="177"/>
      <c r="DK1303" s="189">
        <f>VLOOKUP($H1303,RoR!$E:$F,2,FALSE)</f>
        <v>3.7433333333333339E-2</v>
      </c>
      <c r="DL1303" s="191">
        <f>HLOOKUP($H1303,'GDP-PI'!$D$8:$CQ$11,3,FALSE)</f>
        <v>1.9056896421275615E-2</v>
      </c>
      <c r="DM1303" s="189">
        <f>VLOOKUP(H1303,'HW Dx Data'!$E:$F,2,FALSE)</f>
        <v>712.42858370229726</v>
      </c>
      <c r="DN1303" s="183">
        <f>VLOOKUP(H1303,'ECI - Input Price'!$G$17:$H$37,2,FALSE)</f>
        <v>129.5</v>
      </c>
      <c r="DO1303" s="177">
        <f t="shared" ref="DO1303" si="3921">LN(DN1303/DN1302)</f>
        <v>2.4229399426835413E-2</v>
      </c>
      <c r="DP1303" s="183">
        <f>HLOOKUP(H1303,'GDP-PI'!$8:$9,2,FALSE)</f>
        <v>107.751</v>
      </c>
      <c r="DQ1303" s="177">
        <f t="shared" ref="DQ1303" si="3922">LN(DP1303/DP1302)</f>
        <v>1.8877588227745139E-2</v>
      </c>
    </row>
    <row r="1304" spans="1:121" s="167" customFormat="1" ht="21" x14ac:dyDescent="0.35">
      <c r="A1304" s="167" t="s">
        <v>118</v>
      </c>
      <c r="B1304" s="167" t="s">
        <v>118</v>
      </c>
      <c r="C1304" s="167">
        <v>4008669</v>
      </c>
      <c r="D1304" s="168" t="s">
        <v>144</v>
      </c>
      <c r="E1304" s="168"/>
      <c r="F1304" s="198"/>
      <c r="G1304" s="167" t="s">
        <v>24</v>
      </c>
      <c r="H1304" s="169">
        <v>2018</v>
      </c>
      <c r="I1304" s="170"/>
      <c r="J1304" s="166">
        <f>IFERROR(INDEX('Labor Expenditures'!$F$7:$X$91,MATCH($C1304,'Labor Expenditures'!$D$7:$D$91,0),MATCH($G1304,'Labor Expenditures'!$F$5:$X$5,0)),"NA")</f>
        <v>12310.585611699657</v>
      </c>
      <c r="K1304" s="166">
        <f t="shared" si="3877"/>
        <v>92.387134046526498</v>
      </c>
      <c r="L1304" s="172">
        <f t="shared" si="3884"/>
        <v>1.0895978683770255E-2</v>
      </c>
      <c r="M1304" s="172">
        <f t="shared" si="3888"/>
        <v>4.7439389444539393E-5</v>
      </c>
      <c r="N1304" s="196"/>
      <c r="O1304" s="172"/>
      <c r="P1304" s="166">
        <f>IFERROR(INDEX('Non-Labor Expenditures'!$F$7:$AB$91,MATCH($C1304,'Non-Labor Expenditures'!$D$7:$D$91,0),MATCH($G1304,'Non-Labor Expenditures'!$F$5:$AB$5,0)),"NA")</f>
        <v>17828.027265969053</v>
      </c>
      <c r="Q1304" s="166">
        <f t="shared" si="3878"/>
        <v>161.5999280829667</v>
      </c>
      <c r="R1304" s="172">
        <f t="shared" si="3889"/>
        <v>1.5861807873622992E-2</v>
      </c>
      <c r="S1304" s="172">
        <f t="shared" si="3894"/>
        <v>6.9059834169103682E-5</v>
      </c>
      <c r="T1304" s="172"/>
      <c r="U1304" s="172"/>
      <c r="V1304" s="166">
        <f t="shared" si="3859"/>
        <v>25947.962441612704</v>
      </c>
      <c r="W1304" s="170"/>
      <c r="X1304" s="174">
        <v>1312.4968814233625</v>
      </c>
      <c r="Y1304" s="175">
        <v>3.6839392043710631E-2</v>
      </c>
      <c r="Z1304" s="175">
        <f t="shared" si="3895"/>
        <v>1.6039295934607429E-4</v>
      </c>
      <c r="AA1304" s="175"/>
      <c r="AB1304" s="175"/>
      <c r="AC1304" s="170">
        <f t="shared" si="3845"/>
        <v>56086.575319281415</v>
      </c>
      <c r="AD1304" s="175">
        <f t="shared" si="3890"/>
        <v>6.1778838724686286E-2</v>
      </c>
      <c r="AE1304" s="170"/>
      <c r="AF1304" s="170"/>
      <c r="AG1304" s="121">
        <f t="shared" si="3891"/>
        <v>295.58298235712135</v>
      </c>
      <c r="AH1304" s="119">
        <f>+AZ1304/$BB$56</f>
        <v>5.0105087888880247E-3</v>
      </c>
      <c r="AI1304" s="119"/>
      <c r="AJ1304" s="176">
        <f t="shared" si="3896"/>
        <v>1.4810211309460906</v>
      </c>
      <c r="AK1304" s="176">
        <f t="shared" si="3897"/>
        <v>0</v>
      </c>
      <c r="AL1304" s="120">
        <f t="shared" si="3879"/>
        <v>0.21949255310419227</v>
      </c>
      <c r="AM1304" s="120">
        <f t="shared" si="3880"/>
        <v>0.31786621244888424</v>
      </c>
      <c r="AN1304" s="120">
        <f t="shared" si="3881"/>
        <v>0.46264123444692345</v>
      </c>
      <c r="AO1304" s="120">
        <f t="shared" si="3885"/>
        <v>2.4337319199089373E-2</v>
      </c>
      <c r="AP1304" s="173">
        <f t="shared" si="3901"/>
        <v>130.85461199474162</v>
      </c>
      <c r="AQ1304" s="175">
        <f t="shared" si="3902"/>
        <v>2.4337319199089446E-2</v>
      </c>
      <c r="AR1304" s="177">
        <f>+AC1304/$AE$56</f>
        <v>4.3538438190229914E-3</v>
      </c>
      <c r="AS1304" s="177">
        <f t="shared" si="3898"/>
        <v>1.0596088676654516E-4</v>
      </c>
      <c r="AT1304" s="177"/>
      <c r="AU1304" s="177"/>
      <c r="AV1304" s="177"/>
      <c r="AW1304" s="190"/>
      <c r="AX1304" s="120"/>
      <c r="AY1304" s="120"/>
      <c r="AZ1304" s="118">
        <f>IFERROR(INDEX('Total Customers'!$F$7:$AB$91,MATCH($C1304,'Total Customers'!$D$7:$D$91,0),MATCH($G1304,'Total Customers'!$F$5:$AB$5,0)),"NA")</f>
        <v>189749</v>
      </c>
      <c r="BA1304" s="119">
        <f t="shared" si="3860"/>
        <v>8.6380364876389622E-3</v>
      </c>
      <c r="BB1304" s="119"/>
      <c r="BC1304" s="121"/>
      <c r="BD1304" s="119"/>
      <c r="BE1304" s="119"/>
      <c r="BF1304" s="119"/>
      <c r="BG1304" s="173"/>
      <c r="BH1304" s="173"/>
      <c r="BI1304" s="173"/>
      <c r="BJ1304" s="173"/>
      <c r="BK1304" s="173"/>
      <c r="BL1304" s="173"/>
      <c r="BM1304" s="173"/>
      <c r="BN1304" s="173"/>
      <c r="BO1304" s="173"/>
      <c r="BP1304" s="173"/>
      <c r="BQ1304" s="118"/>
      <c r="BR1304" s="118"/>
      <c r="BS1304" s="118">
        <f>INDEX('Dist. Plant Gas Additions'!$F$7:$AE$91,MATCH($C1304,'Dist. Plant Gas Additions'!$D$7:$D$91,0),MATCH(Calculation!$G1304,'Dist. Plant Gas Additions'!$F$5:$AE$5,0))</f>
        <v>42753</v>
      </c>
      <c r="BT1304" s="118">
        <f>INDEX('Gen. Plant Additions'!$F$7:$AE$91,MATCH($C1304,'Gen. Plant Additions'!$D$7:$D$91,0),MATCH(Calculation!$G1304,'Gen. Plant Additions'!$F$5:$AE$5,0))</f>
        <v>1505</v>
      </c>
      <c r="BU1304" s="118"/>
      <c r="BV1304" s="118"/>
      <c r="BW1304" s="118">
        <f>INDEX('Dist Plant Depreciation'!$E$7:$AD$94,MATCH($C1304,'Dist Plant Depreciation'!$D$7:$D$94,0),MATCH(Calculation!$G1304,'Dist Plant Depreciation'!$E$5:$AD$5,0))</f>
        <v>243533</v>
      </c>
      <c r="BX1304" s="118">
        <f>INDEX('Gen. Plant Depreciation'!$E$7:$AD$94,MATCH($C1304,'Gen. Plant Depreciation'!$D$7:$D$94,0),MATCH(Calculation!$G1304,'Gen. Plant Depreciation'!$E$5:$AD$5,0))</f>
        <v>3366</v>
      </c>
      <c r="BY1304" s="118"/>
      <c r="BZ1304" s="118"/>
      <c r="CA1304" s="118"/>
      <c r="CB1304" s="118"/>
      <c r="CC1304" s="118"/>
      <c r="CD1304" s="183"/>
      <c r="CE1304" s="118">
        <f>INDEX('Gross Dx Plant'!$E$7:$AD$91,MATCH($C1304,'Gross Dx Plant'!$D$7:$D$91,0),MATCH(Calculation!$G1304,'Gross Dx Plant'!$E$5:$AD$5,0))</f>
        <v>608209</v>
      </c>
      <c r="CF1304" s="118">
        <f>INDEX('Gross Gen Plant'!$E$7:$AD$91,MATCH($C1304,'Gross Gen Plant'!$D$7:$D$91,0),MATCH(Calculation!$G1304,'Gross Gen Plant'!$E$5:$AD$5,0))</f>
        <v>12478</v>
      </c>
      <c r="CG1304" s="118">
        <f t="shared" si="3767"/>
        <v>373788</v>
      </c>
      <c r="CH1304" s="118"/>
      <c r="CI1304" s="121">
        <v>2018</v>
      </c>
      <c r="CJ1304" s="118"/>
      <c r="CK1304" s="118"/>
      <c r="CL1304" s="118"/>
      <c r="CM1304" s="183"/>
      <c r="CN1304" s="118">
        <f t="shared" si="3861"/>
        <v>44258</v>
      </c>
      <c r="CO1304" s="118">
        <f t="shared" si="3862"/>
        <v>58.609254667983713</v>
      </c>
      <c r="CP1304" s="186">
        <v>0.86111111111111116</v>
      </c>
      <c r="CQ1304" s="118">
        <f>+CQ1284*CP1304++CO1285*CP1303+CO1286*CP1302+CO1287*CP1301+CO1288*CP1300+CO1289*CP1299+CO1290*CP1298+CO1291*CP1297+CO1292*CP1296+CO1293*CP1295+CO1294*CP1294+CO1295*CP1293+CO1296*CP1292+CO1297*CP1291+CO1298*CP1290+CO1299*CP1289+CO1300*CP1288+CO1301*CP1287+CO1302*CP1286+CO1303*CP1285+CO1304</f>
        <v>1312.4968814233625</v>
      </c>
      <c r="CR1304" s="119">
        <f t="shared" si="3863"/>
        <v>3.6839392043710631E-2</v>
      </c>
      <c r="CS1304" s="119"/>
      <c r="CT1304" s="177">
        <f t="shared" si="3864"/>
        <v>8.8041356286383821E-3</v>
      </c>
      <c r="CU1304" s="177">
        <f t="shared" si="3872"/>
        <v>8.6072186532570108E-3</v>
      </c>
      <c r="CV1304" s="119">
        <f>VLOOKUP($H1304,RoR!$E:$F,2,FALSE)</f>
        <v>3.9299999999999995E-2</v>
      </c>
      <c r="CW1304" s="177">
        <v>2.386056741932796E-2</v>
      </c>
      <c r="CX1304" s="177">
        <f t="shared" si="3870"/>
        <v>1.5439432580672034E-2</v>
      </c>
      <c r="CY1304" s="177">
        <f t="shared" si="3873"/>
        <v>2.2294722955276614E-2</v>
      </c>
      <c r="CZ1304" s="177">
        <f t="shared" si="3874"/>
        <v>3.8270792163076606E-2</v>
      </c>
      <c r="DA1304" s="187">
        <f t="shared" si="3865"/>
        <v>0.90199375000000004</v>
      </c>
      <c r="DB1304" s="188">
        <f t="shared" si="3866"/>
        <v>1.3048868010700074</v>
      </c>
      <c r="DC1304" s="188">
        <f t="shared" si="3867"/>
        <v>0.33886768447837151</v>
      </c>
      <c r="DD1304" s="188">
        <f t="shared" si="3868"/>
        <v>0.78602506232557801</v>
      </c>
      <c r="DE1304" s="188">
        <f t="shared" si="3869"/>
        <v>0.34756768162358759</v>
      </c>
      <c r="DF1304" s="189">
        <f>INDEX('State Tax Lookup'!$D$7:$Z$91,MATCH(Calculation!$C1304,'State Tax Lookup'!$B$7:$B$91,0),MATCH($H1304,'State Tax Lookup'!$D$6:$Z$6,0))</f>
        <v>0.26134999999999997</v>
      </c>
      <c r="DG1304" s="189">
        <v>0.375</v>
      </c>
      <c r="DH1304" s="190">
        <f t="shared" si="3871"/>
        <v>20.511816619120012</v>
      </c>
      <c r="DI1304" s="190">
        <v>20.216488226048373</v>
      </c>
      <c r="DJ1304" s="177"/>
      <c r="DK1304" s="189">
        <f>VLOOKUP($H1304,RoR!$E:$F,2,FALSE)</f>
        <v>3.9299999999999995E-2</v>
      </c>
      <c r="DL1304" s="191">
        <f>HLOOKUP($H1304,'GDP-PI'!$D$8:$CQ$11,3,FALSE)</f>
        <v>2.386056741932796E-2</v>
      </c>
      <c r="DM1304" s="189">
        <f>VLOOKUP(H1304,'HW Dx Data'!$E:$F,2,FALSE)</f>
        <v>755.13671434174842</v>
      </c>
      <c r="DN1304" s="183">
        <f>VLOOKUP(H1304,'ECI - Input Price'!$G$17:$H$37,2,FALSE)</f>
        <v>133.25</v>
      </c>
      <c r="DO1304" s="177">
        <f t="shared" ref="DO1304" si="3923">LN(DN1304/DN1303)</f>
        <v>2.8546181906361531E-2</v>
      </c>
      <c r="DP1304" s="183">
        <f>HLOOKUP(H1304,'GDP-PI'!$8:$9,2,FALSE)</f>
        <v>110.322</v>
      </c>
      <c r="DQ1304" s="177">
        <f t="shared" ref="DQ1304" si="3924">LN(DP1304/DP1303)</f>
        <v>2.3580352716508712E-2</v>
      </c>
    </row>
    <row r="1305" spans="1:121" s="167" customFormat="1" ht="21" x14ac:dyDescent="0.35">
      <c r="A1305" s="167" t="s">
        <v>118</v>
      </c>
      <c r="B1305" s="167" t="s">
        <v>118</v>
      </c>
      <c r="C1305" s="167">
        <v>4008669</v>
      </c>
      <c r="D1305" s="168" t="s">
        <v>144</v>
      </c>
      <c r="E1305" s="168"/>
      <c r="F1305" s="198"/>
      <c r="G1305" s="167" t="s">
        <v>25</v>
      </c>
      <c r="H1305" s="169">
        <v>2019</v>
      </c>
      <c r="I1305" s="170"/>
      <c r="J1305" s="166">
        <f>IFERROR(INDEX('Labor Expenditures'!$F$7:$X$91,MATCH($C1305,'Labor Expenditures'!$D$7:$D$91,0),MATCH($G1305,'Labor Expenditures'!$F$5:$X$5,0)),"NA")</f>
        <v>12354.321258063899</v>
      </c>
      <c r="K1305" s="166">
        <f t="shared" si="3877"/>
        <v>90.276370172187796</v>
      </c>
      <c r="L1305" s="172">
        <f t="shared" si="3884"/>
        <v>-2.3111982224598582E-2</v>
      </c>
      <c r="M1305" s="172">
        <f t="shared" si="3888"/>
        <v>-1.0012948680808721E-4</v>
      </c>
      <c r="N1305" s="196"/>
      <c r="O1305" s="172"/>
      <c r="P1305" s="166">
        <f>IFERROR(INDEX('Non-Labor Expenditures'!$F$7:$AB$91,MATCH($C1305,'Non-Labor Expenditures'!$D$7:$D$91,0),MATCH($G1305,'Non-Labor Expenditures'!$F$5:$AB$5,0)),"NA")</f>
        <v>17891.364650596435</v>
      </c>
      <c r="Q1305" s="166">
        <f t="shared" si="3878"/>
        <v>159.29205159098663</v>
      </c>
      <c r="R1305" s="172">
        <f t="shared" si="3889"/>
        <v>-1.4384381235266105E-2</v>
      </c>
      <c r="S1305" s="172">
        <f t="shared" si="3894"/>
        <v>-6.2318354918347569E-5</v>
      </c>
      <c r="T1305" s="172"/>
      <c r="U1305" s="172"/>
      <c r="V1305" s="166">
        <f t="shared" si="3859"/>
        <v>27310.778161383922</v>
      </c>
      <c r="W1305" s="170"/>
      <c r="X1305" s="174">
        <v>1357.501293101031</v>
      </c>
      <c r="Y1305" s="175">
        <v>3.3714385963683494E-2</v>
      </c>
      <c r="Z1305" s="175">
        <f t="shared" si="3895"/>
        <v>1.4606294396507735E-4</v>
      </c>
      <c r="AA1305" s="175"/>
      <c r="AB1305" s="175"/>
      <c r="AC1305" s="170">
        <f t="shared" si="3845"/>
        <v>57556.464070044254</v>
      </c>
      <c r="AD1305" s="175">
        <f t="shared" si="3890"/>
        <v>2.5869965028946909E-2</v>
      </c>
      <c r="AE1305" s="170"/>
      <c r="AF1305" s="170"/>
      <c r="AG1305" s="121">
        <f t="shared" si="3891"/>
        <v>300.223585743429</v>
      </c>
      <c r="AH1305" s="119">
        <f>+AZ1305/$BB$57</f>
        <v>5.0209273399697265E-3</v>
      </c>
      <c r="AI1305" s="119"/>
      <c r="AJ1305" s="176">
        <f t="shared" si="3896"/>
        <v>1.5074008097629281</v>
      </c>
      <c r="AK1305" s="176">
        <f t="shared" si="3897"/>
        <v>0</v>
      </c>
      <c r="AL1305" s="120">
        <f t="shared" si="3879"/>
        <v>0.21464698114583813</v>
      </c>
      <c r="AM1305" s="120">
        <f t="shared" si="3880"/>
        <v>0.31084891922518476</v>
      </c>
      <c r="AN1305" s="120">
        <f t="shared" si="3881"/>
        <v>0.47450409962897716</v>
      </c>
      <c r="AO1305" s="120">
        <f t="shared" si="3885"/>
        <v>6.2588880780687396E-3</v>
      </c>
      <c r="AP1305" s="173">
        <f t="shared" si="3901"/>
        <v>131.67618474967577</v>
      </c>
      <c r="AQ1305" s="175">
        <f t="shared" si="3902"/>
        <v>6.2588880780686303E-3</v>
      </c>
      <c r="AR1305" s="177">
        <f>+AC1305/$AE$57</f>
        <v>4.33236257431512E-3</v>
      </c>
      <c r="AS1305" s="177">
        <f t="shared" si="3898"/>
        <v>2.7115772466251626E-5</v>
      </c>
      <c r="AT1305" s="177"/>
      <c r="AU1305" s="177"/>
      <c r="AV1305" s="177"/>
      <c r="AW1305" s="190"/>
      <c r="AX1305" s="120"/>
      <c r="AY1305" s="120"/>
      <c r="AZ1305" s="118">
        <f>IFERROR(INDEX('Total Customers'!$F$7:$AB$91,MATCH($C1305,'Total Customers'!$D$7:$D$91,0),MATCH($G1305,'Total Customers'!$F$5:$AB$5,0)),"NA")</f>
        <v>191712</v>
      </c>
      <c r="BA1305" s="119">
        <f t="shared" si="3860"/>
        <v>1.0292099731888655E-2</v>
      </c>
      <c r="BB1305" s="119"/>
      <c r="BC1305" s="121"/>
      <c r="BD1305" s="119"/>
      <c r="BE1305" s="119"/>
      <c r="BF1305" s="119"/>
      <c r="BG1305" s="173"/>
      <c r="BH1305" s="173"/>
      <c r="BI1305" s="173"/>
      <c r="BJ1305" s="173"/>
      <c r="BK1305" s="173"/>
      <c r="BL1305" s="173"/>
      <c r="BM1305" s="173"/>
      <c r="BN1305" s="173"/>
      <c r="BO1305" s="173"/>
      <c r="BP1305" s="173"/>
      <c r="BQ1305" s="118"/>
      <c r="BR1305" s="118"/>
      <c r="BS1305" s="118">
        <f>INDEX('Dist. Plant Gas Additions'!$F$7:$AE$91,MATCH($C1305,'Dist. Plant Gas Additions'!$D$7:$D$91,0),MATCH(Calculation!$G1305,'Dist. Plant Gas Additions'!$F$5:$AE$5,0))</f>
        <v>40681</v>
      </c>
      <c r="BT1305" s="118">
        <f>INDEX('Gen. Plant Additions'!$F$7:$AE$91,MATCH($C1305,'Gen. Plant Additions'!$D$7:$D$91,0),MATCH(Calculation!$G1305,'Gen. Plant Additions'!$F$5:$AE$5,0))</f>
        <v>3313</v>
      </c>
      <c r="BU1305" s="118"/>
      <c r="BV1305" s="118"/>
      <c r="BW1305" s="118">
        <f>INDEX('Dist Plant Depreciation'!$E$7:$AD$94,MATCH($C1305,'Dist Plant Depreciation'!$D$7:$D$94,0),MATCH(Calculation!$G1305,'Dist Plant Depreciation'!$E$5:$AD$5,0))</f>
        <v>250414</v>
      </c>
      <c r="BX1305" s="118">
        <f>INDEX('Gen. Plant Depreciation'!$E$7:$AD$94,MATCH($C1305,'Gen. Plant Depreciation'!$D$7:$D$94,0),MATCH(Calculation!$G1305,'Gen. Plant Depreciation'!$E$5:$AD$5,0))</f>
        <v>4349</v>
      </c>
      <c r="BY1305" s="118"/>
      <c r="BZ1305" s="118"/>
      <c r="CA1305" s="118"/>
      <c r="CB1305" s="118"/>
      <c r="CC1305" s="118"/>
      <c r="CD1305" s="183"/>
      <c r="CE1305" s="118">
        <f>INDEX('Gross Dx Plant'!$E$7:$AD$91,MATCH($C1305,'Gross Dx Plant'!$D$7:$D$91,0),MATCH(Calculation!$G1305,'Gross Dx Plant'!$E$5:$AD$5,0))</f>
        <v>642181</v>
      </c>
      <c r="CF1305" s="118">
        <f>INDEX('Gross Gen Plant'!$E$7:$AD$91,MATCH($C1305,'Gross Gen Plant'!$D$7:$D$91,0),MATCH(Calculation!$G1305,'Gross Gen Plant'!$E$5:$AD$5,0))</f>
        <v>15623</v>
      </c>
      <c r="CG1305" s="118">
        <f t="shared" si="3767"/>
        <v>403041</v>
      </c>
      <c r="CH1305" s="118"/>
      <c r="CI1305" s="121">
        <v>2019</v>
      </c>
      <c r="CJ1305" s="118"/>
      <c r="CK1305" s="118"/>
      <c r="CL1305" s="118"/>
      <c r="CM1305" s="183"/>
      <c r="CN1305" s="118">
        <f t="shared" si="3861"/>
        <v>43994</v>
      </c>
      <c r="CO1305" s="118">
        <f t="shared" si="3862"/>
        <v>56.873645743913158</v>
      </c>
      <c r="CP1305" s="186">
        <v>0.85106382978723405</v>
      </c>
      <c r="CQ1305" s="118">
        <f>CQ1284*CP1305+CO1285*CP1304+CO1286*CP1303+CO1287*CP1302+CO1288*CP1301+CO1289*CP1300+CO1290*CP1299+CO1291*CP1298+CO1292*CP1297+CO1293*CP1296+CO1294*CP1295+CO1295*CP1294+CO1296*CP1293+CO1297*CP1292+CO1298*CP1291+CO1299*CP1290+CO1300*CP1289+CO1301*CP1288+CO1302*CP1287+CO1303*CP1286+CO1304*CP1285+CO1305</f>
        <v>1357.501293101031</v>
      </c>
      <c r="CR1305" s="119">
        <f t="shared" si="3863"/>
        <v>3.3714385963683494E-2</v>
      </c>
      <c r="CS1305" s="119"/>
      <c r="CT1305" s="177">
        <f t="shared" si="3864"/>
        <v>9.0432474425179987E-3</v>
      </c>
      <c r="CU1305" s="177">
        <f t="shared" si="3872"/>
        <v>8.81062734237603E-3</v>
      </c>
      <c r="CV1305" s="119">
        <f>VLOOKUP($H1305,RoR!$E:$F,2,FALSE)</f>
        <v>3.3875000000000009E-2</v>
      </c>
      <c r="CW1305" s="177">
        <v>1.8092492884465461E-2</v>
      </c>
      <c r="CX1305" s="177">
        <f t="shared" si="3870"/>
        <v>1.5782507115534548E-2</v>
      </c>
      <c r="CY1305" s="177">
        <f t="shared" si="3873"/>
        <v>2.2091314266157597E-2</v>
      </c>
      <c r="CZ1305" s="177">
        <f t="shared" si="3874"/>
        <v>4.8445665544254078E-2</v>
      </c>
      <c r="DA1305" s="187">
        <f t="shared" si="3865"/>
        <v>0.90199375000000004</v>
      </c>
      <c r="DB1305" s="188">
        <f t="shared" si="3866"/>
        <v>1.513861292459078</v>
      </c>
      <c r="DC1305" s="188">
        <f t="shared" si="3867"/>
        <v>0.23699261992619944</v>
      </c>
      <c r="DD1305" s="188">
        <f t="shared" si="3868"/>
        <v>0.73619765810468829</v>
      </c>
      <c r="DE1305" s="188">
        <f t="shared" si="3869"/>
        <v>0.26412854465362851</v>
      </c>
      <c r="DF1305" s="189">
        <f>INDEX('State Tax Lookup'!$D$7:$Z$91,MATCH(Calculation!$C1305,'State Tax Lookup'!$B$7:$B$91,0),MATCH($H1305,'State Tax Lookup'!$D$6:$Z$6,0))</f>
        <v>0.26134999999999997</v>
      </c>
      <c r="DG1305" s="189">
        <v>0.375</v>
      </c>
      <c r="DH1305" s="190">
        <f t="shared" si="3871"/>
        <v>20.808261374127017</v>
      </c>
      <c r="DI1305" s="190">
        <v>20.482991138515946</v>
      </c>
      <c r="DJ1305" s="177"/>
      <c r="DK1305" s="189">
        <f>VLOOKUP($H1305,RoR!$E:$F,2,FALSE)</f>
        <v>3.3875000000000009E-2</v>
      </c>
      <c r="DL1305" s="191">
        <f>HLOOKUP($H1305,'GDP-PI'!$D$8:$CQ$11,3,FALSE)</f>
        <v>1.8092492884465461E-2</v>
      </c>
      <c r="DM1305" s="189">
        <f>VLOOKUP(H1305,'HW Dx Data'!$E:$F,2,FALSE)</f>
        <v>773.53929793938721</v>
      </c>
      <c r="DN1305" s="183">
        <f>VLOOKUP(H1305,'ECI - Input Price'!$G$17:$H$37,2,FALSE)</f>
        <v>136.85</v>
      </c>
      <c r="DO1305" s="177">
        <f t="shared" ref="DO1305" si="3925">LN(DN1305/DN1304)</f>
        <v>2.6658372440734168E-2</v>
      </c>
      <c r="DP1305" s="183">
        <f>HLOOKUP(H1305,'GDP-PI'!$8:$9,2,FALSE)</f>
        <v>112.318</v>
      </c>
      <c r="DQ1305" s="177">
        <f t="shared" ref="DQ1305" si="3926">LN(DP1305/DP1304)</f>
        <v>1.7930771451401852E-2</v>
      </c>
    </row>
    <row r="1306" spans="1:121" s="167" customFormat="1" ht="21" x14ac:dyDescent="0.35">
      <c r="A1306" s="167" t="s">
        <v>118</v>
      </c>
      <c r="B1306" s="167" t="s">
        <v>118</v>
      </c>
      <c r="C1306" s="167">
        <v>4008669</v>
      </c>
      <c r="D1306" s="167" t="s">
        <v>144</v>
      </c>
      <c r="G1306" s="168" t="s">
        <v>26</v>
      </c>
      <c r="H1306" s="169">
        <v>2020</v>
      </c>
      <c r="I1306" s="170"/>
      <c r="J1306" s="166">
        <f>IFERROR(INDEX('Labor Expenditures'!$F$7:$X$91,MATCH($C1306,'Labor Expenditures'!$D$7:$D$91,0),MATCH($G1306,'Labor Expenditures'!$F$5:$X$5,0)),"NA")</f>
        <v>11908.289974921527</v>
      </c>
      <c r="K1306" s="166">
        <f t="shared" si="3877"/>
        <v>84.786685474699382</v>
      </c>
      <c r="L1306" s="172">
        <f t="shared" si="3884"/>
        <v>-6.2737225248484796E-2</v>
      </c>
      <c r="M1306" s="172">
        <f t="shared" si="3888"/>
        <v>-2.6810363677937088E-4</v>
      </c>
      <c r="N1306" s="196"/>
      <c r="O1306" s="172"/>
      <c r="P1306" s="166">
        <f>IFERROR(INDEX('Non-Labor Expenditures'!$F$7:$AB$91,MATCH($C1306,'Non-Labor Expenditures'!$D$7:$D$91,0),MATCH($G1306,'Non-Labor Expenditures'!$F$5:$AB$5,0)),"NA")</f>
        <v>17245.428045453933</v>
      </c>
      <c r="Q1306" s="166">
        <f t="shared" si="3878"/>
        <v>151.77761584761828</v>
      </c>
      <c r="R1306" s="172">
        <f t="shared" si="3889"/>
        <v>-4.8322923916313452E-2</v>
      </c>
      <c r="S1306" s="172">
        <f t="shared" si="3894"/>
        <v>-2.0650501501242875E-4</v>
      </c>
      <c r="T1306" s="172"/>
      <c r="U1306" s="172"/>
      <c r="V1306" s="166">
        <f t="shared" si="3859"/>
        <v>29378.147463943467</v>
      </c>
      <c r="W1306" s="170"/>
      <c r="X1306" s="174">
        <v>1426.2808640604492</v>
      </c>
      <c r="Y1306" s="175">
        <v>4.9424536581221153E-2</v>
      </c>
      <c r="Z1306" s="175">
        <f t="shared" si="3895"/>
        <v>2.1121268833738349E-4</v>
      </c>
      <c r="AA1306" s="175"/>
      <c r="AB1306" s="175"/>
      <c r="AC1306" s="170">
        <f t="shared" si="3845"/>
        <v>58531.865484318929</v>
      </c>
      <c r="AD1306" s="175">
        <f t="shared" si="3890"/>
        <v>1.6804865271848025E-2</v>
      </c>
      <c r="AE1306" s="170"/>
      <c r="AF1306" s="170"/>
      <c r="AG1306" s="121">
        <f t="shared" si="3891"/>
        <v>301.46357101303016</v>
      </c>
      <c r="AH1306" s="119">
        <f>+AZ1306/$BB$58</f>
        <v>5.0492633384353275E-3</v>
      </c>
      <c r="AI1306" s="119"/>
      <c r="AJ1306" s="176">
        <f t="shared" si="3896"/>
        <v>1.5221689569898882</v>
      </c>
      <c r="AK1306" s="176">
        <f t="shared" si="3897"/>
        <v>0</v>
      </c>
      <c r="AL1306" s="120">
        <f t="shared" si="3879"/>
        <v>0.20344969148662853</v>
      </c>
      <c r="AM1306" s="120">
        <f t="shared" si="3880"/>
        <v>0.2946331524334227</v>
      </c>
      <c r="AN1306" s="120">
        <f t="shared" si="3881"/>
        <v>0.50191715607994869</v>
      </c>
      <c r="AO1306" s="120">
        <f t="shared" si="3885"/>
        <v>-3.6148605682840562E-3</v>
      </c>
      <c r="AP1306" s="173">
        <f t="shared" si="3901"/>
        <v>131.20105298656705</v>
      </c>
      <c r="AQ1306" s="175">
        <f t="shared" si="3902"/>
        <v>-3.6148605682840779E-3</v>
      </c>
      <c r="AR1306" s="177">
        <f>+AC1306/$AE$58</f>
        <v>4.2734379105465146E-3</v>
      </c>
      <c r="AS1306" s="177">
        <f t="shared" si="3898"/>
        <v>-1.5447882193844895E-5</v>
      </c>
      <c r="AT1306" s="177"/>
      <c r="AU1306" s="177"/>
      <c r="AV1306" s="177"/>
      <c r="AW1306" s="190"/>
      <c r="AX1306" s="120"/>
      <c r="AY1306" s="120"/>
      <c r="AZ1306" s="118">
        <f>IFERROR(INDEX('Total Customers'!$F$7:$AB$91,MATCH($C1306,'Total Customers'!$D$7:$D$91,0),MATCH($G1306,'Total Customers'!$F$5:$AB$5,0)),"NA")</f>
        <v>194159</v>
      </c>
      <c r="BA1306" s="119">
        <f t="shared" si="3860"/>
        <v>1.2683165112138458E-2</v>
      </c>
      <c r="BB1306" s="119"/>
      <c r="BC1306" s="121"/>
      <c r="BD1306" s="119"/>
      <c r="BE1306" s="119"/>
      <c r="BF1306" s="119"/>
      <c r="BG1306" s="173"/>
      <c r="BH1306" s="173"/>
      <c r="BI1306" s="173"/>
      <c r="BJ1306" s="173"/>
      <c r="BK1306" s="173"/>
      <c r="BL1306" s="173"/>
      <c r="BM1306" s="173"/>
      <c r="BN1306" s="173"/>
      <c r="BO1306" s="173"/>
      <c r="BP1306" s="173"/>
      <c r="BQ1306" s="118"/>
      <c r="BR1306" s="118"/>
      <c r="BS1306" s="118">
        <f>INDEX('Dist. Plant Gas Additions'!$F$7:$AE$91,MATCH($C1306,'Dist. Plant Gas Additions'!$D$7:$D$91,0),MATCH(Calculation!$G1306,'Dist. Plant Gas Additions'!$F$5:$AE$5,0))</f>
        <v>63947</v>
      </c>
      <c r="BT1306" s="118">
        <f>INDEX('Gen. Plant Additions'!$F$7:$AE$91,MATCH($C1306,'Gen. Plant Additions'!$D$7:$D$91,0),MATCH(Calculation!$G1306,'Gen. Plant Additions'!$F$5:$AE$5,0))</f>
        <v>2244</v>
      </c>
      <c r="BU1306" s="118"/>
      <c r="BV1306" s="118"/>
      <c r="BW1306" s="118">
        <f>INDEX('Dist Plant Depreciation'!$E$7:$AD$94,MATCH($C1306,'Dist Plant Depreciation'!$D$7:$D$94,0),MATCH(Calculation!$G1306,'Dist Plant Depreciation'!$E$5:$AD$5,0))</f>
        <v>256143</v>
      </c>
      <c r="BX1306" s="118">
        <f>INDEX('Gen. Plant Depreciation'!$E$7:$AD$94,MATCH($C1306,'Gen. Plant Depreciation'!$D$7:$D$94,0),MATCH(Calculation!$G1306,'Gen. Plant Depreciation'!$E$5:$AD$5,0))</f>
        <v>4931</v>
      </c>
      <c r="BY1306" s="118"/>
      <c r="BZ1306" s="118"/>
      <c r="CA1306" s="118"/>
      <c r="CB1306" s="118"/>
      <c r="CC1306" s="118"/>
      <c r="CD1306" s="183"/>
      <c r="CE1306" s="118">
        <f>INDEX('Gross Dx Plant'!$E$7:$AD$91,MATCH($C1306,'Gross Dx Plant'!$D$7:$D$91,0),MATCH(Calculation!$G1306,'Gross Dx Plant'!$E$5:$AD$5,0))</f>
        <v>696859</v>
      </c>
      <c r="CF1306" s="118">
        <f>INDEX('Gross Gen Plant'!$E$7:$AD$91,MATCH($C1306,'Gross Gen Plant'!$D$7:$D$91,0),MATCH(Calculation!$G1306,'Gross Gen Plant'!$E$5:$AD$5,0))</f>
        <v>17428</v>
      </c>
      <c r="CG1306" s="118">
        <f t="shared" si="3767"/>
        <v>453213</v>
      </c>
      <c r="CH1306" s="118"/>
      <c r="CI1306" s="121">
        <v>2020</v>
      </c>
      <c r="CJ1306" s="118"/>
      <c r="CK1306" s="118"/>
      <c r="CL1306" s="118"/>
      <c r="CM1306" s="183"/>
      <c r="CN1306" s="118">
        <f t="shared" si="3861"/>
        <v>66191</v>
      </c>
      <c r="CO1306" s="118">
        <f t="shared" si="3862"/>
        <v>81.407717290546131</v>
      </c>
      <c r="CP1306" s="186">
        <v>0.84057971014492749</v>
      </c>
      <c r="CQ1306" s="118">
        <f>CQ1284*CP1306+CO1285*CP1305+CO1286*CP1304+CO1287*CP1303+CO1288*CP1302+CO1289*CP1301+CO1290*CP1300+CO1291*CP1299+CO1292*CP1298+CO1293*CP1297+CO1294*CP1296+CO1295*CP1295+CO1296*CP1294+CO1297*CP1293+CO1298*CP1292+CO1299*CP1291+CO1300*CP1290+CO1301*CP1289+CO1302*CP1288+CO1303*CP1287+CO1304*CP1286+CO1305*CP1285+CO1306</f>
        <v>1426.2808640604492</v>
      </c>
      <c r="CR1306" s="119">
        <f t="shared" si="3863"/>
        <v>4.9424536581221153E-2</v>
      </c>
      <c r="CS1306" s="119"/>
      <c r="CT1306" s="177">
        <f t="shared" si="3864"/>
        <v>9.3024930401949448E-3</v>
      </c>
      <c r="CU1306" s="177">
        <f t="shared" si="3872"/>
        <v>9.0499587037837764E-3</v>
      </c>
      <c r="CV1306" s="119">
        <f>VLOOKUP($H1306,RoR!$E:$F,2,FALSE)</f>
        <v>2.4766666666666666E-2</v>
      </c>
      <c r="CW1306" s="177">
        <v>1.1618796630994188E-2</v>
      </c>
      <c r="CX1306" s="177">
        <f t="shared" si="3870"/>
        <v>1.3147870035672478E-2</v>
      </c>
      <c r="CY1306" s="177">
        <f t="shared" si="3873"/>
        <v>2.185198290474985E-2</v>
      </c>
      <c r="CZ1306" s="177">
        <f t="shared" si="3874"/>
        <v>4.5144642961987357E-2</v>
      </c>
      <c r="DA1306" s="187">
        <f t="shared" si="3865"/>
        <v>0.90199375000000004</v>
      </c>
      <c r="DB1306" s="188">
        <f t="shared" si="3866"/>
        <v>2.0706077233668081</v>
      </c>
      <c r="DC1306" s="188">
        <f t="shared" si="3867"/>
        <v>-3.4421265141318998E-2</v>
      </c>
      <c r="DD1306" s="188">
        <f t="shared" si="3868"/>
        <v>0.62416226176410472</v>
      </c>
      <c r="DE1306" s="188">
        <f t="shared" si="3869"/>
        <v>-4.4485877841158712E-2</v>
      </c>
      <c r="DF1306" s="189">
        <f>INDEX('State Tax Lookup'!$D$7:$Z$91,MATCH(Calculation!$C1306,'State Tax Lookup'!$B$7:$B$91,0),MATCH($H1306,'State Tax Lookup'!$D$6:$Z$6,0))</f>
        <v>0.26134999999999997</v>
      </c>
      <c r="DG1306" s="189">
        <v>0.375</v>
      </c>
      <c r="DH1306" s="190">
        <f t="shared" si="3871"/>
        <v>21.641340316393364</v>
      </c>
      <c r="DI1306" s="190">
        <v>21.319129856233591</v>
      </c>
      <c r="DJ1306" s="177"/>
      <c r="DK1306" s="189">
        <f>VLOOKUP($H1306,RoR!$E:$F,2,FALSE)</f>
        <v>2.4766666666666666E-2</v>
      </c>
      <c r="DL1306" s="191">
        <f>HLOOKUP($H1306,'GDP-PI'!$D$8:$CQ$11,3,FALSE)</f>
        <v>1.1618796630994188E-2</v>
      </c>
      <c r="DM1306" s="189">
        <f>VLOOKUP(H1306,'HW Dx Data'!$E:$F,2,FALSE)</f>
        <v>813.080162458833</v>
      </c>
      <c r="DN1306" s="183">
        <f>VLOOKUP(H1306,'ECI - Input Price'!$G$17:$H$37,2,FALSE)</f>
        <v>140.44999999999999</v>
      </c>
      <c r="DO1306" s="177">
        <f t="shared" ref="DO1306" si="3927">LN(DN1306/DN1305)</f>
        <v>2.5966118063564539E-2</v>
      </c>
      <c r="DP1306" s="183">
        <f>HLOOKUP(H1306,'GDP-PI'!$8:$9,2,FALSE)</f>
        <v>113.623</v>
      </c>
      <c r="DQ1306" s="177">
        <f t="shared" ref="DQ1306" si="3928">LN(DP1306/DP1305)</f>
        <v>1.1551816731392881E-2</v>
      </c>
    </row>
    <row r="1307" spans="1:121" s="167" customFormat="1" ht="21" x14ac:dyDescent="0.35">
      <c r="A1307" s="167" t="s">
        <v>118</v>
      </c>
      <c r="B1307" s="167" t="s">
        <v>118</v>
      </c>
      <c r="C1307" s="167">
        <v>4008669</v>
      </c>
      <c r="D1307" s="167" t="s">
        <v>144</v>
      </c>
      <c r="G1307" s="168" t="s">
        <v>462</v>
      </c>
      <c r="H1307" s="169">
        <v>2021</v>
      </c>
      <c r="I1307" s="170"/>
      <c r="J1307" s="166">
        <f>IFERROR(INDEX('Labor Expenditures'!$E$7:$X$91,MATCH($C1307,'Labor Expenditures'!$D$7:$D$91,0),MATCH($G1307,'Labor Expenditures'!$E$5:$X$5,0)),"NA")</f>
        <v>12147.217675840495</v>
      </c>
      <c r="K1307" s="166">
        <f t="shared" si="3877"/>
        <v>83.50037928056706</v>
      </c>
      <c r="L1307" s="171">
        <f t="shared" si="3884"/>
        <v>-1.528734543005608E-2</v>
      </c>
      <c r="M1307" s="172">
        <f t="shared" si="3888"/>
        <v>-7.2651752310174626E-5</v>
      </c>
      <c r="N1307" s="196"/>
      <c r="O1307" s="172"/>
      <c r="P1307" s="166">
        <f>IFERROR(INDEX('Non-Labor Expenditures'!$E$7:$AB$91,MATCH($C1307,'Non-Labor Expenditures'!$D$7:$D$91,0),MATCH($G1307,'Non-Labor Expenditures'!$E$5:$AB$5,0)),"NA")</f>
        <v>17123.186362329376</v>
      </c>
      <c r="Q1307" s="166">
        <f t="shared" si="3878"/>
        <v>144.51165804987235</v>
      </c>
      <c r="R1307" s="172">
        <f t="shared" si="3889"/>
        <v>-4.905621306019229E-2</v>
      </c>
      <c r="S1307" s="172">
        <f t="shared" si="3894"/>
        <v>-2.3313529852717993E-4</v>
      </c>
      <c r="T1307" s="172"/>
      <c r="U1307" s="172"/>
      <c r="V1307" s="166">
        <f t="shared" si="3859"/>
        <v>40820.1872641523</v>
      </c>
      <c r="W1307" s="170"/>
      <c r="X1307" s="174">
        <v>1478.3976897708333</v>
      </c>
      <c r="Y1307" s="175"/>
      <c r="Z1307" s="175">
        <f t="shared" si="3895"/>
        <v>0</v>
      </c>
      <c r="AA1307" s="175"/>
      <c r="AB1307" s="175"/>
      <c r="AC1307" s="170">
        <f t="shared" si="3845"/>
        <v>70090.591302322166</v>
      </c>
      <c r="AD1307" s="175">
        <f t="shared" si="3890"/>
        <v>0.18021725173467085</v>
      </c>
      <c r="AE1307" s="118"/>
      <c r="AF1307" s="119"/>
      <c r="AG1307" s="121">
        <f t="shared" si="3891"/>
        <v>357.16406937517024</v>
      </c>
      <c r="AH1307" s="119">
        <f>+AZ1307/$BB$59</f>
        <v>5.0349220276772943E-3</v>
      </c>
      <c r="AI1307" s="119"/>
      <c r="AJ1307" s="176">
        <f t="shared" si="3896"/>
        <v>1.7982932403919061</v>
      </c>
      <c r="AK1307" s="176">
        <f t="shared" si="3897"/>
        <v>0</v>
      </c>
      <c r="AL1307" s="120">
        <f t="shared" si="3879"/>
        <v>0.17330739333394732</v>
      </c>
      <c r="AM1307" s="120">
        <f t="shared" si="3880"/>
        <v>0.24430078337435954</v>
      </c>
      <c r="AN1307" s="120">
        <f t="shared" si="3881"/>
        <v>0.58239182329169326</v>
      </c>
      <c r="AO1307" s="120">
        <f t="shared" si="3885"/>
        <v>-1.6098836839613821E-2</v>
      </c>
      <c r="AP1307" s="173">
        <f t="shared" si="3901"/>
        <v>129.10577962624762</v>
      </c>
      <c r="AQ1307" s="175">
        <f t="shared" si="3902"/>
        <v>-1.6098836839613752E-2</v>
      </c>
      <c r="AR1307" s="177">
        <f>+AC1307/$AE$59</f>
        <v>4.7524112438341176E-3</v>
      </c>
      <c r="AS1307" s="177">
        <f t="shared" si="3898"/>
        <v>-7.6508293209231302E-5</v>
      </c>
      <c r="AT1307" s="177"/>
      <c r="AU1307" s="177"/>
      <c r="AV1307" s="177"/>
      <c r="AW1307" s="190"/>
      <c r="AX1307" s="120"/>
      <c r="AY1307" s="120"/>
      <c r="AZ1307" s="118">
        <f>INDEX('Total Customers'!$E$7:$E$91,MATCH(Calculation!$C1307,'Total Customers'!$D$7:$D$91,0))</f>
        <v>196242</v>
      </c>
      <c r="BA1307" s="119">
        <f t="shared" si="3860"/>
        <v>1.0671180486766794E-2</v>
      </c>
      <c r="BB1307" s="118"/>
      <c r="BC1307" s="121"/>
      <c r="BD1307" s="118"/>
      <c r="BE1307" s="119"/>
      <c r="BF1307" s="119"/>
      <c r="BG1307" s="173"/>
      <c r="BH1307" s="173"/>
      <c r="BI1307" s="173"/>
      <c r="BJ1307" s="173"/>
      <c r="BK1307" s="173"/>
      <c r="BL1307" s="173"/>
      <c r="BM1307" s="173"/>
      <c r="BN1307" s="173"/>
      <c r="BO1307" s="173"/>
      <c r="BP1307" s="173"/>
      <c r="BQ1307" s="118"/>
      <c r="BR1307" s="118"/>
      <c r="BS1307" s="118">
        <f>INDEX('Dist. Plant Gas Additions'!$E$7:$AE$91,MATCH($C1307,'Dist. Plant Gas Additions'!$D$7:$D$91,0),MATCH(Calculation!$G1307,'Dist. Plant Gas Additions'!$E$5:$AE$5,0))</f>
        <v>44814</v>
      </c>
      <c r="BT1307" s="118">
        <f>INDEX('Gen. Plant Additions'!$E$7:$AE$91,MATCH($C1307,'Gen. Plant Additions'!$D$7:$D$91,0),MATCH(Calculation!$G1307,'Gen. Plant Additions'!$E$5:$AE$5,0))</f>
        <v>2165</v>
      </c>
      <c r="BU1307" s="118"/>
      <c r="BV1307" s="118"/>
      <c r="BW1307" s="118"/>
      <c r="BX1307" s="118"/>
      <c r="BY1307" s="183"/>
      <c r="BZ1307" s="183"/>
      <c r="CA1307" s="178"/>
      <c r="CB1307" s="184"/>
      <c r="CC1307" s="185"/>
      <c r="CD1307" s="185"/>
      <c r="CE1307" s="118"/>
      <c r="CF1307" s="118"/>
      <c r="CG1307" s="118"/>
      <c r="CH1307" s="118"/>
      <c r="CI1307" s="121">
        <v>2021</v>
      </c>
      <c r="CJ1307" s="118"/>
      <c r="CK1307" s="118"/>
      <c r="CL1307" s="118"/>
      <c r="CM1307" s="183"/>
      <c r="CN1307" s="118">
        <f t="shared" si="3861"/>
        <v>46979</v>
      </c>
      <c r="CO1307" s="118">
        <f t="shared" si="3862"/>
        <v>50.351411717771008</v>
      </c>
      <c r="CP1307" s="186">
        <f>+(51-23)/(51-23*0.75)</f>
        <v>0.82962962962962961</v>
      </c>
      <c r="CQ1307" s="118">
        <f>CQ1284*CP1307+CO1285*CP1306+CO1286*CP1305+CO1287*CP1304+CO1288*CP1303+CO1289*CP1302+CO1290*CP1301+CO1291*CP1300+CO1292*CP1299+CO1293*CP1298+CO1294*CP1297+CO1295*CP1296+CO1296*CP1295+CO1297*CP1294+CO1298*CP1293+CO1289*CP1292+CO1300*CP1291+CO1301*CP1290+CO1302*CP1289+CO1303*CP1288+CO1304*CP1287+CO1305*CP1286+CO1307+CO1306*CP1285</f>
        <v>1478.3976897708333</v>
      </c>
      <c r="CR1307" s="119"/>
      <c r="CS1307" s="118"/>
      <c r="CT1307" s="177">
        <f t="shared" si="3864"/>
        <v>-1.237774436366736E-3</v>
      </c>
      <c r="CU1307" s="177">
        <f t="shared" si="3872"/>
        <v>5.7026553487820692E-3</v>
      </c>
      <c r="CV1307" s="119">
        <f>VLOOKUP($H1307,RoR!$E:$F,2,FALSE)</f>
        <v>2.7033333333333336E-2</v>
      </c>
      <c r="CW1307" s="177"/>
      <c r="CX1307" s="177"/>
      <c r="CY1307" s="177">
        <f t="shared" si="3873"/>
        <v>2.5199286259751555E-2</v>
      </c>
      <c r="CZ1307" s="177">
        <f t="shared" si="3874"/>
        <v>7.433422950153494E-2</v>
      </c>
      <c r="DA1307" s="187">
        <f t="shared" si="3865"/>
        <v>0.90199375000000004</v>
      </c>
      <c r="DB1307" s="188">
        <f t="shared" si="3866"/>
        <v>1.8969932656739068</v>
      </c>
      <c r="DC1307" s="188">
        <f t="shared" si="3867"/>
        <v>5.0215782983970621E-2</v>
      </c>
      <c r="DD1307" s="188">
        <f t="shared" si="3868"/>
        <v>0.655952481704143</v>
      </c>
      <c r="DE1307" s="188">
        <f t="shared" si="3869"/>
        <v>6.2485378865697057E-2</v>
      </c>
      <c r="DF1307" s="189">
        <f>DF1306</f>
        <v>0.26134999999999997</v>
      </c>
      <c r="DG1307" s="189">
        <v>0.375</v>
      </c>
      <c r="DH1307" s="190">
        <f t="shared" si="3871"/>
        <v>28.620020286847407</v>
      </c>
      <c r="DI1307" s="190"/>
      <c r="DJ1307" s="177">
        <f t="shared" ref="DJ1307" si="3929">LN(DH1307/DH1306)</f>
        <v>0.27950109391567479</v>
      </c>
      <c r="DK1307" s="189">
        <f>VLOOKUP($H1307,RoR!$E:$F,2,FALSE)</f>
        <v>2.7033333333333336E-2</v>
      </c>
      <c r="DL1307" s="191">
        <f>HLOOKUP($H1307,'GDP-PI'!$D$8:$CR$11,3,FALSE)</f>
        <v>4.2834637353352578E-2</v>
      </c>
      <c r="DM1307" s="189">
        <f>VLOOKUP(H1307,'HW Dx Data'!$E:$F,2,FALSE)</f>
        <v>933.02249921662576</v>
      </c>
      <c r="DN1307" s="183">
        <f>VLOOKUP(H1307,'ECI - Input Price'!$G$17:$H$37,2,FALSE)</f>
        <v>145.47500000000002</v>
      </c>
      <c r="DO1307" s="177">
        <f t="shared" ref="DO1307" si="3930">LN(DN1307/DN1306)</f>
        <v>3.5152696992481205E-2</v>
      </c>
      <c r="DP1307" s="183">
        <f>HLOOKUP(H1307,'GDP-PI'!$8:$9,2,FALSE)</f>
        <v>118.49</v>
      </c>
      <c r="DQ1307" s="177">
        <f t="shared" ref="DQ1307" si="3931">LN(DP1307/DP1306)</f>
        <v>4.194261824609434E-2</v>
      </c>
    </row>
    <row r="1308" spans="1:121" s="167" customFormat="1" ht="21" x14ac:dyDescent="0.35">
      <c r="A1308" s="167" t="s">
        <v>121</v>
      </c>
      <c r="B1308" s="167" t="s">
        <v>122</v>
      </c>
      <c r="C1308" s="167">
        <v>4064141</v>
      </c>
      <c r="D1308" s="168" t="s">
        <v>140</v>
      </c>
      <c r="E1308" s="168" t="s">
        <v>126</v>
      </c>
      <c r="F1308" s="198"/>
      <c r="G1308" s="167" t="s">
        <v>4</v>
      </c>
      <c r="H1308" s="169">
        <v>1998</v>
      </c>
      <c r="I1308" s="170"/>
      <c r="J1308" s="166"/>
      <c r="K1308" s="166"/>
      <c r="L1308" s="166"/>
      <c r="M1308" s="166"/>
      <c r="N1308" s="196"/>
      <c r="O1308" s="166"/>
      <c r="P1308" s="172"/>
      <c r="Q1308" s="172"/>
      <c r="R1308" s="172"/>
      <c r="S1308" s="166"/>
      <c r="T1308" s="172"/>
      <c r="U1308" s="172"/>
      <c r="V1308" s="166"/>
      <c r="W1308" s="170"/>
      <c r="X1308" s="174">
        <v>1666.1160777855976</v>
      </c>
      <c r="Y1308" s="175"/>
      <c r="Z1308" s="166"/>
      <c r="AA1308" s="175"/>
      <c r="AB1308" s="175"/>
      <c r="AC1308" s="170">
        <f t="shared" si="3845"/>
        <v>0</v>
      </c>
      <c r="AD1308" s="170"/>
      <c r="AE1308" s="170"/>
      <c r="AF1308" s="119"/>
      <c r="AG1308" s="174"/>
      <c r="AH1308" s="175"/>
      <c r="AI1308" s="175"/>
      <c r="AJ1308" s="174"/>
      <c r="AK1308" s="174"/>
      <c r="AL1308" s="120"/>
      <c r="AM1308" s="120"/>
      <c r="AN1308" s="120"/>
      <c r="AO1308" s="120"/>
      <c r="AP1308" s="120"/>
      <c r="AQ1308" s="175">
        <f>AVERAGE(AQ1317:AQ1331)</f>
        <v>2.0245049621052631E-2</v>
      </c>
      <c r="AR1308" s="120"/>
      <c r="AS1308" s="120"/>
      <c r="AT1308" s="120"/>
      <c r="AU1308" s="120"/>
      <c r="AV1308" s="120"/>
      <c r="AW1308" s="120"/>
      <c r="AX1308" s="120"/>
      <c r="AY1308" s="120"/>
      <c r="AZ1308" s="118">
        <f>IFERROR(INDEX('Total Customers'!$F$7:$AB$91,MATCH($C1308,'Total Customers'!$D$7:$D$91,0),MATCH($G1308,'Total Customers'!$F$5:$AB$5,0)),"NA")</f>
        <v>183696</v>
      </c>
      <c r="BA1308" s="119"/>
      <c r="BB1308" s="119"/>
      <c r="BC1308" s="121"/>
      <c r="BD1308" s="119"/>
      <c r="BE1308" s="119"/>
      <c r="BF1308" s="119"/>
      <c r="BG1308" s="173"/>
      <c r="BH1308" s="173"/>
      <c r="BI1308" s="173"/>
      <c r="BJ1308" s="173"/>
      <c r="BK1308" s="173"/>
      <c r="BL1308" s="173"/>
      <c r="BM1308" s="173"/>
      <c r="BN1308" s="173"/>
      <c r="BO1308" s="173"/>
      <c r="BP1308" s="173"/>
      <c r="BQ1308" s="118">
        <f>INDEX('Gross Dx Plant'!$E$7:$AD$91,MATCH($C1308,'Gross Dx Plant'!$D$7:$D$91,0),MATCH(Calculation!$G1308,'Gross Dx Plant'!$E$5:$AD$5,0))</f>
        <v>498933</v>
      </c>
      <c r="BR1308" s="118">
        <f>INDEX('Gross Gen Plant'!$E$7:$AD$91,MATCH($C1308,'Gross Gen Plant'!$D$7:$D$91,0),MATCH(Calculation!$G1308,'Gross Gen Plant'!$E$5:$AD$5,0))</f>
        <v>37292</v>
      </c>
      <c r="BS1308" s="118">
        <f>INDEX('Dist. Plant Gas Additions'!$F$7:$AE$91,MATCH($C1308,'Dist. Plant Gas Additions'!$D$7:$D$91,0),MATCH(Calculation!$G1308,'Dist. Plant Gas Additions'!$F$5:$AE$5,0))</f>
        <v>22874</v>
      </c>
      <c r="BT1308" s="118">
        <f>INDEX('Gen. Plant Additions'!$F$7:$AE$91,MATCH($C1308,'Gen. Plant Additions'!$D$7:$D$91,0),MATCH(Calculation!$G1308,'Gen. Plant Additions'!$F$5:$AE$5,0))</f>
        <v>1807</v>
      </c>
      <c r="BU1308" s="118" t="e">
        <f>INDEX('Dist Plant Depreciation'!$E$7:$AA$94,MATCH($C1308,'Dist Plant Depreciation'!$D$7:$D$94,0),MATCH(#REF!,'Dist Plant Depreciation'!$E$5:$AA$5,0))</f>
        <v>#REF!</v>
      </c>
      <c r="BV1308" s="118" t="e">
        <f>INDEX('Gen. Plant Depreciation'!$E$7:$AA$94,MATCH($C1308,'Gen. Plant Depreciation'!$D$7:$D$94,0),MATCH(#REF!,'Gen. Plant Depreciation'!$E$5:$AA$5,0))</f>
        <v>#REF!</v>
      </c>
      <c r="BW1308" s="118">
        <f>INDEX('Dist Plant Depreciation'!$E$7:$AD$94,MATCH($C1308,'Dist Plant Depreciation'!$D$7:$D$94,0),MATCH(Calculation!$G1308,'Dist Plant Depreciation'!$E$5:$AD$5,0))</f>
        <v>189588</v>
      </c>
      <c r="BX1308" s="118">
        <f>INDEX('Gen. Plant Depreciation'!$E$7:$AD$94,MATCH($C1308,'Gen. Plant Depreciation'!$D$7:$D$94,0),MATCH(Calculation!$G1308,'Gen. Plant Depreciation'!$E$5:$AD$5,0))</f>
        <v>10549</v>
      </c>
      <c r="BY1308" s="118"/>
      <c r="BZ1308" s="118"/>
      <c r="CA1308" s="118"/>
      <c r="CB1308" s="118"/>
      <c r="CC1308" s="118"/>
      <c r="CD1308" s="183"/>
      <c r="CE1308" s="118">
        <f>INDEX('Gross Dx Plant'!$E$7:$AD$91,MATCH($C1308,'Gross Dx Plant'!$D$7:$D$91,0),MATCH(Calculation!$G1308,'Gross Dx Plant'!$E$5:$AD$5,0))</f>
        <v>498933</v>
      </c>
      <c r="CF1308" s="118">
        <f>INDEX('Gross Gen Plant'!$E$7:$AD$91,MATCH($C1308,'Gross Gen Plant'!$D$7:$D$91,0),MATCH(Calculation!$G1308,'Gross Gen Plant'!$E$5:$AD$5,0))</f>
        <v>37292</v>
      </c>
      <c r="CG1308" s="118">
        <f t="shared" si="3767"/>
        <v>336088</v>
      </c>
      <c r="CH1308" s="118"/>
      <c r="CI1308" s="121">
        <v>1998</v>
      </c>
      <c r="CJ1308" s="118">
        <f>BQ1308+BR1308</f>
        <v>536225</v>
      </c>
      <c r="CK1308" s="118">
        <f>189588+10549</f>
        <v>200137</v>
      </c>
      <c r="CL1308" s="118">
        <f>+CJ1308-CK1308</f>
        <v>336088</v>
      </c>
      <c r="CM1308" s="118">
        <f>CL1308/$CD$36</f>
        <v>1666.1160777855976</v>
      </c>
      <c r="CN1308" s="183"/>
      <c r="CO1308" s="183"/>
      <c r="CP1308" s="186">
        <v>1</v>
      </c>
      <c r="CQ1308" s="118">
        <f>+CM1308</f>
        <v>1666.1160777855976</v>
      </c>
      <c r="CR1308" s="119"/>
      <c r="CS1308" s="119"/>
      <c r="CT1308" s="177"/>
      <c r="CU1308" s="177"/>
      <c r="CV1308" s="119" t="e">
        <f>VLOOKUP($H1308,RoR!$E:$F,2,FALSE)</f>
        <v>#N/A</v>
      </c>
      <c r="CW1308" s="177">
        <v>1.1028127770464469E-2</v>
      </c>
      <c r="CX1308" s="177"/>
      <c r="CY1308" s="177"/>
      <c r="CZ1308" s="177"/>
      <c r="DA1308" s="187"/>
      <c r="DB1308" s="190" t="e">
        <f>2/(DK1308*39)</f>
        <v>#N/A</v>
      </c>
      <c r="DC1308" s="188" t="e">
        <f>+(DK1308*40-(1+DK1308))/(DK1308*40)</f>
        <v>#N/A</v>
      </c>
      <c r="DD1308" s="188" t="e">
        <f>+(1-(1/(1+DK1308)^40))</f>
        <v>#N/A</v>
      </c>
      <c r="DE1308" s="188" t="e">
        <f>+DD1308*DC1308*DB1308</f>
        <v>#N/A</v>
      </c>
      <c r="DF1308" s="189">
        <f>INDEX('State Tax Lookup'!$D$7:$Z$91,MATCH(Calculation!$C1308,'State Tax Lookup'!$B$7:$B$91,0),MATCH($H1308,'State Tax Lookup'!$D$6:$Z$6,0))</f>
        <v>0.40200000000000002</v>
      </c>
      <c r="DG1308" s="189">
        <v>0.375</v>
      </c>
      <c r="DH1308" s="183"/>
      <c r="DI1308" s="183"/>
      <c r="DJ1308" s="177"/>
      <c r="DK1308" s="189" t="e">
        <f>VLOOKUP($H1308,RoR!$E:$F,2,FALSE)</f>
        <v>#N/A</v>
      </c>
      <c r="DL1308" s="191">
        <f>HLOOKUP($H1308,'GDP-PI'!$D$8:$CQ$11,3,FALSE)</f>
        <v>1.1028127770464469E-2</v>
      </c>
      <c r="DM1308" s="189">
        <f>VLOOKUP(H1308,'HW Dx Data'!$E:$F,2,FALSE)</f>
        <v>329.24564746449528</v>
      </c>
      <c r="DN1308" s="183" t="e">
        <f>VLOOKUP(H1308,'ECI - Input Price'!$G$17:$H$37,2,FALSE)</f>
        <v>#N/A</v>
      </c>
      <c r="DO1308" s="177"/>
      <c r="DP1308" s="183">
        <f>HLOOKUP(H1308,'GDP-PI'!$8:$9,2,FALSE)</f>
        <v>75.266999999999996</v>
      </c>
    </row>
    <row r="1309" spans="1:121" s="167" customFormat="1" ht="21" x14ac:dyDescent="0.35">
      <c r="A1309" s="167" t="s">
        <v>121</v>
      </c>
      <c r="B1309" s="167" t="s">
        <v>122</v>
      </c>
      <c r="C1309" s="167">
        <v>4064141</v>
      </c>
      <c r="D1309" s="168" t="s">
        <v>140</v>
      </c>
      <c r="E1309" s="168" t="s">
        <v>126</v>
      </c>
      <c r="F1309" s="198"/>
      <c r="G1309" s="167" t="s">
        <v>5</v>
      </c>
      <c r="H1309" s="169">
        <v>1999</v>
      </c>
      <c r="I1309" s="170"/>
      <c r="J1309" s="166"/>
      <c r="K1309" s="170"/>
      <c r="L1309" s="170"/>
      <c r="M1309" s="166"/>
      <c r="N1309" s="173"/>
      <c r="O1309" s="170"/>
      <c r="P1309" s="177"/>
      <c r="Q1309" s="177"/>
      <c r="R1309" s="177"/>
      <c r="S1309" s="195"/>
      <c r="T1309" s="177"/>
      <c r="U1309" s="177"/>
      <c r="V1309" s="166">
        <f t="shared" ref="V1309:V1331" si="3932">+CQ1308*DH1309</f>
        <v>0</v>
      </c>
      <c r="W1309" s="170"/>
      <c r="X1309" s="174">
        <v>1802.4627478393556</v>
      </c>
      <c r="Y1309" s="175">
        <v>7.8658707164016975E-2</v>
      </c>
      <c r="Z1309" s="175"/>
      <c r="AA1309" s="175"/>
      <c r="AB1309" s="175"/>
      <c r="AC1309" s="170">
        <f t="shared" si="3845"/>
        <v>0</v>
      </c>
      <c r="AD1309" s="175"/>
      <c r="AE1309" s="170"/>
      <c r="AF1309" s="119"/>
      <c r="AG1309" s="174"/>
      <c r="AH1309" s="175"/>
      <c r="AI1309" s="175"/>
      <c r="AJ1309" s="174"/>
      <c r="AK1309" s="174"/>
      <c r="AL1309" s="120"/>
      <c r="AM1309" s="120"/>
      <c r="AN1309" s="120"/>
      <c r="AO1309" s="120"/>
      <c r="AP1309" s="120"/>
      <c r="AQ1309" s="175"/>
      <c r="AR1309" s="120"/>
      <c r="AS1309" s="120"/>
      <c r="AT1309" s="120"/>
      <c r="AU1309" s="120"/>
      <c r="AV1309" s="120"/>
      <c r="AW1309" s="120"/>
      <c r="AX1309" s="120"/>
      <c r="AY1309" s="120"/>
      <c r="AZ1309" s="118">
        <f>IFERROR(INDEX('Total Customers'!$F$7:$AB$91,MATCH($C1309,'Total Customers'!$D$7:$D$91,0),MATCH($G1309,'Total Customers'!$F$5:$AB$5,0)),"NA")</f>
        <v>184711</v>
      </c>
      <c r="BA1309" s="119">
        <f t="shared" ref="BA1309:BA1331" si="3933">LN(AZ1309/AZ1308)</f>
        <v>5.5102241171642533E-3</v>
      </c>
      <c r="BB1309" s="119"/>
      <c r="BC1309" s="121"/>
      <c r="BD1309" s="119"/>
      <c r="BE1309" s="119"/>
      <c r="BF1309" s="119"/>
      <c r="BG1309" s="173"/>
      <c r="BH1309" s="173"/>
      <c r="BI1309" s="173"/>
      <c r="BJ1309" s="173"/>
      <c r="BK1309" s="173"/>
      <c r="BL1309" s="173"/>
      <c r="BM1309" s="173"/>
      <c r="BN1309" s="173"/>
      <c r="BO1309" s="173"/>
      <c r="BP1309" s="173"/>
      <c r="BQ1309" s="118"/>
      <c r="BR1309" s="118"/>
      <c r="BS1309" s="118">
        <f>INDEX('Dist. Plant Gas Additions'!$F$7:$AE$91,MATCH($C1309,'Dist. Plant Gas Additions'!$D$7:$D$91,0),MATCH(Calculation!$G1309,'Dist. Plant Gas Additions'!$F$5:$AE$5,0))</f>
        <v>20230</v>
      </c>
      <c r="BT1309" s="118">
        <f>INDEX('Gen. Plant Additions'!$F$7:$AE$91,MATCH($C1309,'Gen. Plant Additions'!$D$7:$D$91,0),MATCH(Calculation!$G1309,'Gen. Plant Additions'!$F$5:$AE$5,0))</f>
        <v>28270</v>
      </c>
      <c r="BU1309" s="118"/>
      <c r="BV1309" s="118"/>
      <c r="BW1309" s="118">
        <f>INDEX('Dist Plant Depreciation'!$E$7:$AD$94,MATCH($C1309,'Dist Plant Depreciation'!$D$7:$D$94,0),MATCH(Calculation!$G1309,'Dist Plant Depreciation'!$E$5:$AD$5,0))</f>
        <v>204357</v>
      </c>
      <c r="BX1309" s="118">
        <f>INDEX('Gen. Plant Depreciation'!$E$7:$AD$94,MATCH($C1309,'Gen. Plant Depreciation'!$D$7:$D$94,0),MATCH(Calculation!$G1309,'Gen. Plant Depreciation'!$E$5:$AD$5,0))</f>
        <v>12606</v>
      </c>
      <c r="BY1309" s="118"/>
      <c r="BZ1309" s="118"/>
      <c r="CA1309" s="118"/>
      <c r="CB1309" s="118"/>
      <c r="CC1309" s="118"/>
      <c r="CD1309" s="183"/>
      <c r="CE1309" s="118">
        <f>INDEX('Gross Dx Plant'!$E$7:$AD$91,MATCH($C1309,'Gross Dx Plant'!$D$7:$D$91,0),MATCH(Calculation!$G1309,'Gross Dx Plant'!$E$5:$AD$5,0))</f>
        <v>516461</v>
      </c>
      <c r="CF1309" s="118">
        <f>INDEX('Gross Gen Plant'!$E$7:$AD$91,MATCH($C1309,'Gross Gen Plant'!$D$7:$D$91,0),MATCH(Calculation!$G1309,'Gross Gen Plant'!$E$5:$AD$5,0))</f>
        <v>64958</v>
      </c>
      <c r="CG1309" s="118">
        <f t="shared" si="3767"/>
        <v>364456</v>
      </c>
      <c r="CH1309" s="118"/>
      <c r="CI1309" s="121">
        <v>1999</v>
      </c>
      <c r="CJ1309" s="118"/>
      <c r="CK1309" s="118"/>
      <c r="CL1309" s="118"/>
      <c r="CM1309" s="183"/>
      <c r="CN1309" s="118">
        <f t="shared" ref="CN1309:CN1331" si="3934">+BT1309+BS1309</f>
        <v>48500</v>
      </c>
      <c r="CO1309" s="118">
        <f t="shared" ref="CO1309:CO1331" si="3935">+CN1309/$DM1309</f>
        <v>144.63580476910926</v>
      </c>
      <c r="CP1309" s="186">
        <v>0.99502487562189057</v>
      </c>
      <c r="CQ1309" s="118">
        <f>+CQ1308*CP1309+CO1309</f>
        <v>1802.4627478393556</v>
      </c>
      <c r="CR1309" s="119">
        <f t="shared" ref="CR1309:CR1330" si="3936">LN(CQ1309/CQ1308)</f>
        <v>7.8658707164016975E-2</v>
      </c>
      <c r="CS1309" s="119"/>
      <c r="CT1309" s="177">
        <f t="shared" ref="CT1309:CT1331" si="3937">+(CQ1308-CQ1309+CO1309)/CQ1308</f>
        <v>4.9751243781094145E-3</v>
      </c>
      <c r="CU1309" s="177"/>
      <c r="CV1309" s="119">
        <f>VLOOKUP($H1309,RoR!$E:$F,2,FALSE)</f>
        <v>7.0416666666666669E-2</v>
      </c>
      <c r="CW1309" s="177">
        <v>1.4335631817396832E-2</v>
      </c>
      <c r="CX1309" s="177">
        <f>+CV1309-CW1309</f>
        <v>5.6081034849269837E-2</v>
      </c>
      <c r="CY1309" s="177"/>
      <c r="CZ1309" s="177"/>
      <c r="DA1309" s="187">
        <f t="shared" ref="DA1309:DA1331" si="3938">1-DF1309*DG1309</f>
        <v>0.84925000000000006</v>
      </c>
      <c r="DB1309" s="188">
        <f t="shared" ref="DB1309:DB1331" si="3939">2/(DK1309*39)</f>
        <v>0.72826581702321336</v>
      </c>
      <c r="DC1309" s="188">
        <f t="shared" ref="DC1309:DC1331" si="3940">+(DK1309*40-(1+DK1309))/(DK1309*40)</f>
        <v>0.61997041420118348</v>
      </c>
      <c r="DD1309" s="188">
        <f t="shared" ref="DD1309:DD1331" si="3941">+(1-(1/(1+DK1309)^40))</f>
        <v>0.93425155319585029</v>
      </c>
      <c r="DE1309" s="188">
        <f t="shared" ref="DE1309:DE1331" si="3942">+DD1309*DC1309*DB1309</f>
        <v>0.42181762214141483</v>
      </c>
      <c r="DF1309" s="189">
        <f>INDEX('State Tax Lookup'!$D$7:$Z$91,MATCH(Calculation!$C1309,'State Tax Lookup'!$B$7:$B$91,0),MATCH($H1309,'State Tax Lookup'!$D$6:$Z$6,0))</f>
        <v>0.40200000000000002</v>
      </c>
      <c r="DG1309" s="189">
        <v>0.375</v>
      </c>
      <c r="DH1309" s="190"/>
      <c r="DI1309" s="190"/>
      <c r="DJ1309" s="177"/>
      <c r="DK1309" s="189">
        <f>VLOOKUP($H1309,RoR!$E:$F,2,FALSE)</f>
        <v>7.0416666666666669E-2</v>
      </c>
      <c r="DL1309" s="191">
        <f>HLOOKUP($H1309,'GDP-PI'!$D$8:$CQ$11,3,FALSE)</f>
        <v>1.4335631817396832E-2</v>
      </c>
      <c r="DM1309" s="189">
        <f>VLOOKUP(H1309,'HW Dx Data'!$E:$F,2,FALSE)</f>
        <v>335.32499146683239</v>
      </c>
      <c r="DN1309" s="183" t="e">
        <f>VLOOKUP(H1309,'ECI - Input Price'!$G$17:$H$37,2,FALSE)</f>
        <v>#N/A</v>
      </c>
      <c r="DO1309" s="177"/>
      <c r="DP1309" s="183">
        <f>HLOOKUP(H1309,'GDP-PI'!$8:$9,2,FALSE)</f>
        <v>76.346000000000004</v>
      </c>
    </row>
    <row r="1310" spans="1:121" s="167" customFormat="1" ht="21" x14ac:dyDescent="0.35">
      <c r="A1310" s="167" t="s">
        <v>121</v>
      </c>
      <c r="B1310" s="167" t="s">
        <v>122</v>
      </c>
      <c r="C1310" s="167">
        <v>4064141</v>
      </c>
      <c r="D1310" s="168" t="s">
        <v>140</v>
      </c>
      <c r="E1310" s="168" t="s">
        <v>126</v>
      </c>
      <c r="F1310" s="198"/>
      <c r="G1310" s="167" t="s">
        <v>6</v>
      </c>
      <c r="H1310" s="169">
        <v>2000</v>
      </c>
      <c r="I1310" s="170"/>
      <c r="J1310" s="166"/>
      <c r="K1310" s="166"/>
      <c r="L1310" s="166"/>
      <c r="M1310" s="166"/>
      <c r="N1310" s="196"/>
      <c r="O1310" s="166"/>
      <c r="P1310" s="166"/>
      <c r="Q1310" s="166"/>
      <c r="R1310" s="166"/>
      <c r="S1310" s="166"/>
      <c r="T1310" s="166"/>
      <c r="U1310" s="166"/>
      <c r="V1310" s="166">
        <f t="shared" si="3932"/>
        <v>0</v>
      </c>
      <c r="W1310" s="170"/>
      <c r="X1310" s="174">
        <v>1852.0052048717012</v>
      </c>
      <c r="Y1310" s="175">
        <v>2.7115023603239755E-2</v>
      </c>
      <c r="Z1310" s="175"/>
      <c r="AA1310" s="175"/>
      <c r="AB1310" s="175"/>
      <c r="AC1310" s="170">
        <f t="shared" si="3845"/>
        <v>0</v>
      </c>
      <c r="AD1310" s="175"/>
      <c r="AE1310" s="170"/>
      <c r="AF1310" s="170"/>
      <c r="AG1310" s="174"/>
      <c r="AH1310" s="175"/>
      <c r="AI1310" s="175"/>
      <c r="AJ1310" s="174"/>
      <c r="AK1310" s="174"/>
      <c r="AL1310" s="120"/>
      <c r="AM1310" s="120"/>
      <c r="AN1310" s="120"/>
      <c r="AO1310" s="120"/>
      <c r="AP1310" s="120"/>
      <c r="AQ1310" s="175"/>
      <c r="AR1310" s="120"/>
      <c r="AS1310" s="120"/>
      <c r="AT1310" s="120"/>
      <c r="AU1310" s="120"/>
      <c r="AV1310" s="120"/>
      <c r="AW1310" s="120"/>
      <c r="AX1310" s="120"/>
      <c r="AY1310" s="120"/>
      <c r="AZ1310" s="118">
        <f>IFERROR(INDEX('Total Customers'!$F$7:$AB$91,MATCH($C1310,'Total Customers'!$D$7:$D$91,0),MATCH($G1310,'Total Customers'!$F$5:$AB$5,0)),"NA")</f>
        <v>185373</v>
      </c>
      <c r="BA1310" s="119">
        <f t="shared" si="3933"/>
        <v>3.5775699899395779E-3</v>
      </c>
      <c r="BB1310" s="119"/>
      <c r="BC1310" s="121"/>
      <c r="BD1310" s="119"/>
      <c r="BE1310" s="119"/>
      <c r="BF1310" s="119"/>
      <c r="BG1310" s="173"/>
      <c r="BH1310" s="173"/>
      <c r="BI1310" s="173"/>
      <c r="BJ1310" s="173"/>
      <c r="BK1310" s="173"/>
      <c r="BL1310" s="173"/>
      <c r="BM1310" s="173"/>
      <c r="BN1310" s="173"/>
      <c r="BO1310" s="173"/>
      <c r="BP1310" s="173"/>
      <c r="BQ1310" s="118"/>
      <c r="BR1310" s="118"/>
      <c r="BS1310" s="118">
        <f>INDEX('Dist. Plant Gas Additions'!$F$7:$AE$91,MATCH($C1310,'Dist. Plant Gas Additions'!$D$7:$D$91,0),MATCH(Calculation!$G1310,'Dist. Plant Gas Additions'!$F$5:$AE$5,0))</f>
        <v>17984</v>
      </c>
      <c r="BT1310" s="118">
        <f>INDEX('Gen. Plant Additions'!$F$7:$AE$91,MATCH($C1310,'Gen. Plant Additions'!$D$7:$D$91,0),MATCH(Calculation!$G1310,'Gen. Plant Additions'!$F$5:$AE$5,0))</f>
        <v>2393</v>
      </c>
      <c r="BU1310" s="118"/>
      <c r="BV1310" s="118"/>
      <c r="BW1310" s="118" t="str">
        <f>INDEX('Dist Plant Depreciation'!$E$7:$AD$94,MATCH($C1310,'Dist Plant Depreciation'!$D$7:$D$94,0),MATCH(Calculation!$G1310,'Dist Plant Depreciation'!$E$5:$AD$5,0))</f>
        <v>NA</v>
      </c>
      <c r="BX1310" s="118" t="str">
        <f>INDEX('Gen. Plant Depreciation'!$E$7:$AD$94,MATCH($C1310,'Gen. Plant Depreciation'!$D$7:$D$94,0),MATCH(Calculation!$G1310,'Gen. Plant Depreciation'!$E$5:$AD$5,0))</f>
        <v>NA</v>
      </c>
      <c r="BY1310" s="118"/>
      <c r="BZ1310" s="118"/>
      <c r="CA1310" s="118"/>
      <c r="CB1310" s="118"/>
      <c r="CC1310" s="118"/>
      <c r="CD1310" s="183"/>
      <c r="CE1310" s="118">
        <f>INDEX('Gross Dx Plant'!$E$7:$AD$91,MATCH($C1310,'Gross Dx Plant'!$D$7:$D$91,0),MATCH(Calculation!$G1310,'Gross Dx Plant'!$E$5:$AD$5,0))</f>
        <v>530802</v>
      </c>
      <c r="CF1310" s="118">
        <f>INDEX('Gross Gen Plant'!$E$7:$AD$91,MATCH($C1310,'Gross Gen Plant'!$D$7:$D$91,0),MATCH(Calculation!$G1310,'Gross Gen Plant'!$E$5:$AD$5,0))</f>
        <v>67051</v>
      </c>
      <c r="CG1310" s="118" t="str">
        <f t="shared" si="3767"/>
        <v>NA</v>
      </c>
      <c r="CH1310" s="118"/>
      <c r="CI1310" s="121">
        <v>2000</v>
      </c>
      <c r="CJ1310" s="118"/>
      <c r="CK1310" s="118"/>
      <c r="CL1310" s="118"/>
      <c r="CM1310" s="183"/>
      <c r="CN1310" s="118">
        <f t="shared" si="3934"/>
        <v>20377</v>
      </c>
      <c r="CO1310" s="118">
        <f t="shared" si="3935"/>
        <v>58.802358766415978</v>
      </c>
      <c r="CP1310" s="186">
        <v>0.98989898989898994</v>
      </c>
      <c r="CQ1310" s="118">
        <f>+CQ1308*CP1310+CO1309*CP1309+CO1310</f>
        <v>1852.0052048717012</v>
      </c>
      <c r="CR1310" s="119">
        <f t="shared" si="3936"/>
        <v>2.7115023603239755E-2</v>
      </c>
      <c r="CS1310" s="119"/>
      <c r="CT1310" s="177">
        <f t="shared" si="3937"/>
        <v>5.1373609497175335E-3</v>
      </c>
      <c r="CU1310" s="177"/>
      <c r="CV1310" s="119">
        <f>VLOOKUP($H1310,RoR!$E:$F,2,FALSE)</f>
        <v>7.6225000000000001E-2</v>
      </c>
      <c r="CW1310" s="177">
        <v>2.2568307442433211E-2</v>
      </c>
      <c r="CX1310" s="177">
        <f t="shared" ref="CX1310:CX1330" si="3943">+CV1310-CW1310</f>
        <v>5.365669255756679E-2</v>
      </c>
      <c r="CY1310" s="177"/>
      <c r="CZ1310" s="177"/>
      <c r="DA1310" s="187">
        <f t="shared" si="3938"/>
        <v>0.84925000000000006</v>
      </c>
      <c r="DB1310" s="188">
        <f t="shared" si="3939"/>
        <v>0.67277207323124022</v>
      </c>
      <c r="DC1310" s="188">
        <f t="shared" si="3940"/>
        <v>0.6470236142997704</v>
      </c>
      <c r="DD1310" s="188">
        <f t="shared" si="3941"/>
        <v>0.94704866037543145</v>
      </c>
      <c r="DE1310" s="188">
        <f t="shared" si="3942"/>
        <v>0.41224973107878493</v>
      </c>
      <c r="DF1310" s="189">
        <f>INDEX('State Tax Lookup'!$D$7:$Z$91,MATCH(Calculation!$C1310,'State Tax Lookup'!$B$7:$B$91,0),MATCH($H1310,'State Tax Lookup'!$D$6:$Z$6,0))</f>
        <v>0.40200000000000002</v>
      </c>
      <c r="DG1310" s="189">
        <v>0.375</v>
      </c>
      <c r="DH1310" s="190"/>
      <c r="DI1310" s="190"/>
      <c r="DJ1310" s="177"/>
      <c r="DK1310" s="189">
        <f>VLOOKUP($H1310,RoR!$E:$F,2,FALSE)</f>
        <v>7.6225000000000001E-2</v>
      </c>
      <c r="DL1310" s="191">
        <f>HLOOKUP($H1310,'GDP-PI'!$D$8:$CQ$11,3,FALSE)</f>
        <v>2.2568307442433211E-2</v>
      </c>
      <c r="DM1310" s="189">
        <f>VLOOKUP(H1310,'HW Dx Data'!$E:$F,2,FALSE)</f>
        <v>346.53371782150339</v>
      </c>
      <c r="DN1310" s="183" t="e">
        <f>VLOOKUP(H1310,'ECI - Input Price'!$G$17:$H$37,2,FALSE)</f>
        <v>#N/A</v>
      </c>
      <c r="DO1310" s="177"/>
      <c r="DP1310" s="183">
        <f>HLOOKUP(H1310,'GDP-PI'!$8:$9,2,FALSE)</f>
        <v>78.069000000000003</v>
      </c>
    </row>
    <row r="1311" spans="1:121" s="167" customFormat="1" ht="21" x14ac:dyDescent="0.35">
      <c r="A1311" s="167" t="s">
        <v>121</v>
      </c>
      <c r="B1311" s="167" t="s">
        <v>122</v>
      </c>
      <c r="C1311" s="167">
        <v>4064141</v>
      </c>
      <c r="D1311" s="168" t="s">
        <v>140</v>
      </c>
      <c r="E1311" s="168" t="s">
        <v>126</v>
      </c>
      <c r="F1311" s="198"/>
      <c r="G1311" s="167" t="s">
        <v>7</v>
      </c>
      <c r="H1311" s="169">
        <v>2001</v>
      </c>
      <c r="I1311" s="170"/>
      <c r="J1311" s="166"/>
      <c r="K1311" s="166"/>
      <c r="L1311" s="166"/>
      <c r="M1311" s="166"/>
      <c r="N1311" s="196"/>
      <c r="O1311" s="166"/>
      <c r="P1311" s="166"/>
      <c r="Q1311" s="166"/>
      <c r="R1311" s="166"/>
      <c r="S1311" s="166"/>
      <c r="T1311" s="166"/>
      <c r="U1311" s="166"/>
      <c r="V1311" s="166">
        <f t="shared" si="3932"/>
        <v>23933.29964995151</v>
      </c>
      <c r="W1311" s="170"/>
      <c r="X1311" s="174">
        <v>1923.5505825829398</v>
      </c>
      <c r="Y1311" s="175">
        <v>3.7903793396278036E-2</v>
      </c>
      <c r="Z1311" s="175"/>
      <c r="AA1311" s="175"/>
      <c r="AB1311" s="175"/>
      <c r="AC1311" s="170">
        <f t="shared" si="3845"/>
        <v>23933.29964995151</v>
      </c>
      <c r="AD1311" s="175"/>
      <c r="AE1311" s="170"/>
      <c r="AF1311" s="170"/>
      <c r="AG1311" s="174"/>
      <c r="AH1311" s="175"/>
      <c r="AI1311" s="175"/>
      <c r="AJ1311" s="174"/>
      <c r="AK1311" s="174"/>
      <c r="AL1311" s="120"/>
      <c r="AM1311" s="120"/>
      <c r="AN1311" s="120"/>
      <c r="AO1311" s="120"/>
      <c r="AP1311" s="120"/>
      <c r="AQ1311" s="175"/>
      <c r="AR1311" s="120"/>
      <c r="AS1311" s="120"/>
      <c r="AT1311" s="120"/>
      <c r="AU1311" s="120"/>
      <c r="AV1311" s="120"/>
      <c r="AW1311" s="120"/>
      <c r="AX1311" s="120"/>
      <c r="AY1311" s="120"/>
      <c r="AZ1311" s="118">
        <f>IFERROR(INDEX('Total Customers'!$F$7:$AB$91,MATCH($C1311,'Total Customers'!$D$7:$D$91,0),MATCH($G1311,'Total Customers'!$F$5:$AB$5,0)),"NA")</f>
        <v>191112</v>
      </c>
      <c r="BA1311" s="119">
        <f t="shared" si="3933"/>
        <v>3.0489632164693515E-2</v>
      </c>
      <c r="BB1311" s="119"/>
      <c r="BC1311" s="121"/>
      <c r="BD1311" s="119"/>
      <c r="BE1311" s="119"/>
      <c r="BF1311" s="119"/>
      <c r="BG1311" s="173"/>
      <c r="BH1311" s="173"/>
      <c r="BI1311" s="173"/>
      <c r="BJ1311" s="173"/>
      <c r="BK1311" s="173"/>
      <c r="BL1311" s="173"/>
      <c r="BM1311" s="173"/>
      <c r="BN1311" s="173"/>
      <c r="BO1311" s="173"/>
      <c r="BP1311" s="173"/>
      <c r="BQ1311" s="118"/>
      <c r="BR1311" s="118"/>
      <c r="BS1311" s="118">
        <f>INDEX('Dist. Plant Gas Additions'!$F$7:$AE$91,MATCH($C1311,'Dist. Plant Gas Additions'!$D$7:$D$91,0),MATCH(Calculation!$G1311,'Dist. Plant Gas Additions'!$F$5:$AE$5,0))</f>
        <v>23946</v>
      </c>
      <c r="BT1311" s="118">
        <f>INDEX('Gen. Plant Additions'!$F$7:$AE$91,MATCH($C1311,'Gen. Plant Additions'!$D$7:$D$91,0),MATCH(Calculation!$G1311,'Gen. Plant Additions'!$F$5:$AE$5,0))</f>
        <v>4715</v>
      </c>
      <c r="BU1311" s="118"/>
      <c r="BV1311" s="118"/>
      <c r="BW1311" s="118" t="str">
        <f>INDEX('Dist Plant Depreciation'!$E$7:$AD$94,MATCH($C1311,'Dist Plant Depreciation'!$D$7:$D$94,0),MATCH(Calculation!$G1311,'Dist Plant Depreciation'!$E$5:$AD$5,0))</f>
        <v>NA</v>
      </c>
      <c r="BX1311" s="118" t="str">
        <f>INDEX('Gen. Plant Depreciation'!$E$7:$AD$94,MATCH($C1311,'Gen. Plant Depreciation'!$D$7:$D$94,0),MATCH(Calculation!$G1311,'Gen. Plant Depreciation'!$E$5:$AD$5,0))</f>
        <v>NA</v>
      </c>
      <c r="BY1311" s="118"/>
      <c r="BZ1311" s="118"/>
      <c r="CA1311" s="118"/>
      <c r="CB1311" s="118"/>
      <c r="CC1311" s="118"/>
      <c r="CD1311" s="183"/>
      <c r="CE1311" s="118">
        <f>INDEX('Gross Dx Plant'!$E$7:$AD$91,MATCH($C1311,'Gross Dx Plant'!$D$7:$D$91,0),MATCH(Calculation!$G1311,'Gross Dx Plant'!$E$5:$AD$5,0))</f>
        <v>556525</v>
      </c>
      <c r="CF1311" s="118">
        <f>INDEX('Gross Gen Plant'!$E$7:$AD$91,MATCH($C1311,'Gross Gen Plant'!$D$7:$D$91,0),MATCH(Calculation!$G1311,'Gross Gen Plant'!$E$5:$AD$5,0))</f>
        <v>67961</v>
      </c>
      <c r="CG1311" s="118" t="str">
        <f t="shared" si="3767"/>
        <v>NA</v>
      </c>
      <c r="CH1311" s="118"/>
      <c r="CI1311" s="121">
        <v>2001</v>
      </c>
      <c r="CJ1311" s="118"/>
      <c r="CK1311" s="118"/>
      <c r="CL1311" s="118"/>
      <c r="CM1311" s="183"/>
      <c r="CN1311" s="118">
        <f t="shared" si="3934"/>
        <v>28661</v>
      </c>
      <c r="CO1311" s="118">
        <f t="shared" si="3935"/>
        <v>81.089864029612968</v>
      </c>
      <c r="CP1311" s="186">
        <v>0.98461538461538467</v>
      </c>
      <c r="CQ1311" s="118">
        <f>+CQ1308*CP1311+CO1309*CP1310+CO1310*CP1308+CO1311</f>
        <v>1923.5505825829398</v>
      </c>
      <c r="CR1311" s="119">
        <f t="shared" si="3936"/>
        <v>3.7903793396278036E-2</v>
      </c>
      <c r="CS1311" s="119"/>
      <c r="CT1311" s="177">
        <f t="shared" si="3937"/>
        <v>5.153595839400206E-3</v>
      </c>
      <c r="CU1311" s="177">
        <f>+(CT1311+CT1310+CT1309)/3</f>
        <v>5.0886937224090519E-3</v>
      </c>
      <c r="CV1311" s="119">
        <f>VLOOKUP($H1311,RoR!$E:$F,2,FALSE)</f>
        <v>7.0824999999999999E-2</v>
      </c>
      <c r="CW1311" s="177">
        <v>2.2454495382290052E-2</v>
      </c>
      <c r="CX1311" s="177">
        <f t="shared" si="3943"/>
        <v>4.8370504617709947E-2</v>
      </c>
      <c r="CY1311" s="177">
        <f>+$CX$35-CU1311</f>
        <v>2.5813247886124574E-2</v>
      </c>
      <c r="CZ1311" s="177">
        <f>+((DM1309/DM1308-1)+(DM1310/DM1309-1)+(DM1311/DM1310-1))/3</f>
        <v>2.3947275901631187E-2</v>
      </c>
      <c r="DA1311" s="187">
        <f t="shared" si="3938"/>
        <v>0.84925000000000006</v>
      </c>
      <c r="DB1311" s="188">
        <f t="shared" si="3939"/>
        <v>0.72406708481540816</v>
      </c>
      <c r="DC1311" s="188">
        <f t="shared" si="3940"/>
        <v>0.62201729615248857</v>
      </c>
      <c r="DD1311" s="188">
        <f t="shared" si="3941"/>
        <v>0.9352469954311422</v>
      </c>
      <c r="DE1311" s="188">
        <f t="shared" si="3942"/>
        <v>0.42121864641655071</v>
      </c>
      <c r="DF1311" s="189">
        <f>INDEX('State Tax Lookup'!$D$7:$Z$91,MATCH(Calculation!$C1311,'State Tax Lookup'!$B$7:$B$91,0),MATCH($H1311,'State Tax Lookup'!$D$6:$Z$6,0))</f>
        <v>0.40200000000000002</v>
      </c>
      <c r="DG1311" s="189">
        <v>0.375</v>
      </c>
      <c r="DH1311" s="190">
        <f t="shared" ref="DH1311:DH1331" si="3944">+(DM1311*CY1311-CZ1311)*DA1311/(1-DF1311)</f>
        <v>12.92291165650882</v>
      </c>
      <c r="DI1311" s="190"/>
      <c r="DJ1311" s="177"/>
      <c r="DK1311" s="189">
        <f>VLOOKUP($H1311,RoR!$E:$F,2,FALSE)</f>
        <v>7.0824999999999999E-2</v>
      </c>
      <c r="DL1311" s="191">
        <f>HLOOKUP($H1311,'GDP-PI'!$D$8:$CQ$11,3,FALSE)</f>
        <v>2.2454495382290052E-2</v>
      </c>
      <c r="DM1311" s="189">
        <f>VLOOKUP(H1311,'HW Dx Data'!$E:$F,2,FALSE)</f>
        <v>353.44738017483138</v>
      </c>
      <c r="DN1311" s="183">
        <f>VLOOKUP(H1311,'ECI - Input Price'!$G$17:$H$37,2,FALSE)</f>
        <v>86.2</v>
      </c>
      <c r="DO1311" s="177"/>
      <c r="DP1311" s="183">
        <f>HLOOKUP(H1311,'GDP-PI'!$8:$9,2,FALSE)</f>
        <v>79.822000000000003</v>
      </c>
    </row>
    <row r="1312" spans="1:121" s="167" customFormat="1" ht="21" x14ac:dyDescent="0.35">
      <c r="A1312" s="167" t="s">
        <v>121</v>
      </c>
      <c r="B1312" s="167" t="s">
        <v>122</v>
      </c>
      <c r="C1312" s="167">
        <v>4064141</v>
      </c>
      <c r="D1312" s="168" t="s">
        <v>140</v>
      </c>
      <c r="E1312" s="168" t="s">
        <v>126</v>
      </c>
      <c r="F1312" s="198"/>
      <c r="G1312" s="167" t="s">
        <v>8</v>
      </c>
      <c r="H1312" s="169">
        <v>2002</v>
      </c>
      <c r="I1312" s="170"/>
      <c r="J1312" s="166"/>
      <c r="K1312" s="166"/>
      <c r="L1312" s="166"/>
      <c r="M1312" s="166"/>
      <c r="N1312" s="196"/>
      <c r="O1312" s="166"/>
      <c r="P1312" s="166"/>
      <c r="Q1312" s="166"/>
      <c r="R1312" s="166"/>
      <c r="S1312" s="166"/>
      <c r="T1312" s="166"/>
      <c r="U1312" s="166"/>
      <c r="V1312" s="166">
        <f t="shared" si="3932"/>
        <v>25194.233617865873</v>
      </c>
      <c r="W1312" s="170"/>
      <c r="X1312" s="174">
        <v>2052.2299727388827</v>
      </c>
      <c r="Y1312" s="175">
        <v>6.4754253491504363E-2</v>
      </c>
      <c r="Z1312" s="175"/>
      <c r="AA1312" s="175"/>
      <c r="AB1312" s="175"/>
      <c r="AC1312" s="170">
        <f t="shared" si="3845"/>
        <v>25194.233617865873</v>
      </c>
      <c r="AD1312" s="175"/>
      <c r="AE1312" s="170"/>
      <c r="AF1312" s="170"/>
      <c r="AG1312" s="174"/>
      <c r="AH1312" s="175"/>
      <c r="AI1312" s="175"/>
      <c r="AJ1312" s="174"/>
      <c r="AK1312" s="174"/>
      <c r="AL1312" s="120"/>
      <c r="AM1312" s="120"/>
      <c r="AN1312" s="120"/>
      <c r="AO1312" s="120"/>
      <c r="AP1312" s="120"/>
      <c r="AQ1312" s="175"/>
      <c r="AR1312" s="120"/>
      <c r="AS1312" s="120"/>
      <c r="AT1312" s="120"/>
      <c r="AU1312" s="120"/>
      <c r="AV1312" s="120"/>
      <c r="AW1312" s="120"/>
      <c r="AX1312" s="120"/>
      <c r="AY1312" s="120"/>
      <c r="AZ1312" s="118">
        <f>IFERROR(INDEX('Total Customers'!$F$7:$AB$91,MATCH($C1312,'Total Customers'!$D$7:$D$91,0),MATCH($G1312,'Total Customers'!$F$5:$AB$5,0)),"NA")</f>
        <v>190984</v>
      </c>
      <c r="BA1312" s="119">
        <f t="shared" si="3933"/>
        <v>-6.6998871900309117E-4</v>
      </c>
      <c r="BB1312" s="119"/>
      <c r="BC1312" s="121"/>
      <c r="BD1312" s="119"/>
      <c r="BE1312" s="119"/>
      <c r="BF1312" s="119"/>
      <c r="BG1312" s="173"/>
      <c r="BH1312" s="173"/>
      <c r="BI1312" s="173"/>
      <c r="BJ1312" s="173"/>
      <c r="BK1312" s="173"/>
      <c r="BL1312" s="173"/>
      <c r="BM1312" s="173"/>
      <c r="BN1312" s="173"/>
      <c r="BO1312" s="173"/>
      <c r="BP1312" s="173"/>
      <c r="BQ1312" s="118"/>
      <c r="BR1312" s="118"/>
      <c r="BS1312" s="118">
        <f>INDEX('Dist. Plant Gas Additions'!$F$7:$AE$91,MATCH($C1312,'Dist. Plant Gas Additions'!$D$7:$D$91,0),MATCH(Calculation!$G1312,'Dist. Plant Gas Additions'!$F$5:$AE$5,0))</f>
        <v>44077</v>
      </c>
      <c r="BT1312" s="118">
        <f>INDEX('Gen. Plant Additions'!$F$7:$AE$91,MATCH($C1312,'Gen. Plant Additions'!$D$7:$D$91,0),MATCH(Calculation!$G1312,'Gen. Plant Additions'!$F$5:$AE$5,0))</f>
        <v>6338</v>
      </c>
      <c r="BU1312" s="118"/>
      <c r="BV1312" s="118"/>
      <c r="BW1312" s="118">
        <f>INDEX('Dist Plant Depreciation'!$E$7:$AD$94,MATCH($C1312,'Dist Plant Depreciation'!$D$7:$D$94,0),MATCH(Calculation!$G1312,'Dist Plant Depreciation'!$E$5:$AD$5,0))</f>
        <v>247837</v>
      </c>
      <c r="BX1312" s="118">
        <f>INDEX('Gen. Plant Depreciation'!$E$7:$AD$94,MATCH($C1312,'Gen. Plant Depreciation'!$D$7:$D$94,0),MATCH(Calculation!$G1312,'Gen. Plant Depreciation'!$E$5:$AD$5,0))</f>
        <v>26384</v>
      </c>
      <c r="BY1312" s="118"/>
      <c r="BZ1312" s="118"/>
      <c r="CA1312" s="118"/>
      <c r="CB1312" s="118"/>
      <c r="CC1312" s="118"/>
      <c r="CD1312" s="183"/>
      <c r="CE1312" s="118">
        <f>INDEX('Gross Dx Plant'!$E$7:$AD$91,MATCH($C1312,'Gross Dx Plant'!$D$7:$D$91,0),MATCH(Calculation!$G1312,'Gross Dx Plant'!$E$5:$AD$5,0))</f>
        <v>600431</v>
      </c>
      <c r="CF1312" s="118">
        <f>INDEX('Gross Gen Plant'!$E$7:$AD$91,MATCH($C1312,'Gross Gen Plant'!$D$7:$D$91,0),MATCH(Calculation!$G1312,'Gross Gen Plant'!$E$5:$AD$5,0))</f>
        <v>68172</v>
      </c>
      <c r="CG1312" s="118">
        <f t="shared" si="3767"/>
        <v>394382</v>
      </c>
      <c r="CH1312" s="118"/>
      <c r="CI1312" s="121">
        <v>2002</v>
      </c>
      <c r="CJ1312" s="118"/>
      <c r="CK1312" s="118"/>
      <c r="CL1312" s="118"/>
      <c r="CM1312" s="183"/>
      <c r="CN1312" s="118">
        <f t="shared" si="3934"/>
        <v>50415</v>
      </c>
      <c r="CO1312" s="118">
        <f t="shared" si="3935"/>
        <v>139.51918061511105</v>
      </c>
      <c r="CP1312" s="186">
        <v>0.97916666666666663</v>
      </c>
      <c r="CQ1312" s="118">
        <f>+CQ1308*CP1312+CO1309*CP1311+CO1310*CP1310+CO1311*CP1309+CO1312</f>
        <v>2052.2299727388827</v>
      </c>
      <c r="CR1312" s="119">
        <f t="shared" si="3936"/>
        <v>6.4754253491504363E-2</v>
      </c>
      <c r="CS1312" s="119"/>
      <c r="CT1312" s="177">
        <f t="shared" si="3937"/>
        <v>5.6353030470415403E-3</v>
      </c>
      <c r="CU1312" s="177">
        <f t="shared" ref="CU1312:CU1331" si="3945">+(CT1312+CT1311+CT1310)/3</f>
        <v>5.3087532787197593E-3</v>
      </c>
      <c r="CV1312" s="119">
        <f>VLOOKUP($H1312,RoR!$E:$F,2,FALSE)</f>
        <v>6.4916666666666664E-2</v>
      </c>
      <c r="CW1312" s="177">
        <v>1.5246423291824351E-2</v>
      </c>
      <c r="CX1312" s="177">
        <f t="shared" si="3943"/>
        <v>4.9670243374842313E-2</v>
      </c>
      <c r="CY1312" s="177">
        <f t="shared" ref="CY1312:CY1331" si="3946">+$CX$35-CU1312</f>
        <v>2.5593188329813867E-2</v>
      </c>
      <c r="CZ1312" s="177">
        <f t="shared" ref="CZ1312:CZ1331" si="3947">+((DM1310/DM1309-1)+(DM1311/DM1310-1)+(DM1312/DM1311-1))/3</f>
        <v>2.5243621214759093E-2</v>
      </c>
      <c r="DA1312" s="187">
        <f t="shared" si="3938"/>
        <v>0.84925000000000006</v>
      </c>
      <c r="DB1312" s="188">
        <f t="shared" si="3939"/>
        <v>0.78996741384417901</v>
      </c>
      <c r="DC1312" s="188">
        <f t="shared" si="3940"/>
        <v>0.58989088575096271</v>
      </c>
      <c r="DD1312" s="188">
        <f t="shared" si="3941"/>
        <v>0.91920675783645744</v>
      </c>
      <c r="DE1312" s="188">
        <f t="shared" si="3942"/>
        <v>0.42834536472275586</v>
      </c>
      <c r="DF1312" s="189">
        <f>INDEX('State Tax Lookup'!$D$7:$Z$91,MATCH(Calculation!$C1312,'State Tax Lookup'!$B$7:$B$91,0),MATCH($H1312,'State Tax Lookup'!$D$6:$Z$6,0))</f>
        <v>0.40200000000000002</v>
      </c>
      <c r="DG1312" s="189">
        <v>0.375</v>
      </c>
      <c r="DH1312" s="190">
        <f t="shared" si="3944"/>
        <v>13.097775460645858</v>
      </c>
      <c r="DI1312" s="190"/>
      <c r="DJ1312" s="177"/>
      <c r="DK1312" s="189">
        <f>VLOOKUP($H1312,RoR!$E:$F,2,FALSE)</f>
        <v>6.4916666666666664E-2</v>
      </c>
      <c r="DL1312" s="191">
        <f>HLOOKUP($H1312,'GDP-PI'!$D$8:$CQ$11,3,FALSE)</f>
        <v>1.5246423291824351E-2</v>
      </c>
      <c r="DM1312" s="189">
        <f>VLOOKUP(H1312,'HW Dx Data'!$E:$F,2,FALSE)</f>
        <v>361.34816573413599</v>
      </c>
      <c r="DN1312" s="183">
        <f>VLOOKUP(H1312,'ECI - Input Price'!$G$17:$H$37,2,FALSE)</f>
        <v>89.275000000000006</v>
      </c>
      <c r="DO1312" s="177">
        <f>LN(DN1312/DN1311)</f>
        <v>3.5051315810864674E-2</v>
      </c>
      <c r="DP1312" s="183">
        <f>HLOOKUP(H1312,'GDP-PI'!$8:$9,2,FALSE)</f>
        <v>81.039000000000001</v>
      </c>
      <c r="DQ1312" s="177">
        <f>LN(DP1312/DP1311)</f>
        <v>1.513136459537477E-2</v>
      </c>
    </row>
    <row r="1313" spans="1:121" s="167" customFormat="1" ht="21" x14ac:dyDescent="0.35">
      <c r="A1313" s="167" t="s">
        <v>121</v>
      </c>
      <c r="B1313" s="167" t="s">
        <v>122</v>
      </c>
      <c r="C1313" s="167">
        <v>4064141</v>
      </c>
      <c r="D1313" s="168" t="s">
        <v>140</v>
      </c>
      <c r="E1313" s="168" t="s">
        <v>126</v>
      </c>
      <c r="F1313" s="198"/>
      <c r="G1313" s="167" t="s">
        <v>9</v>
      </c>
      <c r="H1313" s="169">
        <v>2003</v>
      </c>
      <c r="I1313" s="170"/>
      <c r="J1313" s="166"/>
      <c r="K1313" s="166"/>
      <c r="L1313" s="166"/>
      <c r="M1313" s="172"/>
      <c r="N1313" s="196"/>
      <c r="O1313" s="172"/>
      <c r="P1313" s="166"/>
      <c r="Q1313" s="166"/>
      <c r="R1313" s="166"/>
      <c r="S1313" s="166"/>
      <c r="T1313" s="166"/>
      <c r="U1313" s="166"/>
      <c r="V1313" s="166">
        <f t="shared" si="3932"/>
        <v>27298.694384346847</v>
      </c>
      <c r="W1313" s="170"/>
      <c r="X1313" s="174">
        <v>2220.3545626158948</v>
      </c>
      <c r="Y1313" s="175">
        <v>7.8739902507777931E-2</v>
      </c>
      <c r="Z1313" s="175"/>
      <c r="AA1313" s="175"/>
      <c r="AB1313" s="175"/>
      <c r="AC1313" s="170">
        <f t="shared" si="3845"/>
        <v>27298.694384346847</v>
      </c>
      <c r="AD1313" s="175"/>
      <c r="AE1313" s="170"/>
      <c r="AF1313" s="170"/>
      <c r="AG1313" s="174"/>
      <c r="AH1313" s="175"/>
      <c r="AI1313" s="175"/>
      <c r="AJ1313" s="174"/>
      <c r="AK1313" s="174"/>
      <c r="AL1313" s="120"/>
      <c r="AM1313" s="120"/>
      <c r="AN1313" s="120"/>
      <c r="AO1313" s="120"/>
      <c r="AP1313" s="120"/>
      <c r="AQ1313" s="175"/>
      <c r="AR1313" s="120"/>
      <c r="AS1313" s="120"/>
      <c r="AT1313" s="120"/>
      <c r="AU1313" s="120"/>
      <c r="AV1313" s="120"/>
      <c r="AW1313" s="120"/>
      <c r="AX1313" s="120"/>
      <c r="AY1313" s="120"/>
      <c r="AZ1313" s="118">
        <f>IFERROR(INDEX('Total Customers'!$F$7:$AB$91,MATCH($C1313,'Total Customers'!$D$7:$D$91,0),MATCH($G1313,'Total Customers'!$F$5:$AB$5,0)),"NA")</f>
        <v>192816</v>
      </c>
      <c r="BA1313" s="119">
        <f t="shared" si="3933"/>
        <v>9.5467113807858398E-3</v>
      </c>
      <c r="BB1313" s="119"/>
      <c r="BC1313" s="121"/>
      <c r="BD1313" s="119"/>
      <c r="BE1313" s="119"/>
      <c r="BF1313" s="119"/>
      <c r="BG1313" s="173"/>
      <c r="BH1313" s="173"/>
      <c r="BI1313" s="173"/>
      <c r="BJ1313" s="173"/>
      <c r="BK1313" s="173"/>
      <c r="BL1313" s="173"/>
      <c r="BM1313" s="173"/>
      <c r="BN1313" s="173"/>
      <c r="BO1313" s="173"/>
      <c r="BP1313" s="173"/>
      <c r="BQ1313" s="118"/>
      <c r="BR1313" s="118"/>
      <c r="BS1313" s="118">
        <f>INDEX('Dist. Plant Gas Additions'!$F$7:$AE$91,MATCH($C1313,'Dist. Plant Gas Additions'!$D$7:$D$91,0),MATCH(Calculation!$G1313,'Dist. Plant Gas Additions'!$F$5:$AE$5,0))</f>
        <v>52497</v>
      </c>
      <c r="BT1313" s="118">
        <f>INDEX('Gen. Plant Additions'!$F$7:$AE$91,MATCH($C1313,'Gen. Plant Additions'!$D$7:$D$91,0),MATCH(Calculation!$G1313,'Gen. Plant Additions'!$F$5:$AE$5,0))</f>
        <v>13854</v>
      </c>
      <c r="BU1313" s="118"/>
      <c r="BV1313" s="118"/>
      <c r="BW1313" s="118">
        <f>INDEX('Dist Plant Depreciation'!$E$7:$AD$94,MATCH($C1313,'Dist Plant Depreciation'!$D$7:$D$94,0),MATCH(Calculation!$G1313,'Dist Plant Depreciation'!$E$5:$AD$5,0))</f>
        <v>257621</v>
      </c>
      <c r="BX1313" s="118">
        <f>INDEX('Gen. Plant Depreciation'!$E$7:$AD$94,MATCH($C1313,'Gen. Plant Depreciation'!$D$7:$D$94,0),MATCH(Calculation!$G1313,'Gen. Plant Depreciation'!$E$5:$AD$5,0))</f>
        <v>29686</v>
      </c>
      <c r="BY1313" s="118"/>
      <c r="BZ1313" s="118"/>
      <c r="CA1313" s="118"/>
      <c r="CB1313" s="118"/>
      <c r="CC1313" s="118"/>
      <c r="CD1313" s="183"/>
      <c r="CE1313" s="118">
        <f>INDEX('Gross Dx Plant'!$E$7:$AD$91,MATCH($C1313,'Gross Dx Plant'!$D$7:$D$91,0),MATCH(Calculation!$G1313,'Gross Dx Plant'!$E$5:$AD$5,0))</f>
        <v>647928</v>
      </c>
      <c r="CF1313" s="118">
        <f>INDEX('Gross Gen Plant'!$E$7:$AD$91,MATCH($C1313,'Gross Gen Plant'!$D$7:$D$91,0),MATCH(Calculation!$G1313,'Gross Gen Plant'!$E$5:$AD$5,0))</f>
        <v>80196</v>
      </c>
      <c r="CG1313" s="118">
        <f t="shared" si="3767"/>
        <v>440817</v>
      </c>
      <c r="CH1313" s="118"/>
      <c r="CI1313" s="121">
        <v>2003</v>
      </c>
      <c r="CJ1313" s="118"/>
      <c r="CK1313" s="118"/>
      <c r="CL1313" s="118"/>
      <c r="CM1313" s="183"/>
      <c r="CN1313" s="118">
        <f t="shared" si="3934"/>
        <v>66351</v>
      </c>
      <c r="CO1313" s="118">
        <f t="shared" si="3935"/>
        <v>179.69953398337483</v>
      </c>
      <c r="CP1313" s="186">
        <v>0.97354497354497349</v>
      </c>
      <c r="CQ1313" s="118">
        <f>+CQ1308*CP1313+CO1309*CP1312+CO1310*CP1311+CO1311*CP1310+CO1312*CP1309+CO1313</f>
        <v>2220.3545626158948</v>
      </c>
      <c r="CR1313" s="119">
        <f t="shared" si="3936"/>
        <v>7.8739902507777931E-2</v>
      </c>
      <c r="CS1313" s="119"/>
      <c r="CT1313" s="177">
        <f t="shared" si="3937"/>
        <v>5.6401788591533596E-3</v>
      </c>
      <c r="CU1313" s="177">
        <f t="shared" si="3945"/>
        <v>5.4763592485317023E-3</v>
      </c>
      <c r="CV1313" s="119">
        <f>VLOOKUP($H1313,RoR!$E:$F,2,FALSE)</f>
        <v>5.6666666666666671E-2</v>
      </c>
      <c r="CW1313" s="177">
        <v>1.8855119140166909E-2</v>
      </c>
      <c r="CX1313" s="177">
        <f t="shared" si="3943"/>
        <v>3.7811547526499761E-2</v>
      </c>
      <c r="CY1313" s="177">
        <f t="shared" si="3946"/>
        <v>2.5425582360001923E-2</v>
      </c>
      <c r="CZ1313" s="177">
        <f t="shared" si="3947"/>
        <v>2.1375012817671957E-2</v>
      </c>
      <c r="DA1313" s="187">
        <f t="shared" si="3938"/>
        <v>0.84925000000000006</v>
      </c>
      <c r="DB1313" s="188">
        <f t="shared" si="3939"/>
        <v>0.90497737556561086</v>
      </c>
      <c r="DC1313" s="188">
        <f t="shared" si="3940"/>
        <v>0.5338235294117647</v>
      </c>
      <c r="DD1313" s="188">
        <f t="shared" si="3941"/>
        <v>0.88972433127405692</v>
      </c>
      <c r="DE1313" s="188">
        <f t="shared" si="3942"/>
        <v>0.42982423775949252</v>
      </c>
      <c r="DF1313" s="189">
        <f>INDEX('State Tax Lookup'!$D$7:$Z$91,MATCH(Calculation!$C1313,'State Tax Lookup'!$B$7:$B$91,0),MATCH($H1313,'State Tax Lookup'!$D$6:$Z$6,0))</f>
        <v>0.40200000000000002</v>
      </c>
      <c r="DG1313" s="189">
        <v>0.375</v>
      </c>
      <c r="DH1313" s="190">
        <f t="shared" si="3944"/>
        <v>13.301966517872421</v>
      </c>
      <c r="DI1313" s="190"/>
      <c r="DJ1313" s="177"/>
      <c r="DK1313" s="189">
        <f>VLOOKUP($H1313,RoR!$E:$F,2,FALSE)</f>
        <v>5.6666666666666671E-2</v>
      </c>
      <c r="DL1313" s="191">
        <f>HLOOKUP($H1313,'GDP-PI'!$D$8:$CQ$11,3,FALSE)</f>
        <v>1.8855119140166909E-2</v>
      </c>
      <c r="DM1313" s="189">
        <f>VLOOKUP(H1313,'HW Dx Data'!$E:$F,2,FALSE)</f>
        <v>369.23301095560191</v>
      </c>
      <c r="DN1313" s="183">
        <f>VLOOKUP(H1313,'ECI - Input Price'!$G$17:$H$37,2,FALSE)</f>
        <v>92.625</v>
      </c>
      <c r="DO1313" s="177">
        <f t="shared" ref="DO1313" si="3948">LN(DN1313/DN1312)</f>
        <v>3.6837590135738785E-2</v>
      </c>
      <c r="DP1313" s="183">
        <f>HLOOKUP(H1313,'GDP-PI'!$8:$9,2,FALSE)</f>
        <v>82.566999999999993</v>
      </c>
      <c r="DQ1313" s="177">
        <f t="shared" ref="DQ1313" si="3949">LN(DP1313/DP1312)</f>
        <v>1.8679564681853753E-2</v>
      </c>
    </row>
    <row r="1314" spans="1:121" s="167" customFormat="1" ht="21" x14ac:dyDescent="0.35">
      <c r="A1314" s="167" t="s">
        <v>121</v>
      </c>
      <c r="B1314" s="167" t="s">
        <v>122</v>
      </c>
      <c r="C1314" s="167">
        <v>4064141</v>
      </c>
      <c r="D1314" s="168" t="s">
        <v>140</v>
      </c>
      <c r="E1314" s="168" t="s">
        <v>126</v>
      </c>
      <c r="F1314" s="198"/>
      <c r="G1314" s="167" t="s">
        <v>10</v>
      </c>
      <c r="H1314" s="169">
        <v>2004</v>
      </c>
      <c r="I1314" s="170"/>
      <c r="J1314" s="166">
        <f>IFERROR(INDEX('Labor Expenditures'!$F$7:$X$91,MATCH($C1314,'Labor Expenditures'!$D$7:$D$91,0),MATCH($G1314,'Labor Expenditures'!$F$5:$X$5,0)),"NA")</f>
        <v>23894.892477881745</v>
      </c>
      <c r="K1314" s="166">
        <f t="shared" ref="K1314:K1331" si="3950">+J1314/DN1314</f>
        <v>248.45222228106832</v>
      </c>
      <c r="L1314" s="172"/>
      <c r="M1314" s="172"/>
      <c r="N1314" s="196"/>
      <c r="O1314" s="172"/>
      <c r="P1314" s="166">
        <f>IFERROR(INDEX('Non-Labor Expenditures'!$F$7:$AB$91,MATCH($C1314,'Non-Labor Expenditures'!$D$7:$D$91,0),MATCH($G1314,'Non-Labor Expenditures'!$F$5:$AB$5,0)),"NA")</f>
        <v>34604.267258270527</v>
      </c>
      <c r="Q1314" s="166">
        <f t="shared" ref="Q1314:Q1331" si="3951">+P1314/DP1314</f>
        <v>408.17508384569732</v>
      </c>
      <c r="R1314" s="166"/>
      <c r="S1314" s="166"/>
      <c r="T1314" s="166"/>
      <c r="U1314" s="166"/>
      <c r="V1314" s="166">
        <f t="shared" si="3932"/>
        <v>32811.975271680145</v>
      </c>
      <c r="W1314" s="170"/>
      <c r="X1314" s="174">
        <v>2319.6056086485155</v>
      </c>
      <c r="Y1314" s="175">
        <v>4.3730278933537967E-2</v>
      </c>
      <c r="Z1314" s="175"/>
      <c r="AA1314" s="175"/>
      <c r="AB1314" s="175"/>
      <c r="AC1314" s="170">
        <f t="shared" si="3845"/>
        <v>91311.135007832418</v>
      </c>
      <c r="AD1314" s="175"/>
      <c r="AE1314" s="170"/>
      <c r="AF1314" s="170"/>
      <c r="AG1314" s="174"/>
      <c r="AH1314" s="175"/>
      <c r="AI1314" s="175"/>
      <c r="AJ1314" s="174"/>
      <c r="AK1314" s="174"/>
      <c r="AL1314" s="120">
        <f t="shared" ref="AL1314:AL1331" si="3952">+J1314/AC1314</f>
        <v>0.26168651255766462</v>
      </c>
      <c r="AM1314" s="120">
        <f t="shared" ref="AM1314:AM1331" si="3953">+P1314/AC1314</f>
        <v>0.37897094648207219</v>
      </c>
      <c r="AN1314" s="120">
        <f t="shared" ref="AN1314:AN1331" si="3954">+V1314/AC1314</f>
        <v>0.35934254096026319</v>
      </c>
      <c r="AO1314" s="120"/>
      <c r="AP1314" s="120"/>
      <c r="AQ1314" s="175"/>
      <c r="AR1314" s="120"/>
      <c r="AS1314" s="120"/>
      <c r="AT1314" s="120"/>
      <c r="AU1314" s="120"/>
      <c r="AV1314" s="120"/>
      <c r="AW1314" s="120"/>
      <c r="AX1314" s="120"/>
      <c r="AY1314" s="120"/>
      <c r="AZ1314" s="118">
        <f>IFERROR(INDEX('Total Customers'!$F$7:$AB$91,MATCH($C1314,'Total Customers'!$D$7:$D$91,0),MATCH($G1314,'Total Customers'!$F$5:$AB$5,0)),"NA")</f>
        <v>194212</v>
      </c>
      <c r="BA1314" s="119">
        <f t="shared" si="3933"/>
        <v>7.2139796301877879E-3</v>
      </c>
      <c r="BB1314" s="119"/>
      <c r="BC1314" s="121"/>
      <c r="BD1314" s="119"/>
      <c r="BE1314" s="119"/>
      <c r="BF1314" s="119"/>
      <c r="BG1314" s="173"/>
      <c r="BH1314" s="173"/>
      <c r="BI1314" s="173"/>
      <c r="BJ1314" s="173"/>
      <c r="BK1314" s="173"/>
      <c r="BL1314" s="173"/>
      <c r="BM1314" s="173"/>
      <c r="BN1314" s="173"/>
      <c r="BO1314" s="173"/>
      <c r="BP1314" s="173"/>
      <c r="BQ1314" s="118"/>
      <c r="BR1314" s="118"/>
      <c r="BS1314" s="118">
        <f>INDEX('Dist. Plant Gas Additions'!$F$7:$AE$91,MATCH($C1314,'Dist. Plant Gas Additions'!$D$7:$D$91,0),MATCH(Calculation!$G1314,'Dist. Plant Gas Additions'!$F$5:$AE$5,0))</f>
        <v>45512</v>
      </c>
      <c r="BT1314" s="118">
        <f>INDEX('Gen. Plant Additions'!$F$7:$AE$91,MATCH($C1314,'Gen. Plant Additions'!$D$7:$D$91,0),MATCH(Calculation!$G1314,'Gen. Plant Additions'!$F$5:$AE$5,0))</f>
        <v>993</v>
      </c>
      <c r="BU1314" s="118"/>
      <c r="BV1314" s="118"/>
      <c r="BW1314" s="118">
        <f>INDEX('Dist Plant Depreciation'!$E$7:$AD$94,MATCH($C1314,'Dist Plant Depreciation'!$D$7:$D$94,0),MATCH(Calculation!$G1314,'Dist Plant Depreciation'!$E$5:$AD$5,0))</f>
        <v>268255</v>
      </c>
      <c r="BX1314" s="118">
        <f>INDEX('Gen. Plant Depreciation'!$E$7:$AD$94,MATCH($C1314,'Gen. Plant Depreciation'!$D$7:$D$94,0),MATCH(Calculation!$G1314,'Gen. Plant Depreciation'!$E$5:$AD$5,0))</f>
        <v>33109</v>
      </c>
      <c r="BY1314" s="118"/>
      <c r="BZ1314" s="118"/>
      <c r="CA1314" s="118"/>
      <c r="CB1314" s="118"/>
      <c r="CC1314" s="118"/>
      <c r="CD1314" s="183"/>
      <c r="CE1314" s="118">
        <f>INDEX('Gross Dx Plant'!$E$7:$AD$91,MATCH($C1314,'Gross Dx Plant'!$D$7:$D$91,0),MATCH(Calculation!$G1314,'Gross Dx Plant'!$E$5:$AD$5,0))</f>
        <v>688670</v>
      </c>
      <c r="CF1314" s="118">
        <f>INDEX('Gross Gen Plant'!$E$7:$AD$91,MATCH($C1314,'Gross Gen Plant'!$D$7:$D$91,0),MATCH(Calculation!$G1314,'Gross Gen Plant'!$E$5:$AD$5,0))</f>
        <v>78436</v>
      </c>
      <c r="CG1314" s="118">
        <f t="shared" si="3767"/>
        <v>465742</v>
      </c>
      <c r="CH1314" s="118"/>
      <c r="CI1314" s="121">
        <v>2004</v>
      </c>
      <c r="CJ1314" s="118"/>
      <c r="CK1314" s="118"/>
      <c r="CL1314" s="118"/>
      <c r="CM1314" s="183"/>
      <c r="CN1314" s="118">
        <f t="shared" si="3934"/>
        <v>46505</v>
      </c>
      <c r="CO1314" s="118">
        <f t="shared" si="3935"/>
        <v>112.09071036495864</v>
      </c>
      <c r="CP1314" s="186">
        <v>0.967741935483871</v>
      </c>
      <c r="CQ1314" s="118">
        <f>+CQ1308*CP1314+CO1309*CP1313+CO1310*CP1312+CO1311*CP1311+CO1312*CP1310+CO1313*CP1309+CO1314</f>
        <v>2319.6056086485155</v>
      </c>
      <c r="CR1314" s="119">
        <f t="shared" si="3936"/>
        <v>4.3730278933537967E-2</v>
      </c>
      <c r="CS1314" s="119"/>
      <c r="CT1314" s="177">
        <f t="shared" si="3937"/>
        <v>5.7827090089661061E-3</v>
      </c>
      <c r="CU1314" s="177">
        <f t="shared" si="3945"/>
        <v>5.6860636383870011E-3</v>
      </c>
      <c r="CV1314" s="119">
        <f>VLOOKUP($H1314,RoR!$E:$F,2,FALSE)</f>
        <v>5.6283333333333331E-2</v>
      </c>
      <c r="CW1314" s="177">
        <v>2.6778252812867276E-2</v>
      </c>
      <c r="CX1314" s="177">
        <f t="shared" si="3943"/>
        <v>2.9505080520466055E-2</v>
      </c>
      <c r="CY1314" s="177">
        <f t="shared" si="3946"/>
        <v>2.5215877970146624E-2</v>
      </c>
      <c r="CZ1314" s="177">
        <f t="shared" si="3947"/>
        <v>5.5940039414565046E-2</v>
      </c>
      <c r="DA1314" s="187">
        <f t="shared" si="3938"/>
        <v>0.84925000000000006</v>
      </c>
      <c r="DB1314" s="188">
        <f t="shared" si="3939"/>
        <v>0.91114097628755619</v>
      </c>
      <c r="DC1314" s="188">
        <f t="shared" si="3940"/>
        <v>0.53081877405981637</v>
      </c>
      <c r="DD1314" s="188">
        <f t="shared" si="3941"/>
        <v>0.88811215519385678</v>
      </c>
      <c r="DE1314" s="188">
        <f t="shared" si="3942"/>
        <v>0.42953609753547711</v>
      </c>
      <c r="DF1314" s="189">
        <f>INDEX('State Tax Lookup'!$D$7:$Z$91,MATCH(Calculation!$C1314,'State Tax Lookup'!$B$7:$B$91,0),MATCH($H1314,'State Tax Lookup'!$D$6:$Z$6,0))</f>
        <v>0.40200000000000002</v>
      </c>
      <c r="DG1314" s="189">
        <v>0.375</v>
      </c>
      <c r="DH1314" s="190">
        <f t="shared" si="3944"/>
        <v>14.777808834739869</v>
      </c>
      <c r="DI1314" s="190"/>
      <c r="DJ1314" s="177"/>
      <c r="DK1314" s="189">
        <f>VLOOKUP($H1314,RoR!$E:$F,2,FALSE)</f>
        <v>5.6283333333333331E-2</v>
      </c>
      <c r="DL1314" s="191">
        <f>HLOOKUP($H1314,'GDP-PI'!$D$8:$CQ$11,3,FALSE)</f>
        <v>2.6778252812867276E-2</v>
      </c>
      <c r="DM1314" s="189">
        <f>VLOOKUP(H1314,'HW Dx Data'!$E:$F,2,FALSE)</f>
        <v>414.88719135228365</v>
      </c>
      <c r="DN1314" s="183">
        <f>VLOOKUP(H1314,'ECI - Input Price'!$G$17:$H$37,2,FALSE)</f>
        <v>96.174999999999997</v>
      </c>
      <c r="DO1314" s="177">
        <f t="shared" ref="DO1314" si="3955">LN(DN1314/DN1313)</f>
        <v>3.7610365022107912E-2</v>
      </c>
      <c r="DP1314" s="183">
        <f>HLOOKUP(H1314,'GDP-PI'!$8:$9,2,FALSE)</f>
        <v>84.778000000000006</v>
      </c>
      <c r="DQ1314" s="177">
        <f t="shared" ref="DQ1314" si="3956">LN(DP1314/DP1313)</f>
        <v>2.6425990216022755E-2</v>
      </c>
    </row>
    <row r="1315" spans="1:121" s="167" customFormat="1" ht="21" x14ac:dyDescent="0.35">
      <c r="A1315" s="167" t="s">
        <v>121</v>
      </c>
      <c r="B1315" s="167" t="s">
        <v>122</v>
      </c>
      <c r="C1315" s="167">
        <v>4064141</v>
      </c>
      <c r="D1315" s="168" t="s">
        <v>140</v>
      </c>
      <c r="E1315" s="168" t="s">
        <v>126</v>
      </c>
      <c r="F1315" s="198"/>
      <c r="G1315" s="167" t="s">
        <v>11</v>
      </c>
      <c r="H1315" s="169">
        <v>2005</v>
      </c>
      <c r="I1315" s="170"/>
      <c r="J1315" s="166">
        <f>IFERROR(INDEX('Labor Expenditures'!$F$7:$X$91,MATCH($C1315,'Labor Expenditures'!$D$7:$D$91,0),MATCH($G1315,'Labor Expenditures'!$F$5:$X$5,0)),"NA")</f>
        <v>25302.443898977537</v>
      </c>
      <c r="K1315" s="166">
        <f t="shared" si="3950"/>
        <v>255.19358445766551</v>
      </c>
      <c r="L1315" s="172">
        <f t="shared" ref="L1315:L1331" si="3957">LN(K1315/K1314)</f>
        <v>2.6771849293166967E-2</v>
      </c>
      <c r="M1315" s="172"/>
      <c r="N1315" s="196"/>
      <c r="O1315" s="172"/>
      <c r="P1315" s="166">
        <f>IFERROR(INDEX('Non-Labor Expenditures'!$F$7:$AB$91,MATCH($C1315,'Non-Labor Expenditures'!$D$7:$D$91,0),MATCH($G1315,'Non-Labor Expenditures'!$F$5:$AB$5,0)),"NA")</f>
        <v>36642.664610359177</v>
      </c>
      <c r="Q1315" s="166">
        <f t="shared" si="3951"/>
        <v>419.21887961329389</v>
      </c>
      <c r="R1315" s="172">
        <f>LN(Q1315/Q1314)</f>
        <v>2.6696959809879281E-2</v>
      </c>
      <c r="S1315" s="172"/>
      <c r="T1315" s="172"/>
      <c r="U1315" s="172"/>
      <c r="V1315" s="166">
        <f t="shared" si="3932"/>
        <v>38506.735108902074</v>
      </c>
      <c r="W1315" s="170"/>
      <c r="X1315" s="174">
        <v>2388.1849249908983</v>
      </c>
      <c r="Y1315" s="175">
        <v>2.9136456852987217E-2</v>
      </c>
      <c r="Z1315" s="175"/>
      <c r="AA1315" s="175"/>
      <c r="AB1315" s="175"/>
      <c r="AC1315" s="170">
        <f t="shared" si="3845"/>
        <v>100451.84361823878</v>
      </c>
      <c r="AD1315" s="175">
        <f>LN(AC1315/AC1314)</f>
        <v>9.5405703864080316E-2</v>
      </c>
      <c r="AE1315" s="170"/>
      <c r="AF1315" s="170"/>
      <c r="AG1315" s="121"/>
      <c r="AH1315" s="119"/>
      <c r="AI1315" s="119"/>
      <c r="AJ1315" s="121"/>
      <c r="AK1315" s="121"/>
      <c r="AL1315" s="120">
        <f t="shared" si="3952"/>
        <v>0.25188630678733942</v>
      </c>
      <c r="AM1315" s="120">
        <f t="shared" si="3953"/>
        <v>0.36477841810069145</v>
      </c>
      <c r="AN1315" s="120">
        <f t="shared" si="3954"/>
        <v>0.38333527511196924</v>
      </c>
      <c r="AO1315" s="120">
        <f t="shared" ref="AO1315:AO1331" si="3958">+(((AL1315+AL1314)/2)*L1315+((AM1314+AM1315)/2)*R1315+((AN1314+AN1315)/2)*Y1315)</f>
        <v>2.7622070579559996E-2</v>
      </c>
      <c r="AP1315" s="173">
        <v>100</v>
      </c>
      <c r="AQ1315" s="175"/>
      <c r="AR1315" s="120"/>
      <c r="AS1315" s="120"/>
      <c r="AT1315" s="120"/>
      <c r="AU1315" s="120"/>
      <c r="AV1315" s="120"/>
      <c r="AW1315" s="120"/>
      <c r="AX1315" s="120"/>
      <c r="AY1315" s="120"/>
      <c r="AZ1315" s="118">
        <f>IFERROR(INDEX('Total Customers'!$F$7:$AB$91,MATCH($C1315,'Total Customers'!$D$7:$D$91,0),MATCH($G1315,'Total Customers'!$F$5:$AB$5,0)),"NA")</f>
        <v>196870</v>
      </c>
      <c r="BA1315" s="119">
        <f t="shared" si="3933"/>
        <v>1.359326651677204E-2</v>
      </c>
      <c r="BB1315" s="119"/>
      <c r="BC1315" s="121"/>
      <c r="BD1315" s="119"/>
      <c r="BE1315" s="119"/>
      <c r="BF1315" s="119"/>
      <c r="BG1315" s="173"/>
      <c r="BH1315" s="173"/>
      <c r="BI1315" s="173"/>
      <c r="BJ1315" s="173"/>
      <c r="BK1315" s="173"/>
      <c r="BL1315" s="173"/>
      <c r="BM1315" s="173"/>
      <c r="BN1315" s="173"/>
      <c r="BO1315" s="173"/>
      <c r="BP1315" s="173"/>
      <c r="BQ1315" s="118"/>
      <c r="BR1315" s="118"/>
      <c r="BS1315" s="118">
        <f>INDEX('Dist. Plant Gas Additions'!$F$7:$AE$91,MATCH($C1315,'Dist. Plant Gas Additions'!$D$7:$D$91,0),MATCH(Calculation!$G1315,'Dist. Plant Gas Additions'!$F$5:$AE$5,0))</f>
        <v>38473</v>
      </c>
      <c r="BT1315" s="118">
        <f>INDEX('Gen. Plant Additions'!$F$7:$AE$91,MATCH($C1315,'Gen. Plant Additions'!$D$7:$D$91,0),MATCH(Calculation!$G1315,'Gen. Plant Additions'!$F$5:$AE$5,0))</f>
        <v>186</v>
      </c>
      <c r="BU1315" s="118"/>
      <c r="BV1315" s="118"/>
      <c r="BW1315" s="118">
        <f>INDEX('Dist Plant Depreciation'!$E$7:$AD$94,MATCH($C1315,'Dist Plant Depreciation'!$D$7:$D$94,0),MATCH(Calculation!$G1315,'Dist Plant Depreciation'!$E$5:$AD$5,0))</f>
        <v>262207</v>
      </c>
      <c r="BX1315" s="118">
        <f>INDEX('Gen. Plant Depreciation'!$E$7:$AD$94,MATCH($C1315,'Gen. Plant Depreciation'!$D$7:$D$94,0),MATCH(Calculation!$G1315,'Gen. Plant Depreciation'!$E$5:$AD$5,0))</f>
        <v>37642</v>
      </c>
      <c r="BY1315" s="118"/>
      <c r="BZ1315" s="118"/>
      <c r="CA1315" s="118"/>
      <c r="CB1315" s="118"/>
      <c r="CC1315" s="118"/>
      <c r="CD1315" s="183"/>
      <c r="CE1315" s="118">
        <f>INDEX('Gross Dx Plant'!$E$7:$AD$91,MATCH($C1315,'Gross Dx Plant'!$D$7:$D$91,0),MATCH(Calculation!$G1315,'Gross Dx Plant'!$E$5:$AD$5,0))</f>
        <v>722815</v>
      </c>
      <c r="CF1315" s="118">
        <f>INDEX('Gross Gen Plant'!$E$7:$AD$91,MATCH($C1315,'Gross Gen Plant'!$D$7:$D$91,0),MATCH(Calculation!$G1315,'Gross Gen Plant'!$E$5:$AD$5,0))</f>
        <v>78263</v>
      </c>
      <c r="CG1315" s="118">
        <f t="shared" si="3767"/>
        <v>501229</v>
      </c>
      <c r="CH1315" s="118"/>
      <c r="CI1315" s="121">
        <v>2005</v>
      </c>
      <c r="CJ1315" s="118"/>
      <c r="CK1315" s="118"/>
      <c r="CL1315" s="118"/>
      <c r="CM1315" s="183"/>
      <c r="CN1315" s="118">
        <f t="shared" si="3934"/>
        <v>38659</v>
      </c>
      <c r="CO1315" s="118">
        <f t="shared" si="3935"/>
        <v>82.392532978677792</v>
      </c>
      <c r="CP1315" s="186">
        <v>0.96174863387978138</v>
      </c>
      <c r="CQ1315" s="118">
        <f>+CQ1308*CP1315+CO1309*CP1314+CO1310*CP1313+CO1311*CP1312+CO1312*CP1311+CO1313*CP1310+CO1314*CP1309+CO1315</f>
        <v>2388.1849249908983</v>
      </c>
      <c r="CR1315" s="119">
        <f t="shared" si="3936"/>
        <v>2.9136456852987217E-2</v>
      </c>
      <c r="CS1315" s="119"/>
      <c r="CT1315" s="177">
        <f t="shared" si="3937"/>
        <v>5.9549850133114261E-3</v>
      </c>
      <c r="CU1315" s="177">
        <f t="shared" si="3945"/>
        <v>5.7926242938102978E-3</v>
      </c>
      <c r="CV1315" s="119">
        <f>VLOOKUP($H1315,RoR!$E:$F,2,FALSE)</f>
        <v>5.2350000000000001E-2</v>
      </c>
      <c r="CW1315" s="177">
        <v>3.1010403642454332E-2</v>
      </c>
      <c r="CX1315" s="177">
        <f t="shared" si="3943"/>
        <v>2.1339596357545669E-2</v>
      </c>
      <c r="CY1315" s="177">
        <f t="shared" si="3946"/>
        <v>2.5109317314723326E-2</v>
      </c>
      <c r="CZ1315" s="177">
        <f t="shared" si="3947"/>
        <v>9.2129610649277341E-2</v>
      </c>
      <c r="DA1315" s="187">
        <f t="shared" si="3938"/>
        <v>0.84925000000000006</v>
      </c>
      <c r="DB1315" s="188">
        <f t="shared" si="3939"/>
        <v>0.97959983346802826</v>
      </c>
      <c r="DC1315" s="188">
        <f t="shared" si="3940"/>
        <v>0.49744508118433622</v>
      </c>
      <c r="DD1315" s="188">
        <f t="shared" si="3941"/>
        <v>0.87010519444335932</v>
      </c>
      <c r="DE1315" s="188">
        <f t="shared" si="3942"/>
        <v>0.42399975420741998</v>
      </c>
      <c r="DF1315" s="189">
        <f>INDEX('State Tax Lookup'!$D$7:$Z$91,MATCH(Calculation!$C1315,'State Tax Lookup'!$B$7:$B$91,0),MATCH($H1315,'State Tax Lookup'!$D$6:$Z$6,0))</f>
        <v>0.40200000000000002</v>
      </c>
      <c r="DG1315" s="189">
        <v>0.375</v>
      </c>
      <c r="DH1315" s="190">
        <f t="shared" si="3944"/>
        <v>16.600552682461164</v>
      </c>
      <c r="DI1315" s="190"/>
      <c r="DJ1315" s="177"/>
      <c r="DK1315" s="189">
        <f>VLOOKUP($H1315,RoR!$E:$F,2,FALSE)</f>
        <v>5.2350000000000001E-2</v>
      </c>
      <c r="DL1315" s="191">
        <f>HLOOKUP($H1315,'GDP-PI'!$D$8:$CQ$11,3,FALSE)</f>
        <v>3.1010403642454332E-2</v>
      </c>
      <c r="DM1315" s="189">
        <f>VLOOKUP(H1315,'HW Dx Data'!$E:$F,2,FALSE)</f>
        <v>469.20514034936258</v>
      </c>
      <c r="DN1315" s="183">
        <f>VLOOKUP(H1315,'ECI - Input Price'!$G$17:$H$37,2,FALSE)</f>
        <v>99.15</v>
      </c>
      <c r="DO1315" s="177">
        <f t="shared" ref="DO1315" si="3959">LN(DN1315/DN1314)</f>
        <v>3.046440632744625E-2</v>
      </c>
      <c r="DP1315" s="183">
        <f>HLOOKUP(H1315,'GDP-PI'!$8:$9,2,FALSE)</f>
        <v>87.406999999999996</v>
      </c>
      <c r="DQ1315" s="177">
        <f t="shared" ref="DQ1315" si="3960">LN(DP1315/DP1314)</f>
        <v>3.0539295810733648E-2</v>
      </c>
    </row>
    <row r="1316" spans="1:121" s="167" customFormat="1" ht="21" x14ac:dyDescent="0.35">
      <c r="A1316" s="167" t="s">
        <v>121</v>
      </c>
      <c r="B1316" s="167" t="s">
        <v>122</v>
      </c>
      <c r="C1316" s="167">
        <v>4064141</v>
      </c>
      <c r="D1316" s="168" t="s">
        <v>140</v>
      </c>
      <c r="E1316" s="168" t="s">
        <v>126</v>
      </c>
      <c r="F1316" s="198"/>
      <c r="G1316" s="167" t="s">
        <v>12</v>
      </c>
      <c r="H1316" s="169">
        <v>2006</v>
      </c>
      <c r="I1316" s="170"/>
      <c r="J1316" s="166">
        <f>IFERROR(INDEX('Labor Expenditures'!$F$7:$X$91,MATCH($C1316,'Labor Expenditures'!$D$7:$D$91,0),MATCH($G1316,'Labor Expenditures'!$F$5:$X$5,0)),"NA")</f>
        <v>25095.715676010917</v>
      </c>
      <c r="K1316" s="166">
        <f t="shared" si="3950"/>
        <v>245.91588119559938</v>
      </c>
      <c r="L1316" s="172">
        <f t="shared" si="3957"/>
        <v>-3.7032880786144071E-2</v>
      </c>
      <c r="M1316" s="172">
        <f t="shared" ref="M1316:M1331" si="3961">+L1316*AR1316</f>
        <v>-4.6636475946086777E-4</v>
      </c>
      <c r="N1316" s="196"/>
      <c r="O1316" s="172"/>
      <c r="P1316" s="166">
        <f>IFERROR(INDEX('Non-Labor Expenditures'!$F$7:$AB$91,MATCH($C1316,'Non-Labor Expenditures'!$D$7:$D$91,0),MATCH($G1316,'Non-Labor Expenditures'!$F$5:$AB$5,0)),"NA")</f>
        <v>36343.283531997513</v>
      </c>
      <c r="Q1316" s="166">
        <f t="shared" si="3951"/>
        <v>403.4825091813122</v>
      </c>
      <c r="R1316" s="172">
        <f t="shared" ref="R1316:R1331" si="3962">LN(Q1316/Q1315)</f>
        <v>-3.8260030221549751E-2</v>
      </c>
      <c r="S1316" s="172">
        <f>+R1316*AR1316</f>
        <v>-4.8181857345309806E-4</v>
      </c>
      <c r="T1316" s="172"/>
      <c r="U1316" s="172"/>
      <c r="V1316" s="166">
        <f t="shared" si="3932"/>
        <v>38734.583716323803</v>
      </c>
      <c r="W1316" s="170"/>
      <c r="X1316" s="174">
        <v>2445.6447263637579</v>
      </c>
      <c r="Y1316" s="175">
        <v>2.3775148122580626E-2</v>
      </c>
      <c r="Z1316" s="175">
        <f>+Y1316*AR1316</f>
        <v>2.9940666240262825E-4</v>
      </c>
      <c r="AA1316" s="175"/>
      <c r="AB1316" s="175"/>
      <c r="AC1316" s="170">
        <f t="shared" si="3845"/>
        <v>100173.58292433224</v>
      </c>
      <c r="AD1316" s="175">
        <f t="shared" ref="AD1316:AD1331" si="3963">LN(AC1316/AC1315)</f>
        <v>-2.773934262768609E-3</v>
      </c>
      <c r="AE1316" s="170"/>
      <c r="AF1316" s="170"/>
      <c r="AG1316" s="121">
        <f t="shared" ref="AG1316:AG1331" si="3964">+(AC1316*1000)/AZ1316</f>
        <v>502.43299339608996</v>
      </c>
      <c r="AH1316" s="119">
        <f>+AZ1316/$BB$44</f>
        <v>5.6714646705359395E-3</v>
      </c>
      <c r="AI1316" s="119">
        <f>+AZ1316/$BC$44</f>
        <v>2.4174595147038871E-2</v>
      </c>
      <c r="AJ1316" s="176">
        <f>+AH1316*AG1316</f>
        <v>2.8495309713575412</v>
      </c>
      <c r="AK1316" s="176">
        <f>+AI1316*AG1316</f>
        <v>12.146114203865329</v>
      </c>
      <c r="AL1316" s="120">
        <f t="shared" si="3952"/>
        <v>0.25052229283809663</v>
      </c>
      <c r="AM1316" s="120">
        <f t="shared" si="3953"/>
        <v>0.36280307113952398</v>
      </c>
      <c r="AN1316" s="120">
        <f t="shared" si="3954"/>
        <v>0.38667463602237934</v>
      </c>
      <c r="AO1316" s="120">
        <f t="shared" si="3958"/>
        <v>-1.4067913924879447E-2</v>
      </c>
      <c r="AP1316" s="173">
        <f>+AP1315*EXP(AO1316)</f>
        <v>98.603057678235501</v>
      </c>
      <c r="AQ1316" s="175">
        <f>LN(AP1316/AP1315)</f>
        <v>-1.4067913924879372E-2</v>
      </c>
      <c r="AR1316" s="177">
        <f>+AC1316/$AE$44</f>
        <v>1.2593261705834106E-2</v>
      </c>
      <c r="AS1316" s="177">
        <f>+AR1316*AQ1316</f>
        <v>-1.7716092171115379E-4</v>
      </c>
      <c r="AT1316" s="177"/>
      <c r="AU1316" s="177"/>
      <c r="AV1316" s="177"/>
      <c r="AW1316" s="190"/>
      <c r="AX1316" s="120"/>
      <c r="AY1316" s="120"/>
      <c r="AZ1316" s="118">
        <f>IFERROR(INDEX('Total Customers'!$F$7:$AB$91,MATCH($C1316,'Total Customers'!$D$7:$D$91,0),MATCH($G1316,'Total Customers'!$F$5:$AB$5,0)),"NA")</f>
        <v>199377</v>
      </c>
      <c r="BA1316" s="119">
        <f t="shared" si="3933"/>
        <v>1.2653892404762014E-2</v>
      </c>
      <c r="BB1316" s="119"/>
      <c r="BC1316" s="121">
        <v>8247377</v>
      </c>
      <c r="BD1316" s="119"/>
      <c r="BE1316" s="119"/>
      <c r="BF1316" s="119"/>
      <c r="BG1316" s="173"/>
      <c r="BH1316" s="173"/>
      <c r="BI1316" s="173"/>
      <c r="BJ1316" s="173"/>
      <c r="BK1316" s="173"/>
      <c r="BL1316" s="173"/>
      <c r="BM1316" s="173"/>
      <c r="BN1316" s="173"/>
      <c r="BO1316" s="173"/>
      <c r="BP1316" s="173"/>
      <c r="BQ1316" s="118"/>
      <c r="BR1316" s="118"/>
      <c r="BS1316" s="118">
        <f>INDEX('Dist. Plant Gas Additions'!$F$7:$AE$91,MATCH($C1316,'Dist. Plant Gas Additions'!$D$7:$D$91,0),MATCH(Calculation!$G1316,'Dist. Plant Gas Additions'!$F$5:$AE$5,0))</f>
        <v>31112</v>
      </c>
      <c r="BT1316" s="118">
        <f>INDEX('Gen. Plant Additions'!$F$7:$AE$91,MATCH($C1316,'Gen. Plant Additions'!$D$7:$D$91,0),MATCH(Calculation!$G1316,'Gen. Plant Additions'!$F$5:$AE$5,0))</f>
        <v>2149</v>
      </c>
      <c r="BU1316" s="118"/>
      <c r="BV1316" s="118"/>
      <c r="BW1316" s="118">
        <f>INDEX('Dist Plant Depreciation'!$E$7:$AD$94,MATCH($C1316,'Dist Plant Depreciation'!$D$7:$D$94,0),MATCH(Calculation!$G1316,'Dist Plant Depreciation'!$E$5:$AD$5,0))</f>
        <v>273337</v>
      </c>
      <c r="BX1316" s="118">
        <f>INDEX('Gen. Plant Depreciation'!$E$7:$AD$94,MATCH($C1316,'Gen. Plant Depreciation'!$D$7:$D$94,0),MATCH(Calculation!$G1316,'Gen. Plant Depreciation'!$E$5:$AD$5,0))</f>
        <v>43671</v>
      </c>
      <c r="BY1316" s="118"/>
      <c r="BZ1316" s="118"/>
      <c r="CA1316" s="118"/>
      <c r="CB1316" s="118"/>
      <c r="CC1316" s="118"/>
      <c r="CD1316" s="183"/>
      <c r="CE1316" s="118">
        <f>INDEX('Gross Dx Plant'!$E$7:$AD$91,MATCH($C1316,'Gross Dx Plant'!$D$7:$D$91,0),MATCH(Calculation!$G1316,'Gross Dx Plant'!$E$5:$AD$5,0))</f>
        <v>753415</v>
      </c>
      <c r="CF1316" s="118">
        <f>INDEX('Gross Gen Plant'!$E$7:$AD$91,MATCH($C1316,'Gross Gen Plant'!$D$7:$D$91,0),MATCH(Calculation!$G1316,'Gross Gen Plant'!$E$5:$AD$5,0))</f>
        <v>80168</v>
      </c>
      <c r="CG1316" s="118">
        <f t="shared" si="3767"/>
        <v>516575</v>
      </c>
      <c r="CH1316" s="119" t="e">
        <f>SUM(#REF!)/15</f>
        <v>#REF!</v>
      </c>
      <c r="CI1316" s="121">
        <v>2006</v>
      </c>
      <c r="CJ1316" s="118"/>
      <c r="CK1316" s="118"/>
      <c r="CL1316" s="118"/>
      <c r="CM1316" s="183"/>
      <c r="CN1316" s="118">
        <f t="shared" si="3934"/>
        <v>33261</v>
      </c>
      <c r="CO1316" s="118">
        <f t="shared" si="3935"/>
        <v>72.136268739577858</v>
      </c>
      <c r="CP1316" s="186">
        <v>0.9555555555555556</v>
      </c>
      <c r="CQ1316" s="118">
        <f>+CQ1308*CP1316+CO1309*CP1315+CO1310*CP1314+CO1311*CP1313+CO1312*CP1312+CO1313*CP1311+CO1314*CP1310+CO1315*CP1309+CO1316</f>
        <v>2445.6447263637579</v>
      </c>
      <c r="CR1316" s="119">
        <f t="shared" si="3936"/>
        <v>2.3775148122580626E-2</v>
      </c>
      <c r="CS1316" s="119"/>
      <c r="CT1316" s="177">
        <f t="shared" si="3937"/>
        <v>6.1454484588433578E-3</v>
      </c>
      <c r="CU1316" s="177">
        <f t="shared" si="3945"/>
        <v>5.9610474937069639E-3</v>
      </c>
      <c r="CV1316" s="119">
        <f>VLOOKUP($H1316,RoR!$E:$F,2,FALSE)</f>
        <v>5.5874999999999994E-2</v>
      </c>
      <c r="CW1316" s="177">
        <v>3.0512430354548314E-2</v>
      </c>
      <c r="CX1316" s="177">
        <f t="shared" si="3943"/>
        <v>2.536256964545168E-2</v>
      </c>
      <c r="CY1316" s="177">
        <f t="shared" si="3946"/>
        <v>2.494089411482666E-2</v>
      </c>
      <c r="CZ1316" s="177">
        <f t="shared" si="3947"/>
        <v>7.9087823893859641E-2</v>
      </c>
      <c r="DA1316" s="187">
        <f t="shared" si="3938"/>
        <v>0.84925000000000006</v>
      </c>
      <c r="DB1316" s="188">
        <f t="shared" si="3939"/>
        <v>0.91779957551769631</v>
      </c>
      <c r="DC1316" s="188">
        <f t="shared" si="3940"/>
        <v>0.52757270693512304</v>
      </c>
      <c r="DD1316" s="188">
        <f t="shared" si="3941"/>
        <v>0.88636824549024895</v>
      </c>
      <c r="DE1316" s="188">
        <f t="shared" si="3942"/>
        <v>0.42918482841932087</v>
      </c>
      <c r="DF1316" s="189">
        <f>INDEX('State Tax Lookup'!$D$7:$Z$91,MATCH(Calculation!$C1316,'State Tax Lookup'!$B$7:$B$91,0),MATCH($H1316,'State Tax Lookup'!$D$6:$Z$6,0))</f>
        <v>0.40200000000000002</v>
      </c>
      <c r="DG1316" s="189">
        <v>0.375</v>
      </c>
      <c r="DH1316" s="190">
        <f t="shared" si="3944"/>
        <v>16.219256436547276</v>
      </c>
      <c r="DI1316" s="190">
        <v>15.75457419938737</v>
      </c>
      <c r="DJ1316" s="177"/>
      <c r="DK1316" s="189">
        <f>VLOOKUP($H1316,RoR!$E:$F,2,FALSE)</f>
        <v>5.5874999999999994E-2</v>
      </c>
      <c r="DL1316" s="191">
        <f>HLOOKUP($H1316,'GDP-PI'!$D$8:$CQ$11,3,FALSE)</f>
        <v>3.0512430354548314E-2</v>
      </c>
      <c r="DM1316" s="189">
        <f>VLOOKUP(H1316,'HW Dx Data'!$E:$F,2,FALSE)</f>
        <v>461.08567272971823</v>
      </c>
      <c r="DN1316" s="183">
        <f>VLOOKUP(H1316,'ECI - Input Price'!$G$17:$H$37,2,FALSE)</f>
        <v>102.05</v>
      </c>
      <c r="DO1316" s="177">
        <f t="shared" ref="DO1316" si="3965">LN(DN1316/DN1315)</f>
        <v>2.8829034290048662E-2</v>
      </c>
      <c r="DP1316" s="183">
        <f>HLOOKUP(H1316,'GDP-PI'!$8:$9,2,FALSE)</f>
        <v>90.073999999999998</v>
      </c>
      <c r="DQ1316" s="177">
        <f t="shared" ref="DQ1316" si="3966">LN(DP1316/DP1315)</f>
        <v>3.005618372545445E-2</v>
      </c>
    </row>
    <row r="1317" spans="1:121" s="167" customFormat="1" ht="21" x14ac:dyDescent="0.35">
      <c r="A1317" s="167" t="s">
        <v>121</v>
      </c>
      <c r="B1317" s="167" t="s">
        <v>122</v>
      </c>
      <c r="C1317" s="167">
        <v>4064141</v>
      </c>
      <c r="D1317" s="168" t="s">
        <v>140</v>
      </c>
      <c r="E1317" s="168" t="s">
        <v>126</v>
      </c>
      <c r="F1317" s="198"/>
      <c r="G1317" s="167" t="s">
        <v>13</v>
      </c>
      <c r="H1317" s="169">
        <v>2007</v>
      </c>
      <c r="I1317" s="170"/>
      <c r="J1317" s="166">
        <f>IFERROR(INDEX('Labor Expenditures'!$F$7:$X$91,MATCH($C1317,'Labor Expenditures'!$D$7:$D$91,0),MATCH($G1317,'Labor Expenditures'!$F$5:$X$5,0)),"NA")</f>
        <v>25279.701612801415</v>
      </c>
      <c r="K1317" s="166">
        <f t="shared" si="3950"/>
        <v>240.24425386363899</v>
      </c>
      <c r="L1317" s="172">
        <f t="shared" si="3957"/>
        <v>-2.3333400852606694E-2</v>
      </c>
      <c r="M1317" s="172">
        <f t="shared" si="3961"/>
        <v>-2.901562766054379E-4</v>
      </c>
      <c r="N1317" s="196"/>
      <c r="O1317" s="172"/>
      <c r="P1317" s="166">
        <f>IFERROR(INDEX('Non-Labor Expenditures'!$F$7:$AB$91,MATCH($C1317,'Non-Labor Expenditures'!$D$7:$D$91,0),MATCH($G1317,'Non-Labor Expenditures'!$F$5:$AB$5,0)),"NA")</f>
        <v>36609.729532303019</v>
      </c>
      <c r="Q1317" s="166">
        <f t="shared" si="3951"/>
        <v>395.78941741770655</v>
      </c>
      <c r="R1317" s="172">
        <f t="shared" si="3962"/>
        <v>-1.9250843401863886E-2</v>
      </c>
      <c r="S1317" s="172">
        <f t="shared" ref="S1317:S1331" si="3967">+R1317*AR1317</f>
        <v>-2.3938872341342277E-4</v>
      </c>
      <c r="T1317" s="172"/>
      <c r="U1317" s="172"/>
      <c r="V1317" s="166">
        <f t="shared" si="3932"/>
        <v>42590.88925007201</v>
      </c>
      <c r="W1317" s="170"/>
      <c r="X1317" s="174">
        <v>2487.4356044599767</v>
      </c>
      <c r="Y1317" s="175">
        <v>1.6943522130648103E-2</v>
      </c>
      <c r="Z1317" s="175">
        <f t="shared" ref="Z1317:Z1331" si="3968">+Y1317*AR1317</f>
        <v>2.1069664576826863E-4</v>
      </c>
      <c r="AA1317" s="175"/>
      <c r="AB1317" s="175"/>
      <c r="AC1317" s="170">
        <f t="shared" si="3845"/>
        <v>104480.32039517644</v>
      </c>
      <c r="AD1317" s="175">
        <f t="shared" si="3963"/>
        <v>4.2094221671894951E-2</v>
      </c>
      <c r="AE1317" s="170"/>
      <c r="AF1317" s="170"/>
      <c r="AG1317" s="121">
        <f t="shared" si="3964"/>
        <v>515.33379892364439</v>
      </c>
      <c r="AH1317" s="119">
        <f>+AZ1317/$BB$45</f>
        <v>5.7239723430171875E-3</v>
      </c>
      <c r="AI1317" s="119">
        <f>+AZ1317/$BC$45</f>
        <v>2.4761726563208946E-2</v>
      </c>
      <c r="AJ1317" s="176">
        <f t="shared" ref="AJ1317:AJ1331" si="3969">+AH1317*AG1317</f>
        <v>2.9497564124609208</v>
      </c>
      <c r="AK1317" s="176">
        <f t="shared" ref="AK1317:AK1331" si="3970">+AI1317*AG1317</f>
        <v>12.760554617726983</v>
      </c>
      <c r="AL1317" s="120">
        <f t="shared" si="3952"/>
        <v>0.24195658586407345</v>
      </c>
      <c r="AM1317" s="120">
        <f t="shared" si="3953"/>
        <v>0.35039832758775868</v>
      </c>
      <c r="AN1317" s="120">
        <f t="shared" si="3954"/>
        <v>0.40764508654816789</v>
      </c>
      <c r="AO1317" s="120">
        <f t="shared" si="3958"/>
        <v>-5.8811808654524412E-3</v>
      </c>
      <c r="AP1317" s="173">
        <f>+AP1316*EXP(AO1317)</f>
        <v>98.024857179577211</v>
      </c>
      <c r="AQ1317" s="175">
        <f>LN(AP1317/AP1316)</f>
        <v>-5.8811808654524551E-3</v>
      </c>
      <c r="AR1317" s="177">
        <f>+AC1317/$AE$45</f>
        <v>1.2435233013751747E-2</v>
      </c>
      <c r="AS1317" s="177">
        <f t="shared" ref="AS1317:AS1331" si="3971">+AR1317*AQ1317</f>
        <v>-7.3133854457919437E-5</v>
      </c>
      <c r="AT1317" s="177"/>
      <c r="AU1317" s="177"/>
      <c r="AV1317" s="177"/>
      <c r="AW1317" s="190"/>
      <c r="AX1317" s="120"/>
      <c r="AY1317" s="120"/>
      <c r="AZ1317" s="118">
        <f>IFERROR(INDEX('Total Customers'!$F$7:$AB$91,MATCH($C1317,'Total Customers'!$D$7:$D$91,0),MATCH($G1317,'Total Customers'!$F$5:$AB$5,0)),"NA")</f>
        <v>202743</v>
      </c>
      <c r="BA1317" s="119">
        <f t="shared" si="3933"/>
        <v>1.6741662285318124E-2</v>
      </c>
      <c r="BB1317" s="119"/>
      <c r="BC1317" s="121">
        <v>8187757</v>
      </c>
      <c r="BD1317" s="119"/>
      <c r="BE1317" s="119"/>
      <c r="BF1317" s="119"/>
      <c r="BG1317" s="173"/>
      <c r="BH1317" s="173"/>
      <c r="BI1317" s="173"/>
      <c r="BJ1317" s="173"/>
      <c r="BK1317" s="173"/>
      <c r="BL1317" s="173"/>
      <c r="BM1317" s="173"/>
      <c r="BN1317" s="173"/>
      <c r="BO1317" s="173"/>
      <c r="BP1317" s="173"/>
      <c r="BQ1317" s="118"/>
      <c r="BR1317" s="118"/>
      <c r="BS1317" s="118">
        <f>INDEX('Dist. Plant Gas Additions'!$F$7:$AE$91,MATCH($C1317,'Dist. Plant Gas Additions'!$D$7:$D$91,0),MATCH(Calculation!$G1317,'Dist. Plant Gas Additions'!$F$5:$AE$5,0))</f>
        <v>26596</v>
      </c>
      <c r="BT1317" s="118">
        <f>INDEX('Gen. Plant Additions'!$F$7:$AE$91,MATCH($C1317,'Gen. Plant Additions'!$D$7:$D$91,0),MATCH(Calculation!$G1317,'Gen. Plant Additions'!$F$5:$AE$5,0))</f>
        <v>1948</v>
      </c>
      <c r="BU1317" s="118"/>
      <c r="BV1317" s="118"/>
      <c r="BW1317" s="118">
        <f>INDEX('Dist Plant Depreciation'!$E$7:$AD$94,MATCH($C1317,'Dist Plant Depreciation'!$D$7:$D$94,0),MATCH(Calculation!$G1317,'Dist Plant Depreciation'!$E$5:$AD$5,0))</f>
        <v>274709</v>
      </c>
      <c r="BX1317" s="118">
        <f>INDEX('Gen. Plant Depreciation'!$E$7:$AD$94,MATCH($C1317,'Gen. Plant Depreciation'!$D$7:$D$94,0),MATCH(Calculation!$G1317,'Gen. Plant Depreciation'!$E$5:$AD$5,0))</f>
        <v>50882</v>
      </c>
      <c r="BY1317" s="118"/>
      <c r="BZ1317" s="118"/>
      <c r="CA1317" s="118"/>
      <c r="CB1317" s="118"/>
      <c r="CC1317" s="118"/>
      <c r="CD1317" s="183"/>
      <c r="CE1317" s="118">
        <f>INDEX('Gross Dx Plant'!$E$7:$AD$91,MATCH($C1317,'Gross Dx Plant'!$D$7:$D$91,0),MATCH(Calculation!$G1317,'Gross Dx Plant'!$E$5:$AD$5,0))</f>
        <v>774476</v>
      </c>
      <c r="CF1317" s="118">
        <f>INDEX('Gross Gen Plant'!$E$7:$AD$91,MATCH($C1317,'Gross Gen Plant'!$D$7:$D$91,0),MATCH(Calculation!$G1317,'Gross Gen Plant'!$E$5:$AD$5,0))</f>
        <v>44076</v>
      </c>
      <c r="CG1317" s="118">
        <f t="shared" si="3767"/>
        <v>492961</v>
      </c>
      <c r="CH1317" s="118"/>
      <c r="CI1317" s="121">
        <v>2007</v>
      </c>
      <c r="CJ1317" s="118"/>
      <c r="CK1317" s="118"/>
      <c r="CL1317" s="118"/>
      <c r="CM1317" s="183"/>
      <c r="CN1317" s="118">
        <f t="shared" si="3934"/>
        <v>28544</v>
      </c>
      <c r="CO1317" s="118">
        <f t="shared" si="3935"/>
        <v>57.314700793368615</v>
      </c>
      <c r="CP1317" s="186">
        <v>0.94915254237288138</v>
      </c>
      <c r="CQ1317" s="118">
        <f>+CQ1308*CP1317+CO1309*CP1316+CO1310*CP1315+CO1311*CP1314+CO1312*CP1313+CO1313*CP1312+CO1314*CP1311+CO1315*CP1310+CO1316*CP1309+CO1317</f>
        <v>2487.4356044599767</v>
      </c>
      <c r="CR1317" s="119">
        <f t="shared" si="3936"/>
        <v>1.6943522130648103E-2</v>
      </c>
      <c r="CS1317" s="119"/>
      <c r="CT1317" s="177">
        <f t="shared" si="3937"/>
        <v>6.3475379435961347E-3</v>
      </c>
      <c r="CU1317" s="177">
        <f t="shared" si="3945"/>
        <v>6.1493238052503065E-3</v>
      </c>
      <c r="CV1317" s="119">
        <f>VLOOKUP($H1317,RoR!$E:$F,2,FALSE)</f>
        <v>5.5558333333333321E-2</v>
      </c>
      <c r="CW1317" s="177">
        <v>2.691120634145272E-2</v>
      </c>
      <c r="CX1317" s="177">
        <f t="shared" si="3943"/>
        <v>2.86471269918806E-2</v>
      </c>
      <c r="CY1317" s="177">
        <f t="shared" si="3946"/>
        <v>2.4752617803283319E-2</v>
      </c>
      <c r="CZ1317" s="177">
        <f t="shared" si="3947"/>
        <v>6.4575155250632399E-2</v>
      </c>
      <c r="DA1317" s="187">
        <f t="shared" si="3938"/>
        <v>0.84925000000000006</v>
      </c>
      <c r="DB1317" s="188">
        <f t="shared" si="3939"/>
        <v>0.92303077153834634</v>
      </c>
      <c r="DC1317" s="188">
        <f t="shared" si="3940"/>
        <v>0.52502249887505614</v>
      </c>
      <c r="DD1317" s="188">
        <f t="shared" si="3941"/>
        <v>0.88499666072084604</v>
      </c>
      <c r="DE1317" s="188">
        <f t="shared" si="3942"/>
        <v>0.42887993290280618</v>
      </c>
      <c r="DF1317" s="189">
        <f>INDEX('State Tax Lookup'!$D$7:$Z$91,MATCH(Calculation!$C1317,'State Tax Lookup'!$B$7:$B$91,0),MATCH($H1317,'State Tax Lookup'!$D$6:$Z$6,0))</f>
        <v>0.40200000000000002</v>
      </c>
      <c r="DG1317" s="189">
        <v>0.375</v>
      </c>
      <c r="DH1317" s="190">
        <f t="shared" si="3944"/>
        <v>17.41499441474361</v>
      </c>
      <c r="DI1317" s="190">
        <v>17.163454472080339</v>
      </c>
      <c r="DJ1317" s="177"/>
      <c r="DK1317" s="189">
        <f>VLOOKUP($H1317,RoR!$E:$F,2,FALSE)</f>
        <v>5.5558333333333321E-2</v>
      </c>
      <c r="DL1317" s="191">
        <f>HLOOKUP($H1317,'GDP-PI'!$D$8:$CQ$11,3,FALSE)</f>
        <v>2.691120634145272E-2</v>
      </c>
      <c r="DM1317" s="189">
        <f>VLOOKUP(H1317,'HW Dx Data'!$E:$F,2,FALSE)</f>
        <v>498.0223154772637</v>
      </c>
      <c r="DN1317" s="183">
        <f>VLOOKUP(H1317,'ECI - Input Price'!$G$17:$H$37,2,FALSE)</f>
        <v>105.22500000000001</v>
      </c>
      <c r="DO1317" s="177">
        <f t="shared" ref="DO1317" si="3972">LN(DN1317/DN1316)</f>
        <v>3.0638025400780679E-2</v>
      </c>
      <c r="DP1317" s="183">
        <f>HLOOKUP(H1317,'GDP-PI'!$8:$9,2,FALSE)</f>
        <v>92.498000000000005</v>
      </c>
      <c r="DQ1317" s="177">
        <f t="shared" ref="DQ1317" si="3973">LN(DP1317/DP1316)</f>
        <v>2.6555467950038037E-2</v>
      </c>
    </row>
    <row r="1318" spans="1:121" s="167" customFormat="1" ht="21" x14ac:dyDescent="0.35">
      <c r="A1318" s="167" t="s">
        <v>121</v>
      </c>
      <c r="B1318" s="167" t="s">
        <v>122</v>
      </c>
      <c r="C1318" s="167">
        <v>4064141</v>
      </c>
      <c r="D1318" s="168" t="s">
        <v>140</v>
      </c>
      <c r="E1318" s="168" t="s">
        <v>126</v>
      </c>
      <c r="F1318" s="198"/>
      <c r="G1318" s="167" t="s">
        <v>14</v>
      </c>
      <c r="H1318" s="169">
        <v>2008</v>
      </c>
      <c r="I1318" s="170"/>
      <c r="J1318" s="166">
        <f>IFERROR(INDEX('Labor Expenditures'!$F$7:$X$91,MATCH($C1318,'Labor Expenditures'!$D$7:$D$91,0),MATCH($G1318,'Labor Expenditures'!$F$5:$X$5,0)),"NA")</f>
        <v>26558.330714454718</v>
      </c>
      <c r="K1318" s="166">
        <f t="shared" si="3950"/>
        <v>245.39922120078282</v>
      </c>
      <c r="L1318" s="172">
        <f t="shared" si="3957"/>
        <v>2.1230228437416405E-2</v>
      </c>
      <c r="M1318" s="172">
        <f t="shared" si="3961"/>
        <v>2.6991658123417161E-4</v>
      </c>
      <c r="N1318" s="196"/>
      <c r="O1318" s="172"/>
      <c r="P1318" s="166">
        <f>IFERROR(INDEX('Non-Labor Expenditures'!$F$7:$AB$91,MATCH($C1318,'Non-Labor Expenditures'!$D$7:$D$91,0),MATCH($G1318,'Non-Labor Expenditures'!$F$5:$AB$5,0)),"NA")</f>
        <v>38461.423286471167</v>
      </c>
      <c r="Q1318" s="166">
        <f t="shared" si="3951"/>
        <v>408.0181541889923</v>
      </c>
      <c r="R1318" s="172">
        <f t="shared" si="3962"/>
        <v>3.0429373360793755E-2</v>
      </c>
      <c r="S1318" s="172">
        <f t="shared" si="3967"/>
        <v>3.8687254123786281E-4</v>
      </c>
      <c r="T1318" s="172"/>
      <c r="U1318" s="172"/>
      <c r="V1318" s="166">
        <f t="shared" si="3932"/>
        <v>49176.050384012029</v>
      </c>
      <c r="W1318" s="170"/>
      <c r="X1318" s="174">
        <v>2581.0464305156829</v>
      </c>
      <c r="Y1318" s="175">
        <v>3.694260786472274E-2</v>
      </c>
      <c r="Z1318" s="175">
        <f t="shared" si="3968"/>
        <v>4.6968041093457244E-4</v>
      </c>
      <c r="AA1318" s="175"/>
      <c r="AB1318" s="175"/>
      <c r="AC1318" s="170">
        <f t="shared" si="3845"/>
        <v>114195.80438493792</v>
      </c>
      <c r="AD1318" s="175">
        <f t="shared" si="3963"/>
        <v>8.8915825267954496E-2</v>
      </c>
      <c r="AE1318" s="170"/>
      <c r="AF1318" s="170"/>
      <c r="AG1318" s="121">
        <f t="shared" si="3964"/>
        <v>557.50142497589729</v>
      </c>
      <c r="AH1318" s="119">
        <f>+AZ1318/$BB$46</f>
        <v>5.7522005973762022E-3</v>
      </c>
      <c r="AI1318" s="119">
        <f>+AZ1318/$BC$46</f>
        <v>2.4846232587713867E-2</v>
      </c>
      <c r="AJ1318" s="176">
        <f t="shared" si="3969"/>
        <v>3.2068600297844405</v>
      </c>
      <c r="AK1318" s="176">
        <f t="shared" si="3970"/>
        <v>13.851810072933057</v>
      </c>
      <c r="AL1318" s="120">
        <f t="shared" si="3952"/>
        <v>0.23256835798389175</v>
      </c>
      <c r="AM1318" s="120">
        <f t="shared" si="3953"/>
        <v>0.33680242013816153</v>
      </c>
      <c r="AN1318" s="120">
        <f t="shared" si="3954"/>
        <v>0.43062922187794672</v>
      </c>
      <c r="AO1318" s="120">
        <f t="shared" si="3958"/>
        <v>3.097670007138538E-2</v>
      </c>
      <c r="AP1318" s="173">
        <f t="shared" ref="AP1318:AP1331" si="3974">+AP1317*EXP(AO1318)</f>
        <v>101.10886334453684</v>
      </c>
      <c r="AQ1318" s="175">
        <f t="shared" ref="AQ1318:AQ1331" si="3975">LN(AP1318/AP1317)</f>
        <v>3.0976700071385376E-2</v>
      </c>
      <c r="AR1318" s="177">
        <f>+AC1318/$AE$46</f>
        <v>1.2713786007053389E-2</v>
      </c>
      <c r="AS1318" s="177">
        <f t="shared" si="3971"/>
        <v>3.938311359122691E-4</v>
      </c>
      <c r="AT1318" s="177"/>
      <c r="AU1318" s="177"/>
      <c r="AV1318" s="177"/>
      <c r="AW1318" s="190"/>
      <c r="AX1318" s="120"/>
      <c r="AY1318" s="120"/>
      <c r="AZ1318" s="118">
        <f>IFERROR(INDEX('Total Customers'!$F$7:$AB$91,MATCH($C1318,'Total Customers'!$D$7:$D$91,0),MATCH($G1318,'Total Customers'!$F$5:$AB$5,0)),"NA")</f>
        <v>204835</v>
      </c>
      <c r="BA1318" s="119">
        <f t="shared" si="3933"/>
        <v>1.0265609879302452E-2</v>
      </c>
      <c r="BB1318" s="119"/>
      <c r="BC1318" s="121">
        <v>8244107</v>
      </c>
      <c r="BD1318" s="119"/>
      <c r="BE1318" s="119"/>
      <c r="BF1318" s="119"/>
      <c r="BG1318" s="173"/>
      <c r="BH1318" s="173"/>
      <c r="BI1318" s="173"/>
      <c r="BJ1318" s="173"/>
      <c r="BK1318" s="173"/>
      <c r="BL1318" s="173"/>
      <c r="BM1318" s="173"/>
      <c r="BN1318" s="173"/>
      <c r="BO1318" s="173"/>
      <c r="BP1318" s="173"/>
      <c r="BQ1318" s="118"/>
      <c r="BR1318" s="118"/>
      <c r="BS1318" s="118">
        <f>INDEX('Dist. Plant Gas Additions'!$F$7:$AE$91,MATCH($C1318,'Dist. Plant Gas Additions'!$D$7:$D$91,0),MATCH(Calculation!$G1318,'Dist. Plant Gas Additions'!$F$5:$AE$5,0))</f>
        <v>58978</v>
      </c>
      <c r="BT1318" s="118">
        <f>INDEX('Gen. Plant Additions'!$F$7:$AE$91,MATCH($C1318,'Gen. Plant Additions'!$D$7:$D$91,0),MATCH(Calculation!$G1318,'Gen. Plant Additions'!$F$5:$AE$5,0))</f>
        <v>3677</v>
      </c>
      <c r="BU1318" s="118"/>
      <c r="BV1318" s="118"/>
      <c r="BW1318" s="118">
        <f>INDEX('Dist Plant Depreciation'!$E$7:$AD$94,MATCH($C1318,'Dist Plant Depreciation'!$D$7:$D$94,0),MATCH(Calculation!$G1318,'Dist Plant Depreciation'!$E$5:$AD$5,0))</f>
        <v>284869</v>
      </c>
      <c r="BX1318" s="118">
        <f>INDEX('Gen. Plant Depreciation'!$E$7:$AD$94,MATCH($C1318,'Gen. Plant Depreciation'!$D$7:$D$94,0),MATCH(Calculation!$G1318,'Gen. Plant Depreciation'!$E$5:$AD$5,0))</f>
        <v>56503</v>
      </c>
      <c r="BY1318" s="118"/>
      <c r="BZ1318" s="118"/>
      <c r="CA1318" s="118"/>
      <c r="CB1318" s="118"/>
      <c r="CC1318" s="118"/>
      <c r="CD1318" s="183"/>
      <c r="CE1318" s="118">
        <f>INDEX('Gross Dx Plant'!$E$7:$AD$91,MATCH($C1318,'Gross Dx Plant'!$D$7:$D$91,0),MATCH(Calculation!$G1318,'Gross Dx Plant'!$E$5:$AD$5,0))</f>
        <v>829638</v>
      </c>
      <c r="CF1318" s="118">
        <f>INDEX('Gross Gen Plant'!$E$7:$AD$91,MATCH($C1318,'Gross Gen Plant'!$D$7:$D$91,0),MATCH(Calculation!$G1318,'Gross Gen Plant'!$E$5:$AD$5,0))</f>
        <v>47307</v>
      </c>
      <c r="CG1318" s="118">
        <f t="shared" si="3767"/>
        <v>535573</v>
      </c>
      <c r="CH1318" s="118"/>
      <c r="CI1318" s="121">
        <v>2008</v>
      </c>
      <c r="CJ1318" s="118"/>
      <c r="CK1318" s="118"/>
      <c r="CL1318" s="118"/>
      <c r="CM1318" s="183"/>
      <c r="CN1318" s="118">
        <f t="shared" si="3934"/>
        <v>62655</v>
      </c>
      <c r="CO1318" s="118">
        <f t="shared" si="3935"/>
        <v>109.94396662553581</v>
      </c>
      <c r="CP1318" s="186">
        <v>0.94252873563218387</v>
      </c>
      <c r="CQ1318" s="118">
        <f>+CQ1308*CP1318+CO1309*CP1317+CO1310*CP1316+CO1311*CP1315+CO1312*CP1314+CO1313*CP1313+CO1314*CP1312+CO1315*CP1311+CO1316*CP1310+CO1317*CP1309+CO1318</f>
        <v>2581.0464305156829</v>
      </c>
      <c r="CR1318" s="119">
        <f t="shared" si="3936"/>
        <v>3.694260786472274E-2</v>
      </c>
      <c r="CS1318" s="119"/>
      <c r="CT1318" s="177">
        <f t="shared" si="3937"/>
        <v>6.5662566462200153E-3</v>
      </c>
      <c r="CU1318" s="177">
        <f t="shared" si="3945"/>
        <v>6.3530810162198354E-3</v>
      </c>
      <c r="CV1318" s="119">
        <f>VLOOKUP($H1318,RoR!$E:$F,2,FALSE)</f>
        <v>5.6316666666666668E-2</v>
      </c>
      <c r="CW1318" s="177">
        <v>1.9092304698479889E-2</v>
      </c>
      <c r="CX1318" s="177">
        <f t="shared" si="3943"/>
        <v>3.7224361968186778E-2</v>
      </c>
      <c r="CY1318" s="177">
        <f t="shared" si="3946"/>
        <v>2.4548860592313791E-2</v>
      </c>
      <c r="CZ1318" s="177">
        <f t="shared" si="3947"/>
        <v>6.9030581091053131E-2</v>
      </c>
      <c r="DA1318" s="187">
        <f t="shared" si="3938"/>
        <v>0.84925000000000006</v>
      </c>
      <c r="DB1318" s="188">
        <f t="shared" si="3939"/>
        <v>0.91060168006009956</v>
      </c>
      <c r="DC1318" s="188">
        <f t="shared" si="3940"/>
        <v>0.53108168097070152</v>
      </c>
      <c r="DD1318" s="188">
        <f t="shared" si="3941"/>
        <v>0.88825329850328805</v>
      </c>
      <c r="DE1318" s="188">
        <f t="shared" si="3942"/>
        <v>0.4295627335323573</v>
      </c>
      <c r="DF1318" s="189">
        <f>INDEX('State Tax Lookup'!$D$7:$Z$91,MATCH(Calculation!$C1318,'State Tax Lookup'!$B$7:$B$91,0),MATCH($H1318,'State Tax Lookup'!$D$6:$Z$6,0))</f>
        <v>0.40200000000000002</v>
      </c>
      <c r="DG1318" s="189">
        <v>0.375</v>
      </c>
      <c r="DH1318" s="190">
        <f t="shared" si="3944"/>
        <v>19.769778279220287</v>
      </c>
      <c r="DI1318" s="190">
        <v>19.48531329896673</v>
      </c>
      <c r="DJ1318" s="177"/>
      <c r="DK1318" s="189">
        <f>VLOOKUP($H1318,RoR!$E:$F,2,FALSE)</f>
        <v>5.6316666666666668E-2</v>
      </c>
      <c r="DL1318" s="191">
        <f>HLOOKUP($H1318,'GDP-PI'!$D$8:$CQ$11,3,FALSE)</f>
        <v>1.9092304698479889E-2</v>
      </c>
      <c r="DM1318" s="189">
        <f>VLOOKUP(H1318,'HW Dx Data'!$E:$F,2,FALSE)</f>
        <v>569.88120333515076</v>
      </c>
      <c r="DN1318" s="183">
        <f>VLOOKUP(H1318,'ECI - Input Price'!$G$17:$H$37,2,FALSE)</f>
        <v>108.22499999999999</v>
      </c>
      <c r="DO1318" s="177">
        <f t="shared" ref="DO1318" si="3976">LN(DN1318/DN1317)</f>
        <v>2.8111478671409691E-2</v>
      </c>
      <c r="DP1318" s="183">
        <f>HLOOKUP(H1318,'GDP-PI'!$8:$9,2,FALSE)</f>
        <v>94.263999999999996</v>
      </c>
      <c r="DQ1318" s="177">
        <f t="shared" ref="DQ1318" si="3977">LN(DP1318/DP1317)</f>
        <v>1.8912333748032254E-2</v>
      </c>
    </row>
    <row r="1319" spans="1:121" s="167" customFormat="1" ht="21" x14ac:dyDescent="0.35">
      <c r="A1319" s="167" t="s">
        <v>121</v>
      </c>
      <c r="B1319" s="167" t="s">
        <v>122</v>
      </c>
      <c r="C1319" s="167">
        <v>4064141</v>
      </c>
      <c r="D1319" s="168" t="s">
        <v>140</v>
      </c>
      <c r="E1319" s="168" t="s">
        <v>126</v>
      </c>
      <c r="F1319" s="198"/>
      <c r="G1319" s="167" t="s">
        <v>15</v>
      </c>
      <c r="H1319" s="169">
        <v>2009</v>
      </c>
      <c r="I1319" s="170"/>
      <c r="J1319" s="166">
        <f>IFERROR(INDEX('Labor Expenditures'!$F$7:$X$91,MATCH($C1319,'Labor Expenditures'!$D$7:$D$91,0),MATCH($G1319,'Labor Expenditures'!$F$5:$X$5,0)),"NA")</f>
        <v>29150.460904251362</v>
      </c>
      <c r="K1319" s="166">
        <f t="shared" si="3950"/>
        <v>265.54735508313701</v>
      </c>
      <c r="L1319" s="172">
        <f t="shared" si="3957"/>
        <v>7.8906827991623407E-2</v>
      </c>
      <c r="M1319" s="172">
        <f t="shared" si="3961"/>
        <v>1.0131594869914635E-3</v>
      </c>
      <c r="N1319" s="196"/>
      <c r="O1319" s="172"/>
      <c r="P1319" s="166">
        <f>IFERROR(INDEX('Non-Labor Expenditures'!$F$7:$AB$91,MATCH($C1319,'Non-Labor Expenditures'!$D$7:$D$91,0),MATCH($G1319,'Non-Labor Expenditures'!$F$5:$AB$5,0)),"NA")</f>
        <v>42215.311944433706</v>
      </c>
      <c r="Q1319" s="166">
        <f t="shared" si="3951"/>
        <v>444.37638232437928</v>
      </c>
      <c r="R1319" s="172">
        <f t="shared" si="3962"/>
        <v>8.5360242293050517E-2</v>
      </c>
      <c r="S1319" s="172">
        <f t="shared" si="3967"/>
        <v>1.0960209843978903E-3</v>
      </c>
      <c r="T1319" s="172"/>
      <c r="U1319" s="172"/>
      <c r="V1319" s="166">
        <f t="shared" si="3932"/>
        <v>48930.21985004381</v>
      </c>
      <c r="W1319" s="170"/>
      <c r="X1319" s="174">
        <v>2682.6846174818434</v>
      </c>
      <c r="Y1319" s="175">
        <v>3.8623106148172368E-2</v>
      </c>
      <c r="Z1319" s="175">
        <f t="shared" si="3968"/>
        <v>4.9591863476318259E-4</v>
      </c>
      <c r="AA1319" s="175"/>
      <c r="AB1319" s="175"/>
      <c r="AC1319" s="170">
        <f t="shared" si="3845"/>
        <v>120295.99269872888</v>
      </c>
      <c r="AD1319" s="175">
        <f t="shared" si="3963"/>
        <v>5.2040754164977061E-2</v>
      </c>
      <c r="AE1319" s="170"/>
      <c r="AF1319" s="170"/>
      <c r="AG1319" s="121">
        <f t="shared" si="3964"/>
        <v>582.7221378754341</v>
      </c>
      <c r="AH1319" s="119">
        <f>+AZ1319/$BB$47</f>
        <v>5.7888516295847908E-3</v>
      </c>
      <c r="AI1319" s="119">
        <f>+AZ1319/$BC$47</f>
        <v>2.4762223257523381E-2</v>
      </c>
      <c r="AJ1319" s="176">
        <f t="shared" si="3969"/>
        <v>3.3732919974353397</v>
      </c>
      <c r="AK1319" s="176">
        <f t="shared" si="3970"/>
        <v>14.42949567517282</v>
      </c>
      <c r="AL1319" s="120">
        <f t="shared" si="3952"/>
        <v>0.24232279272391244</v>
      </c>
      <c r="AM1319" s="120">
        <f t="shared" si="3953"/>
        <v>0.35092866351881213</v>
      </c>
      <c r="AN1319" s="120">
        <f t="shared" si="3954"/>
        <v>0.40674854375727543</v>
      </c>
      <c r="AO1319" s="120">
        <f t="shared" si="3958"/>
        <v>6.4259588302657433E-2</v>
      </c>
      <c r="AP1319" s="173">
        <f t="shared" si="3974"/>
        <v>107.81937567530305</v>
      </c>
      <c r="AQ1319" s="175">
        <f t="shared" si="3975"/>
        <v>6.4259588302657364E-2</v>
      </c>
      <c r="AR1319" s="177">
        <f>+AC1319/$AE$47</f>
        <v>1.2839946970102746E-2</v>
      </c>
      <c r="AS1319" s="177">
        <f t="shared" si="3971"/>
        <v>8.2508970612675525E-4</v>
      </c>
      <c r="AT1319" s="177"/>
      <c r="AU1319" s="177"/>
      <c r="AV1319" s="177"/>
      <c r="AW1319" s="190"/>
      <c r="AX1319" s="120"/>
      <c r="AY1319" s="120"/>
      <c r="AZ1319" s="118">
        <f>IFERROR(INDEX('Total Customers'!$F$7:$AB$91,MATCH($C1319,'Total Customers'!$D$7:$D$91,0),MATCH($G1319,'Total Customers'!$F$5:$AB$5,0)),"NA")</f>
        <v>206438</v>
      </c>
      <c r="BA1319" s="119">
        <f t="shared" si="3933"/>
        <v>7.7953481872660825E-3</v>
      </c>
      <c r="BB1319" s="119"/>
      <c r="BC1319" s="121">
        <v>8336812</v>
      </c>
      <c r="BD1319" s="119"/>
      <c r="BE1319" s="119"/>
      <c r="BF1319" s="119"/>
      <c r="BG1319" s="173"/>
      <c r="BH1319" s="173"/>
      <c r="BI1319" s="173"/>
      <c r="BJ1319" s="173"/>
      <c r="BK1319" s="173"/>
      <c r="BL1319" s="173"/>
      <c r="BM1319" s="173"/>
      <c r="BN1319" s="173"/>
      <c r="BO1319" s="173"/>
      <c r="BP1319" s="173"/>
      <c r="BQ1319" s="118"/>
      <c r="BR1319" s="118"/>
      <c r="BS1319" s="118">
        <f>INDEX('Dist. Plant Gas Additions'!$F$7:$AE$91,MATCH($C1319,'Dist. Plant Gas Additions'!$D$7:$D$91,0),MATCH(Calculation!$G1319,'Dist. Plant Gas Additions'!$F$5:$AE$5,0))</f>
        <v>62955</v>
      </c>
      <c r="BT1319" s="118">
        <f>INDEX('Gen. Plant Additions'!$F$7:$AE$91,MATCH($C1319,'Gen. Plant Additions'!$D$7:$D$91,0),MATCH(Calculation!$G1319,'Gen. Plant Additions'!$F$5:$AE$5,0))</f>
        <v>2650</v>
      </c>
      <c r="BU1319" s="118"/>
      <c r="BV1319" s="118"/>
      <c r="BW1319" s="118">
        <f>INDEX('Dist Plant Depreciation'!$E$7:$AD$94,MATCH($C1319,'Dist Plant Depreciation'!$D$7:$D$94,0),MATCH(Calculation!$G1319,'Dist Plant Depreciation'!$E$5:$AD$5,0))</f>
        <v>298403</v>
      </c>
      <c r="BX1319" s="118">
        <f>INDEX('Gen. Plant Depreciation'!$E$7:$AD$94,MATCH($C1319,'Gen. Plant Depreciation'!$D$7:$D$94,0),MATCH(Calculation!$G1319,'Gen. Plant Depreciation'!$E$5:$AD$5,0))</f>
        <v>30213</v>
      </c>
      <c r="BY1319" s="118"/>
      <c r="BZ1319" s="118"/>
      <c r="CA1319" s="118"/>
      <c r="CB1319" s="118"/>
      <c r="CC1319" s="118"/>
      <c r="CD1319" s="183"/>
      <c r="CE1319" s="118">
        <f>INDEX('Gross Dx Plant'!$E$7:$AD$91,MATCH($C1319,'Gross Dx Plant'!$D$7:$D$91,0),MATCH(Calculation!$G1319,'Gross Dx Plant'!$E$5:$AD$5,0))</f>
        <v>890696</v>
      </c>
      <c r="CF1319" s="118">
        <f>INDEX('Gross Gen Plant'!$E$7:$AD$91,MATCH($C1319,'Gross Gen Plant'!$D$7:$D$91,0),MATCH(Calculation!$G1319,'Gross Gen Plant'!$E$5:$AD$5,0))</f>
        <v>49502</v>
      </c>
      <c r="CG1319" s="118">
        <f t="shared" ref="CG1319:CG1330" si="3978">IF(OR(BW1319="NA",BX1319="NA"),"NA",(SUM(CE1319:CF1319)-SUM(BW1319:BX1319)))</f>
        <v>611582</v>
      </c>
      <c r="CH1319" s="118"/>
      <c r="CI1319" s="121">
        <v>2009</v>
      </c>
      <c r="CJ1319" s="118"/>
      <c r="CK1319" s="118"/>
      <c r="CL1319" s="118"/>
      <c r="CM1319" s="183"/>
      <c r="CN1319" s="118">
        <f t="shared" si="3934"/>
        <v>65605</v>
      </c>
      <c r="CO1319" s="118">
        <f t="shared" si="3935"/>
        <v>119.07816490251278</v>
      </c>
      <c r="CP1319" s="186">
        <v>0.93567251461988299</v>
      </c>
      <c r="CQ1319" s="118">
        <f>+CQ1308*CP1319+CO1309*CP1318+CO1310*CP1317+CO1311*CP1316+CO1312*CP1315+CO1313*CP1314+CO1314*CP1313+CO1315*CP1312+CO1316*CP1311+CO1317*CP1310+CO1318*CP1309+CO1319</f>
        <v>2682.6846174818434</v>
      </c>
      <c r="CR1319" s="119">
        <f t="shared" si="3936"/>
        <v>3.8623106148172368E-2</v>
      </c>
      <c r="CS1319" s="119"/>
      <c r="CT1319" s="177">
        <f t="shared" si="3937"/>
        <v>6.7569408012810896E-3</v>
      </c>
      <c r="CU1319" s="177">
        <f t="shared" si="3945"/>
        <v>6.5569117970324135E-3</v>
      </c>
      <c r="CV1319" s="119">
        <f>VLOOKUP($H1319,RoR!$E:$F,2,FALSE)</f>
        <v>5.3133333333333324E-2</v>
      </c>
      <c r="CW1319" s="177">
        <v>7.7972502758210105E-3</v>
      </c>
      <c r="CX1319" s="177">
        <f t="shared" si="3943"/>
        <v>4.5336083057512314E-2</v>
      </c>
      <c r="CY1319" s="177">
        <f t="shared" si="3946"/>
        <v>2.4345029811501211E-2</v>
      </c>
      <c r="CZ1319" s="177">
        <f t="shared" si="3947"/>
        <v>6.3720160300892073E-2</v>
      </c>
      <c r="DA1319" s="187">
        <f t="shared" si="3938"/>
        <v>0.84925000000000006</v>
      </c>
      <c r="DB1319" s="188">
        <f t="shared" si="3939"/>
        <v>0.96515780330083989</v>
      </c>
      <c r="DC1319" s="188">
        <f t="shared" si="3940"/>
        <v>0.50448557089084056</v>
      </c>
      <c r="DD1319" s="188">
        <f t="shared" si="3941"/>
        <v>0.87391435735465484</v>
      </c>
      <c r="DE1319" s="188">
        <f t="shared" si="3942"/>
        <v>0.42551605393279146</v>
      </c>
      <c r="DF1319" s="189">
        <f>INDEX('State Tax Lookup'!$D$7:$Z$91,MATCH(Calculation!$C1319,'State Tax Lookup'!$B$7:$B$91,0),MATCH($H1319,'State Tax Lookup'!$D$6:$Z$6,0))</f>
        <v>0.40200000000000002</v>
      </c>
      <c r="DG1319" s="189">
        <v>0.375</v>
      </c>
      <c r="DH1319" s="190">
        <f t="shared" si="3944"/>
        <v>18.95751245368637</v>
      </c>
      <c r="DI1319" s="190">
        <v>18.629734315546465</v>
      </c>
      <c r="DJ1319" s="177"/>
      <c r="DK1319" s="189">
        <f>VLOOKUP($H1319,RoR!$E:$F,2,FALSE)</f>
        <v>5.3133333333333324E-2</v>
      </c>
      <c r="DL1319" s="191">
        <f>HLOOKUP($H1319,'GDP-PI'!$D$8:$CQ$11,3,FALSE)</f>
        <v>7.7972502758210105E-3</v>
      </c>
      <c r="DM1319" s="189">
        <f>VLOOKUP(H1319,'HW Dx Data'!$E:$F,2,FALSE)</f>
        <v>550.94063679692806</v>
      </c>
      <c r="DN1319" s="183">
        <f>VLOOKUP(H1319,'ECI - Input Price'!$G$17:$H$37,2,FALSE)</f>
        <v>109.77499999999999</v>
      </c>
      <c r="DO1319" s="177">
        <f t="shared" ref="DO1319" si="3979">LN(DN1319/DN1318)</f>
        <v>1.4220423119736749E-2</v>
      </c>
      <c r="DP1319" s="183">
        <f>HLOOKUP(H1319,'GDP-PI'!$8:$9,2,FALSE)</f>
        <v>94.998999999999995</v>
      </c>
      <c r="DQ1319" s="177">
        <f t="shared" ref="DQ1319" si="3980">LN(DP1319/DP1318)</f>
        <v>7.7670088183096342E-3</v>
      </c>
    </row>
    <row r="1320" spans="1:121" s="167" customFormat="1" ht="21" x14ac:dyDescent="0.35">
      <c r="A1320" s="167" t="s">
        <v>121</v>
      </c>
      <c r="B1320" s="167" t="s">
        <v>122</v>
      </c>
      <c r="C1320" s="167">
        <v>4064141</v>
      </c>
      <c r="D1320" s="168" t="s">
        <v>140</v>
      </c>
      <c r="E1320" s="168" t="s">
        <v>126</v>
      </c>
      <c r="F1320" s="198"/>
      <c r="G1320" s="167" t="s">
        <v>16</v>
      </c>
      <c r="H1320" s="169">
        <v>2010</v>
      </c>
      <c r="I1320" s="170"/>
      <c r="J1320" s="166">
        <f>IFERROR(INDEX('Labor Expenditures'!$F$7:$X$91,MATCH($C1320,'Labor Expenditures'!$D$7:$D$91,0),MATCH($G1320,'Labor Expenditures'!$F$5:$X$5,0)),"NA")</f>
        <v>30726.286782521151</v>
      </c>
      <c r="K1320" s="166">
        <f t="shared" si="3950"/>
        <v>274.64837347504937</v>
      </c>
      <c r="L1320" s="172">
        <f t="shared" si="3957"/>
        <v>3.3698450925141024E-2</v>
      </c>
      <c r="M1320" s="172">
        <f t="shared" si="3961"/>
        <v>4.420226853162582E-4</v>
      </c>
      <c r="N1320" s="196"/>
      <c r="O1320" s="172"/>
      <c r="P1320" s="166">
        <f>IFERROR(INDEX('Non-Labor Expenditures'!$F$7:$AB$91,MATCH($C1320,'Non-Labor Expenditures'!$D$7:$D$91,0),MATCH($G1320,'Non-Labor Expenditures'!$F$5:$AB$5,0)),"NA")</f>
        <v>44497.402139843565</v>
      </c>
      <c r="Q1320" s="166">
        <f t="shared" si="3951"/>
        <v>462.98892028679484</v>
      </c>
      <c r="R1320" s="172">
        <f t="shared" si="3962"/>
        <v>4.1031212265229003E-2</v>
      </c>
      <c r="S1320" s="172">
        <f t="shared" si="3967"/>
        <v>5.3820653856011084E-4</v>
      </c>
      <c r="T1320" s="172"/>
      <c r="U1320" s="172"/>
      <c r="V1320" s="166">
        <f t="shared" si="3932"/>
        <v>52157.609263781203</v>
      </c>
      <c r="W1320" s="170"/>
      <c r="X1320" s="174">
        <v>2771.2364743701874</v>
      </c>
      <c r="Y1320" s="175">
        <v>3.2475585165970405E-2</v>
      </c>
      <c r="Z1320" s="175">
        <f t="shared" si="3968"/>
        <v>4.2598235135993885E-4</v>
      </c>
      <c r="AA1320" s="175"/>
      <c r="AB1320" s="175"/>
      <c r="AC1320" s="170">
        <f t="shared" si="3845"/>
        <v>127381.29818614593</v>
      </c>
      <c r="AD1320" s="175">
        <f t="shared" si="3963"/>
        <v>5.7229624809556116E-2</v>
      </c>
      <c r="AE1320" s="170"/>
      <c r="AF1320" s="170"/>
      <c r="AG1320" s="121">
        <f t="shared" si="3964"/>
        <v>618.69820282168735</v>
      </c>
      <c r="AH1320" s="119">
        <f>+AZ1320/$BB$48</f>
        <v>5.7415895647593539E-3</v>
      </c>
      <c r="AI1320" s="119">
        <f>+AZ1320/$BC$48</f>
        <v>2.4500201762587492E-2</v>
      </c>
      <c r="AJ1320" s="176">
        <f t="shared" si="3969"/>
        <v>3.5523111450563665</v>
      </c>
      <c r="AK1320" s="176">
        <f t="shared" si="3970"/>
        <v>15.158230799281618</v>
      </c>
      <c r="AL1320" s="120">
        <f t="shared" si="3952"/>
        <v>0.24121505448641253</v>
      </c>
      <c r="AM1320" s="120">
        <f t="shared" si="3953"/>
        <v>0.34932445165394876</v>
      </c>
      <c r="AN1320" s="120">
        <f t="shared" si="3954"/>
        <v>0.40946049385963862</v>
      </c>
      <c r="AO1320" s="120">
        <f t="shared" si="3958"/>
        <v>3.5766788368534856E-2</v>
      </c>
      <c r="AP1320" s="173">
        <f t="shared" si="3974"/>
        <v>111.74552276410617</v>
      </c>
      <c r="AQ1320" s="175">
        <f t="shared" si="3975"/>
        <v>3.5766788368534815E-2</v>
      </c>
      <c r="AR1320" s="177">
        <f>+AC1320/$AE$48</f>
        <v>1.3117003101958118E-2</v>
      </c>
      <c r="AS1320" s="177">
        <f t="shared" si="3971"/>
        <v>4.6915307397715067E-4</v>
      </c>
      <c r="AT1320" s="177"/>
      <c r="AU1320" s="177"/>
      <c r="AV1320" s="177"/>
      <c r="AW1320" s="190"/>
      <c r="AX1320" s="120"/>
      <c r="AY1320" s="120"/>
      <c r="AZ1320" s="118">
        <f>IFERROR(INDEX('Total Customers'!$F$7:$AB$91,MATCH($C1320,'Total Customers'!$D$7:$D$91,0),MATCH($G1320,'Total Customers'!$F$5:$AB$5,0)),"NA")</f>
        <v>205886</v>
      </c>
      <c r="BA1320" s="119">
        <f t="shared" si="3933"/>
        <v>-2.6775076385373549E-3</v>
      </c>
      <c r="BB1320" s="119"/>
      <c r="BC1320" s="121">
        <v>8403441</v>
      </c>
      <c r="BD1320" s="119"/>
      <c r="BE1320" s="119"/>
      <c r="BF1320" s="119"/>
      <c r="BG1320" s="173"/>
      <c r="BH1320" s="173"/>
      <c r="BI1320" s="173"/>
      <c r="BJ1320" s="173"/>
      <c r="BK1320" s="173"/>
      <c r="BL1320" s="173"/>
      <c r="BM1320" s="173"/>
      <c r="BN1320" s="173"/>
      <c r="BO1320" s="173"/>
      <c r="BP1320" s="173"/>
      <c r="BQ1320" s="118"/>
      <c r="BR1320" s="118"/>
      <c r="BS1320" s="118">
        <f>INDEX('Dist. Plant Gas Additions'!$F$7:$AE$91,MATCH($C1320,'Dist. Plant Gas Additions'!$D$7:$D$91,0),MATCH(Calculation!$G1320,'Dist. Plant Gas Additions'!$F$5:$AE$5,0))</f>
        <v>57438</v>
      </c>
      <c r="BT1320" s="118">
        <f>INDEX('Gen. Plant Additions'!$F$7:$AE$91,MATCH($C1320,'Gen. Plant Additions'!$D$7:$D$91,0),MATCH(Calculation!$G1320,'Gen. Plant Additions'!$F$5:$AE$5,0))</f>
        <v>3552</v>
      </c>
      <c r="BU1320" s="118"/>
      <c r="BV1320" s="118"/>
      <c r="BW1320" s="118">
        <f>INDEX('Dist Plant Depreciation'!$E$7:$AD$94,MATCH($C1320,'Dist Plant Depreciation'!$D$7:$D$94,0),MATCH(Calculation!$G1320,'Dist Plant Depreciation'!$E$5:$AD$5,0))</f>
        <v>311925</v>
      </c>
      <c r="BX1320" s="118">
        <f>INDEX('Gen. Plant Depreciation'!$E$7:$AD$94,MATCH($C1320,'Gen. Plant Depreciation'!$D$7:$D$94,0),MATCH(Calculation!$G1320,'Gen. Plant Depreciation'!$E$5:$AD$5,0))</f>
        <v>30594</v>
      </c>
      <c r="BY1320" s="118"/>
      <c r="BZ1320" s="118"/>
      <c r="CA1320" s="118"/>
      <c r="CB1320" s="118"/>
      <c r="CC1320" s="118"/>
      <c r="CD1320" s="183"/>
      <c r="CE1320" s="118">
        <f>INDEX('Gross Dx Plant'!$E$7:$AD$91,MATCH($C1320,'Gross Dx Plant'!$D$7:$D$91,0),MATCH(Calculation!$G1320,'Gross Dx Plant'!$E$5:$AD$5,0))</f>
        <v>945406</v>
      </c>
      <c r="CF1320" s="118">
        <f>INDEX('Gross Gen Plant'!$E$7:$AD$91,MATCH($C1320,'Gross Gen Plant'!$D$7:$D$91,0),MATCH(Calculation!$G1320,'Gross Gen Plant'!$E$5:$AD$5,0))</f>
        <v>49451</v>
      </c>
      <c r="CG1320" s="118">
        <f t="shared" si="3978"/>
        <v>652338</v>
      </c>
      <c r="CH1320" s="118"/>
      <c r="CI1320" s="121">
        <v>2010</v>
      </c>
      <c r="CJ1320" s="118"/>
      <c r="CK1320" s="118"/>
      <c r="CL1320" s="118"/>
      <c r="CM1320" s="183"/>
      <c r="CN1320" s="118">
        <f t="shared" si="3934"/>
        <v>60990</v>
      </c>
      <c r="CO1320" s="118">
        <f t="shared" si="3935"/>
        <v>107.19002673708481</v>
      </c>
      <c r="CP1320" s="186">
        <v>0.9285714285714286</v>
      </c>
      <c r="CQ1320" s="118">
        <f>+CQ1308*CP1320+CO1309*CP1319+CO1310*CP1318+CO1311*CP1317+CO1312*CP1316+CO1313*CP1315+CO1314*CP1314+CO1315*CP1313+CO1316*CP1312+CO1317*CP1311+CO1318*CP1310+CO1319*CP1309+CO1320</f>
        <v>2771.2364743701874</v>
      </c>
      <c r="CR1320" s="119">
        <f t="shared" si="3936"/>
        <v>3.2475585165970405E-2</v>
      </c>
      <c r="CS1320" s="119"/>
      <c r="CT1320" s="177">
        <f t="shared" si="3937"/>
        <v>6.9475814366266857E-3</v>
      </c>
      <c r="CU1320" s="177">
        <f t="shared" si="3945"/>
        <v>6.7569262947092638E-3</v>
      </c>
      <c r="CV1320" s="119">
        <f>VLOOKUP($H1320,RoR!$E:$F,2,FALSE)</f>
        <v>4.9433333333333322E-2</v>
      </c>
      <c r="CW1320" s="177">
        <v>1.1684333519300205E-2</v>
      </c>
      <c r="CX1320" s="177">
        <f t="shared" si="3943"/>
        <v>3.7748999814033117E-2</v>
      </c>
      <c r="CY1320" s="177">
        <f t="shared" si="3946"/>
        <v>2.4145015313824361E-2</v>
      </c>
      <c r="CZ1320" s="177">
        <f t="shared" si="3947"/>
        <v>4.7937530248493419E-2</v>
      </c>
      <c r="DA1320" s="187">
        <f t="shared" si="3938"/>
        <v>0.84925000000000006</v>
      </c>
      <c r="DB1320" s="188">
        <f t="shared" si="3939"/>
        <v>1.037398205301105</v>
      </c>
      <c r="DC1320" s="188">
        <f t="shared" si="3940"/>
        <v>0.46926837491571133</v>
      </c>
      <c r="DD1320" s="188">
        <f t="shared" si="3941"/>
        <v>0.8548537519972772</v>
      </c>
      <c r="DE1320" s="188">
        <f t="shared" si="3942"/>
        <v>0.41615833911547367</v>
      </c>
      <c r="DF1320" s="189">
        <f>INDEX('State Tax Lookup'!$D$7:$Z$91,MATCH(Calculation!$C1320,'State Tax Lookup'!$B$7:$B$91,0),MATCH($H1320,'State Tax Lookup'!$D$6:$Z$6,0))</f>
        <v>0.40200000000000002</v>
      </c>
      <c r="DG1320" s="189">
        <v>0.375</v>
      </c>
      <c r="DH1320" s="190">
        <f t="shared" si="3944"/>
        <v>19.442318684758408</v>
      </c>
      <c r="DI1320" s="190">
        <v>19.14373038833331</v>
      </c>
      <c r="DJ1320" s="177"/>
      <c r="DK1320" s="189">
        <f>VLOOKUP($H1320,RoR!$E:$F,2,FALSE)</f>
        <v>4.9433333333333322E-2</v>
      </c>
      <c r="DL1320" s="191">
        <f>HLOOKUP($H1320,'GDP-PI'!$D$8:$CQ$11,3,FALSE)</f>
        <v>1.1684333519300205E-2</v>
      </c>
      <c r="DM1320" s="189">
        <f>VLOOKUP(H1320,'HW Dx Data'!$E:$F,2,FALSE)</f>
        <v>568.98950262971744</v>
      </c>
      <c r="DN1320" s="183">
        <f>VLOOKUP(H1320,'ECI - Input Price'!$G$17:$H$37,2,FALSE)</f>
        <v>111.875</v>
      </c>
      <c r="DO1320" s="177">
        <f t="shared" ref="DO1320" si="3981">LN(DN1320/DN1319)</f>
        <v>1.8949360147238387E-2</v>
      </c>
      <c r="DP1320" s="183">
        <f>HLOOKUP(H1320,'GDP-PI'!$8:$9,2,FALSE)</f>
        <v>96.108999999999995</v>
      </c>
      <c r="DQ1320" s="177">
        <f t="shared" ref="DQ1320" si="3982">LN(DP1320/DP1319)</f>
        <v>1.1616598807150427E-2</v>
      </c>
    </row>
    <row r="1321" spans="1:121" s="167" customFormat="1" ht="21" x14ac:dyDescent="0.35">
      <c r="A1321" s="167" t="s">
        <v>121</v>
      </c>
      <c r="B1321" s="167" t="s">
        <v>122</v>
      </c>
      <c r="C1321" s="167">
        <v>4064141</v>
      </c>
      <c r="D1321" s="168" t="s">
        <v>140</v>
      </c>
      <c r="E1321" s="168" t="s">
        <v>126</v>
      </c>
      <c r="F1321" s="198"/>
      <c r="G1321" s="167" t="s">
        <v>17</v>
      </c>
      <c r="H1321" s="169">
        <v>2011</v>
      </c>
      <c r="I1321" s="170"/>
      <c r="J1321" s="166">
        <f>IFERROR(INDEX('Labor Expenditures'!$F$7:$X$91,MATCH($C1321,'Labor Expenditures'!$D$7:$D$91,0),MATCH($G1321,'Labor Expenditures'!$F$5:$X$5,0)),"NA")</f>
        <v>32267.303393300001</v>
      </c>
      <c r="K1321" s="166">
        <f t="shared" si="3950"/>
        <v>282.30361673928257</v>
      </c>
      <c r="L1321" s="172">
        <f t="shared" si="3957"/>
        <v>2.7491509266927682E-2</v>
      </c>
      <c r="M1321" s="172">
        <f t="shared" si="3961"/>
        <v>3.6806283264100177E-4</v>
      </c>
      <c r="N1321" s="196"/>
      <c r="O1321" s="172"/>
      <c r="P1321" s="166">
        <f>IFERROR(INDEX('Non-Labor Expenditures'!$F$7:$AB$91,MATCH($C1321,'Non-Labor Expenditures'!$D$7:$D$91,0),MATCH($G1321,'Non-Labor Expenditures'!$F$5:$AB$5,0)),"NA")</f>
        <v>46729.082014452186</v>
      </c>
      <c r="Q1321" s="166">
        <f t="shared" si="3951"/>
        <v>476.28304401553521</v>
      </c>
      <c r="R1321" s="172">
        <f t="shared" si="3962"/>
        <v>2.8309184259824122E-2</v>
      </c>
      <c r="S1321" s="172">
        <f t="shared" si="3967"/>
        <v>3.7901005896979502E-4</v>
      </c>
      <c r="T1321" s="172"/>
      <c r="U1321" s="172"/>
      <c r="V1321" s="166">
        <f t="shared" si="3932"/>
        <v>57548.241205467879</v>
      </c>
      <c r="W1321" s="170"/>
      <c r="X1321" s="174">
        <v>2933.5510037944368</v>
      </c>
      <c r="Y1321" s="175">
        <v>5.6920034661842034E-2</v>
      </c>
      <c r="Z1321" s="175">
        <f t="shared" si="3968"/>
        <v>7.6205889564836063E-4</v>
      </c>
      <c r="AA1321" s="175"/>
      <c r="AB1321" s="175"/>
      <c r="AC1321" s="170">
        <f t="shared" si="3845"/>
        <v>136544.62661322005</v>
      </c>
      <c r="AD1321" s="175">
        <f t="shared" si="3963"/>
        <v>6.9466559753472296E-2</v>
      </c>
      <c r="AE1321" s="170"/>
      <c r="AF1321" s="170"/>
      <c r="AG1321" s="121">
        <f t="shared" si="3964"/>
        <v>657.24502949762496</v>
      </c>
      <c r="AH1321" s="119">
        <f>+AZ1321/$BB$49</f>
        <v>5.7654898500676E-3</v>
      </c>
      <c r="AI1321" s="119">
        <f>+AZ1321/$BC$49</f>
        <v>2.4621582701072467E-2</v>
      </c>
      <c r="AJ1321" s="176">
        <f t="shared" si="3969"/>
        <v>3.789339546575937</v>
      </c>
      <c r="AK1321" s="176">
        <f t="shared" si="3970"/>
        <v>16.182412848644585</v>
      </c>
      <c r="AL1321" s="120">
        <f t="shared" si="3952"/>
        <v>0.23631324200476395</v>
      </c>
      <c r="AM1321" s="120">
        <f t="shared" si="3953"/>
        <v>0.34222571164823812</v>
      </c>
      <c r="AN1321" s="120">
        <f t="shared" si="3954"/>
        <v>0.42146104634699805</v>
      </c>
      <c r="AO1321" s="120">
        <f t="shared" si="3958"/>
        <v>4.0000638727936688E-2</v>
      </c>
      <c r="AP1321" s="173">
        <f t="shared" si="3974"/>
        <v>116.30601834852187</v>
      </c>
      <c r="AQ1321" s="175">
        <f t="shared" si="3975"/>
        <v>4.0000638727936584E-2</v>
      </c>
      <c r="AR1321" s="177">
        <f>+AC1321/$AE$49</f>
        <v>1.3388236675815459E-2</v>
      </c>
      <c r="AS1321" s="177">
        <f t="shared" si="3971"/>
        <v>5.3553801847340478E-4</v>
      </c>
      <c r="AT1321" s="177"/>
      <c r="AU1321" s="177"/>
      <c r="AV1321" s="177"/>
      <c r="AW1321" s="190"/>
      <c r="AX1321" s="120"/>
      <c r="AY1321" s="120"/>
      <c r="AZ1321" s="118">
        <f>IFERROR(INDEX('Total Customers'!$F$7:$AB$91,MATCH($C1321,'Total Customers'!$D$7:$D$91,0),MATCH($G1321,'Total Customers'!$F$5:$AB$5,0)),"NA")</f>
        <v>207753</v>
      </c>
      <c r="BA1321" s="119">
        <f t="shared" si="3933"/>
        <v>9.0272565144012672E-3</v>
      </c>
      <c r="BB1321" s="119"/>
      <c r="BC1321" s="121">
        <v>8437841</v>
      </c>
      <c r="BD1321" s="119"/>
      <c r="BE1321" s="119"/>
      <c r="BF1321" s="119"/>
      <c r="BG1321" s="173"/>
      <c r="BH1321" s="173"/>
      <c r="BI1321" s="173"/>
      <c r="BJ1321" s="173"/>
      <c r="BK1321" s="173"/>
      <c r="BL1321" s="173"/>
      <c r="BM1321" s="173"/>
      <c r="BN1321" s="173"/>
      <c r="BO1321" s="173"/>
      <c r="BP1321" s="173"/>
      <c r="BQ1321" s="118"/>
      <c r="BR1321" s="118"/>
      <c r="BS1321" s="118">
        <f>INDEX('Dist. Plant Gas Additions'!$F$7:$AE$91,MATCH($C1321,'Dist. Plant Gas Additions'!$D$7:$D$91,0),MATCH(Calculation!$G1321,'Dist. Plant Gas Additions'!$F$5:$AE$5,0))</f>
        <v>101025</v>
      </c>
      <c r="BT1321" s="118">
        <f>INDEX('Gen. Plant Additions'!$F$7:$AE$91,MATCH($C1321,'Gen. Plant Additions'!$D$7:$D$91,0),MATCH(Calculation!$G1321,'Gen. Plant Additions'!$F$5:$AE$5,0))</f>
        <v>10375</v>
      </c>
      <c r="BU1321" s="118"/>
      <c r="BV1321" s="118"/>
      <c r="BW1321" s="118">
        <f>INDEX('Dist Plant Depreciation'!$E$7:$AD$94,MATCH($C1321,'Dist Plant Depreciation'!$D$7:$D$94,0),MATCH(Calculation!$G1321,'Dist Plant Depreciation'!$E$5:$AD$5,0))</f>
        <v>321804</v>
      </c>
      <c r="BX1321" s="118">
        <f>INDEX('Gen. Plant Depreciation'!$E$7:$AD$94,MATCH($C1321,'Gen. Plant Depreciation'!$D$7:$D$94,0),MATCH(Calculation!$G1321,'Gen. Plant Depreciation'!$E$5:$AD$5,0))</f>
        <v>35203</v>
      </c>
      <c r="BY1321" s="118"/>
      <c r="BZ1321" s="118"/>
      <c r="CA1321" s="118"/>
      <c r="CB1321" s="118"/>
      <c r="CC1321" s="118"/>
      <c r="CD1321" s="183"/>
      <c r="CE1321" s="118">
        <f>INDEX('Gross Dx Plant'!$E$7:$AD$91,MATCH($C1321,'Gross Dx Plant'!$D$7:$D$91,0),MATCH(Calculation!$G1321,'Gross Dx Plant'!$E$5:$AD$5,0))</f>
        <v>1040044</v>
      </c>
      <c r="CF1321" s="118">
        <f>INDEX('Gross Gen Plant'!$E$7:$AD$91,MATCH($C1321,'Gross Gen Plant'!$D$7:$D$91,0),MATCH(Calculation!$G1321,'Gross Gen Plant'!$E$5:$AD$5,0))</f>
        <v>59099</v>
      </c>
      <c r="CG1321" s="118">
        <f t="shared" si="3978"/>
        <v>742136</v>
      </c>
      <c r="CH1321" s="118"/>
      <c r="CI1321" s="121">
        <v>2011</v>
      </c>
      <c r="CJ1321" s="118"/>
      <c r="CK1321" s="118"/>
      <c r="CL1321" s="118"/>
      <c r="CM1321" s="183"/>
      <c r="CN1321" s="118">
        <f t="shared" si="3934"/>
        <v>111400</v>
      </c>
      <c r="CO1321" s="118">
        <f t="shared" si="3935"/>
        <v>182.14188837677193</v>
      </c>
      <c r="CP1321" s="186">
        <v>0.92121212121212126</v>
      </c>
      <c r="CQ1321" s="118">
        <f>+CQ1308*CP1321+CO1309*CP1320+CO1310*CP1319+CO1311*CP1318+CO1312*CP1317+CO1313*CP1316+CO1314*CP1315+CO1315*CP1314+CO1316*CP1313+CO1317*CP1312+CO1318*CP1311+CO1319*CP1310+CO1320*CP1309+CO1321</f>
        <v>2933.5510037944368</v>
      </c>
      <c r="CR1321" s="119">
        <f t="shared" si="3936"/>
        <v>5.6920034661842034E-2</v>
      </c>
      <c r="CS1321" s="119"/>
      <c r="CT1321" s="177">
        <f t="shared" si="3937"/>
        <v>7.1546976001131638E-3</v>
      </c>
      <c r="CU1321" s="177">
        <f t="shared" si="3945"/>
        <v>6.9530732793403128E-3</v>
      </c>
      <c r="CV1321" s="119">
        <f>VLOOKUP($H1321,RoR!$E:$F,2,FALSE)</f>
        <v>4.6391666666666664E-2</v>
      </c>
      <c r="CW1321" s="177">
        <v>2.0840920205183799E-2</v>
      </c>
      <c r="CX1321" s="177">
        <f t="shared" si="3943"/>
        <v>2.5550746461482865E-2</v>
      </c>
      <c r="CY1321" s="177">
        <f t="shared" si="3946"/>
        <v>2.3948868329193313E-2</v>
      </c>
      <c r="CZ1321" s="177">
        <f t="shared" si="3947"/>
        <v>2.4810540821321614E-2</v>
      </c>
      <c r="DA1321" s="187">
        <f t="shared" si="3938"/>
        <v>0.84925000000000006</v>
      </c>
      <c r="DB1321" s="188">
        <f t="shared" si="3939"/>
        <v>1.1054151524782025</v>
      </c>
      <c r="DC1321" s="188">
        <f t="shared" si="3940"/>
        <v>0.43611011316687626</v>
      </c>
      <c r="DD1321" s="188">
        <f t="shared" si="3941"/>
        <v>0.83698442246886229</v>
      </c>
      <c r="DE1321" s="188">
        <f t="shared" si="3942"/>
        <v>0.40349573304423936</v>
      </c>
      <c r="DF1321" s="189">
        <f>INDEX('State Tax Lookup'!$D$7:$Z$91,MATCH(Calculation!$C1321,'State Tax Lookup'!$B$7:$B$91,0),MATCH($H1321,'State Tax Lookup'!$D$6:$Z$6,0))</f>
        <v>0.40200000000000002</v>
      </c>
      <c r="DG1321" s="189">
        <v>0.375</v>
      </c>
      <c r="DH1321" s="190">
        <f t="shared" si="3944"/>
        <v>20.766268681039477</v>
      </c>
      <c r="DI1321" s="190">
        <v>20.442528908384134</v>
      </c>
      <c r="DJ1321" s="177"/>
      <c r="DK1321" s="189">
        <f>VLOOKUP($H1321,RoR!$E:$F,2,FALSE)</f>
        <v>4.6391666666666664E-2</v>
      </c>
      <c r="DL1321" s="191">
        <f>HLOOKUP($H1321,'GDP-PI'!$D$8:$CQ$11,3,FALSE)</f>
        <v>2.0840920205183799E-2</v>
      </c>
      <c r="DM1321" s="189">
        <f>VLOOKUP(H1321,'HW Dx Data'!$E:$F,2,FALSE)</f>
        <v>611.61109612283201</v>
      </c>
      <c r="DN1321" s="183">
        <f>VLOOKUP(H1321,'ECI - Input Price'!$G$17:$H$37,2,FALSE)</f>
        <v>114.3</v>
      </c>
      <c r="DO1321" s="177">
        <f t="shared" ref="DO1321" si="3983">LN(DN1321/DN1320)</f>
        <v>2.1444394205745516E-2</v>
      </c>
      <c r="DP1321" s="183">
        <f>HLOOKUP(H1321,'GDP-PI'!$8:$9,2,FALSE)</f>
        <v>98.111999999999995</v>
      </c>
      <c r="DQ1321" s="177">
        <f t="shared" ref="DQ1321" si="3984">LN(DP1321/DP1320)</f>
        <v>2.0626719212849295E-2</v>
      </c>
    </row>
    <row r="1322" spans="1:121" s="167" customFormat="1" ht="21" x14ac:dyDescent="0.35">
      <c r="A1322" s="167" t="s">
        <v>121</v>
      </c>
      <c r="B1322" s="167" t="s">
        <v>122</v>
      </c>
      <c r="C1322" s="167">
        <v>4064141</v>
      </c>
      <c r="D1322" s="168" t="s">
        <v>140</v>
      </c>
      <c r="E1322" s="168" t="s">
        <v>126</v>
      </c>
      <c r="F1322" s="198"/>
      <c r="G1322" s="167" t="s">
        <v>18</v>
      </c>
      <c r="H1322" s="169">
        <v>2012</v>
      </c>
      <c r="I1322" s="170"/>
      <c r="J1322" s="166">
        <f>IFERROR(INDEX('Labor Expenditures'!$F$7:$X$91,MATCH($C1322,'Labor Expenditures'!$D$7:$D$91,0),MATCH($G1322,'Labor Expenditures'!$F$5:$X$5,0)),"NA")</f>
        <v>32158.369578901482</v>
      </c>
      <c r="K1322" s="166">
        <f t="shared" si="3950"/>
        <v>276.0375071150342</v>
      </c>
      <c r="L1322" s="172">
        <f t="shared" si="3957"/>
        <v>-2.2446395035984178E-2</v>
      </c>
      <c r="M1322" s="172">
        <f t="shared" si="3961"/>
        <v>-3.0388894232436816E-4</v>
      </c>
      <c r="N1322" s="196"/>
      <c r="O1322" s="172"/>
      <c r="P1322" s="166">
        <f>IFERROR(INDEX('Non-Labor Expenditures'!$F$7:$AB$91,MATCH($C1322,'Non-Labor Expenditures'!$D$7:$D$91,0),MATCH($G1322,'Non-Labor Expenditures'!$F$5:$AB$5,0)),"NA")</f>
        <v>46571.325505173118</v>
      </c>
      <c r="Q1322" s="166">
        <f t="shared" si="3951"/>
        <v>465.71325505173115</v>
      </c>
      <c r="R1322" s="172">
        <f t="shared" si="3962"/>
        <v>-2.2442195569736721E-2</v>
      </c>
      <c r="S1322" s="172">
        <f t="shared" si="3967"/>
        <v>-3.0383208814559155E-4</v>
      </c>
      <c r="T1322" s="172"/>
      <c r="U1322" s="172"/>
      <c r="V1322" s="166">
        <f t="shared" si="3932"/>
        <v>65947.743475464769</v>
      </c>
      <c r="W1322" s="170"/>
      <c r="X1322" s="174">
        <v>3053.9642328060213</v>
      </c>
      <c r="Y1322" s="175">
        <v>4.0226859236528939E-2</v>
      </c>
      <c r="Z1322" s="175">
        <f t="shared" si="3968"/>
        <v>5.4460850781707845E-4</v>
      </c>
      <c r="AA1322" s="175"/>
      <c r="AB1322" s="175"/>
      <c r="AC1322" s="170">
        <f t="shared" si="3845"/>
        <v>144677.43855953938</v>
      </c>
      <c r="AD1322" s="175">
        <f t="shared" si="3963"/>
        <v>5.78552066604303E-2</v>
      </c>
      <c r="AE1322" s="170"/>
      <c r="AF1322" s="170"/>
      <c r="AG1322" s="121">
        <f t="shared" si="3964"/>
        <v>683.91826946676963</v>
      </c>
      <c r="AH1322" s="119">
        <f>+AZ1322/$BB$50</f>
        <v>5.8423905460620934E-3</v>
      </c>
      <c r="AI1322" s="119">
        <f>+AZ1322/$BC$50</f>
        <v>2.4931078958434296E-2</v>
      </c>
      <c r="AJ1322" s="176">
        <f t="shared" si="3969"/>
        <v>3.995717631811802</v>
      </c>
      <c r="AK1322" s="176">
        <f t="shared" si="3970"/>
        <v>17.050820377191776</v>
      </c>
      <c r="AL1322" s="120">
        <f t="shared" si="3952"/>
        <v>0.22227632655845844</v>
      </c>
      <c r="AM1322" s="120">
        <f t="shared" si="3953"/>
        <v>0.32189763634782304</v>
      </c>
      <c r="AN1322" s="120">
        <f t="shared" si="3954"/>
        <v>0.45582603709371844</v>
      </c>
      <c r="AO1322" s="120">
        <f t="shared" si="3958"/>
        <v>5.0462176710435788E-3</v>
      </c>
      <c r="AP1322" s="173">
        <f t="shared" si="3974"/>
        <v>116.89440715397883</v>
      </c>
      <c r="AQ1322" s="175">
        <f t="shared" si="3975"/>
        <v>5.0462176710436065E-3</v>
      </c>
      <c r="AR1322" s="177">
        <f>+AC1322/$AE$50</f>
        <v>1.3538429749507612E-2</v>
      </c>
      <c r="AS1322" s="177">
        <f t="shared" si="3971"/>
        <v>6.831786344014778E-5</v>
      </c>
      <c r="AT1322" s="177"/>
      <c r="AU1322" s="177"/>
      <c r="AV1322" s="177"/>
      <c r="AW1322" s="190"/>
      <c r="AX1322" s="120"/>
      <c r="AY1322" s="120"/>
      <c r="AZ1322" s="118">
        <f>IFERROR(INDEX('Total Customers'!$F$7:$AB$91,MATCH($C1322,'Total Customers'!$D$7:$D$91,0),MATCH($G1322,'Total Customers'!$F$5:$AB$5,0)),"NA")</f>
        <v>211542</v>
      </c>
      <c r="BA1322" s="119">
        <f t="shared" si="3933"/>
        <v>1.8073686267399813E-2</v>
      </c>
      <c r="BB1322" s="119"/>
      <c r="BC1322" s="121">
        <v>8485072</v>
      </c>
      <c r="BD1322" s="119"/>
      <c r="BE1322" s="119"/>
      <c r="BF1322" s="119"/>
      <c r="BG1322" s="173"/>
      <c r="BH1322" s="173"/>
      <c r="BI1322" s="173"/>
      <c r="BJ1322" s="173"/>
      <c r="BK1322" s="173"/>
      <c r="BL1322" s="173"/>
      <c r="BM1322" s="173"/>
      <c r="BN1322" s="173"/>
      <c r="BO1322" s="173"/>
      <c r="BP1322" s="173"/>
      <c r="BQ1322" s="118"/>
      <c r="BR1322" s="118"/>
      <c r="BS1322" s="118">
        <f>INDEX('Dist. Plant Gas Additions'!$F$7:$AE$91,MATCH($C1322,'Dist. Plant Gas Additions'!$D$7:$D$91,0),MATCH(Calculation!$G1322,'Dist. Plant Gas Additions'!$F$5:$AE$5,0))</f>
        <v>90248</v>
      </c>
      <c r="BT1322" s="118">
        <f>INDEX('Gen. Plant Additions'!$F$7:$AE$91,MATCH($C1322,'Gen. Plant Additions'!$D$7:$D$91,0),MATCH(Calculation!$G1322,'Gen. Plant Additions'!$F$5:$AE$5,0))</f>
        <v>4641</v>
      </c>
      <c r="BU1322" s="118"/>
      <c r="BV1322" s="118"/>
      <c r="BW1322" s="118">
        <f>INDEX('Dist Plant Depreciation'!$E$7:$AD$94,MATCH($C1322,'Dist Plant Depreciation'!$D$7:$D$94,0),MATCH(Calculation!$G1322,'Dist Plant Depreciation'!$E$5:$AD$5,0))</f>
        <v>332567</v>
      </c>
      <c r="BX1322" s="118">
        <f>INDEX('Gen. Plant Depreciation'!$E$7:$AD$94,MATCH($C1322,'Gen. Plant Depreciation'!$D$7:$D$94,0),MATCH(Calculation!$G1322,'Gen. Plant Depreciation'!$E$5:$AD$5,0))</f>
        <v>38728</v>
      </c>
      <c r="BY1322" s="118"/>
      <c r="BZ1322" s="118"/>
      <c r="CA1322" s="118"/>
      <c r="CB1322" s="118"/>
      <c r="CC1322" s="118"/>
      <c r="CD1322" s="183"/>
      <c r="CE1322" s="118">
        <f>INDEX('Gross Dx Plant'!$E$7:$AD$91,MATCH($C1322,'Gross Dx Plant'!$D$7:$D$91,0),MATCH(Calculation!$G1322,'Gross Dx Plant'!$E$5:$AD$5,0))</f>
        <v>1124061</v>
      </c>
      <c r="CF1322" s="118">
        <f>INDEX('Gross Gen Plant'!$E$7:$AD$91,MATCH($C1322,'Gross Gen Plant'!$D$7:$D$91,0),MATCH(Calculation!$G1322,'Gross Gen Plant'!$E$5:$AD$5,0))</f>
        <v>61963</v>
      </c>
      <c r="CG1322" s="118">
        <f t="shared" si="3978"/>
        <v>814729</v>
      </c>
      <c r="CH1322" s="118"/>
      <c r="CI1322" s="121">
        <v>2012</v>
      </c>
      <c r="CJ1322" s="118"/>
      <c r="CK1322" s="118"/>
      <c r="CL1322" s="118"/>
      <c r="CM1322" s="183"/>
      <c r="CN1322" s="118">
        <f t="shared" si="3934"/>
        <v>94889</v>
      </c>
      <c r="CO1322" s="118">
        <f t="shared" si="3935"/>
        <v>141.85417712305841</v>
      </c>
      <c r="CP1322" s="186">
        <v>0.9135802469135802</v>
      </c>
      <c r="CQ1322" s="118">
        <f>+CQ1308*CP1322+CO1309*CP1321+CO1310*CP1320+CO1311*CP1319+CO1312*CP1318+CO1313*CP1317+CO1314*CP1316+CO1315*CP1315+CO1316*CP1314+CO1317*CP1313+CO1318*CP1312+CO1319*CP1311+CO1320*CP1310+CO1321*CP1309+CO1322</f>
        <v>3053.9642328060213</v>
      </c>
      <c r="CR1322" s="119">
        <f t="shared" si="3936"/>
        <v>4.0226859236528939E-2</v>
      </c>
      <c r="CS1322" s="119"/>
      <c r="CT1322" s="177">
        <f t="shared" si="3937"/>
        <v>7.3088717679497955E-3</v>
      </c>
      <c r="CU1322" s="177">
        <f t="shared" si="3945"/>
        <v>7.1370502682298817E-3</v>
      </c>
      <c r="CV1322" s="119">
        <f>VLOOKUP($H1322,RoR!$E:$F,2,FALSE)</f>
        <v>3.6733333333333333E-2</v>
      </c>
      <c r="CW1322" s="177">
        <v>1.924331376386168E-2</v>
      </c>
      <c r="CX1322" s="177">
        <f t="shared" si="3943"/>
        <v>1.7490019569471653E-2</v>
      </c>
      <c r="CY1322" s="177">
        <f t="shared" si="3946"/>
        <v>2.3764891340303743E-2</v>
      </c>
      <c r="CZ1322" s="177">
        <f t="shared" si="3947"/>
        <v>6.7122682943869583E-2</v>
      </c>
      <c r="DA1322" s="187">
        <f t="shared" si="3938"/>
        <v>0.84925000000000006</v>
      </c>
      <c r="DB1322" s="188">
        <f t="shared" si="3939"/>
        <v>1.3960631020522127</v>
      </c>
      <c r="DC1322" s="188">
        <f t="shared" si="3940"/>
        <v>0.29441923774954631</v>
      </c>
      <c r="DD1322" s="188">
        <f t="shared" si="3941"/>
        <v>0.76377954189366437</v>
      </c>
      <c r="DE1322" s="188">
        <f t="shared" si="3942"/>
        <v>0.31393465103033691</v>
      </c>
      <c r="DF1322" s="189">
        <f>INDEX('State Tax Lookup'!$D$7:$Z$91,MATCH(Calculation!$C1322,'State Tax Lookup'!$B$7:$B$91,0),MATCH($H1322,'State Tax Lookup'!$D$6:$Z$6,0))</f>
        <v>0.40200000000000002</v>
      </c>
      <c r="DG1322" s="189">
        <v>0.375</v>
      </c>
      <c r="DH1322" s="190">
        <f t="shared" si="3944"/>
        <v>22.480517090094519</v>
      </c>
      <c r="DI1322" s="190">
        <v>22.206075973466795</v>
      </c>
      <c r="DJ1322" s="177"/>
      <c r="DK1322" s="189">
        <f>VLOOKUP($H1322,RoR!$E:$F,2,FALSE)</f>
        <v>3.6733333333333333E-2</v>
      </c>
      <c r="DL1322" s="191">
        <f>HLOOKUP($H1322,'GDP-PI'!$D$8:$CQ$11,3,FALSE)</f>
        <v>1.924331376386168E-2</v>
      </c>
      <c r="DM1322" s="189">
        <f>VLOOKUP(H1322,'HW Dx Data'!$E:$F,2,FALSE)</f>
        <v>668.91932211262167</v>
      </c>
      <c r="DN1322" s="183">
        <f>VLOOKUP(H1322,'ECI - Input Price'!$G$17:$H$37,2,FALSE)</f>
        <v>116.5</v>
      </c>
      <c r="DO1322" s="177">
        <f t="shared" ref="DO1322" si="3985">LN(DN1322/DN1321)</f>
        <v>1.9064702204990347E-2</v>
      </c>
      <c r="DP1322" s="183">
        <f>HLOOKUP(H1322,'GDP-PI'!$8:$9,2,FALSE)</f>
        <v>100</v>
      </c>
      <c r="DQ1322" s="177">
        <f t="shared" ref="DQ1322" si="3986">LN(DP1322/DP1321)</f>
        <v>1.9060502738742411E-2</v>
      </c>
    </row>
    <row r="1323" spans="1:121" s="167" customFormat="1" ht="21" x14ac:dyDescent="0.35">
      <c r="A1323" s="167" t="s">
        <v>121</v>
      </c>
      <c r="B1323" s="167" t="s">
        <v>122</v>
      </c>
      <c r="C1323" s="167">
        <v>4064141</v>
      </c>
      <c r="D1323" s="168" t="s">
        <v>140</v>
      </c>
      <c r="E1323" s="168" t="s">
        <v>126</v>
      </c>
      <c r="F1323" s="198"/>
      <c r="G1323" s="167" t="s">
        <v>19</v>
      </c>
      <c r="H1323" s="169">
        <v>2013</v>
      </c>
      <c r="I1323" s="170"/>
      <c r="J1323" s="166">
        <f>IFERROR(INDEX('Labor Expenditures'!$F$7:$X$91,MATCH($C1323,'Labor Expenditures'!$D$7:$D$91,0),MATCH($G1323,'Labor Expenditures'!$F$5:$X$5,0)),"NA")</f>
        <v>32430.899449424294</v>
      </c>
      <c r="K1323" s="166">
        <f t="shared" si="3950"/>
        <v>273.15981848325373</v>
      </c>
      <c r="L1323" s="172">
        <f t="shared" si="3957"/>
        <v>-1.0479712242925061E-2</v>
      </c>
      <c r="M1323" s="172">
        <f t="shared" si="3961"/>
        <v>-1.3896739321935921E-4</v>
      </c>
      <c r="N1323" s="196"/>
      <c r="O1323" s="172"/>
      <c r="P1323" s="166">
        <f>IFERROR(INDEX('Non-Labor Expenditures'!$F$7:$AB$91,MATCH($C1323,'Non-Labor Expenditures'!$D$7:$D$91,0),MATCH($G1323,'Non-Labor Expenditures'!$F$5:$AB$5,0)),"NA")</f>
        <v>46965.999659248628</v>
      </c>
      <c r="Q1323" s="166">
        <f t="shared" si="3951"/>
        <v>461.47799179790934</v>
      </c>
      <c r="R1323" s="172">
        <f t="shared" si="3962"/>
        <v>-9.1357478300053419E-3</v>
      </c>
      <c r="S1323" s="172">
        <f t="shared" si="3967"/>
        <v>-1.2114560320130525E-4</v>
      </c>
      <c r="T1323" s="172"/>
      <c r="U1323" s="172"/>
      <c r="V1323" s="166">
        <f t="shared" si="3932"/>
        <v>67595.248198596819</v>
      </c>
      <c r="W1323" s="170"/>
      <c r="X1323" s="174">
        <v>3172.5535629409223</v>
      </c>
      <c r="Y1323" s="175">
        <v>3.8096308837122415E-2</v>
      </c>
      <c r="Z1323" s="175">
        <f t="shared" si="3968"/>
        <v>5.0518035301481306E-4</v>
      </c>
      <c r="AA1323" s="175"/>
      <c r="AB1323" s="175"/>
      <c r="AC1323" s="170">
        <f t="shared" si="3845"/>
        <v>146992.14730726974</v>
      </c>
      <c r="AD1323" s="175">
        <f t="shared" si="3963"/>
        <v>1.5872462924155048E-2</v>
      </c>
      <c r="AE1323" s="170"/>
      <c r="AF1323" s="170"/>
      <c r="AG1323" s="121">
        <f t="shared" si="3964"/>
        <v>684.65885077025791</v>
      </c>
      <c r="AH1323" s="119">
        <f>+AZ1323/$BB$51</f>
        <v>5.8915340361792891E-3</v>
      </c>
      <c r="AI1323" s="119">
        <f>+AZ1323/$BC$51</f>
        <v>2.5154772961577501E-2</v>
      </c>
      <c r="AJ1323" s="176">
        <f t="shared" si="3969"/>
        <v>4.0336909224843716</v>
      </c>
      <c r="AK1323" s="176">
        <f t="shared" si="3970"/>
        <v>17.22243794726041</v>
      </c>
      <c r="AL1323" s="120">
        <f t="shared" si="3952"/>
        <v>0.22063014959317062</v>
      </c>
      <c r="AM1323" s="120">
        <f t="shared" si="3953"/>
        <v>0.3195136646386405</v>
      </c>
      <c r="AN1323" s="120">
        <f t="shared" si="3954"/>
        <v>0.45985618576818887</v>
      </c>
      <c r="AO1323" s="120">
        <f t="shared" si="3958"/>
        <v>1.2191404218542482E-2</v>
      </c>
      <c r="AP1323" s="173">
        <f t="shared" si="3974"/>
        <v>118.32823656024769</v>
      </c>
      <c r="AQ1323" s="175">
        <f t="shared" si="3975"/>
        <v>1.2191404218542453E-2</v>
      </c>
      <c r="AR1323" s="177">
        <f>+AC1323/$AE$51</f>
        <v>1.326061155096861E-2</v>
      </c>
      <c r="AS1323" s="177">
        <f t="shared" si="3971"/>
        <v>1.6166547560293149E-4</v>
      </c>
      <c r="AT1323" s="177"/>
      <c r="AU1323" s="177"/>
      <c r="AV1323" s="177"/>
      <c r="AW1323" s="190"/>
      <c r="AX1323" s="120"/>
      <c r="AY1323" s="120"/>
      <c r="AZ1323" s="118">
        <f>IFERROR(INDEX('Total Customers'!$F$7:$AB$91,MATCH($C1323,'Total Customers'!$D$7:$D$91,0),MATCH($G1323,'Total Customers'!$F$5:$AB$5,0)),"NA")</f>
        <v>214694</v>
      </c>
      <c r="BA1323" s="119">
        <f t="shared" si="3933"/>
        <v>1.4790198191208715E-2</v>
      </c>
      <c r="BB1323" s="119"/>
      <c r="BC1323" s="121">
        <v>8534921</v>
      </c>
      <c r="BD1323" s="119"/>
      <c r="BE1323" s="119"/>
      <c r="BF1323" s="119"/>
      <c r="BG1323" s="173"/>
      <c r="BH1323" s="173"/>
      <c r="BI1323" s="173"/>
      <c r="BJ1323" s="173"/>
      <c r="BK1323" s="173"/>
      <c r="BL1323" s="173"/>
      <c r="BM1323" s="173"/>
      <c r="BN1323" s="173"/>
      <c r="BO1323" s="173"/>
      <c r="BP1323" s="173"/>
      <c r="BQ1323" s="118"/>
      <c r="BR1323" s="118"/>
      <c r="BS1323" s="118">
        <f>INDEX('Dist. Plant Gas Additions'!$F$7:$AE$91,MATCH($C1323,'Dist. Plant Gas Additions'!$D$7:$D$91,0),MATCH(Calculation!$G1323,'Dist. Plant Gas Additions'!$F$5:$AE$5,0))</f>
        <v>91488</v>
      </c>
      <c r="BT1323" s="118">
        <f>INDEX('Gen. Plant Additions'!$F$7:$AE$91,MATCH($C1323,'Gen. Plant Additions'!$D$7:$D$91,0),MATCH(Calculation!$G1323,'Gen. Plant Additions'!$F$5:$AE$5,0))</f>
        <v>2368</v>
      </c>
      <c r="BU1323" s="118"/>
      <c r="BV1323" s="118"/>
      <c r="BW1323" s="118">
        <f>INDEX('Dist Plant Depreciation'!$E$7:$AD$94,MATCH($C1323,'Dist Plant Depreciation'!$D$7:$D$94,0),MATCH(Calculation!$G1323,'Dist Plant Depreciation'!$E$5:$AD$5,0))</f>
        <v>341546</v>
      </c>
      <c r="BX1323" s="118">
        <f>INDEX('Gen. Plant Depreciation'!$E$7:$AD$94,MATCH($C1323,'Gen. Plant Depreciation'!$D$7:$D$94,0),MATCH(Calculation!$G1323,'Gen. Plant Depreciation'!$E$5:$AD$5,0))</f>
        <v>43520</v>
      </c>
      <c r="BY1323" s="118"/>
      <c r="BZ1323" s="118"/>
      <c r="CA1323" s="118"/>
      <c r="CB1323" s="118"/>
      <c r="CC1323" s="118"/>
      <c r="CD1323" s="183"/>
      <c r="CE1323" s="118">
        <f>INDEX('Gross Dx Plant'!$E$7:$AD$91,MATCH($C1323,'Gross Dx Plant'!$D$7:$D$91,0),MATCH(Calculation!$G1323,'Gross Dx Plant'!$E$5:$AD$5,0))</f>
        <v>1207933</v>
      </c>
      <c r="CF1323" s="118">
        <f>INDEX('Gross Gen Plant'!$E$7:$AD$91,MATCH($C1323,'Gross Gen Plant'!$D$7:$D$91,0),MATCH(Calculation!$G1323,'Gross Gen Plant'!$E$5:$AD$5,0))</f>
        <v>63896</v>
      </c>
      <c r="CG1323" s="118">
        <f t="shared" si="3978"/>
        <v>886763</v>
      </c>
      <c r="CH1323" s="118"/>
      <c r="CI1323" s="121">
        <v>2013</v>
      </c>
      <c r="CJ1323" s="118"/>
      <c r="CK1323" s="118"/>
      <c r="CL1323" s="118"/>
      <c r="CM1323" s="183"/>
      <c r="CN1323" s="118">
        <f t="shared" si="3934"/>
        <v>93856</v>
      </c>
      <c r="CO1323" s="118">
        <f t="shared" si="3935"/>
        <v>141.50957503005688</v>
      </c>
      <c r="CP1323" s="186">
        <v>0.90566037735849059</v>
      </c>
      <c r="CQ1323" s="118">
        <f>+CQ1308*CP1323+CO1309*CP1322+CO1310*CP1321+CO1311*CP1320+CO1312*CP1319+CO1313*CP1318+CO1314*CP1317+CO1315*CP1316+CO1316*CP1315+CO1317*CP1314+CO1318*CP1313+CO1319*CP1312+CO1320*CP1311+CO1321*CP1310+CO1322*CP1309+CO1323</f>
        <v>3172.5535629409223</v>
      </c>
      <c r="CR1323" s="119">
        <f t="shared" si="3936"/>
        <v>3.8096308837122415E-2</v>
      </c>
      <c r="CS1323" s="119"/>
      <c r="CT1323" s="177">
        <f t="shared" si="3937"/>
        <v>7.5050796760957545E-3</v>
      </c>
      <c r="CU1323" s="177">
        <f t="shared" si="3945"/>
        <v>7.3228830147195707E-3</v>
      </c>
      <c r="CV1323" s="119">
        <f>VLOOKUP($H1323,RoR!$E:$F,2,FALSE)</f>
        <v>4.2350000000000006E-2</v>
      </c>
      <c r="CW1323" s="177">
        <v>1.7730000000000024E-2</v>
      </c>
      <c r="CX1323" s="177">
        <f t="shared" si="3943"/>
        <v>2.4619999999999982E-2</v>
      </c>
      <c r="CY1323" s="177">
        <f t="shared" si="3946"/>
        <v>2.3579058593814053E-2</v>
      </c>
      <c r="CZ1323" s="177">
        <f t="shared" si="3947"/>
        <v>5.3376742735721204E-2</v>
      </c>
      <c r="DA1323" s="187">
        <f t="shared" si="3938"/>
        <v>0.84925000000000006</v>
      </c>
      <c r="DB1323" s="188">
        <f t="shared" si="3939"/>
        <v>1.2109103018193925</v>
      </c>
      <c r="DC1323" s="188">
        <f t="shared" si="3940"/>
        <v>0.38468122786304604</v>
      </c>
      <c r="DD1323" s="188">
        <f t="shared" si="3941"/>
        <v>0.80969194503422559</v>
      </c>
      <c r="DE1323" s="188">
        <f t="shared" si="3942"/>
        <v>0.37716621754800816</v>
      </c>
      <c r="DF1323" s="189">
        <f>INDEX('State Tax Lookup'!$D$7:$Z$91,MATCH(Calculation!$C1323,'State Tax Lookup'!$B$7:$B$91,0),MATCH($H1323,'State Tax Lookup'!$D$6:$Z$6,0))</f>
        <v>0.40200000000000002</v>
      </c>
      <c r="DG1323" s="189">
        <v>0.375</v>
      </c>
      <c r="DH1323" s="190">
        <f t="shared" si="3944"/>
        <v>22.133608335186508</v>
      </c>
      <c r="DI1323" s="190">
        <v>21.849089036269074</v>
      </c>
      <c r="DJ1323" s="177"/>
      <c r="DK1323" s="189">
        <f>VLOOKUP($H1323,RoR!$E:$F,2,FALSE)</f>
        <v>4.2350000000000006E-2</v>
      </c>
      <c r="DL1323" s="191">
        <f>HLOOKUP($H1323,'GDP-PI'!$D$8:$CQ$11,3,FALSE)</f>
        <v>1.7730000000000024E-2</v>
      </c>
      <c r="DM1323" s="189">
        <f>VLOOKUP(H1323,'HW Dx Data'!$E:$F,2,FALSE)</f>
        <v>663.24840548821396</v>
      </c>
      <c r="DN1323" s="183">
        <f>VLOOKUP(H1323,'ECI - Input Price'!$G$17:$H$37,2,FALSE)</f>
        <v>118.72499999999999</v>
      </c>
      <c r="DO1323" s="177">
        <f t="shared" ref="DO1323" si="3987">LN(DN1323/DN1322)</f>
        <v>1.8918621429430321E-2</v>
      </c>
      <c r="DP1323" s="183">
        <f>HLOOKUP(H1323,'GDP-PI'!$8:$9,2,FALSE)</f>
        <v>101.773</v>
      </c>
      <c r="DQ1323" s="177">
        <f t="shared" ref="DQ1323" si="3988">LN(DP1323/DP1322)</f>
        <v>1.7574657016510519E-2</v>
      </c>
    </row>
    <row r="1324" spans="1:121" s="167" customFormat="1" ht="21" x14ac:dyDescent="0.35">
      <c r="A1324" s="167" t="s">
        <v>121</v>
      </c>
      <c r="B1324" s="167" t="s">
        <v>122</v>
      </c>
      <c r="C1324" s="167">
        <v>4064141</v>
      </c>
      <c r="D1324" s="168" t="s">
        <v>140</v>
      </c>
      <c r="E1324" s="168" t="s">
        <v>126</v>
      </c>
      <c r="F1324" s="198"/>
      <c r="G1324" s="167" t="s">
        <v>20</v>
      </c>
      <c r="H1324" s="169">
        <v>2014</v>
      </c>
      <c r="I1324" s="170"/>
      <c r="J1324" s="166">
        <f>IFERROR(INDEX('Labor Expenditures'!$F$7:$X$91,MATCH($C1324,'Labor Expenditures'!$D$7:$D$91,0),MATCH($G1324,'Labor Expenditures'!$F$5:$X$5,0)),"NA")</f>
        <v>32547.237847510016</v>
      </c>
      <c r="K1324" s="166">
        <f t="shared" si="3950"/>
        <v>268.54156639859747</v>
      </c>
      <c r="L1324" s="172">
        <f t="shared" si="3957"/>
        <v>-1.705132794027529E-2</v>
      </c>
      <c r="M1324" s="172">
        <f t="shared" si="3961"/>
        <v>-2.2722894193330447E-4</v>
      </c>
      <c r="N1324" s="196"/>
      <c r="O1324" s="172"/>
      <c r="P1324" s="166">
        <f>IFERROR(INDEX('Non-Labor Expenditures'!$F$7:$AB$91,MATCH($C1324,'Non-Labor Expenditures'!$D$7:$D$91,0),MATCH($G1324,'Non-Labor Expenditures'!$F$5:$AB$5,0)),"NA")</f>
        <v>47134.479388692227</v>
      </c>
      <c r="Q1324" s="166">
        <f t="shared" si="3951"/>
        <v>454.75970735952052</v>
      </c>
      <c r="R1324" s="172">
        <f t="shared" si="3962"/>
        <v>-1.4665200638502501E-2</v>
      </c>
      <c r="S1324" s="172">
        <f t="shared" si="3967"/>
        <v>-1.9543099728059916E-4</v>
      </c>
      <c r="T1324" s="172"/>
      <c r="U1324" s="172"/>
      <c r="V1324" s="166">
        <f t="shared" si="3932"/>
        <v>71967.53559094634</v>
      </c>
      <c r="W1324" s="170"/>
      <c r="X1324" s="174">
        <v>3296.7278727631415</v>
      </c>
      <c r="Y1324" s="175">
        <v>3.8393618874119739E-2</v>
      </c>
      <c r="Z1324" s="175">
        <f t="shared" si="3968"/>
        <v>5.1163999802914634E-4</v>
      </c>
      <c r="AA1324" s="175"/>
      <c r="AB1324" s="175"/>
      <c r="AC1324" s="170">
        <f t="shared" si="3845"/>
        <v>151649.25282714859</v>
      </c>
      <c r="AD1324" s="175">
        <f t="shared" si="3963"/>
        <v>3.1191141493206741E-2</v>
      </c>
      <c r="AE1324" s="170"/>
      <c r="AF1324" s="170"/>
      <c r="AG1324" s="121">
        <f t="shared" si="3964"/>
        <v>691.2975526494107</v>
      </c>
      <c r="AH1324" s="119">
        <f>+AZ1324/$BB$52</f>
        <v>5.987508353872067E-3</v>
      </c>
      <c r="AI1324" s="119">
        <f>+AZ1324/$BC$52</f>
        <v>2.5508752924792964E-2</v>
      </c>
      <c r="AJ1324" s="176">
        <f t="shared" si="3969"/>
        <v>4.1391498714996615</v>
      </c>
      <c r="AK1324" s="176">
        <f t="shared" si="3970"/>
        <v>17.634138468047873</v>
      </c>
      <c r="AL1324" s="120">
        <f t="shared" si="3952"/>
        <v>0.21462181475175285</v>
      </c>
      <c r="AM1324" s="120">
        <f t="shared" si="3953"/>
        <v>0.31081247358611519</v>
      </c>
      <c r="AN1324" s="120">
        <f t="shared" si="3954"/>
        <v>0.47456571166213191</v>
      </c>
      <c r="AO1324" s="120">
        <f t="shared" si="3958"/>
        <v>9.6051774660593711E-3</v>
      </c>
      <c r="AP1324" s="173">
        <f t="shared" si="3974"/>
        <v>119.47027623823051</v>
      </c>
      <c r="AQ1324" s="175">
        <f t="shared" si="3975"/>
        <v>9.6051774660594457E-3</v>
      </c>
      <c r="AR1324" s="177">
        <f>+AC1324/$AE$52</f>
        <v>1.3326172760808207E-2</v>
      </c>
      <c r="AS1324" s="177">
        <f t="shared" si="3971"/>
        <v>1.2800025431093019E-4</v>
      </c>
      <c r="AT1324" s="177"/>
      <c r="AU1324" s="177"/>
      <c r="AV1324" s="177"/>
      <c r="AW1324" s="190"/>
      <c r="AX1324" s="120"/>
      <c r="AY1324" s="120"/>
      <c r="AZ1324" s="118">
        <f>IFERROR(INDEX('Total Customers'!$F$7:$AB$91,MATCH($C1324,'Total Customers'!$D$7:$D$91,0),MATCH($G1324,'Total Customers'!$F$5:$AB$5,0)),"NA")</f>
        <v>219369</v>
      </c>
      <c r="BA1324" s="119">
        <f t="shared" si="3933"/>
        <v>2.1541484895633241E-2</v>
      </c>
      <c r="BB1324" s="119"/>
      <c r="BC1324" s="121">
        <v>8599754</v>
      </c>
      <c r="BD1324" s="119"/>
      <c r="BE1324" s="119"/>
      <c r="BF1324" s="119"/>
      <c r="BG1324" s="173"/>
      <c r="BH1324" s="173"/>
      <c r="BI1324" s="173"/>
      <c r="BJ1324" s="173"/>
      <c r="BK1324" s="173"/>
      <c r="BL1324" s="173"/>
      <c r="BM1324" s="173"/>
      <c r="BN1324" s="173"/>
      <c r="BO1324" s="173"/>
      <c r="BP1324" s="173"/>
      <c r="BQ1324" s="118"/>
      <c r="BR1324" s="118"/>
      <c r="BS1324" s="118">
        <f>INDEX('Dist. Plant Gas Additions'!$F$7:$AE$91,MATCH($C1324,'Dist. Plant Gas Additions'!$D$7:$D$91,0),MATCH(Calculation!$G1324,'Dist. Plant Gas Additions'!$F$5:$AE$5,0))</f>
        <v>98247</v>
      </c>
      <c r="BT1324" s="118">
        <f>INDEX('Gen. Plant Additions'!$F$7:$AE$91,MATCH($C1324,'Gen. Plant Additions'!$D$7:$D$91,0),MATCH(Calculation!$G1324,'Gen. Plant Additions'!$F$5:$AE$5,0))</f>
        <v>3490</v>
      </c>
      <c r="BU1324" s="118"/>
      <c r="BV1324" s="118"/>
      <c r="BW1324" s="118">
        <f>INDEX('Dist Plant Depreciation'!$E$7:$AD$94,MATCH($C1324,'Dist Plant Depreciation'!$D$7:$D$94,0),MATCH(Calculation!$G1324,'Dist Plant Depreciation'!$E$5:$AD$5,0))</f>
        <v>358461</v>
      </c>
      <c r="BX1324" s="118">
        <f>INDEX('Gen. Plant Depreciation'!$E$7:$AD$94,MATCH($C1324,'Gen. Plant Depreciation'!$D$7:$D$94,0),MATCH(Calculation!$G1324,'Gen. Plant Depreciation'!$E$5:$AD$5,0))</f>
        <v>25956</v>
      </c>
      <c r="BY1324" s="118"/>
      <c r="BZ1324" s="118"/>
      <c r="CA1324" s="118"/>
      <c r="CB1324" s="118"/>
      <c r="CC1324" s="118"/>
      <c r="CD1324" s="183"/>
      <c r="CE1324" s="118">
        <f>INDEX('Gross Dx Plant'!$E$7:$AD$91,MATCH($C1324,'Gross Dx Plant'!$D$7:$D$91,0),MATCH(Calculation!$G1324,'Gross Dx Plant'!$E$5:$AD$5,0))</f>
        <v>1304010</v>
      </c>
      <c r="CF1324" s="118">
        <f>INDEX('Gross Gen Plant'!$E$7:$AD$91,MATCH($C1324,'Gross Gen Plant'!$D$7:$D$91,0),MATCH(Calculation!$G1324,'Gross Gen Plant'!$E$5:$AD$5,0))</f>
        <v>66062</v>
      </c>
      <c r="CG1324" s="118">
        <f t="shared" si="3978"/>
        <v>985655</v>
      </c>
      <c r="CH1324" s="118"/>
      <c r="CI1324" s="121">
        <v>2014</v>
      </c>
      <c r="CJ1324" s="118"/>
      <c r="CK1324" s="118"/>
      <c r="CL1324" s="118"/>
      <c r="CM1324" s="183"/>
      <c r="CN1324" s="118">
        <f t="shared" si="3934"/>
        <v>101737</v>
      </c>
      <c r="CO1324" s="118">
        <f t="shared" si="3935"/>
        <v>148.63635718671355</v>
      </c>
      <c r="CP1324" s="186">
        <v>0.89743589743589747</v>
      </c>
      <c r="CQ1324" s="118">
        <f>+CQ1308*CP1324+CO1309*CP1323+CO1310*CP1322+CO1311*CP1321+CO1312*CP1320+CO1313*CP1319+CO1314*CP1318+CO1315*CP1317+CO1316*CP1316+CO1317*CP1315+CO1318*CP1314+CO1319*CP1313+CO1320*CP1312+CO1321*CP1311+CO1322*CP1310+CO1323*CP1309+CO1324</f>
        <v>3296.7278727631415</v>
      </c>
      <c r="CR1324" s="119">
        <f t="shared" si="3936"/>
        <v>3.8393618874119739E-2</v>
      </c>
      <c r="CS1324" s="119"/>
      <c r="CT1324" s="177">
        <f t="shared" si="3937"/>
        <v>7.7105230468728081E-3</v>
      </c>
      <c r="CU1324" s="177">
        <f t="shared" si="3945"/>
        <v>7.5081581636394527E-3</v>
      </c>
      <c r="CV1324" s="119">
        <f>VLOOKUP($H1324,RoR!$E:$F,2,FALSE)</f>
        <v>4.1625000000000002E-2</v>
      </c>
      <c r="CW1324" s="177">
        <v>1.841352814597208E-2</v>
      </c>
      <c r="CX1324" s="177">
        <f t="shared" si="3943"/>
        <v>2.3211471854027922E-2</v>
      </c>
      <c r="CY1324" s="177">
        <f t="shared" si="3946"/>
        <v>2.3393783444894171E-2</v>
      </c>
      <c r="CZ1324" s="177">
        <f t="shared" si="3947"/>
        <v>3.9072621432650924E-2</v>
      </c>
      <c r="DA1324" s="187">
        <f t="shared" si="3938"/>
        <v>0.84925000000000006</v>
      </c>
      <c r="DB1324" s="188">
        <f t="shared" si="3939"/>
        <v>1.2320012320012319</v>
      </c>
      <c r="DC1324" s="188">
        <f t="shared" si="3940"/>
        <v>0.37439939939939942</v>
      </c>
      <c r="DD1324" s="188">
        <f t="shared" si="3941"/>
        <v>0.80432100613819935</v>
      </c>
      <c r="DE1324" s="188">
        <f t="shared" si="3942"/>
        <v>0.37100152660040037</v>
      </c>
      <c r="DF1324" s="189">
        <f>INDEX('State Tax Lookup'!$D$7:$Z$91,MATCH(Calculation!$C1324,'State Tax Lookup'!$B$7:$B$91,0),MATCH($H1324,'State Tax Lookup'!$D$6:$Z$6,0))</f>
        <v>0.40200000000000002</v>
      </c>
      <c r="DG1324" s="189">
        <v>0.375</v>
      </c>
      <c r="DH1324" s="190">
        <f t="shared" si="3944"/>
        <v>22.684419400072546</v>
      </c>
      <c r="DI1324" s="190">
        <v>22.359248711431871</v>
      </c>
      <c r="DJ1324" s="177"/>
      <c r="DK1324" s="189">
        <f>VLOOKUP($H1324,RoR!$E:$F,2,FALSE)</f>
        <v>4.1625000000000002E-2</v>
      </c>
      <c r="DL1324" s="191">
        <f>HLOOKUP($H1324,'GDP-PI'!$D$8:$CQ$11,3,FALSE)</f>
        <v>1.841352814597208E-2</v>
      </c>
      <c r="DM1324" s="189">
        <f>VLOOKUP(H1324,'HW Dx Data'!$E:$F,2,FALSE)</f>
        <v>684.46914285042885</v>
      </c>
      <c r="DN1324" s="183">
        <f>VLOOKUP(H1324,'ECI - Input Price'!$G$17:$H$37,2,FALSE)</f>
        <v>121.2</v>
      </c>
      <c r="DO1324" s="177">
        <f t="shared" ref="DO1324" si="3989">LN(DN1324/DN1323)</f>
        <v>2.0632179200028689E-2</v>
      </c>
      <c r="DP1324" s="183">
        <f>HLOOKUP(H1324,'GDP-PI'!$8:$9,2,FALSE)</f>
        <v>103.64700000000001</v>
      </c>
      <c r="DQ1324" s="177">
        <f t="shared" ref="DQ1324" si="3990">LN(DP1324/DP1323)</f>
        <v>1.8246051898256087E-2</v>
      </c>
    </row>
    <row r="1325" spans="1:121" s="167" customFormat="1" ht="21" x14ac:dyDescent="0.35">
      <c r="A1325" s="167" t="s">
        <v>121</v>
      </c>
      <c r="B1325" s="167" t="s">
        <v>122</v>
      </c>
      <c r="C1325" s="167">
        <v>4064141</v>
      </c>
      <c r="D1325" s="168" t="s">
        <v>140</v>
      </c>
      <c r="E1325" s="168" t="s">
        <v>126</v>
      </c>
      <c r="F1325" s="198"/>
      <c r="G1325" s="167" t="s">
        <v>21</v>
      </c>
      <c r="H1325" s="169">
        <v>2015</v>
      </c>
      <c r="I1325" s="170"/>
      <c r="J1325" s="166">
        <f>IFERROR(INDEX('Labor Expenditures'!$F$7:$X$91,MATCH($C1325,'Labor Expenditures'!$D$7:$D$91,0),MATCH($G1325,'Labor Expenditures'!$F$5:$X$5,0)),"NA")</f>
        <v>31900.780219457771</v>
      </c>
      <c r="K1325" s="166">
        <f t="shared" si="3950"/>
        <v>257.78408258147692</v>
      </c>
      <c r="L1325" s="172">
        <f t="shared" si="3957"/>
        <v>-4.0883366330091188E-2</v>
      </c>
      <c r="M1325" s="172">
        <f t="shared" si="3961"/>
        <v>-5.3861443035948977E-4</v>
      </c>
      <c r="N1325" s="196"/>
      <c r="O1325" s="172"/>
      <c r="P1325" s="166">
        <f>IFERROR(INDEX('Non-Labor Expenditures'!$F$7:$AB$91,MATCH($C1325,'Non-Labor Expenditures'!$D$7:$D$91,0),MATCH($G1325,'Non-Labor Expenditures'!$F$5:$AB$5,0)),"NA")</f>
        <v>46198.288001642693</v>
      </c>
      <c r="Q1325" s="166">
        <f t="shared" si="3951"/>
        <v>441.50161987062847</v>
      </c>
      <c r="R1325" s="172">
        <f t="shared" si="3962"/>
        <v>-2.9587474701948557E-2</v>
      </c>
      <c r="S1325" s="172">
        <f t="shared" si="3967"/>
        <v>-3.8979766743513878E-4</v>
      </c>
      <c r="T1325" s="172"/>
      <c r="U1325" s="172"/>
      <c r="V1325" s="166">
        <f t="shared" si="3932"/>
        <v>73337.380968786267</v>
      </c>
      <c r="W1325" s="170"/>
      <c r="X1325" s="174">
        <v>3377.4799088683067</v>
      </c>
      <c r="Y1325" s="175">
        <v>2.4199419463209929E-2</v>
      </c>
      <c r="Z1325" s="175">
        <f t="shared" si="3968"/>
        <v>3.1881319223984003E-4</v>
      </c>
      <c r="AA1325" s="175"/>
      <c r="AB1325" s="175"/>
      <c r="AC1325" s="170">
        <f t="shared" si="3845"/>
        <v>151436.44918988674</v>
      </c>
      <c r="AD1325" s="175">
        <f t="shared" si="3963"/>
        <v>-1.4042475168891406E-3</v>
      </c>
      <c r="AE1325" s="170"/>
      <c r="AF1325" s="170"/>
      <c r="AG1325" s="121">
        <f t="shared" si="3964"/>
        <v>679.41016442742625</v>
      </c>
      <c r="AH1325" s="119">
        <f>+AZ1325/$BB$53</f>
        <v>6.0343927160084968E-3</v>
      </c>
      <c r="AI1325" s="119">
        <f>+AZ1325/$BC$53</f>
        <v>2.574098559101173E-2</v>
      </c>
      <c r="AJ1325" s="176">
        <f t="shared" si="3969"/>
        <v>4.0998277474029958</v>
      </c>
      <c r="AK1325" s="176">
        <f t="shared" si="3970"/>
        <v>17.488687252913291</v>
      </c>
      <c r="AL1325" s="120">
        <f t="shared" si="3952"/>
        <v>0.21065457087848949</v>
      </c>
      <c r="AM1325" s="120">
        <f t="shared" si="3953"/>
        <v>0.30506716347868462</v>
      </c>
      <c r="AN1325" s="120">
        <f t="shared" si="3954"/>
        <v>0.48427826564282583</v>
      </c>
      <c r="AO1325" s="120">
        <f t="shared" si="3958"/>
        <v>-6.2027929198915713E-3</v>
      </c>
      <c r="AP1325" s="173">
        <f t="shared" si="3974"/>
        <v>118.7315203980024</v>
      </c>
      <c r="AQ1325" s="175">
        <f t="shared" si="3975"/>
        <v>-6.2027929198915305E-3</v>
      </c>
      <c r="AR1325" s="177">
        <f>+AC1325/$AE$53</f>
        <v>1.3174414895552667E-2</v>
      </c>
      <c r="AS1325" s="177">
        <f t="shared" si="3971"/>
        <v>-8.1718167437847596E-5</v>
      </c>
      <c r="AT1325" s="177"/>
      <c r="AU1325" s="177"/>
      <c r="AV1325" s="177"/>
      <c r="AW1325" s="190"/>
      <c r="AX1325" s="120"/>
      <c r="AY1325" s="120"/>
      <c r="AZ1325" s="118">
        <f>IFERROR(INDEX('Total Customers'!$F$7:$AB$91,MATCH($C1325,'Total Customers'!$D$7:$D$91,0),MATCH($G1325,'Total Customers'!$F$5:$AB$5,0)),"NA")</f>
        <v>222894</v>
      </c>
      <c r="BA1325" s="119">
        <f t="shared" si="3933"/>
        <v>1.5941078710376089E-2</v>
      </c>
      <c r="BB1325" s="119"/>
      <c r="BC1325" s="121">
        <v>8659109</v>
      </c>
      <c r="BD1325" s="119"/>
      <c r="BE1325" s="119"/>
      <c r="BF1325" s="119"/>
      <c r="BG1325" s="173"/>
      <c r="BH1325" s="173"/>
      <c r="BI1325" s="173"/>
      <c r="BJ1325" s="173"/>
      <c r="BK1325" s="173"/>
      <c r="BL1325" s="173"/>
      <c r="BM1325" s="173"/>
      <c r="BN1325" s="173"/>
      <c r="BO1325" s="173"/>
      <c r="BP1325" s="173"/>
      <c r="BQ1325" s="118"/>
      <c r="BR1325" s="118"/>
      <c r="BS1325" s="118">
        <f>INDEX('Dist. Plant Gas Additions'!$F$7:$AE$91,MATCH($C1325,'Dist. Plant Gas Additions'!$D$7:$D$91,0),MATCH(Calculation!$G1325,'Dist. Plant Gas Additions'!$F$5:$AE$5,0))</f>
        <v>70590</v>
      </c>
      <c r="BT1325" s="118">
        <f>INDEX('Gen. Plant Additions'!$F$7:$AE$91,MATCH($C1325,'Gen. Plant Additions'!$D$7:$D$91,0),MATCH(Calculation!$G1325,'Gen. Plant Additions'!$F$5:$AE$5,0))</f>
        <v>1606</v>
      </c>
      <c r="BU1325" s="118"/>
      <c r="BV1325" s="118"/>
      <c r="BW1325" s="118">
        <f>INDEX('Dist Plant Depreciation'!$E$7:$AD$94,MATCH($C1325,'Dist Plant Depreciation'!$D$7:$D$94,0),MATCH(Calculation!$G1325,'Dist Plant Depreciation'!$E$5:$AD$5,0))</f>
        <v>360182</v>
      </c>
      <c r="BX1325" s="118">
        <f>INDEX('Gen. Plant Depreciation'!$E$7:$AD$94,MATCH($C1325,'Gen. Plant Depreciation'!$D$7:$D$94,0),MATCH(Calculation!$G1325,'Gen. Plant Depreciation'!$E$5:$AD$5,0))</f>
        <v>27938</v>
      </c>
      <c r="BY1325" s="118"/>
      <c r="BZ1325" s="118"/>
      <c r="CA1325" s="118"/>
      <c r="CB1325" s="118"/>
      <c r="CC1325" s="118"/>
      <c r="CD1325" s="183"/>
      <c r="CE1325" s="118">
        <f>INDEX('Gross Dx Plant'!$E$7:$AD$91,MATCH($C1325,'Gross Dx Plant'!$D$7:$D$91,0),MATCH(Calculation!$G1325,'Gross Dx Plant'!$E$5:$AD$5,0))</f>
        <v>1358745</v>
      </c>
      <c r="CF1325" s="118">
        <f>INDEX('Gross Gen Plant'!$E$7:$AD$91,MATCH($C1325,'Gross Gen Plant'!$D$7:$D$91,0),MATCH(Calculation!$G1325,'Gross Gen Plant'!$E$5:$AD$5,0))</f>
        <v>65555</v>
      </c>
      <c r="CG1325" s="118">
        <f t="shared" si="3978"/>
        <v>1036180</v>
      </c>
      <c r="CH1325" s="118"/>
      <c r="CI1325" s="121">
        <v>2015</v>
      </c>
      <c r="CJ1325" s="118"/>
      <c r="CK1325" s="118"/>
      <c r="CL1325" s="118"/>
      <c r="CM1325" s="183"/>
      <c r="CN1325" s="118">
        <f t="shared" si="3934"/>
        <v>72196</v>
      </c>
      <c r="CO1325" s="118">
        <f t="shared" si="3935"/>
        <v>106.85973403234409</v>
      </c>
      <c r="CP1325" s="186">
        <v>0.88888888888888884</v>
      </c>
      <c r="CQ1325" s="118">
        <f>+CQ1308*CP1325+CO1309*CP1324+CO1310*CP1323+CO1311*CP1322+CO1312*CP1321+CO1313*CP1320+CO1314*CP1319+CO1315*CP1318+CO1316*CP1317+CO1317*CP1316+CO1318*CP1315+CO1319*CP1314+CO1320*CP1313+CO1321*CP1312+CO1322*CP1311+CO1323*CP1310+CO1324*CP1309+CO1325</f>
        <v>3377.4799088683067</v>
      </c>
      <c r="CR1325" s="119">
        <f t="shared" si="3936"/>
        <v>2.4199419463209929E-2</v>
      </c>
      <c r="CS1325" s="119"/>
      <c r="CT1325" s="177">
        <f t="shared" si="3937"/>
        <v>7.9192760017819802E-3</v>
      </c>
      <c r="CU1325" s="177">
        <f t="shared" si="3945"/>
        <v>7.7116262415835137E-3</v>
      </c>
      <c r="CV1325" s="119">
        <f>VLOOKUP($H1325,RoR!$E:$F,2,FALSE)</f>
        <v>3.8866666666666674E-2</v>
      </c>
      <c r="CW1325" s="177">
        <v>9.5709475431029478E-3</v>
      </c>
      <c r="CX1325" s="177">
        <f t="shared" si="3943"/>
        <v>2.9295719123563727E-2</v>
      </c>
      <c r="CY1325" s="177">
        <f t="shared" si="3946"/>
        <v>2.3190315366950112E-2</v>
      </c>
      <c r="CZ1325" s="177">
        <f t="shared" si="3947"/>
        <v>3.5270373279175926E-3</v>
      </c>
      <c r="DA1325" s="187">
        <f t="shared" si="3938"/>
        <v>0.84925000000000006</v>
      </c>
      <c r="DB1325" s="188">
        <f t="shared" si="3939"/>
        <v>1.3194352816994324</v>
      </c>
      <c r="DC1325" s="188">
        <f t="shared" si="3940"/>
        <v>0.33177530017152673</v>
      </c>
      <c r="DD1325" s="188">
        <f t="shared" si="3941"/>
        <v>0.78242572977668579</v>
      </c>
      <c r="DE1325" s="188">
        <f t="shared" si="3942"/>
        <v>0.34251158643433932</v>
      </c>
      <c r="DF1325" s="189">
        <f>INDEX('State Tax Lookup'!$D$7:$Z$91,MATCH(Calculation!$C1325,'State Tax Lookup'!$B$7:$B$91,0),MATCH($H1325,'State Tax Lookup'!$D$6:$Z$6,0))</f>
        <v>0.40200000000000002</v>
      </c>
      <c r="DG1325" s="189">
        <v>0.375</v>
      </c>
      <c r="DH1325" s="190">
        <f t="shared" si="3944"/>
        <v>22.245506392773265</v>
      </c>
      <c r="DI1325" s="190">
        <v>21.892007981959541</v>
      </c>
      <c r="DJ1325" s="177"/>
      <c r="DK1325" s="189">
        <f>VLOOKUP($H1325,RoR!$E:$F,2,FALSE)</f>
        <v>3.8866666666666674E-2</v>
      </c>
      <c r="DL1325" s="191">
        <f>HLOOKUP($H1325,'GDP-PI'!$D$8:$CQ$11,3,FALSE)</f>
        <v>9.5709475431029478E-3</v>
      </c>
      <c r="DM1325" s="189">
        <f>VLOOKUP(H1325,'HW Dx Data'!$E:$F,2,FALSE)</f>
        <v>675.61463308665782</v>
      </c>
      <c r="DN1325" s="183">
        <f>VLOOKUP(H1325,'ECI - Input Price'!$G$17:$H$37,2,FALSE)</f>
        <v>123.75</v>
      </c>
      <c r="DO1325" s="177">
        <f t="shared" ref="DO1325" si="3991">LN(DN1325/DN1324)</f>
        <v>2.0821327813585516E-2</v>
      </c>
      <c r="DP1325" s="183">
        <f>HLOOKUP(H1325,'GDP-PI'!$8:$9,2,FALSE)</f>
        <v>104.639</v>
      </c>
      <c r="DQ1325" s="177">
        <f t="shared" ref="DQ1325" si="3992">LN(DP1325/DP1324)</f>
        <v>9.5254361854427965E-3</v>
      </c>
    </row>
    <row r="1326" spans="1:121" s="167" customFormat="1" ht="21" x14ac:dyDescent="0.35">
      <c r="A1326" s="167" t="s">
        <v>121</v>
      </c>
      <c r="B1326" s="167" t="s">
        <v>122</v>
      </c>
      <c r="C1326" s="167">
        <v>4064141</v>
      </c>
      <c r="D1326" s="168" t="s">
        <v>140</v>
      </c>
      <c r="E1326" s="168" t="s">
        <v>126</v>
      </c>
      <c r="F1326" s="198"/>
      <c r="G1326" s="167" t="s">
        <v>22</v>
      </c>
      <c r="H1326" s="169">
        <v>2016</v>
      </c>
      <c r="I1326" s="170"/>
      <c r="J1326" s="166">
        <f>IFERROR(INDEX('Labor Expenditures'!$F$7:$X$91,MATCH($C1326,'Labor Expenditures'!$D$7:$D$91,0),MATCH($G1326,'Labor Expenditures'!$F$5:$X$5,0)),"NA")</f>
        <v>30387.502992497026</v>
      </c>
      <c r="K1326" s="166">
        <f t="shared" si="3950"/>
        <v>240.40746038367899</v>
      </c>
      <c r="L1326" s="172">
        <f t="shared" si="3957"/>
        <v>-6.978710992573775E-2</v>
      </c>
      <c r="M1326" s="172">
        <f t="shared" si="3961"/>
        <v>-8.7008805125122655E-4</v>
      </c>
      <c r="N1326" s="196"/>
      <c r="O1326" s="172"/>
      <c r="P1326" s="166">
        <f>IFERROR(INDEX('Non-Labor Expenditures'!$F$7:$AB$91,MATCH($C1326,'Non-Labor Expenditures'!$D$7:$D$91,0),MATCH($G1326,'Non-Labor Expenditures'!$F$5:$AB$5,0)),"NA")</f>
        <v>44006.779935804923</v>
      </c>
      <c r="Q1326" s="166">
        <f t="shared" si="3951"/>
        <v>416.19486206972954</v>
      </c>
      <c r="R1326" s="172">
        <f t="shared" si="3962"/>
        <v>-5.9028120028985297E-2</v>
      </c>
      <c r="S1326" s="172">
        <f t="shared" si="3967"/>
        <v>-7.3594768403071058E-4</v>
      </c>
      <c r="T1326" s="172"/>
      <c r="U1326" s="172"/>
      <c r="V1326" s="166">
        <f t="shared" si="3932"/>
        <v>73945.552846591148</v>
      </c>
      <c r="W1326" s="170"/>
      <c r="X1326" s="174">
        <v>3569.0555153537707</v>
      </c>
      <c r="Y1326" s="175">
        <v>5.5171156950491677E-2</v>
      </c>
      <c r="Z1326" s="175">
        <f t="shared" si="3968"/>
        <v>6.8786004302815948E-4</v>
      </c>
      <c r="AA1326" s="175"/>
      <c r="AB1326" s="175"/>
      <c r="AC1326" s="170">
        <f t="shared" si="3845"/>
        <v>148339.83577489312</v>
      </c>
      <c r="AD1326" s="175">
        <f t="shared" si="3963"/>
        <v>-2.0660230427731057E-2</v>
      </c>
      <c r="AE1326" s="170"/>
      <c r="AF1326" s="170"/>
      <c r="AG1326" s="121">
        <f t="shared" si="3964"/>
        <v>655.10711978171798</v>
      </c>
      <c r="AH1326" s="119">
        <f>+AZ1326/$BB$54</f>
        <v>6.0773180426511586E-3</v>
      </c>
      <c r="AI1326" s="119">
        <f>+AZ1326/$BC$54</f>
        <v>2.5851576404322875E-2</v>
      </c>
      <c r="AJ1326" s="176">
        <f t="shared" si="3969"/>
        <v>3.9812943189186685</v>
      </c>
      <c r="AK1326" s="176">
        <f t="shared" si="3970"/>
        <v>16.935551760052981</v>
      </c>
      <c r="AL1326" s="120">
        <f t="shared" si="3952"/>
        <v>0.20485059076518261</v>
      </c>
      <c r="AM1326" s="120">
        <f t="shared" si="3953"/>
        <v>0.29666191624066218</v>
      </c>
      <c r="AN1326" s="120">
        <f t="shared" si="3954"/>
        <v>0.49848749299415507</v>
      </c>
      <c r="AO1326" s="120">
        <f t="shared" si="3958"/>
        <v>-5.1477584088064771E-3</v>
      </c>
      <c r="AP1326" s="173">
        <f t="shared" si="3974"/>
        <v>118.12188967755455</v>
      </c>
      <c r="AQ1326" s="175">
        <f t="shared" si="3975"/>
        <v>-5.147758408806458E-3</v>
      </c>
      <c r="AR1326" s="177">
        <f>+AC1326/$AE$54</f>
        <v>1.2467747298564298E-2</v>
      </c>
      <c r="AS1326" s="177">
        <f t="shared" si="3971"/>
        <v>-6.4180950995058363E-5</v>
      </c>
      <c r="AT1326" s="177"/>
      <c r="AU1326" s="177"/>
      <c r="AV1326" s="177"/>
      <c r="AW1326" s="190"/>
      <c r="AX1326" s="120"/>
      <c r="AY1326" s="120"/>
      <c r="AZ1326" s="118">
        <f>IFERROR(INDEX('Total Customers'!$F$7:$AB$91,MATCH($C1326,'Total Customers'!$D$7:$D$91,0),MATCH($G1326,'Total Customers'!$F$5:$AB$5,0)),"NA")</f>
        <v>226436</v>
      </c>
      <c r="BA1326" s="119">
        <f t="shared" si="3933"/>
        <v>1.5766022159762787E-2</v>
      </c>
      <c r="BB1326" s="119"/>
      <c r="BC1326" s="121">
        <v>8759079</v>
      </c>
      <c r="BD1326" s="119"/>
      <c r="BE1326" s="119"/>
      <c r="BF1326" s="119"/>
      <c r="BG1326" s="173"/>
      <c r="BH1326" s="173"/>
      <c r="BI1326" s="173"/>
      <c r="BJ1326" s="173"/>
      <c r="BK1326" s="173"/>
      <c r="BL1326" s="173"/>
      <c r="BM1326" s="173"/>
      <c r="BN1326" s="173"/>
      <c r="BO1326" s="173"/>
      <c r="BP1326" s="173"/>
      <c r="BQ1326" s="118"/>
      <c r="BR1326" s="118"/>
      <c r="BS1326" s="118">
        <f>INDEX('Dist. Plant Gas Additions'!$F$7:$AE$91,MATCH($C1326,'Dist. Plant Gas Additions'!$D$7:$D$91,0),MATCH(Calculation!$G1326,'Dist. Plant Gas Additions'!$F$5:$AE$5,0))</f>
        <v>138150</v>
      </c>
      <c r="BT1326" s="118">
        <f>INDEX('Gen. Plant Additions'!$F$7:$AE$91,MATCH($C1326,'Gen. Plant Additions'!$D$7:$D$91,0),MATCH(Calculation!$G1326,'Gen. Plant Additions'!$F$5:$AE$5,0))</f>
        <v>9030</v>
      </c>
      <c r="BU1326" s="118"/>
      <c r="BV1326" s="118"/>
      <c r="BW1326" s="118">
        <f>INDEX('Dist Plant Depreciation'!$E$7:$AD$94,MATCH($C1326,'Dist Plant Depreciation'!$D$7:$D$94,0),MATCH(Calculation!$G1326,'Dist Plant Depreciation'!$E$5:$AD$5,0))</f>
        <v>371835</v>
      </c>
      <c r="BX1326" s="118">
        <f>INDEX('Gen. Plant Depreciation'!$E$7:$AD$94,MATCH($C1326,'Gen. Plant Depreciation'!$D$7:$D$94,0),MATCH(Calculation!$G1326,'Gen. Plant Depreciation'!$E$5:$AD$5,0))</f>
        <v>26367</v>
      </c>
      <c r="BY1326" s="118"/>
      <c r="BZ1326" s="118"/>
      <c r="CA1326" s="118"/>
      <c r="CB1326" s="118"/>
      <c r="CC1326" s="118"/>
      <c r="CD1326" s="183"/>
      <c r="CE1326" s="118">
        <f>INDEX('Gross Dx Plant'!$E$7:$AD$91,MATCH($C1326,'Gross Dx Plant'!$D$7:$D$91,0),MATCH(Calculation!$G1326,'Gross Dx Plant'!$E$5:$AD$5,0))</f>
        <v>1489922</v>
      </c>
      <c r="CF1326" s="118">
        <f>INDEX('Gross Gen Plant'!$E$7:$AD$91,MATCH($C1326,'Gross Gen Plant'!$D$7:$D$91,0),MATCH(Calculation!$G1326,'Gross Gen Plant'!$E$5:$AD$5,0))</f>
        <v>69992</v>
      </c>
      <c r="CG1326" s="118">
        <f t="shared" si="3978"/>
        <v>1161712</v>
      </c>
      <c r="CH1326" s="118"/>
      <c r="CI1326" s="121">
        <v>2016</v>
      </c>
      <c r="CJ1326" s="118"/>
      <c r="CK1326" s="118"/>
      <c r="CL1326" s="118"/>
      <c r="CM1326" s="183"/>
      <c r="CN1326" s="118">
        <f t="shared" si="3934"/>
        <v>147180</v>
      </c>
      <c r="CO1326" s="118">
        <f t="shared" si="3935"/>
        <v>219.19517238337656</v>
      </c>
      <c r="CP1326" s="186">
        <v>0.88</v>
      </c>
      <c r="CQ1326" s="118">
        <f>+CQ1308*CP1326+CO1309*CP1325+CO1310*CP1324+CO1311*CP1323+CO1312*CP1322+CO1313*CP1321+CO1314*CP1320+CO1315*CP1319+CO1316*CP1318+CO1317*CP1317+CO1318*CP1316+CO1319*CP1315+CO1320*CP1314+CO1321*CP1313+CO1322*CP1312+CO1323*CP1311+CO1324*CP1310+CO1325*CP1309+CO1326</f>
        <v>3569.0555153537707</v>
      </c>
      <c r="CR1326" s="119">
        <f t="shared" si="3936"/>
        <v>5.5171156950491677E-2</v>
      </c>
      <c r="CS1326" s="119"/>
      <c r="CT1326" s="177">
        <f t="shared" si="3937"/>
        <v>8.1775663048035737E-3</v>
      </c>
      <c r="CU1326" s="177">
        <f t="shared" si="3945"/>
        <v>7.9357884511527879E-3</v>
      </c>
      <c r="CV1326" s="119">
        <f>VLOOKUP($H1326,RoR!$E:$F,2,FALSE)</f>
        <v>3.6658333333333334E-2</v>
      </c>
      <c r="CW1326" s="177">
        <v>1.0483662879041455E-2</v>
      </c>
      <c r="CX1326" s="177">
        <f t="shared" si="3943"/>
        <v>2.6174670454291879E-2</v>
      </c>
      <c r="CY1326" s="177">
        <f t="shared" si="3946"/>
        <v>2.2966153157380837E-2</v>
      </c>
      <c r="CZ1326" s="177">
        <f t="shared" si="3947"/>
        <v>4.301363574220729E-3</v>
      </c>
      <c r="DA1326" s="187">
        <f t="shared" si="3938"/>
        <v>0.84925000000000006</v>
      </c>
      <c r="DB1326" s="188">
        <f t="shared" si="3939"/>
        <v>1.3989193348138562</v>
      </c>
      <c r="DC1326" s="188">
        <f t="shared" si="3940"/>
        <v>0.29302682427824522</v>
      </c>
      <c r="DD1326" s="188">
        <f t="shared" si="3941"/>
        <v>0.76309497491941802</v>
      </c>
      <c r="DE1326" s="188">
        <f t="shared" si="3942"/>
        <v>0.31280857135128509</v>
      </c>
      <c r="DF1326" s="189">
        <f>INDEX('State Tax Lookup'!$D$7:$Z$91,MATCH(Calculation!$C1326,'State Tax Lookup'!$B$7:$B$91,0),MATCH($H1326,'State Tax Lookup'!$D$6:$Z$6,0))</f>
        <v>0.40200000000000002</v>
      </c>
      <c r="DG1326" s="189">
        <v>0.375</v>
      </c>
      <c r="DH1326" s="190">
        <f t="shared" si="3944"/>
        <v>21.893706207527998</v>
      </c>
      <c r="DI1326" s="190">
        <v>21.48560734370967</v>
      </c>
      <c r="DJ1326" s="177"/>
      <c r="DK1326" s="189">
        <f>VLOOKUP($H1326,RoR!$E:$F,2,FALSE)</f>
        <v>3.6658333333333334E-2</v>
      </c>
      <c r="DL1326" s="191">
        <f>HLOOKUP($H1326,'GDP-PI'!$D$8:$CQ$11,3,FALSE)</f>
        <v>1.0483662879041455E-2</v>
      </c>
      <c r="DM1326" s="189">
        <f>VLOOKUP(H1326,'HW Dx Data'!$E:$F,2,FALSE)</f>
        <v>671.45639385971219</v>
      </c>
      <c r="DN1326" s="183">
        <f>VLOOKUP(H1326,'ECI - Input Price'!$G$17:$H$37,2,FALSE)</f>
        <v>126.4</v>
      </c>
      <c r="DO1326" s="177">
        <f t="shared" ref="DO1326" si="3993">LN(DN1326/DN1325)</f>
        <v>2.11880802639575E-2</v>
      </c>
      <c r="DP1326" s="183">
        <f>HLOOKUP(H1326,'GDP-PI'!$8:$9,2,FALSE)</f>
        <v>105.736</v>
      </c>
      <c r="DQ1326" s="177">
        <f t="shared" ref="DQ1326" si="3994">LN(DP1326/DP1325)</f>
        <v>1.0429090367205095E-2</v>
      </c>
    </row>
    <row r="1327" spans="1:121" s="167" customFormat="1" ht="21" x14ac:dyDescent="0.35">
      <c r="A1327" s="167" t="s">
        <v>121</v>
      </c>
      <c r="B1327" s="167" t="s">
        <v>122</v>
      </c>
      <c r="C1327" s="167">
        <v>4064141</v>
      </c>
      <c r="D1327" s="168" t="s">
        <v>140</v>
      </c>
      <c r="E1327" s="168" t="s">
        <v>126</v>
      </c>
      <c r="F1327" s="198"/>
      <c r="G1327" s="167" t="s">
        <v>23</v>
      </c>
      <c r="H1327" s="169">
        <v>2017</v>
      </c>
      <c r="I1327" s="170"/>
      <c r="J1327" s="166">
        <f>IFERROR(INDEX('Labor Expenditures'!$F$7:$X$91,MATCH($C1327,'Labor Expenditures'!$D$7:$D$91,0),MATCH($G1327,'Labor Expenditures'!$F$5:$X$5,0)),"NA")</f>
        <v>32248.095654620898</v>
      </c>
      <c r="K1327" s="166">
        <f t="shared" si="3950"/>
        <v>249.02004366502624</v>
      </c>
      <c r="L1327" s="172">
        <f t="shared" si="3957"/>
        <v>3.5198154482206458E-2</v>
      </c>
      <c r="M1327" s="172">
        <f t="shared" si="3961"/>
        <v>4.4442816828530742E-4</v>
      </c>
      <c r="N1327" s="196"/>
      <c r="O1327" s="172"/>
      <c r="P1327" s="166">
        <f>IFERROR(INDEX('Non-Labor Expenditures'!$F$7:$AB$91,MATCH($C1327,'Non-Labor Expenditures'!$D$7:$D$91,0),MATCH($G1327,'Non-Labor Expenditures'!$F$5:$AB$5,0)),"NA")</f>
        <v>46701.265621334118</v>
      </c>
      <c r="Q1327" s="166">
        <f t="shared" si="3951"/>
        <v>433.41839631496799</v>
      </c>
      <c r="R1327" s="172">
        <f t="shared" si="3962"/>
        <v>4.0549965681296901E-2</v>
      </c>
      <c r="S1327" s="172">
        <f t="shared" si="3967"/>
        <v>5.1200261027552446E-4</v>
      </c>
      <c r="T1327" s="172"/>
      <c r="U1327" s="172"/>
      <c r="V1327" s="166">
        <f t="shared" si="3932"/>
        <v>70641.027600267815</v>
      </c>
      <c r="W1327" s="170"/>
      <c r="X1327" s="174">
        <v>3707.9099772035465</v>
      </c>
      <c r="Y1327" s="175">
        <v>3.8167370152903141E-2</v>
      </c>
      <c r="Z1327" s="175">
        <f t="shared" si="3968"/>
        <v>4.8191885781673867E-4</v>
      </c>
      <c r="AA1327" s="175"/>
      <c r="AB1327" s="175"/>
      <c r="AC1327" s="170">
        <f t="shared" si="3845"/>
        <v>149590.38887622283</v>
      </c>
      <c r="AD1327" s="175">
        <f t="shared" si="3963"/>
        <v>8.3949887747499525E-3</v>
      </c>
      <c r="AE1327" s="170"/>
      <c r="AF1327" s="170"/>
      <c r="AG1327" s="121">
        <f t="shared" si="3964"/>
        <v>650.23467710567354</v>
      </c>
      <c r="AH1327" s="119">
        <f>+AZ1327/$BB$55</f>
        <v>6.1280849435803057E-3</v>
      </c>
      <c r="AI1327" s="119">
        <f>+AZ1327/$BC$56</f>
        <v>2.5816048646244184E-2</v>
      </c>
      <c r="AJ1327" s="176">
        <f t="shared" si="3969"/>
        <v>3.9846933345650797</v>
      </c>
      <c r="AK1327" s="176">
        <f t="shared" si="3970"/>
        <v>16.786490055634946</v>
      </c>
      <c r="AL1327" s="120">
        <f t="shared" si="3952"/>
        <v>0.21557598651143478</v>
      </c>
      <c r="AM1327" s="120">
        <f t="shared" si="3953"/>
        <v>0.31219429250883651</v>
      </c>
      <c r="AN1327" s="120">
        <f t="shared" si="3954"/>
        <v>0.47222972097972865</v>
      </c>
      <c r="AO1327" s="120">
        <f t="shared" si="3958"/>
        <v>3.8268530602290254E-2</v>
      </c>
      <c r="AP1327" s="173">
        <f t="shared" si="3974"/>
        <v>122.72984839026347</v>
      </c>
      <c r="AQ1327" s="175">
        <f t="shared" si="3975"/>
        <v>3.8268530602290352E-2</v>
      </c>
      <c r="AR1327" s="177">
        <f>+AC1327/$AE$55</f>
        <v>1.2626462234262222E-2</v>
      </c>
      <c r="AS1327" s="177">
        <f t="shared" si="3971"/>
        <v>4.8319615641052724E-4</v>
      </c>
      <c r="AT1327" s="177"/>
      <c r="AU1327" s="177"/>
      <c r="AV1327" s="177"/>
      <c r="AW1327" s="190"/>
      <c r="AX1327" s="120"/>
      <c r="AY1327" s="120"/>
      <c r="AZ1327" s="118">
        <f>IFERROR(INDEX('Total Customers'!$F$7:$AB$91,MATCH($C1327,'Total Customers'!$D$7:$D$91,0),MATCH($G1327,'Total Customers'!$F$5:$AB$5,0)),"NA")</f>
        <v>230056</v>
      </c>
      <c r="BA1327" s="119">
        <f t="shared" si="3933"/>
        <v>1.5860413259154604E-2</v>
      </c>
      <c r="BB1327" s="119"/>
      <c r="BC1327" s="121">
        <v>8824403</v>
      </c>
      <c r="BD1327" s="119"/>
      <c r="BE1327" s="119"/>
      <c r="BF1327" s="119"/>
      <c r="BG1327" s="173"/>
      <c r="BH1327" s="173"/>
      <c r="BI1327" s="173"/>
      <c r="BJ1327" s="173"/>
      <c r="BK1327" s="173"/>
      <c r="BL1327" s="173"/>
      <c r="BM1327" s="173"/>
      <c r="BN1327" s="173"/>
      <c r="BO1327" s="173"/>
      <c r="BP1327" s="173"/>
      <c r="BQ1327" s="118"/>
      <c r="BR1327" s="118"/>
      <c r="BS1327" s="118">
        <f>INDEX('Dist. Plant Gas Additions'!$F$7:$AE$91,MATCH($C1327,'Dist. Plant Gas Additions'!$D$7:$D$91,0),MATCH(Calculation!$G1327,'Dist. Plant Gas Additions'!$F$5:$AE$5,0))</f>
        <v>113048</v>
      </c>
      <c r="BT1327" s="118">
        <f>INDEX('Gen. Plant Additions'!$F$7:$AE$91,MATCH($C1327,'Gen. Plant Additions'!$D$7:$D$91,0),MATCH(Calculation!$G1327,'Gen. Plant Additions'!$F$5:$AE$5,0))</f>
        <v>7080</v>
      </c>
      <c r="BU1327" s="118"/>
      <c r="BV1327" s="118"/>
      <c r="BW1327" s="118">
        <f>INDEX('Dist Plant Depreciation'!$E$7:$AD$94,MATCH($C1327,'Dist Plant Depreciation'!$D$7:$D$94,0),MATCH(Calculation!$G1327,'Dist Plant Depreciation'!$E$5:$AD$5,0))</f>
        <v>392198</v>
      </c>
      <c r="BX1327" s="118">
        <f>INDEX('Gen. Plant Depreciation'!$E$7:$AD$94,MATCH($C1327,'Gen. Plant Depreciation'!$D$7:$D$94,0),MATCH(Calculation!$G1327,'Gen. Plant Depreciation'!$E$5:$AD$5,0))</f>
        <v>28244</v>
      </c>
      <c r="BY1327" s="118"/>
      <c r="BZ1327" s="118"/>
      <c r="CA1327" s="118"/>
      <c r="CB1327" s="118"/>
      <c r="CC1327" s="118"/>
      <c r="CD1327" s="183"/>
      <c r="CE1327" s="118">
        <f>INDEX('Gross Dx Plant'!$E$7:$AD$91,MATCH($C1327,'Gross Dx Plant'!$D$7:$D$91,0),MATCH(Calculation!$G1327,'Gross Dx Plant'!$E$5:$AD$5,0))</f>
        <v>1601099</v>
      </c>
      <c r="CF1327" s="118">
        <f>INDEX('Gross Gen Plant'!$E$7:$AD$91,MATCH($C1327,'Gross Gen Plant'!$D$7:$D$91,0),MATCH(Calculation!$G1327,'Gross Gen Plant'!$E$5:$AD$5,0))</f>
        <v>75731</v>
      </c>
      <c r="CG1327" s="118">
        <f t="shared" si="3978"/>
        <v>1256388</v>
      </c>
      <c r="CH1327" s="118"/>
      <c r="CI1327" s="121">
        <v>2017</v>
      </c>
      <c r="CJ1327" s="118"/>
      <c r="CK1327" s="118"/>
      <c r="CL1327" s="118"/>
      <c r="CM1327" s="183"/>
      <c r="CN1327" s="118">
        <f t="shared" si="3934"/>
        <v>120128</v>
      </c>
      <c r="CO1327" s="118">
        <f t="shared" si="3935"/>
        <v>168.61760287006945</v>
      </c>
      <c r="CP1327" s="186">
        <v>0.87074829931972786</v>
      </c>
      <c r="CQ1327" s="118">
        <f>+CQ1308*CP1327+CO1309*CP1326+CO1310*CP1325+CO1311*CP1324+CO1312*CP1323+CO1313*CP1322+CO1314*CP1321+CO1315*CP1320+CO1316*CP1319+CO1317*CP1318+CO1318*CP1317+CO1319*CP1316+CO1320*CP1315+CO1321*CP1314+CO1322*CP1313+CO1323*CP1312+CO1324*CP1311+CO1325*CP1310+CO1326*CP1309+CO1327</f>
        <v>3707.9099772035465</v>
      </c>
      <c r="CR1327" s="119">
        <f t="shared" si="3936"/>
        <v>3.8167370152903141E-2</v>
      </c>
      <c r="CS1327" s="119"/>
      <c r="CT1327" s="177">
        <f t="shared" si="3937"/>
        <v>8.3392205283036782E-3</v>
      </c>
      <c r="CU1327" s="177">
        <f t="shared" si="3945"/>
        <v>8.1453542782964107E-3</v>
      </c>
      <c r="CV1327" s="119">
        <f>VLOOKUP($H1327,RoR!$E:$F,2,FALSE)</f>
        <v>3.7433333333333339E-2</v>
      </c>
      <c r="CW1327" s="177">
        <v>1.9056896421275615E-2</v>
      </c>
      <c r="CX1327" s="177">
        <f t="shared" si="3943"/>
        <v>1.8376436912057724E-2</v>
      </c>
      <c r="CY1327" s="177">
        <f t="shared" si="3946"/>
        <v>2.2756587330237214E-2</v>
      </c>
      <c r="CZ1327" s="177">
        <f t="shared" si="3947"/>
        <v>1.3976271617800498E-2</v>
      </c>
      <c r="DA1327" s="187">
        <f t="shared" si="3938"/>
        <v>0.90175000000000005</v>
      </c>
      <c r="DB1327" s="188">
        <f t="shared" si="3939"/>
        <v>1.3699568463593395</v>
      </c>
      <c r="DC1327" s="188">
        <f t="shared" si="3940"/>
        <v>0.30714603739982199</v>
      </c>
      <c r="DD1327" s="188">
        <f t="shared" si="3941"/>
        <v>0.77007188472689425</v>
      </c>
      <c r="DE1327" s="188">
        <f t="shared" si="3942"/>
        <v>0.32402839633793828</v>
      </c>
      <c r="DF1327" s="189">
        <f>INDEX('State Tax Lookup'!$D$7:$Z$91,MATCH(Calculation!$C1327,'State Tax Lookup'!$B$7:$B$91,0),MATCH($H1327,'State Tax Lookup'!$D$6:$Z$6,0))</f>
        <v>0.26200000000000001</v>
      </c>
      <c r="DG1327" s="189">
        <v>0.375</v>
      </c>
      <c r="DH1327" s="190">
        <f t="shared" si="3944"/>
        <v>19.792639059935091</v>
      </c>
      <c r="DI1327" s="190">
        <v>19.498071999869151</v>
      </c>
      <c r="DJ1327" s="177"/>
      <c r="DK1327" s="189">
        <f>VLOOKUP($H1327,RoR!$E:$F,2,FALSE)</f>
        <v>3.7433333333333339E-2</v>
      </c>
      <c r="DL1327" s="191">
        <f>HLOOKUP($H1327,'GDP-PI'!$D$8:$CQ$11,3,FALSE)</f>
        <v>1.9056896421275615E-2</v>
      </c>
      <c r="DM1327" s="189">
        <f>VLOOKUP(H1327,'HW Dx Data'!$E:$F,2,FALSE)</f>
        <v>712.42858370229726</v>
      </c>
      <c r="DN1327" s="183">
        <f>VLOOKUP(H1327,'ECI - Input Price'!$G$17:$H$37,2,FALSE)</f>
        <v>129.5</v>
      </c>
      <c r="DO1327" s="177">
        <f t="shared" ref="DO1327" si="3995">LN(DN1327/DN1326)</f>
        <v>2.4229399426835413E-2</v>
      </c>
      <c r="DP1327" s="183">
        <f>HLOOKUP(H1327,'GDP-PI'!$8:$9,2,FALSE)</f>
        <v>107.751</v>
      </c>
      <c r="DQ1327" s="177">
        <f t="shared" ref="DQ1327" si="3996">LN(DP1327/DP1326)</f>
        <v>1.8877588227745139E-2</v>
      </c>
    </row>
    <row r="1328" spans="1:121" s="167" customFormat="1" ht="21" x14ac:dyDescent="0.35">
      <c r="A1328" s="167" t="s">
        <v>121</v>
      </c>
      <c r="B1328" s="167" t="s">
        <v>122</v>
      </c>
      <c r="C1328" s="167">
        <v>4064141</v>
      </c>
      <c r="D1328" s="168" t="s">
        <v>140</v>
      </c>
      <c r="E1328" s="168" t="s">
        <v>126</v>
      </c>
      <c r="F1328" s="198"/>
      <c r="G1328" s="167" t="s">
        <v>24</v>
      </c>
      <c r="H1328" s="169">
        <v>2018</v>
      </c>
      <c r="I1328" s="170"/>
      <c r="J1328" s="166">
        <f>IFERROR(INDEX('Labor Expenditures'!$F$7:$X$91,MATCH($C1328,'Labor Expenditures'!$D$7:$D$91,0),MATCH($G1328,'Labor Expenditures'!$F$5:$X$5,0)),"NA")</f>
        <v>32818.821917094734</v>
      </c>
      <c r="K1328" s="166">
        <f t="shared" si="3950"/>
        <v>246.29509881496986</v>
      </c>
      <c r="L1328" s="172">
        <f t="shared" si="3957"/>
        <v>-1.100298419222444E-2</v>
      </c>
      <c r="M1328" s="172">
        <f t="shared" si="3961"/>
        <v>-1.3435073611747745E-4</v>
      </c>
      <c r="N1328" s="196"/>
      <c r="O1328" s="172"/>
      <c r="P1328" s="166">
        <f>IFERROR(INDEX('Non-Labor Expenditures'!$F$7:$AB$91,MATCH($C1328,'Non-Labor Expenditures'!$D$7:$D$91,0),MATCH($G1328,'Non-Labor Expenditures'!$F$5:$AB$5,0)),"NA")</f>
        <v>47527.783846358136</v>
      </c>
      <c r="Q1328" s="166">
        <f t="shared" si="3951"/>
        <v>430.80966485703789</v>
      </c>
      <c r="R1328" s="172">
        <f t="shared" si="3962"/>
        <v>-6.0371550023715255E-3</v>
      </c>
      <c r="S1328" s="172">
        <f t="shared" si="3967"/>
        <v>-7.371602144053874E-5</v>
      </c>
      <c r="T1328" s="172"/>
      <c r="U1328" s="172"/>
      <c r="V1328" s="166">
        <f t="shared" si="3932"/>
        <v>76948.655042505139</v>
      </c>
      <c r="W1328" s="170"/>
      <c r="X1328" s="174">
        <v>3902.1692982776367</v>
      </c>
      <c r="Y1328" s="175">
        <v>5.1064259408129295E-2</v>
      </c>
      <c r="Z1328" s="175">
        <f t="shared" si="3968"/>
        <v>6.2351455940690787E-4</v>
      </c>
      <c r="AA1328" s="175"/>
      <c r="AB1328" s="175"/>
      <c r="AC1328" s="170">
        <f t="shared" si="3845"/>
        <v>157295.26080595801</v>
      </c>
      <c r="AD1328" s="175">
        <f t="shared" si="3963"/>
        <v>5.022386323444885E-2</v>
      </c>
      <c r="AE1328" s="170"/>
      <c r="AF1328" s="170"/>
      <c r="AG1328" s="121">
        <f t="shared" si="3964"/>
        <v>672.74821780915272</v>
      </c>
      <c r="AH1328" s="119">
        <f>+AZ1328/$BB$56</f>
        <v>6.1739827874186899E-3</v>
      </c>
      <c r="AI1328" s="119">
        <f>+AZ1328/$BC$57</f>
        <v>2.6084269337010409E-2</v>
      </c>
      <c r="AJ1328" s="176">
        <f t="shared" si="3969"/>
        <v>4.1535359170203083</v>
      </c>
      <c r="AK1328" s="176">
        <f t="shared" si="3970"/>
        <v>17.548145709327681</v>
      </c>
      <c r="AL1328" s="120">
        <f t="shared" si="3952"/>
        <v>0.20864469627969634</v>
      </c>
      <c r="AM1328" s="120">
        <f t="shared" si="3953"/>
        <v>0.30215648966683861</v>
      </c>
      <c r="AN1328" s="120">
        <f t="shared" si="3954"/>
        <v>0.48919881405346505</v>
      </c>
      <c r="AO1328" s="120">
        <f t="shared" si="3958"/>
        <v>2.0359005875362261E-2</v>
      </c>
      <c r="AP1328" s="173">
        <f t="shared" si="3974"/>
        <v>125.25411468137517</v>
      </c>
      <c r="AQ1328" s="175">
        <f t="shared" si="3975"/>
        <v>2.0359005875362338E-2</v>
      </c>
      <c r="AR1328" s="177">
        <f>+AC1328/$AE$56</f>
        <v>1.2210390724038308E-2</v>
      </c>
      <c r="AS1328" s="177">
        <f t="shared" si="3971"/>
        <v>2.4859141649116571E-4</v>
      </c>
      <c r="AT1328" s="177"/>
      <c r="AU1328" s="177"/>
      <c r="AV1328" s="177"/>
      <c r="AW1328" s="190"/>
      <c r="AX1328" s="120"/>
      <c r="AY1328" s="120"/>
      <c r="AZ1328" s="118">
        <f>IFERROR(INDEX('Total Customers'!$F$7:$AB$91,MATCH($C1328,'Total Customers'!$D$7:$D$91,0),MATCH($G1328,'Total Customers'!$F$5:$AB$5,0)),"NA")</f>
        <v>233810</v>
      </c>
      <c r="BA1328" s="119">
        <f t="shared" si="3933"/>
        <v>1.6186062174903419E-2</v>
      </c>
      <c r="BB1328" s="119"/>
      <c r="BC1328" s="121">
        <v>8911356</v>
      </c>
      <c r="BD1328" s="119"/>
      <c r="BE1328" s="119"/>
      <c r="BF1328" s="119"/>
      <c r="BG1328" s="173"/>
      <c r="BH1328" s="173"/>
      <c r="BI1328" s="173"/>
      <c r="BJ1328" s="173"/>
      <c r="BK1328" s="173"/>
      <c r="BL1328" s="173"/>
      <c r="BM1328" s="173"/>
      <c r="BN1328" s="173"/>
      <c r="BO1328" s="173"/>
      <c r="BP1328" s="173"/>
      <c r="BQ1328" s="118"/>
      <c r="BR1328" s="118"/>
      <c r="BS1328" s="118">
        <f>INDEX('Dist. Plant Gas Additions'!$F$7:$AE$91,MATCH($C1328,'Dist. Plant Gas Additions'!$D$7:$D$91,0),MATCH(Calculation!$G1328,'Dist. Plant Gas Additions'!$F$5:$AE$5,0))</f>
        <v>164259</v>
      </c>
      <c r="BT1328" s="118">
        <f>INDEX('Gen. Plant Additions'!$F$7:$AE$91,MATCH($C1328,'Gen. Plant Additions'!$D$7:$D$91,0),MATCH(Calculation!$G1328,'Gen. Plant Additions'!$F$5:$AE$5,0))</f>
        <v>6409</v>
      </c>
      <c r="BU1328" s="118"/>
      <c r="BV1328" s="118"/>
      <c r="BW1328" s="118">
        <f>INDEX('Dist Plant Depreciation'!$E$7:$AD$94,MATCH($C1328,'Dist Plant Depreciation'!$D$7:$D$94,0),MATCH(Calculation!$G1328,'Dist Plant Depreciation'!$E$5:$AD$5,0))</f>
        <v>396041</v>
      </c>
      <c r="BX1328" s="118">
        <f>INDEX('Gen. Plant Depreciation'!$E$7:$AD$94,MATCH($C1328,'Gen. Plant Depreciation'!$D$7:$D$94,0),MATCH(Calculation!$G1328,'Gen. Plant Depreciation'!$E$5:$AD$5,0))</f>
        <v>26926</v>
      </c>
      <c r="BY1328" s="118"/>
      <c r="BZ1328" s="118"/>
      <c r="CA1328" s="118"/>
      <c r="CB1328" s="118"/>
      <c r="CC1328" s="118"/>
      <c r="CD1328" s="183"/>
      <c r="CE1328" s="118">
        <f>INDEX('Gross Dx Plant'!$E$7:$AD$91,MATCH($C1328,'Gross Dx Plant'!$D$7:$D$91,0),MATCH(Calculation!$G1328,'Gross Dx Plant'!$E$5:$AD$5,0))</f>
        <v>1743530</v>
      </c>
      <c r="CF1328" s="118">
        <f>INDEX('Gross Gen Plant'!$E$7:$AD$91,MATCH($C1328,'Gross Gen Plant'!$D$7:$D$91,0),MATCH(Calculation!$G1328,'Gross Gen Plant'!$E$5:$AD$5,0))</f>
        <v>76805</v>
      </c>
      <c r="CG1328" s="118">
        <f t="shared" si="3978"/>
        <v>1397368</v>
      </c>
      <c r="CH1328" s="118"/>
      <c r="CI1328" s="121">
        <v>2018</v>
      </c>
      <c r="CJ1328" s="118"/>
      <c r="CK1328" s="118"/>
      <c r="CL1328" s="118"/>
      <c r="CM1328" s="183"/>
      <c r="CN1328" s="118">
        <f t="shared" si="3934"/>
        <v>170668</v>
      </c>
      <c r="CO1328" s="118">
        <f t="shared" si="3935"/>
        <v>226.00940565943884</v>
      </c>
      <c r="CP1328" s="186">
        <v>0.86111111111111116</v>
      </c>
      <c r="CQ1328" s="118">
        <f>+CQ1308*CP1328++CO1309*CP1327+CO1310*CP1326+CO1311*CP1325+CO1312*CP1324+CO1313*CP1323+CO1314*CP1322+CO1315*CP1321+CO1316*CP1320+CO1317*CP1319+CO1318*CP1318+CO1319*CP1317+CO1320*CP1316+CO1321*CP1315+CO1322*CP1314+CO1323*CP1313+CO1324*CP1312+CO1325*CP1311+CO1326*CP1310+CO1327*CP1309+CO1328</f>
        <v>3902.1692982776367</v>
      </c>
      <c r="CR1328" s="119">
        <f t="shared" si="3936"/>
        <v>5.1064259408129295E-2</v>
      </c>
      <c r="CS1328" s="119"/>
      <c r="CT1328" s="177">
        <f t="shared" si="3937"/>
        <v>8.5627981209225965E-3</v>
      </c>
      <c r="CU1328" s="177">
        <f t="shared" si="3945"/>
        <v>8.3598616513432828E-3</v>
      </c>
      <c r="CV1328" s="119">
        <f>VLOOKUP($H1328,RoR!$E:$F,2,FALSE)</f>
        <v>3.9299999999999995E-2</v>
      </c>
      <c r="CW1328" s="177">
        <v>2.386056741932796E-2</v>
      </c>
      <c r="CX1328" s="177">
        <f t="shared" si="3943"/>
        <v>1.5439432580672034E-2</v>
      </c>
      <c r="CY1328" s="177">
        <f t="shared" si="3946"/>
        <v>2.254207995719034E-2</v>
      </c>
      <c r="CZ1328" s="177">
        <f t="shared" si="3947"/>
        <v>3.8270792163076606E-2</v>
      </c>
      <c r="DA1328" s="187">
        <f t="shared" si="3938"/>
        <v>0.90175000000000005</v>
      </c>
      <c r="DB1328" s="188">
        <f t="shared" si="3939"/>
        <v>1.3048868010700074</v>
      </c>
      <c r="DC1328" s="188">
        <f t="shared" si="3940"/>
        <v>0.33886768447837151</v>
      </c>
      <c r="DD1328" s="188">
        <f t="shared" si="3941"/>
        <v>0.78602506232557801</v>
      </c>
      <c r="DE1328" s="188">
        <f t="shared" si="3942"/>
        <v>0.34756768162358759</v>
      </c>
      <c r="DF1328" s="189">
        <f>INDEX('State Tax Lookup'!$D$7:$Z$91,MATCH(Calculation!$C1328,'State Tax Lookup'!$B$7:$B$91,0),MATCH($H1328,'State Tax Lookup'!$D$6:$Z$6,0))</f>
        <v>0.26200000000000001</v>
      </c>
      <c r="DG1328" s="189">
        <v>0.375</v>
      </c>
      <c r="DH1328" s="190">
        <f t="shared" si="3944"/>
        <v>20.752568297393974</v>
      </c>
      <c r="DI1328" s="190">
        <v>20.448728710265744</v>
      </c>
      <c r="DJ1328" s="177"/>
      <c r="DK1328" s="189">
        <f>VLOOKUP($H1328,RoR!$E:$F,2,FALSE)</f>
        <v>3.9299999999999995E-2</v>
      </c>
      <c r="DL1328" s="191">
        <f>HLOOKUP($H1328,'GDP-PI'!$D$8:$CQ$11,3,FALSE)</f>
        <v>2.386056741932796E-2</v>
      </c>
      <c r="DM1328" s="189">
        <f>VLOOKUP(H1328,'HW Dx Data'!$E:$F,2,FALSE)</f>
        <v>755.13671434174842</v>
      </c>
      <c r="DN1328" s="183">
        <f>VLOOKUP(H1328,'ECI - Input Price'!$G$17:$H$37,2,FALSE)</f>
        <v>133.25</v>
      </c>
      <c r="DO1328" s="177">
        <f t="shared" ref="DO1328" si="3997">LN(DN1328/DN1327)</f>
        <v>2.8546181906361531E-2</v>
      </c>
      <c r="DP1328" s="183">
        <f>HLOOKUP(H1328,'GDP-PI'!$8:$9,2,FALSE)</f>
        <v>110.322</v>
      </c>
      <c r="DQ1328" s="177">
        <f t="shared" ref="DQ1328" si="3998">LN(DP1328/DP1327)</f>
        <v>2.3580352716508712E-2</v>
      </c>
    </row>
    <row r="1329" spans="1:137" s="167" customFormat="1" ht="21" x14ac:dyDescent="0.35">
      <c r="A1329" s="167" t="s">
        <v>121</v>
      </c>
      <c r="B1329" s="167" t="s">
        <v>122</v>
      </c>
      <c r="C1329" s="167">
        <v>4064141</v>
      </c>
      <c r="D1329" s="168" t="s">
        <v>140</v>
      </c>
      <c r="E1329" s="168" t="s">
        <v>126</v>
      </c>
      <c r="F1329" s="198"/>
      <c r="G1329" s="167" t="s">
        <v>25</v>
      </c>
      <c r="H1329" s="169">
        <v>2019</v>
      </c>
      <c r="I1329" s="170"/>
      <c r="J1329" s="166">
        <v>32819</v>
      </c>
      <c r="K1329" s="166">
        <f t="shared" si="3950"/>
        <v>239.81731823164048</v>
      </c>
      <c r="L1329" s="172">
        <f t="shared" si="3957"/>
        <v>-2.6652946212377807E-2</v>
      </c>
      <c r="M1329" s="172">
        <f t="shared" si="3961"/>
        <v>-3.2613186081379314E-4</v>
      </c>
      <c r="N1329" s="196"/>
      <c r="O1329" s="172"/>
      <c r="P1329" s="166">
        <v>47528</v>
      </c>
      <c r="Q1329" s="166">
        <f t="shared" si="3951"/>
        <v>423.1556829715629</v>
      </c>
      <c r="R1329" s="172">
        <f t="shared" si="3962"/>
        <v>-1.7926223518953722E-2</v>
      </c>
      <c r="S1329" s="172">
        <f t="shared" si="3967"/>
        <v>-2.1934958285719624E-4</v>
      </c>
      <c r="T1329" s="172"/>
      <c r="U1329" s="172"/>
      <c r="V1329" s="166">
        <f t="shared" si="3932"/>
        <v>82214.356905997876</v>
      </c>
      <c r="W1329" s="170"/>
      <c r="X1329" s="174">
        <v>4134.2267789717362</v>
      </c>
      <c r="Y1329" s="175">
        <v>5.7767687962883098E-2</v>
      </c>
      <c r="Z1329" s="175">
        <f t="shared" si="3968"/>
        <v>7.0685932504888538E-4</v>
      </c>
      <c r="AA1329" s="175"/>
      <c r="AB1329" s="175"/>
      <c r="AC1329" s="170">
        <f t="shared" si="3845"/>
        <v>162561.35690599788</v>
      </c>
      <c r="AD1329" s="175">
        <f t="shared" si="3963"/>
        <v>3.2930830232824226E-2</v>
      </c>
      <c r="AE1329" s="170"/>
      <c r="AF1329" s="170"/>
      <c r="AG1329" s="121">
        <f t="shared" si="3964"/>
        <v>674.35216895997257</v>
      </c>
      <c r="AH1329" s="119">
        <f>+AZ1329/$BB$57</f>
        <v>6.3134274711813664E-3</v>
      </c>
      <c r="AI1329" s="119">
        <f>+AZ1329/$BC$58</f>
        <v>2.6606655090829705E-2</v>
      </c>
      <c r="AJ1329" s="176">
        <f t="shared" si="3969"/>
        <v>4.2574735087626294</v>
      </c>
      <c r="AK1329" s="176">
        <f t="shared" si="3970"/>
        <v>17.942255569270909</v>
      </c>
      <c r="AL1329" s="120">
        <f t="shared" si="3952"/>
        <v>0.20188684829308967</v>
      </c>
      <c r="AM1329" s="120">
        <f t="shared" si="3953"/>
        <v>0.29236960680319224</v>
      </c>
      <c r="AN1329" s="120">
        <f t="shared" si="3954"/>
        <v>0.50574354490371809</v>
      </c>
      <c r="AO1329" s="120">
        <f t="shared" si="3958"/>
        <v>1.793801843206886E-2</v>
      </c>
      <c r="AP1329" s="173">
        <f t="shared" si="3974"/>
        <v>127.52119800030589</v>
      </c>
      <c r="AQ1329" s="175">
        <f t="shared" si="3975"/>
        <v>1.7938018432068787E-2</v>
      </c>
      <c r="AR1329" s="177">
        <f>+AC1329/$AE$57</f>
        <v>1.2236240534726901E-2</v>
      </c>
      <c r="AS1329" s="177">
        <f t="shared" si="3971"/>
        <v>2.1949390825115839E-4</v>
      </c>
      <c r="AT1329" s="177"/>
      <c r="AU1329" s="177"/>
      <c r="AV1329" s="177"/>
      <c r="AW1329" s="190"/>
      <c r="AX1329" s="120"/>
      <c r="AY1329" s="120"/>
      <c r="AZ1329" s="118">
        <f>IFERROR(INDEX('Total Customers'!$F$7:$AB$91,MATCH($C1329,'Total Customers'!$D$7:$D$91,0),MATCH($G1329,'Total Customers'!$F$5:$AB$5,0)),"NA")</f>
        <v>241063</v>
      </c>
      <c r="BA1329" s="119">
        <f t="shared" si="3933"/>
        <v>3.0549490394242942E-2</v>
      </c>
      <c r="BB1329" s="119"/>
      <c r="BC1329" s="121">
        <v>8963640</v>
      </c>
      <c r="BD1329" s="119"/>
      <c r="BE1329" s="119"/>
      <c r="BF1329" s="119"/>
      <c r="BG1329" s="173"/>
      <c r="BH1329" s="173"/>
      <c r="BI1329" s="173"/>
      <c r="BJ1329" s="173"/>
      <c r="BK1329" s="173"/>
      <c r="BL1329" s="173"/>
      <c r="BM1329" s="173"/>
      <c r="BN1329" s="173"/>
      <c r="BO1329" s="173"/>
      <c r="BP1329" s="173"/>
      <c r="BQ1329" s="118"/>
      <c r="BR1329" s="118"/>
      <c r="BS1329" s="118">
        <f>INDEX('Dist. Plant Gas Additions'!$F$7:$AE$91,MATCH($C1329,'Dist. Plant Gas Additions'!$D$7:$D$91,0),MATCH(Calculation!$G1329,'Dist. Plant Gas Additions'!$F$5:$AE$5,0))</f>
        <v>199657</v>
      </c>
      <c r="BT1329" s="118">
        <f>INDEX('Gen. Plant Additions'!$F$7:$AE$91,MATCH($C1329,'Gen. Plant Additions'!$D$7:$D$91,0),MATCH(Calculation!$G1329,'Gen. Plant Additions'!$F$5:$AE$5,0))</f>
        <v>6239</v>
      </c>
      <c r="BU1329" s="118"/>
      <c r="BV1329" s="118"/>
      <c r="BW1329" s="118">
        <f>INDEX('Dist Plant Depreciation'!$E$7:$AD$94,MATCH($C1329,'Dist Plant Depreciation'!$D$7:$D$94,0),MATCH(Calculation!$G1329,'Dist Plant Depreciation'!$E$5:$AD$5,0))</f>
        <v>406803</v>
      </c>
      <c r="BX1329" s="118">
        <f>INDEX('Gen. Plant Depreciation'!$E$7:$AD$94,MATCH($C1329,'Gen. Plant Depreciation'!$D$7:$D$94,0),MATCH(Calculation!$G1329,'Gen. Plant Depreciation'!$E$5:$AD$5,0))</f>
        <v>29590</v>
      </c>
      <c r="BY1329" s="118"/>
      <c r="BZ1329" s="118"/>
      <c r="CA1329" s="118"/>
      <c r="CB1329" s="118"/>
      <c r="CC1329" s="118"/>
      <c r="CD1329" s="183"/>
      <c r="CE1329" s="118">
        <f>INDEX('Gross Dx Plant'!$E$7:$AD$91,MATCH($C1329,'Gross Dx Plant'!$D$7:$D$91,0),MATCH(Calculation!$G1329,'Gross Dx Plant'!$E$5:$AD$5,0))</f>
        <v>1932542</v>
      </c>
      <c r="CF1329" s="118">
        <f>INDEX('Gross Gen Plant'!$E$7:$AD$91,MATCH($C1329,'Gross Gen Plant'!$D$7:$D$91,0),MATCH(Calculation!$G1329,'Gross Gen Plant'!$E$5:$AD$5,0))</f>
        <v>81495</v>
      </c>
      <c r="CG1329" s="118">
        <f t="shared" si="3978"/>
        <v>1577644</v>
      </c>
      <c r="CH1329" s="118"/>
      <c r="CI1329" s="121">
        <v>2019</v>
      </c>
      <c r="CJ1329" s="118"/>
      <c r="CK1329" s="118"/>
      <c r="CL1329" s="118"/>
      <c r="CM1329" s="183"/>
      <c r="CN1329" s="118">
        <f t="shared" si="3934"/>
        <v>205896</v>
      </c>
      <c r="CO1329" s="118">
        <f t="shared" si="3935"/>
        <v>266.17393653881766</v>
      </c>
      <c r="CP1329" s="186">
        <v>0.85106382978723405</v>
      </c>
      <c r="CQ1329" s="118">
        <f>CQ1308*CP1329+CO1309*CP1328+CO1310*CP1327+CO1311*CP1326+CO1312*CP1325+CO1313*CP1324+CO1314*CP1323+CO1315*CP1322+CO1316*CP1321+CO1317*CP1320+CO1318*CP1319+CO1319*CP1318+CO1320*CP1317+CO1321*CP1316+CO1322*CP1315+CO1323*CP1314+CO1324*CP1313+CO1325*CP1312+CO1326*CP1311+CO1327*CP1310+CO1328*CP1309+CO1329</f>
        <v>4134.2267789717362</v>
      </c>
      <c r="CR1329" s="119">
        <f t="shared" si="3936"/>
        <v>5.7767687962883098E-2</v>
      </c>
      <c r="CS1329" s="119"/>
      <c r="CT1329" s="177">
        <f t="shared" si="3937"/>
        <v>8.7429460991804535E-3</v>
      </c>
      <c r="CU1329" s="177">
        <f t="shared" si="3945"/>
        <v>8.5483215828022433E-3</v>
      </c>
      <c r="CV1329" s="119">
        <f>VLOOKUP($H1329,RoR!$E:$F,2,FALSE)</f>
        <v>3.3875000000000009E-2</v>
      </c>
      <c r="CW1329" s="177">
        <v>1.8092492884465461E-2</v>
      </c>
      <c r="CX1329" s="177">
        <f t="shared" si="3943"/>
        <v>1.5782507115534548E-2</v>
      </c>
      <c r="CY1329" s="177">
        <f t="shared" si="3946"/>
        <v>2.235362002573138E-2</v>
      </c>
      <c r="CZ1329" s="177">
        <f t="shared" si="3947"/>
        <v>4.8445665544254078E-2</v>
      </c>
      <c r="DA1329" s="187">
        <f t="shared" si="3938"/>
        <v>0.90175000000000005</v>
      </c>
      <c r="DB1329" s="188">
        <f t="shared" si="3939"/>
        <v>1.513861292459078</v>
      </c>
      <c r="DC1329" s="188">
        <f t="shared" si="3940"/>
        <v>0.23699261992619944</v>
      </c>
      <c r="DD1329" s="188">
        <f t="shared" si="3941"/>
        <v>0.73619765810468829</v>
      </c>
      <c r="DE1329" s="188">
        <f t="shared" si="3942"/>
        <v>0.26412854465362851</v>
      </c>
      <c r="DF1329" s="189">
        <f>INDEX('State Tax Lookup'!$D$7:$Z$91,MATCH(Calculation!$C1329,'State Tax Lookup'!$B$7:$B$91,0),MATCH($H1329,'State Tax Lookup'!$D$6:$Z$6,0))</f>
        <v>0.26200000000000001</v>
      </c>
      <c r="DG1329" s="189">
        <v>0.375</v>
      </c>
      <c r="DH1329" s="190">
        <f t="shared" si="3944"/>
        <v>21.068885181964337</v>
      </c>
      <c r="DI1329" s="190">
        <v>20.775912899897751</v>
      </c>
      <c r="DJ1329" s="177"/>
      <c r="DK1329" s="189">
        <f>VLOOKUP($H1329,RoR!$E:$F,2,FALSE)</f>
        <v>3.3875000000000009E-2</v>
      </c>
      <c r="DL1329" s="191">
        <f>HLOOKUP($H1329,'GDP-PI'!$D$8:$CQ$11,3,FALSE)</f>
        <v>1.8092492884465461E-2</v>
      </c>
      <c r="DM1329" s="189">
        <f>VLOOKUP(H1329,'HW Dx Data'!$E:$F,2,FALSE)</f>
        <v>773.53929793938721</v>
      </c>
      <c r="DN1329" s="183">
        <f>VLOOKUP(H1329,'ECI - Input Price'!$G$17:$H$37,2,FALSE)</f>
        <v>136.85</v>
      </c>
      <c r="DO1329" s="177">
        <f t="shared" ref="DO1329" si="3999">LN(DN1329/DN1328)</f>
        <v>2.6658372440734168E-2</v>
      </c>
      <c r="DP1329" s="183">
        <f>HLOOKUP(H1329,'GDP-PI'!$8:$9,2,FALSE)</f>
        <v>112.318</v>
      </c>
      <c r="DQ1329" s="177">
        <f t="shared" ref="DQ1329" si="4000">LN(DP1329/DP1328)</f>
        <v>1.7930771451401852E-2</v>
      </c>
    </row>
    <row r="1330" spans="1:137" s="167" customFormat="1" ht="21" x14ac:dyDescent="0.35">
      <c r="A1330" s="167" t="s">
        <v>121</v>
      </c>
      <c r="B1330" s="167" t="s">
        <v>122</v>
      </c>
      <c r="C1330" s="167">
        <v>4064141</v>
      </c>
      <c r="D1330" s="167" t="s">
        <v>140</v>
      </c>
      <c r="E1330" s="167" t="s">
        <v>126</v>
      </c>
      <c r="G1330" s="168" t="s">
        <v>26</v>
      </c>
      <c r="H1330" s="169">
        <v>2020</v>
      </c>
      <c r="I1330" s="170"/>
      <c r="J1330" s="166">
        <v>32819</v>
      </c>
      <c r="K1330" s="166">
        <f t="shared" si="3950"/>
        <v>233.67034531861876</v>
      </c>
      <c r="L1330" s="172">
        <f t="shared" si="3957"/>
        <v>-2.5966118063564494E-2</v>
      </c>
      <c r="M1330" s="172">
        <f t="shared" si="3961"/>
        <v>-3.2449482780016851E-4</v>
      </c>
      <c r="N1330" s="196"/>
      <c r="O1330" s="172"/>
      <c r="P1330" s="166">
        <v>47528</v>
      </c>
      <c r="Q1330" s="166">
        <f t="shared" si="3951"/>
        <v>418.29559156156762</v>
      </c>
      <c r="R1330" s="172">
        <f t="shared" si="3962"/>
        <v>-1.1551816731392965E-2</v>
      </c>
      <c r="S1330" s="172">
        <f t="shared" si="3967"/>
        <v>-1.4436138555082463E-4</v>
      </c>
      <c r="T1330" s="172"/>
      <c r="U1330" s="172"/>
      <c r="V1330" s="166">
        <f t="shared" si="3932"/>
        <v>90818.297348002525</v>
      </c>
      <c r="W1330" s="170"/>
      <c r="X1330" s="174">
        <v>4338.3052633979969</v>
      </c>
      <c r="Y1330" s="175">
        <v>4.8183462758395919E-2</v>
      </c>
      <c r="Z1330" s="175">
        <f t="shared" si="3968"/>
        <v>6.0214177615331951E-4</v>
      </c>
      <c r="AA1330" s="175"/>
      <c r="AB1330" s="175"/>
      <c r="AC1330" s="170">
        <f t="shared" si="3845"/>
        <v>171165.29734800252</v>
      </c>
      <c r="AD1330" s="175">
        <f t="shared" si="3963"/>
        <v>5.1574229290178131E-2</v>
      </c>
      <c r="AE1330" s="170"/>
      <c r="AF1330" s="170"/>
      <c r="AG1330" s="121">
        <f t="shared" si="3964"/>
        <v>710.04383645769997</v>
      </c>
      <c r="AH1330" s="119">
        <f>+AZ1330/$BB$58</f>
        <v>6.2690401585980323E-3</v>
      </c>
      <c r="AI1330" s="119">
        <f>+AZ1330/$BC$59</f>
        <v>2.6449512572907789E-2</v>
      </c>
      <c r="AJ1330" s="176">
        <f t="shared" si="3969"/>
        <v>4.4512933251183346</v>
      </c>
      <c r="AK1330" s="176">
        <f t="shared" si="3970"/>
        <v>18.780313379703617</v>
      </c>
      <c r="AL1330" s="120">
        <f t="shared" si="3952"/>
        <v>0.19173863223731893</v>
      </c>
      <c r="AM1330" s="120">
        <f t="shared" si="3953"/>
        <v>0.27767310743701196</v>
      </c>
      <c r="AN1330" s="120">
        <f t="shared" si="3954"/>
        <v>0.53058826032566908</v>
      </c>
      <c r="AO1330" s="120">
        <f t="shared" si="3958"/>
        <v>1.6564050139181427E-2</v>
      </c>
      <c r="AP1330" s="173">
        <f t="shared" si="3974"/>
        <v>129.65105636131622</v>
      </c>
      <c r="AQ1330" s="175">
        <f t="shared" si="3975"/>
        <v>1.6564050139181323E-2</v>
      </c>
      <c r="AR1330" s="177">
        <f>+AC1330/$AE$58</f>
        <v>1.2496855594887623E-2</v>
      </c>
      <c r="AS1330" s="177">
        <f t="shared" si="3971"/>
        <v>2.0699854265582721E-4</v>
      </c>
      <c r="AT1330" s="177"/>
      <c r="AU1330" s="177"/>
      <c r="AV1330" s="177"/>
      <c r="AW1330" s="190"/>
      <c r="AX1330" s="120"/>
      <c r="AY1330" s="120"/>
      <c r="AZ1330" s="118">
        <v>241063</v>
      </c>
      <c r="BA1330" s="119">
        <f t="shared" si="3933"/>
        <v>0</v>
      </c>
      <c r="BB1330" s="119"/>
      <c r="BC1330" s="121">
        <v>9060252</v>
      </c>
      <c r="BD1330" s="119"/>
      <c r="BE1330" s="119"/>
      <c r="BF1330" s="119"/>
      <c r="BG1330" s="173"/>
      <c r="BH1330" s="173"/>
      <c r="BI1330" s="173"/>
      <c r="BJ1330" s="173"/>
      <c r="BK1330" s="173"/>
      <c r="BL1330" s="173"/>
      <c r="BM1330" s="173"/>
      <c r="BN1330" s="173"/>
      <c r="BO1330" s="173"/>
      <c r="BP1330" s="173"/>
      <c r="BQ1330" s="118"/>
      <c r="BR1330" s="118"/>
      <c r="BS1330" s="118">
        <f>INDEX('Dist. Plant Gas Additions'!$F$7:$AE$91,MATCH($C1330,'Dist. Plant Gas Additions'!$D$7:$D$91,0),MATCH(Calculation!$G1330,'Dist. Plant Gas Additions'!$F$5:$AE$5,0))</f>
        <v>187318</v>
      </c>
      <c r="BT1330" s="118">
        <f>INDEX('Gen. Plant Additions'!$F$7:$AE$91,MATCH($C1330,'Gen. Plant Additions'!$D$7:$D$91,0),MATCH(Calculation!$G1330,'Gen. Plant Additions'!$F$5:$AE$5,0))</f>
        <v>8529</v>
      </c>
      <c r="BU1330" s="118"/>
      <c r="BV1330" s="118"/>
      <c r="BW1330" s="118">
        <f>INDEX('Dist Plant Depreciation'!$E$7:$AD$94,MATCH($C1330,'Dist Plant Depreciation'!$D$7:$D$94,0),MATCH(Calculation!$G1330,'Dist Plant Depreciation'!$E$5:$AD$5,0))</f>
        <v>416963</v>
      </c>
      <c r="BX1330" s="118">
        <f>INDEX('Gen. Plant Depreciation'!$E$7:$AD$94,MATCH($C1330,'Gen. Plant Depreciation'!$D$7:$D$94,0),MATCH(Calculation!$G1330,'Gen. Plant Depreciation'!$E$5:$AD$5,0))</f>
        <v>34015</v>
      </c>
      <c r="BY1330" s="118"/>
      <c r="BZ1330" s="118"/>
      <c r="CA1330" s="118"/>
      <c r="CB1330" s="118"/>
      <c r="CC1330" s="118"/>
      <c r="CD1330" s="183"/>
      <c r="CE1330" s="118">
        <f>INDEX('Gross Dx Plant'!$E$7:$AD$91,MATCH($C1330,'Gross Dx Plant'!$D$7:$D$91,0),MATCH(Calculation!$G1330,'Gross Dx Plant'!$E$5:$AD$5,0))</f>
        <v>2103278</v>
      </c>
      <c r="CF1330" s="118">
        <f>INDEX('Gross Gen Plant'!$E$7:$AD$91,MATCH($C1330,'Gross Gen Plant'!$D$7:$D$91,0),MATCH(Calculation!$G1330,'Gross Gen Plant'!$E$5:$AD$5,0))</f>
        <v>89722</v>
      </c>
      <c r="CG1330" s="118">
        <f t="shared" si="3978"/>
        <v>1742022</v>
      </c>
      <c r="CH1330" s="118"/>
      <c r="CI1330" s="121">
        <v>2020</v>
      </c>
      <c r="CJ1330" s="183"/>
      <c r="CK1330" s="183"/>
      <c r="CL1330" s="118"/>
      <c r="CM1330" s="183"/>
      <c r="CN1330" s="118">
        <f t="shared" si="3934"/>
        <v>195847</v>
      </c>
      <c r="CO1330" s="118">
        <f t="shared" si="3935"/>
        <v>240.87046891875917</v>
      </c>
      <c r="CP1330" s="186">
        <v>0.84057971014492749</v>
      </c>
      <c r="CQ1330" s="118">
        <f>CQ1308*CP1330+CO1309*CP1329+CO1310*CP1328+CO1311*CP1327+CO1312*CP1326+CO1313*CP1325+CO1314*CP1324+CO1315*CP1323+CO1316*CP1322+CO1317*CP1321+CO1318*CP1320+CO1319*CP1319+CO1320*CP1318+CO1321*CP1317+CO1322*CP1316+CO1323*CP1315+CO1324*CP1314+CO1325*CP1313+CO1326*CP1312+CO1327*CP1311+CO1328*CP1310+CO1329*CP1309+CO1330</f>
        <v>4338.3052633979969</v>
      </c>
      <c r="CR1330" s="119">
        <f t="shared" si="3936"/>
        <v>4.8183462758395919E-2</v>
      </c>
      <c r="CS1330" s="119"/>
      <c r="CT1330" s="177">
        <f t="shared" si="3937"/>
        <v>8.8993629182696488E-3</v>
      </c>
      <c r="CU1330" s="177">
        <f t="shared" si="3945"/>
        <v>8.7350357127908996E-3</v>
      </c>
      <c r="CV1330" s="119">
        <f>VLOOKUP($H1330,RoR!$E:$F,2,FALSE)</f>
        <v>2.4766666666666666E-2</v>
      </c>
      <c r="CW1330" s="177">
        <v>1.1618796630994188E-2</v>
      </c>
      <c r="CX1330" s="177">
        <f t="shared" si="3943"/>
        <v>1.3147870035672478E-2</v>
      </c>
      <c r="CY1330" s="177">
        <f t="shared" si="3946"/>
        <v>2.2166905895742724E-2</v>
      </c>
      <c r="CZ1330" s="177">
        <f t="shared" si="3947"/>
        <v>4.5144642961987357E-2</v>
      </c>
      <c r="DA1330" s="187">
        <f t="shared" si="3938"/>
        <v>0.90175000000000005</v>
      </c>
      <c r="DB1330" s="188">
        <f t="shared" si="3939"/>
        <v>2.0706077233668081</v>
      </c>
      <c r="DC1330" s="188">
        <f t="shared" si="3940"/>
        <v>-3.4421265141318998E-2</v>
      </c>
      <c r="DD1330" s="188">
        <f t="shared" si="3941"/>
        <v>0.62416226176410472</v>
      </c>
      <c r="DE1330" s="188">
        <f t="shared" si="3942"/>
        <v>-4.4485877841158712E-2</v>
      </c>
      <c r="DF1330" s="189">
        <f>INDEX('State Tax Lookup'!$D$7:$Z$91,MATCH(Calculation!$C1330,'State Tax Lookup'!$B$7:$B$91,0),MATCH($H1330,'State Tax Lookup'!$D$6:$Z$6,0))</f>
        <v>0.26200000000000001</v>
      </c>
      <c r="DG1330" s="189">
        <v>0.375</v>
      </c>
      <c r="DH1330" s="190">
        <f t="shared" si="3944"/>
        <v>21.967420319064072</v>
      </c>
      <c r="DI1330" s="190">
        <v>21.728517846943664</v>
      </c>
      <c r="DJ1330" s="177"/>
      <c r="DK1330" s="189">
        <f>VLOOKUP($H1330,RoR!$E:$F,2,FALSE)</f>
        <v>2.4766666666666666E-2</v>
      </c>
      <c r="DL1330" s="191">
        <f>HLOOKUP($H1330,'GDP-PI'!$D$8:$CQ$11,3,FALSE)</f>
        <v>1.1618796630994188E-2</v>
      </c>
      <c r="DM1330" s="189">
        <f>VLOOKUP(H1330,'HW Dx Data'!$E:$F,2,FALSE)</f>
        <v>813.080162458833</v>
      </c>
      <c r="DN1330" s="183">
        <f>VLOOKUP(H1330,'ECI - Input Price'!$G$17:$H$37,2,FALSE)</f>
        <v>140.44999999999999</v>
      </c>
      <c r="DO1330" s="177">
        <f t="shared" ref="DO1330" si="4001">LN(DN1330/DN1329)</f>
        <v>2.5966118063564539E-2</v>
      </c>
      <c r="DP1330" s="183">
        <f>HLOOKUP(H1330,'GDP-PI'!$8:$9,2,FALSE)</f>
        <v>113.623</v>
      </c>
      <c r="DQ1330" s="177">
        <f t="shared" ref="DQ1330" si="4002">LN(DP1330/DP1329)</f>
        <v>1.1551816731392881E-2</v>
      </c>
    </row>
    <row r="1331" spans="1:137" s="167" customFormat="1" ht="21" x14ac:dyDescent="0.35">
      <c r="A1331" s="167" t="s">
        <v>121</v>
      </c>
      <c r="B1331" s="167" t="s">
        <v>122</v>
      </c>
      <c r="C1331" s="167">
        <v>4064141</v>
      </c>
      <c r="D1331" s="167" t="s">
        <v>140</v>
      </c>
      <c r="E1331" s="167" t="s">
        <v>126</v>
      </c>
      <c r="G1331" s="168" t="s">
        <v>462</v>
      </c>
      <c r="H1331" s="169">
        <v>2021</v>
      </c>
      <c r="I1331" s="170"/>
      <c r="J1331" s="166">
        <f>IFERROR(INDEX('Labor Expenditures'!$E$7:$X$91,MATCH($C1331,'Labor Expenditures'!$D$7:$D$91,0),MATCH($G1331,'Labor Expenditures'!$E$5:$X$5,0)),"NA")</f>
        <v>37083.103177765493</v>
      </c>
      <c r="K1331" s="166">
        <f t="shared" si="3950"/>
        <v>254.91048755982462</v>
      </c>
      <c r="L1331" s="171">
        <f t="shared" si="3957"/>
        <v>8.7001112952552959E-2</v>
      </c>
      <c r="M1331" s="172">
        <f t="shared" si="3961"/>
        <v>1.2481396414221954E-3</v>
      </c>
      <c r="N1331" s="196"/>
      <c r="O1331" s="172"/>
      <c r="P1331" s="166">
        <f>IFERROR(INDEX('Non-Labor Expenditures'!$E$7:$AB$91,MATCH($C1331,'Non-Labor Expenditures'!$D$7:$D$91,0),MATCH($G1331,'Non-Labor Expenditures'!$E$5:$AB$5,0)),"NA")</f>
        <v>52273.77194938028</v>
      </c>
      <c r="Q1331" s="166">
        <f t="shared" si="3951"/>
        <v>441.16610641725276</v>
      </c>
      <c r="R1331" s="172">
        <f t="shared" si="3962"/>
        <v>5.3233123618324572E-2</v>
      </c>
      <c r="S1331" s="172">
        <f t="shared" si="3967"/>
        <v>7.6369565365208753E-4</v>
      </c>
      <c r="T1331" s="172"/>
      <c r="U1331" s="172"/>
      <c r="V1331" s="166">
        <f t="shared" si="3932"/>
        <v>122227.73597593627</v>
      </c>
      <c r="W1331" s="170"/>
      <c r="X1331" s="174">
        <v>4554.2795151840673</v>
      </c>
      <c r="Y1331" s="175"/>
      <c r="Z1331" s="175">
        <f t="shared" si="3968"/>
        <v>0</v>
      </c>
      <c r="AA1331" s="175"/>
      <c r="AB1331" s="175"/>
      <c r="AC1331" s="170">
        <f t="shared" si="3845"/>
        <v>211584.61110308205</v>
      </c>
      <c r="AD1331" s="175">
        <f t="shared" si="3963"/>
        <v>0.21199523022930469</v>
      </c>
      <c r="AE1331" s="118"/>
      <c r="AF1331" s="119"/>
      <c r="AG1331" s="121">
        <f t="shared" si="3964"/>
        <v>854.58346568929858</v>
      </c>
      <c r="AH1331" s="119">
        <f>+AZ1331/$BB$59</f>
        <v>6.3522909213550921E-3</v>
      </c>
      <c r="AI1331" s="119">
        <f>+AZ1331/$BC$44</f>
        <v>3.0020211274445197E-2</v>
      </c>
      <c r="AJ1331" s="176">
        <f t="shared" si="3969"/>
        <v>5.4285627906383018</v>
      </c>
      <c r="AK1331" s="176">
        <f t="shared" si="3970"/>
        <v>25.65477619164033</v>
      </c>
      <c r="AL1331" s="120">
        <f t="shared" si="3952"/>
        <v>0.17526370648808173</v>
      </c>
      <c r="AM1331" s="120">
        <f t="shared" si="3953"/>
        <v>0.24705847782054899</v>
      </c>
      <c r="AN1331" s="120">
        <f t="shared" si="3954"/>
        <v>0.57767781569136922</v>
      </c>
      <c r="AO1331" s="120">
        <f t="shared" si="3958"/>
        <v>2.9931356634877424E-2</v>
      </c>
      <c r="AP1331" s="173">
        <f t="shared" si="3974"/>
        <v>133.59034845357536</v>
      </c>
      <c r="AQ1331" s="175">
        <f t="shared" si="3975"/>
        <v>2.9931356634877532E-2</v>
      </c>
      <c r="AR1331" s="177">
        <f>+AC1331/$AE$59</f>
        <v>1.4346249134799947E-2</v>
      </c>
      <c r="AS1331" s="177">
        <f t="shared" si="3971"/>
        <v>4.2940269922650044E-4</v>
      </c>
      <c r="AT1331" s="177"/>
      <c r="AU1331" s="177"/>
      <c r="AV1331" s="177"/>
      <c r="AW1331" s="190"/>
      <c r="AX1331" s="120"/>
      <c r="AY1331" s="120"/>
      <c r="AZ1331" s="118">
        <f>INDEX('Total Customers'!$E$7:$E$91,MATCH(Calculation!$C1331,'Total Customers'!$D$7:$D$91,0))</f>
        <v>247588</v>
      </c>
      <c r="BA1331" s="119">
        <f t="shared" si="3933"/>
        <v>2.6707764252213002E-2</v>
      </c>
      <c r="BB1331" s="118"/>
      <c r="BC1331" s="121"/>
      <c r="BD1331" s="118"/>
      <c r="BE1331" s="119"/>
      <c r="BF1331" s="119"/>
      <c r="BG1331" s="173"/>
      <c r="BH1331" s="173"/>
      <c r="BI1331" s="173"/>
      <c r="BJ1331" s="173"/>
      <c r="BK1331" s="173"/>
      <c r="BL1331" s="173"/>
      <c r="BM1331" s="173"/>
      <c r="BN1331" s="173"/>
      <c r="BO1331" s="173"/>
      <c r="BP1331" s="173"/>
      <c r="BQ1331" s="118"/>
      <c r="BR1331" s="118"/>
      <c r="BS1331" s="118">
        <f>INDEX('Dist. Plant Gas Additions'!$E$7:$AE$91,MATCH($C1331,'Dist. Plant Gas Additions'!$D$7:$D$91,0),MATCH(Calculation!$G1331,'Dist. Plant Gas Additions'!$E$5:$AE$5,0))</f>
        <v>195582</v>
      </c>
      <c r="BT1331" s="118">
        <f>INDEX('Gen. Plant Additions'!$E$7:$AE$91,MATCH($C1331,'Gen. Plant Additions'!$D$7:$D$91,0),MATCH(Calculation!$G1331,'Gen. Plant Additions'!$E$5:$AE$5,0))</f>
        <v>8700</v>
      </c>
      <c r="BU1331" s="118"/>
      <c r="BV1331" s="118"/>
      <c r="BW1331" s="118"/>
      <c r="BX1331" s="118"/>
      <c r="BY1331" s="183"/>
      <c r="BZ1331" s="183"/>
      <c r="CA1331" s="178"/>
      <c r="CB1331" s="184"/>
      <c r="CC1331" s="185"/>
      <c r="CD1331" s="185"/>
      <c r="CE1331" s="118"/>
      <c r="CF1331" s="118"/>
      <c r="CG1331" s="118"/>
      <c r="CH1331" s="118"/>
      <c r="CI1331" s="121">
        <v>2021</v>
      </c>
      <c r="CJ1331" s="118"/>
      <c r="CK1331" s="118"/>
      <c r="CL1331" s="118"/>
      <c r="CM1331" s="183"/>
      <c r="CN1331" s="118">
        <f t="shared" si="3934"/>
        <v>204282</v>
      </c>
      <c r="CO1331" s="118">
        <f t="shared" si="3935"/>
        <v>218.94648861256513</v>
      </c>
      <c r="CP1331" s="186">
        <f>+(51-23)/(51-23*0.75)</f>
        <v>0.82962962962962961</v>
      </c>
      <c r="CQ1331" s="118">
        <f>CQ1308*CP1331+CO1309*CP1330+CO1310*CP1329+CO1311*CP1328+CO1312*CP1327+CO1313*CP1326+CO1314*CP1325+CO1315*CP1324+CO1316*CP1323+CO1317*CP1322+CO1318*CP1321+CO1319*CP1320+CO1320*CP1319+CO1321*CP1318+CO1322*CP1317+CO1313*CP1316+CO1324*CP1315+CO1325*CP1314+CO1326*CP1313+CO1327*CP1312+CO1328*CP1311+CO1329*CP1310+CO1331+CO1330*CP1309</f>
        <v>4554.2795151840673</v>
      </c>
      <c r="CR1331" s="119"/>
      <c r="CS1331" s="118"/>
      <c r="CT1331" s="177">
        <f t="shared" si="3937"/>
        <v>6.851147270735535E-4</v>
      </c>
      <c r="CU1331" s="177">
        <f t="shared" si="3945"/>
        <v>6.1091412481745514E-3</v>
      </c>
      <c r="CV1331" s="119">
        <f>VLOOKUP($H1331,RoR!$E:$F,2,FALSE)</f>
        <v>2.7033333333333336E-2</v>
      </c>
      <c r="CW1331" s="177"/>
      <c r="CX1331" s="177"/>
      <c r="CY1331" s="177">
        <f t="shared" si="3946"/>
        <v>2.4792800360359073E-2</v>
      </c>
      <c r="CZ1331" s="177">
        <f t="shared" si="3947"/>
        <v>7.433422950153494E-2</v>
      </c>
      <c r="DA1331" s="187">
        <f t="shared" si="3938"/>
        <v>0.90175000000000005</v>
      </c>
      <c r="DB1331" s="188">
        <f t="shared" si="3939"/>
        <v>1.8969932656739068</v>
      </c>
      <c r="DC1331" s="188">
        <f t="shared" si="3940"/>
        <v>5.0215782983970621E-2</v>
      </c>
      <c r="DD1331" s="188">
        <f t="shared" si="3941"/>
        <v>0.655952481704143</v>
      </c>
      <c r="DE1331" s="188">
        <f t="shared" si="3942"/>
        <v>6.2485378865697057E-2</v>
      </c>
      <c r="DF1331" s="189">
        <f>DF1330</f>
        <v>0.26200000000000001</v>
      </c>
      <c r="DG1331" s="189">
        <v>0.375</v>
      </c>
      <c r="DH1331" s="190">
        <f t="shared" si="3944"/>
        <v>28.174074564822313</v>
      </c>
      <c r="DI1331" s="190"/>
      <c r="DJ1331" s="177">
        <f t="shared" ref="DJ1331" si="4003">LN(DH1331/DH1330)</f>
        <v>0.24884175225519301</v>
      </c>
      <c r="DK1331" s="189">
        <f>VLOOKUP($H1331,RoR!$E:$F,2,FALSE)</f>
        <v>2.7033333333333336E-2</v>
      </c>
      <c r="DL1331" s="191">
        <f>HLOOKUP($H1331,'GDP-PI'!$D$8:$CR$11,3,FALSE)</f>
        <v>4.2834637353352578E-2</v>
      </c>
      <c r="DM1331" s="189">
        <f>VLOOKUP(H1331,'HW Dx Data'!$E:$F,2,FALSE)</f>
        <v>933.02249921662576</v>
      </c>
      <c r="DN1331" s="183">
        <f>VLOOKUP(H1331,'ECI - Input Price'!$G$17:$H$37,2,FALSE)</f>
        <v>145.47500000000002</v>
      </c>
      <c r="DO1331" s="177">
        <f t="shared" ref="DO1331" si="4004">LN(DN1331/DN1330)</f>
        <v>3.5152696992481205E-2</v>
      </c>
      <c r="DP1331" s="183">
        <f>HLOOKUP(H1331,'GDP-PI'!$8:$9,2,FALSE)</f>
        <v>118.49</v>
      </c>
      <c r="DQ1331" s="177">
        <f t="shared" ref="DQ1331" si="4005">LN(DP1331/DP1330)</f>
        <v>4.194261824609434E-2</v>
      </c>
    </row>
    <row r="1332" spans="1:137" s="167" customFormat="1" ht="21" x14ac:dyDescent="0.35">
      <c r="E1332" s="198"/>
      <c r="F1332" s="198"/>
      <c r="H1332" s="169"/>
      <c r="I1332" s="170"/>
      <c r="J1332" s="166"/>
      <c r="K1332" s="170"/>
      <c r="L1332" s="170"/>
      <c r="M1332" s="170"/>
      <c r="N1332" s="173"/>
      <c r="O1332" s="170"/>
      <c r="P1332" s="177"/>
      <c r="Q1332" s="177"/>
      <c r="R1332" s="177"/>
      <c r="S1332" s="177"/>
      <c r="T1332" s="177"/>
      <c r="U1332" s="177"/>
      <c r="V1332" s="190"/>
      <c r="W1332" s="190"/>
      <c r="X1332" s="200"/>
      <c r="Y1332" s="190"/>
      <c r="Z1332" s="166"/>
      <c r="AA1332" s="190"/>
      <c r="AB1332" s="190"/>
      <c r="AC1332" s="190"/>
      <c r="AD1332" s="170"/>
      <c r="AE1332" s="190"/>
      <c r="AF1332" s="190"/>
      <c r="AG1332" s="174"/>
      <c r="AH1332" s="175"/>
      <c r="AI1332" s="175"/>
      <c r="AJ1332" s="174"/>
      <c r="AK1332" s="174"/>
      <c r="AL1332" s="201"/>
      <c r="AM1332" s="201"/>
      <c r="AN1332" s="201"/>
      <c r="AO1332" s="120"/>
      <c r="AP1332" s="120"/>
      <c r="AQ1332" s="175"/>
      <c r="AR1332" s="120"/>
      <c r="AS1332" s="120"/>
      <c r="AT1332" s="120"/>
      <c r="AU1332" s="120"/>
      <c r="AV1332" s="120"/>
      <c r="AW1332" s="120"/>
      <c r="AX1332" s="120"/>
      <c r="AY1332" s="120"/>
      <c r="AZ1332" s="183"/>
      <c r="BA1332" s="177"/>
      <c r="BB1332" s="177"/>
      <c r="BC1332" s="200"/>
      <c r="BD1332" s="177"/>
      <c r="BE1332" s="177"/>
      <c r="BF1332" s="177"/>
      <c r="BG1332" s="173"/>
      <c r="BH1332" s="173"/>
      <c r="BI1332" s="173"/>
      <c r="BJ1332" s="173"/>
      <c r="BK1332" s="173"/>
      <c r="BL1332" s="173"/>
      <c r="BM1332" s="173"/>
      <c r="BN1332" s="173"/>
      <c r="BO1332" s="173"/>
      <c r="BP1332" s="173"/>
      <c r="BQ1332" s="183"/>
      <c r="BR1332" s="183"/>
      <c r="BS1332" s="183"/>
      <c r="BT1332" s="183"/>
      <c r="BU1332" s="183"/>
      <c r="BV1332" s="183"/>
      <c r="BW1332" s="183"/>
      <c r="BX1332" s="183"/>
      <c r="BY1332" s="183"/>
      <c r="BZ1332" s="183"/>
      <c r="CA1332" s="183"/>
      <c r="CB1332" s="183"/>
      <c r="CC1332" s="183"/>
      <c r="CD1332" s="183"/>
      <c r="CE1332" s="183"/>
      <c r="CF1332" s="183"/>
      <c r="CG1332" s="183"/>
      <c r="CH1332" s="183"/>
      <c r="CI1332" s="121"/>
      <c r="CJ1332" s="183"/>
      <c r="CK1332" s="183"/>
      <c r="CL1332" s="183"/>
      <c r="CM1332" s="183"/>
      <c r="CN1332" s="118"/>
      <c r="CO1332" s="118"/>
      <c r="CP1332" s="186"/>
      <c r="CQ1332" s="118"/>
      <c r="CR1332" s="119"/>
      <c r="CS1332" s="119"/>
      <c r="CT1332" s="177"/>
      <c r="CU1332" s="177"/>
      <c r="CV1332" s="177"/>
      <c r="CW1332" s="177"/>
      <c r="CX1332" s="177"/>
      <c r="CY1332" s="177"/>
      <c r="CZ1332" s="177"/>
      <c r="DA1332" s="187"/>
      <c r="DB1332" s="183"/>
      <c r="DC1332" s="183"/>
      <c r="DD1332" s="183"/>
      <c r="DE1332" s="183"/>
      <c r="DF1332" s="183"/>
      <c r="DG1332" s="183"/>
      <c r="DH1332" s="183"/>
      <c r="DI1332" s="183"/>
      <c r="DJ1332" s="183"/>
      <c r="DK1332" s="183"/>
      <c r="DL1332" s="183"/>
      <c r="DM1332" s="189"/>
      <c r="DN1332" s="183"/>
      <c r="DO1332" s="177"/>
      <c r="DP1332" s="183"/>
      <c r="EG1332" s="167" t="s">
        <v>527</v>
      </c>
    </row>
    <row r="1333" spans="1:137" s="167" customFormat="1" ht="21" x14ac:dyDescent="0.35">
      <c r="E1333" s="198"/>
      <c r="F1333" s="198"/>
      <c r="H1333" s="169"/>
      <c r="I1333" s="169"/>
      <c r="N1333" s="202"/>
      <c r="V1333" s="190"/>
      <c r="W1333" s="190"/>
      <c r="X1333" s="200"/>
      <c r="Y1333" s="190"/>
      <c r="Z1333" s="175"/>
      <c r="AA1333" s="190"/>
      <c r="AB1333" s="190"/>
      <c r="AC1333" s="190"/>
      <c r="AD1333" s="175"/>
      <c r="AE1333" s="190"/>
      <c r="AF1333" s="190"/>
      <c r="AG1333" s="174"/>
      <c r="AH1333" s="175"/>
      <c r="AI1333" s="175"/>
      <c r="AJ1333" s="174"/>
      <c r="AK1333" s="174"/>
      <c r="AL1333" s="201"/>
      <c r="AM1333" s="201"/>
      <c r="AN1333" s="201"/>
      <c r="AO1333" s="120"/>
      <c r="AP1333" s="120"/>
      <c r="AQ1333" s="175"/>
      <c r="AR1333" s="120"/>
      <c r="AS1333" s="120"/>
      <c r="AT1333" s="120"/>
      <c r="AU1333" s="120"/>
      <c r="AV1333" s="120"/>
      <c r="AW1333" s="120"/>
      <c r="AX1333" s="120"/>
      <c r="AY1333" s="120"/>
      <c r="AZ1333" s="183"/>
      <c r="BA1333" s="177"/>
      <c r="BB1333" s="177"/>
      <c r="BC1333" s="200"/>
      <c r="BD1333" s="177"/>
      <c r="BE1333" s="177"/>
      <c r="BF1333" s="177"/>
      <c r="BG1333" s="203"/>
      <c r="BH1333" s="203"/>
      <c r="BI1333" s="203"/>
      <c r="BJ1333" s="203"/>
      <c r="BK1333" s="203"/>
      <c r="BL1333" s="203"/>
      <c r="BM1333" s="203"/>
      <c r="BN1333" s="203"/>
      <c r="BO1333" s="203"/>
      <c r="BP1333" s="203"/>
      <c r="BQ1333" s="204"/>
      <c r="BR1333" s="204"/>
      <c r="BS1333" s="204"/>
      <c r="BT1333" s="204"/>
      <c r="BU1333" s="204"/>
      <c r="BV1333" s="204"/>
      <c r="BW1333" s="204"/>
      <c r="BX1333" s="204"/>
      <c r="BY1333" s="204"/>
      <c r="BZ1333" s="204"/>
      <c r="CA1333" s="204"/>
      <c r="CB1333" s="204"/>
      <c r="CC1333" s="204"/>
      <c r="CD1333" s="204"/>
      <c r="CE1333" s="204"/>
      <c r="CF1333" s="204"/>
      <c r="CG1333" s="204"/>
      <c r="CH1333" s="205"/>
      <c r="CI1333" s="121"/>
      <c r="CJ1333" s="183"/>
      <c r="CK1333" s="183"/>
      <c r="CL1333" s="183"/>
      <c r="CM1333" s="183"/>
      <c r="CN1333" s="118"/>
      <c r="CO1333" s="118"/>
      <c r="CP1333" s="186"/>
      <c r="CQ1333" s="118"/>
      <c r="CR1333" s="119"/>
      <c r="CS1333" s="119"/>
      <c r="CT1333" s="177"/>
      <c r="CU1333" s="177"/>
      <c r="CV1333" s="177"/>
      <c r="CW1333" s="177"/>
      <c r="CX1333" s="177"/>
      <c r="CY1333" s="177"/>
      <c r="CZ1333" s="177"/>
      <c r="DA1333" s="187"/>
      <c r="DB1333" s="183"/>
      <c r="DC1333" s="183"/>
      <c r="DD1333" s="183"/>
      <c r="DE1333" s="183"/>
      <c r="DF1333" s="183"/>
      <c r="DG1333" s="183"/>
      <c r="DH1333" s="183"/>
      <c r="DI1333" s="183"/>
      <c r="DJ1333" s="183"/>
      <c r="DK1333" s="183"/>
      <c r="DL1333" s="183"/>
      <c r="DM1333" s="189"/>
      <c r="DN1333" s="183"/>
      <c r="DO1333" s="177"/>
      <c r="DP1333" s="183"/>
    </row>
    <row r="1334" spans="1:137" ht="21" x14ac:dyDescent="0.35">
      <c r="N1334" s="38"/>
      <c r="V1334" s="73"/>
      <c r="W1334" s="73"/>
      <c r="X1334" s="94"/>
      <c r="Y1334" s="73"/>
      <c r="Z1334" s="81"/>
      <c r="AA1334" s="73"/>
      <c r="AB1334" s="73"/>
      <c r="AC1334" s="73"/>
      <c r="AD1334" s="81"/>
      <c r="AE1334" s="73"/>
      <c r="AF1334" s="73"/>
      <c r="AG1334" s="93"/>
      <c r="AH1334" s="81"/>
      <c r="AI1334" s="81"/>
      <c r="AJ1334" s="93"/>
      <c r="AK1334" s="93"/>
      <c r="AL1334" s="83"/>
      <c r="AM1334" s="83"/>
      <c r="AN1334" s="83"/>
      <c r="AO1334" s="82"/>
      <c r="AP1334" s="82"/>
      <c r="AQ1334" s="81"/>
      <c r="AR1334" s="82"/>
      <c r="AS1334" s="82"/>
      <c r="AT1334" s="82"/>
      <c r="AU1334" s="82"/>
      <c r="AV1334" s="82"/>
      <c r="AW1334" s="82"/>
      <c r="AX1334" s="82"/>
      <c r="AY1334" s="82"/>
      <c r="AZ1334" s="69"/>
      <c r="BA1334" s="72"/>
      <c r="BB1334" s="72"/>
      <c r="BC1334" s="94"/>
      <c r="BD1334" s="72"/>
      <c r="BE1334" s="72"/>
      <c r="BF1334" s="72"/>
      <c r="BG1334" s="87"/>
      <c r="BH1334" s="87"/>
      <c r="BI1334" s="87"/>
      <c r="BJ1334" s="87"/>
      <c r="BK1334" s="87"/>
      <c r="BL1334" s="87"/>
      <c r="BM1334" s="87"/>
      <c r="BN1334" s="87"/>
      <c r="BO1334" s="87"/>
      <c r="BP1334" s="87"/>
      <c r="BQ1334" s="86"/>
      <c r="BR1334" s="86"/>
      <c r="BS1334" s="86"/>
      <c r="BT1334" s="86"/>
      <c r="BU1334" s="86"/>
      <c r="BV1334" s="86"/>
      <c r="BW1334" s="86"/>
      <c r="BX1334" s="86"/>
      <c r="BY1334" s="86"/>
      <c r="BZ1334" s="86"/>
      <c r="CA1334" s="86"/>
      <c r="CB1334" s="86"/>
      <c r="CC1334" s="86"/>
      <c r="CD1334" s="86"/>
      <c r="CE1334" s="86"/>
      <c r="CF1334" s="86"/>
      <c r="CG1334" s="86"/>
      <c r="CH1334" s="86"/>
      <c r="CI1334" s="68"/>
      <c r="CJ1334" s="69"/>
      <c r="CK1334" s="69"/>
      <c r="CL1334" s="69"/>
      <c r="CM1334" s="69"/>
      <c r="CN1334" s="64"/>
      <c r="CO1334" s="64"/>
      <c r="CP1334" s="70"/>
      <c r="CQ1334" s="64"/>
      <c r="CR1334" s="71"/>
      <c r="CS1334" s="71"/>
      <c r="CT1334" s="72"/>
      <c r="CU1334" s="72"/>
      <c r="CV1334" s="72"/>
      <c r="CW1334" s="72"/>
      <c r="CX1334" s="72"/>
      <c r="CY1334" s="72"/>
      <c r="CZ1334" s="72"/>
      <c r="DA1334" s="124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75"/>
      <c r="DN1334" s="69"/>
      <c r="DO1334" s="72"/>
      <c r="DP1334" s="69"/>
    </row>
    <row r="1335" spans="1:137" ht="23.25" x14ac:dyDescent="0.35">
      <c r="I1335" s="129"/>
      <c r="J1335" s="129" t="s">
        <v>565</v>
      </c>
      <c r="K1335" s="129"/>
      <c r="L1335" s="129"/>
      <c r="M1335" s="129"/>
      <c r="N1335" s="160"/>
      <c r="O1335" s="129"/>
      <c r="P1335" s="129" t="s">
        <v>541</v>
      </c>
      <c r="Q1335" s="129"/>
      <c r="R1335" s="129" t="s">
        <v>534</v>
      </c>
      <c r="S1335" s="129"/>
      <c r="T1335" s="129"/>
      <c r="U1335" s="129"/>
      <c r="V1335" s="73"/>
      <c r="W1335" s="73"/>
      <c r="X1335" s="94"/>
      <c r="Y1335" s="73"/>
      <c r="Z1335" s="81"/>
      <c r="AA1335" s="73"/>
      <c r="AB1335" s="73"/>
      <c r="AC1335" s="73"/>
      <c r="AD1335" s="81"/>
      <c r="AE1335" s="73"/>
      <c r="AF1335" s="73"/>
      <c r="AG1335" s="93"/>
      <c r="AH1335" s="81"/>
      <c r="AI1335" s="81"/>
      <c r="AJ1335" s="93"/>
      <c r="AK1335" s="93"/>
      <c r="AL1335" s="83"/>
      <c r="AM1335" s="83"/>
      <c r="AN1335" s="83"/>
      <c r="AO1335" s="82"/>
      <c r="AP1335" s="82"/>
      <c r="AQ1335" s="81"/>
      <c r="AR1335" s="82"/>
      <c r="AS1335" s="82"/>
      <c r="AT1335" s="82"/>
      <c r="AU1335" s="82"/>
      <c r="AV1335" s="82"/>
      <c r="AW1335" s="82"/>
      <c r="AX1335" s="82"/>
      <c r="AY1335" s="82"/>
      <c r="AZ1335" s="69"/>
      <c r="BA1335" s="72"/>
      <c r="BB1335" s="72"/>
      <c r="BC1335" s="94"/>
      <c r="BD1335" s="72"/>
      <c r="BE1335" s="72"/>
      <c r="BF1335" s="72"/>
      <c r="BG1335" s="85"/>
      <c r="BH1335" s="85"/>
      <c r="BI1335" s="85"/>
      <c r="BJ1335" s="85"/>
      <c r="BK1335" s="85"/>
      <c r="BL1335" s="85"/>
      <c r="BM1335" s="85"/>
      <c r="BN1335" s="85"/>
      <c r="BO1335" s="85"/>
      <c r="BP1335" s="85"/>
      <c r="BQ1335" s="84"/>
      <c r="BR1335" s="84"/>
      <c r="BS1335" s="84"/>
      <c r="BT1335" s="84"/>
      <c r="BU1335" s="84"/>
      <c r="BV1335" s="84"/>
      <c r="BW1335" s="84"/>
      <c r="BX1335" s="84"/>
      <c r="BY1335" s="84"/>
      <c r="BZ1335" s="84"/>
      <c r="CA1335" s="84"/>
      <c r="CB1335" s="84"/>
      <c r="CC1335" s="84"/>
      <c r="CD1335" s="84"/>
      <c r="CE1335" s="84"/>
      <c r="CF1335" s="84"/>
      <c r="CG1335" s="84"/>
      <c r="CH1335" s="84"/>
      <c r="CI1335" s="68"/>
      <c r="CJ1335" s="69"/>
      <c r="CK1335" s="69"/>
      <c r="CL1335" s="69"/>
      <c r="CM1335" s="69"/>
      <c r="CN1335" s="64"/>
      <c r="CO1335" s="64"/>
      <c r="CP1335" s="70"/>
      <c r="CQ1335" s="64"/>
      <c r="CR1335" s="71"/>
      <c r="CS1335" s="71"/>
      <c r="CT1335" s="72"/>
      <c r="CU1335" s="72"/>
      <c r="CV1335" s="72"/>
      <c r="CW1335" s="72"/>
      <c r="CX1335" s="72"/>
      <c r="CY1335" s="72"/>
      <c r="CZ1335" s="72"/>
      <c r="DA1335" s="124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75"/>
      <c r="DN1335" s="69"/>
      <c r="DO1335" s="72"/>
      <c r="DP1335" s="69"/>
    </row>
    <row r="1336" spans="1:137" ht="21" x14ac:dyDescent="0.35">
      <c r="I1336"/>
      <c r="N1336" s="38"/>
      <c r="R1336" s="69"/>
      <c r="S1336" s="69"/>
      <c r="T1336" s="69"/>
      <c r="U1336" s="69"/>
      <c r="V1336" s="73"/>
      <c r="W1336" s="73"/>
      <c r="X1336" s="94"/>
      <c r="Y1336" s="73"/>
      <c r="Z1336" s="81"/>
      <c r="AA1336" s="73"/>
      <c r="AB1336" s="73"/>
      <c r="AC1336" s="73"/>
      <c r="AD1336" s="81"/>
      <c r="AE1336" s="73"/>
      <c r="AF1336" s="73"/>
      <c r="AG1336" s="93"/>
      <c r="AH1336" s="81"/>
      <c r="AI1336" s="81"/>
      <c r="AJ1336" s="93"/>
      <c r="AK1336" s="93"/>
      <c r="AL1336" s="83"/>
      <c r="AM1336" s="83"/>
      <c r="AN1336" s="83"/>
      <c r="AO1336" s="82"/>
      <c r="AP1336" s="82"/>
      <c r="AQ1336" s="81"/>
      <c r="AR1336" s="82"/>
      <c r="AS1336" s="82"/>
      <c r="AT1336" s="82"/>
      <c r="AU1336" s="82"/>
      <c r="AV1336" s="82"/>
      <c r="AW1336" s="82"/>
      <c r="AX1336" s="82"/>
      <c r="AY1336" s="82"/>
      <c r="AZ1336" s="69"/>
      <c r="BA1336" s="72"/>
      <c r="BB1336" s="72"/>
      <c r="BC1336" s="94"/>
      <c r="BD1336" s="72"/>
      <c r="BE1336" s="72"/>
      <c r="BF1336" s="72"/>
      <c r="BG1336" s="65"/>
      <c r="BH1336" s="65"/>
      <c r="BI1336" s="65"/>
      <c r="BJ1336" s="65"/>
      <c r="BK1336" s="65"/>
      <c r="BL1336" s="65"/>
      <c r="BM1336" s="65"/>
      <c r="BN1336" s="65"/>
      <c r="BO1336" s="65"/>
      <c r="BP1336" s="65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8"/>
      <c r="CJ1336" s="69"/>
      <c r="CK1336" s="69"/>
      <c r="CL1336" s="69"/>
      <c r="CM1336" s="69"/>
      <c r="CN1336" s="64"/>
      <c r="CO1336" s="64"/>
      <c r="CP1336" s="70"/>
      <c r="CQ1336" s="64"/>
      <c r="CR1336" s="71"/>
      <c r="CS1336" s="71"/>
      <c r="CT1336" s="72"/>
      <c r="CU1336" s="72"/>
      <c r="CV1336" s="72"/>
      <c r="CW1336" s="72"/>
      <c r="CX1336" s="72"/>
      <c r="CY1336" s="72"/>
      <c r="CZ1336" s="72"/>
      <c r="DA1336" s="124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75"/>
      <c r="DN1336" s="69"/>
      <c r="DO1336" s="72"/>
      <c r="DP1336" s="69"/>
      <c r="DQ1336" s="72"/>
    </row>
    <row r="1337" spans="1:137" ht="21" x14ac:dyDescent="0.35">
      <c r="I1337" s="69" t="s">
        <v>532</v>
      </c>
      <c r="J1337" s="69"/>
      <c r="K1337" s="69"/>
      <c r="L1337" s="69" t="s">
        <v>532</v>
      </c>
      <c r="M1337" s="69"/>
      <c r="N1337" s="67"/>
      <c r="O1337" s="69"/>
      <c r="P1337" s="69"/>
      <c r="Q1337" s="69"/>
      <c r="R1337" s="69"/>
      <c r="S1337" s="69"/>
      <c r="T1337" s="69"/>
      <c r="U1337" s="69"/>
      <c r="Z1337" s="81"/>
      <c r="AH1337" s="33"/>
      <c r="AI1337" s="33"/>
      <c r="AJ1337" s="93"/>
      <c r="AK1337" s="93"/>
      <c r="AP1337" s="82"/>
      <c r="AQ1337" s="81"/>
      <c r="AR1337" s="82"/>
      <c r="AS1337" s="82"/>
      <c r="AT1337" s="82"/>
      <c r="AU1337" s="82"/>
      <c r="AV1337" s="82"/>
      <c r="AW1337" s="82"/>
      <c r="AX1337" s="82"/>
      <c r="AY1337" s="82"/>
      <c r="AZ1337" s="69"/>
      <c r="BA1337" s="72"/>
      <c r="BB1337" s="72"/>
      <c r="BC1337" s="94"/>
      <c r="BD1337" s="72"/>
      <c r="BE1337" s="72"/>
      <c r="BF1337" s="72"/>
      <c r="BG1337" s="65"/>
      <c r="BH1337" s="65"/>
      <c r="BI1337" s="65"/>
      <c r="BJ1337" s="65"/>
      <c r="BK1337" s="65"/>
      <c r="BL1337" s="65"/>
      <c r="BM1337" s="65"/>
      <c r="BN1337" s="65"/>
      <c r="BO1337" s="65"/>
      <c r="BP1337" s="65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8"/>
      <c r="CJ1337" s="69"/>
      <c r="CK1337" s="69"/>
      <c r="CL1337" s="69"/>
      <c r="CM1337" s="69"/>
      <c r="CN1337" s="64"/>
      <c r="CO1337" s="64"/>
      <c r="CP1337" s="70"/>
      <c r="CQ1337" s="64"/>
      <c r="CR1337" s="71"/>
      <c r="CS1337" s="71"/>
      <c r="CT1337" s="72"/>
      <c r="CU1337" s="72"/>
      <c r="CV1337" s="72"/>
      <c r="CW1337" s="72"/>
      <c r="CX1337" s="72"/>
      <c r="CY1337" s="72"/>
      <c r="CZ1337" s="72"/>
      <c r="DA1337" s="124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75"/>
      <c r="DN1337" s="69"/>
      <c r="DO1337" s="72"/>
      <c r="DP1337" s="69"/>
      <c r="DQ1337" s="72"/>
    </row>
    <row r="1338" spans="1:137" ht="21" x14ac:dyDescent="0.35">
      <c r="B1338" s="69" t="s">
        <v>530</v>
      </c>
      <c r="I1338" s="69" t="s">
        <v>531</v>
      </c>
      <c r="J1338" s="69"/>
      <c r="K1338" s="69" t="s">
        <v>533</v>
      </c>
      <c r="L1338" s="69" t="s">
        <v>531</v>
      </c>
      <c r="M1338" s="69"/>
      <c r="N1338" s="67"/>
      <c r="O1338" s="69"/>
      <c r="P1338" s="69" t="s">
        <v>533</v>
      </c>
      <c r="Q1338" s="69" t="s">
        <v>533</v>
      </c>
      <c r="R1338" s="69" t="s">
        <v>549</v>
      </c>
      <c r="S1338" s="69"/>
      <c r="T1338" s="69"/>
      <c r="U1338" s="69"/>
      <c r="Z1338" s="81"/>
      <c r="AH1338" s="33"/>
      <c r="AI1338" s="33"/>
      <c r="AJ1338" s="93"/>
      <c r="AK1338" s="93"/>
      <c r="AP1338" s="82"/>
      <c r="AQ1338" s="81"/>
      <c r="AR1338" s="82"/>
      <c r="AS1338" s="82"/>
      <c r="AT1338" s="82"/>
      <c r="AU1338" s="82"/>
      <c r="AV1338" s="82"/>
      <c r="AW1338" s="82"/>
      <c r="AX1338" s="82"/>
      <c r="AY1338" s="82"/>
      <c r="AZ1338" s="69"/>
      <c r="BA1338" s="72"/>
      <c r="BB1338" s="72"/>
      <c r="BC1338" s="94"/>
      <c r="BD1338" s="72"/>
      <c r="BE1338" s="72"/>
      <c r="BF1338" s="72"/>
      <c r="BG1338" s="65"/>
      <c r="BH1338" s="65"/>
      <c r="BI1338" s="65"/>
      <c r="BJ1338" s="65"/>
      <c r="BK1338" s="65"/>
      <c r="BL1338" s="65"/>
      <c r="BM1338" s="65"/>
      <c r="BN1338" s="65"/>
      <c r="BO1338" s="65"/>
      <c r="BP1338" s="65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97"/>
      <c r="CJ1338" s="69"/>
      <c r="CK1338" s="69"/>
      <c r="CL1338" s="69"/>
      <c r="CM1338" s="69"/>
      <c r="CN1338" s="80"/>
      <c r="CO1338" s="80"/>
      <c r="CP1338" s="98"/>
      <c r="CQ1338" s="80"/>
      <c r="CR1338" s="99"/>
      <c r="CS1338" s="99"/>
      <c r="CT1338" s="72"/>
      <c r="CU1338" s="72"/>
      <c r="CV1338" s="72"/>
      <c r="CW1338" s="72"/>
      <c r="CX1338" s="72"/>
      <c r="CY1338" s="72"/>
      <c r="CZ1338" s="72"/>
      <c r="DA1338" s="124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116"/>
      <c r="DN1338" s="69"/>
      <c r="DO1338" s="72"/>
      <c r="DP1338" s="69"/>
      <c r="DQ1338" s="72"/>
    </row>
    <row r="1339" spans="1:137" ht="21" x14ac:dyDescent="0.35">
      <c r="G1339" s="93">
        <v>1998</v>
      </c>
      <c r="I1339" s="94"/>
      <c r="J1339" s="125">
        <v>1</v>
      </c>
      <c r="K1339" s="94">
        <v>2515.325262156442</v>
      </c>
      <c r="L1339" s="69"/>
      <c r="M1339" s="69"/>
      <c r="N1339" s="67"/>
      <c r="O1339" s="69"/>
      <c r="P1339" s="69">
        <v>1435</v>
      </c>
      <c r="Q1339" s="94">
        <f t="shared" ref="Q1339:Q1362" si="4006">+P1339+K1339</f>
        <v>3950.325262156442</v>
      </c>
      <c r="R1339" s="72"/>
      <c r="S1339" s="72"/>
      <c r="T1339" s="72"/>
      <c r="U1339" s="72"/>
      <c r="Z1339" s="81"/>
      <c r="AH1339" s="33"/>
      <c r="AI1339" s="33"/>
      <c r="AJ1339" s="68"/>
      <c r="AK1339" s="68"/>
      <c r="AP1339" s="65"/>
      <c r="AQ1339" s="81"/>
      <c r="AR1339" s="82"/>
      <c r="AS1339" s="82"/>
      <c r="AT1339" s="82"/>
      <c r="AU1339" s="82"/>
      <c r="AV1339" s="82"/>
      <c r="AW1339" s="82"/>
      <c r="AX1339" s="82"/>
      <c r="AY1339" s="82"/>
      <c r="AZ1339" s="69"/>
      <c r="BA1339" s="72"/>
      <c r="BB1339" s="72"/>
      <c r="BC1339" s="94"/>
      <c r="BD1339" s="72"/>
      <c r="BE1339" s="72"/>
      <c r="BF1339" s="72"/>
      <c r="BG1339" s="65"/>
      <c r="BH1339" s="65"/>
      <c r="BI1339" s="65"/>
      <c r="BJ1339" s="65"/>
      <c r="BK1339" s="65"/>
      <c r="BL1339" s="65"/>
      <c r="BM1339" s="65"/>
      <c r="BN1339" s="65"/>
      <c r="BO1339" s="65"/>
      <c r="BP1339" s="65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97"/>
      <c r="CJ1339" s="69"/>
      <c r="CK1339" s="69"/>
      <c r="CL1339" s="69"/>
      <c r="CM1339" s="69"/>
      <c r="CN1339" s="80"/>
      <c r="CO1339" s="80"/>
      <c r="CP1339" s="98"/>
      <c r="CQ1339" s="80"/>
      <c r="CR1339" s="99"/>
      <c r="CS1339" s="99"/>
      <c r="CT1339" s="72"/>
      <c r="CU1339" s="72"/>
      <c r="CV1339" s="72"/>
      <c r="CW1339" s="72"/>
      <c r="CX1339" s="72"/>
      <c r="CY1339" s="72"/>
      <c r="CZ1339" s="72"/>
      <c r="DA1339" s="124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116"/>
      <c r="DN1339" s="69"/>
      <c r="DO1339" s="72"/>
      <c r="DP1339" s="69"/>
      <c r="DQ1339" s="72"/>
    </row>
    <row r="1340" spans="1:137" ht="21" x14ac:dyDescent="0.35">
      <c r="G1340" s="93">
        <f>+G1339+1</f>
        <v>1999</v>
      </c>
      <c r="I1340" s="94">
        <v>135.64750960263308</v>
      </c>
      <c r="J1340" s="125">
        <v>0.99502487562189057</v>
      </c>
      <c r="K1340" s="94">
        <v>2638.4587157284459</v>
      </c>
      <c r="L1340" s="93">
        <v>72.407367830803565</v>
      </c>
      <c r="M1340" s="93"/>
      <c r="N1340" s="65"/>
      <c r="O1340" s="93"/>
      <c r="P1340" s="94">
        <v>1500.3154454745925</v>
      </c>
      <c r="Q1340" s="94">
        <f t="shared" si="4006"/>
        <v>4138.7741612030386</v>
      </c>
      <c r="R1340" s="72">
        <f>LN(Q1340/Q1339)</f>
        <v>4.6601727291670149E-2</v>
      </c>
      <c r="S1340" s="72"/>
      <c r="T1340" s="72"/>
      <c r="U1340" s="72"/>
      <c r="Z1340" s="81"/>
      <c r="AH1340" s="33"/>
      <c r="AI1340" s="33"/>
      <c r="AJ1340" s="105">
        <f>+AH1340*AG1340</f>
        <v>0</v>
      </c>
      <c r="AK1340" s="105">
        <f>+AI1340*AG1340</f>
        <v>0</v>
      </c>
      <c r="AP1340" s="65"/>
      <c r="AQ1340" s="81"/>
      <c r="AR1340" s="72"/>
      <c r="AS1340" s="72"/>
      <c r="AT1340" s="72"/>
      <c r="AU1340" s="72"/>
      <c r="AV1340" s="72"/>
      <c r="AW1340" s="82"/>
      <c r="AX1340" s="82"/>
      <c r="AY1340" s="82"/>
      <c r="AZ1340" s="69"/>
      <c r="BA1340" s="72"/>
      <c r="BB1340" s="72"/>
      <c r="BC1340" s="94"/>
      <c r="BD1340" s="72"/>
      <c r="BE1340" s="72"/>
      <c r="BF1340" s="72"/>
      <c r="BG1340" s="65"/>
      <c r="BH1340" s="65"/>
      <c r="BI1340" s="65"/>
      <c r="BJ1340" s="65"/>
      <c r="BK1340" s="65"/>
      <c r="BL1340" s="65"/>
      <c r="BM1340" s="65"/>
      <c r="BN1340" s="65"/>
      <c r="BO1340" s="65"/>
      <c r="BP1340" s="65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97"/>
      <c r="CJ1340" s="69"/>
      <c r="CK1340" s="69"/>
      <c r="CL1340" s="69"/>
      <c r="CM1340" s="69"/>
      <c r="CN1340" s="80"/>
      <c r="CO1340" s="80"/>
      <c r="CP1340" s="98"/>
      <c r="CQ1340" s="80"/>
      <c r="CR1340" s="99"/>
      <c r="CS1340" s="99"/>
      <c r="CT1340" s="72"/>
      <c r="CU1340" s="72"/>
      <c r="CV1340" s="72"/>
      <c r="CW1340" s="72"/>
      <c r="CX1340" s="72"/>
      <c r="CY1340" s="72"/>
      <c r="CZ1340" s="72"/>
      <c r="DA1340" s="124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116"/>
      <c r="DN1340" s="69"/>
      <c r="DO1340" s="72"/>
      <c r="DP1340" s="69"/>
      <c r="DQ1340" s="72"/>
    </row>
    <row r="1341" spans="1:137" ht="21" x14ac:dyDescent="0.35">
      <c r="G1341" s="93">
        <f t="shared" ref="G1341:G1362" si="4007">+G1340+1</f>
        <v>2000</v>
      </c>
      <c r="I1341" s="94">
        <v>174.11581296997795</v>
      </c>
      <c r="J1341" s="125">
        <v>0.98989898989898994</v>
      </c>
      <c r="K1341" s="94">
        <v>2799.0063956168315</v>
      </c>
      <c r="L1341" s="93">
        <v>36.816042260486583</v>
      </c>
      <c r="M1341" s="93"/>
      <c r="N1341" s="65"/>
      <c r="O1341" s="93"/>
      <c r="P1341" s="94">
        <v>1529.4153619772762</v>
      </c>
      <c r="Q1341" s="94">
        <f t="shared" si="4006"/>
        <v>4328.4217575941075</v>
      </c>
      <c r="R1341" s="72">
        <f t="shared" ref="R1341:R1362" si="4008">LN(Q1341/Q1340)</f>
        <v>4.4803337744407895E-2</v>
      </c>
      <c r="S1341" s="72"/>
      <c r="T1341" s="72"/>
      <c r="U1341" s="72"/>
      <c r="Z1341" s="81"/>
      <c r="AH1341" s="33"/>
      <c r="AI1341" s="33"/>
      <c r="AJ1341" s="105">
        <f t="shared" ref="AJ1341:AJ1355" si="4009">+AH1341*AG1341</f>
        <v>0</v>
      </c>
      <c r="AK1341" s="105">
        <f t="shared" ref="AK1341:AK1355" si="4010">+AI1341*AG1341</f>
        <v>0</v>
      </c>
      <c r="AP1341" s="65"/>
      <c r="AQ1341" s="81"/>
      <c r="AR1341" s="72"/>
      <c r="AS1341" s="72"/>
      <c r="AT1341" s="72"/>
      <c r="AU1341" s="72"/>
      <c r="AV1341" s="72"/>
      <c r="AW1341" s="82"/>
      <c r="AX1341" s="82"/>
      <c r="AY1341" s="82"/>
      <c r="AZ1341" s="69"/>
      <c r="BA1341" s="72"/>
      <c r="BB1341" s="72"/>
      <c r="BC1341" s="94"/>
      <c r="BD1341" s="72"/>
      <c r="BE1341" s="72"/>
      <c r="BF1341" s="72"/>
      <c r="BG1341" s="65"/>
      <c r="BH1341" s="65"/>
      <c r="BI1341" s="65"/>
      <c r="BJ1341" s="65"/>
      <c r="BK1341" s="65"/>
      <c r="BL1341" s="65"/>
      <c r="BM1341" s="65"/>
      <c r="BN1341" s="65"/>
      <c r="BO1341" s="65"/>
      <c r="BP1341" s="65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97"/>
      <c r="CJ1341" s="69"/>
      <c r="CK1341" s="69"/>
      <c r="CL1341" s="69"/>
      <c r="CM1341" s="69"/>
      <c r="CN1341" s="80"/>
      <c r="CO1341" s="80"/>
      <c r="CP1341" s="98"/>
      <c r="CQ1341" s="80"/>
      <c r="CR1341" s="99"/>
      <c r="CS1341" s="99"/>
      <c r="CT1341" s="72"/>
      <c r="CU1341" s="72"/>
      <c r="CV1341" s="72"/>
      <c r="CW1341" s="72"/>
      <c r="CX1341" s="72"/>
      <c r="CY1341" s="72"/>
      <c r="CZ1341" s="72"/>
      <c r="DA1341" s="124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116"/>
      <c r="DN1341" s="69"/>
      <c r="DO1341" s="72"/>
      <c r="DP1341" s="69"/>
      <c r="DQ1341" s="72"/>
    </row>
    <row r="1342" spans="1:137" ht="21" x14ac:dyDescent="0.35">
      <c r="G1342" s="93">
        <f t="shared" si="4007"/>
        <v>2001</v>
      </c>
      <c r="I1342" s="94">
        <v>291.67000742517013</v>
      </c>
      <c r="J1342" s="125">
        <v>0.98461538461538467</v>
      </c>
      <c r="K1342" s="94">
        <v>3076.6911035640669</v>
      </c>
      <c r="L1342" s="93">
        <v>65.964557407293057</v>
      </c>
      <c r="M1342" s="93"/>
      <c r="N1342" s="65"/>
      <c r="O1342" s="93"/>
      <c r="P1342" s="94">
        <v>1587.4265423147135</v>
      </c>
      <c r="Q1342" s="94">
        <f t="shared" si="4006"/>
        <v>4664.1176458787804</v>
      </c>
      <c r="R1342" s="72">
        <f t="shared" si="4008"/>
        <v>7.4695687566397162E-2</v>
      </c>
      <c r="S1342" s="72"/>
      <c r="T1342" s="72"/>
      <c r="U1342" s="72"/>
      <c r="Z1342" s="81"/>
      <c r="AH1342" s="33"/>
      <c r="AI1342" s="33"/>
      <c r="AJ1342" s="105">
        <f t="shared" si="4009"/>
        <v>0</v>
      </c>
      <c r="AK1342" s="105">
        <f t="shared" si="4010"/>
        <v>0</v>
      </c>
      <c r="AP1342" s="65"/>
      <c r="AQ1342" s="81"/>
      <c r="AR1342" s="72"/>
      <c r="AS1342" s="72"/>
      <c r="AT1342" s="72"/>
      <c r="AU1342" s="72"/>
      <c r="AV1342" s="72"/>
      <c r="AW1342" s="82"/>
      <c r="AX1342" s="82"/>
      <c r="AY1342" s="82"/>
      <c r="AZ1342" s="69"/>
      <c r="BA1342" s="72"/>
      <c r="BB1342" s="72"/>
      <c r="BC1342" s="94"/>
      <c r="BD1342" s="72"/>
      <c r="BE1342" s="72"/>
      <c r="BF1342" s="72"/>
      <c r="BG1342" s="65"/>
      <c r="BH1342" s="65"/>
      <c r="BI1342" s="65"/>
      <c r="BJ1342" s="65"/>
      <c r="BK1342" s="65"/>
      <c r="BL1342" s="65"/>
      <c r="BM1342" s="65"/>
      <c r="BN1342" s="65"/>
      <c r="BO1342" s="65"/>
      <c r="BP1342" s="65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97"/>
      <c r="CJ1342" s="69"/>
      <c r="CK1342" s="69"/>
      <c r="CL1342" s="69"/>
      <c r="CM1342" s="69"/>
      <c r="CN1342" s="80"/>
      <c r="CO1342" s="80"/>
      <c r="CP1342" s="98"/>
      <c r="CQ1342" s="80"/>
      <c r="CR1342" s="99"/>
      <c r="CS1342" s="99"/>
      <c r="CT1342" s="72"/>
      <c r="CU1342" s="72"/>
      <c r="CV1342" s="72"/>
      <c r="CW1342" s="72"/>
      <c r="CX1342" s="72"/>
      <c r="CY1342" s="72"/>
      <c r="CZ1342" s="72"/>
      <c r="DA1342" s="124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116"/>
      <c r="DN1342" s="69"/>
      <c r="DO1342" s="72"/>
      <c r="DP1342" s="69"/>
      <c r="DQ1342" s="72"/>
    </row>
    <row r="1343" spans="1:137" ht="21" x14ac:dyDescent="0.35">
      <c r="G1343" s="93">
        <f t="shared" si="4007"/>
        <v>2002</v>
      </c>
      <c r="I1343" s="94">
        <v>276.44252682742581</v>
      </c>
      <c r="J1343" s="125">
        <v>0.97916666666666663</v>
      </c>
      <c r="K1343" s="94">
        <v>3335.5017844404128</v>
      </c>
      <c r="L1343" s="93">
        <v>57.902604701179577</v>
      </c>
      <c r="M1343" s="93"/>
      <c r="N1343" s="65"/>
      <c r="O1343" s="93"/>
      <c r="P1343" s="94">
        <v>1636.4273442586139</v>
      </c>
      <c r="Q1343" s="94">
        <f t="shared" si="4006"/>
        <v>4971.9291286990265</v>
      </c>
      <c r="R1343" s="72">
        <f t="shared" si="4008"/>
        <v>6.3909246488727617E-2</v>
      </c>
      <c r="S1343" s="72"/>
      <c r="T1343" s="72"/>
      <c r="U1343" s="72"/>
      <c r="Z1343" s="81"/>
      <c r="AH1343" s="33"/>
      <c r="AI1343" s="33"/>
      <c r="AJ1343" s="105">
        <f t="shared" si="4009"/>
        <v>0</v>
      </c>
      <c r="AK1343" s="105">
        <f t="shared" si="4010"/>
        <v>0</v>
      </c>
      <c r="AP1343" s="65"/>
      <c r="AQ1343" s="81"/>
      <c r="AR1343" s="72"/>
      <c r="AS1343" s="72"/>
      <c r="AT1343" s="72"/>
      <c r="AU1343" s="72"/>
      <c r="AV1343" s="72"/>
      <c r="AW1343" s="82"/>
      <c r="AX1343" s="82"/>
      <c r="AY1343" s="82"/>
      <c r="AZ1343" s="69"/>
      <c r="BA1343" s="72"/>
      <c r="BB1343" s="72"/>
      <c r="BC1343" s="94"/>
      <c r="BD1343" s="72"/>
      <c r="BE1343" s="72"/>
      <c r="BF1343" s="72"/>
      <c r="BG1343" s="65"/>
      <c r="BH1343" s="65"/>
      <c r="BI1343" s="65"/>
      <c r="BJ1343" s="65"/>
      <c r="BK1343" s="65"/>
      <c r="BL1343" s="65"/>
      <c r="BM1343" s="65"/>
      <c r="BN1343" s="65"/>
      <c r="BO1343" s="65"/>
      <c r="BP1343" s="65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97"/>
      <c r="CJ1343" s="69"/>
      <c r="CK1343" s="69"/>
      <c r="CL1343" s="69"/>
      <c r="CM1343" s="69"/>
      <c r="CN1343" s="80"/>
      <c r="CO1343" s="80"/>
      <c r="CP1343" s="98"/>
      <c r="CQ1343" s="80"/>
      <c r="CR1343" s="99"/>
      <c r="CS1343" s="99"/>
      <c r="CT1343" s="72"/>
      <c r="CU1343" s="72"/>
      <c r="CV1343" s="72"/>
      <c r="CW1343" s="72"/>
      <c r="CX1343" s="72"/>
      <c r="CY1343" s="72"/>
      <c r="CZ1343" s="72"/>
      <c r="DA1343" s="124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116"/>
      <c r="DN1343" s="69"/>
      <c r="DO1343" s="72"/>
      <c r="DP1343" s="69"/>
      <c r="DQ1343" s="72"/>
    </row>
    <row r="1344" spans="1:137" ht="21" x14ac:dyDescent="0.35">
      <c r="G1344" s="93">
        <f t="shared" si="4007"/>
        <v>2003</v>
      </c>
      <c r="I1344" s="94">
        <v>117.06970589690225</v>
      </c>
      <c r="J1344" s="125">
        <v>0.97354497354497349</v>
      </c>
      <c r="K1344" s="94">
        <v>3433.9016362813663</v>
      </c>
      <c r="L1344" s="93">
        <v>31.652099496069415</v>
      </c>
      <c r="M1344" s="93"/>
      <c r="N1344" s="65"/>
      <c r="O1344" s="93"/>
      <c r="P1344" s="94">
        <v>1658.7967982277257</v>
      </c>
      <c r="Q1344" s="94">
        <f t="shared" si="4006"/>
        <v>5092.6984345090923</v>
      </c>
      <c r="R1344" s="72">
        <f t="shared" si="4008"/>
        <v>2.3999914926112028E-2</v>
      </c>
      <c r="S1344" s="72"/>
      <c r="T1344" s="72"/>
      <c r="U1344" s="72"/>
      <c r="Z1344" s="81"/>
      <c r="AH1344" s="33"/>
      <c r="AI1344" s="33"/>
      <c r="AJ1344" s="105">
        <f t="shared" si="4009"/>
        <v>0</v>
      </c>
      <c r="AK1344" s="105">
        <f t="shared" si="4010"/>
        <v>0</v>
      </c>
      <c r="AP1344" s="65"/>
      <c r="AQ1344" s="81"/>
      <c r="AR1344" s="72"/>
      <c r="AS1344" s="72"/>
      <c r="AT1344" s="72"/>
      <c r="AU1344" s="72"/>
      <c r="AV1344" s="72"/>
      <c r="AW1344" s="82"/>
      <c r="AX1344" s="82"/>
      <c r="AY1344" s="82"/>
      <c r="AZ1344" s="69"/>
      <c r="BA1344" s="72"/>
      <c r="BB1344" s="72"/>
      <c r="BC1344" s="94"/>
      <c r="BD1344" s="72"/>
      <c r="BE1344" s="72"/>
      <c r="BF1344" s="72"/>
      <c r="BG1344" s="65"/>
      <c r="BH1344" s="65"/>
      <c r="BI1344" s="65"/>
      <c r="BJ1344" s="65"/>
      <c r="BK1344" s="65"/>
      <c r="BL1344" s="65"/>
      <c r="BM1344" s="65"/>
      <c r="BN1344" s="65"/>
      <c r="BO1344" s="65"/>
      <c r="BP1344" s="65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97"/>
      <c r="CJ1344" s="69"/>
      <c r="CK1344" s="69"/>
      <c r="CL1344" s="69"/>
      <c r="CM1344" s="69"/>
      <c r="CN1344" s="80"/>
      <c r="CO1344" s="80"/>
      <c r="CP1344" s="98"/>
      <c r="CQ1344" s="80"/>
      <c r="CR1344" s="99"/>
      <c r="CS1344" s="99"/>
      <c r="CT1344" s="72"/>
      <c r="CU1344" s="72"/>
      <c r="CV1344" s="72"/>
      <c r="CW1344" s="72"/>
      <c r="CX1344" s="72"/>
      <c r="CY1344" s="72"/>
      <c r="CZ1344" s="72"/>
      <c r="DA1344" s="124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116"/>
      <c r="DN1344" s="69"/>
      <c r="DO1344" s="72"/>
      <c r="DP1344" s="69"/>
      <c r="DQ1344" s="72"/>
    </row>
    <row r="1345" spans="7:121" ht="21" x14ac:dyDescent="0.35">
      <c r="G1345" s="93">
        <f t="shared" si="4007"/>
        <v>2004</v>
      </c>
      <c r="I1345" s="94">
        <v>151.83886442642586</v>
      </c>
      <c r="J1345" s="125">
        <v>0.967741935483871</v>
      </c>
      <c r="K1345" s="94">
        <v>3565.8921775069389</v>
      </c>
      <c r="L1345" s="93">
        <v>28.39326025371923</v>
      </c>
      <c r="M1345" s="93"/>
      <c r="N1345" s="65"/>
      <c r="O1345" s="93"/>
      <c r="P1345" s="94">
        <v>1677.4519643519259</v>
      </c>
      <c r="Q1345" s="94">
        <f t="shared" si="4006"/>
        <v>5243.3441418588645</v>
      </c>
      <c r="R1345" s="72">
        <f t="shared" si="4008"/>
        <v>2.9151655394424523E-2</v>
      </c>
      <c r="S1345" s="72"/>
      <c r="T1345" s="72"/>
      <c r="U1345" s="72"/>
      <c r="Z1345" s="81"/>
      <c r="AH1345" s="33"/>
      <c r="AI1345" s="33"/>
      <c r="AJ1345" s="105">
        <f t="shared" si="4009"/>
        <v>0</v>
      </c>
      <c r="AK1345" s="105">
        <f t="shared" si="4010"/>
        <v>0</v>
      </c>
      <c r="AP1345" s="65"/>
      <c r="AQ1345" s="81"/>
      <c r="AR1345" s="72"/>
      <c r="AS1345" s="72"/>
      <c r="AT1345" s="72"/>
      <c r="AU1345" s="72"/>
      <c r="AV1345" s="72"/>
      <c r="AW1345" s="82"/>
      <c r="AX1345" s="82"/>
      <c r="AY1345" s="82"/>
      <c r="AZ1345" s="69"/>
      <c r="BA1345" s="72"/>
      <c r="BB1345" s="72"/>
      <c r="BC1345" s="94"/>
      <c r="BD1345" s="72"/>
      <c r="BE1345" s="72"/>
      <c r="BF1345" s="72"/>
      <c r="BG1345" s="65"/>
      <c r="BH1345" s="65"/>
      <c r="BI1345" s="65"/>
      <c r="BJ1345" s="65"/>
      <c r="BK1345" s="65"/>
      <c r="BL1345" s="65"/>
      <c r="BM1345" s="65"/>
      <c r="BN1345" s="65"/>
      <c r="BO1345" s="65"/>
      <c r="BP1345" s="65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97"/>
      <c r="CJ1345" s="69"/>
      <c r="CK1345" s="69"/>
      <c r="CL1345" s="69"/>
      <c r="CM1345" s="69"/>
      <c r="CN1345" s="80"/>
      <c r="CO1345" s="80"/>
      <c r="CP1345" s="98"/>
      <c r="CQ1345" s="80"/>
      <c r="CR1345" s="99"/>
      <c r="CS1345" s="99"/>
      <c r="CT1345" s="72"/>
      <c r="CU1345" s="72"/>
      <c r="CV1345" s="72"/>
      <c r="CW1345" s="72"/>
      <c r="CX1345" s="72"/>
      <c r="CY1345" s="72"/>
      <c r="CZ1345" s="72"/>
      <c r="DA1345" s="124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116"/>
      <c r="DN1345" s="69"/>
      <c r="DO1345" s="72"/>
      <c r="DP1345" s="69"/>
      <c r="DQ1345" s="72"/>
    </row>
    <row r="1346" spans="7:121" ht="21" x14ac:dyDescent="0.35">
      <c r="G1346" s="93">
        <f t="shared" si="4007"/>
        <v>2005</v>
      </c>
      <c r="I1346" s="94">
        <v>67.578117273802107</v>
      </c>
      <c r="J1346" s="125">
        <v>0.96174863387978138</v>
      </c>
      <c r="K1346" s="94">
        <v>3612.2238545530709</v>
      </c>
      <c r="L1346" s="93">
        <v>21.32755833098706</v>
      </c>
      <c r="M1346" s="93"/>
      <c r="N1346" s="65"/>
      <c r="O1346" s="93"/>
      <c r="P1346" s="94">
        <v>1688.5828364666197</v>
      </c>
      <c r="Q1346" s="94">
        <f t="shared" si="4006"/>
        <v>5300.8066910196903</v>
      </c>
      <c r="R1346" s="72">
        <f t="shared" si="4008"/>
        <v>1.0899525044361348E-2</v>
      </c>
      <c r="S1346" s="72"/>
      <c r="T1346" s="72"/>
      <c r="U1346" s="72"/>
      <c r="Z1346" s="81"/>
      <c r="AH1346" s="33"/>
      <c r="AI1346" s="33"/>
      <c r="AJ1346" s="105">
        <f t="shared" si="4009"/>
        <v>0</v>
      </c>
      <c r="AK1346" s="105">
        <f t="shared" si="4010"/>
        <v>0</v>
      </c>
      <c r="AP1346" s="65"/>
      <c r="AQ1346" s="81"/>
      <c r="AR1346" s="72"/>
      <c r="AS1346" s="72"/>
      <c r="AT1346" s="72"/>
      <c r="AU1346" s="72"/>
      <c r="AV1346" s="72"/>
      <c r="AW1346" s="82"/>
      <c r="AX1346" s="82"/>
      <c r="AY1346" s="82"/>
      <c r="AZ1346" s="69"/>
      <c r="BA1346" s="72"/>
      <c r="BB1346" s="72"/>
      <c r="BC1346" s="94"/>
      <c r="BD1346" s="72"/>
      <c r="BE1346" s="72"/>
      <c r="BF1346" s="72"/>
      <c r="BG1346" s="65"/>
      <c r="BH1346" s="65"/>
      <c r="BI1346" s="65"/>
      <c r="BJ1346" s="65"/>
      <c r="BK1346" s="65"/>
      <c r="BL1346" s="65"/>
      <c r="BM1346" s="65"/>
      <c r="BN1346" s="65"/>
      <c r="BO1346" s="65"/>
      <c r="BP1346" s="65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97"/>
      <c r="CJ1346" s="69"/>
      <c r="CK1346" s="69"/>
      <c r="CL1346" s="69"/>
      <c r="CM1346" s="69"/>
      <c r="CN1346" s="80"/>
      <c r="CO1346" s="80"/>
      <c r="CP1346" s="98"/>
      <c r="CQ1346" s="80"/>
      <c r="CR1346" s="99"/>
      <c r="CS1346" s="99"/>
      <c r="CT1346" s="72"/>
      <c r="CU1346" s="72"/>
      <c r="CV1346" s="72"/>
      <c r="CW1346" s="72"/>
      <c r="CX1346" s="72"/>
      <c r="CY1346" s="72"/>
      <c r="CZ1346" s="72"/>
      <c r="DA1346" s="124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116"/>
      <c r="DN1346" s="69"/>
      <c r="DO1346" s="72"/>
      <c r="DP1346" s="69"/>
      <c r="DQ1346" s="72"/>
    </row>
    <row r="1347" spans="7:121" ht="21" x14ac:dyDescent="0.35">
      <c r="G1347" s="93">
        <f t="shared" si="4007"/>
        <v>2006</v>
      </c>
      <c r="I1347" s="94">
        <v>136.75549627620401</v>
      </c>
      <c r="J1347" s="125">
        <v>0.9555555555555556</v>
      </c>
      <c r="K1347" s="94">
        <v>3726.6993623883318</v>
      </c>
      <c r="L1347" s="93">
        <v>19.362995920355704</v>
      </c>
      <c r="M1347" s="93"/>
      <c r="N1347" s="65"/>
      <c r="O1347" s="93"/>
      <c r="P1347" s="94">
        <v>1697.3056534782054</v>
      </c>
      <c r="Q1347" s="94">
        <f t="shared" si="4006"/>
        <v>5424.0050158665372</v>
      </c>
      <c r="R1347" s="72">
        <f t="shared" si="4008"/>
        <v>2.2975460563109687E-2</v>
      </c>
      <c r="S1347" s="72"/>
      <c r="T1347" s="72"/>
      <c r="U1347" s="72"/>
      <c r="Z1347" s="81"/>
      <c r="AH1347" s="33"/>
      <c r="AI1347" s="33"/>
      <c r="AJ1347" s="105">
        <f t="shared" si="4009"/>
        <v>0</v>
      </c>
      <c r="AK1347" s="105">
        <f t="shared" si="4010"/>
        <v>0</v>
      </c>
      <c r="AP1347" s="65"/>
      <c r="AQ1347" s="81"/>
      <c r="AR1347" s="72"/>
      <c r="AS1347" s="72"/>
      <c r="AT1347" s="72"/>
      <c r="AU1347" s="72"/>
      <c r="AV1347" s="72"/>
      <c r="AW1347" s="82"/>
      <c r="AX1347" s="82"/>
      <c r="AY1347" s="82"/>
      <c r="AZ1347" s="69"/>
      <c r="BA1347" s="72"/>
      <c r="BB1347" s="72"/>
      <c r="BC1347" s="94"/>
      <c r="BD1347" s="72"/>
      <c r="BE1347" s="72"/>
      <c r="BF1347" s="72"/>
      <c r="BG1347" s="65"/>
      <c r="BH1347" s="65"/>
      <c r="BI1347" s="65"/>
      <c r="BJ1347" s="65"/>
      <c r="BK1347" s="65"/>
      <c r="BL1347" s="65"/>
      <c r="BM1347" s="65"/>
      <c r="BN1347" s="65"/>
      <c r="BO1347" s="65"/>
      <c r="BP1347" s="65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97"/>
      <c r="CJ1347" s="69"/>
      <c r="CK1347" s="69"/>
      <c r="CL1347" s="69"/>
      <c r="CM1347" s="69"/>
      <c r="CN1347" s="80"/>
      <c r="CO1347" s="80"/>
      <c r="CP1347" s="98"/>
      <c r="CQ1347" s="80"/>
      <c r="CR1347" s="99"/>
      <c r="CS1347" s="99"/>
      <c r="CT1347" s="72"/>
      <c r="CU1347" s="72"/>
      <c r="CV1347" s="72"/>
      <c r="CW1347" s="72"/>
      <c r="CX1347" s="72"/>
      <c r="CY1347" s="72"/>
      <c r="CZ1347" s="72"/>
      <c r="DA1347" s="124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116"/>
      <c r="DN1347" s="69"/>
      <c r="DO1347" s="72"/>
      <c r="DP1347" s="69"/>
      <c r="DQ1347" s="72"/>
    </row>
    <row r="1348" spans="7:121" ht="21" x14ac:dyDescent="0.35">
      <c r="G1348" s="93">
        <f t="shared" si="4007"/>
        <v>2007</v>
      </c>
      <c r="I1348" s="94">
        <v>101.31272923312103</v>
      </c>
      <c r="J1348" s="125">
        <v>0.94915254237288138</v>
      </c>
      <c r="K1348" s="94">
        <v>3804.3092696265567</v>
      </c>
      <c r="L1348" s="93">
        <v>26.994774294634517</v>
      </c>
      <c r="M1348" s="93"/>
      <c r="N1348" s="65"/>
      <c r="O1348" s="93"/>
      <c r="P1348" s="94">
        <v>1713.2062812172335</v>
      </c>
      <c r="Q1348" s="94">
        <f t="shared" si="4006"/>
        <v>5517.5155508437902</v>
      </c>
      <c r="R1348" s="72">
        <f t="shared" si="4008"/>
        <v>1.7093202211282292E-2</v>
      </c>
      <c r="S1348" s="72"/>
      <c r="T1348" s="72"/>
      <c r="U1348" s="72"/>
      <c r="Z1348" s="81"/>
      <c r="AH1348" s="33"/>
      <c r="AI1348" s="33"/>
      <c r="AJ1348" s="105">
        <f t="shared" si="4009"/>
        <v>0</v>
      </c>
      <c r="AK1348" s="105">
        <f t="shared" si="4010"/>
        <v>0</v>
      </c>
      <c r="AP1348" s="65"/>
      <c r="AQ1348" s="81"/>
      <c r="AR1348" s="72"/>
      <c r="AS1348" s="72"/>
      <c r="AT1348" s="72"/>
      <c r="AU1348" s="72"/>
      <c r="AV1348" s="72"/>
      <c r="AW1348" s="82"/>
      <c r="AX1348" s="82"/>
      <c r="AY1348" s="82"/>
      <c r="AZ1348" s="69"/>
      <c r="BA1348" s="72"/>
      <c r="BB1348" s="72"/>
      <c r="BC1348" s="94"/>
      <c r="BD1348" s="72"/>
      <c r="BE1348" s="72"/>
      <c r="BF1348" s="72"/>
      <c r="BG1348" s="65"/>
      <c r="BH1348" s="65"/>
      <c r="BI1348" s="65"/>
      <c r="BJ1348" s="65"/>
      <c r="BK1348" s="65"/>
      <c r="BL1348" s="65"/>
      <c r="BM1348" s="65"/>
      <c r="BN1348" s="65"/>
      <c r="BO1348" s="65"/>
      <c r="BP1348" s="65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97"/>
      <c r="CJ1348" s="69"/>
      <c r="CK1348" s="69"/>
      <c r="CL1348" s="69"/>
      <c r="CM1348" s="69"/>
      <c r="CN1348" s="80"/>
      <c r="CO1348" s="80"/>
      <c r="CP1348" s="98"/>
      <c r="CQ1348" s="80"/>
      <c r="CR1348" s="99"/>
      <c r="CS1348" s="99"/>
      <c r="CT1348" s="72"/>
      <c r="CU1348" s="72"/>
      <c r="CV1348" s="72"/>
      <c r="CW1348" s="72"/>
      <c r="CX1348" s="72"/>
      <c r="CY1348" s="72"/>
      <c r="CZ1348" s="72"/>
      <c r="DA1348" s="124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116"/>
      <c r="DN1348" s="69"/>
      <c r="DO1348" s="72"/>
      <c r="DP1348" s="69"/>
      <c r="DQ1348" s="72"/>
    </row>
    <row r="1349" spans="7:121" ht="21" x14ac:dyDescent="0.35">
      <c r="G1349" s="93">
        <f t="shared" si="4007"/>
        <v>2008</v>
      </c>
      <c r="I1349" s="94">
        <v>138.34988685112313</v>
      </c>
      <c r="J1349" s="125">
        <v>0.94252873563218387</v>
      </c>
      <c r="K1349" s="94">
        <v>3917.651439884808</v>
      </c>
      <c r="L1349" s="93">
        <v>21.50272710923814</v>
      </c>
      <c r="M1349" s="93"/>
      <c r="N1349" s="65"/>
      <c r="O1349" s="93"/>
      <c r="P1349" s="94">
        <v>1723.1016572495478</v>
      </c>
      <c r="Q1349" s="94">
        <f t="shared" si="4006"/>
        <v>5640.7530971343558</v>
      </c>
      <c r="R1349" s="72">
        <f t="shared" si="4008"/>
        <v>2.2089906853513364E-2</v>
      </c>
      <c r="S1349" s="72"/>
      <c r="T1349" s="72"/>
      <c r="U1349" s="72"/>
      <c r="Z1349" s="81"/>
      <c r="AH1349" s="33"/>
      <c r="AI1349" s="33"/>
      <c r="AJ1349" s="105">
        <f t="shared" si="4009"/>
        <v>0</v>
      </c>
      <c r="AK1349" s="105">
        <f t="shared" si="4010"/>
        <v>0</v>
      </c>
      <c r="AP1349" s="65"/>
      <c r="AQ1349" s="81"/>
      <c r="AR1349" s="72"/>
      <c r="AS1349" s="72"/>
      <c r="AT1349" s="72"/>
      <c r="AU1349" s="72"/>
      <c r="AV1349" s="72"/>
      <c r="AW1349" s="82"/>
      <c r="AX1349" s="82"/>
      <c r="AY1349" s="82"/>
      <c r="AZ1349" s="69"/>
      <c r="BA1349" s="72"/>
      <c r="BB1349" s="72"/>
      <c r="BC1349" s="94"/>
      <c r="BD1349" s="72"/>
      <c r="BE1349" s="72"/>
      <c r="BF1349" s="72"/>
      <c r="BG1349" s="65"/>
      <c r="BH1349" s="65"/>
      <c r="BI1349" s="65"/>
      <c r="BJ1349" s="65"/>
      <c r="BK1349" s="65"/>
      <c r="BL1349" s="65"/>
      <c r="BM1349" s="65"/>
      <c r="BN1349" s="65"/>
      <c r="BO1349" s="65"/>
      <c r="BP1349" s="65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97"/>
      <c r="CJ1349" s="69"/>
      <c r="CK1349" s="69"/>
      <c r="CL1349" s="69"/>
      <c r="CM1349" s="69"/>
      <c r="CN1349" s="80"/>
      <c r="CO1349" s="80"/>
      <c r="CP1349" s="98"/>
      <c r="CQ1349" s="80"/>
      <c r="CR1349" s="99"/>
      <c r="CS1349" s="99"/>
      <c r="CT1349" s="72"/>
      <c r="CU1349" s="72"/>
      <c r="CV1349" s="72"/>
      <c r="CW1349" s="72"/>
      <c r="CX1349" s="72"/>
      <c r="CY1349" s="72"/>
      <c r="CZ1349" s="72"/>
      <c r="DA1349" s="124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116"/>
      <c r="DN1349" s="69"/>
      <c r="DO1349" s="72"/>
      <c r="DP1349" s="69"/>
      <c r="DQ1349" s="72"/>
    </row>
    <row r="1350" spans="7:121" ht="21" x14ac:dyDescent="0.35">
      <c r="G1350" s="93">
        <f t="shared" si="4007"/>
        <v>2009</v>
      </c>
      <c r="I1350" s="94">
        <v>200.33737326346994</v>
      </c>
      <c r="J1350" s="125">
        <v>0.93567251461988299</v>
      </c>
      <c r="K1350" s="94">
        <v>4091.4353268694053</v>
      </c>
      <c r="L1350" s="93">
        <v>29.05939212086319</v>
      </c>
      <c r="M1350" s="93"/>
      <c r="N1350" s="65"/>
      <c r="O1350" s="93"/>
      <c r="P1350" s="94">
        <v>1740.0439865973044</v>
      </c>
      <c r="Q1350" s="94">
        <f t="shared" si="4006"/>
        <v>5831.4793134667098</v>
      </c>
      <c r="R1350" s="72">
        <f t="shared" si="4008"/>
        <v>3.3253125308317928E-2</v>
      </c>
      <c r="S1350" s="72"/>
      <c r="T1350" s="72"/>
      <c r="U1350" s="72"/>
      <c r="Z1350" s="81"/>
      <c r="AH1350" s="33"/>
      <c r="AI1350" s="33"/>
      <c r="AJ1350" s="105">
        <f t="shared" si="4009"/>
        <v>0</v>
      </c>
      <c r="AK1350" s="105">
        <f t="shared" si="4010"/>
        <v>0</v>
      </c>
      <c r="AP1350" s="65"/>
      <c r="AQ1350" s="81"/>
      <c r="AR1350" s="72"/>
      <c r="AS1350" s="72"/>
      <c r="AT1350" s="72"/>
      <c r="AU1350" s="72"/>
      <c r="AV1350" s="72"/>
      <c r="AW1350" s="82"/>
      <c r="AX1350" s="82"/>
      <c r="AY1350" s="82"/>
      <c r="AZ1350" s="69"/>
      <c r="BA1350" s="72"/>
      <c r="BB1350" s="72"/>
      <c r="BC1350" s="94"/>
      <c r="BD1350" s="72"/>
      <c r="BE1350" s="72"/>
      <c r="BF1350" s="72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97"/>
      <c r="CJ1350" s="69"/>
      <c r="CK1350" s="69"/>
      <c r="CL1350" s="69"/>
      <c r="CM1350" s="69"/>
      <c r="CN1350" s="80"/>
      <c r="CO1350" s="80"/>
      <c r="CP1350" s="98"/>
      <c r="CQ1350" s="80"/>
      <c r="CR1350" s="99"/>
      <c r="CS1350" s="99"/>
      <c r="CT1350" s="72"/>
      <c r="CU1350" s="72"/>
      <c r="CV1350" s="72"/>
      <c r="CW1350" s="72"/>
      <c r="CX1350" s="72"/>
      <c r="CY1350" s="72"/>
      <c r="CZ1350" s="72"/>
      <c r="DA1350" s="124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116"/>
      <c r="DN1350" s="69"/>
      <c r="DO1350" s="72"/>
      <c r="DP1350" s="69"/>
      <c r="DQ1350" s="72"/>
    </row>
    <row r="1351" spans="7:121" ht="21" x14ac:dyDescent="0.35">
      <c r="G1351" s="93">
        <f t="shared" si="4007"/>
        <v>2010</v>
      </c>
      <c r="I1351" s="94">
        <v>147.62135261159926</v>
      </c>
      <c r="J1351" s="125">
        <v>0.9285714285714286</v>
      </c>
      <c r="K1351" s="94">
        <v>4210.5832305694585</v>
      </c>
      <c r="L1351" s="93">
        <v>18.529340086720531</v>
      </c>
      <c r="M1351" s="93"/>
      <c r="N1351" s="65"/>
      <c r="O1351" s="93"/>
      <c r="P1351" s="94">
        <v>1745.8843669181967</v>
      </c>
      <c r="Q1351" s="94">
        <f t="shared" si="4006"/>
        <v>5956.4675974876554</v>
      </c>
      <c r="R1351" s="72">
        <f t="shared" si="4008"/>
        <v>2.120691061985476E-2</v>
      </c>
      <c r="S1351" s="72"/>
      <c r="T1351" s="72"/>
      <c r="U1351" s="72"/>
      <c r="Z1351" s="81"/>
      <c r="AH1351" s="33"/>
      <c r="AI1351" s="33"/>
      <c r="AJ1351" s="105">
        <f t="shared" si="4009"/>
        <v>0</v>
      </c>
      <c r="AK1351" s="105">
        <f t="shared" si="4010"/>
        <v>0</v>
      </c>
      <c r="AP1351" s="65"/>
      <c r="AQ1351" s="81"/>
      <c r="AR1351" s="72"/>
      <c r="AS1351" s="72"/>
      <c r="AT1351" s="72"/>
      <c r="AU1351" s="72"/>
      <c r="AV1351" s="72"/>
      <c r="AW1351" s="82"/>
      <c r="AX1351" s="82"/>
      <c r="AY1351" s="82"/>
      <c r="AZ1351" s="69"/>
      <c r="BA1351" s="72"/>
      <c r="BB1351" s="72"/>
      <c r="BC1351" s="94"/>
      <c r="BD1351" s="72"/>
      <c r="BE1351" s="72"/>
      <c r="BF1351" s="72"/>
      <c r="BG1351" s="65"/>
      <c r="BH1351" s="65"/>
      <c r="BI1351" s="65"/>
      <c r="BJ1351" s="65"/>
      <c r="BK1351" s="65"/>
      <c r="BL1351" s="65"/>
      <c r="BM1351" s="65"/>
      <c r="BN1351" s="65"/>
      <c r="BO1351" s="65"/>
      <c r="BP1351" s="65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100"/>
      <c r="CJ1351" s="69"/>
      <c r="CK1351" s="69"/>
      <c r="CL1351" s="69"/>
      <c r="CM1351" s="69"/>
      <c r="CN1351" s="80"/>
      <c r="CO1351" s="80"/>
      <c r="CP1351" s="98"/>
      <c r="CQ1351" s="80"/>
      <c r="CR1351" s="99"/>
      <c r="CS1351" s="99"/>
      <c r="CT1351" s="99"/>
      <c r="CU1351" s="99"/>
      <c r="CV1351" s="99"/>
      <c r="CW1351" s="99"/>
      <c r="CX1351" s="99"/>
      <c r="CY1351" s="99"/>
      <c r="CZ1351" s="99"/>
      <c r="DA1351" s="124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116"/>
      <c r="DN1351" s="69"/>
      <c r="DO1351" s="72"/>
      <c r="DP1351" s="69"/>
      <c r="DQ1351" s="72"/>
    </row>
    <row r="1352" spans="7:121" ht="21" x14ac:dyDescent="0.35">
      <c r="G1352" s="93">
        <f t="shared" si="4007"/>
        <v>2011</v>
      </c>
      <c r="I1352" s="94">
        <v>150.20165687371772</v>
      </c>
      <c r="J1352" s="125">
        <v>0.92121212121212126</v>
      </c>
      <c r="K1352" s="94">
        <v>4330.5744381541699</v>
      </c>
      <c r="L1352" s="93">
        <v>25.526024787595723</v>
      </c>
      <c r="M1352" s="93"/>
      <c r="N1352" s="65"/>
      <c r="O1352" s="93"/>
      <c r="P1352" s="94">
        <v>1758.1745072303875</v>
      </c>
      <c r="Q1352" s="94">
        <f t="shared" si="4006"/>
        <v>6088.7489453845574</v>
      </c>
      <c r="R1352" s="72">
        <f t="shared" si="4008"/>
        <v>2.1965012546592912E-2</v>
      </c>
      <c r="S1352" s="72"/>
      <c r="T1352" s="72"/>
      <c r="U1352" s="72"/>
      <c r="Z1352" s="81"/>
      <c r="AH1352" s="33"/>
      <c r="AI1352" s="33"/>
      <c r="AJ1352" s="105">
        <f t="shared" si="4009"/>
        <v>0</v>
      </c>
      <c r="AK1352" s="105">
        <f t="shared" si="4010"/>
        <v>0</v>
      </c>
      <c r="AP1352" s="65"/>
      <c r="AQ1352" s="81"/>
      <c r="AR1352" s="72"/>
      <c r="AS1352" s="72"/>
      <c r="AT1352" s="72"/>
      <c r="AU1352" s="72"/>
      <c r="AV1352" s="72"/>
      <c r="AW1352" s="82"/>
      <c r="AX1352" s="82"/>
      <c r="AY1352" s="82"/>
      <c r="AZ1352" s="69"/>
      <c r="BA1352" s="72"/>
      <c r="BB1352" s="72"/>
      <c r="BC1352" s="94"/>
      <c r="BD1352" s="72"/>
      <c r="BE1352" s="72"/>
      <c r="BF1352" s="72"/>
      <c r="BG1352" s="65"/>
      <c r="BH1352" s="65"/>
      <c r="BI1352" s="65"/>
      <c r="BJ1352" s="65"/>
      <c r="BK1352" s="65"/>
      <c r="BL1352" s="65"/>
      <c r="BM1352" s="65"/>
      <c r="BN1352" s="65"/>
      <c r="BO1352" s="65"/>
      <c r="BP1352" s="65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97"/>
      <c r="CJ1352" s="69"/>
      <c r="CK1352" s="69"/>
      <c r="CL1352" s="69"/>
      <c r="CM1352" s="69"/>
      <c r="CN1352" s="80"/>
      <c r="CO1352" s="80"/>
      <c r="CP1352" s="98"/>
      <c r="CQ1352" s="80"/>
      <c r="CR1352" s="99"/>
      <c r="CS1352" s="99"/>
      <c r="CT1352" s="72"/>
      <c r="CU1352" s="72"/>
      <c r="CV1352" s="72"/>
      <c r="CW1352" s="72"/>
      <c r="CX1352" s="72"/>
      <c r="CY1352" s="72"/>
      <c r="CZ1352" s="72"/>
      <c r="DA1352" s="124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116"/>
      <c r="DN1352" s="69"/>
      <c r="DO1352" s="72"/>
      <c r="DP1352" s="69"/>
      <c r="DQ1352" s="72"/>
    </row>
    <row r="1353" spans="7:121" ht="21" x14ac:dyDescent="0.35">
      <c r="G1353" s="93">
        <f t="shared" si="4007"/>
        <v>2012</v>
      </c>
      <c r="I1353" s="94">
        <v>140.44444059904569</v>
      </c>
      <c r="J1353" s="125">
        <v>0.9135802469135802</v>
      </c>
      <c r="K1353" s="94">
        <v>4438.9822870043772</v>
      </c>
      <c r="L1353" s="93">
        <v>25.938853052115487</v>
      </c>
      <c r="M1353" s="93"/>
      <c r="N1353" s="65"/>
      <c r="O1353" s="93"/>
      <c r="P1353" s="94">
        <v>1770.2680234376805</v>
      </c>
      <c r="Q1353" s="94">
        <f t="shared" si="4006"/>
        <v>6209.2503104420575</v>
      </c>
      <c r="R1353" s="72">
        <f t="shared" si="4008"/>
        <v>1.9597532770210979E-2</v>
      </c>
      <c r="S1353" s="72"/>
      <c r="T1353" s="72"/>
      <c r="U1353" s="72"/>
      <c r="Z1353" s="81"/>
      <c r="AH1353" s="33"/>
      <c r="AI1353" s="33"/>
      <c r="AJ1353" s="105">
        <f t="shared" si="4009"/>
        <v>0</v>
      </c>
      <c r="AK1353" s="105">
        <f t="shared" si="4010"/>
        <v>0</v>
      </c>
      <c r="AP1353" s="65"/>
      <c r="AQ1353" s="81"/>
      <c r="AR1353" s="72"/>
      <c r="AS1353" s="72"/>
      <c r="AT1353" s="72"/>
      <c r="AU1353" s="72"/>
      <c r="AV1353" s="72"/>
      <c r="AW1353" s="82"/>
      <c r="AX1353" s="82"/>
      <c r="AY1353" s="82"/>
      <c r="AZ1353" s="69"/>
      <c r="BA1353" s="72"/>
      <c r="BB1353" s="72"/>
      <c r="BC1353" s="94"/>
      <c r="BD1353" s="72"/>
      <c r="BE1353" s="72"/>
      <c r="BF1353" s="72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97"/>
      <c r="CJ1353" s="69"/>
      <c r="CK1353" s="69"/>
      <c r="CL1353" s="69"/>
      <c r="CM1353" s="69"/>
      <c r="CN1353" s="80"/>
      <c r="CO1353" s="80"/>
      <c r="CP1353" s="98"/>
      <c r="CQ1353" s="80"/>
      <c r="CR1353" s="99"/>
      <c r="CS1353" s="99"/>
      <c r="CT1353" s="72"/>
      <c r="CU1353" s="72"/>
      <c r="CV1353" s="72"/>
      <c r="CW1353" s="72"/>
      <c r="CX1353" s="72"/>
      <c r="CY1353" s="72"/>
      <c r="CZ1353" s="72"/>
      <c r="DA1353" s="124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116"/>
      <c r="DN1353" s="69"/>
      <c r="DO1353" s="72"/>
      <c r="DP1353" s="69"/>
      <c r="DQ1353" s="72"/>
    </row>
    <row r="1354" spans="7:121" ht="21" x14ac:dyDescent="0.35">
      <c r="G1354" s="93">
        <f t="shared" si="4007"/>
        <v>2013</v>
      </c>
      <c r="I1354" s="94">
        <v>96.478181433241446</v>
      </c>
      <c r="J1354" s="125">
        <v>0.90566037735849059</v>
      </c>
      <c r="K1354" s="94">
        <v>4501.5645900790933</v>
      </c>
      <c r="L1354" s="93">
        <v>19.410525367978096</v>
      </c>
      <c r="M1354" s="93"/>
      <c r="N1354" s="65"/>
      <c r="O1354" s="93"/>
      <c r="P1354" s="94">
        <v>1775.1909458958817</v>
      </c>
      <c r="Q1354" s="94">
        <f t="shared" si="4006"/>
        <v>6276.7555359749749</v>
      </c>
      <c r="R1354" s="72">
        <f t="shared" si="4008"/>
        <v>1.0813046878089604E-2</v>
      </c>
      <c r="S1354" s="72"/>
      <c r="T1354" s="72"/>
      <c r="U1354" s="72"/>
      <c r="Z1354" s="81"/>
      <c r="AH1354" s="33"/>
      <c r="AI1354" s="33"/>
      <c r="AJ1354" s="105">
        <f t="shared" si="4009"/>
        <v>0</v>
      </c>
      <c r="AK1354" s="105">
        <f t="shared" si="4010"/>
        <v>0</v>
      </c>
      <c r="AP1354" s="65"/>
      <c r="AQ1354" s="81"/>
      <c r="AR1354" s="72"/>
      <c r="AS1354" s="72"/>
      <c r="AT1354" s="72"/>
      <c r="AU1354" s="72"/>
      <c r="AV1354" s="72"/>
      <c r="AW1354" s="82"/>
      <c r="AX1354" s="82"/>
      <c r="AY1354" s="82"/>
      <c r="AZ1354" s="69"/>
      <c r="BA1354" s="72"/>
      <c r="BB1354" s="72"/>
      <c r="BC1354" s="94"/>
      <c r="BD1354" s="72"/>
      <c r="BE1354" s="72"/>
      <c r="BF1354" s="72"/>
      <c r="BG1354" s="65"/>
      <c r="BH1354" s="65"/>
      <c r="BI1354" s="65"/>
      <c r="BJ1354" s="65"/>
      <c r="BK1354" s="65"/>
      <c r="BL1354" s="65"/>
      <c r="BM1354" s="65"/>
      <c r="BN1354" s="65"/>
      <c r="BO1354" s="65"/>
      <c r="BP1354" s="65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97"/>
      <c r="CJ1354" s="69"/>
      <c r="CK1354" s="69"/>
      <c r="CL1354" s="69"/>
      <c r="CM1354" s="69"/>
      <c r="CN1354" s="80"/>
      <c r="CO1354" s="80"/>
      <c r="CP1354" s="98"/>
      <c r="CQ1354" s="80"/>
      <c r="CR1354" s="99"/>
      <c r="CS1354" s="99"/>
      <c r="CT1354" s="72"/>
      <c r="CU1354" s="72"/>
      <c r="CV1354" s="72"/>
      <c r="CW1354" s="72"/>
      <c r="CX1354" s="72"/>
      <c r="CY1354" s="72"/>
      <c r="CZ1354" s="72"/>
      <c r="DA1354" s="124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116"/>
      <c r="DN1354" s="69"/>
      <c r="DO1354" s="72"/>
      <c r="DP1354" s="69"/>
      <c r="DQ1354" s="72"/>
    </row>
    <row r="1355" spans="7:121" ht="21" x14ac:dyDescent="0.35">
      <c r="G1355" s="93">
        <f t="shared" si="4007"/>
        <v>2014</v>
      </c>
      <c r="I1355" s="94">
        <v>129.4974374314038</v>
      </c>
      <c r="J1355" s="125">
        <v>0.89743589743589747</v>
      </c>
      <c r="K1355" s="94">
        <v>4595.4399361425276</v>
      </c>
      <c r="L1355" s="93">
        <v>24.825078204749861</v>
      </c>
      <c r="M1355" s="93"/>
      <c r="N1355" s="65"/>
      <c r="O1355" s="93"/>
      <c r="P1355" s="94">
        <v>1784.8855922718926</v>
      </c>
      <c r="Q1355" s="94">
        <f t="shared" si="4006"/>
        <v>6380.3255284144198</v>
      </c>
      <c r="R1355" s="72">
        <f t="shared" si="4008"/>
        <v>1.6365906737820471E-2</v>
      </c>
      <c r="S1355" s="72"/>
      <c r="T1355" s="72"/>
      <c r="U1355" s="72"/>
      <c r="Z1355" s="81"/>
      <c r="AH1355" s="33"/>
      <c r="AI1355" s="33"/>
      <c r="AJ1355" s="105">
        <f t="shared" si="4009"/>
        <v>0</v>
      </c>
      <c r="AK1355" s="105">
        <f t="shared" si="4010"/>
        <v>0</v>
      </c>
      <c r="AP1355" s="65"/>
      <c r="AQ1355" s="81"/>
      <c r="AR1355" s="72"/>
      <c r="AS1355" s="72"/>
      <c r="AT1355" s="72"/>
      <c r="AU1355" s="72"/>
      <c r="AV1355" s="72"/>
      <c r="AW1355" s="72"/>
      <c r="AX1355" s="72"/>
      <c r="AY1355" s="72"/>
      <c r="AZ1355" s="73"/>
      <c r="BA1355" s="72"/>
      <c r="BB1355" s="72"/>
      <c r="BC1355" s="94"/>
      <c r="BD1355" s="72"/>
      <c r="BE1355" s="72"/>
      <c r="BF1355" s="72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97"/>
      <c r="CJ1355" s="69"/>
      <c r="CK1355" s="69"/>
      <c r="CL1355" s="69"/>
      <c r="CM1355" s="69"/>
      <c r="CN1355" s="80"/>
      <c r="CO1355" s="80"/>
      <c r="CP1355" s="98"/>
      <c r="CQ1355" s="80"/>
      <c r="CR1355" s="99"/>
      <c r="CS1355" s="99"/>
      <c r="CT1355" s="72"/>
      <c r="CU1355" s="72"/>
      <c r="CV1355" s="72"/>
      <c r="CW1355" s="72"/>
      <c r="CX1355" s="72"/>
      <c r="CY1355" s="72"/>
      <c r="CZ1355" s="72"/>
      <c r="DA1355" s="124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116"/>
      <c r="DN1355" s="69"/>
      <c r="DO1355" s="72"/>
      <c r="DP1355" s="69"/>
      <c r="DQ1355" s="72"/>
    </row>
    <row r="1356" spans="7:121" ht="21" x14ac:dyDescent="0.35">
      <c r="G1356" s="93">
        <f t="shared" si="4007"/>
        <v>2015</v>
      </c>
      <c r="I1356" s="94">
        <v>123.50679797857067</v>
      </c>
      <c r="J1356" s="125">
        <v>0.88888888888888884</v>
      </c>
      <c r="K1356" s="94">
        <v>4681.349254950188</v>
      </c>
      <c r="L1356" s="93">
        <v>22.230128337190095</v>
      </c>
      <c r="M1356" s="93"/>
      <c r="N1356" s="65"/>
      <c r="O1356" s="93"/>
      <c r="P1356" s="94">
        <v>1791.2810321298016</v>
      </c>
      <c r="Q1356" s="94">
        <f t="shared" si="4006"/>
        <v>6472.63028707999</v>
      </c>
      <c r="R1356" s="72">
        <f t="shared" si="4008"/>
        <v>1.4363442452155791E-2</v>
      </c>
      <c r="S1356" s="72"/>
      <c r="T1356" s="72"/>
      <c r="U1356" s="72"/>
      <c r="AH1356" s="33"/>
      <c r="AI1356" s="33"/>
      <c r="AJ1356" s="38"/>
      <c r="AK1356" s="38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  <c r="BA1356" s="33"/>
      <c r="BB1356" s="33"/>
      <c r="BC1356" s="114"/>
      <c r="BD1356" s="33"/>
      <c r="BE1356" s="33"/>
      <c r="BF1356" s="33"/>
      <c r="BG1356" s="50"/>
      <c r="BH1356" s="50"/>
      <c r="BI1356" s="50"/>
      <c r="BJ1356" s="50"/>
      <c r="BK1356" s="50"/>
      <c r="BL1356" s="50"/>
      <c r="BM1356" s="50"/>
      <c r="BN1356" s="50"/>
      <c r="BO1356" s="50"/>
      <c r="BP1356" s="50"/>
      <c r="CI1356" s="101"/>
      <c r="CN1356" s="102"/>
      <c r="CO1356" s="102"/>
      <c r="CP1356" s="103"/>
      <c r="CQ1356" s="102"/>
      <c r="CR1356" s="104"/>
      <c r="CS1356" s="104"/>
      <c r="CT1356" s="33"/>
      <c r="CU1356" s="33"/>
      <c r="CV1356" s="33"/>
      <c r="CW1356" s="33"/>
      <c r="CX1356" s="33"/>
      <c r="CY1356" s="33"/>
      <c r="CZ1356" s="33"/>
      <c r="DM1356" s="117"/>
    </row>
    <row r="1357" spans="7:121" ht="21" x14ac:dyDescent="0.35">
      <c r="G1357" s="93">
        <f t="shared" si="4007"/>
        <v>2016</v>
      </c>
      <c r="I1357" s="94">
        <v>154.98549265694024</v>
      </c>
      <c r="J1357" s="125">
        <v>0.88</v>
      </c>
      <c r="K1357" s="94">
        <v>4796.6957139007873</v>
      </c>
      <c r="L1357" s="93">
        <v>26.216147706648847</v>
      </c>
      <c r="M1357" s="93"/>
      <c r="N1357" s="65"/>
      <c r="O1357" s="93"/>
      <c r="P1357" s="94">
        <v>1800.9332191873921</v>
      </c>
      <c r="Q1357" s="94">
        <f t="shared" si="4006"/>
        <v>6597.6289330881791</v>
      </c>
      <c r="R1357" s="72">
        <f t="shared" si="4008"/>
        <v>1.9127770153661225E-2</v>
      </c>
      <c r="S1357" s="72"/>
      <c r="T1357" s="72"/>
      <c r="U1357" s="72"/>
      <c r="AH1357" s="33"/>
      <c r="AI1357" s="33"/>
      <c r="AJ1357" s="38"/>
      <c r="AK1357" s="38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  <c r="BA1357" s="33"/>
      <c r="BB1357" s="33"/>
      <c r="BC1357" s="114"/>
      <c r="BD1357" s="33"/>
      <c r="BE1357" s="33"/>
      <c r="BF1357" s="33"/>
      <c r="BG1357" s="50"/>
      <c r="BH1357" s="50"/>
      <c r="BI1357" s="50"/>
      <c r="BJ1357" s="50"/>
      <c r="BK1357" s="50"/>
      <c r="BL1357" s="50"/>
      <c r="BM1357" s="50"/>
      <c r="BN1357" s="50"/>
      <c r="BO1357" s="50"/>
      <c r="BP1357" s="50"/>
      <c r="CI1357" s="101"/>
      <c r="CN1357" s="102"/>
      <c r="CO1357" s="102"/>
      <c r="CP1357" s="103"/>
      <c r="CQ1357" s="102"/>
      <c r="CR1357" s="104"/>
      <c r="CS1357" s="104"/>
      <c r="CT1357" s="33"/>
      <c r="CU1357" s="33"/>
      <c r="CV1357" s="33"/>
      <c r="CW1357" s="33"/>
      <c r="CX1357" s="33"/>
      <c r="CY1357" s="33"/>
      <c r="CZ1357" s="33"/>
      <c r="DM1357" s="117"/>
    </row>
    <row r="1358" spans="7:121" ht="21" x14ac:dyDescent="0.35">
      <c r="G1358" s="93">
        <f t="shared" si="4007"/>
        <v>2017</v>
      </c>
      <c r="I1358" s="94">
        <v>142.31742285394924</v>
      </c>
      <c r="J1358" s="125">
        <v>0.87074829931972786</v>
      </c>
      <c r="K1358" s="94">
        <v>4897.0739708988322</v>
      </c>
      <c r="L1358" s="93">
        <v>25.449568440640228</v>
      </c>
      <c r="M1358" s="93"/>
      <c r="N1358" s="65"/>
      <c r="O1358" s="93"/>
      <c r="P1358" s="94">
        <v>1809.0292736157623</v>
      </c>
      <c r="Q1358" s="94">
        <f t="shared" si="4006"/>
        <v>6706.1032445145947</v>
      </c>
      <c r="R1358" s="72">
        <f t="shared" si="4008"/>
        <v>1.6307711843923642E-2</v>
      </c>
      <c r="S1358" s="72"/>
      <c r="T1358" s="72"/>
      <c r="U1358" s="72"/>
      <c r="AH1358" s="33"/>
      <c r="AI1358" s="33"/>
      <c r="AJ1358" s="38"/>
      <c r="AK1358" s="38"/>
      <c r="AP1358" s="33"/>
      <c r="AQ1358" s="33"/>
      <c r="AR1358" s="33"/>
      <c r="AS1358" s="33"/>
      <c r="AT1358" s="33"/>
      <c r="AU1358" s="33"/>
      <c r="AV1358" s="33"/>
      <c r="AW1358" s="33"/>
      <c r="AX1358" s="33"/>
      <c r="AY1358" s="33"/>
      <c r="BA1358" s="33"/>
      <c r="BB1358" s="33"/>
      <c r="BC1358" s="114"/>
      <c r="BD1358" s="33"/>
      <c r="BE1358" s="33"/>
      <c r="BF1358" s="33"/>
      <c r="BG1358" s="50"/>
      <c r="BH1358" s="50"/>
      <c r="BI1358" s="50"/>
      <c r="BJ1358" s="50"/>
      <c r="BK1358" s="50"/>
      <c r="BL1358" s="50"/>
      <c r="BM1358" s="50"/>
      <c r="BN1358" s="50"/>
      <c r="BO1358" s="50"/>
      <c r="BP1358" s="50"/>
      <c r="CI1358" s="101"/>
      <c r="CN1358" s="102"/>
      <c r="CO1358" s="102"/>
      <c r="CP1358" s="103"/>
      <c r="CQ1358" s="102"/>
      <c r="CR1358" s="104"/>
      <c r="CS1358" s="104"/>
      <c r="CT1358" s="33"/>
      <c r="CU1358" s="33"/>
      <c r="CV1358" s="33"/>
      <c r="CW1358" s="33"/>
      <c r="CX1358" s="33"/>
      <c r="CY1358" s="33"/>
      <c r="CZ1358" s="33"/>
      <c r="DM1358" s="117"/>
    </row>
    <row r="1359" spans="7:121" ht="21" x14ac:dyDescent="0.35">
      <c r="G1359" s="93">
        <f t="shared" si="4007"/>
        <v>2018</v>
      </c>
      <c r="I1359" s="94">
        <v>130.39625557847964</v>
      </c>
      <c r="J1359" s="125">
        <v>0.86111111111111116</v>
      </c>
      <c r="K1359" s="94">
        <v>4983.1797237835572</v>
      </c>
      <c r="L1359" s="93">
        <v>28.544500076108022</v>
      </c>
      <c r="M1359" s="93"/>
      <c r="N1359" s="65"/>
      <c r="O1359" s="93"/>
      <c r="P1359" s="94">
        <v>1819.3902790851735</v>
      </c>
      <c r="Q1359" s="94">
        <f t="shared" si="4006"/>
        <v>6802.5700028687306</v>
      </c>
      <c r="R1359" s="72">
        <f t="shared" si="4008"/>
        <v>1.4282438611222777E-2</v>
      </c>
      <c r="S1359" s="72"/>
      <c r="T1359" s="72"/>
      <c r="U1359" s="72"/>
      <c r="AH1359" s="33"/>
      <c r="AI1359" s="33"/>
      <c r="AJ1359" s="38"/>
      <c r="AK1359" s="38"/>
      <c r="AP1359" s="33"/>
      <c r="AQ1359" s="33"/>
      <c r="AR1359" s="33"/>
      <c r="AS1359" s="33"/>
      <c r="AT1359" s="33"/>
      <c r="AU1359" s="33"/>
      <c r="AV1359" s="33"/>
      <c r="AW1359" s="33"/>
      <c r="AX1359" s="33"/>
      <c r="AY1359" s="33"/>
      <c r="BA1359" s="33"/>
      <c r="BB1359" s="33"/>
      <c r="BC1359" s="114"/>
      <c r="BD1359" s="33"/>
      <c r="BE1359" s="33"/>
      <c r="BF1359" s="33"/>
      <c r="BG1359" s="50"/>
      <c r="BH1359" s="50"/>
      <c r="BI1359" s="50"/>
      <c r="BJ1359" s="50"/>
      <c r="BK1359" s="50"/>
      <c r="BL1359" s="50"/>
      <c r="BM1359" s="50"/>
      <c r="BN1359" s="50"/>
      <c r="BO1359" s="50"/>
      <c r="BP1359" s="50"/>
      <c r="CI1359" s="101"/>
      <c r="CN1359" s="102"/>
      <c r="CO1359" s="102"/>
      <c r="CP1359" s="103"/>
      <c r="CQ1359" s="102"/>
      <c r="CR1359" s="104"/>
      <c r="CS1359" s="104"/>
      <c r="CT1359" s="33"/>
      <c r="CU1359" s="33"/>
      <c r="CV1359" s="33"/>
      <c r="CW1359" s="33"/>
      <c r="CX1359" s="33"/>
      <c r="CY1359" s="33"/>
      <c r="CZ1359" s="33"/>
      <c r="DM1359" s="117"/>
    </row>
    <row r="1360" spans="7:121" ht="21" x14ac:dyDescent="0.35">
      <c r="G1360" s="93">
        <f t="shared" si="4007"/>
        <v>2019</v>
      </c>
      <c r="I1360" s="94">
        <v>164.19204601283508</v>
      </c>
      <c r="J1360" s="125">
        <v>0.85106382978723405</v>
      </c>
      <c r="K1360" s="94">
        <v>5100.6684479423366</v>
      </c>
      <c r="L1360" s="93">
        <v>27.335392081989447</v>
      </c>
      <c r="M1360" s="93"/>
      <c r="N1360" s="65"/>
      <c r="O1360" s="93"/>
      <c r="P1360" s="94">
        <v>1827.6491278717051</v>
      </c>
      <c r="Q1360" s="94">
        <f t="shared" si="4006"/>
        <v>6928.3175758140414</v>
      </c>
      <c r="R1360" s="72">
        <f t="shared" si="4008"/>
        <v>1.8316527296145347E-2</v>
      </c>
      <c r="S1360" s="72"/>
      <c r="T1360" s="72"/>
      <c r="U1360" s="72"/>
      <c r="AH1360" s="33"/>
      <c r="AI1360" s="33"/>
      <c r="AJ1360" s="38"/>
      <c r="AK1360" s="38"/>
      <c r="AP1360" s="33"/>
      <c r="AQ1360" s="33"/>
      <c r="AR1360" s="33"/>
      <c r="AS1360" s="33"/>
      <c r="AT1360" s="33"/>
      <c r="AU1360" s="33"/>
      <c r="AV1360" s="33"/>
      <c r="AW1360" s="33"/>
      <c r="AX1360" s="33"/>
      <c r="AY1360" s="33"/>
      <c r="BA1360" s="33"/>
      <c r="BB1360" s="33"/>
      <c r="BC1360" s="114"/>
      <c r="BD1360" s="33"/>
      <c r="BE1360" s="33"/>
      <c r="BF1360" s="33"/>
      <c r="BG1360" s="50"/>
      <c r="BH1360" s="50"/>
      <c r="BI1360" s="50"/>
      <c r="BJ1360" s="50"/>
      <c r="BK1360" s="50"/>
      <c r="BL1360" s="50"/>
      <c r="BM1360" s="50"/>
      <c r="BN1360" s="50"/>
      <c r="BO1360" s="50"/>
      <c r="BP1360" s="50"/>
      <c r="CI1360" s="35"/>
      <c r="CP1360" s="39"/>
      <c r="CQ1360" s="32"/>
      <c r="CR1360" s="40"/>
      <c r="CS1360" s="40"/>
      <c r="CT1360" s="33"/>
      <c r="CU1360" s="33"/>
      <c r="CV1360" s="33"/>
      <c r="CW1360" s="33"/>
      <c r="CX1360" s="33"/>
      <c r="CY1360" s="33"/>
      <c r="CZ1360" s="33"/>
    </row>
    <row r="1361" spans="7:104" ht="21" x14ac:dyDescent="0.35">
      <c r="G1361" s="93">
        <f t="shared" si="4007"/>
        <v>2020</v>
      </c>
      <c r="I1361" s="94">
        <v>151.83004788442418</v>
      </c>
      <c r="J1361" s="125">
        <v>0.84057971014492749</v>
      </c>
      <c r="K1361" s="94">
        <v>5203.0859992919059</v>
      </c>
      <c r="L1361" s="94">
        <v>48.97795056218245</v>
      </c>
      <c r="M1361" s="94"/>
      <c r="N1361" s="67"/>
      <c r="O1361" s="94"/>
      <c r="P1361" s="94">
        <v>1856.6114546194096</v>
      </c>
      <c r="Q1361" s="94">
        <f t="shared" si="4006"/>
        <v>7059.6974539113153</v>
      </c>
      <c r="R1361" s="72">
        <f t="shared" si="4008"/>
        <v>1.8785187358659729E-2</v>
      </c>
      <c r="S1361" s="72"/>
      <c r="T1361" s="72"/>
      <c r="U1361" s="72"/>
      <c r="AH1361" s="33"/>
      <c r="AI1361" s="33"/>
      <c r="AJ1361" s="38"/>
      <c r="AK1361" s="38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BA1361" s="33"/>
      <c r="BB1361" s="33"/>
      <c r="BC1361" s="114"/>
      <c r="BD1361" s="33"/>
      <c r="BE1361" s="33"/>
      <c r="BF1361" s="33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CI1361" s="35"/>
      <c r="CP1361" s="39"/>
      <c r="CQ1361" s="32"/>
      <c r="CR1361" s="40"/>
      <c r="CS1361" s="40"/>
      <c r="CT1361" s="33"/>
      <c r="CU1361" s="33"/>
      <c r="CV1361" s="33"/>
      <c r="CW1361" s="33"/>
      <c r="CX1361" s="33"/>
      <c r="CY1361" s="33"/>
      <c r="CZ1361" s="33"/>
    </row>
    <row r="1362" spans="7:104" ht="21" x14ac:dyDescent="0.35">
      <c r="G1362" s="93">
        <f t="shared" si="4007"/>
        <v>2021</v>
      </c>
      <c r="I1362" s="94">
        <v>188.40836544412838</v>
      </c>
      <c r="J1362" s="125">
        <v>0.82962962962962961</v>
      </c>
      <c r="K1362" s="94">
        <v>5358.9671506140894</v>
      </c>
      <c r="L1362" s="94">
        <v>0</v>
      </c>
      <c r="M1362" s="94"/>
      <c r="N1362" s="67"/>
      <c r="O1362" s="94"/>
      <c r="P1362" s="94">
        <v>1847.1903647949446</v>
      </c>
      <c r="Q1362" s="94">
        <f t="shared" si="4006"/>
        <v>7206.1575154090342</v>
      </c>
      <c r="R1362" s="72">
        <f t="shared" si="4008"/>
        <v>2.0533673978099149E-2</v>
      </c>
      <c r="S1362" s="72"/>
      <c r="T1362" s="72"/>
      <c r="U1362" s="72"/>
      <c r="AH1362" s="33"/>
      <c r="AI1362" s="33"/>
      <c r="AJ1362" s="38"/>
      <c r="AK1362" s="38"/>
      <c r="AP1362" s="33"/>
      <c r="AQ1362" s="33"/>
      <c r="AR1362" s="33"/>
      <c r="AS1362" s="33"/>
      <c r="AT1362" s="33"/>
      <c r="AU1362" s="33"/>
      <c r="AV1362" s="33"/>
      <c r="AW1362" s="33"/>
      <c r="AX1362" s="33"/>
      <c r="AY1362" s="33"/>
      <c r="BA1362" s="33"/>
      <c r="BB1362" s="33"/>
      <c r="BC1362" s="114"/>
      <c r="BD1362" s="33"/>
      <c r="BE1362" s="33"/>
      <c r="BF1362" s="33"/>
      <c r="BG1362" s="50"/>
      <c r="BH1362" s="50"/>
      <c r="BI1362" s="50"/>
      <c r="BJ1362" s="50"/>
      <c r="BK1362" s="50"/>
      <c r="BL1362" s="50"/>
      <c r="BM1362" s="50"/>
      <c r="BN1362" s="50"/>
      <c r="BO1362" s="50"/>
      <c r="BP1362" s="50"/>
      <c r="CI1362" s="35"/>
      <c r="CP1362" s="39"/>
      <c r="CQ1362" s="32"/>
      <c r="CR1362" s="40"/>
      <c r="CS1362" s="40"/>
      <c r="CT1362" s="33"/>
      <c r="CU1362" s="33"/>
      <c r="CV1362" s="33"/>
      <c r="CW1362" s="33"/>
      <c r="CX1362" s="33"/>
      <c r="CY1362" s="33"/>
      <c r="CZ1362" s="33"/>
    </row>
    <row r="1363" spans="7:104" ht="21" x14ac:dyDescent="0.35">
      <c r="J1363" s="94"/>
      <c r="K1363" s="125"/>
      <c r="L1363" s="94"/>
      <c r="M1363" s="94"/>
      <c r="N1363" s="67"/>
      <c r="O1363" s="94"/>
      <c r="P1363" s="94"/>
      <c r="Q1363" s="94"/>
      <c r="R1363" s="94"/>
      <c r="S1363" s="94"/>
      <c r="T1363" s="94"/>
      <c r="U1363" s="94"/>
      <c r="V1363" s="127"/>
      <c r="W1363" s="72"/>
      <c r="X1363" s="72"/>
      <c r="Y1363" s="93"/>
      <c r="Z1363" s="93"/>
      <c r="AA1363" s="93"/>
      <c r="AB1363" s="93"/>
      <c r="AH1363" s="33"/>
      <c r="AI1363" s="33"/>
      <c r="AJ1363" s="38"/>
      <c r="AK1363" s="38"/>
      <c r="AP1363" s="33"/>
      <c r="AQ1363" s="33"/>
      <c r="AR1363" s="33"/>
      <c r="AS1363" s="33"/>
      <c r="AT1363" s="33"/>
      <c r="AU1363" s="33"/>
      <c r="AV1363" s="33"/>
      <c r="AW1363" s="33"/>
      <c r="AX1363" s="33"/>
      <c r="AY1363" s="33"/>
      <c r="BA1363" s="33"/>
      <c r="BB1363" s="33"/>
      <c r="BC1363" s="114"/>
      <c r="BD1363" s="33"/>
      <c r="BE1363" s="33"/>
      <c r="BF1363" s="33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CI1363" s="35"/>
      <c r="CP1363" s="39"/>
      <c r="CQ1363" s="32"/>
      <c r="CR1363" s="40"/>
      <c r="CS1363" s="40"/>
      <c r="CT1363" s="33"/>
      <c r="CU1363" s="33"/>
      <c r="CV1363" s="33"/>
      <c r="CW1363" s="33"/>
      <c r="CX1363" s="33"/>
      <c r="CY1363" s="33"/>
      <c r="CZ1363" s="33"/>
    </row>
    <row r="1364" spans="7:104" ht="21" x14ac:dyDescent="0.35">
      <c r="G1364" s="93"/>
      <c r="J1364" s="69"/>
      <c r="L1364" s="73"/>
      <c r="M1364" s="73"/>
      <c r="N1364" s="67"/>
      <c r="O1364" s="73"/>
      <c r="P1364" s="73"/>
      <c r="Q1364" s="94"/>
      <c r="R1364" s="73"/>
      <c r="S1364" s="73"/>
      <c r="T1364" s="73"/>
      <c r="U1364" s="73"/>
      <c r="V1364" s="127"/>
      <c r="W1364" s="72"/>
      <c r="X1364" s="72"/>
      <c r="Y1364" s="93"/>
      <c r="Z1364" s="93"/>
      <c r="AA1364" s="93"/>
      <c r="AB1364" s="93"/>
      <c r="AC1364" s="83"/>
      <c r="AD1364" s="72"/>
      <c r="AE1364" s="72"/>
      <c r="AF1364" s="72"/>
      <c r="AG1364" s="99"/>
      <c r="AH1364" s="99"/>
      <c r="AI1364" s="99"/>
      <c r="AJ1364" s="148"/>
      <c r="AK1364" s="148"/>
      <c r="AL1364" s="67"/>
      <c r="AM1364" s="72"/>
      <c r="AN1364" s="72"/>
      <c r="AO1364" s="33"/>
      <c r="AP1364" s="33"/>
      <c r="AQ1364" s="33"/>
      <c r="AR1364" s="33"/>
      <c r="AS1364" s="33"/>
      <c r="AT1364" s="33"/>
      <c r="AU1364" s="33"/>
      <c r="AV1364" s="33"/>
      <c r="AW1364" s="33"/>
      <c r="AX1364" s="33"/>
      <c r="AY1364" s="33"/>
      <c r="BA1364" s="33"/>
      <c r="BB1364" s="33"/>
      <c r="BC1364" s="114"/>
      <c r="BD1364" s="33"/>
      <c r="BE1364" s="33"/>
      <c r="BF1364" s="33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CI1364" s="35"/>
      <c r="CP1364" s="39"/>
      <c r="CQ1364" s="32"/>
      <c r="CR1364" s="40"/>
      <c r="CS1364" s="40"/>
      <c r="CT1364" s="33"/>
      <c r="CU1364" s="33"/>
      <c r="CV1364" s="33"/>
      <c r="CW1364" s="33"/>
      <c r="CX1364" s="33"/>
      <c r="CY1364" s="33"/>
      <c r="CZ1364" s="33"/>
    </row>
    <row r="1365" spans="7:104" ht="42" x14ac:dyDescent="0.35">
      <c r="G1365" s="93"/>
      <c r="I1365" s="128" t="s">
        <v>457</v>
      </c>
      <c r="J1365" s="69" t="s">
        <v>535</v>
      </c>
      <c r="K1365" s="73" t="s">
        <v>536</v>
      </c>
      <c r="L1365" s="128" t="s">
        <v>457</v>
      </c>
      <c r="M1365" s="128"/>
      <c r="N1365" s="161"/>
      <c r="O1365" s="128"/>
      <c r="P1365" s="94" t="s">
        <v>563</v>
      </c>
      <c r="Q1365" s="73" t="s">
        <v>545</v>
      </c>
      <c r="R1365" s="73" t="s">
        <v>556</v>
      </c>
      <c r="S1365" s="73"/>
      <c r="T1365" s="73"/>
      <c r="U1365" s="73"/>
      <c r="V1365" s="127"/>
      <c r="W1365" s="72"/>
      <c r="X1365" s="72"/>
      <c r="Y1365" s="93"/>
      <c r="Z1365" s="93"/>
      <c r="AA1365" s="93"/>
      <c r="AB1365" s="93"/>
      <c r="AC1365" s="83"/>
      <c r="AD1365" s="72"/>
      <c r="AE1365" s="72"/>
      <c r="AF1365" s="72"/>
      <c r="AG1365" s="99"/>
      <c r="AH1365" s="99"/>
      <c r="AI1365" s="99"/>
      <c r="AJ1365" s="148"/>
      <c r="AK1365" s="148"/>
      <c r="AL1365" s="67"/>
      <c r="AM1365" s="72"/>
      <c r="AN1365" s="72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BA1365" s="33"/>
      <c r="BB1365" s="33"/>
      <c r="BC1365" s="114"/>
      <c r="BD1365" s="33"/>
      <c r="BE1365" s="33"/>
      <c r="BF1365" s="33"/>
      <c r="BG1365" s="50"/>
      <c r="BH1365" s="50"/>
      <c r="BI1365" s="50"/>
      <c r="BJ1365" s="50"/>
      <c r="BK1365" s="50"/>
      <c r="BL1365" s="50"/>
      <c r="BM1365" s="50"/>
      <c r="BN1365" s="50"/>
      <c r="BO1365" s="50"/>
      <c r="BP1365" s="50"/>
      <c r="CI1365" s="35"/>
      <c r="CP1365" s="39"/>
      <c r="CQ1365" s="32"/>
      <c r="CR1365" s="40"/>
      <c r="CS1365" s="40"/>
      <c r="CT1365" s="33"/>
      <c r="CU1365" s="33"/>
      <c r="CV1365" s="33"/>
      <c r="CW1365" s="33"/>
      <c r="CX1365" s="33"/>
      <c r="CY1365" s="33"/>
      <c r="CZ1365" s="33"/>
    </row>
    <row r="1366" spans="7:104" ht="21" x14ac:dyDescent="0.35">
      <c r="G1366" s="93">
        <v>1998</v>
      </c>
      <c r="I1366" s="69"/>
      <c r="J1366" s="69"/>
      <c r="K1366" s="127"/>
      <c r="L1366" s="73"/>
      <c r="M1366" s="73"/>
      <c r="N1366" s="67"/>
      <c r="O1366" s="73"/>
      <c r="P1366" s="94"/>
      <c r="Q1366" s="16"/>
      <c r="R1366" s="16"/>
      <c r="S1366" s="16"/>
      <c r="T1366" s="16"/>
      <c r="U1366" s="16"/>
      <c r="V1366" s="127"/>
      <c r="W1366" s="72"/>
      <c r="X1366" s="72"/>
      <c r="Y1366" s="93"/>
      <c r="Z1366" s="93"/>
      <c r="AA1366" s="93"/>
      <c r="AB1366" s="93"/>
      <c r="AC1366" s="83"/>
      <c r="AD1366" s="72"/>
      <c r="AE1366" s="72"/>
      <c r="AF1366" s="72"/>
      <c r="AG1366" s="99"/>
      <c r="AH1366" s="99"/>
      <c r="AI1366" s="99"/>
      <c r="AJ1366" s="148"/>
      <c r="AK1366" s="148"/>
      <c r="AL1366" s="67"/>
      <c r="AM1366" s="72"/>
      <c r="AN1366" s="72"/>
      <c r="AO1366" s="33"/>
      <c r="AP1366" s="33"/>
      <c r="AQ1366" s="33"/>
      <c r="AR1366" s="33"/>
      <c r="AS1366" s="33"/>
      <c r="AT1366" s="33"/>
      <c r="AU1366" s="33"/>
      <c r="AV1366" s="33"/>
      <c r="AW1366" s="33"/>
      <c r="AX1366" s="33"/>
      <c r="AY1366" s="33"/>
      <c r="BA1366" s="33"/>
      <c r="BB1366" s="33"/>
      <c r="BC1366" s="114"/>
      <c r="BD1366" s="33"/>
      <c r="BE1366" s="33"/>
      <c r="BF1366" s="33"/>
      <c r="BG1366" s="50"/>
      <c r="BH1366" s="50"/>
      <c r="BI1366" s="50"/>
      <c r="BJ1366" s="50"/>
      <c r="BK1366" s="50"/>
      <c r="BL1366" s="50"/>
      <c r="BM1366" s="50"/>
      <c r="BN1366" s="50"/>
      <c r="BO1366" s="50"/>
      <c r="BP1366" s="50"/>
      <c r="CI1366" s="35"/>
      <c r="CP1366" s="39"/>
      <c r="CQ1366" s="32"/>
      <c r="CR1366" s="40"/>
      <c r="CS1366" s="40"/>
      <c r="CT1366" s="33"/>
      <c r="CU1366" s="33"/>
      <c r="CV1366" s="33"/>
      <c r="CW1366" s="33"/>
      <c r="CX1366" s="33"/>
      <c r="CY1366" s="33"/>
      <c r="CZ1366" s="33"/>
    </row>
    <row r="1367" spans="7:104" ht="21" x14ac:dyDescent="0.35">
      <c r="G1367" s="93">
        <f t="shared" ref="G1367:G1389" si="4011">+G1366+1</f>
        <v>1999</v>
      </c>
      <c r="I1367" s="67"/>
      <c r="J1367" s="69"/>
      <c r="K1367" s="127"/>
      <c r="L1367" s="73"/>
      <c r="M1367" s="73"/>
      <c r="N1367" s="67"/>
      <c r="O1367" s="73"/>
      <c r="P1367" s="73"/>
      <c r="Q1367" s="16"/>
      <c r="R1367" s="16"/>
      <c r="S1367" s="16"/>
      <c r="T1367" s="16"/>
      <c r="U1367" s="16"/>
      <c r="V1367" s="127"/>
      <c r="W1367" s="72"/>
      <c r="X1367" s="72"/>
      <c r="Y1367" s="93"/>
      <c r="Z1367" s="93"/>
      <c r="AA1367" s="93"/>
      <c r="AB1367" s="93"/>
      <c r="AC1367" s="83"/>
      <c r="AD1367" s="72"/>
      <c r="AE1367" s="72"/>
      <c r="AF1367" s="72"/>
      <c r="AG1367" s="99"/>
      <c r="AH1367" s="99"/>
      <c r="AI1367" s="99"/>
      <c r="AJ1367" s="148"/>
      <c r="AK1367" s="148"/>
      <c r="AL1367" s="67"/>
      <c r="AM1367" s="72"/>
      <c r="AN1367" s="72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  <c r="BA1367" s="33"/>
      <c r="BB1367" s="33"/>
      <c r="BC1367" s="114"/>
      <c r="BD1367" s="33"/>
      <c r="BE1367" s="33"/>
      <c r="BF1367" s="33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CI1367" s="35"/>
      <c r="CP1367" s="39"/>
      <c r="CQ1367" s="32"/>
      <c r="CR1367" s="40"/>
      <c r="CS1367" s="40"/>
      <c r="CT1367" s="33"/>
      <c r="CU1367" s="33"/>
      <c r="CV1367" s="33"/>
      <c r="CW1367" s="33"/>
      <c r="CX1367" s="33"/>
      <c r="CY1367" s="33"/>
      <c r="CZ1367" s="33"/>
    </row>
    <row r="1368" spans="7:104" ht="21" x14ac:dyDescent="0.35">
      <c r="G1368" s="93">
        <f t="shared" si="4011"/>
        <v>2000</v>
      </c>
      <c r="I1368" s="67"/>
      <c r="J1368" s="69"/>
      <c r="K1368" s="127"/>
      <c r="L1368" s="73"/>
      <c r="M1368" s="73"/>
      <c r="N1368" s="67"/>
      <c r="O1368" s="73"/>
      <c r="P1368" s="94"/>
      <c r="Q1368" s="16"/>
      <c r="R1368" s="16"/>
      <c r="S1368" s="16"/>
      <c r="T1368" s="16"/>
      <c r="U1368" s="16"/>
      <c r="V1368" s="127"/>
      <c r="W1368" s="72"/>
      <c r="X1368" s="72"/>
      <c r="Y1368" s="93"/>
      <c r="Z1368" s="93"/>
      <c r="AA1368" s="93"/>
      <c r="AB1368" s="93"/>
      <c r="AC1368" s="83"/>
      <c r="AD1368" s="72"/>
      <c r="AE1368" s="72"/>
      <c r="AF1368" s="72"/>
      <c r="AG1368" s="99"/>
      <c r="AH1368" s="99"/>
      <c r="AI1368" s="99"/>
      <c r="AJ1368" s="148"/>
      <c r="AK1368" s="148"/>
      <c r="AL1368" s="67"/>
      <c r="AM1368" s="72"/>
      <c r="AN1368" s="72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  <c r="BA1368" s="33"/>
      <c r="BB1368" s="33"/>
      <c r="BC1368" s="114"/>
      <c r="BD1368" s="33"/>
      <c r="BE1368" s="33"/>
      <c r="BF1368" s="33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CI1368" s="35"/>
      <c r="CP1368" s="39"/>
      <c r="CQ1368" s="32"/>
      <c r="CR1368" s="40"/>
      <c r="CS1368" s="40"/>
      <c r="CT1368" s="33"/>
      <c r="CU1368" s="33"/>
      <c r="CV1368" s="33"/>
      <c r="CW1368" s="33"/>
      <c r="CX1368" s="33"/>
      <c r="CY1368" s="33"/>
      <c r="CZ1368" s="33"/>
    </row>
    <row r="1369" spans="7:104" ht="21" x14ac:dyDescent="0.35">
      <c r="G1369" s="93">
        <f t="shared" si="4011"/>
        <v>2001</v>
      </c>
      <c r="I1369" s="67">
        <v>13.028770401552904</v>
      </c>
      <c r="J1369" s="72">
        <f t="shared" ref="J1369:J1388" si="4012">LN(I1370/I1369)</f>
        <v>1.2212410459837803E-2</v>
      </c>
      <c r="K1369" s="127">
        <f t="shared" ref="K1369:K1389" si="4013">+I1369*Q1341</f>
        <v>56394.013280779705</v>
      </c>
      <c r="L1369" s="73"/>
      <c r="M1369" s="73"/>
      <c r="N1369" s="67"/>
      <c r="O1369" s="73"/>
      <c r="P1369" s="94"/>
      <c r="Q1369" s="134"/>
      <c r="R1369" s="73"/>
      <c r="S1369" s="73"/>
      <c r="T1369" s="73"/>
      <c r="U1369" s="73"/>
      <c r="V1369" s="127"/>
      <c r="W1369" s="72"/>
      <c r="X1369" s="72"/>
      <c r="Y1369" s="93"/>
      <c r="Z1369" s="93"/>
      <c r="AA1369" s="93"/>
      <c r="AB1369" s="93"/>
      <c r="AC1369" s="83"/>
      <c r="AD1369" s="72"/>
      <c r="AE1369" s="72"/>
      <c r="AF1369" s="72"/>
      <c r="AG1369" s="99"/>
      <c r="AH1369" s="99"/>
      <c r="AI1369" s="99"/>
      <c r="AJ1369" s="148"/>
      <c r="AK1369" s="148"/>
      <c r="AL1369" s="67"/>
      <c r="AM1369" s="72"/>
      <c r="AN1369" s="72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  <c r="BA1369" s="33"/>
      <c r="BB1369" s="33"/>
      <c r="BC1369" s="114"/>
      <c r="BD1369" s="33"/>
      <c r="BE1369" s="33"/>
      <c r="BF1369" s="33"/>
      <c r="BG1369" s="50"/>
      <c r="BH1369" s="50"/>
      <c r="BI1369" s="50"/>
      <c r="BJ1369" s="50"/>
      <c r="BK1369" s="50"/>
      <c r="BL1369" s="50"/>
      <c r="BM1369" s="50"/>
      <c r="BN1369" s="50"/>
      <c r="BO1369" s="50"/>
      <c r="BP1369" s="50"/>
      <c r="CI1369" s="35"/>
      <c r="CP1369" s="39"/>
      <c r="CQ1369" s="32"/>
      <c r="CR1369" s="40"/>
      <c r="CS1369" s="40"/>
      <c r="CT1369" s="33"/>
      <c r="CU1369" s="33"/>
      <c r="CV1369" s="33"/>
      <c r="CW1369" s="33"/>
      <c r="CX1369" s="33"/>
      <c r="CY1369" s="33"/>
      <c r="CZ1369" s="33"/>
    </row>
    <row r="1370" spans="7:104" ht="21" x14ac:dyDescent="0.35">
      <c r="G1370" s="93">
        <f t="shared" si="4011"/>
        <v>2002</v>
      </c>
      <c r="I1370" s="67">
        <v>13.188858635430005</v>
      </c>
      <c r="J1370" s="72">
        <f t="shared" si="4012"/>
        <v>1.6103398661898655E-2</v>
      </c>
      <c r="K1370" s="127">
        <f t="shared" si="4013"/>
        <v>61514.388290509822</v>
      </c>
      <c r="L1370" s="72">
        <f t="shared" ref="L1370:L1389" si="4014">LN(K1370/K1369)</f>
        <v>8.6908098026235059E-2</v>
      </c>
      <c r="M1370" s="72"/>
      <c r="N1370" s="67"/>
      <c r="O1370" s="72"/>
      <c r="P1370" s="72"/>
      <c r="Q1370" s="134"/>
      <c r="R1370" s="73"/>
      <c r="S1370" s="73"/>
      <c r="T1370" s="73"/>
      <c r="U1370" s="73"/>
      <c r="V1370" s="127"/>
      <c r="W1370" s="72"/>
      <c r="X1370" s="72"/>
      <c r="Y1370" s="93"/>
      <c r="Z1370" s="93"/>
      <c r="AA1370" s="93"/>
      <c r="AB1370" s="93"/>
      <c r="AC1370" s="83"/>
      <c r="AD1370" s="72"/>
      <c r="AE1370" s="72"/>
      <c r="AF1370" s="72"/>
      <c r="AG1370" s="99"/>
      <c r="AH1370" s="99"/>
      <c r="AI1370" s="99"/>
      <c r="AJ1370" s="148"/>
      <c r="AK1370" s="148"/>
      <c r="AL1370" s="67"/>
      <c r="AM1370" s="72"/>
      <c r="AN1370" s="72"/>
      <c r="AO1370" s="33"/>
      <c r="AP1370" s="33"/>
      <c r="AQ1370" s="33"/>
      <c r="AR1370" s="33"/>
      <c r="AS1370" s="33"/>
      <c r="AT1370" s="33"/>
      <c r="AU1370" s="33"/>
      <c r="AV1370" s="33"/>
      <c r="AW1370" s="33"/>
      <c r="AX1370" s="33"/>
      <c r="AY1370" s="33"/>
      <c r="BA1370" s="33"/>
      <c r="BB1370" s="33"/>
      <c r="BC1370" s="114"/>
      <c r="BD1370" s="33"/>
      <c r="BE1370" s="33"/>
      <c r="BF1370" s="33"/>
      <c r="BG1370" s="50"/>
      <c r="BH1370" s="50"/>
      <c r="BI1370" s="50"/>
      <c r="BJ1370" s="50"/>
      <c r="BK1370" s="50"/>
      <c r="BL1370" s="50"/>
      <c r="BM1370" s="50"/>
      <c r="BN1370" s="50"/>
      <c r="BO1370" s="50"/>
      <c r="BP1370" s="50"/>
      <c r="CI1370" s="35"/>
      <c r="CP1370" s="39"/>
      <c r="CQ1370" s="32"/>
      <c r="CR1370" s="40"/>
      <c r="CS1370" s="40"/>
      <c r="CT1370" s="33"/>
      <c r="CU1370" s="33"/>
      <c r="CV1370" s="33"/>
      <c r="CW1370" s="33"/>
      <c r="CX1370" s="33"/>
      <c r="CY1370" s="33"/>
      <c r="CZ1370" s="33"/>
    </row>
    <row r="1371" spans="7:104" ht="21" x14ac:dyDescent="0.35">
      <c r="G1371" s="93">
        <f t="shared" si="4011"/>
        <v>2003</v>
      </c>
      <c r="I1371" s="67">
        <v>13.402963364058664</v>
      </c>
      <c r="J1371" s="72">
        <f t="shared" si="4012"/>
        <v>0.10317820269838369</v>
      </c>
      <c r="K1371" s="127">
        <f t="shared" si="4013"/>
        <v>66638.583960649165</v>
      </c>
      <c r="L1371" s="72">
        <f t="shared" si="4014"/>
        <v>8.0012645150626227E-2</v>
      </c>
      <c r="M1371" s="72"/>
      <c r="N1371" s="67"/>
      <c r="O1371" s="72"/>
      <c r="P1371" s="72"/>
      <c r="Q1371" s="134"/>
      <c r="R1371" s="73"/>
      <c r="S1371" s="73"/>
      <c r="T1371" s="73"/>
      <c r="U1371" s="73"/>
      <c r="V1371" s="127"/>
      <c r="W1371" s="72"/>
      <c r="X1371" s="72"/>
      <c r="Y1371" s="93"/>
      <c r="Z1371" s="93"/>
      <c r="AA1371" s="93"/>
      <c r="AB1371" s="93"/>
      <c r="AC1371" s="83"/>
      <c r="AD1371" s="72"/>
      <c r="AE1371" s="72"/>
      <c r="AF1371" s="72"/>
      <c r="AG1371" s="99"/>
      <c r="AH1371" s="99"/>
      <c r="AI1371" s="99"/>
      <c r="AJ1371" s="148"/>
      <c r="AK1371" s="148"/>
      <c r="AL1371" s="67"/>
      <c r="AM1371" s="72"/>
      <c r="AN1371" s="72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BA1371" s="33"/>
      <c r="BB1371" s="33"/>
      <c r="BC1371" s="114"/>
      <c r="BD1371" s="33"/>
      <c r="BE1371" s="33"/>
      <c r="BF1371" s="33"/>
      <c r="BG1371" s="50"/>
      <c r="BH1371" s="50"/>
      <c r="BI1371" s="50"/>
      <c r="BJ1371" s="50"/>
      <c r="BK1371" s="50"/>
      <c r="BL1371" s="50"/>
      <c r="BM1371" s="50"/>
      <c r="BN1371" s="50"/>
      <c r="BO1371" s="50"/>
      <c r="BP1371" s="50"/>
      <c r="CI1371" s="35"/>
      <c r="CP1371" s="39"/>
      <c r="CQ1371" s="32"/>
      <c r="CR1371" s="40"/>
      <c r="CS1371" s="40"/>
      <c r="CT1371" s="33"/>
      <c r="CU1371" s="33"/>
      <c r="CV1371" s="33"/>
      <c r="CW1371" s="33"/>
      <c r="CX1371" s="33"/>
      <c r="CY1371" s="33"/>
      <c r="CZ1371" s="33"/>
    </row>
    <row r="1372" spans="7:104" ht="21" x14ac:dyDescent="0.35">
      <c r="G1372" s="93">
        <f t="shared" si="4011"/>
        <v>2004</v>
      </c>
      <c r="I1372" s="67">
        <v>14.85971755105423</v>
      </c>
      <c r="J1372" s="72">
        <f t="shared" si="4012"/>
        <v>0.11753886646543935</v>
      </c>
      <c r="K1372" s="127">
        <f t="shared" si="4013"/>
        <v>75676.060309501161</v>
      </c>
      <c r="L1372" s="72">
        <f t="shared" si="4014"/>
        <v>0.1271781176244958</v>
      </c>
      <c r="M1372" s="72"/>
      <c r="N1372" s="67"/>
      <c r="O1372" s="72"/>
      <c r="P1372" s="72"/>
      <c r="Q1372" s="134"/>
      <c r="R1372" s="73"/>
      <c r="S1372" s="73"/>
      <c r="T1372" s="73"/>
      <c r="U1372" s="73"/>
      <c r="V1372" s="127"/>
      <c r="W1372" s="72"/>
      <c r="X1372" s="72"/>
      <c r="Y1372" s="93"/>
      <c r="Z1372" s="93"/>
      <c r="AA1372" s="93"/>
      <c r="AB1372" s="93"/>
      <c r="AC1372" s="83"/>
      <c r="AD1372" s="72"/>
      <c r="AE1372" s="72"/>
      <c r="AF1372" s="72"/>
      <c r="AG1372" s="99"/>
      <c r="AH1372" s="99"/>
      <c r="AI1372" s="99"/>
      <c r="AJ1372" s="148"/>
      <c r="AK1372" s="148"/>
      <c r="AL1372" s="67"/>
      <c r="AM1372" s="72"/>
      <c r="AN1372" s="72"/>
      <c r="AO1372" s="33"/>
      <c r="AP1372" s="33"/>
      <c r="AQ1372" s="33"/>
      <c r="AR1372" s="33"/>
      <c r="AS1372" s="33"/>
      <c r="AT1372" s="33"/>
      <c r="AU1372" s="33"/>
      <c r="AV1372" s="33"/>
      <c r="AW1372" s="33"/>
      <c r="AX1372" s="33"/>
      <c r="AY1372" s="33"/>
      <c r="BA1372" s="33"/>
      <c r="BB1372" s="33"/>
      <c r="BC1372" s="114"/>
      <c r="BD1372" s="33"/>
      <c r="BE1372" s="33"/>
      <c r="BF1372" s="33"/>
      <c r="BG1372" s="50"/>
      <c r="BH1372" s="50"/>
      <c r="BI1372" s="50"/>
      <c r="BJ1372" s="50"/>
      <c r="BK1372" s="50"/>
      <c r="BL1372" s="50"/>
      <c r="BM1372" s="50"/>
      <c r="BN1372" s="50"/>
      <c r="BO1372" s="50"/>
      <c r="BP1372" s="50"/>
      <c r="CI1372" s="35"/>
      <c r="CP1372" s="39"/>
      <c r="CQ1372" s="32"/>
      <c r="CR1372" s="40"/>
      <c r="CS1372" s="40"/>
      <c r="CT1372" s="33"/>
      <c r="CU1372" s="33"/>
      <c r="CV1372" s="33"/>
      <c r="CW1372" s="33"/>
      <c r="CX1372" s="33"/>
      <c r="CY1372" s="33"/>
      <c r="CZ1372" s="33"/>
    </row>
    <row r="1373" spans="7:104" ht="21" x14ac:dyDescent="0.35">
      <c r="G1373" s="93">
        <f t="shared" si="4011"/>
        <v>2005</v>
      </c>
      <c r="I1373" s="67">
        <v>16.713100922359288</v>
      </c>
      <c r="J1373" s="72">
        <f t="shared" si="4012"/>
        <v>-2.4112949680301744E-2</v>
      </c>
      <c r="K1373" s="127">
        <f t="shared" si="4013"/>
        <v>87632.539813548559</v>
      </c>
      <c r="L1373" s="72">
        <f t="shared" si="4014"/>
        <v>0.14669052185986362</v>
      </c>
      <c r="M1373" s="72"/>
      <c r="N1373" s="67"/>
      <c r="O1373" s="72"/>
      <c r="P1373" s="72">
        <f t="shared" ref="P1373:P1388" si="4015">+Q1373/AE43</f>
        <v>2.812240169314548E-2</v>
      </c>
      <c r="Q1373" s="134">
        <f>+K1373+P1392+P1415</f>
        <v>225828.11630300805</v>
      </c>
      <c r="R1373" s="73"/>
      <c r="S1373" s="73"/>
      <c r="T1373" s="73"/>
      <c r="U1373" s="73"/>
      <c r="V1373" s="127"/>
      <c r="W1373" s="72"/>
      <c r="X1373" s="72"/>
      <c r="Y1373" s="93"/>
      <c r="Z1373" s="93"/>
      <c r="AA1373" s="93"/>
      <c r="AB1373" s="93"/>
      <c r="AC1373" s="83"/>
      <c r="AD1373" s="72"/>
      <c r="AE1373" s="72"/>
      <c r="AF1373" s="72"/>
      <c r="AG1373" s="99"/>
      <c r="AH1373" s="99"/>
      <c r="AI1373" s="99"/>
      <c r="AJ1373" s="148"/>
      <c r="AK1373" s="148"/>
      <c r="AL1373" s="67"/>
      <c r="AM1373" s="72"/>
      <c r="AN1373" s="72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BA1373" s="33"/>
      <c r="BB1373" s="33"/>
      <c r="BC1373" s="114"/>
      <c r="BD1373" s="33"/>
      <c r="BE1373" s="33"/>
      <c r="BF1373" s="33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CI1373" s="35"/>
      <c r="CP1373" s="39"/>
      <c r="CQ1373" s="32"/>
      <c r="CR1373" s="40"/>
      <c r="CS1373" s="40"/>
      <c r="CT1373" s="33"/>
      <c r="CU1373" s="33"/>
      <c r="CV1373" s="33"/>
      <c r="CW1373" s="33"/>
      <c r="CX1373" s="33"/>
      <c r="CY1373" s="33"/>
      <c r="CZ1373" s="33"/>
    </row>
    <row r="1374" spans="7:104" ht="21" x14ac:dyDescent="0.35">
      <c r="G1374" s="93">
        <f t="shared" si="4011"/>
        <v>2006</v>
      </c>
      <c r="I1374" s="67">
        <v>16.314918727312939</v>
      </c>
      <c r="J1374" s="72">
        <f t="shared" si="4012"/>
        <v>7.0922841877369233E-2</v>
      </c>
      <c r="K1374" s="127">
        <f t="shared" si="4013"/>
        <v>86482.23035318288</v>
      </c>
      <c r="L1374" s="72">
        <f t="shared" si="4014"/>
        <v>-1.3213424635940305E-2</v>
      </c>
      <c r="M1374" s="72"/>
      <c r="N1374" s="67"/>
      <c r="O1374" s="72"/>
      <c r="P1374" s="72">
        <f t="shared" si="4015"/>
        <v>2.807950959313768E-2</v>
      </c>
      <c r="Q1374" s="134">
        <f t="shared" ref="Q1374:Q1389" si="4016">+K1374+P1393+P1416</f>
        <v>223359.53531400501</v>
      </c>
      <c r="R1374" s="72">
        <f t="shared" ref="R1374:R1389" si="4017">LN(Q1374/Q1373)</f>
        <v>-1.0991423440921603E-2</v>
      </c>
      <c r="S1374" s="73"/>
      <c r="T1374" s="73"/>
      <c r="U1374" s="73"/>
      <c r="V1374" s="127"/>
      <c r="W1374" s="72"/>
      <c r="X1374" s="72"/>
      <c r="Y1374" s="93"/>
      <c r="Z1374" s="93"/>
      <c r="AA1374" s="93"/>
      <c r="AB1374" s="93"/>
      <c r="AC1374" s="83"/>
      <c r="AD1374" s="72"/>
      <c r="AE1374" s="72"/>
      <c r="AF1374" s="72"/>
      <c r="AG1374" s="99"/>
      <c r="AH1374" s="99"/>
      <c r="AI1374" s="99"/>
      <c r="AJ1374" s="148"/>
      <c r="AK1374" s="148"/>
      <c r="AL1374" s="67"/>
      <c r="AM1374" s="72"/>
      <c r="AN1374" s="72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BA1374" s="33"/>
      <c r="BB1374" s="33"/>
      <c r="BC1374" s="114"/>
      <c r="BD1374" s="33"/>
      <c r="BE1374" s="33"/>
      <c r="BF1374" s="33"/>
      <c r="BG1374" s="50"/>
      <c r="BH1374" s="50"/>
      <c r="BI1374" s="50"/>
      <c r="BJ1374" s="50"/>
      <c r="BK1374" s="50"/>
      <c r="BL1374" s="50"/>
      <c r="BM1374" s="50"/>
      <c r="BN1374" s="50"/>
      <c r="BO1374" s="50"/>
      <c r="BP1374" s="50"/>
      <c r="CI1374" s="35"/>
      <c r="CP1374" s="39"/>
      <c r="CQ1374" s="32"/>
      <c r="CR1374" s="40"/>
      <c r="CS1374" s="40"/>
      <c r="CT1374" s="33"/>
      <c r="CU1374" s="33"/>
      <c r="CV1374" s="33"/>
      <c r="CW1374" s="33"/>
      <c r="CX1374" s="33"/>
      <c r="CY1374" s="33"/>
      <c r="CZ1374" s="33"/>
    </row>
    <row r="1375" spans="7:104" ht="21" x14ac:dyDescent="0.35">
      <c r="G1375" s="93">
        <f t="shared" si="4011"/>
        <v>2007</v>
      </c>
      <c r="I1375" s="67">
        <v>17.514039044703704</v>
      </c>
      <c r="J1375" s="72">
        <f t="shared" si="4012"/>
        <v>0.12676389309522537</v>
      </c>
      <c r="K1375" s="127">
        <f t="shared" si="4013"/>
        <v>94996.235626555266</v>
      </c>
      <c r="L1375" s="72">
        <f t="shared" si="4014"/>
        <v>9.3898302440478795E-2</v>
      </c>
      <c r="M1375" s="72"/>
      <c r="N1375" s="67"/>
      <c r="O1375" s="72"/>
      <c r="P1375" s="72">
        <f t="shared" si="4015"/>
        <v>2.8746865036437072E-2</v>
      </c>
      <c r="Q1375" s="134">
        <f t="shared" si="4016"/>
        <v>241529.9870973372</v>
      </c>
      <c r="R1375" s="72">
        <f t="shared" si="4017"/>
        <v>7.8210896422764603E-2</v>
      </c>
      <c r="S1375" s="72"/>
      <c r="T1375" s="72"/>
      <c r="U1375" s="72"/>
      <c r="V1375" s="127"/>
      <c r="W1375" s="72"/>
      <c r="X1375" s="72"/>
      <c r="Y1375" s="93"/>
      <c r="Z1375" s="93"/>
      <c r="AA1375" s="93"/>
      <c r="AB1375" s="93"/>
      <c r="AC1375" s="83"/>
      <c r="AD1375" s="72"/>
      <c r="AE1375" s="72"/>
      <c r="AF1375" s="72"/>
      <c r="AG1375" s="99"/>
      <c r="AH1375" s="99"/>
      <c r="AI1375" s="99"/>
      <c r="AJ1375" s="148"/>
      <c r="AK1375" s="148"/>
      <c r="AL1375" s="67"/>
      <c r="AM1375" s="72"/>
      <c r="AN1375" s="72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BA1375" s="33"/>
      <c r="BB1375" s="33"/>
      <c r="BC1375" s="114"/>
      <c r="BD1375" s="33"/>
      <c r="BE1375" s="33"/>
      <c r="BF1375" s="33"/>
      <c r="BG1375" s="50"/>
      <c r="BH1375" s="50"/>
      <c r="BI1375" s="50"/>
      <c r="BJ1375" s="50"/>
      <c r="BK1375" s="50"/>
      <c r="BL1375" s="50"/>
      <c r="BM1375" s="50"/>
      <c r="BN1375" s="50"/>
      <c r="BO1375" s="50"/>
      <c r="BP1375" s="50"/>
      <c r="CI1375" s="35"/>
      <c r="CP1375" s="39"/>
      <c r="CQ1375" s="32"/>
      <c r="CR1375" s="40"/>
      <c r="CS1375" s="40"/>
      <c r="CT1375" s="33"/>
      <c r="CU1375" s="33"/>
      <c r="CV1375" s="33"/>
      <c r="CW1375" s="33"/>
      <c r="CX1375" s="33"/>
      <c r="CY1375" s="33"/>
      <c r="CZ1375" s="33"/>
    </row>
    <row r="1376" spans="7:104" ht="21" x14ac:dyDescent="0.35">
      <c r="G1376" s="93">
        <f t="shared" si="4011"/>
        <v>2008</v>
      </c>
      <c r="I1376" s="67">
        <v>19.881043375638267</v>
      </c>
      <c r="J1376" s="72">
        <f t="shared" si="4012"/>
        <v>-4.19378867621608E-2</v>
      </c>
      <c r="K1376" s="127">
        <f t="shared" si="4013"/>
        <v>109693.96599208406</v>
      </c>
      <c r="L1376" s="72">
        <f t="shared" si="4014"/>
        <v>0.14385709530650775</v>
      </c>
      <c r="M1376" s="72"/>
      <c r="N1376" s="67"/>
      <c r="O1376" s="72"/>
      <c r="P1376" s="72">
        <f t="shared" si="4015"/>
        <v>3.1567114676104083E-2</v>
      </c>
      <c r="Q1376" s="134">
        <f t="shared" si="4016"/>
        <v>283537.26030541857</v>
      </c>
      <c r="R1376" s="72">
        <f t="shared" si="4017"/>
        <v>0.16034990862097132</v>
      </c>
      <c r="S1376" s="72"/>
      <c r="T1376" s="72"/>
      <c r="U1376" s="72"/>
      <c r="V1376" s="127"/>
      <c r="W1376" s="72"/>
      <c r="X1376" s="72"/>
      <c r="Y1376" s="93"/>
      <c r="Z1376" s="93"/>
      <c r="AA1376" s="93"/>
      <c r="AB1376" s="93"/>
      <c r="AC1376" s="83"/>
      <c r="AD1376" s="72"/>
      <c r="AE1376" s="72"/>
      <c r="AF1376" s="72"/>
      <c r="AG1376" s="99"/>
      <c r="AH1376" s="99"/>
      <c r="AI1376" s="99"/>
      <c r="AJ1376" s="148"/>
      <c r="AK1376" s="148"/>
      <c r="AL1376" s="67"/>
      <c r="AM1376" s="72"/>
      <c r="AN1376" s="72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BA1376" s="33"/>
      <c r="BB1376" s="33"/>
      <c r="BC1376" s="114"/>
      <c r="BD1376" s="33"/>
      <c r="BE1376" s="33"/>
      <c r="BF1376" s="33"/>
      <c r="BG1376" s="50"/>
      <c r="BH1376" s="50"/>
      <c r="BI1376" s="50"/>
      <c r="BJ1376" s="50"/>
      <c r="BK1376" s="50"/>
      <c r="BL1376" s="50"/>
      <c r="BM1376" s="50"/>
      <c r="BN1376" s="50"/>
      <c r="BO1376" s="50"/>
      <c r="BP1376" s="50"/>
      <c r="CI1376" s="35"/>
      <c r="CP1376" s="39"/>
      <c r="CQ1376" s="32"/>
      <c r="CR1376" s="40"/>
      <c r="CS1376" s="40"/>
      <c r="CT1376" s="33"/>
      <c r="CU1376" s="33"/>
      <c r="CV1376" s="33"/>
      <c r="CW1376" s="33"/>
      <c r="CX1376" s="33"/>
      <c r="CY1376" s="33"/>
      <c r="CZ1376" s="33"/>
    </row>
    <row r="1377" spans="7:104" ht="21" x14ac:dyDescent="0.35">
      <c r="G1377" s="93">
        <f t="shared" si="4011"/>
        <v>2009</v>
      </c>
      <c r="I1377" s="67">
        <v>19.064515821180596</v>
      </c>
      <c r="J1377" s="72">
        <f t="shared" si="4012"/>
        <v>2.526216386507605E-2</v>
      </c>
      <c r="K1377" s="127">
        <f t="shared" si="4013"/>
        <v>107538.22666369137</v>
      </c>
      <c r="L1377" s="72">
        <f t="shared" si="4014"/>
        <v>-1.9847979908647569E-2</v>
      </c>
      <c r="M1377" s="72"/>
      <c r="N1377" s="67"/>
      <c r="O1377" s="72"/>
      <c r="P1377" s="72">
        <f t="shared" si="4015"/>
        <v>3.0809304900115648E-2</v>
      </c>
      <c r="Q1377" s="134">
        <f t="shared" si="4016"/>
        <v>288648.84924735531</v>
      </c>
      <c r="R1377" s="72">
        <f t="shared" si="4017"/>
        <v>1.7867350647356093E-2</v>
      </c>
      <c r="S1377" s="72"/>
      <c r="T1377" s="72"/>
      <c r="U1377" s="72"/>
      <c r="V1377" s="127"/>
      <c r="W1377" s="72"/>
      <c r="X1377" s="72"/>
      <c r="Y1377" s="93"/>
      <c r="Z1377" s="93"/>
      <c r="AA1377" s="93"/>
      <c r="AB1377" s="93"/>
      <c r="AC1377" s="83"/>
      <c r="AD1377" s="72"/>
      <c r="AE1377" s="72"/>
      <c r="AF1377" s="72"/>
      <c r="AG1377" s="99"/>
      <c r="AH1377" s="99"/>
      <c r="AI1377" s="99"/>
      <c r="AJ1377" s="148"/>
      <c r="AK1377" s="148"/>
      <c r="AL1377" s="67"/>
      <c r="AM1377" s="72"/>
      <c r="AN1377" s="72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BA1377" s="33"/>
      <c r="BB1377" s="33"/>
      <c r="BC1377" s="114"/>
      <c r="BD1377" s="33"/>
      <c r="BE1377" s="33"/>
      <c r="BF1377" s="33"/>
      <c r="BG1377" s="50"/>
      <c r="BH1377" s="50"/>
      <c r="BI1377" s="50"/>
      <c r="BJ1377" s="50"/>
      <c r="BK1377" s="50"/>
      <c r="BL1377" s="50"/>
      <c r="BM1377" s="50"/>
      <c r="BN1377" s="50"/>
      <c r="BO1377" s="50"/>
      <c r="BP1377" s="50"/>
      <c r="CI1377" s="35"/>
      <c r="CP1377" s="39"/>
      <c r="CQ1377" s="32"/>
      <c r="CR1377" s="40"/>
      <c r="CS1377" s="40"/>
      <c r="CT1377" s="33"/>
      <c r="CU1377" s="33"/>
      <c r="CV1377" s="33"/>
      <c r="CW1377" s="33"/>
      <c r="CX1377" s="33"/>
      <c r="CY1377" s="33"/>
      <c r="CZ1377" s="33"/>
    </row>
    <row r="1378" spans="7:104" ht="21" x14ac:dyDescent="0.35">
      <c r="G1378" s="93">
        <f t="shared" si="4011"/>
        <v>2010</v>
      </c>
      <c r="I1378" s="67">
        <v>19.552261561541915</v>
      </c>
      <c r="J1378" s="72">
        <f t="shared" si="4012"/>
        <v>6.5694124180750518E-2</v>
      </c>
      <c r="K1378" s="127">
        <f t="shared" si="4013"/>
        <v>114018.60882762198</v>
      </c>
      <c r="L1378" s="72">
        <f t="shared" si="4014"/>
        <v>5.8515289173394179E-2</v>
      </c>
      <c r="M1378" s="72"/>
      <c r="N1378" s="67"/>
      <c r="O1378" s="72"/>
      <c r="P1378" s="72">
        <f t="shared" si="4015"/>
        <v>2.965998438210582E-2</v>
      </c>
      <c r="Q1378" s="134">
        <f t="shared" si="4016"/>
        <v>288032.81400531577</v>
      </c>
      <c r="R1378" s="72">
        <f t="shared" si="4017"/>
        <v>-2.1364836637686223E-3</v>
      </c>
      <c r="S1378" s="72"/>
      <c r="T1378" s="72"/>
      <c r="U1378" s="72"/>
      <c r="V1378" s="127"/>
      <c r="W1378" s="72"/>
      <c r="X1378" s="72"/>
      <c r="Y1378" s="93"/>
      <c r="Z1378" s="93"/>
      <c r="AA1378" s="93"/>
      <c r="AB1378" s="93"/>
      <c r="AC1378" s="83"/>
      <c r="AD1378" s="72"/>
      <c r="AE1378" s="72"/>
      <c r="AF1378" s="72"/>
      <c r="AG1378" s="99"/>
      <c r="AH1378" s="99"/>
      <c r="AI1378" s="99"/>
      <c r="AJ1378" s="148"/>
      <c r="AK1378" s="148"/>
      <c r="AL1378" s="67"/>
      <c r="AM1378" s="72"/>
      <c r="AN1378" s="72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BA1378" s="33"/>
      <c r="BB1378" s="33"/>
      <c r="BC1378" s="114"/>
      <c r="BD1378" s="33"/>
      <c r="BE1378" s="33"/>
      <c r="BF1378" s="33"/>
      <c r="BG1378" s="50"/>
      <c r="BH1378" s="50"/>
      <c r="BI1378" s="50"/>
      <c r="BJ1378" s="50"/>
      <c r="BK1378" s="50"/>
      <c r="BL1378" s="50"/>
      <c r="BM1378" s="50"/>
      <c r="BN1378" s="50"/>
      <c r="BO1378" s="50"/>
      <c r="BP1378" s="50"/>
      <c r="CI1378" s="35"/>
      <c r="CP1378" s="39"/>
      <c r="CQ1378" s="32"/>
      <c r="CR1378" s="40"/>
      <c r="CS1378" s="40"/>
      <c r="CT1378" s="33"/>
      <c r="CU1378" s="33"/>
      <c r="CV1378" s="33"/>
      <c r="CW1378" s="33"/>
      <c r="CX1378" s="33"/>
      <c r="CY1378" s="33"/>
      <c r="CZ1378" s="33"/>
    </row>
    <row r="1379" spans="7:104" ht="21" x14ac:dyDescent="0.35">
      <c r="G1379" s="93">
        <f t="shared" si="4011"/>
        <v>2011</v>
      </c>
      <c r="I1379" s="67">
        <v>20.879860559742582</v>
      </c>
      <c r="J1379" s="72">
        <f t="shared" si="4012"/>
        <v>7.8353451031396168E-2</v>
      </c>
      <c r="K1379" s="127">
        <f t="shared" si="4013"/>
        <v>124370.21286416714</v>
      </c>
      <c r="L1379" s="72">
        <f t="shared" si="4014"/>
        <v>8.6901034800605265E-2</v>
      </c>
      <c r="M1379" s="72"/>
      <c r="N1379" s="67"/>
      <c r="O1379" s="72"/>
      <c r="P1379" s="72">
        <f t="shared" si="4015"/>
        <v>3.0050527057970289E-2</v>
      </c>
      <c r="Q1379" s="134">
        <f t="shared" si="4016"/>
        <v>306480.83806832589</v>
      </c>
      <c r="R1379" s="72">
        <f t="shared" si="4017"/>
        <v>6.2080823720610599E-2</v>
      </c>
      <c r="S1379" s="72"/>
      <c r="T1379" s="72"/>
      <c r="U1379" s="72"/>
      <c r="V1379" s="127"/>
      <c r="W1379" s="72"/>
      <c r="X1379" s="72"/>
      <c r="Y1379" s="93"/>
      <c r="Z1379" s="93"/>
      <c r="AA1379" s="93"/>
      <c r="AB1379" s="93"/>
      <c r="AC1379" s="83"/>
      <c r="AD1379" s="72"/>
      <c r="AE1379" s="72"/>
      <c r="AF1379" s="72"/>
      <c r="AG1379" s="99"/>
      <c r="AH1379" s="99"/>
      <c r="AI1379" s="99"/>
      <c r="AJ1379" s="148"/>
      <c r="AK1379" s="148"/>
      <c r="AL1379" s="67"/>
      <c r="AM1379" s="72"/>
      <c r="AN1379" s="72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BA1379" s="33"/>
      <c r="BB1379" s="33"/>
      <c r="BC1379" s="114"/>
      <c r="BD1379" s="33"/>
      <c r="BE1379" s="33"/>
      <c r="BF1379" s="33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CI1379" s="35"/>
      <c r="CP1379" s="39"/>
      <c r="CQ1379" s="32"/>
      <c r="CR1379" s="40"/>
      <c r="CS1379" s="40"/>
      <c r="CT1379" s="33"/>
      <c r="CU1379" s="33"/>
      <c r="CV1379" s="33"/>
      <c r="CW1379" s="33"/>
      <c r="CX1379" s="33"/>
      <c r="CY1379" s="33"/>
      <c r="CZ1379" s="33"/>
    </row>
    <row r="1380" spans="7:104" ht="21" x14ac:dyDescent="0.35">
      <c r="G1380" s="93">
        <f t="shared" si="4011"/>
        <v>2012</v>
      </c>
      <c r="I1380" s="67">
        <v>22.581670465355007</v>
      </c>
      <c r="J1380" s="72">
        <f t="shared" si="4012"/>
        <v>-1.7258773971605385E-2</v>
      </c>
      <c r="K1380" s="127">
        <f t="shared" si="4013"/>
        <v>137494.12223095191</v>
      </c>
      <c r="L1380" s="72">
        <f t="shared" si="4014"/>
        <v>0.10031846357798922</v>
      </c>
      <c r="M1380" s="72"/>
      <c r="N1380" s="67"/>
      <c r="O1380" s="72"/>
      <c r="P1380" s="72">
        <f t="shared" si="4015"/>
        <v>2.7471433953958863E-2</v>
      </c>
      <c r="Q1380" s="134">
        <f t="shared" si="4016"/>
        <v>293571.4681505718</v>
      </c>
      <c r="R1380" s="72">
        <f t="shared" si="4017"/>
        <v>-4.3034122190149515E-2</v>
      </c>
      <c r="S1380" s="72"/>
      <c r="T1380" s="72"/>
      <c r="U1380" s="72"/>
      <c r="V1380" s="127"/>
      <c r="W1380" s="72"/>
      <c r="X1380" s="72"/>
      <c r="Y1380" s="93"/>
      <c r="Z1380" s="93"/>
      <c r="AA1380" s="93"/>
      <c r="AB1380" s="93"/>
      <c r="AC1380" s="83"/>
      <c r="AD1380" s="72"/>
      <c r="AE1380" s="72"/>
      <c r="AF1380" s="72"/>
      <c r="AG1380" s="99"/>
      <c r="AH1380" s="99"/>
      <c r="AI1380" s="99"/>
      <c r="AJ1380" s="148"/>
      <c r="AK1380" s="148"/>
      <c r="AL1380" s="67"/>
      <c r="AM1380" s="72"/>
      <c r="AN1380" s="72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BA1380" s="33"/>
      <c r="BB1380" s="33"/>
      <c r="BC1380" s="114"/>
      <c r="BD1380" s="33"/>
      <c r="BE1380" s="33"/>
      <c r="BF1380" s="33"/>
      <c r="BG1380" s="50"/>
      <c r="BH1380" s="50"/>
      <c r="BI1380" s="50"/>
      <c r="BJ1380" s="50"/>
      <c r="BK1380" s="50"/>
      <c r="BL1380" s="50"/>
      <c r="BM1380" s="50"/>
      <c r="BN1380" s="50"/>
      <c r="BO1380" s="50"/>
      <c r="BP1380" s="50"/>
      <c r="CI1380" s="35"/>
      <c r="CP1380" s="39"/>
      <c r="CQ1380" s="32"/>
      <c r="CR1380" s="40"/>
      <c r="CS1380" s="40"/>
      <c r="CT1380" s="33"/>
      <c r="CU1380" s="33"/>
      <c r="CV1380" s="33"/>
      <c r="CW1380" s="33"/>
      <c r="CX1380" s="33"/>
      <c r="CY1380" s="33"/>
      <c r="CZ1380" s="33"/>
    </row>
    <row r="1381" spans="7:104" ht="21" x14ac:dyDescent="0.35">
      <c r="G1381" s="93">
        <f t="shared" si="4011"/>
        <v>2013</v>
      </c>
      <c r="I1381" s="67">
        <v>22.195282401936183</v>
      </c>
      <c r="J1381" s="72">
        <f t="shared" si="4012"/>
        <v>2.1937428648886603E-2</v>
      </c>
      <c r="K1381" s="127">
        <f t="shared" si="4013"/>
        <v>137816.06414457137</v>
      </c>
      <c r="L1381" s="72">
        <f t="shared" si="4014"/>
        <v>2.3387587986055942E-3</v>
      </c>
      <c r="M1381" s="72"/>
      <c r="N1381" s="67"/>
      <c r="O1381" s="72"/>
      <c r="P1381" s="72">
        <f t="shared" si="4015"/>
        <v>2.9767174469433395E-2</v>
      </c>
      <c r="Q1381" s="134">
        <f t="shared" si="4016"/>
        <v>329965.24162662355</v>
      </c>
      <c r="R1381" s="72">
        <f t="shared" si="4017"/>
        <v>0.1168662078144504</v>
      </c>
      <c r="S1381" s="72"/>
      <c r="T1381" s="72"/>
      <c r="U1381" s="72"/>
      <c r="V1381" s="73"/>
      <c r="W1381" s="73"/>
      <c r="X1381" s="73"/>
      <c r="AC1381" s="83"/>
      <c r="AD1381" s="72"/>
      <c r="AE1381" s="72"/>
      <c r="AF1381" s="72"/>
      <c r="AG1381" s="72"/>
      <c r="AH1381" s="72"/>
      <c r="AI1381" s="72"/>
      <c r="AJ1381" s="67"/>
      <c r="AK1381" s="67"/>
      <c r="AL1381" s="72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BA1381" s="33"/>
      <c r="BB1381" s="33"/>
      <c r="BC1381" s="114"/>
      <c r="BD1381" s="33"/>
      <c r="BE1381" s="33"/>
      <c r="BF1381" s="33"/>
      <c r="BG1381" s="50"/>
      <c r="BH1381" s="50"/>
      <c r="BI1381" s="50"/>
      <c r="BJ1381" s="50"/>
      <c r="BK1381" s="50"/>
      <c r="BL1381" s="50"/>
      <c r="BM1381" s="50"/>
      <c r="BN1381" s="50"/>
      <c r="BO1381" s="50"/>
      <c r="BP1381" s="50"/>
      <c r="CI1381" s="35"/>
      <c r="CP1381" s="39"/>
      <c r="CQ1381" s="32"/>
      <c r="CR1381" s="40"/>
      <c r="CS1381" s="40"/>
      <c r="CT1381" s="33"/>
      <c r="CU1381" s="33"/>
      <c r="CV1381" s="33"/>
      <c r="CW1381" s="33"/>
      <c r="CX1381" s="33"/>
      <c r="CY1381" s="33"/>
      <c r="CZ1381" s="33"/>
    </row>
    <row r="1382" spans="7:104" ht="21" x14ac:dyDescent="0.35">
      <c r="G1382" s="93">
        <f t="shared" si="4011"/>
        <v>2014</v>
      </c>
      <c r="I1382" s="67">
        <v>22.68756984363295</v>
      </c>
      <c r="J1382" s="72">
        <f t="shared" si="4012"/>
        <v>-2.2087936428650076E-2</v>
      </c>
      <c r="K1382" s="127">
        <f t="shared" si="4013"/>
        <v>142404.32961384201</v>
      </c>
      <c r="L1382" s="72">
        <f t="shared" si="4014"/>
        <v>3.2750475526976304E-2</v>
      </c>
      <c r="M1382" s="72"/>
      <c r="N1382" s="67"/>
      <c r="O1382" s="72"/>
      <c r="P1382" s="72">
        <f t="shared" si="4015"/>
        <v>2.9747865293076371E-2</v>
      </c>
      <c r="Q1382" s="134">
        <f t="shared" si="4016"/>
        <v>338524.91828449769</v>
      </c>
      <c r="R1382" s="72">
        <f t="shared" si="4017"/>
        <v>2.5610382973023701E-2</v>
      </c>
      <c r="S1382" s="72"/>
      <c r="T1382" s="72"/>
      <c r="U1382" s="72"/>
      <c r="V1382" s="73"/>
      <c r="W1382" s="72"/>
      <c r="X1382" s="72"/>
      <c r="AC1382" s="83"/>
      <c r="AD1382" s="72"/>
      <c r="AE1382" s="72"/>
      <c r="AF1382" s="72"/>
      <c r="AG1382" s="72"/>
      <c r="AH1382" s="72"/>
      <c r="AI1382" s="72"/>
      <c r="AJ1382" s="67"/>
      <c r="AK1382" s="67"/>
      <c r="AL1382" s="72"/>
      <c r="AM1382" s="72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BA1382" s="33"/>
      <c r="BB1382" s="33"/>
      <c r="BC1382" s="114"/>
      <c r="BD1382" s="33"/>
      <c r="BE1382" s="33"/>
      <c r="BF1382" s="33"/>
      <c r="BG1382" s="50"/>
      <c r="BH1382" s="50"/>
      <c r="BI1382" s="50"/>
      <c r="BJ1382" s="50"/>
      <c r="BK1382" s="50"/>
      <c r="BL1382" s="50"/>
      <c r="BM1382" s="50"/>
      <c r="BN1382" s="50"/>
      <c r="BO1382" s="50"/>
      <c r="BP1382" s="50"/>
      <c r="CI1382" s="35"/>
      <c r="CP1382" s="39"/>
      <c r="CQ1382" s="32"/>
      <c r="CR1382" s="40"/>
      <c r="CS1382" s="40"/>
      <c r="CT1382" s="33"/>
      <c r="CU1382" s="33"/>
      <c r="CV1382" s="33"/>
      <c r="CW1382" s="33"/>
      <c r="CX1382" s="33"/>
      <c r="CY1382" s="33"/>
      <c r="CZ1382" s="33"/>
    </row>
    <row r="1383" spans="7:104" ht="21" x14ac:dyDescent="0.35">
      <c r="G1383" s="93">
        <f t="shared" si="4011"/>
        <v>2015</v>
      </c>
      <c r="I1383" s="67">
        <v>22.191942090638371</v>
      </c>
      <c r="J1383" s="72">
        <f t="shared" si="4012"/>
        <v>-1.8356785289269626E-2</v>
      </c>
      <c r="K1383" s="127">
        <f t="shared" si="4013"/>
        <v>141591.81464599445</v>
      </c>
      <c r="L1383" s="72">
        <f t="shared" si="4014"/>
        <v>-5.7220296908297051E-3</v>
      </c>
      <c r="M1383" s="72"/>
      <c r="N1383" s="67"/>
      <c r="O1383" s="72"/>
      <c r="P1383" s="72">
        <f t="shared" si="4015"/>
        <v>2.8041485316452328E-2</v>
      </c>
      <c r="Q1383" s="134">
        <f t="shared" si="4016"/>
        <v>322329.5303814513</v>
      </c>
      <c r="R1383" s="72">
        <f t="shared" si="4017"/>
        <v>-4.9023294962485336E-2</v>
      </c>
      <c r="S1383" s="72"/>
      <c r="T1383" s="72"/>
      <c r="U1383" s="72"/>
      <c r="V1383" s="73"/>
      <c r="W1383" s="72"/>
      <c r="X1383" s="72"/>
      <c r="AC1383" s="83"/>
      <c r="AD1383" s="72"/>
      <c r="AE1383" s="72"/>
      <c r="AF1383" s="72"/>
      <c r="AG1383" s="72"/>
      <c r="AH1383" s="72"/>
      <c r="AI1383" s="72"/>
      <c r="AJ1383" s="67"/>
      <c r="AK1383" s="67"/>
      <c r="AL1383" s="72"/>
      <c r="AM1383" s="72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BA1383" s="33"/>
      <c r="BB1383" s="33"/>
      <c r="BC1383" s="114"/>
      <c r="BD1383" s="33"/>
      <c r="BE1383" s="33"/>
      <c r="BF1383" s="33"/>
      <c r="BG1383" s="50"/>
      <c r="BH1383" s="50"/>
      <c r="BI1383" s="50"/>
      <c r="BJ1383" s="50"/>
      <c r="BK1383" s="50"/>
      <c r="BL1383" s="50"/>
      <c r="BM1383" s="50"/>
      <c r="BN1383" s="50"/>
      <c r="BO1383" s="50"/>
      <c r="BP1383" s="50"/>
      <c r="CI1383" s="35"/>
      <c r="CP1383" s="39"/>
      <c r="CQ1383" s="32"/>
      <c r="CR1383" s="40"/>
      <c r="CS1383" s="40"/>
      <c r="CT1383" s="33"/>
      <c r="CU1383" s="33"/>
      <c r="CV1383" s="33"/>
      <c r="CW1383" s="33"/>
      <c r="CX1383" s="33"/>
      <c r="CY1383" s="33"/>
      <c r="CZ1383" s="33"/>
    </row>
    <row r="1384" spans="7:104" ht="21" x14ac:dyDescent="0.35">
      <c r="G1384" s="93">
        <f t="shared" si="4011"/>
        <v>2016</v>
      </c>
      <c r="I1384" s="67">
        <v>21.788285627043933</v>
      </c>
      <c r="J1384" s="72">
        <f t="shared" si="4012"/>
        <v>-0.10545836297571233</v>
      </c>
      <c r="K1384" s="127">
        <f t="shared" si="4013"/>
        <v>141027.5174531542</v>
      </c>
      <c r="L1384" s="72">
        <f t="shared" si="4014"/>
        <v>-3.9933428371136193E-3</v>
      </c>
      <c r="M1384" s="72"/>
      <c r="N1384" s="67"/>
      <c r="O1384" s="72"/>
      <c r="P1384" s="72">
        <f t="shared" si="4015"/>
        <v>2.9334424948644116E-2</v>
      </c>
      <c r="Q1384" s="134">
        <f t="shared" si="4016"/>
        <v>349017.64330224122</v>
      </c>
      <c r="R1384" s="72">
        <f t="shared" si="4017"/>
        <v>7.95480662797724E-2</v>
      </c>
      <c r="S1384" s="72"/>
      <c r="T1384" s="72"/>
      <c r="U1384" s="72"/>
      <c r="V1384" s="73"/>
      <c r="W1384" s="72"/>
      <c r="X1384" s="72"/>
      <c r="AC1384" s="83"/>
      <c r="AD1384" s="72"/>
      <c r="AE1384" s="72"/>
      <c r="AF1384" s="72"/>
      <c r="AG1384" s="72"/>
      <c r="AH1384" s="72"/>
      <c r="AI1384" s="72"/>
      <c r="AJ1384" s="67"/>
      <c r="AK1384" s="67"/>
      <c r="AL1384" s="72"/>
      <c r="AM1384" s="72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BA1384" s="33"/>
      <c r="BB1384" s="33"/>
      <c r="BC1384" s="114"/>
      <c r="BD1384" s="33"/>
      <c r="BE1384" s="33"/>
      <c r="BF1384" s="33"/>
      <c r="BG1384" s="50"/>
      <c r="BH1384" s="50"/>
      <c r="BI1384" s="50"/>
      <c r="BJ1384" s="50"/>
      <c r="BK1384" s="50"/>
      <c r="BL1384" s="50"/>
      <c r="BM1384" s="50"/>
      <c r="BN1384" s="50"/>
      <c r="BO1384" s="50"/>
      <c r="BP1384" s="50"/>
      <c r="CI1384" s="35"/>
      <c r="CP1384" s="39"/>
      <c r="CQ1384" s="32"/>
      <c r="CR1384" s="40"/>
      <c r="CS1384" s="40"/>
      <c r="CT1384" s="33"/>
      <c r="CU1384" s="33"/>
      <c r="CV1384" s="33"/>
      <c r="CW1384" s="33"/>
      <c r="CX1384" s="33"/>
      <c r="CY1384" s="33"/>
      <c r="CZ1384" s="33"/>
    </row>
    <row r="1385" spans="7:104" ht="21" x14ac:dyDescent="0.35">
      <c r="G1385" s="93">
        <f t="shared" si="4011"/>
        <v>2017</v>
      </c>
      <c r="I1385" s="67">
        <v>19.60753842542896</v>
      </c>
      <c r="J1385" s="72">
        <f t="shared" si="4012"/>
        <v>4.3902647646573922E-2</v>
      </c>
      <c r="K1385" s="127">
        <f t="shared" si="4013"/>
        <v>129363.26282224835</v>
      </c>
      <c r="L1385" s="72">
        <f t="shared" si="4014"/>
        <v>-8.6330592822051092E-2</v>
      </c>
      <c r="M1385" s="72"/>
      <c r="N1385" s="67"/>
      <c r="O1385" s="72"/>
      <c r="P1385" s="72">
        <f t="shared" si="4015"/>
        <v>2.8816200059002654E-2</v>
      </c>
      <c r="Q1385" s="134">
        <f t="shared" si="4016"/>
        <v>341396.22744558239</v>
      </c>
      <c r="R1385" s="72">
        <f t="shared" si="4017"/>
        <v>-2.2078714747222946E-2</v>
      </c>
      <c r="S1385" s="72"/>
      <c r="T1385" s="72"/>
      <c r="U1385" s="72"/>
      <c r="V1385" s="73"/>
      <c r="W1385" s="72"/>
      <c r="X1385" s="72"/>
      <c r="AC1385" s="83"/>
      <c r="AD1385" s="72"/>
      <c r="AE1385" s="72"/>
      <c r="AF1385" s="72"/>
      <c r="AG1385" s="72"/>
      <c r="AH1385" s="72"/>
      <c r="AI1385" s="72"/>
      <c r="AJ1385" s="67"/>
      <c r="AK1385" s="67"/>
      <c r="AL1385" s="72"/>
      <c r="AM1385" s="72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BA1385" s="33"/>
      <c r="BB1385" s="33"/>
      <c r="BC1385" s="114"/>
      <c r="BD1385" s="33"/>
      <c r="BE1385" s="33"/>
      <c r="BF1385" s="33"/>
      <c r="BG1385" s="50"/>
      <c r="BH1385" s="50"/>
      <c r="BI1385" s="50"/>
      <c r="BJ1385" s="50"/>
      <c r="BK1385" s="50"/>
      <c r="BL1385" s="50"/>
      <c r="BM1385" s="50"/>
      <c r="BN1385" s="50"/>
      <c r="BO1385" s="50"/>
      <c r="BP1385" s="50"/>
      <c r="CI1385" s="35"/>
      <c r="CP1385" s="39"/>
      <c r="CQ1385" s="32"/>
      <c r="CR1385" s="40"/>
      <c r="CS1385" s="40"/>
      <c r="CT1385" s="33"/>
      <c r="CU1385" s="33"/>
      <c r="CV1385" s="33"/>
      <c r="CW1385" s="33"/>
      <c r="CX1385" s="33"/>
      <c r="CY1385" s="33"/>
      <c r="CZ1385" s="33"/>
    </row>
    <row r="1386" spans="7:104" ht="21" x14ac:dyDescent="0.35">
      <c r="G1386" s="93">
        <f t="shared" si="4011"/>
        <v>2018</v>
      </c>
      <c r="I1386" s="67">
        <v>20.487537070332433</v>
      </c>
      <c r="J1386" s="72">
        <f t="shared" si="4012"/>
        <v>9.7887734141308327E-3</v>
      </c>
      <c r="K1386" s="127">
        <f t="shared" si="4013"/>
        <v>137391.53881946937</v>
      </c>
      <c r="L1386" s="72">
        <f t="shared" si="4014"/>
        <v>6.0210359490497446E-2</v>
      </c>
      <c r="M1386" s="72"/>
      <c r="N1386" s="67"/>
      <c r="O1386" s="72"/>
      <c r="P1386" s="72">
        <f t="shared" si="4015"/>
        <v>5.2561568765732439E-2</v>
      </c>
      <c r="Q1386" s="134">
        <f t="shared" si="4016"/>
        <v>677102.46577939414</v>
      </c>
      <c r="R1386" s="72">
        <f t="shared" si="4017"/>
        <v>0.68477885410980044</v>
      </c>
      <c r="S1386" s="72"/>
      <c r="T1386" s="72"/>
      <c r="U1386" s="72"/>
      <c r="V1386" s="73"/>
      <c r="W1386" s="72"/>
      <c r="X1386" s="72"/>
      <c r="AD1386" s="72"/>
      <c r="AE1386" s="73"/>
      <c r="AF1386" s="73"/>
      <c r="AG1386" s="73"/>
      <c r="AH1386" s="72"/>
      <c r="AI1386" s="73"/>
      <c r="AJ1386" s="67"/>
      <c r="AK1386" s="67"/>
      <c r="AL1386" s="72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BA1386" s="33"/>
      <c r="BB1386" s="33"/>
      <c r="BC1386" s="114"/>
      <c r="BD1386" s="33"/>
      <c r="BE1386" s="33"/>
      <c r="BF1386" s="33"/>
      <c r="BG1386" s="50"/>
      <c r="BH1386" s="50"/>
      <c r="BI1386" s="50"/>
      <c r="BJ1386" s="50"/>
      <c r="BK1386" s="50"/>
      <c r="BL1386" s="50"/>
      <c r="BM1386" s="50"/>
      <c r="BN1386" s="50"/>
      <c r="BO1386" s="50"/>
      <c r="BP1386" s="50"/>
      <c r="CI1386" s="35"/>
      <c r="CP1386" s="39"/>
      <c r="CQ1386" s="32"/>
      <c r="CR1386" s="40"/>
      <c r="CS1386" s="40"/>
      <c r="CT1386" s="33"/>
      <c r="CU1386" s="33"/>
      <c r="CV1386" s="33"/>
      <c r="CW1386" s="33"/>
      <c r="CX1386" s="33"/>
      <c r="CY1386" s="33"/>
      <c r="CZ1386" s="33"/>
    </row>
    <row r="1387" spans="7:104" ht="21" x14ac:dyDescent="0.35">
      <c r="G1387" s="93">
        <f t="shared" si="4011"/>
        <v>2019</v>
      </c>
      <c r="I1387" s="67">
        <v>20.68906969790406</v>
      </c>
      <c r="J1387" s="72">
        <f t="shared" si="4012"/>
        <v>3.5633580116232244E-2</v>
      </c>
      <c r="K1387" s="127">
        <f t="shared" si="4013"/>
        <v>140738.8449142226</v>
      </c>
      <c r="L1387" s="72">
        <f t="shared" si="4014"/>
        <v>2.4071212025353547E-2</v>
      </c>
      <c r="M1387" s="72"/>
      <c r="N1387" s="67"/>
      <c r="O1387" s="72"/>
      <c r="P1387" s="72">
        <f t="shared" si="4015"/>
        <v>3.3851657921231064E-2</v>
      </c>
      <c r="Q1387" s="134">
        <f t="shared" si="4016"/>
        <v>449727.302235957</v>
      </c>
      <c r="R1387" s="72">
        <f t="shared" si="4017"/>
        <v>-0.40918121011786102</v>
      </c>
      <c r="S1387" s="72"/>
      <c r="T1387" s="72"/>
      <c r="U1387" s="72"/>
      <c r="V1387" s="73"/>
      <c r="W1387" s="72"/>
      <c r="X1387" s="72"/>
      <c r="AD1387" s="72"/>
      <c r="AE1387" s="73"/>
      <c r="AF1387" s="73"/>
      <c r="AG1387" s="73"/>
      <c r="AH1387" s="72"/>
      <c r="AI1387" s="73"/>
      <c r="AJ1387" s="67"/>
      <c r="AK1387" s="67"/>
      <c r="AL1387" s="72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BA1387" s="33"/>
      <c r="BB1387" s="33"/>
      <c r="BC1387" s="114"/>
      <c r="BD1387" s="33"/>
      <c r="BE1387" s="33"/>
      <c r="BF1387" s="33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CI1387" s="35"/>
      <c r="CP1387" s="39"/>
      <c r="CQ1387" s="32"/>
      <c r="CR1387" s="40"/>
      <c r="CS1387" s="40"/>
      <c r="CT1387" s="33"/>
      <c r="CU1387" s="33"/>
      <c r="CV1387" s="33"/>
      <c r="CW1387" s="33"/>
      <c r="CX1387" s="33"/>
      <c r="CY1387" s="33"/>
      <c r="CZ1387" s="33"/>
    </row>
    <row r="1388" spans="7:104" ht="21" x14ac:dyDescent="0.35">
      <c r="G1388" s="93">
        <f t="shared" si="4011"/>
        <v>2020</v>
      </c>
      <c r="I1388" s="67">
        <v>21.439587730093177</v>
      </c>
      <c r="J1388" s="72">
        <f t="shared" si="4012"/>
        <v>0.17895048597576343</v>
      </c>
      <c r="K1388" s="127">
        <f t="shared" si="4013"/>
        <v>148540.27248861163</v>
      </c>
      <c r="L1388" s="72">
        <f t="shared" si="4014"/>
        <v>5.3950107412377636E-2</v>
      </c>
      <c r="M1388" s="72"/>
      <c r="N1388" s="67"/>
      <c r="O1388" s="72"/>
      <c r="P1388" s="72">
        <f t="shared" si="4015"/>
        <v>2.6540377548937847E-2</v>
      </c>
      <c r="Q1388" s="134">
        <f t="shared" si="4016"/>
        <v>363514.77220802818</v>
      </c>
      <c r="R1388" s="72">
        <f t="shared" si="4017"/>
        <v>-0.21282146908448446</v>
      </c>
      <c r="S1388" s="72"/>
      <c r="T1388" s="72"/>
      <c r="U1388" s="72"/>
      <c r="V1388" s="73"/>
      <c r="W1388" s="72"/>
      <c r="X1388" s="72"/>
      <c r="AD1388" s="72"/>
      <c r="AE1388" s="73"/>
      <c r="AF1388" s="73"/>
      <c r="AG1388" s="73"/>
      <c r="AH1388" s="72"/>
      <c r="AI1388" s="73"/>
      <c r="AJ1388" s="67"/>
      <c r="AK1388" s="67"/>
      <c r="AL1388" s="72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BA1388" s="33"/>
      <c r="BB1388" s="33"/>
      <c r="BC1388" s="114"/>
      <c r="BD1388" s="33"/>
      <c r="BE1388" s="33"/>
      <c r="BF1388" s="33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CI1388" s="35"/>
      <c r="CP1388" s="39"/>
      <c r="CQ1388" s="32"/>
      <c r="CR1388" s="40"/>
      <c r="CS1388" s="40"/>
      <c r="CT1388" s="33"/>
      <c r="CU1388" s="33"/>
      <c r="CV1388" s="33"/>
      <c r="CW1388" s="33"/>
      <c r="CX1388" s="33"/>
      <c r="CY1388" s="33"/>
      <c r="CZ1388" s="33"/>
    </row>
    <row r="1389" spans="7:104" ht="21" x14ac:dyDescent="0.35">
      <c r="G1389" s="93">
        <f t="shared" si="4011"/>
        <v>2021</v>
      </c>
      <c r="I1389" s="67">
        <v>25.640922054930936</v>
      </c>
      <c r="J1389" s="69"/>
      <c r="K1389" s="127">
        <f t="shared" si="4013"/>
        <v>181017.15214713442</v>
      </c>
      <c r="L1389" s="72">
        <f t="shared" si="4014"/>
        <v>0.1977356733344231</v>
      </c>
      <c r="M1389" s="72"/>
      <c r="N1389" s="67"/>
      <c r="O1389" s="72"/>
      <c r="P1389" s="72">
        <f>+Q1389/AE59</f>
        <v>2.7516668687180484E-2</v>
      </c>
      <c r="Q1389" s="134">
        <f t="shared" si="4016"/>
        <v>405827.58519832609</v>
      </c>
      <c r="R1389" s="72">
        <f t="shared" si="4017"/>
        <v>0.11010846744649747</v>
      </c>
      <c r="S1389" s="72"/>
      <c r="T1389" s="72"/>
      <c r="U1389" s="72"/>
      <c r="V1389" s="73"/>
      <c r="W1389" s="72"/>
      <c r="X1389" s="72"/>
      <c r="AD1389" s="72"/>
      <c r="AE1389" s="73"/>
      <c r="AF1389" s="73"/>
      <c r="AG1389" s="73"/>
      <c r="AH1389" s="72"/>
      <c r="AI1389" s="73"/>
      <c r="AJ1389" s="67"/>
      <c r="AK1389" s="67"/>
      <c r="AL1389" s="72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BA1389" s="33"/>
      <c r="BB1389" s="33"/>
      <c r="BC1389" s="114"/>
      <c r="BD1389" s="33"/>
      <c r="BE1389" s="33"/>
      <c r="BF1389" s="33"/>
      <c r="BG1389" s="50"/>
      <c r="BH1389" s="50"/>
      <c r="BI1389" s="50"/>
      <c r="BJ1389" s="50"/>
      <c r="BK1389" s="50"/>
      <c r="BL1389" s="50"/>
      <c r="BM1389" s="50"/>
      <c r="BN1389" s="50"/>
      <c r="BO1389" s="50"/>
      <c r="BP1389" s="50"/>
      <c r="CI1389" s="35"/>
      <c r="CP1389" s="39"/>
      <c r="CQ1389" s="32"/>
      <c r="CR1389" s="40"/>
      <c r="CS1389" s="40"/>
      <c r="CT1389" s="33"/>
      <c r="CU1389" s="33"/>
      <c r="CV1389" s="33"/>
      <c r="CW1389" s="33"/>
      <c r="CX1389" s="33"/>
      <c r="CY1389" s="33"/>
      <c r="CZ1389" s="33"/>
    </row>
    <row r="1390" spans="7:104" ht="42" x14ac:dyDescent="0.35">
      <c r="G1390" s="11"/>
      <c r="I1390" s="145" t="s">
        <v>537</v>
      </c>
      <c r="K1390" s="131" t="s">
        <v>540</v>
      </c>
      <c r="L1390" s="131"/>
      <c r="M1390" s="131"/>
      <c r="N1390" s="162"/>
      <c r="O1390" s="131"/>
      <c r="Q1390" s="132" t="s">
        <v>544</v>
      </c>
      <c r="V1390" s="73"/>
      <c r="W1390" s="72"/>
      <c r="X1390" s="72"/>
      <c r="AD1390" s="33"/>
      <c r="AH1390" s="33"/>
      <c r="AJ1390" s="38"/>
      <c r="AK1390" s="38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BA1390" s="33"/>
      <c r="BB1390" s="33"/>
      <c r="BC1390" s="114"/>
      <c r="BD1390" s="33"/>
      <c r="BE1390" s="33"/>
      <c r="BF1390" s="33"/>
      <c r="BG1390" s="50"/>
      <c r="BH1390" s="50"/>
      <c r="BI1390" s="50"/>
      <c r="BJ1390" s="50"/>
      <c r="BK1390" s="50"/>
      <c r="BL1390" s="50"/>
      <c r="BM1390" s="50"/>
      <c r="BN1390" s="50"/>
      <c r="BO1390" s="50"/>
      <c r="BP1390" s="50"/>
      <c r="CI1390" s="35"/>
      <c r="CP1390" s="39"/>
      <c r="CQ1390" s="32"/>
      <c r="CR1390" s="40"/>
      <c r="CS1390" s="40"/>
      <c r="CT1390" s="33"/>
      <c r="CU1390" s="33"/>
      <c r="CV1390" s="33"/>
      <c r="CW1390" s="33"/>
      <c r="CX1390" s="33"/>
      <c r="CY1390" s="33"/>
      <c r="CZ1390" s="33"/>
    </row>
    <row r="1391" spans="7:104" ht="21" x14ac:dyDescent="0.35">
      <c r="G1391" s="11"/>
      <c r="I1391" s="133" t="s">
        <v>542</v>
      </c>
      <c r="J1391" s="133" t="s">
        <v>532</v>
      </c>
      <c r="K1391" s="133" t="s">
        <v>542</v>
      </c>
      <c r="L1391" s="133" t="s">
        <v>532</v>
      </c>
      <c r="M1391" s="133"/>
      <c r="N1391" s="163"/>
      <c r="O1391" s="133"/>
      <c r="P1391" s="133" t="s">
        <v>542</v>
      </c>
      <c r="Q1391" s="133" t="s">
        <v>532</v>
      </c>
      <c r="R1391" s="69"/>
      <c r="V1391" s="73"/>
      <c r="W1391" s="72"/>
      <c r="X1391" s="72"/>
      <c r="AD1391" s="33"/>
      <c r="AH1391" s="33"/>
      <c r="AJ1391" s="38"/>
      <c r="AK1391" s="38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  <c r="AX1391" s="33"/>
      <c r="AY1391" s="33"/>
      <c r="BA1391" s="33"/>
      <c r="BB1391" s="33"/>
      <c r="BC1391" s="114"/>
      <c r="BD1391" s="33"/>
      <c r="BE1391" s="33"/>
      <c r="BF1391" s="33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CI1391" s="35"/>
      <c r="CP1391" s="39"/>
      <c r="CQ1391" s="32"/>
      <c r="CR1391" s="40"/>
      <c r="CS1391" s="40"/>
      <c r="CT1391" s="33"/>
      <c r="CU1391" s="33"/>
      <c r="CV1391" s="33"/>
      <c r="CW1391" s="33"/>
      <c r="CX1391" s="33"/>
      <c r="CY1391" s="33"/>
      <c r="CZ1391" s="33"/>
    </row>
    <row r="1392" spans="7:104" ht="21" x14ac:dyDescent="0.35">
      <c r="G1392" s="126">
        <v>2005</v>
      </c>
      <c r="I1392" s="94">
        <v>48453.794659181673</v>
      </c>
      <c r="J1392" s="94">
        <v>488.69182712235676</v>
      </c>
      <c r="K1392" s="94">
        <v>7994.33991280585</v>
      </c>
      <c r="L1392" s="94">
        <v>80.62874344736106</v>
      </c>
      <c r="M1392" s="94"/>
      <c r="N1392" s="67"/>
      <c r="O1392" s="94"/>
      <c r="P1392" s="94">
        <f t="shared" ref="P1392:P1408" si="4018">+I1392+K1392</f>
        <v>56448.134571987524</v>
      </c>
      <c r="Q1392" s="94">
        <f t="shared" ref="Q1392:Q1408" si="4019">+J1392+L1392</f>
        <v>569.3205705697178</v>
      </c>
      <c r="R1392" s="83"/>
      <c r="W1392" s="73"/>
      <c r="X1392" s="73"/>
      <c r="AD1392" s="33"/>
      <c r="AH1392" s="33"/>
      <c r="AJ1392" s="38"/>
      <c r="AK1392" s="38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  <c r="AX1392" s="33"/>
      <c r="AY1392" s="33"/>
      <c r="BA1392" s="33"/>
      <c r="BB1392" s="33"/>
      <c r="BC1392" s="114"/>
      <c r="BD1392" s="33"/>
      <c r="BE1392" s="33"/>
      <c r="BF1392" s="33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CI1392" s="35"/>
      <c r="CP1392" s="39"/>
      <c r="CQ1392" s="32"/>
      <c r="CR1392" s="40"/>
      <c r="CS1392" s="40"/>
      <c r="CT1392" s="33"/>
      <c r="CU1392" s="33"/>
      <c r="CV1392" s="33"/>
      <c r="CW1392" s="33"/>
      <c r="CX1392" s="33"/>
      <c r="CY1392" s="33"/>
      <c r="CZ1392" s="33"/>
    </row>
    <row r="1393" spans="7:104" ht="21" x14ac:dyDescent="0.35">
      <c r="G1393" s="126">
        <v>2006</v>
      </c>
      <c r="I1393" s="94">
        <v>47097.487617277686</v>
      </c>
      <c r="J1393" s="94">
        <v>461.51384240350501</v>
      </c>
      <c r="K1393" s="94">
        <v>8812.1784266913746</v>
      </c>
      <c r="L1393" s="93">
        <v>86.351576939650911</v>
      </c>
      <c r="M1393" s="93"/>
      <c r="N1393" s="65"/>
      <c r="O1393" s="93"/>
      <c r="P1393" s="94">
        <f t="shared" si="4018"/>
        <v>55909.66604396906</v>
      </c>
      <c r="Q1393" s="94">
        <f t="shared" si="4019"/>
        <v>547.86541934315596</v>
      </c>
      <c r="R1393" s="83">
        <f>LN(Q1393/Q1392)</f>
        <v>-3.8413996750207992E-2</v>
      </c>
      <c r="W1393" s="73"/>
      <c r="X1393" s="73"/>
      <c r="AD1393" s="33"/>
      <c r="AH1393" s="33"/>
      <c r="AJ1393" s="38"/>
      <c r="AK1393" s="38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  <c r="AX1393" s="33"/>
      <c r="AY1393" s="33"/>
      <c r="BA1393" s="33"/>
      <c r="BB1393" s="33"/>
      <c r="BC1393" s="114"/>
      <c r="BD1393" s="33"/>
      <c r="BE1393" s="33"/>
      <c r="BF1393" s="33"/>
      <c r="BG1393" s="50"/>
      <c r="BH1393" s="50"/>
      <c r="BI1393" s="50"/>
      <c r="BJ1393" s="50"/>
      <c r="BK1393" s="50"/>
      <c r="BL1393" s="50"/>
      <c r="BM1393" s="50"/>
      <c r="BN1393" s="50"/>
      <c r="BO1393" s="50"/>
      <c r="BP1393" s="50"/>
      <c r="CI1393" s="35"/>
      <c r="CP1393" s="39"/>
      <c r="CQ1393" s="32"/>
      <c r="CR1393" s="40"/>
      <c r="CS1393" s="40"/>
      <c r="CT1393" s="33"/>
      <c r="CU1393" s="33"/>
      <c r="CV1393" s="33"/>
      <c r="CW1393" s="33"/>
      <c r="CX1393" s="33"/>
      <c r="CY1393" s="33"/>
      <c r="CZ1393" s="33"/>
    </row>
    <row r="1394" spans="7:104" ht="21" x14ac:dyDescent="0.35">
      <c r="G1394" s="126">
        <v>2007</v>
      </c>
      <c r="I1394" s="94">
        <v>51194.205229452702</v>
      </c>
      <c r="J1394" s="94">
        <v>486.52131365600093</v>
      </c>
      <c r="K1394" s="94">
        <v>8659.7867179072291</v>
      </c>
      <c r="L1394" s="93">
        <v>82.297806775074633</v>
      </c>
      <c r="M1394" s="93"/>
      <c r="N1394" s="65"/>
      <c r="O1394" s="93"/>
      <c r="P1394" s="94">
        <f t="shared" si="4018"/>
        <v>59853.991947359929</v>
      </c>
      <c r="Q1394" s="94">
        <f t="shared" si="4019"/>
        <v>568.81912043107559</v>
      </c>
      <c r="R1394" s="83">
        <f t="shared" ref="R1394:R1408" si="4020">LN(Q1394/Q1393)</f>
        <v>3.7532821662380249E-2</v>
      </c>
      <c r="W1394" s="73"/>
      <c r="X1394" s="73"/>
      <c r="AD1394" s="33"/>
      <c r="AH1394" s="33"/>
      <c r="AJ1394" s="38"/>
      <c r="AK1394" s="38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  <c r="BA1394" s="33"/>
      <c r="BB1394" s="33"/>
      <c r="BC1394" s="114"/>
      <c r="BD1394" s="33"/>
      <c r="BE1394" s="33"/>
      <c r="BF1394" s="33"/>
      <c r="BG1394" s="50"/>
      <c r="BH1394" s="50"/>
      <c r="BI1394" s="50"/>
      <c r="BJ1394" s="50"/>
      <c r="BK1394" s="50"/>
      <c r="BL1394" s="50"/>
      <c r="BM1394" s="50"/>
      <c r="BN1394" s="50"/>
      <c r="BO1394" s="50"/>
      <c r="BP1394" s="50"/>
      <c r="CI1394" s="35"/>
      <c r="CP1394" s="39"/>
      <c r="CQ1394" s="32"/>
      <c r="CR1394" s="40"/>
      <c r="CS1394" s="40"/>
      <c r="CT1394" s="33"/>
      <c r="CU1394" s="33"/>
      <c r="CV1394" s="33"/>
      <c r="CW1394" s="33"/>
      <c r="CX1394" s="33"/>
      <c r="CY1394" s="33"/>
      <c r="CZ1394" s="33"/>
    </row>
    <row r="1395" spans="7:104" ht="21" x14ac:dyDescent="0.35">
      <c r="G1395" s="126">
        <v>2008</v>
      </c>
      <c r="I1395" s="94">
        <v>61066.144356486991</v>
      </c>
      <c r="J1395" s="94">
        <v>564.25173810567799</v>
      </c>
      <c r="K1395" s="94">
        <v>9942.8555052792763</v>
      </c>
      <c r="L1395" s="93">
        <v>91.872076740857253</v>
      </c>
      <c r="M1395" s="93"/>
      <c r="N1395" s="65"/>
      <c r="O1395" s="93"/>
      <c r="P1395" s="94">
        <f t="shared" si="4018"/>
        <v>71008.999861766264</v>
      </c>
      <c r="Q1395" s="94">
        <f t="shared" si="4019"/>
        <v>656.1238148465352</v>
      </c>
      <c r="R1395" s="83">
        <f t="shared" si="4020"/>
        <v>0.14278701996943932</v>
      </c>
      <c r="AD1395" s="33"/>
      <c r="AH1395" s="33"/>
      <c r="AJ1395" s="38"/>
      <c r="AK1395" s="38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  <c r="AX1395" s="33"/>
      <c r="AY1395" s="33"/>
      <c r="BA1395" s="33"/>
      <c r="BB1395" s="33"/>
      <c r="BC1395" s="114"/>
      <c r="BD1395" s="33"/>
      <c r="BE1395" s="33"/>
      <c r="BF1395" s="33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CI1395" s="35"/>
      <c r="CP1395" s="39"/>
      <c r="CQ1395" s="32"/>
      <c r="CR1395" s="40"/>
      <c r="CS1395" s="40"/>
      <c r="CT1395" s="33"/>
      <c r="CU1395" s="33"/>
      <c r="CV1395" s="33"/>
      <c r="CW1395" s="33"/>
      <c r="CX1395" s="33"/>
      <c r="CY1395" s="33"/>
      <c r="CZ1395" s="33"/>
    </row>
    <row r="1396" spans="7:104" ht="21" x14ac:dyDescent="0.35">
      <c r="G1396" s="126">
        <v>2009</v>
      </c>
      <c r="I1396" s="94">
        <v>62815.012135447134</v>
      </c>
      <c r="J1396" s="94">
        <v>572.21600669958673</v>
      </c>
      <c r="K1396" s="94">
        <v>11162.441092217234</v>
      </c>
      <c r="L1396" s="93">
        <v>101.68472869248221</v>
      </c>
      <c r="M1396" s="93"/>
      <c r="N1396" s="65"/>
      <c r="O1396" s="93"/>
      <c r="P1396" s="94">
        <f t="shared" si="4018"/>
        <v>73977.453227664373</v>
      </c>
      <c r="Q1396" s="94">
        <f t="shared" si="4019"/>
        <v>673.9007353920689</v>
      </c>
      <c r="R1396" s="83">
        <f t="shared" si="4020"/>
        <v>2.6733309920997872E-2</v>
      </c>
      <c r="AD1396" s="33"/>
      <c r="AH1396" s="33"/>
      <c r="AJ1396" s="38"/>
      <c r="AK1396" s="38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33"/>
      <c r="AX1396" s="33"/>
      <c r="AY1396" s="33"/>
      <c r="BA1396" s="33"/>
      <c r="BB1396" s="33"/>
      <c r="BC1396" s="114"/>
      <c r="BD1396" s="33"/>
      <c r="BE1396" s="33"/>
      <c r="BF1396" s="33"/>
      <c r="BG1396" s="50"/>
      <c r="BH1396" s="50"/>
      <c r="BI1396" s="50"/>
      <c r="BJ1396" s="50"/>
      <c r="BK1396" s="50"/>
      <c r="BL1396" s="50"/>
      <c r="BM1396" s="50"/>
      <c r="BN1396" s="50"/>
      <c r="BO1396" s="50"/>
      <c r="BP1396" s="50"/>
      <c r="CI1396" s="35"/>
      <c r="CP1396" s="39"/>
      <c r="CQ1396" s="32"/>
      <c r="CR1396" s="40"/>
      <c r="CS1396" s="40"/>
      <c r="CT1396" s="33"/>
      <c r="CU1396" s="33"/>
      <c r="CV1396" s="33"/>
      <c r="CW1396" s="33"/>
      <c r="CX1396" s="33"/>
      <c r="CY1396" s="33"/>
      <c r="CZ1396" s="33"/>
    </row>
    <row r="1397" spans="7:104" ht="21" x14ac:dyDescent="0.35">
      <c r="G1397" s="126">
        <v>2010</v>
      </c>
      <c r="I1397" s="94">
        <v>60317.766891114254</v>
      </c>
      <c r="J1397" s="94">
        <v>539.15322360772518</v>
      </c>
      <c r="K1397" s="94">
        <v>10761.044173848548</v>
      </c>
      <c r="L1397" s="93">
        <v>96.188104347249592</v>
      </c>
      <c r="M1397" s="93"/>
      <c r="N1397" s="65"/>
      <c r="O1397" s="93"/>
      <c r="P1397" s="94">
        <f t="shared" si="4018"/>
        <v>71078.811064962807</v>
      </c>
      <c r="Q1397" s="94">
        <f t="shared" si="4019"/>
        <v>635.34132795497476</v>
      </c>
      <c r="R1397" s="83">
        <f t="shared" si="4020"/>
        <v>-5.8920444382861904E-2</v>
      </c>
      <c r="AD1397" s="33"/>
      <c r="AH1397" s="33"/>
      <c r="AJ1397" s="38"/>
      <c r="AK1397" s="38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  <c r="BA1397" s="33"/>
      <c r="BB1397" s="33"/>
      <c r="BC1397" s="114"/>
      <c r="BD1397" s="33"/>
      <c r="BE1397" s="33"/>
      <c r="BF1397" s="33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CI1397" s="35"/>
      <c r="CP1397" s="39"/>
      <c r="CQ1397" s="32"/>
      <c r="CR1397" s="40"/>
      <c r="CS1397" s="40"/>
      <c r="CT1397" s="33"/>
      <c r="CU1397" s="33"/>
      <c r="CV1397" s="33"/>
      <c r="CW1397" s="33"/>
      <c r="CX1397" s="33"/>
      <c r="CY1397" s="33"/>
      <c r="CZ1397" s="33"/>
    </row>
    <row r="1398" spans="7:104" ht="21" x14ac:dyDescent="0.35">
      <c r="G1398" s="126">
        <v>2011</v>
      </c>
      <c r="I1398" s="94">
        <v>63731.618385797934</v>
      </c>
      <c r="J1398" s="94">
        <v>557.58196313034068</v>
      </c>
      <c r="K1398" s="94">
        <v>10654.301479713831</v>
      </c>
      <c r="L1398" s="93">
        <v>93.213486261713314</v>
      </c>
      <c r="M1398" s="93"/>
      <c r="N1398" s="65"/>
      <c r="O1398" s="93"/>
      <c r="P1398" s="94">
        <f t="shared" si="4018"/>
        <v>74385.919865511765</v>
      </c>
      <c r="Q1398" s="94">
        <f t="shared" si="4019"/>
        <v>650.79544939205402</v>
      </c>
      <c r="R1398" s="83">
        <f t="shared" si="4020"/>
        <v>2.4033004174302836E-2</v>
      </c>
      <c r="AD1398" s="33"/>
      <c r="AH1398" s="33"/>
      <c r="AJ1398" s="38"/>
      <c r="AK1398" s="38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  <c r="AX1398" s="33"/>
      <c r="AY1398" s="33"/>
      <c r="BA1398" s="33"/>
      <c r="BB1398" s="33"/>
      <c r="BC1398" s="114"/>
      <c r="BD1398" s="33"/>
      <c r="BE1398" s="33"/>
      <c r="BF1398" s="33"/>
      <c r="BG1398" s="50"/>
      <c r="BH1398" s="50"/>
      <c r="BI1398" s="50"/>
      <c r="BJ1398" s="50"/>
      <c r="BK1398" s="50"/>
      <c r="BL1398" s="50"/>
      <c r="BM1398" s="50"/>
      <c r="BN1398" s="50"/>
      <c r="BO1398" s="50"/>
      <c r="BP1398" s="50"/>
      <c r="CI1398" s="35"/>
      <c r="CP1398" s="39"/>
      <c r="CQ1398" s="32"/>
      <c r="CR1398" s="40"/>
      <c r="CS1398" s="40"/>
      <c r="CT1398" s="33"/>
      <c r="CU1398" s="33"/>
      <c r="CV1398" s="33"/>
      <c r="CW1398" s="33"/>
      <c r="CX1398" s="33"/>
      <c r="CY1398" s="33"/>
      <c r="CZ1398" s="33"/>
    </row>
    <row r="1399" spans="7:104" ht="21" x14ac:dyDescent="0.35">
      <c r="G1399" s="126">
        <v>2012</v>
      </c>
      <c r="I1399" s="94">
        <v>55368.13265334582</v>
      </c>
      <c r="J1399" s="94">
        <v>475.26294123043624</v>
      </c>
      <c r="K1399" s="94">
        <v>8384.0890162192154</v>
      </c>
      <c r="L1399" s="93">
        <v>71.966429323770086</v>
      </c>
      <c r="M1399" s="93"/>
      <c r="N1399" s="65"/>
      <c r="O1399" s="93"/>
      <c r="P1399" s="94">
        <f t="shared" si="4018"/>
        <v>63752.221669565035</v>
      </c>
      <c r="Q1399" s="94">
        <f t="shared" si="4019"/>
        <v>547.2293705542063</v>
      </c>
      <c r="R1399" s="83">
        <f t="shared" si="4020"/>
        <v>-0.17332734386473136</v>
      </c>
      <c r="AD1399" s="33"/>
      <c r="AH1399" s="33"/>
      <c r="AJ1399" s="38"/>
      <c r="AK1399" s="38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  <c r="AX1399" s="33"/>
      <c r="AY1399" s="33"/>
      <c r="BA1399" s="33"/>
      <c r="BB1399" s="33"/>
      <c r="BC1399" s="114"/>
      <c r="BD1399" s="33"/>
      <c r="BE1399" s="33"/>
      <c r="BF1399" s="33"/>
      <c r="BG1399" s="50"/>
      <c r="BH1399" s="50"/>
      <c r="BI1399" s="50"/>
      <c r="BJ1399" s="50"/>
      <c r="BK1399" s="50"/>
      <c r="BL1399" s="50"/>
      <c r="BM1399" s="50"/>
      <c r="BN1399" s="50"/>
      <c r="BO1399" s="50"/>
      <c r="BP1399" s="50"/>
      <c r="CI1399" s="36"/>
      <c r="CP1399" s="39"/>
      <c r="CQ1399" s="32"/>
      <c r="CR1399" s="40"/>
      <c r="CS1399" s="40"/>
      <c r="CT1399" s="40"/>
      <c r="CU1399" s="40"/>
      <c r="CV1399" s="40"/>
      <c r="CW1399" s="40"/>
      <c r="CX1399" s="40"/>
      <c r="CY1399" s="40"/>
      <c r="CZ1399" s="40"/>
    </row>
    <row r="1400" spans="7:104" ht="21" x14ac:dyDescent="0.35">
      <c r="G1400" s="126">
        <v>2013</v>
      </c>
      <c r="I1400" s="94">
        <v>68025.816273212113</v>
      </c>
      <c r="J1400" s="94">
        <v>572.96960432269623</v>
      </c>
      <c r="K1400" s="94">
        <v>10460.506545021377</v>
      </c>
      <c r="L1400" s="93">
        <v>88.107025015972852</v>
      </c>
      <c r="M1400" s="93"/>
      <c r="N1400" s="65"/>
      <c r="O1400" s="93"/>
      <c r="P1400" s="94">
        <f t="shared" si="4018"/>
        <v>78486.322818233486</v>
      </c>
      <c r="Q1400" s="94">
        <f t="shared" si="4019"/>
        <v>661.07662933866914</v>
      </c>
      <c r="R1400" s="83">
        <f t="shared" si="4020"/>
        <v>0.18900172341401603</v>
      </c>
      <c r="AD1400" s="33"/>
      <c r="AH1400" s="33"/>
      <c r="AJ1400" s="38"/>
      <c r="AK1400" s="38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  <c r="BA1400" s="33"/>
      <c r="BB1400" s="33"/>
      <c r="BC1400" s="114"/>
      <c r="BD1400" s="33"/>
      <c r="BE1400" s="33"/>
      <c r="BF1400" s="33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CI1400" s="35"/>
      <c r="CP1400" s="39"/>
      <c r="CQ1400" s="32"/>
      <c r="CR1400" s="40"/>
      <c r="CS1400" s="40"/>
      <c r="CT1400" s="33"/>
      <c r="CU1400" s="33"/>
      <c r="CV1400" s="33"/>
      <c r="CW1400" s="33"/>
      <c r="CX1400" s="33"/>
      <c r="CY1400" s="33"/>
      <c r="CZ1400" s="33"/>
    </row>
    <row r="1401" spans="7:104" ht="21" x14ac:dyDescent="0.35">
      <c r="G1401" s="126">
        <v>2014</v>
      </c>
      <c r="I1401" s="94">
        <v>69294.100166773147</v>
      </c>
      <c r="J1401" s="94">
        <v>571.73349972585106</v>
      </c>
      <c r="K1401" s="94">
        <v>10814.407376252071</v>
      </c>
      <c r="L1401" s="93">
        <v>89.227783632442822</v>
      </c>
      <c r="M1401" s="93"/>
      <c r="N1401" s="65"/>
      <c r="O1401" s="93"/>
      <c r="P1401" s="94">
        <f t="shared" si="4018"/>
        <v>80108.507543025218</v>
      </c>
      <c r="Q1401" s="94">
        <f t="shared" si="4019"/>
        <v>660.96128335829394</v>
      </c>
      <c r="R1401" s="83">
        <f t="shared" si="4020"/>
        <v>-1.7449723576011542E-4</v>
      </c>
      <c r="AD1401" s="33"/>
      <c r="AH1401" s="33"/>
      <c r="AJ1401" s="38"/>
      <c r="AK1401" s="38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BA1401" s="33"/>
      <c r="BB1401" s="33"/>
      <c r="BC1401" s="114"/>
      <c r="BD1401" s="33"/>
      <c r="BE1401" s="33"/>
      <c r="BF1401" s="33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CI1401" s="35"/>
      <c r="CP1401" s="39"/>
      <c r="CQ1401" s="32"/>
      <c r="CR1401" s="40"/>
      <c r="CS1401" s="40"/>
      <c r="CT1401" s="33"/>
      <c r="CU1401" s="33"/>
      <c r="CV1401" s="33"/>
      <c r="CW1401" s="33"/>
      <c r="CX1401" s="33"/>
      <c r="CY1401" s="33"/>
      <c r="CZ1401" s="33"/>
    </row>
    <row r="1402" spans="7:104" ht="21" x14ac:dyDescent="0.35">
      <c r="G1402" s="126">
        <v>2015</v>
      </c>
      <c r="I1402" s="94">
        <v>63080.933254042786</v>
      </c>
      <c r="J1402" s="94">
        <v>509.74491518418415</v>
      </c>
      <c r="K1402" s="94">
        <v>10744.200366256906</v>
      </c>
      <c r="L1402" s="93">
        <v>86.82182114146994</v>
      </c>
      <c r="M1402" s="93"/>
      <c r="N1402" s="65"/>
      <c r="O1402" s="93"/>
      <c r="P1402" s="94">
        <f t="shared" si="4018"/>
        <v>73825.13362029969</v>
      </c>
      <c r="Q1402" s="94">
        <f t="shared" si="4019"/>
        <v>596.56673632565412</v>
      </c>
      <c r="R1402" s="83">
        <f t="shared" si="4020"/>
        <v>-0.10250415018288074</v>
      </c>
      <c r="AD1402" s="33"/>
      <c r="AH1402" s="33"/>
      <c r="AJ1402" s="38"/>
      <c r="AK1402" s="38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  <c r="AX1402" s="33"/>
      <c r="AY1402" s="33"/>
      <c r="BA1402" s="33"/>
      <c r="BB1402" s="33"/>
      <c r="BC1402" s="114"/>
      <c r="BD1402" s="33"/>
      <c r="BE1402" s="33"/>
      <c r="BF1402" s="33"/>
      <c r="BG1402" s="50"/>
      <c r="BH1402" s="50"/>
      <c r="BI1402" s="50"/>
      <c r="BJ1402" s="50"/>
      <c r="BK1402" s="50"/>
      <c r="BL1402" s="50"/>
      <c r="BM1402" s="50"/>
      <c r="BN1402" s="50"/>
      <c r="BO1402" s="50"/>
      <c r="BP1402" s="50"/>
      <c r="CI1402" s="35"/>
      <c r="CP1402" s="39"/>
      <c r="CQ1402" s="32"/>
      <c r="CR1402" s="40"/>
      <c r="CS1402" s="40"/>
      <c r="CT1402" s="33"/>
      <c r="CU1402" s="33"/>
      <c r="CV1402" s="33"/>
      <c r="CW1402" s="33"/>
      <c r="CX1402" s="33"/>
      <c r="CY1402" s="33"/>
      <c r="CZ1402" s="33"/>
    </row>
    <row r="1403" spans="7:104" ht="21" x14ac:dyDescent="0.35">
      <c r="G1403" s="126">
        <v>2016</v>
      </c>
      <c r="I1403" s="94">
        <v>73469.788829246812</v>
      </c>
      <c r="J1403" s="94">
        <v>581.24832934530707</v>
      </c>
      <c r="K1403" s="94">
        <v>11487.015952919062</v>
      </c>
      <c r="L1403" s="93">
        <v>90.878290766764735</v>
      </c>
      <c r="M1403" s="93"/>
      <c r="N1403" s="65"/>
      <c r="O1403" s="93"/>
      <c r="P1403" s="94">
        <f t="shared" si="4018"/>
        <v>84956.804782165869</v>
      </c>
      <c r="Q1403" s="94">
        <f t="shared" si="4019"/>
        <v>672.12662011207181</v>
      </c>
      <c r="R1403" s="83">
        <f t="shared" si="4020"/>
        <v>0.11925563043790485</v>
      </c>
      <c r="AD1403" s="33"/>
      <c r="AH1403" s="33"/>
      <c r="AJ1403" s="38"/>
      <c r="AK1403" s="38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  <c r="AX1403" s="33"/>
      <c r="AY1403" s="33"/>
      <c r="BA1403" s="33"/>
      <c r="BB1403" s="33"/>
      <c r="BC1403" s="114"/>
      <c r="BD1403" s="33"/>
      <c r="BE1403" s="33"/>
      <c r="BF1403" s="33"/>
      <c r="BG1403" s="50"/>
      <c r="BH1403" s="50"/>
      <c r="BI1403" s="50"/>
      <c r="BJ1403" s="50"/>
      <c r="BK1403" s="50"/>
      <c r="BL1403" s="50"/>
      <c r="BM1403" s="50"/>
      <c r="BN1403" s="50"/>
      <c r="BO1403" s="50"/>
      <c r="BP1403" s="50"/>
      <c r="CI1403" s="35"/>
      <c r="CP1403" s="39"/>
      <c r="CQ1403" s="32"/>
      <c r="CR1403" s="40"/>
      <c r="CS1403" s="40"/>
      <c r="CT1403" s="33"/>
      <c r="CU1403" s="33"/>
      <c r="CV1403" s="33"/>
      <c r="CW1403" s="33"/>
      <c r="CX1403" s="33"/>
      <c r="CY1403" s="33"/>
      <c r="CZ1403" s="33"/>
    </row>
    <row r="1404" spans="7:104" ht="21" x14ac:dyDescent="0.35">
      <c r="G1404" s="126">
        <v>2017</v>
      </c>
      <c r="I1404" s="94">
        <v>74726.142015534642</v>
      </c>
      <c r="J1404" s="94">
        <v>577.0358456798042</v>
      </c>
      <c r="K1404" s="94">
        <v>11882.023200725536</v>
      </c>
      <c r="L1404" s="93">
        <v>91.753074909077498</v>
      </c>
      <c r="M1404" s="93"/>
      <c r="N1404" s="65"/>
      <c r="O1404" s="93"/>
      <c r="P1404" s="94">
        <f t="shared" si="4018"/>
        <v>86608.165216260182</v>
      </c>
      <c r="Q1404" s="94">
        <f t="shared" si="4019"/>
        <v>668.78892058888164</v>
      </c>
      <c r="R1404" s="83">
        <f t="shared" si="4020"/>
        <v>-4.9782500314958069E-3</v>
      </c>
      <c r="AD1404" s="33"/>
      <c r="AH1404" s="33"/>
      <c r="AJ1404" s="38"/>
      <c r="AK1404" s="38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/>
      <c r="AV1404" s="33"/>
      <c r="AW1404" s="33"/>
      <c r="AX1404" s="33"/>
      <c r="AY1404" s="33"/>
      <c r="BA1404" s="33"/>
      <c r="BB1404" s="33"/>
      <c r="BC1404" s="114"/>
      <c r="BD1404" s="33"/>
      <c r="BE1404" s="33"/>
      <c r="BF1404" s="33"/>
      <c r="BG1404" s="50"/>
      <c r="BH1404" s="50"/>
      <c r="BI1404" s="50"/>
      <c r="BJ1404" s="50"/>
      <c r="BK1404" s="50"/>
      <c r="BL1404" s="50"/>
      <c r="BM1404" s="50"/>
      <c r="BN1404" s="50"/>
      <c r="BO1404" s="50"/>
      <c r="BP1404" s="50"/>
      <c r="CI1404" s="35"/>
      <c r="CP1404" s="39"/>
      <c r="CQ1404" s="32"/>
      <c r="CR1404" s="40"/>
      <c r="CS1404" s="40"/>
      <c r="CT1404" s="33"/>
      <c r="CU1404" s="33"/>
      <c r="CV1404" s="33"/>
      <c r="CW1404" s="33"/>
      <c r="CX1404" s="33"/>
      <c r="CY1404" s="33"/>
      <c r="CZ1404" s="33"/>
    </row>
    <row r="1405" spans="7:104" ht="21" x14ac:dyDescent="0.35">
      <c r="G1405" s="126">
        <v>2018</v>
      </c>
      <c r="I1405" s="94">
        <v>182044.14521314992</v>
      </c>
      <c r="J1405" s="94">
        <v>1366.184954695309</v>
      </c>
      <c r="K1405" s="94">
        <v>38409.184834861066</v>
      </c>
      <c r="L1405" s="93">
        <v>288.24904191265341</v>
      </c>
      <c r="M1405" s="93"/>
      <c r="N1405" s="65"/>
      <c r="O1405" s="93"/>
      <c r="P1405" s="94">
        <f t="shared" si="4018"/>
        <v>220453.33004801098</v>
      </c>
      <c r="Q1405" s="94">
        <f t="shared" si="4019"/>
        <v>1654.4339966079624</v>
      </c>
      <c r="R1405" s="83">
        <f t="shared" si="4020"/>
        <v>0.90574573778178713</v>
      </c>
      <c r="AD1405" s="33"/>
      <c r="AH1405" s="33"/>
      <c r="AJ1405" s="38"/>
      <c r="AK1405" s="38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  <c r="BA1405" s="33"/>
      <c r="BB1405" s="33"/>
      <c r="BC1405" s="114"/>
      <c r="BD1405" s="33"/>
      <c r="BE1405" s="33"/>
      <c r="BF1405" s="33"/>
      <c r="BG1405" s="50"/>
      <c r="BH1405" s="50"/>
      <c r="BI1405" s="50"/>
      <c r="BJ1405" s="50"/>
      <c r="BK1405" s="50"/>
      <c r="BL1405" s="50"/>
      <c r="BM1405" s="50"/>
      <c r="BN1405" s="50"/>
      <c r="BO1405" s="50"/>
      <c r="BP1405" s="50"/>
      <c r="CI1405" s="35"/>
      <c r="CP1405" s="39"/>
      <c r="CQ1405" s="32"/>
      <c r="CR1405" s="40"/>
      <c r="CS1405" s="40"/>
      <c r="CT1405" s="33"/>
      <c r="CU1405" s="33"/>
      <c r="CV1405" s="33"/>
      <c r="CW1405" s="33"/>
      <c r="CX1405" s="33"/>
      <c r="CY1405" s="33"/>
      <c r="CZ1405" s="33"/>
    </row>
    <row r="1406" spans="7:104" ht="21" x14ac:dyDescent="0.35">
      <c r="G1406" s="126">
        <v>2019</v>
      </c>
      <c r="I1406" s="94">
        <v>106975.1197434819</v>
      </c>
      <c r="J1406" s="94">
        <v>781.69616180841729</v>
      </c>
      <c r="K1406" s="94">
        <v>19236.025816726495</v>
      </c>
      <c r="L1406" s="93">
        <v>140.5628484963573</v>
      </c>
      <c r="M1406" s="93"/>
      <c r="N1406" s="65"/>
      <c r="O1406" s="93"/>
      <c r="P1406" s="94">
        <f t="shared" si="4018"/>
        <v>126211.1455602084</v>
      </c>
      <c r="Q1406" s="94">
        <f t="shared" si="4019"/>
        <v>922.25901030477462</v>
      </c>
      <c r="R1406" s="83">
        <f t="shared" si="4020"/>
        <v>-0.58438812696513687</v>
      </c>
      <c r="AD1406" s="33"/>
      <c r="AH1406" s="33"/>
      <c r="AJ1406" s="38"/>
      <c r="AK1406" s="38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BA1406" s="33"/>
      <c r="BB1406" s="33"/>
      <c r="BC1406" s="114"/>
      <c r="BD1406" s="33"/>
      <c r="BE1406" s="33"/>
      <c r="BF1406" s="33"/>
      <c r="BG1406" s="50"/>
      <c r="BH1406" s="50"/>
      <c r="BI1406" s="50"/>
      <c r="BJ1406" s="50"/>
      <c r="BK1406" s="50"/>
      <c r="BL1406" s="50"/>
      <c r="BM1406" s="50"/>
      <c r="BN1406" s="50"/>
      <c r="BO1406" s="50"/>
      <c r="BP1406" s="50"/>
      <c r="CI1406" s="35"/>
      <c r="CP1406" s="39"/>
      <c r="CQ1406" s="32"/>
      <c r="CR1406" s="40"/>
      <c r="CS1406" s="40"/>
      <c r="CT1406" s="33"/>
      <c r="CU1406" s="33"/>
      <c r="CV1406" s="33"/>
      <c r="CW1406" s="33"/>
      <c r="CX1406" s="33"/>
      <c r="CY1406" s="33"/>
      <c r="CZ1406" s="33"/>
    </row>
    <row r="1407" spans="7:104" ht="21" x14ac:dyDescent="0.35">
      <c r="G1407" s="126">
        <v>2020</v>
      </c>
      <c r="I1407" s="94">
        <v>76508.145246526648</v>
      </c>
      <c r="J1407" s="94">
        <v>544.7358152120089</v>
      </c>
      <c r="K1407" s="94">
        <v>11301.535771974532</v>
      </c>
      <c r="L1407" s="93">
        <v>80.46661283000735</v>
      </c>
      <c r="M1407" s="93"/>
      <c r="N1407" s="65"/>
      <c r="O1407" s="93"/>
      <c r="P1407" s="94">
        <f t="shared" si="4018"/>
        <v>87809.681018501185</v>
      </c>
      <c r="Q1407" s="94">
        <f t="shared" si="4019"/>
        <v>625.20242804201621</v>
      </c>
      <c r="R1407" s="83">
        <f t="shared" si="4020"/>
        <v>-0.38875062418053535</v>
      </c>
      <c r="AD1407" s="33"/>
      <c r="AH1407" s="33"/>
      <c r="AJ1407" s="38"/>
      <c r="AK1407" s="38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  <c r="AX1407" s="33"/>
      <c r="AY1407" s="33"/>
      <c r="BA1407" s="33"/>
      <c r="BB1407" s="33"/>
      <c r="BC1407" s="114"/>
      <c r="BD1407" s="33"/>
      <c r="BE1407" s="33"/>
      <c r="BF1407" s="33"/>
      <c r="BG1407" s="50"/>
      <c r="BH1407" s="50"/>
      <c r="BI1407" s="50"/>
      <c r="BJ1407" s="50"/>
      <c r="BK1407" s="50"/>
      <c r="BL1407" s="50"/>
      <c r="BM1407" s="50"/>
      <c r="BN1407" s="50"/>
      <c r="BO1407" s="50"/>
      <c r="BP1407" s="50"/>
      <c r="CI1407" s="35"/>
      <c r="CP1407" s="39"/>
      <c r="CQ1407" s="32"/>
      <c r="CR1407" s="40"/>
      <c r="CS1407" s="40"/>
      <c r="CT1407" s="33"/>
      <c r="CU1407" s="33"/>
      <c r="CV1407" s="33"/>
      <c r="CW1407" s="33"/>
      <c r="CX1407" s="33"/>
      <c r="CY1407" s="33"/>
      <c r="CZ1407" s="33"/>
    </row>
    <row r="1408" spans="7:104" ht="21" x14ac:dyDescent="0.35">
      <c r="G1408" s="126">
        <v>2021</v>
      </c>
      <c r="I1408" s="94">
        <v>93296.329716244523</v>
      </c>
      <c r="J1408" s="94">
        <v>641.32208088155699</v>
      </c>
      <c r="K1408" s="94">
        <v>0</v>
      </c>
      <c r="L1408" s="93">
        <v>0</v>
      </c>
      <c r="M1408" s="93"/>
      <c r="N1408" s="65"/>
      <c r="O1408" s="93"/>
      <c r="P1408" s="94">
        <f t="shared" si="4018"/>
        <v>93296.329716244523</v>
      </c>
      <c r="Q1408" s="94">
        <f t="shared" si="4019"/>
        <v>641.32208088155699</v>
      </c>
      <c r="R1408" s="83">
        <f t="shared" si="4020"/>
        <v>2.5456314836395662E-2</v>
      </c>
      <c r="V1408" s="73"/>
      <c r="AD1408" s="33"/>
      <c r="AH1408" s="33"/>
      <c r="AJ1408" s="38"/>
      <c r="AK1408" s="38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  <c r="AX1408" s="33"/>
      <c r="AY1408" s="33"/>
      <c r="BA1408" s="33"/>
      <c r="BB1408" s="33"/>
      <c r="BC1408" s="114"/>
      <c r="BD1408" s="33"/>
      <c r="BE1408" s="33"/>
      <c r="BF1408" s="33"/>
      <c r="BG1408" s="50"/>
      <c r="BH1408" s="50"/>
      <c r="BI1408" s="50"/>
      <c r="BJ1408" s="50"/>
      <c r="BK1408" s="50"/>
      <c r="BL1408" s="50"/>
      <c r="BM1408" s="50"/>
      <c r="BN1408" s="50"/>
      <c r="BO1408" s="50"/>
      <c r="BP1408" s="50"/>
      <c r="CI1408" s="35"/>
      <c r="CP1408" s="39"/>
      <c r="CQ1408" s="32"/>
      <c r="CR1408" s="40"/>
      <c r="CS1408" s="40"/>
      <c r="CT1408" s="33"/>
      <c r="CU1408" s="33"/>
      <c r="CV1408" s="33"/>
      <c r="CW1408" s="33"/>
      <c r="CX1408" s="33"/>
      <c r="CY1408" s="33"/>
      <c r="CZ1408" s="33"/>
    </row>
    <row r="1409" spans="7:104" ht="21" x14ac:dyDescent="0.35">
      <c r="G1409" s="11"/>
      <c r="I1409"/>
      <c r="K1409" s="72"/>
      <c r="N1409" s="38"/>
      <c r="P1409" s="94"/>
      <c r="Q1409" s="94"/>
      <c r="R1409" s="83"/>
      <c r="AD1409" s="33"/>
      <c r="AH1409" s="33"/>
      <c r="AJ1409" s="38"/>
      <c r="AK1409" s="38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  <c r="BA1409" s="33"/>
      <c r="BB1409" s="33"/>
      <c r="BC1409" s="114"/>
      <c r="BD1409" s="33"/>
      <c r="BE1409" s="33"/>
      <c r="BF1409" s="33"/>
      <c r="BG1409" s="50"/>
      <c r="BH1409" s="50"/>
      <c r="BI1409" s="50"/>
      <c r="BJ1409" s="50"/>
      <c r="BK1409" s="50"/>
      <c r="BL1409" s="50"/>
      <c r="BM1409" s="50"/>
      <c r="BN1409" s="50"/>
      <c r="BO1409" s="50"/>
      <c r="BP1409" s="50"/>
      <c r="CI1409" s="35"/>
      <c r="CP1409" s="39"/>
      <c r="CQ1409" s="32"/>
      <c r="CR1409" s="40"/>
      <c r="CS1409" s="40"/>
      <c r="CT1409" s="33"/>
      <c r="CU1409" s="33"/>
      <c r="CV1409" s="33"/>
      <c r="CW1409" s="33"/>
      <c r="CX1409" s="33"/>
      <c r="CY1409" s="33"/>
      <c r="CZ1409" s="33"/>
    </row>
    <row r="1410" spans="7:104" ht="21" x14ac:dyDescent="0.35">
      <c r="G1410" s="11"/>
      <c r="I1410"/>
      <c r="K1410" s="72"/>
      <c r="N1410" s="38"/>
      <c r="Q1410" s="72"/>
      <c r="R1410" s="83"/>
      <c r="AD1410" s="33"/>
      <c r="AH1410" s="33"/>
      <c r="AJ1410" s="38"/>
      <c r="AK1410" s="38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BA1410" s="33"/>
      <c r="BB1410" s="33"/>
      <c r="BC1410" s="114"/>
      <c r="BD1410" s="33"/>
      <c r="BE1410" s="33"/>
      <c r="BF1410" s="33"/>
      <c r="BG1410" s="50"/>
      <c r="BH1410" s="50"/>
      <c r="BI1410" s="50"/>
      <c r="BJ1410" s="50"/>
      <c r="BK1410" s="50"/>
      <c r="BL1410" s="50"/>
      <c r="BM1410" s="50"/>
      <c r="BN1410" s="50"/>
      <c r="BO1410" s="50"/>
      <c r="BP1410" s="50"/>
      <c r="CI1410" s="35"/>
      <c r="CP1410" s="39"/>
      <c r="CQ1410" s="32"/>
      <c r="CR1410" s="40"/>
      <c r="CS1410" s="40"/>
      <c r="CT1410" s="33"/>
      <c r="CU1410" s="33"/>
      <c r="CV1410" s="33"/>
      <c r="CW1410" s="33"/>
      <c r="CX1410" s="33"/>
      <c r="CY1410" s="33"/>
      <c r="CZ1410" s="33"/>
    </row>
    <row r="1411" spans="7:104" ht="21" x14ac:dyDescent="0.35">
      <c r="N1411" s="38"/>
      <c r="R1411" s="83"/>
      <c r="AD1411" s="33"/>
      <c r="AH1411" s="33"/>
      <c r="AJ1411" s="38"/>
      <c r="AK1411" s="38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BA1411" s="33"/>
      <c r="BB1411" s="33"/>
      <c r="BC1411" s="114"/>
      <c r="BD1411" s="33"/>
      <c r="BE1411" s="33"/>
      <c r="BF1411" s="33"/>
      <c r="BG1411" s="50"/>
      <c r="BH1411" s="50"/>
      <c r="BI1411" s="50"/>
      <c r="BJ1411" s="50"/>
      <c r="BK1411" s="50"/>
      <c r="BL1411" s="50"/>
      <c r="BM1411" s="50"/>
      <c r="BN1411" s="50"/>
      <c r="BO1411" s="50"/>
      <c r="BP1411" s="50"/>
      <c r="CI1411" s="35"/>
      <c r="CP1411" s="39"/>
      <c r="CQ1411" s="32"/>
      <c r="CR1411" s="40"/>
      <c r="CS1411" s="40"/>
      <c r="CT1411" s="33"/>
      <c r="CU1411" s="33"/>
      <c r="CV1411" s="33"/>
      <c r="CW1411" s="33"/>
      <c r="CX1411" s="33"/>
      <c r="CY1411" s="33"/>
      <c r="CZ1411" s="33"/>
    </row>
    <row r="1412" spans="7:104" ht="21" x14ac:dyDescent="0.35">
      <c r="G1412" s="11"/>
      <c r="H1412"/>
      <c r="I1412"/>
      <c r="J1412" s="72"/>
      <c r="N1412" s="38"/>
      <c r="P1412" s="72"/>
      <c r="R1412" s="83"/>
      <c r="AD1412" s="33"/>
      <c r="AH1412" s="33"/>
      <c r="AJ1412" s="38"/>
      <c r="AK1412" s="38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  <c r="AX1412" s="33"/>
      <c r="AY1412" s="33"/>
      <c r="BA1412" s="33"/>
      <c r="BB1412" s="33"/>
      <c r="BC1412" s="114"/>
      <c r="BD1412" s="33"/>
      <c r="BE1412" s="33"/>
      <c r="BF1412" s="33"/>
      <c r="BG1412" s="50"/>
      <c r="BH1412" s="50"/>
      <c r="BI1412" s="50"/>
      <c r="BJ1412" s="50"/>
      <c r="BK1412" s="50"/>
      <c r="BL1412" s="50"/>
      <c r="BM1412" s="50"/>
      <c r="BN1412" s="50"/>
      <c r="BO1412" s="50"/>
      <c r="BP1412" s="50"/>
      <c r="CI1412" s="35"/>
      <c r="CP1412" s="39"/>
      <c r="CQ1412" s="32"/>
      <c r="CR1412" s="40"/>
      <c r="CS1412" s="40"/>
      <c r="CT1412" s="33"/>
      <c r="CU1412" s="33"/>
      <c r="CV1412" s="33"/>
      <c r="CW1412" s="33"/>
      <c r="CX1412" s="33"/>
      <c r="CY1412" s="33"/>
      <c r="CZ1412" s="33"/>
    </row>
    <row r="1413" spans="7:104" ht="42" x14ac:dyDescent="0.35">
      <c r="G1413" s="11"/>
      <c r="H1413" s="130"/>
      <c r="I1413" s="145" t="s">
        <v>538</v>
      </c>
      <c r="J1413" s="132"/>
      <c r="K1413" s="145" t="s">
        <v>539</v>
      </c>
      <c r="N1413" s="38"/>
      <c r="P1413" s="132" t="s">
        <v>543</v>
      </c>
      <c r="R1413" s="83"/>
      <c r="S1413" s="33"/>
      <c r="T1413" s="33"/>
      <c r="U1413" s="33"/>
      <c r="AD1413" s="33"/>
      <c r="AH1413" s="33"/>
      <c r="AJ1413" s="38"/>
      <c r="AK1413" s="38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  <c r="AX1413" s="33"/>
      <c r="AY1413" s="33"/>
      <c r="BA1413" s="33"/>
      <c r="BB1413" s="33"/>
      <c r="BC1413" s="114"/>
      <c r="BD1413" s="33"/>
      <c r="BE1413" s="33"/>
      <c r="BF1413" s="33"/>
      <c r="BG1413" s="50"/>
      <c r="BH1413" s="50"/>
      <c r="BI1413" s="50"/>
      <c r="BJ1413" s="50"/>
      <c r="BK1413" s="50"/>
      <c r="BL1413" s="50"/>
      <c r="BM1413" s="50"/>
      <c r="BN1413" s="50"/>
      <c r="BO1413" s="50"/>
      <c r="BP1413" s="50"/>
      <c r="CI1413" s="35"/>
      <c r="CP1413" s="39"/>
      <c r="CQ1413" s="32"/>
      <c r="CR1413" s="40"/>
      <c r="CS1413" s="40"/>
      <c r="CT1413" s="33"/>
      <c r="CU1413" s="33"/>
      <c r="CV1413" s="33"/>
      <c r="CW1413" s="33"/>
      <c r="CX1413" s="33"/>
      <c r="CY1413" s="33"/>
      <c r="CZ1413" s="33"/>
    </row>
    <row r="1414" spans="7:104" ht="21" x14ac:dyDescent="0.35">
      <c r="G1414" s="11"/>
      <c r="H1414" s="133"/>
      <c r="I1414" s="133" t="s">
        <v>542</v>
      </c>
      <c r="J1414" s="133" t="s">
        <v>532</v>
      </c>
      <c r="K1414" s="133" t="s">
        <v>542</v>
      </c>
      <c r="L1414" s="133" t="s">
        <v>532</v>
      </c>
      <c r="M1414" s="133"/>
      <c r="N1414" s="163"/>
      <c r="O1414" s="133"/>
      <c r="P1414" s="133" t="s">
        <v>542</v>
      </c>
      <c r="Q1414" s="133" t="s">
        <v>532</v>
      </c>
      <c r="R1414" s="83"/>
      <c r="S1414" s="33"/>
      <c r="T1414" s="33"/>
      <c r="U1414" s="33"/>
      <c r="AD1414" s="33"/>
      <c r="AH1414" s="33"/>
      <c r="AJ1414" s="38"/>
      <c r="AK1414" s="38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33"/>
      <c r="AX1414" s="33"/>
      <c r="AY1414" s="33"/>
      <c r="BA1414" s="33"/>
      <c r="BB1414" s="33"/>
      <c r="BC1414" s="114"/>
      <c r="BD1414" s="33"/>
      <c r="BE1414" s="33"/>
      <c r="BF1414" s="33"/>
      <c r="BG1414" s="50"/>
      <c r="BH1414" s="50"/>
      <c r="BI1414" s="50"/>
      <c r="BJ1414" s="50"/>
      <c r="BK1414" s="50"/>
      <c r="BL1414" s="50"/>
      <c r="BM1414" s="50"/>
      <c r="BN1414" s="50"/>
      <c r="BO1414" s="50"/>
      <c r="BP1414" s="50"/>
      <c r="CI1414" s="35"/>
      <c r="CP1414" s="39"/>
      <c r="CQ1414" s="32"/>
      <c r="CR1414" s="40"/>
      <c r="CS1414" s="40"/>
      <c r="CT1414" s="33"/>
      <c r="CU1414" s="33"/>
      <c r="CV1414" s="33"/>
      <c r="CW1414" s="33"/>
      <c r="CX1414" s="33"/>
      <c r="CY1414" s="33"/>
      <c r="CZ1414" s="33"/>
    </row>
    <row r="1415" spans="7:104" ht="21" x14ac:dyDescent="0.35">
      <c r="G1415" s="126">
        <v>2005</v>
      </c>
      <c r="H1415" s="94">
        <v>70170.144586995928</v>
      </c>
      <c r="I1415" s="63">
        <v>70170.144586995928</v>
      </c>
      <c r="J1415" s="63">
        <v>802.79776890862206</v>
      </c>
      <c r="K1415" s="94">
        <v>11577.297330476054</v>
      </c>
      <c r="L1415" s="94">
        <v>132.45274784028803</v>
      </c>
      <c r="M1415" s="94"/>
      <c r="N1415" s="67"/>
      <c r="O1415" s="94"/>
      <c r="P1415" s="94">
        <f t="shared" ref="P1415:P1431" si="4021">+K1415+I1415</f>
        <v>81747.441917471981</v>
      </c>
      <c r="Q1415" s="94">
        <f t="shared" ref="Q1415:Q1431" si="4022">+J1415+L1415</f>
        <v>935.25051674891006</v>
      </c>
      <c r="R1415" s="83"/>
      <c r="S1415" s="81"/>
      <c r="T1415" s="81"/>
      <c r="U1415" s="81"/>
      <c r="V1415" s="73"/>
      <c r="AD1415" s="33"/>
      <c r="AH1415" s="33"/>
      <c r="AJ1415" s="38"/>
      <c r="AK1415" s="38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  <c r="BA1415" s="33"/>
      <c r="BB1415" s="33"/>
      <c r="BC1415" s="114"/>
      <c r="BD1415" s="33"/>
      <c r="BE1415" s="33"/>
      <c r="BF1415" s="33"/>
      <c r="BG1415" s="50"/>
      <c r="BH1415" s="50"/>
      <c r="BI1415" s="50"/>
      <c r="BJ1415" s="50"/>
      <c r="BK1415" s="50"/>
      <c r="BL1415" s="50"/>
      <c r="BM1415" s="50"/>
      <c r="BN1415" s="50"/>
      <c r="BO1415" s="50"/>
      <c r="BP1415" s="50"/>
      <c r="CI1415" s="35"/>
      <c r="CP1415" s="39"/>
      <c r="CQ1415" s="32"/>
      <c r="CR1415" s="40"/>
      <c r="CS1415" s="40"/>
      <c r="CT1415" s="33"/>
      <c r="CU1415" s="33"/>
      <c r="CV1415" s="33"/>
      <c r="CW1415" s="33"/>
      <c r="CX1415" s="33"/>
      <c r="CY1415" s="33"/>
      <c r="CZ1415" s="33"/>
    </row>
    <row r="1416" spans="7:104" ht="21" x14ac:dyDescent="0.35">
      <c r="G1416" s="126">
        <v>2006</v>
      </c>
      <c r="H1416" s="94">
        <v>68205.95866710681</v>
      </c>
      <c r="I1416" s="63">
        <v>68205.95866710681</v>
      </c>
      <c r="J1416" s="63">
        <v>757.22138094352215</v>
      </c>
      <c r="K1416" s="94">
        <v>12761.68024974627</v>
      </c>
      <c r="L1416" s="94">
        <v>141.67995481211304</v>
      </c>
      <c r="M1416" s="94"/>
      <c r="N1416" s="67"/>
      <c r="O1416" s="94"/>
      <c r="P1416" s="94">
        <f t="shared" si="4021"/>
        <v>80967.638916853088</v>
      </c>
      <c r="Q1416" s="94">
        <f t="shared" si="4022"/>
        <v>898.90133575563516</v>
      </c>
      <c r="R1416" s="83">
        <f t="shared" ref="R1416:R1431" si="4023">LN(Q1416/Q1415)</f>
        <v>-3.9641146185613645E-2</v>
      </c>
      <c r="S1416" s="72"/>
      <c r="T1416" s="72"/>
      <c r="U1416" s="72"/>
      <c r="AD1416" s="33"/>
      <c r="AH1416" s="33"/>
      <c r="AJ1416" s="38"/>
      <c r="AK1416" s="38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BA1416" s="33"/>
      <c r="BB1416" s="33"/>
      <c r="BC1416" s="114"/>
      <c r="BD1416" s="33"/>
      <c r="BE1416" s="33"/>
      <c r="BF1416" s="33"/>
      <c r="BG1416" s="50"/>
      <c r="BH1416" s="50"/>
      <c r="BI1416" s="50"/>
      <c r="BJ1416" s="50"/>
      <c r="BK1416" s="50"/>
      <c r="BL1416" s="50"/>
      <c r="BM1416" s="50"/>
      <c r="BN1416" s="50"/>
      <c r="BO1416" s="50"/>
      <c r="BP1416" s="50"/>
      <c r="CI1416" s="35"/>
      <c r="CP1416" s="39"/>
      <c r="CQ1416" s="32"/>
      <c r="CR1416" s="40"/>
      <c r="CS1416" s="40"/>
      <c r="CT1416" s="33"/>
      <c r="CU1416" s="33"/>
      <c r="CV1416" s="33"/>
      <c r="CW1416" s="33"/>
      <c r="CX1416" s="33"/>
      <c r="CY1416" s="33"/>
      <c r="CZ1416" s="33"/>
    </row>
    <row r="1417" spans="7:104" ht="21" x14ac:dyDescent="0.35">
      <c r="G1417" s="126">
        <v>2007</v>
      </c>
      <c r="H1417" s="94">
        <v>74138.770930840226</v>
      </c>
      <c r="I1417" s="63">
        <v>74138.770930840226</v>
      </c>
      <c r="J1417" s="63">
        <v>801.5175563886811</v>
      </c>
      <c r="K1417" s="94">
        <v>12540.988592581778</v>
      </c>
      <c r="L1417" s="94">
        <v>135.5811865400525</v>
      </c>
      <c r="M1417" s="94"/>
      <c r="N1417" s="67"/>
      <c r="O1417" s="94"/>
      <c r="P1417" s="94">
        <f t="shared" si="4021"/>
        <v>86679.759523422006</v>
      </c>
      <c r="Q1417" s="94">
        <f t="shared" si="4022"/>
        <v>937.0987429287336</v>
      </c>
      <c r="R1417" s="83">
        <f t="shared" si="4023"/>
        <v>4.1615379113122901E-2</v>
      </c>
      <c r="S1417" s="72"/>
      <c r="T1417" s="72"/>
      <c r="U1417" s="72"/>
      <c r="AD1417" s="33"/>
      <c r="AH1417" s="33"/>
      <c r="AJ1417" s="38"/>
      <c r="AK1417" s="38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BA1417" s="33"/>
      <c r="BB1417" s="33"/>
      <c r="BC1417" s="114"/>
      <c r="BD1417" s="33"/>
      <c r="BE1417" s="33"/>
      <c r="BF1417" s="33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CI1417" s="35"/>
      <c r="CP1417" s="39"/>
      <c r="CQ1417" s="32"/>
      <c r="CR1417" s="40"/>
      <c r="CS1417" s="40"/>
      <c r="CT1417" s="33"/>
      <c r="CU1417" s="33"/>
      <c r="CV1417" s="33"/>
      <c r="CW1417" s="33"/>
      <c r="CX1417" s="33"/>
      <c r="CY1417" s="33"/>
      <c r="CZ1417" s="33"/>
    </row>
    <row r="1418" spans="7:104" ht="21" x14ac:dyDescent="0.35">
      <c r="G1418" s="126">
        <v>2008</v>
      </c>
      <c r="H1418" s="94">
        <v>88435.182610678661</v>
      </c>
      <c r="I1418" s="63">
        <v>88435.182610678661</v>
      </c>
      <c r="J1418" s="63">
        <v>938.16496871211348</v>
      </c>
      <c r="K1418" s="94">
        <v>14399.111840889582</v>
      </c>
      <c r="L1418" s="94">
        <v>152.75303234415665</v>
      </c>
      <c r="M1418" s="94"/>
      <c r="N1418" s="67"/>
      <c r="O1418" s="94"/>
      <c r="P1418" s="94">
        <f t="shared" si="4021"/>
        <v>102834.29445156825</v>
      </c>
      <c r="Q1418" s="94">
        <f t="shared" si="4022"/>
        <v>1090.9180010562702</v>
      </c>
      <c r="R1418" s="83">
        <f t="shared" si="4023"/>
        <v>0.15198616489281683</v>
      </c>
      <c r="S1418" s="72"/>
      <c r="T1418" s="72"/>
      <c r="U1418" s="72"/>
      <c r="AD1418" s="33"/>
      <c r="AH1418" s="33"/>
      <c r="AJ1418" s="38"/>
      <c r="AK1418" s="38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  <c r="BA1418" s="33"/>
      <c r="BB1418" s="33"/>
      <c r="BC1418" s="114"/>
      <c r="BD1418" s="33"/>
      <c r="BE1418" s="33"/>
      <c r="BF1418" s="33"/>
      <c r="BG1418" s="50"/>
      <c r="BH1418" s="50"/>
      <c r="BI1418" s="50"/>
      <c r="BJ1418" s="50"/>
      <c r="BK1418" s="50"/>
      <c r="BL1418" s="50"/>
      <c r="BM1418" s="50"/>
      <c r="BN1418" s="50"/>
      <c r="BO1418" s="50"/>
      <c r="BP1418" s="50"/>
      <c r="CI1418" s="35"/>
      <c r="CP1418" s="39"/>
      <c r="CQ1418" s="32"/>
      <c r="CR1418" s="40"/>
      <c r="CS1418" s="40"/>
      <c r="CT1418" s="33"/>
      <c r="CU1418" s="33"/>
      <c r="CV1418" s="33"/>
      <c r="CW1418" s="33"/>
      <c r="CX1418" s="33"/>
      <c r="CY1418" s="33"/>
      <c r="CZ1418" s="33"/>
    </row>
    <row r="1419" spans="7:104" ht="21" x14ac:dyDescent="0.35">
      <c r="G1419" s="126">
        <v>2009</v>
      </c>
      <c r="H1419" s="94">
        <v>90967.869798057029</v>
      </c>
      <c r="I1419" s="63">
        <v>90967.869798057029</v>
      </c>
      <c r="J1419" s="63">
        <v>957.56660383853546</v>
      </c>
      <c r="K1419" s="94">
        <v>16165.299557942539</v>
      </c>
      <c r="L1419" s="94">
        <v>170.16283916612321</v>
      </c>
      <c r="M1419" s="94"/>
      <c r="N1419" s="67"/>
      <c r="O1419" s="94"/>
      <c r="P1419" s="94">
        <f t="shared" si="4021"/>
        <v>107133.16935599956</v>
      </c>
      <c r="Q1419" s="94">
        <f t="shared" si="4022"/>
        <v>1127.7294430046586</v>
      </c>
      <c r="R1419" s="83">
        <f t="shared" si="4023"/>
        <v>3.318672422242485E-2</v>
      </c>
      <c r="S1419" s="72"/>
      <c r="T1419" s="72"/>
      <c r="U1419" s="72"/>
      <c r="AD1419" s="33"/>
      <c r="AH1419" s="33"/>
      <c r="AJ1419" s="38"/>
      <c r="AK1419" s="38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  <c r="BA1419" s="33"/>
      <c r="BB1419" s="33"/>
      <c r="BC1419" s="114"/>
      <c r="BD1419" s="33"/>
      <c r="BE1419" s="33"/>
      <c r="BF1419" s="33"/>
      <c r="BG1419" s="50"/>
      <c r="BH1419" s="50"/>
      <c r="BI1419" s="50"/>
      <c r="BJ1419" s="50"/>
      <c r="BK1419" s="50"/>
      <c r="BL1419" s="50"/>
      <c r="BM1419" s="50"/>
      <c r="BN1419" s="50"/>
      <c r="BO1419" s="50"/>
      <c r="BP1419" s="50"/>
      <c r="CI1419" s="35"/>
      <c r="CP1419" s="39"/>
      <c r="CQ1419" s="32"/>
      <c r="CR1419" s="40"/>
      <c r="CS1419" s="40"/>
      <c r="CT1419" s="33"/>
      <c r="CU1419" s="33"/>
      <c r="CV1419" s="33"/>
      <c r="CW1419" s="33"/>
      <c r="CX1419" s="33"/>
      <c r="CY1419" s="33"/>
      <c r="CZ1419" s="33"/>
    </row>
    <row r="1420" spans="7:104" ht="21" x14ac:dyDescent="0.35">
      <c r="G1420" s="126">
        <v>2010</v>
      </c>
      <c r="H1420" s="94">
        <v>87351.392263189264</v>
      </c>
      <c r="I1420" s="63">
        <v>87351.392263189264</v>
      </c>
      <c r="J1420" s="63">
        <v>908.87838041379337</v>
      </c>
      <c r="K1420" s="94">
        <v>15584.001849541737</v>
      </c>
      <c r="L1420" s="94">
        <v>162.14924564340217</v>
      </c>
      <c r="M1420" s="94"/>
      <c r="N1420" s="67"/>
      <c r="O1420" s="94"/>
      <c r="P1420" s="94">
        <f t="shared" si="4021"/>
        <v>102935.394112731</v>
      </c>
      <c r="Q1420" s="94">
        <f t="shared" si="4022"/>
        <v>1071.0276260571954</v>
      </c>
      <c r="R1420" s="83">
        <f t="shared" si="4023"/>
        <v>-5.1587683042774161E-2</v>
      </c>
      <c r="S1420" s="72"/>
      <c r="T1420" s="72"/>
      <c r="U1420" s="72"/>
      <c r="AD1420" s="33"/>
      <c r="AH1420" s="33"/>
      <c r="AJ1420" s="38"/>
      <c r="AK1420" s="38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BA1420" s="33"/>
      <c r="BB1420" s="33"/>
      <c r="BC1420" s="114"/>
      <c r="BD1420" s="33"/>
      <c r="BE1420" s="33"/>
      <c r="BF1420" s="33"/>
      <c r="CI1420" s="35"/>
      <c r="CP1420" s="39"/>
      <c r="CQ1420" s="32"/>
      <c r="CR1420" s="40"/>
      <c r="CS1420" s="40"/>
      <c r="CT1420" s="33"/>
      <c r="CU1420" s="33"/>
      <c r="CV1420" s="33"/>
      <c r="CW1420" s="33"/>
      <c r="CX1420" s="33"/>
      <c r="CY1420" s="33"/>
      <c r="CZ1420" s="33"/>
    </row>
    <row r="1421" spans="7:104" ht="21" x14ac:dyDescent="0.35">
      <c r="G1421" s="126">
        <v>2011</v>
      </c>
      <c r="H1421" s="94">
        <v>92295.286846997522</v>
      </c>
      <c r="I1421" s="63">
        <v>92295.286846997522</v>
      </c>
      <c r="J1421" s="63">
        <v>940.71354010719915</v>
      </c>
      <c r="K1421" s="94">
        <v>15429.418491649474</v>
      </c>
      <c r="L1421" s="94">
        <v>157.26331632878217</v>
      </c>
      <c r="M1421" s="94"/>
      <c r="N1421" s="67"/>
      <c r="O1421" s="94"/>
      <c r="P1421" s="94">
        <f t="shared" si="4021"/>
        <v>107724.70533864699</v>
      </c>
      <c r="Q1421" s="94">
        <f t="shared" si="4022"/>
        <v>1097.9768564359813</v>
      </c>
      <c r="R1421" s="83">
        <f t="shared" si="4023"/>
        <v>2.4850679167199019E-2</v>
      </c>
      <c r="S1421" s="72"/>
      <c r="T1421" s="72"/>
      <c r="U1421" s="72"/>
      <c r="AD1421" s="33"/>
      <c r="AH1421" s="33"/>
      <c r="AJ1421" s="38"/>
      <c r="AK1421" s="38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BA1421" s="33"/>
      <c r="BB1421" s="33"/>
      <c r="BC1421" s="114"/>
      <c r="BD1421" s="33"/>
      <c r="BE1421" s="33"/>
      <c r="BF1421" s="33"/>
      <c r="CI1421" s="35"/>
      <c r="CP1421" s="39"/>
      <c r="CQ1421" s="32"/>
      <c r="CR1421" s="40"/>
      <c r="CS1421" s="40"/>
      <c r="CT1421" s="33"/>
      <c r="CU1421" s="33"/>
      <c r="CV1421" s="33"/>
      <c r="CW1421" s="33"/>
      <c r="CX1421" s="33"/>
      <c r="CY1421" s="33"/>
      <c r="CZ1421" s="33"/>
    </row>
    <row r="1422" spans="7:104" ht="21" x14ac:dyDescent="0.35">
      <c r="G1422" s="126">
        <v>2012</v>
      </c>
      <c r="H1422" s="94">
        <v>80183.397422745067</v>
      </c>
      <c r="I1422" s="63">
        <v>80183.397422745067</v>
      </c>
      <c r="J1422" s="63">
        <v>801.83397422745065</v>
      </c>
      <c r="K1422" s="94">
        <v>12141.726827309809</v>
      </c>
      <c r="L1422" s="94">
        <v>121.41726827309809</v>
      </c>
      <c r="M1422" s="94"/>
      <c r="N1422" s="67"/>
      <c r="O1422" s="94"/>
      <c r="P1422" s="94">
        <f t="shared" si="4021"/>
        <v>92325.124250054883</v>
      </c>
      <c r="Q1422" s="94">
        <f t="shared" si="4022"/>
        <v>923.25124250054876</v>
      </c>
      <c r="R1422" s="83">
        <f t="shared" si="4023"/>
        <v>-0.17332314439848345</v>
      </c>
      <c r="S1422" s="72"/>
      <c r="T1422" s="72"/>
      <c r="U1422" s="72"/>
      <c r="AD1422" s="33"/>
      <c r="AH1422" s="33"/>
      <c r="AJ1422" s="38"/>
      <c r="AK1422" s="38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BA1422" s="33"/>
      <c r="BB1422" s="33"/>
      <c r="BC1422" s="114"/>
      <c r="BD1422" s="33"/>
      <c r="BE1422" s="33"/>
      <c r="BF1422" s="33"/>
      <c r="CI1422" s="35"/>
      <c r="CP1422" s="39"/>
      <c r="CQ1422" s="32"/>
      <c r="CR1422" s="40"/>
      <c r="CS1422" s="40"/>
      <c r="CT1422" s="33"/>
      <c r="CU1422" s="33"/>
      <c r="CV1422" s="33"/>
      <c r="CW1422" s="33"/>
      <c r="CX1422" s="33"/>
      <c r="CY1422" s="33"/>
      <c r="CZ1422" s="33"/>
    </row>
    <row r="1423" spans="7:104" ht="21" x14ac:dyDescent="0.35">
      <c r="G1423" s="126">
        <v>2013</v>
      </c>
      <c r="H1423" s="94">
        <v>98514.087433504872</v>
      </c>
      <c r="I1423" s="63">
        <v>98514.087433504872</v>
      </c>
      <c r="J1423" s="63">
        <v>967.9786135173855</v>
      </c>
      <c r="K1423" s="94">
        <v>15148.767230313842</v>
      </c>
      <c r="L1423" s="94">
        <v>148.84858685814353</v>
      </c>
      <c r="M1423" s="94"/>
      <c r="N1423" s="67"/>
      <c r="O1423" s="94"/>
      <c r="P1423" s="94">
        <f t="shared" si="4021"/>
        <v>113662.85466381871</v>
      </c>
      <c r="Q1423" s="94">
        <f t="shared" si="4022"/>
        <v>1116.8272003755289</v>
      </c>
      <c r="R1423" s="83">
        <f t="shared" si="4023"/>
        <v>0.19034568782693581</v>
      </c>
      <c r="S1423" s="72"/>
      <c r="T1423" s="72"/>
      <c r="U1423" s="72"/>
      <c r="AD1423" s="33"/>
      <c r="AH1423" s="33"/>
      <c r="AJ1423" s="38"/>
      <c r="AK1423" s="38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BA1423" s="33"/>
      <c r="BB1423" s="33"/>
      <c r="BC1423" s="114"/>
      <c r="BD1423" s="33"/>
      <c r="BE1423" s="33"/>
      <c r="BF1423" s="33"/>
      <c r="CI1423" s="36"/>
      <c r="CP1423" s="39"/>
      <c r="CQ1423" s="32"/>
      <c r="CR1423" s="40"/>
      <c r="CS1423" s="40"/>
      <c r="CT1423" s="40"/>
      <c r="CU1423" s="40"/>
      <c r="CV1423" s="40"/>
      <c r="CW1423" s="40"/>
      <c r="CX1423" s="40"/>
      <c r="CY1423" s="40"/>
      <c r="CZ1423" s="40"/>
    </row>
    <row r="1424" spans="7:104" ht="21" x14ac:dyDescent="0.35">
      <c r="G1424" s="126">
        <v>2014</v>
      </c>
      <c r="H1424" s="94">
        <v>100350.79939413707</v>
      </c>
      <c r="I1424" s="63">
        <v>100350.79939413707</v>
      </c>
      <c r="J1424" s="63">
        <v>968.19781946546505</v>
      </c>
      <c r="K1424" s="94">
        <v>15661.281733493423</v>
      </c>
      <c r="L1424" s="94">
        <v>151.10212291232185</v>
      </c>
      <c r="M1424" s="94"/>
      <c r="N1424" s="67"/>
      <c r="O1424" s="94"/>
      <c r="P1424" s="94">
        <f t="shared" si="4021"/>
        <v>116012.08112763049</v>
      </c>
      <c r="Q1424" s="94">
        <f t="shared" si="4022"/>
        <v>1119.2999423777869</v>
      </c>
      <c r="R1424" s="83">
        <f t="shared" si="4023"/>
        <v>2.2116300660122443E-3</v>
      </c>
      <c r="S1424" s="72"/>
      <c r="T1424" s="72"/>
      <c r="U1424" s="72"/>
      <c r="AD1424" s="33"/>
      <c r="AH1424" s="33"/>
      <c r="AJ1424" s="38"/>
      <c r="AK1424" s="38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BA1424" s="33"/>
      <c r="BB1424" s="33"/>
      <c r="BC1424" s="114"/>
      <c r="BD1424" s="33"/>
      <c r="BE1424" s="33"/>
      <c r="BF1424" s="33"/>
      <c r="CI1424" s="35"/>
      <c r="CP1424" s="39"/>
      <c r="CQ1424" s="32"/>
      <c r="CR1424" s="40"/>
      <c r="CS1424" s="40"/>
      <c r="CT1424" s="33"/>
      <c r="CU1424" s="33"/>
      <c r="CV1424" s="33"/>
      <c r="CW1424" s="33"/>
      <c r="CX1424" s="33"/>
      <c r="CY1424" s="33"/>
      <c r="CZ1424" s="33"/>
    </row>
    <row r="1425" spans="7:104" ht="21" x14ac:dyDescent="0.35">
      <c r="G1425" s="126">
        <v>2015</v>
      </c>
      <c r="H1425" s="94">
        <v>91352.973244997411</v>
      </c>
      <c r="I1425" s="63">
        <v>91352.973244997411</v>
      </c>
      <c r="J1425" s="63">
        <v>873.02987648006399</v>
      </c>
      <c r="K1425" s="94">
        <v>15559.608870159738</v>
      </c>
      <c r="L1425" s="94">
        <v>148.69798899224705</v>
      </c>
      <c r="M1425" s="94"/>
      <c r="N1425" s="67"/>
      <c r="O1425" s="94"/>
      <c r="P1425" s="94">
        <f t="shared" si="4021"/>
        <v>106912.58211515714</v>
      </c>
      <c r="Q1425" s="94">
        <f t="shared" si="4022"/>
        <v>1021.727865472311</v>
      </c>
      <c r="R1425" s="83">
        <f t="shared" si="4023"/>
        <v>-9.1208258554737839E-2</v>
      </c>
      <c r="S1425" s="72"/>
      <c r="T1425" s="72"/>
      <c r="U1425" s="72"/>
      <c r="AD1425" s="33"/>
      <c r="AH1425" s="33"/>
      <c r="AJ1425" s="38"/>
      <c r="AK1425" s="38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BA1425" s="33"/>
      <c r="BB1425" s="33"/>
      <c r="BC1425" s="114"/>
      <c r="BD1425" s="33"/>
      <c r="BE1425" s="33"/>
      <c r="BF1425" s="33"/>
      <c r="CI1425" s="35"/>
      <c r="CP1425" s="39"/>
      <c r="CQ1425" s="32"/>
      <c r="CR1425" s="40"/>
      <c r="CS1425" s="40"/>
      <c r="CT1425" s="33"/>
      <c r="CU1425" s="33"/>
      <c r="CV1425" s="33"/>
      <c r="CW1425" s="33"/>
      <c r="CX1425" s="33"/>
      <c r="CY1425" s="33"/>
      <c r="CZ1425" s="33"/>
    </row>
    <row r="1426" spans="7:104" ht="21" x14ac:dyDescent="0.35">
      <c r="G1426" s="126">
        <v>2016</v>
      </c>
      <c r="H1426" s="94">
        <v>106397.97648846057</v>
      </c>
      <c r="I1426" s="63">
        <v>106397.97648846057</v>
      </c>
      <c r="J1426" s="63">
        <v>1006.2606537835795</v>
      </c>
      <c r="K1426" s="94">
        <v>16635.344578460565</v>
      </c>
      <c r="L1426" s="94">
        <v>157.32905139650228</v>
      </c>
      <c r="M1426" s="94"/>
      <c r="N1426" s="67"/>
      <c r="O1426" s="94"/>
      <c r="P1426" s="94">
        <f t="shared" si="4021"/>
        <v>123033.32106692114</v>
      </c>
      <c r="Q1426" s="94">
        <f t="shared" si="4022"/>
        <v>1163.5897051800819</v>
      </c>
      <c r="R1426" s="83">
        <f t="shared" si="4023"/>
        <v>0.13001462033465735</v>
      </c>
      <c r="S1426" s="72"/>
      <c r="T1426" s="72"/>
      <c r="U1426" s="72"/>
      <c r="AD1426" s="33"/>
      <c r="AH1426" s="33"/>
      <c r="AJ1426" s="38"/>
      <c r="AK1426" s="38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BA1426" s="33"/>
      <c r="BB1426" s="33"/>
      <c r="BC1426" s="114"/>
      <c r="BD1426" s="33"/>
      <c r="BE1426" s="33"/>
      <c r="BF1426" s="33"/>
      <c r="CI1426" s="35"/>
      <c r="CP1426" s="39"/>
      <c r="CQ1426" s="32"/>
      <c r="CR1426" s="40"/>
      <c r="CS1426" s="40"/>
      <c r="CT1426" s="33"/>
      <c r="CU1426" s="33"/>
      <c r="CV1426" s="33"/>
      <c r="CW1426" s="33"/>
      <c r="CX1426" s="33"/>
      <c r="CY1426" s="33"/>
      <c r="CZ1426" s="33"/>
    </row>
    <row r="1427" spans="7:104" ht="21" x14ac:dyDescent="0.35">
      <c r="G1427" s="126">
        <v>2017</v>
      </c>
      <c r="H1427" s="94">
        <v>108217.41055661241</v>
      </c>
      <c r="I1427" s="63">
        <v>108217.41055661241</v>
      </c>
      <c r="J1427" s="63">
        <v>1004.3285960836781</v>
      </c>
      <c r="K1427" s="94">
        <v>17207.388850461444</v>
      </c>
      <c r="L1427" s="94">
        <v>159.69586222365865</v>
      </c>
      <c r="M1427" s="94"/>
      <c r="N1427" s="67"/>
      <c r="O1427" s="94"/>
      <c r="P1427" s="94">
        <f t="shared" si="4021"/>
        <v>125424.79940707385</v>
      </c>
      <c r="Q1427" s="94">
        <f t="shared" si="4022"/>
        <v>1164.0244583073368</v>
      </c>
      <c r="R1427" s="83">
        <f t="shared" si="4023"/>
        <v>3.7356116759415986E-4</v>
      </c>
      <c r="S1427" s="72"/>
      <c r="T1427" s="72"/>
      <c r="U1427" s="72"/>
      <c r="AD1427" s="33"/>
      <c r="AH1427" s="33"/>
      <c r="AJ1427" s="38"/>
      <c r="AK1427" s="38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BA1427" s="33"/>
      <c r="BB1427" s="33"/>
      <c r="BC1427" s="114"/>
      <c r="BD1427" s="33"/>
      <c r="BE1427" s="33"/>
      <c r="BF1427" s="33"/>
      <c r="CI1427" s="35"/>
      <c r="CP1427" s="39"/>
      <c r="CQ1427" s="32"/>
      <c r="CR1427" s="40"/>
      <c r="CS1427" s="40"/>
      <c r="CT1427" s="33"/>
      <c r="CU1427" s="33"/>
      <c r="CV1427" s="33"/>
      <c r="CW1427" s="33"/>
      <c r="CX1427" s="33"/>
      <c r="CY1427" s="33"/>
      <c r="CZ1427" s="33"/>
    </row>
    <row r="1428" spans="7:104" ht="21" x14ac:dyDescent="0.35">
      <c r="G1428" s="126">
        <v>2018</v>
      </c>
      <c r="H1428" s="94">
        <v>263633.92342486454</v>
      </c>
      <c r="I1428" s="63">
        <v>263633.92342486454</v>
      </c>
      <c r="J1428" s="63">
        <v>2389.6767954248885</v>
      </c>
      <c r="K1428" s="94">
        <v>55623.673487049251</v>
      </c>
      <c r="L1428" s="94">
        <v>504.19384607829124</v>
      </c>
      <c r="M1428" s="94"/>
      <c r="N1428" s="67"/>
      <c r="O1428" s="94"/>
      <c r="P1428" s="94">
        <f t="shared" si="4021"/>
        <v>319257.59691191377</v>
      </c>
      <c r="Q1428" s="94">
        <f t="shared" si="4022"/>
        <v>2893.8706415031797</v>
      </c>
      <c r="R1428" s="83">
        <f t="shared" si="4023"/>
        <v>0.91071156697163991</v>
      </c>
      <c r="S1428" s="72"/>
      <c r="T1428" s="72"/>
      <c r="U1428" s="72"/>
      <c r="AD1428" s="33"/>
      <c r="AH1428" s="33"/>
      <c r="AJ1428" s="38"/>
      <c r="AK1428" s="38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BA1428" s="33"/>
      <c r="BB1428" s="33"/>
      <c r="BC1428" s="114"/>
      <c r="BD1428" s="33"/>
      <c r="BE1428" s="33"/>
      <c r="BF1428" s="33"/>
      <c r="CI1428" s="35"/>
      <c r="CP1428" s="39"/>
      <c r="CQ1428" s="32"/>
      <c r="CR1428" s="40"/>
      <c r="CS1428" s="40"/>
      <c r="CT1428" s="33"/>
      <c r="CU1428" s="33"/>
      <c r="CV1428" s="33"/>
      <c r="CW1428" s="33"/>
      <c r="CX1428" s="33"/>
      <c r="CY1428" s="33"/>
      <c r="CZ1428" s="33"/>
    </row>
    <row r="1429" spans="7:104" ht="21" x14ac:dyDescent="0.35">
      <c r="G1429" s="126">
        <v>2019</v>
      </c>
      <c r="H1429" s="94">
        <v>154919.95358487166</v>
      </c>
      <c r="I1429" s="63">
        <v>154919.95358487166</v>
      </c>
      <c r="J1429" s="63">
        <v>1379.2976511767629</v>
      </c>
      <c r="K1429" s="94">
        <v>27857.358176654332</v>
      </c>
      <c r="L1429" s="94">
        <v>248.02220638414443</v>
      </c>
      <c r="M1429" s="94"/>
      <c r="N1429" s="67"/>
      <c r="O1429" s="94"/>
      <c r="P1429" s="94">
        <f t="shared" si="4021"/>
        <v>182777.31176152598</v>
      </c>
      <c r="Q1429" s="94">
        <f t="shared" si="4022"/>
        <v>1627.3198575609074</v>
      </c>
      <c r="R1429" s="83">
        <f t="shared" si="4023"/>
        <v>-0.57566052597580453</v>
      </c>
      <c r="S1429" s="72"/>
      <c r="T1429" s="72"/>
      <c r="U1429" s="72"/>
      <c r="AD1429" s="33"/>
      <c r="AH1429" s="33"/>
      <c r="AJ1429" s="38"/>
      <c r="AK1429" s="38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BA1429" s="33"/>
      <c r="BB1429" s="33"/>
      <c r="BC1429" s="114"/>
      <c r="BD1429" s="33"/>
      <c r="BE1429" s="33"/>
      <c r="BF1429" s="33"/>
      <c r="CI1429" s="35"/>
      <c r="CP1429" s="39"/>
      <c r="CQ1429" s="32"/>
      <c r="CR1429" s="40"/>
      <c r="CS1429" s="40"/>
      <c r="CT1429" s="33"/>
      <c r="CU1429" s="33"/>
      <c r="CV1429" s="33"/>
      <c r="CW1429" s="33"/>
      <c r="CX1429" s="33"/>
      <c r="CY1429" s="33"/>
      <c r="CZ1429" s="33"/>
    </row>
    <row r="1430" spans="7:104" ht="21" x14ac:dyDescent="0.35">
      <c r="G1430" s="126">
        <v>2020</v>
      </c>
      <c r="H1430" s="94">
        <v>110798.08406738167</v>
      </c>
      <c r="I1430" s="63">
        <v>110798.08406738167</v>
      </c>
      <c r="J1430" s="63">
        <v>975.13781600012032</v>
      </c>
      <c r="K1430" s="94">
        <v>16366.734633533715</v>
      </c>
      <c r="L1430" s="94">
        <v>144.04420437353102</v>
      </c>
      <c r="M1430" s="94"/>
      <c r="N1430" s="67"/>
      <c r="O1430" s="94"/>
      <c r="P1430" s="94">
        <f t="shared" si="4021"/>
        <v>127164.81870091539</v>
      </c>
      <c r="Q1430" s="94">
        <f t="shared" si="4022"/>
        <v>1119.1820203736513</v>
      </c>
      <c r="R1430" s="83">
        <f t="shared" si="4023"/>
        <v>-0.37433632284836338</v>
      </c>
      <c r="S1430" s="72"/>
      <c r="T1430" s="72"/>
      <c r="U1430" s="72"/>
      <c r="AD1430" s="33"/>
      <c r="AH1430" s="33"/>
      <c r="AJ1430" s="38"/>
      <c r="AK1430" s="38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BA1430" s="33"/>
      <c r="BB1430" s="33"/>
      <c r="BC1430" s="114"/>
      <c r="BD1430" s="33"/>
      <c r="BE1430" s="33"/>
      <c r="BF1430" s="33"/>
      <c r="CI1430" s="35"/>
      <c r="CP1430" s="39"/>
      <c r="CQ1430" s="32"/>
      <c r="CR1430" s="40"/>
      <c r="CS1430" s="40"/>
      <c r="CT1430" s="33"/>
      <c r="CU1430" s="33"/>
      <c r="CV1430" s="33"/>
      <c r="CW1430" s="33"/>
      <c r="CX1430" s="33"/>
      <c r="CY1430" s="33"/>
      <c r="CZ1430" s="33"/>
    </row>
    <row r="1431" spans="7:104" ht="21" x14ac:dyDescent="0.35">
      <c r="G1431" s="126">
        <v>2021</v>
      </c>
      <c r="H1431" s="94">
        <v>131514.10333494714</v>
      </c>
      <c r="I1431" s="95">
        <v>131514.10333494714</v>
      </c>
      <c r="J1431" s="115">
        <v>1109.9173207439205</v>
      </c>
      <c r="K1431" s="94">
        <v>0</v>
      </c>
      <c r="L1431" s="94">
        <v>0</v>
      </c>
      <c r="M1431" s="94"/>
      <c r="N1431" s="67"/>
      <c r="O1431" s="94"/>
      <c r="P1431" s="94">
        <f t="shared" si="4021"/>
        <v>131514.10333494714</v>
      </c>
      <c r="Q1431" s="94">
        <f t="shared" si="4022"/>
        <v>1109.9173207439205</v>
      </c>
      <c r="R1431" s="83">
        <f t="shared" si="4023"/>
        <v>-8.3125527937406973E-3</v>
      </c>
      <c r="S1431" s="72"/>
      <c r="T1431" s="72"/>
      <c r="U1431" s="72"/>
      <c r="AD1431" s="33"/>
      <c r="AH1431" s="33"/>
      <c r="AJ1431" s="38"/>
      <c r="AK1431" s="38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BA1431" s="33"/>
      <c r="BB1431" s="33"/>
      <c r="BC1431" s="114"/>
      <c r="BD1431" s="33"/>
      <c r="BE1431" s="33"/>
      <c r="BF1431" s="33"/>
      <c r="CI1431" s="35"/>
      <c r="CP1431" s="39"/>
      <c r="CQ1431" s="32"/>
      <c r="CR1431" s="40"/>
      <c r="CS1431" s="40"/>
      <c r="CT1431" s="33"/>
      <c r="CU1431" s="33"/>
      <c r="CV1431" s="33"/>
      <c r="CW1431" s="33"/>
      <c r="CX1431" s="33"/>
      <c r="CY1431" s="33"/>
      <c r="CZ1431" s="33"/>
    </row>
    <row r="1432" spans="7:104" ht="21" x14ac:dyDescent="0.35">
      <c r="G1432" s="11"/>
      <c r="H1432"/>
      <c r="I1432"/>
      <c r="J1432" s="72"/>
      <c r="K1432" s="114"/>
      <c r="L1432" s="114"/>
      <c r="M1432" s="114"/>
      <c r="N1432" s="38"/>
      <c r="O1432" s="114"/>
      <c r="R1432" s="83"/>
      <c r="S1432" s="94"/>
      <c r="T1432" s="94"/>
      <c r="U1432" s="94"/>
      <c r="AD1432" s="33"/>
      <c r="AH1432" s="33"/>
      <c r="AJ1432" s="38"/>
      <c r="AK1432" s="38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BA1432" s="33"/>
      <c r="BB1432" s="33"/>
      <c r="BC1432" s="114"/>
      <c r="BD1432" s="33"/>
      <c r="BE1432" s="33"/>
      <c r="BF1432" s="33"/>
      <c r="CI1432" s="35"/>
      <c r="CP1432" s="39"/>
      <c r="CQ1432" s="32"/>
      <c r="CR1432" s="40"/>
      <c r="CS1432" s="40"/>
      <c r="CT1432" s="33"/>
      <c r="CU1432" s="33"/>
      <c r="CV1432" s="33"/>
      <c r="CW1432" s="33"/>
      <c r="CX1432" s="33"/>
      <c r="CY1432" s="33"/>
      <c r="CZ1432" s="33"/>
    </row>
    <row r="1433" spans="7:104" ht="21" x14ac:dyDescent="0.35">
      <c r="G1433" s="11"/>
      <c r="H1433"/>
      <c r="I1433"/>
      <c r="J1433" s="72"/>
      <c r="N1433" s="38"/>
      <c r="P1433" s="72"/>
      <c r="R1433" s="83"/>
      <c r="AD1433" s="33"/>
      <c r="AH1433" s="33"/>
      <c r="AJ1433" s="38"/>
      <c r="AK1433" s="38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BA1433" s="33"/>
      <c r="BB1433" s="33"/>
      <c r="BC1433" s="114"/>
      <c r="BD1433" s="33"/>
      <c r="BE1433" s="33"/>
      <c r="BF1433" s="33"/>
      <c r="CI1433" s="35"/>
      <c r="CP1433" s="39"/>
      <c r="CQ1433" s="32"/>
      <c r="CR1433" s="40"/>
      <c r="CS1433" s="40"/>
      <c r="CT1433" s="33"/>
      <c r="CU1433" s="33"/>
      <c r="CV1433" s="33"/>
      <c r="CW1433" s="33"/>
      <c r="CX1433" s="33"/>
      <c r="CY1433" s="33"/>
      <c r="CZ1433" s="33"/>
    </row>
    <row r="1434" spans="7:104" ht="21" x14ac:dyDescent="0.35">
      <c r="G1434" s="11"/>
      <c r="H1434"/>
      <c r="I1434"/>
      <c r="J1434" s="72"/>
      <c r="N1434" s="38"/>
      <c r="R1434" s="83"/>
      <c r="AD1434" s="33"/>
      <c r="AH1434" s="33"/>
      <c r="AJ1434" s="38"/>
      <c r="AK1434" s="38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BA1434" s="33"/>
      <c r="BB1434" s="33"/>
      <c r="BC1434" s="114"/>
      <c r="BD1434" s="33"/>
      <c r="BE1434" s="33"/>
      <c r="BF1434" s="33"/>
      <c r="CI1434" s="35"/>
      <c r="CP1434" s="39"/>
      <c r="CQ1434" s="32"/>
      <c r="CR1434" s="40"/>
      <c r="CS1434" s="40"/>
      <c r="CT1434" s="33"/>
      <c r="CU1434" s="33"/>
      <c r="CV1434" s="33"/>
      <c r="CW1434" s="33"/>
      <c r="CX1434" s="33"/>
      <c r="CY1434" s="33"/>
      <c r="CZ1434" s="33"/>
    </row>
    <row r="1435" spans="7:104" ht="21" x14ac:dyDescent="0.35">
      <c r="G1435" s="11"/>
      <c r="H1435"/>
      <c r="I1435"/>
      <c r="K1435" s="165"/>
      <c r="N1435" s="38"/>
      <c r="R1435" s="83"/>
      <c r="V1435" s="83"/>
      <c r="W1435" s="82"/>
      <c r="AD1435" s="33"/>
      <c r="AH1435" s="33"/>
      <c r="AJ1435" s="38"/>
      <c r="AK1435" s="38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BA1435" s="33"/>
      <c r="BB1435" s="33"/>
      <c r="BC1435" s="114"/>
      <c r="BD1435" s="33"/>
      <c r="BE1435" s="33"/>
      <c r="BF1435" s="33"/>
      <c r="CI1435" s="35"/>
      <c r="CP1435" s="39"/>
      <c r="CQ1435" s="32"/>
      <c r="CR1435" s="40"/>
      <c r="CS1435" s="40"/>
      <c r="CT1435" s="33"/>
      <c r="CU1435" s="33"/>
      <c r="CV1435" s="33"/>
      <c r="CW1435" s="33"/>
      <c r="CX1435" s="33"/>
      <c r="CY1435" s="33"/>
      <c r="CZ1435" s="33"/>
    </row>
    <row r="1436" spans="7:104" ht="42" x14ac:dyDescent="0.35">
      <c r="G1436" s="11"/>
      <c r="H1436" s="73" t="s">
        <v>546</v>
      </c>
      <c r="I1436" s="143" t="s">
        <v>547</v>
      </c>
      <c r="J1436" s="62" t="s">
        <v>548</v>
      </c>
      <c r="K1436" s="83" t="s">
        <v>546</v>
      </c>
      <c r="L1436" s="81" t="s">
        <v>550</v>
      </c>
      <c r="M1436" s="73" t="s">
        <v>551</v>
      </c>
      <c r="N1436" s="73" t="s">
        <v>557</v>
      </c>
      <c r="O1436" s="136" t="s">
        <v>566</v>
      </c>
      <c r="R1436" s="83"/>
      <c r="AD1436" s="33"/>
      <c r="AH1436" s="33"/>
      <c r="AJ1436" s="38"/>
      <c r="AK1436" s="38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BA1436" s="33"/>
      <c r="BB1436" s="33"/>
      <c r="BC1436" s="114"/>
      <c r="BD1436" s="33"/>
      <c r="BE1436" s="33"/>
      <c r="BF1436" s="33"/>
      <c r="CI1436" s="35"/>
      <c r="CP1436" s="39"/>
      <c r="CQ1436" s="32"/>
      <c r="CR1436" s="40"/>
      <c r="CS1436" s="40"/>
      <c r="CT1436" s="33"/>
      <c r="CU1436" s="33"/>
      <c r="CV1436" s="33"/>
      <c r="CW1436" s="33"/>
      <c r="CX1436" s="33"/>
      <c r="CY1436" s="33"/>
      <c r="CZ1436" s="33"/>
    </row>
    <row r="1437" spans="7:104" ht="21" x14ac:dyDescent="0.35">
      <c r="G1437" s="11"/>
      <c r="H1437" s="16"/>
      <c r="I1437" s="16"/>
      <c r="J1437" s="16"/>
      <c r="K1437" s="83"/>
      <c r="L1437" s="16"/>
      <c r="M1437" s="16"/>
      <c r="N1437" s="16"/>
      <c r="O1437" s="97"/>
      <c r="R1437" s="83"/>
      <c r="AD1437" s="33"/>
      <c r="AH1437" s="33"/>
      <c r="AJ1437" s="38"/>
      <c r="AK1437" s="38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BA1437" s="33"/>
      <c r="BB1437" s="33"/>
      <c r="BC1437" s="114"/>
      <c r="BD1437" s="33"/>
      <c r="BE1437" s="33"/>
      <c r="BF1437" s="33"/>
      <c r="CI1437" s="35"/>
      <c r="CP1437" s="39"/>
      <c r="CQ1437" s="32"/>
      <c r="CR1437" s="40"/>
      <c r="CS1437" s="40"/>
      <c r="CT1437" s="33"/>
      <c r="CU1437" s="33"/>
      <c r="CV1437" s="33"/>
      <c r="CW1437" s="33"/>
      <c r="CX1437" s="33"/>
      <c r="CY1437" s="33"/>
      <c r="CZ1437" s="33"/>
    </row>
    <row r="1438" spans="7:104" ht="21" x14ac:dyDescent="0.35">
      <c r="G1438" s="126">
        <v>2005</v>
      </c>
      <c r="H1438" s="73"/>
      <c r="I1438" s="83">
        <f>+P1415/Q1373</f>
        <v>0.3619896550338586</v>
      </c>
      <c r="J1438" s="83">
        <f t="shared" ref="J1438:J1454" si="4024">+K1373/Q1373</f>
        <v>0.38804973113253255</v>
      </c>
      <c r="K1438" s="83">
        <f>1-J1438-I1438</f>
        <v>0.24996061383360879</v>
      </c>
      <c r="L1438" s="72"/>
      <c r="M1438" s="16"/>
      <c r="N1438" s="16"/>
      <c r="O1438" s="97"/>
      <c r="R1438" s="83"/>
      <c r="AD1438" s="33"/>
      <c r="AH1438" s="33"/>
      <c r="AJ1438" s="38"/>
      <c r="AK1438" s="38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  <c r="AX1438" s="33"/>
      <c r="AY1438" s="33"/>
      <c r="BA1438" s="33"/>
      <c r="BB1438" s="33"/>
      <c r="BC1438" s="114"/>
      <c r="BD1438" s="33"/>
      <c r="BE1438" s="33"/>
      <c r="BF1438" s="33"/>
      <c r="CI1438" s="35"/>
      <c r="CP1438" s="39"/>
      <c r="CQ1438" s="32"/>
      <c r="CR1438" s="40"/>
      <c r="CS1438" s="40"/>
      <c r="CT1438" s="33"/>
      <c r="CU1438" s="33"/>
      <c r="CV1438" s="33"/>
      <c r="CW1438" s="33"/>
      <c r="CX1438" s="33"/>
      <c r="CY1438" s="33"/>
      <c r="CZ1438" s="33"/>
    </row>
    <row r="1439" spans="7:104" ht="21" x14ac:dyDescent="0.35">
      <c r="G1439" s="126">
        <v>2006</v>
      </c>
      <c r="H1439" s="83">
        <f t="shared" ref="H1439:H1454" si="4025">+P1394/Q1374</f>
        <v>0.26797150998373781</v>
      </c>
      <c r="I1439" s="83">
        <f>+P1416/Q1374</f>
        <v>0.3624991375587639</v>
      </c>
      <c r="J1439" s="83">
        <f t="shared" si="4024"/>
        <v>0.387188441413991</v>
      </c>
      <c r="K1439" s="83">
        <f t="shared" ref="K1439:K1454" si="4026">1-J1439-I1439</f>
        <v>0.2503124210272451</v>
      </c>
      <c r="L1439" s="72">
        <v>-3.8413996750207992E-2</v>
      </c>
      <c r="M1439" s="72">
        <v>-3.9641146185613645E-2</v>
      </c>
      <c r="N1439" s="72">
        <v>2.2975460563109687E-2</v>
      </c>
      <c r="O1439" s="99">
        <f>+(((K1438+K1439)/2)*L1439+((I1438+I1439)/2)*M1439+((J1438+J1439)/2)*N1439)</f>
        <v>-1.5062799406002263E-2</v>
      </c>
      <c r="R1439" s="72"/>
      <c r="AD1439" s="33"/>
      <c r="AH1439" s="33"/>
      <c r="AJ1439" s="38"/>
      <c r="AK1439" s="38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  <c r="AX1439" s="33"/>
      <c r="AY1439" s="33"/>
      <c r="BA1439" s="33"/>
      <c r="BB1439" s="33"/>
      <c r="BC1439" s="114"/>
      <c r="BD1439" s="33"/>
      <c r="BE1439" s="33"/>
      <c r="BF1439" s="33"/>
      <c r="CI1439" s="36"/>
      <c r="CP1439" s="39"/>
      <c r="CQ1439" s="32"/>
      <c r="CR1439" s="40"/>
      <c r="CS1439" s="40"/>
      <c r="CT1439" s="40"/>
      <c r="CU1439" s="40"/>
      <c r="CV1439" s="40"/>
      <c r="CW1439" s="40"/>
      <c r="CX1439" s="40"/>
      <c r="CY1439" s="40"/>
      <c r="CZ1439" s="40"/>
    </row>
    <row r="1440" spans="7:104" ht="21" x14ac:dyDescent="0.35">
      <c r="G1440" s="126">
        <v>2007</v>
      </c>
      <c r="H1440" s="83">
        <f t="shared" si="4025"/>
        <v>0.29399662010974004</v>
      </c>
      <c r="I1440" s="83">
        <f t="shared" ref="I1440:I1454" si="4027">+P1417/Q1375</f>
        <v>0.35887783775887772</v>
      </c>
      <c r="J1440" s="83">
        <f t="shared" si="4024"/>
        <v>0.39331031632221941</v>
      </c>
      <c r="K1440" s="83">
        <f t="shared" si="4026"/>
        <v>0.24781184591890293</v>
      </c>
      <c r="L1440" s="72">
        <v>3.7532821662380249E-2</v>
      </c>
      <c r="M1440" s="72">
        <v>4.1615379113122901E-2</v>
      </c>
      <c r="N1440" s="72">
        <v>1.7093202211282292E-2</v>
      </c>
      <c r="O1440" s="99">
        <f t="shared" ref="O1440:O1454" si="4028">+(((K1439+K1440)/2)*L1440+((I1439+I1440)/2)*M1440+((J1439+J1440)/2)*N1440)</f>
        <v>3.1028804339977446E-2</v>
      </c>
      <c r="R1440" s="72"/>
      <c r="AD1440" s="33"/>
      <c r="AH1440" s="33"/>
      <c r="AJ1440" s="38"/>
      <c r="AK1440" s="38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  <c r="BA1440" s="33"/>
      <c r="BB1440" s="33"/>
      <c r="BC1440" s="114"/>
      <c r="BD1440" s="33"/>
      <c r="BE1440" s="33"/>
      <c r="BF1440" s="33"/>
      <c r="CI1440" s="35"/>
      <c r="CP1440" s="39"/>
      <c r="CQ1440" s="32"/>
      <c r="CR1440" s="40"/>
      <c r="CS1440" s="40"/>
      <c r="CT1440" s="33"/>
      <c r="CU1440" s="33"/>
      <c r="CV1440" s="33"/>
      <c r="CW1440" s="33"/>
      <c r="CX1440" s="33"/>
      <c r="CY1440" s="33"/>
      <c r="CZ1440" s="33"/>
    </row>
    <row r="1441" spans="7:104" ht="21" x14ac:dyDescent="0.35">
      <c r="G1441" s="126">
        <v>2008</v>
      </c>
      <c r="H1441" s="83">
        <f t="shared" si="4025"/>
        <v>0.26090910643623305</v>
      </c>
      <c r="I1441" s="83">
        <f t="shared" si="4027"/>
        <v>0.36268352999107756</v>
      </c>
      <c r="J1441" s="83">
        <f t="shared" si="4024"/>
        <v>0.38687672256522732</v>
      </c>
      <c r="K1441" s="83">
        <f t="shared" si="4026"/>
        <v>0.25043974744369513</v>
      </c>
      <c r="L1441" s="72">
        <v>0.14278701996943932</v>
      </c>
      <c r="M1441" s="72">
        <v>0.15198616489281683</v>
      </c>
      <c r="N1441" s="72">
        <v>2.2089906853513364E-2</v>
      </c>
      <c r="O1441" s="99">
        <f t="shared" si="4028"/>
        <v>9.9022732123871748E-2</v>
      </c>
      <c r="R1441" s="72"/>
      <c r="AD1441" s="33"/>
      <c r="AH1441" s="33"/>
      <c r="AJ1441" s="38"/>
      <c r="AK1441" s="38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  <c r="BA1441" s="33"/>
      <c r="BB1441" s="33"/>
      <c r="BC1441" s="114"/>
      <c r="BD1441" s="33"/>
      <c r="BE1441" s="33"/>
      <c r="BF1441" s="33"/>
      <c r="CI1441" s="35"/>
      <c r="CP1441" s="39"/>
      <c r="CQ1441" s="32"/>
      <c r="CR1441" s="40"/>
      <c r="CS1441" s="40"/>
      <c r="CT1441" s="33"/>
      <c r="CU1441" s="33"/>
      <c r="CV1441" s="33"/>
      <c r="CW1441" s="33"/>
      <c r="CX1441" s="33"/>
      <c r="CY1441" s="33"/>
      <c r="CZ1441" s="33"/>
    </row>
    <row r="1442" spans="7:104" ht="21" x14ac:dyDescent="0.35">
      <c r="G1442" s="126">
        <v>2009</v>
      </c>
      <c r="H1442" s="83">
        <f t="shared" si="4025"/>
        <v>0.24624664622879683</v>
      </c>
      <c r="I1442" s="83">
        <f t="shared" si="4027"/>
        <v>0.37115398046916398</v>
      </c>
      <c r="J1442" s="83">
        <f t="shared" si="4024"/>
        <v>0.37255726791946209</v>
      </c>
      <c r="K1442" s="83">
        <f t="shared" si="4026"/>
        <v>0.25628875161137393</v>
      </c>
      <c r="L1442" s="72">
        <v>2.6733309920997872E-2</v>
      </c>
      <c r="M1442" s="72">
        <v>3.318672422242485E-2</v>
      </c>
      <c r="N1442" s="72">
        <v>3.3253125308317928E-2</v>
      </c>
      <c r="O1442" s="99">
        <f t="shared" si="4028"/>
        <v>3.1576873371869693E-2</v>
      </c>
      <c r="R1442" s="72"/>
      <c r="AD1442" s="33"/>
      <c r="AH1442" s="33"/>
      <c r="AJ1442" s="38"/>
      <c r="AK1442" s="38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33"/>
      <c r="AX1442" s="33"/>
      <c r="AY1442" s="33"/>
      <c r="BA1442" s="33"/>
      <c r="BB1442" s="33"/>
      <c r="BC1442" s="114"/>
      <c r="BD1442" s="33"/>
      <c r="BE1442" s="33"/>
      <c r="BF1442" s="33"/>
      <c r="CI1442" s="35"/>
      <c r="CP1442" s="39"/>
      <c r="CQ1442" s="32"/>
      <c r="CR1442" s="40"/>
      <c r="CS1442" s="40"/>
      <c r="CT1442" s="33"/>
      <c r="CU1442" s="33"/>
      <c r="CV1442" s="33"/>
      <c r="CW1442" s="33"/>
      <c r="CX1442" s="33"/>
      <c r="CY1442" s="33"/>
      <c r="CZ1442" s="33"/>
    </row>
    <row r="1443" spans="7:104" ht="21" x14ac:dyDescent="0.35">
      <c r="G1443" s="126">
        <v>2010</v>
      </c>
      <c r="H1443" s="83">
        <f t="shared" si="4025"/>
        <v>0.25825501904147263</v>
      </c>
      <c r="I1443" s="83">
        <f t="shared" si="4027"/>
        <v>0.35737384460241145</v>
      </c>
      <c r="J1443" s="83">
        <f t="shared" si="4024"/>
        <v>0.39585284482731792</v>
      </c>
      <c r="K1443" s="83">
        <f t="shared" si="4026"/>
        <v>0.24677331057027058</v>
      </c>
      <c r="L1443" s="72">
        <v>-5.8920444382861904E-2</v>
      </c>
      <c r="M1443" s="72">
        <v>-5.1587683042774161E-2</v>
      </c>
      <c r="N1443" s="72">
        <v>2.120691061985476E-2</v>
      </c>
      <c r="O1443" s="99">
        <f t="shared" si="4028"/>
        <v>-2.5464049101560984E-2</v>
      </c>
      <c r="R1443" s="72"/>
      <c r="AD1443" s="33"/>
      <c r="AH1443" s="33"/>
      <c r="AJ1443" s="38"/>
      <c r="AK1443" s="38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  <c r="BA1443" s="33"/>
      <c r="BB1443" s="33"/>
      <c r="BC1443" s="114"/>
      <c r="BD1443" s="33"/>
      <c r="BE1443" s="33"/>
      <c r="BF1443" s="33"/>
      <c r="CI1443" s="35"/>
      <c r="CP1443" s="39"/>
      <c r="CQ1443" s="32"/>
      <c r="CR1443" s="40"/>
      <c r="CS1443" s="40"/>
      <c r="CT1443" s="33"/>
      <c r="CU1443" s="33"/>
      <c r="CV1443" s="33"/>
      <c r="CW1443" s="33"/>
      <c r="CX1443" s="33"/>
      <c r="CY1443" s="33"/>
      <c r="CZ1443" s="33"/>
    </row>
    <row r="1444" spans="7:104" ht="21" x14ac:dyDescent="0.35">
      <c r="G1444" s="126">
        <v>2011</v>
      </c>
      <c r="H1444" s="83">
        <f t="shared" si="4025"/>
        <v>0.20801372794260081</v>
      </c>
      <c r="I1444" s="83">
        <f t="shared" si="4027"/>
        <v>0.35148920244935894</v>
      </c>
      <c r="J1444" s="83">
        <f t="shared" si="4024"/>
        <v>0.40580094223195917</v>
      </c>
      <c r="K1444" s="83">
        <f t="shared" si="4026"/>
        <v>0.24270985531868189</v>
      </c>
      <c r="L1444" s="72">
        <v>2.4033004174302836E-2</v>
      </c>
      <c r="M1444" s="72">
        <v>2.4850679167199019E-2</v>
      </c>
      <c r="N1444" s="72">
        <v>2.1965012546592912E-2</v>
      </c>
      <c r="O1444" s="99">
        <f t="shared" si="4028"/>
        <v>2.3493907307803777E-2</v>
      </c>
      <c r="R1444" s="72"/>
      <c r="AD1444" s="33"/>
      <c r="AH1444" s="33"/>
      <c r="AJ1444" s="38"/>
      <c r="AK1444" s="38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BA1444" s="33"/>
      <c r="BB1444" s="33"/>
      <c r="BC1444" s="114"/>
      <c r="BD1444" s="33"/>
      <c r="BE1444" s="33"/>
      <c r="BF1444" s="33"/>
      <c r="CI1444" s="35"/>
      <c r="CP1444" s="39"/>
      <c r="CQ1444" s="32"/>
      <c r="CR1444" s="40"/>
      <c r="CS1444" s="40"/>
      <c r="CT1444" s="33"/>
      <c r="CU1444" s="33"/>
      <c r="CV1444" s="33"/>
      <c r="CW1444" s="33"/>
      <c r="CX1444" s="33"/>
      <c r="CY1444" s="33"/>
      <c r="CZ1444" s="33"/>
    </row>
    <row r="1445" spans="7:104" ht="21" x14ac:dyDescent="0.35">
      <c r="G1445" s="126">
        <v>2012</v>
      </c>
      <c r="H1445" s="83">
        <f t="shared" si="4025"/>
        <v>0.26734996868966204</v>
      </c>
      <c r="I1445" s="83">
        <f t="shared" si="4027"/>
        <v>0.31448943193178991</v>
      </c>
      <c r="J1445" s="83">
        <f t="shared" si="4024"/>
        <v>0.46834974494330506</v>
      </c>
      <c r="K1445" s="83">
        <f t="shared" si="4026"/>
        <v>0.21716082312490503</v>
      </c>
      <c r="L1445" s="72">
        <v>-0.17332734386473136</v>
      </c>
      <c r="M1445" s="72">
        <v>-0.17332314439848345</v>
      </c>
      <c r="N1445" s="72">
        <v>1.9597532770210979E-2</v>
      </c>
      <c r="O1445" s="99">
        <f t="shared" si="4028"/>
        <v>-8.9003238745513955E-2</v>
      </c>
      <c r="R1445" s="72"/>
      <c r="AD1445" s="33"/>
      <c r="AH1445" s="33"/>
      <c r="AJ1445" s="38"/>
      <c r="AK1445" s="38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  <c r="BA1445" s="33"/>
      <c r="BB1445" s="33"/>
      <c r="BC1445" s="114"/>
      <c r="BD1445" s="33"/>
      <c r="BE1445" s="33"/>
      <c r="BF1445" s="33"/>
      <c r="CI1445" s="35"/>
      <c r="CP1445" s="39"/>
      <c r="CQ1445" s="32"/>
      <c r="CR1445" s="40"/>
      <c r="CS1445" s="40"/>
      <c r="CT1445" s="33"/>
      <c r="CU1445" s="33"/>
      <c r="CV1445" s="33"/>
      <c r="CW1445" s="33"/>
      <c r="CX1445" s="33"/>
      <c r="CY1445" s="33"/>
      <c r="CZ1445" s="33"/>
    </row>
    <row r="1446" spans="7:104" ht="21" x14ac:dyDescent="0.35">
      <c r="G1446" s="126">
        <v>2013</v>
      </c>
      <c r="H1446" s="83">
        <f t="shared" si="4025"/>
        <v>0.24277862464578326</v>
      </c>
      <c r="I1446" s="83">
        <f t="shared" si="4027"/>
        <v>0.34446917530918419</v>
      </c>
      <c r="J1446" s="83">
        <f t="shared" si="4024"/>
        <v>0.41766842915084651</v>
      </c>
      <c r="K1446" s="83">
        <f t="shared" si="4026"/>
        <v>0.23786239553996924</v>
      </c>
      <c r="L1446" s="72">
        <v>0.18900172341401603</v>
      </c>
      <c r="M1446" s="72">
        <v>0.19034568782693581</v>
      </c>
      <c r="N1446" s="72">
        <v>1.0813046878089604E-2</v>
      </c>
      <c r="O1446" s="99">
        <f t="shared" si="4028"/>
        <v>0.11050532895856809</v>
      </c>
      <c r="R1446" s="72"/>
      <c r="AD1446" s="33"/>
      <c r="AH1446" s="33"/>
      <c r="AJ1446" s="38"/>
      <c r="AK1446" s="38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33"/>
      <c r="AX1446" s="33"/>
      <c r="AY1446" s="33"/>
      <c r="BA1446" s="33"/>
      <c r="BB1446" s="33"/>
      <c r="BC1446" s="114"/>
      <c r="BD1446" s="33"/>
      <c r="BE1446" s="33"/>
      <c r="BF1446" s="33"/>
      <c r="CI1446" s="35"/>
      <c r="CP1446" s="39"/>
      <c r="CQ1446" s="32"/>
      <c r="CR1446" s="40"/>
      <c r="CS1446" s="40"/>
      <c r="CT1446" s="33"/>
      <c r="CU1446" s="33"/>
      <c r="CV1446" s="33"/>
      <c r="CW1446" s="33"/>
      <c r="CX1446" s="33"/>
      <c r="CY1446" s="33"/>
      <c r="CZ1446" s="33"/>
    </row>
    <row r="1447" spans="7:104" ht="21" x14ac:dyDescent="0.35">
      <c r="G1447" s="126">
        <v>2014</v>
      </c>
      <c r="H1447" s="83">
        <f t="shared" si="4025"/>
        <v>0.21807887583110427</v>
      </c>
      <c r="I1447" s="83">
        <f t="shared" si="4027"/>
        <v>0.34269879368269568</v>
      </c>
      <c r="J1447" s="83">
        <f t="shared" si="4024"/>
        <v>0.42066129233702332</v>
      </c>
      <c r="K1447" s="83">
        <f t="shared" si="4026"/>
        <v>0.236639913980281</v>
      </c>
      <c r="L1447" s="72">
        <v>-1.7449723576011542E-4</v>
      </c>
      <c r="M1447" s="72">
        <v>2.2116300660122443E-3</v>
      </c>
      <c r="N1447" s="72">
        <v>1.6365906737820471E-2</v>
      </c>
      <c r="O1447" s="99">
        <f t="shared" si="4028"/>
        <v>7.5784940183317119E-3</v>
      </c>
      <c r="R1447" s="72"/>
      <c r="AD1447" s="33"/>
      <c r="AH1447" s="33"/>
      <c r="AJ1447" s="38"/>
      <c r="AK1447" s="38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  <c r="BA1447" s="33"/>
      <c r="BB1447" s="33"/>
      <c r="BC1447" s="114"/>
      <c r="BD1447" s="33"/>
      <c r="BE1447" s="33"/>
      <c r="BF1447" s="33"/>
      <c r="CI1447" s="35"/>
      <c r="CP1447" s="39"/>
      <c r="CQ1447" s="32"/>
      <c r="CR1447" s="40"/>
      <c r="CS1447" s="40"/>
      <c r="CT1447" s="33"/>
      <c r="CU1447" s="33"/>
      <c r="CV1447" s="33"/>
      <c r="CW1447" s="33"/>
      <c r="CX1447" s="33"/>
      <c r="CY1447" s="33"/>
      <c r="CZ1447" s="33"/>
    </row>
    <row r="1448" spans="7:104" ht="21" x14ac:dyDescent="0.35">
      <c r="G1448" s="126">
        <v>2015</v>
      </c>
      <c r="H1448" s="83">
        <f t="shared" si="4025"/>
        <v>0.26357127341583086</v>
      </c>
      <c r="I1448" s="83">
        <f t="shared" si="4027"/>
        <v>0.33168720839395205</v>
      </c>
      <c r="J1448" s="83">
        <f t="shared" si="4024"/>
        <v>0.43927658281396631</v>
      </c>
      <c r="K1448" s="83">
        <f t="shared" si="4026"/>
        <v>0.22903620879208164</v>
      </c>
      <c r="L1448" s="72">
        <v>-0.10250415018288074</v>
      </c>
      <c r="M1448" s="72">
        <v>-9.1208258554737839E-2</v>
      </c>
      <c r="N1448" s="72">
        <v>1.4363442452155791E-2</v>
      </c>
      <c r="O1448" s="99">
        <f t="shared" si="4028"/>
        <v>-4.8445819943091176E-2</v>
      </c>
      <c r="R1448" s="72"/>
      <c r="AD1448" s="33"/>
      <c r="AH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  <c r="AX1448" s="33"/>
      <c r="AY1448" s="33"/>
      <c r="BA1448" s="33"/>
      <c r="BB1448" s="33"/>
      <c r="BC1448" s="114"/>
      <c r="BD1448" s="33"/>
      <c r="BE1448" s="33"/>
      <c r="BF1448" s="33"/>
      <c r="CI1448" s="35"/>
      <c r="CP1448" s="39"/>
      <c r="CQ1448" s="32"/>
      <c r="CR1448" s="40"/>
      <c r="CS1448" s="40"/>
      <c r="CT1448" s="33"/>
      <c r="CU1448" s="33"/>
      <c r="CV1448" s="33"/>
      <c r="CW1448" s="33"/>
      <c r="CX1448" s="33"/>
      <c r="CY1448" s="33"/>
      <c r="CZ1448" s="33"/>
    </row>
    <row r="1449" spans="7:104" ht="21" x14ac:dyDescent="0.35">
      <c r="G1449" s="126">
        <v>2016</v>
      </c>
      <c r="H1449" s="83">
        <f t="shared" si="4025"/>
        <v>0.24814838698930619</v>
      </c>
      <c r="I1449" s="83">
        <f t="shared" si="4027"/>
        <v>0.35251318501505419</v>
      </c>
      <c r="J1449" s="83">
        <f t="shared" si="4024"/>
        <v>0.40406988059061422</v>
      </c>
      <c r="K1449" s="83">
        <f t="shared" si="4026"/>
        <v>0.2434169343943316</v>
      </c>
      <c r="L1449" s="72">
        <v>0.11925563043790485</v>
      </c>
      <c r="M1449" s="72">
        <v>0.13001462033465735</v>
      </c>
      <c r="N1449" s="72">
        <v>1.9127770153661225E-2</v>
      </c>
      <c r="O1449" s="99">
        <f t="shared" si="4028"/>
        <v>8.0715044568433231E-2</v>
      </c>
      <c r="R1449" s="72"/>
      <c r="AD1449" s="33"/>
      <c r="AH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  <c r="AX1449" s="33"/>
      <c r="AY1449" s="33"/>
      <c r="BA1449" s="33"/>
      <c r="BB1449" s="33"/>
      <c r="BC1449" s="114"/>
      <c r="BD1449" s="33"/>
      <c r="BE1449" s="33"/>
      <c r="BF1449" s="33"/>
      <c r="CI1449" s="35"/>
      <c r="CP1449" s="39"/>
      <c r="CQ1449" s="32"/>
      <c r="CR1449" s="40"/>
      <c r="CS1449" s="40"/>
      <c r="CT1449" s="33"/>
      <c r="CU1449" s="33"/>
      <c r="CV1449" s="33"/>
      <c r="CW1449" s="33"/>
      <c r="CX1449" s="33"/>
      <c r="CY1449" s="33"/>
      <c r="CZ1449" s="33"/>
    </row>
    <row r="1450" spans="7:104" ht="21" x14ac:dyDescent="0.35">
      <c r="G1450" s="126">
        <v>2017</v>
      </c>
      <c r="H1450" s="83">
        <f t="shared" si="4025"/>
        <v>0.64574038119138444</v>
      </c>
      <c r="I1450" s="83">
        <f t="shared" si="4027"/>
        <v>0.36738777210731249</v>
      </c>
      <c r="J1450" s="83">
        <f t="shared" si="4024"/>
        <v>0.37892411345660959</v>
      </c>
      <c r="K1450" s="83">
        <f t="shared" si="4026"/>
        <v>0.25368811443607792</v>
      </c>
      <c r="L1450" s="72">
        <v>-4.9782500314958069E-3</v>
      </c>
      <c r="M1450" s="72">
        <v>3.7356116759415986E-4</v>
      </c>
      <c r="N1450" s="72">
        <v>1.6307711843923642E-2</v>
      </c>
      <c r="O1450" s="99">
        <f t="shared" si="4028"/>
        <v>5.2815271237715315E-3</v>
      </c>
      <c r="R1450" s="72"/>
      <c r="AD1450" s="33"/>
      <c r="AH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  <c r="BA1450" s="33"/>
      <c r="BB1450" s="33"/>
      <c r="BC1450" s="114"/>
      <c r="BD1450" s="33"/>
      <c r="BE1450" s="33"/>
      <c r="BF1450" s="33"/>
      <c r="CI1450" s="35"/>
      <c r="CP1450" s="39"/>
      <c r="CQ1450" s="32"/>
      <c r="CR1450" s="40"/>
      <c r="CS1450" s="40"/>
      <c r="CT1450" s="33"/>
      <c r="CU1450" s="33"/>
      <c r="CV1450" s="33"/>
      <c r="CW1450" s="33"/>
      <c r="CX1450" s="33"/>
      <c r="CY1450" s="33"/>
      <c r="CZ1450" s="33"/>
    </row>
    <row r="1451" spans="7:104" ht="21" x14ac:dyDescent="0.35">
      <c r="G1451" s="126">
        <v>2018</v>
      </c>
      <c r="H1451" s="83">
        <f t="shared" si="4025"/>
        <v>0.18639888634127214</v>
      </c>
      <c r="I1451" s="83">
        <f t="shared" si="4027"/>
        <v>0.47150558895753697</v>
      </c>
      <c r="J1451" s="83">
        <f t="shared" si="4024"/>
        <v>0.20291100056964306</v>
      </c>
      <c r="K1451" s="83">
        <f t="shared" si="4026"/>
        <v>0.32558341047281997</v>
      </c>
      <c r="L1451" s="72">
        <v>0.90574573778178713</v>
      </c>
      <c r="M1451" s="72">
        <v>0.91071156697163991</v>
      </c>
      <c r="N1451" s="72">
        <v>1.4282438611222777E-2</v>
      </c>
      <c r="O1451" s="99">
        <f t="shared" si="4028"/>
        <v>0.64848631318999961</v>
      </c>
      <c r="R1451" s="72"/>
      <c r="AD1451" s="33"/>
      <c r="AH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BA1451" s="33"/>
      <c r="BB1451" s="33"/>
      <c r="BC1451" s="114"/>
      <c r="BD1451" s="33"/>
      <c r="BE1451" s="33"/>
      <c r="BF1451" s="33"/>
      <c r="CI1451" s="35"/>
      <c r="CP1451" s="39"/>
      <c r="CQ1451" s="32"/>
      <c r="CR1451" s="40"/>
      <c r="CS1451" s="40"/>
      <c r="CT1451" s="33"/>
      <c r="CU1451" s="33"/>
      <c r="CV1451" s="33"/>
      <c r="CW1451" s="33"/>
      <c r="CX1451" s="33"/>
      <c r="CY1451" s="33"/>
      <c r="CZ1451" s="33"/>
    </row>
    <row r="1452" spans="7:104" ht="21" x14ac:dyDescent="0.35">
      <c r="G1452" s="126">
        <v>2019</v>
      </c>
      <c r="H1452" s="83">
        <f t="shared" si="4025"/>
        <v>0.19525094558842318</v>
      </c>
      <c r="I1452" s="83">
        <f t="shared" si="4027"/>
        <v>0.40641809125839728</v>
      </c>
      <c r="J1452" s="83">
        <f t="shared" si="4024"/>
        <v>0.31294263037733383</v>
      </c>
      <c r="K1452" s="83">
        <f t="shared" si="4026"/>
        <v>0.28063927836426888</v>
      </c>
      <c r="L1452" s="72">
        <v>-0.58438812696513687</v>
      </c>
      <c r="M1452" s="72">
        <v>-0.57566052597580453</v>
      </c>
      <c r="N1452" s="72">
        <v>1.8316527296145347E-2</v>
      </c>
      <c r="O1452" s="99">
        <f t="shared" si="4028"/>
        <v>-0.42510335103046909</v>
      </c>
      <c r="R1452" s="72"/>
      <c r="AD1452" s="33"/>
      <c r="AH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  <c r="BA1452" s="33"/>
      <c r="BB1452" s="33"/>
      <c r="BC1452" s="114"/>
      <c r="BD1452" s="33"/>
      <c r="BE1452" s="33"/>
      <c r="BF1452" s="33"/>
      <c r="CI1452" s="35"/>
      <c r="CP1452" s="39"/>
      <c r="CQ1452" s="32"/>
      <c r="CR1452" s="40"/>
      <c r="CS1452" s="40"/>
      <c r="CT1452" s="33"/>
      <c r="CU1452" s="33"/>
      <c r="CV1452" s="33"/>
      <c r="CW1452" s="33"/>
      <c r="CX1452" s="33"/>
      <c r="CY1452" s="33"/>
      <c r="CZ1452" s="33"/>
    </row>
    <row r="1453" spans="7:104" ht="21" x14ac:dyDescent="0.35">
      <c r="G1453" s="126">
        <v>2020</v>
      </c>
      <c r="H1453" s="83">
        <f t="shared" si="4025"/>
        <v>0.25665072467221206</v>
      </c>
      <c r="I1453" s="83">
        <f t="shared" si="4027"/>
        <v>0.34982022306412058</v>
      </c>
      <c r="J1453" s="83">
        <f t="shared" si="4024"/>
        <v>0.4086223830364909</v>
      </c>
      <c r="K1453" s="83">
        <f t="shared" si="4026"/>
        <v>0.24155739389938852</v>
      </c>
      <c r="L1453" s="72">
        <v>-0.38875062418053535</v>
      </c>
      <c r="M1453" s="72">
        <v>-0.37433632284836338</v>
      </c>
      <c r="N1453" s="72">
        <v>1.8785187358659729E-2</v>
      </c>
      <c r="O1453" s="99">
        <f t="shared" si="4028"/>
        <v>-0.23626850904979946</v>
      </c>
      <c r="R1453" s="72"/>
      <c r="AD1453" s="33"/>
      <c r="AH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BA1453" s="33"/>
      <c r="BB1453" s="33"/>
      <c r="BC1453" s="114"/>
      <c r="BD1453" s="33"/>
      <c r="BE1453" s="33"/>
      <c r="BF1453" s="33"/>
      <c r="CI1453" s="35"/>
      <c r="CP1453" s="39"/>
      <c r="CQ1453" s="32"/>
      <c r="CR1453" s="40"/>
      <c r="CS1453" s="40"/>
      <c r="CT1453" s="33"/>
      <c r="CU1453" s="33"/>
      <c r="CV1453" s="33"/>
      <c r="CW1453" s="33"/>
      <c r="CX1453" s="33"/>
      <c r="CY1453" s="33"/>
      <c r="CZ1453" s="33"/>
    </row>
    <row r="1454" spans="7:104" ht="21" x14ac:dyDescent="0.35">
      <c r="G1454" s="126">
        <v>2021</v>
      </c>
      <c r="H1454" s="83">
        <f t="shared" si="4025"/>
        <v>0</v>
      </c>
      <c r="I1454" s="83">
        <f t="shared" si="4027"/>
        <v>0.32406398217281557</v>
      </c>
      <c r="J1454" s="83">
        <f t="shared" si="4024"/>
        <v>0.44604447491826399</v>
      </c>
      <c r="K1454" s="83">
        <f t="shared" si="4026"/>
        <v>0.2298915429089205</v>
      </c>
      <c r="L1454" s="72">
        <v>2.5456314836395662E-2</v>
      </c>
      <c r="M1454" s="72">
        <v>-8.3125527937406973E-3</v>
      </c>
      <c r="N1454" s="72">
        <v>2.0533673978099149E-2</v>
      </c>
      <c r="O1454" s="99">
        <f t="shared" si="4028"/>
        <v>1.1974552576452803E-2</v>
      </c>
      <c r="R1454" s="72"/>
      <c r="AD1454" s="33"/>
      <c r="AH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BA1454" s="33"/>
      <c r="BB1454" s="33"/>
      <c r="BC1454" s="114"/>
      <c r="BD1454" s="33"/>
      <c r="BE1454" s="33"/>
      <c r="BF1454" s="33"/>
      <c r="CI1454" s="35"/>
      <c r="CP1454" s="39"/>
      <c r="CQ1454" s="32"/>
      <c r="CR1454" s="40"/>
      <c r="CS1454" s="40"/>
      <c r="CT1454" s="33"/>
      <c r="CU1454" s="33"/>
      <c r="CV1454" s="33"/>
      <c r="CW1454" s="33"/>
      <c r="CX1454" s="33"/>
      <c r="CY1454" s="33"/>
      <c r="CZ1454" s="33"/>
    </row>
    <row r="1455" spans="7:104" ht="21" x14ac:dyDescent="0.35">
      <c r="G1455" s="126"/>
      <c r="H1455" s="83"/>
      <c r="I1455" s="83"/>
      <c r="J1455" s="83"/>
      <c r="K1455" s="83"/>
      <c r="L1455" s="72"/>
      <c r="M1455" s="72"/>
      <c r="N1455" s="67"/>
      <c r="O1455" s="72"/>
      <c r="P1455" s="72"/>
      <c r="Q1455" s="99"/>
      <c r="R1455" s="72"/>
      <c r="AD1455" s="33"/>
      <c r="AH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  <c r="AX1455" s="33"/>
      <c r="AY1455" s="33"/>
      <c r="BA1455" s="33"/>
      <c r="BB1455" s="33"/>
      <c r="BC1455" s="114"/>
      <c r="BD1455" s="33"/>
      <c r="BE1455" s="33"/>
      <c r="BF1455" s="33"/>
      <c r="CI1455" s="35"/>
      <c r="CP1455" s="39"/>
      <c r="CQ1455" s="32"/>
      <c r="CR1455" s="40"/>
      <c r="CS1455" s="40"/>
      <c r="CT1455" s="33"/>
      <c r="CU1455" s="33"/>
      <c r="CV1455" s="33"/>
      <c r="CW1455" s="33"/>
      <c r="CX1455" s="33"/>
      <c r="CY1455" s="33"/>
      <c r="CZ1455" s="33"/>
    </row>
    <row r="1456" spans="7:104" ht="21" x14ac:dyDescent="0.35">
      <c r="G1456" s="126"/>
      <c r="H1456" s="83"/>
      <c r="I1456" s="83"/>
      <c r="J1456" s="83"/>
      <c r="K1456" s="72"/>
      <c r="L1456" s="72"/>
      <c r="M1456" s="72"/>
      <c r="N1456" s="67"/>
      <c r="O1456" s="72"/>
      <c r="P1456" s="72"/>
      <c r="Q1456" s="99"/>
      <c r="R1456" s="72"/>
      <c r="AD1456" s="33"/>
      <c r="AH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BA1456" s="33"/>
      <c r="BB1456" s="33"/>
      <c r="BC1456" s="114"/>
      <c r="BD1456" s="33"/>
      <c r="BE1456" s="33"/>
      <c r="BF1456" s="33"/>
      <c r="CI1456" s="35"/>
      <c r="CP1456" s="39"/>
      <c r="CQ1456" s="32"/>
      <c r="CR1456" s="40"/>
      <c r="CS1456" s="40"/>
      <c r="CT1456" s="33"/>
      <c r="CU1456" s="33"/>
      <c r="CV1456" s="33"/>
      <c r="CW1456" s="33"/>
      <c r="CX1456" s="33"/>
      <c r="CY1456" s="33"/>
      <c r="CZ1456" s="33"/>
    </row>
    <row r="1457" spans="7:104" ht="42" x14ac:dyDescent="0.35">
      <c r="I1457" s="136" t="s">
        <v>552</v>
      </c>
      <c r="J1457" s="144" t="s">
        <v>558</v>
      </c>
      <c r="K1457" s="144" t="s">
        <v>564</v>
      </c>
      <c r="L1457" s="83"/>
      <c r="M1457" s="83"/>
      <c r="N1457" s="67"/>
      <c r="O1457" s="83"/>
      <c r="P1457" s="83"/>
      <c r="Q1457" s="83"/>
      <c r="R1457" s="72"/>
      <c r="S1457" s="72"/>
      <c r="T1457" s="72"/>
      <c r="U1457" s="72"/>
      <c r="V1457" s="72"/>
      <c r="W1457" s="33"/>
      <c r="AD1457" s="33"/>
      <c r="AH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BA1457" s="33"/>
      <c r="BB1457" s="33"/>
      <c r="BC1457" s="114"/>
      <c r="BD1457" s="33"/>
      <c r="BE1457" s="33"/>
      <c r="BF1457" s="33"/>
      <c r="CI1457" s="35"/>
      <c r="CP1457" s="39"/>
      <c r="CQ1457" s="32"/>
      <c r="CR1457" s="40"/>
      <c r="CS1457" s="40"/>
      <c r="CT1457" s="33"/>
      <c r="CU1457" s="33"/>
      <c r="CV1457" s="33"/>
      <c r="CW1457" s="33"/>
      <c r="CX1457" s="33"/>
      <c r="CY1457" s="33"/>
      <c r="CZ1457" s="33"/>
    </row>
    <row r="1458" spans="7:104" ht="21" x14ac:dyDescent="0.35">
      <c r="G1458" s="126">
        <v>2005</v>
      </c>
      <c r="I1458" s="146">
        <v>100</v>
      </c>
      <c r="J1458" s="83"/>
      <c r="K1458" s="83"/>
      <c r="N1458" s="38"/>
      <c r="R1458" s="72"/>
      <c r="AD1458" s="33"/>
      <c r="AH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  <c r="BA1458" s="33"/>
      <c r="BB1458" s="33"/>
      <c r="BC1458" s="114"/>
      <c r="BD1458" s="33"/>
      <c r="BE1458" s="33"/>
      <c r="BF1458" s="33"/>
      <c r="CI1458" s="35"/>
      <c r="CP1458" s="39"/>
      <c r="CQ1458" s="32"/>
      <c r="CR1458" s="40"/>
      <c r="CS1458" s="40"/>
      <c r="CT1458" s="33"/>
      <c r="CU1458" s="33"/>
      <c r="CV1458" s="33"/>
      <c r="CW1458" s="33"/>
      <c r="CX1458" s="33"/>
      <c r="CY1458" s="33"/>
      <c r="CZ1458" s="33"/>
    </row>
    <row r="1459" spans="7:104" ht="21" x14ac:dyDescent="0.35">
      <c r="G1459" s="126">
        <v>2006</v>
      </c>
      <c r="I1459" s="67">
        <f t="shared" ref="I1459:I1474" si="4029">+I1458*EXP(O1439)</f>
        <v>98.505007710089444</v>
      </c>
      <c r="J1459" s="72">
        <f>LN(I1459/I1458)</f>
        <v>-1.5062799406002213E-2</v>
      </c>
      <c r="K1459" s="72">
        <f t="shared" ref="K1459:K1474" si="4030">+J1459*P1374</f>
        <v>-4.229560204203477E-4</v>
      </c>
      <c r="N1459" s="38"/>
      <c r="R1459" s="72"/>
      <c r="AD1459" s="33"/>
      <c r="AH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BA1459" s="33"/>
      <c r="BB1459" s="33"/>
      <c r="BC1459" s="114"/>
      <c r="BD1459" s="33"/>
      <c r="BE1459" s="33"/>
      <c r="BF1459" s="33"/>
      <c r="CI1459" s="35"/>
      <c r="CP1459" s="39"/>
      <c r="CQ1459" s="32"/>
      <c r="CR1459" s="40"/>
      <c r="CS1459" s="40"/>
      <c r="CT1459" s="33"/>
      <c r="CU1459" s="33"/>
      <c r="CV1459" s="33"/>
      <c r="CW1459" s="33"/>
      <c r="CX1459" s="33"/>
      <c r="CY1459" s="33"/>
      <c r="CZ1459" s="33"/>
    </row>
    <row r="1460" spans="7:104" ht="21" x14ac:dyDescent="0.35">
      <c r="G1460" s="126">
        <v>2007</v>
      </c>
      <c r="I1460" s="67">
        <f t="shared" si="4029"/>
        <v>101.60941426314901</v>
      </c>
      <c r="J1460" s="72">
        <f>LN(I1460/I1459)</f>
        <v>3.1028804339977439E-2</v>
      </c>
      <c r="K1460" s="72">
        <f t="shared" si="4030"/>
        <v>8.9198085060334428E-4</v>
      </c>
      <c r="N1460" s="38"/>
      <c r="R1460" s="72"/>
      <c r="AD1460" s="33"/>
      <c r="AH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BA1460" s="33"/>
      <c r="BB1460" s="33"/>
      <c r="BC1460" s="114"/>
      <c r="BD1460" s="33"/>
      <c r="BE1460" s="33"/>
      <c r="BF1460" s="33"/>
      <c r="CI1460" s="35"/>
      <c r="CP1460" s="39"/>
      <c r="CQ1460" s="32"/>
      <c r="CR1460" s="40"/>
      <c r="CS1460" s="40"/>
      <c r="CT1460" s="33"/>
      <c r="CU1460" s="33"/>
      <c r="CV1460" s="33"/>
      <c r="CW1460" s="33"/>
      <c r="CX1460" s="33"/>
      <c r="CY1460" s="33"/>
      <c r="CZ1460" s="33"/>
    </row>
    <row r="1461" spans="7:104" ht="21" x14ac:dyDescent="0.35">
      <c r="G1461" s="126">
        <v>2008</v>
      </c>
      <c r="I1461" s="67">
        <f t="shared" si="4029"/>
        <v>112.18608020474647</v>
      </c>
      <c r="J1461" s="72">
        <f t="shared" ref="J1461:J1474" si="4031">LN(I1461/I1460)</f>
        <v>9.9022732123871804E-2</v>
      </c>
      <c r="K1461" s="72">
        <f t="shared" si="4030"/>
        <v>3.125861940495397E-3</v>
      </c>
      <c r="N1461" s="38"/>
      <c r="R1461" s="72"/>
      <c r="AD1461" s="33"/>
      <c r="AH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BA1461" s="33"/>
      <c r="BB1461" s="33"/>
      <c r="BC1461" s="114"/>
      <c r="BD1461" s="33"/>
      <c r="BE1461" s="33"/>
      <c r="BF1461" s="33"/>
      <c r="CI1461" s="35"/>
      <c r="CP1461" s="39"/>
      <c r="CQ1461" s="32"/>
      <c r="CR1461" s="40"/>
      <c r="CS1461" s="40"/>
      <c r="CT1461" s="33"/>
      <c r="CU1461" s="33"/>
      <c r="CV1461" s="33"/>
      <c r="CW1461" s="33"/>
      <c r="CX1461" s="33"/>
      <c r="CY1461" s="33"/>
      <c r="CZ1461" s="33"/>
    </row>
    <row r="1462" spans="7:104" ht="21" x14ac:dyDescent="0.35">
      <c r="G1462" s="126">
        <v>2009</v>
      </c>
      <c r="I1462" s="67">
        <f t="shared" si="4029"/>
        <v>115.78508954211904</v>
      </c>
      <c r="J1462" s="72">
        <f t="shared" si="4031"/>
        <v>3.1576873371869651E-2</v>
      </c>
      <c r="K1462" s="72">
        <f t="shared" si="4030"/>
        <v>9.7286151950627502E-4</v>
      </c>
      <c r="N1462" s="38"/>
      <c r="R1462" s="72"/>
      <c r="AD1462" s="33"/>
      <c r="AH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  <c r="AX1462" s="33"/>
      <c r="AY1462" s="33"/>
      <c r="BA1462" s="33"/>
      <c r="BB1462" s="33"/>
      <c r="BC1462" s="114"/>
      <c r="BD1462" s="33"/>
      <c r="BE1462" s="33"/>
      <c r="BF1462" s="33"/>
      <c r="CI1462" s="36"/>
      <c r="CP1462" s="39"/>
      <c r="CQ1462" s="32"/>
      <c r="CR1462" s="40"/>
      <c r="CS1462" s="40"/>
      <c r="CT1462" s="40"/>
      <c r="CU1462" s="40"/>
      <c r="CV1462" s="40"/>
      <c r="CW1462" s="40"/>
      <c r="CX1462" s="40"/>
      <c r="CY1462" s="40"/>
      <c r="CZ1462" s="40"/>
    </row>
    <row r="1463" spans="7:104" ht="21" x14ac:dyDescent="0.35">
      <c r="G1463" s="126">
        <v>2010</v>
      </c>
      <c r="I1463" s="67">
        <f t="shared" si="4029"/>
        <v>112.87395428333461</v>
      </c>
      <c r="J1463" s="72">
        <f t="shared" si="4031"/>
        <v>-2.5464049101561029E-2</v>
      </c>
      <c r="K1463" s="72">
        <f t="shared" si="4030"/>
        <v>-7.5526329865747586E-4</v>
      </c>
      <c r="N1463" s="38"/>
      <c r="R1463" s="72"/>
      <c r="AD1463" s="33"/>
      <c r="AH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  <c r="AX1463" s="33"/>
      <c r="AY1463" s="33"/>
      <c r="BA1463" s="33"/>
      <c r="BB1463" s="33"/>
      <c r="BC1463" s="114"/>
      <c r="BD1463" s="33"/>
      <c r="BE1463" s="33"/>
      <c r="BF1463" s="33"/>
      <c r="CI1463" s="35"/>
      <c r="CP1463" s="39"/>
      <c r="CQ1463" s="32"/>
      <c r="CR1463" s="40"/>
      <c r="CS1463" s="40"/>
      <c r="CT1463" s="33"/>
      <c r="CU1463" s="33"/>
      <c r="CV1463" s="33"/>
      <c r="CW1463" s="33"/>
      <c r="CX1463" s="33"/>
      <c r="CY1463" s="33"/>
      <c r="CZ1463" s="33"/>
    </row>
    <row r="1464" spans="7:104" ht="21" x14ac:dyDescent="0.35">
      <c r="G1464" s="126">
        <v>2011</v>
      </c>
      <c r="I1464" s="67">
        <f t="shared" si="4029"/>
        <v>115.55720105814311</v>
      </c>
      <c r="J1464" s="72">
        <f t="shared" si="4031"/>
        <v>2.3493907307803673E-2</v>
      </c>
      <c r="K1464" s="72">
        <f t="shared" si="4030"/>
        <v>7.060042972506002E-4</v>
      </c>
      <c r="N1464" s="38"/>
      <c r="R1464" s="72"/>
      <c r="AD1464" s="33"/>
      <c r="AH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BA1464" s="33"/>
      <c r="BB1464" s="33"/>
      <c r="BC1464" s="114"/>
      <c r="BD1464" s="33"/>
      <c r="BE1464" s="33"/>
      <c r="BF1464" s="33"/>
      <c r="CI1464" s="35"/>
      <c r="CP1464" s="39"/>
      <c r="CQ1464" s="32"/>
      <c r="CR1464" s="40"/>
      <c r="CS1464" s="40"/>
      <c r="CT1464" s="33"/>
      <c r="CU1464" s="33"/>
      <c r="CV1464" s="33"/>
      <c r="CW1464" s="33"/>
      <c r="CX1464" s="33"/>
      <c r="CY1464" s="33"/>
      <c r="CZ1464" s="33"/>
    </row>
    <row r="1465" spans="7:104" ht="21" x14ac:dyDescent="0.35">
      <c r="G1465" s="126">
        <v>2012</v>
      </c>
      <c r="I1465" s="67">
        <f t="shared" si="4029"/>
        <v>105.71665149280997</v>
      </c>
      <c r="J1465" s="72">
        <f t="shared" si="4031"/>
        <v>-8.900323874551401E-2</v>
      </c>
      <c r="K1465" s="72">
        <f t="shared" si="4030"/>
        <v>-2.4450465948858205E-3</v>
      </c>
      <c r="N1465" s="38"/>
      <c r="R1465" s="72"/>
      <c r="AD1465" s="33"/>
      <c r="AH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BA1465" s="33"/>
      <c r="BB1465" s="33"/>
      <c r="BC1465" s="114"/>
      <c r="BD1465" s="33"/>
      <c r="BE1465" s="33"/>
      <c r="BF1465" s="33"/>
      <c r="CI1465" s="35"/>
      <c r="CP1465" s="39"/>
      <c r="CQ1465" s="32"/>
      <c r="CR1465" s="40"/>
      <c r="CS1465" s="40"/>
      <c r="CT1465" s="33"/>
      <c r="CU1465" s="33"/>
      <c r="CV1465" s="33"/>
      <c r="CW1465" s="33"/>
      <c r="CX1465" s="33"/>
      <c r="CY1465" s="33"/>
      <c r="CZ1465" s="33"/>
    </row>
    <row r="1466" spans="7:104" ht="21" x14ac:dyDescent="0.35">
      <c r="G1466" s="126">
        <v>2013</v>
      </c>
      <c r="I1466" s="67">
        <f t="shared" si="4029"/>
        <v>118.06882826946264</v>
      </c>
      <c r="J1466" s="72">
        <f t="shared" si="4031"/>
        <v>0.11050532895856813</v>
      </c>
      <c r="K1466" s="72">
        <f t="shared" si="4030"/>
        <v>3.2894314069118282E-3</v>
      </c>
      <c r="N1466" s="38"/>
      <c r="R1466" s="72"/>
      <c r="AD1466" s="33"/>
      <c r="AH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  <c r="BA1466" s="33"/>
      <c r="BB1466" s="33"/>
      <c r="BC1466" s="114"/>
      <c r="BD1466" s="33"/>
      <c r="BE1466" s="33"/>
      <c r="BF1466" s="33"/>
      <c r="CI1466" s="35"/>
      <c r="CP1466" s="39"/>
      <c r="CQ1466" s="32"/>
      <c r="CR1466" s="40"/>
      <c r="CS1466" s="40"/>
      <c r="CT1466" s="33"/>
      <c r="CU1466" s="33"/>
      <c r="CV1466" s="33"/>
      <c r="CW1466" s="33"/>
      <c r="CX1466" s="33"/>
      <c r="CY1466" s="33"/>
      <c r="CZ1466" s="33"/>
    </row>
    <row r="1467" spans="7:104" ht="21" x14ac:dyDescent="0.35">
      <c r="G1467" s="126">
        <v>2014</v>
      </c>
      <c r="I1467" s="67">
        <f t="shared" si="4029"/>
        <v>118.96701131686267</v>
      </c>
      <c r="J1467" s="72">
        <f t="shared" si="4031"/>
        <v>7.5784940183316971E-3</v>
      </c>
      <c r="K1467" s="72">
        <f t="shared" si="4030"/>
        <v>2.2544401918171637E-4</v>
      </c>
      <c r="N1467" s="38"/>
      <c r="R1467" s="72"/>
      <c r="AD1467" s="33"/>
      <c r="AH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  <c r="BA1467" s="33"/>
      <c r="BB1467" s="33"/>
      <c r="BC1467" s="114"/>
      <c r="BD1467" s="33"/>
      <c r="BE1467" s="33"/>
      <c r="BF1467" s="33"/>
      <c r="CI1467" s="35"/>
      <c r="CP1467" s="39"/>
      <c r="CQ1467" s="32"/>
      <c r="CR1467" s="40"/>
      <c r="CS1467" s="40"/>
      <c r="CT1467" s="33"/>
      <c r="CU1467" s="33"/>
      <c r="CV1467" s="33"/>
      <c r="CW1467" s="33"/>
      <c r="CX1467" s="33"/>
      <c r="CY1467" s="33"/>
      <c r="CZ1467" s="33"/>
    </row>
    <row r="1468" spans="7:104" ht="21" x14ac:dyDescent="0.35">
      <c r="G1468" s="126">
        <v>2015</v>
      </c>
      <c r="I1468" s="67">
        <f t="shared" si="4029"/>
        <v>113.34093711836077</v>
      </c>
      <c r="J1468" s="72">
        <f t="shared" si="4031"/>
        <v>-4.8445819943091148E-2</v>
      </c>
      <c r="K1468" s="72">
        <f t="shared" si="4030"/>
        <v>-1.3584927485776838E-3</v>
      </c>
      <c r="N1468" s="38"/>
      <c r="R1468" s="72"/>
      <c r="AD1468" s="33"/>
      <c r="AH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  <c r="BA1468" s="33"/>
      <c r="BB1468" s="33"/>
      <c r="BC1468" s="114"/>
      <c r="BD1468" s="33"/>
      <c r="BE1468" s="33"/>
      <c r="BF1468" s="33"/>
      <c r="CI1468" s="35"/>
      <c r="CP1468" s="39"/>
      <c r="CQ1468" s="32"/>
      <c r="CR1468" s="40"/>
      <c r="CS1468" s="40"/>
      <c r="CT1468" s="33"/>
      <c r="CU1468" s="33"/>
      <c r="CV1468" s="33"/>
      <c r="CW1468" s="33"/>
      <c r="CX1468" s="33"/>
      <c r="CY1468" s="33"/>
      <c r="CZ1468" s="33"/>
    </row>
    <row r="1469" spans="7:104" ht="21" x14ac:dyDescent="0.35">
      <c r="G1469" s="126">
        <v>2016</v>
      </c>
      <c r="I1469" s="67">
        <f t="shared" si="4029"/>
        <v>122.86859653788703</v>
      </c>
      <c r="J1469" s="72">
        <f t="shared" si="4031"/>
        <v>8.0715044568433217E-2</v>
      </c>
      <c r="K1469" s="72">
        <f t="shared" si="4030"/>
        <v>2.3677294171191689E-3</v>
      </c>
      <c r="N1469" s="38"/>
      <c r="R1469" s="72"/>
      <c r="AD1469" s="33"/>
      <c r="AH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  <c r="BA1469" s="33"/>
      <c r="BB1469" s="33"/>
      <c r="BC1469" s="114"/>
      <c r="BD1469" s="33"/>
      <c r="BE1469" s="33"/>
      <c r="BF1469" s="33"/>
      <c r="CI1469" s="35"/>
      <c r="CP1469" s="39"/>
      <c r="CQ1469" s="32"/>
      <c r="CR1469" s="40"/>
      <c r="CS1469" s="40"/>
      <c r="CT1469" s="33"/>
      <c r="CU1469" s="33"/>
      <c r="CV1469" s="33"/>
      <c r="CW1469" s="33"/>
      <c r="CX1469" s="33"/>
      <c r="CY1469" s="33"/>
      <c r="CZ1469" s="33"/>
    </row>
    <row r="1470" spans="7:104" ht="21" x14ac:dyDescent="0.35">
      <c r="G1470" s="126">
        <v>2017</v>
      </c>
      <c r="I1470" s="67">
        <f t="shared" si="4029"/>
        <v>123.51924706489976</v>
      </c>
      <c r="J1470" s="72">
        <f t="shared" si="4031"/>
        <v>5.2815271237715393E-3</v>
      </c>
      <c r="K1470" s="72">
        <f t="shared" si="4030"/>
        <v>1.5219354221564953E-4</v>
      </c>
      <c r="N1470" s="38"/>
      <c r="R1470" s="72"/>
      <c r="AD1470" s="33"/>
      <c r="AH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  <c r="AX1470" s="33"/>
      <c r="AY1470" s="33"/>
      <c r="BA1470" s="33"/>
      <c r="BB1470" s="33"/>
      <c r="BC1470" s="114"/>
      <c r="BD1470" s="33"/>
      <c r="BE1470" s="33"/>
      <c r="BF1470" s="33"/>
      <c r="CI1470" s="35"/>
      <c r="CP1470" s="39"/>
      <c r="CQ1470" s="32"/>
      <c r="CR1470" s="40"/>
      <c r="CS1470" s="40"/>
      <c r="CT1470" s="33"/>
      <c r="CU1470" s="33"/>
      <c r="CV1470" s="33"/>
      <c r="CW1470" s="33"/>
      <c r="CX1470" s="33"/>
      <c r="CY1470" s="33"/>
      <c r="CZ1470" s="33"/>
    </row>
    <row r="1471" spans="7:104" ht="21" x14ac:dyDescent="0.35">
      <c r="G1471" s="126">
        <v>2018</v>
      </c>
      <c r="I1471" s="67">
        <f t="shared" si="4029"/>
        <v>236.24828422187028</v>
      </c>
      <c r="J1471" s="72">
        <f t="shared" si="4031"/>
        <v>0.64848631318999961</v>
      </c>
      <c r="K1471" s="72">
        <f t="shared" si="4030"/>
        <v>3.4085457944372469E-2</v>
      </c>
      <c r="N1471" s="38"/>
      <c r="R1471" s="72"/>
      <c r="AD1471" s="33"/>
      <c r="AH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BA1471" s="33"/>
      <c r="BB1471" s="33"/>
      <c r="BC1471" s="114"/>
      <c r="BD1471" s="33"/>
      <c r="BE1471" s="33"/>
      <c r="BF1471" s="33"/>
      <c r="CI1471" s="35"/>
      <c r="CP1471" s="39"/>
      <c r="CQ1471" s="32"/>
      <c r="CR1471" s="40"/>
      <c r="CS1471" s="40"/>
      <c r="CT1471" s="33"/>
      <c r="CU1471" s="33"/>
      <c r="CV1471" s="33"/>
      <c r="CW1471" s="33"/>
      <c r="CX1471" s="33"/>
      <c r="CY1471" s="33"/>
      <c r="CZ1471" s="33"/>
    </row>
    <row r="1472" spans="7:104" ht="21" x14ac:dyDescent="0.35">
      <c r="G1472" s="126">
        <v>2019</v>
      </c>
      <c r="I1472" s="67">
        <f t="shared" si="4029"/>
        <v>154.43602806555742</v>
      </c>
      <c r="J1472" s="72">
        <f t="shared" si="4031"/>
        <v>-0.42510335103046915</v>
      </c>
      <c r="K1472" s="72">
        <f t="shared" si="4030"/>
        <v>-1.4390453220252451E-2</v>
      </c>
      <c r="N1472" s="38"/>
      <c r="R1472" s="72"/>
      <c r="AD1472" s="33"/>
      <c r="AH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33"/>
      <c r="AX1472" s="33"/>
      <c r="AY1472" s="33"/>
      <c r="BA1472" s="33"/>
      <c r="BB1472" s="33"/>
      <c r="BC1472" s="114"/>
      <c r="BD1472" s="33"/>
      <c r="BE1472" s="33"/>
      <c r="BF1472" s="33"/>
      <c r="CI1472" s="35"/>
      <c r="CP1472" s="39"/>
      <c r="CQ1472" s="32"/>
      <c r="CR1472" s="40"/>
      <c r="CS1472" s="40"/>
      <c r="CT1472" s="33"/>
      <c r="CU1472" s="33"/>
      <c r="CV1472" s="33"/>
      <c r="CW1472" s="33"/>
      <c r="CX1472" s="33"/>
      <c r="CY1472" s="33"/>
      <c r="CZ1472" s="33"/>
    </row>
    <row r="1473" spans="7:104" ht="21" x14ac:dyDescent="0.35">
      <c r="G1473" s="126">
        <v>2020</v>
      </c>
      <c r="I1473" s="67">
        <f t="shared" si="4029"/>
        <v>121.93784451427952</v>
      </c>
      <c r="J1473" s="72">
        <f t="shared" si="4031"/>
        <v>-0.23626850904979946</v>
      </c>
      <c r="K1473" s="72">
        <f t="shared" si="4030"/>
        <v>-6.2706554331063164E-3</v>
      </c>
      <c r="N1473" s="38"/>
      <c r="R1473" s="72"/>
      <c r="AD1473" s="33"/>
      <c r="AH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  <c r="AX1473" s="33"/>
      <c r="AY1473" s="33"/>
      <c r="BA1473" s="33"/>
      <c r="BB1473" s="33"/>
      <c r="BC1473" s="114"/>
      <c r="BD1473" s="33"/>
      <c r="BE1473" s="33"/>
      <c r="BF1473" s="33"/>
      <c r="CI1473" s="35"/>
      <c r="CP1473" s="39"/>
      <c r="CQ1473" s="32"/>
      <c r="CR1473" s="40"/>
      <c r="CS1473" s="40"/>
      <c r="CT1473" s="33"/>
      <c r="CU1473" s="33"/>
      <c r="CV1473" s="33"/>
      <c r="CW1473" s="33"/>
      <c r="CX1473" s="33"/>
      <c r="CY1473" s="33"/>
      <c r="CZ1473" s="33"/>
    </row>
    <row r="1474" spans="7:104" ht="21" x14ac:dyDescent="0.35">
      <c r="G1474" s="126">
        <v>2021</v>
      </c>
      <c r="I1474" s="67">
        <f t="shared" si="4029"/>
        <v>123.40677297258466</v>
      </c>
      <c r="J1474" s="72">
        <f t="shared" si="4031"/>
        <v>1.1974552576452809E-2</v>
      </c>
      <c r="K1474" s="72">
        <f t="shared" si="4030"/>
        <v>3.2949979592347537E-4</v>
      </c>
      <c r="N1474" s="38"/>
      <c r="R1474" s="72"/>
      <c r="AD1474" s="33"/>
      <c r="AH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BA1474" s="33"/>
      <c r="BB1474" s="33"/>
      <c r="BC1474" s="114"/>
      <c r="BD1474" s="33"/>
      <c r="BE1474" s="33"/>
      <c r="BF1474" s="33"/>
      <c r="CI1474" s="35"/>
      <c r="CP1474" s="39"/>
      <c r="CQ1474" s="32"/>
      <c r="CR1474" s="40"/>
      <c r="CS1474" s="40"/>
      <c r="CT1474" s="33"/>
      <c r="CU1474" s="33"/>
      <c r="CV1474" s="33"/>
      <c r="CW1474" s="33"/>
      <c r="CX1474" s="33"/>
      <c r="CY1474" s="33"/>
      <c r="CZ1474" s="33"/>
    </row>
    <row r="1475" spans="7:104" ht="21" x14ac:dyDescent="0.35">
      <c r="N1475" s="38"/>
      <c r="R1475" s="72"/>
      <c r="AD1475" s="33"/>
      <c r="AH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BA1475" s="33"/>
      <c r="BB1475" s="33"/>
      <c r="BC1475" s="114"/>
      <c r="BD1475" s="33"/>
      <c r="BE1475" s="33"/>
      <c r="BF1475" s="33"/>
      <c r="CI1475" s="35"/>
      <c r="CP1475" s="39"/>
      <c r="CQ1475" s="32"/>
      <c r="CR1475" s="40"/>
      <c r="CS1475" s="40"/>
      <c r="CT1475" s="33"/>
      <c r="CU1475" s="33"/>
      <c r="CV1475" s="33"/>
      <c r="CW1475" s="33"/>
      <c r="CX1475" s="33"/>
      <c r="CY1475" s="33"/>
      <c r="CZ1475" s="33"/>
    </row>
    <row r="1476" spans="7:104" ht="21" x14ac:dyDescent="0.35">
      <c r="N1476" s="38"/>
      <c r="R1476" s="72"/>
      <c r="AD1476" s="33"/>
      <c r="AH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BA1476" s="33"/>
      <c r="BB1476" s="33"/>
      <c r="BC1476" s="114"/>
      <c r="BD1476" s="33"/>
      <c r="BE1476" s="33"/>
      <c r="BF1476" s="33"/>
      <c r="CI1476" s="35"/>
      <c r="CP1476" s="39"/>
      <c r="CQ1476" s="32"/>
      <c r="CR1476" s="40"/>
      <c r="CS1476" s="40"/>
      <c r="CT1476" s="33"/>
      <c r="CU1476" s="33"/>
      <c r="CV1476" s="33"/>
      <c r="CW1476" s="33"/>
      <c r="CX1476" s="33"/>
      <c r="CY1476" s="33"/>
      <c r="CZ1476" s="33"/>
    </row>
    <row r="1477" spans="7:104" ht="21" x14ac:dyDescent="0.35">
      <c r="N1477" s="38"/>
      <c r="R1477" s="72"/>
      <c r="AD1477" s="33"/>
      <c r="AH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V1477" s="33"/>
      <c r="AW1477" s="33"/>
      <c r="AX1477" s="33"/>
      <c r="AY1477" s="33"/>
      <c r="BA1477" s="33"/>
      <c r="BB1477" s="33"/>
      <c r="BC1477" s="114"/>
      <c r="BD1477" s="33"/>
      <c r="BE1477" s="33"/>
      <c r="BF1477" s="33"/>
      <c r="CI1477" s="35"/>
      <c r="CP1477" s="39"/>
      <c r="CQ1477" s="32"/>
      <c r="CR1477" s="40"/>
      <c r="CS1477" s="40"/>
      <c r="CT1477" s="33"/>
      <c r="CU1477" s="33"/>
      <c r="CV1477" s="33"/>
      <c r="CW1477" s="33"/>
      <c r="CX1477" s="33"/>
      <c r="CY1477" s="33"/>
      <c r="CZ1477" s="33"/>
    </row>
    <row r="1478" spans="7:104" ht="21" x14ac:dyDescent="0.35">
      <c r="N1478" s="38"/>
      <c r="R1478" s="72"/>
      <c r="AD1478" s="33"/>
      <c r="AH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  <c r="AX1478" s="33"/>
      <c r="AY1478" s="33"/>
      <c r="BA1478" s="33"/>
      <c r="BB1478" s="33"/>
      <c r="BC1478" s="114"/>
      <c r="BD1478" s="33"/>
      <c r="BE1478" s="33"/>
      <c r="BF1478" s="33"/>
      <c r="CI1478" s="35"/>
      <c r="CP1478" s="39"/>
      <c r="CQ1478" s="32"/>
      <c r="CR1478" s="40"/>
      <c r="CS1478" s="40"/>
      <c r="CT1478" s="33"/>
      <c r="CU1478" s="33"/>
      <c r="CV1478" s="33"/>
      <c r="CW1478" s="33"/>
      <c r="CX1478" s="33"/>
      <c r="CY1478" s="33"/>
      <c r="CZ1478" s="33"/>
    </row>
    <row r="1479" spans="7:104" ht="21" x14ac:dyDescent="0.35">
      <c r="N1479" s="38"/>
      <c r="R1479" s="83"/>
      <c r="AD1479" s="33"/>
      <c r="AH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V1479" s="33"/>
      <c r="AW1479" s="33"/>
      <c r="AX1479" s="33"/>
      <c r="AY1479" s="33"/>
      <c r="BA1479" s="33"/>
      <c r="BB1479" s="33"/>
      <c r="BC1479" s="114"/>
      <c r="BD1479" s="33"/>
      <c r="BE1479" s="33"/>
      <c r="BF1479" s="33"/>
      <c r="CI1479" s="35"/>
      <c r="CP1479" s="39"/>
      <c r="CQ1479" s="32"/>
      <c r="CR1479" s="40"/>
      <c r="CS1479" s="40"/>
      <c r="CT1479" s="33"/>
      <c r="CU1479" s="33"/>
      <c r="CV1479" s="33"/>
      <c r="CW1479" s="33"/>
      <c r="CX1479" s="33"/>
      <c r="CY1479" s="33"/>
      <c r="CZ1479" s="33"/>
    </row>
    <row r="1480" spans="7:104" ht="21" x14ac:dyDescent="0.35">
      <c r="N1480" s="38"/>
      <c r="R1480" s="83"/>
      <c r="AD1480" s="33"/>
      <c r="AH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  <c r="AX1480" s="33"/>
      <c r="AY1480" s="33"/>
      <c r="BA1480" s="33"/>
      <c r="BB1480" s="33"/>
      <c r="BC1480" s="114"/>
      <c r="BD1480" s="33"/>
      <c r="BE1480" s="33"/>
      <c r="BF1480" s="33"/>
      <c r="CI1480" s="35"/>
      <c r="CP1480" s="39"/>
      <c r="CQ1480" s="32"/>
      <c r="CR1480" s="40"/>
      <c r="CS1480" s="40"/>
      <c r="CT1480" s="33"/>
      <c r="CU1480" s="33"/>
      <c r="CV1480" s="33"/>
      <c r="CW1480" s="33"/>
      <c r="CX1480" s="33"/>
      <c r="CY1480" s="33"/>
      <c r="CZ1480" s="33"/>
    </row>
    <row r="1481" spans="7:104" ht="21" x14ac:dyDescent="0.35">
      <c r="N1481" s="38"/>
      <c r="R1481" s="83"/>
      <c r="AD1481" s="33"/>
      <c r="AH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33"/>
      <c r="AX1481" s="33"/>
      <c r="AY1481" s="33"/>
      <c r="BA1481" s="33"/>
      <c r="BB1481" s="33"/>
      <c r="BC1481" s="114"/>
      <c r="BD1481" s="33"/>
      <c r="BE1481" s="33"/>
      <c r="BF1481" s="33"/>
      <c r="CI1481" s="35"/>
      <c r="CP1481" s="39"/>
      <c r="CQ1481" s="32"/>
      <c r="CR1481" s="40"/>
      <c r="CS1481" s="40"/>
      <c r="CT1481" s="33"/>
      <c r="CU1481" s="33"/>
      <c r="CV1481" s="33"/>
      <c r="CW1481" s="33"/>
      <c r="CX1481" s="33"/>
      <c r="CY1481" s="33"/>
      <c r="CZ1481" s="33"/>
    </row>
    <row r="1482" spans="7:104" ht="21" x14ac:dyDescent="0.35">
      <c r="N1482" s="38"/>
      <c r="R1482" s="83"/>
      <c r="AD1482" s="33"/>
      <c r="AH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33"/>
      <c r="AX1482" s="33"/>
      <c r="AY1482" s="33"/>
      <c r="BA1482" s="33"/>
      <c r="BB1482" s="33"/>
      <c r="BC1482" s="114"/>
      <c r="BD1482" s="33"/>
      <c r="BE1482" s="33"/>
      <c r="BF1482" s="33"/>
      <c r="CI1482" s="35"/>
      <c r="CP1482" s="39"/>
      <c r="CQ1482" s="32"/>
      <c r="CR1482" s="40"/>
      <c r="CS1482" s="40"/>
      <c r="CT1482" s="33"/>
      <c r="CU1482" s="33"/>
      <c r="CV1482" s="33"/>
      <c r="CW1482" s="33"/>
      <c r="CX1482" s="33"/>
      <c r="CY1482" s="33"/>
      <c r="CZ1482" s="33"/>
    </row>
    <row r="1483" spans="7:104" ht="21" x14ac:dyDescent="0.35">
      <c r="N1483" s="38"/>
      <c r="R1483" s="83"/>
      <c r="AD1483" s="33"/>
      <c r="AH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  <c r="BA1483" s="33"/>
      <c r="BB1483" s="33"/>
      <c r="BC1483" s="114"/>
      <c r="BD1483" s="33"/>
      <c r="BE1483" s="33"/>
      <c r="BF1483" s="33"/>
      <c r="CI1483" s="35"/>
      <c r="CP1483" s="39"/>
      <c r="CQ1483" s="32"/>
      <c r="CR1483" s="40"/>
      <c r="CS1483" s="40"/>
      <c r="CT1483" s="33"/>
      <c r="CU1483" s="33"/>
      <c r="CV1483" s="33"/>
      <c r="CW1483" s="33"/>
      <c r="CX1483" s="33"/>
      <c r="CY1483" s="33"/>
      <c r="CZ1483" s="33"/>
    </row>
    <row r="1484" spans="7:104" ht="21" x14ac:dyDescent="0.35">
      <c r="N1484" s="38"/>
      <c r="R1484" s="83"/>
      <c r="AD1484" s="33"/>
      <c r="AH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V1484" s="33"/>
      <c r="AW1484" s="33"/>
      <c r="AX1484" s="33"/>
      <c r="AY1484" s="33"/>
      <c r="BA1484" s="33"/>
      <c r="BB1484" s="33"/>
      <c r="BC1484" s="114"/>
      <c r="BD1484" s="33"/>
      <c r="BE1484" s="33"/>
      <c r="BF1484" s="33"/>
      <c r="CI1484" s="36"/>
      <c r="CP1484" s="39"/>
      <c r="CQ1484" s="32"/>
      <c r="CR1484" s="40"/>
      <c r="CS1484" s="40"/>
      <c r="CT1484" s="40"/>
      <c r="CU1484" s="40"/>
      <c r="CV1484" s="40"/>
      <c r="CW1484" s="40"/>
      <c r="CX1484" s="40"/>
      <c r="CY1484" s="40"/>
      <c r="CZ1484" s="40"/>
    </row>
    <row r="1485" spans="7:104" ht="21" x14ac:dyDescent="0.35">
      <c r="N1485" s="38"/>
      <c r="R1485" s="83"/>
      <c r="AD1485" s="33"/>
      <c r="AH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  <c r="AX1485" s="33"/>
      <c r="AY1485" s="33"/>
      <c r="BA1485" s="33"/>
      <c r="BB1485" s="33"/>
      <c r="BC1485" s="114"/>
      <c r="BD1485" s="33"/>
      <c r="BE1485" s="33"/>
      <c r="BF1485" s="33"/>
      <c r="CI1485" s="35"/>
      <c r="CP1485" s="39"/>
      <c r="CQ1485" s="32"/>
      <c r="CR1485" s="40"/>
      <c r="CS1485" s="40"/>
      <c r="CT1485" s="33"/>
      <c r="CU1485" s="33"/>
      <c r="CV1485" s="33"/>
      <c r="CW1485" s="33"/>
      <c r="CX1485" s="33"/>
      <c r="CY1485" s="33"/>
      <c r="CZ1485" s="33"/>
    </row>
    <row r="1486" spans="7:104" ht="21" x14ac:dyDescent="0.35">
      <c r="N1486" s="38"/>
      <c r="R1486" s="83"/>
      <c r="AD1486" s="33"/>
      <c r="AH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  <c r="AX1486" s="33"/>
      <c r="AY1486" s="33"/>
      <c r="BA1486" s="33"/>
      <c r="BB1486" s="33"/>
      <c r="BC1486" s="114"/>
      <c r="BD1486" s="33"/>
      <c r="BE1486" s="33"/>
      <c r="BF1486" s="33"/>
      <c r="CI1486" s="35"/>
      <c r="CP1486" s="39"/>
      <c r="CQ1486" s="32"/>
      <c r="CR1486" s="40"/>
      <c r="CS1486" s="40"/>
      <c r="CT1486" s="33"/>
      <c r="CU1486" s="33"/>
      <c r="CV1486" s="33"/>
      <c r="CW1486" s="33"/>
      <c r="CX1486" s="33"/>
      <c r="CY1486" s="33"/>
      <c r="CZ1486" s="33"/>
    </row>
    <row r="1487" spans="7:104" ht="21" x14ac:dyDescent="0.35">
      <c r="N1487" s="38"/>
      <c r="R1487" s="83"/>
      <c r="AD1487" s="33"/>
      <c r="AH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V1487" s="33"/>
      <c r="AW1487" s="33"/>
      <c r="AX1487" s="33"/>
      <c r="AY1487" s="33"/>
      <c r="BA1487" s="33"/>
      <c r="BB1487" s="33"/>
      <c r="BC1487" s="114"/>
      <c r="BD1487" s="33"/>
      <c r="BE1487" s="33"/>
      <c r="BF1487" s="33"/>
      <c r="CI1487" s="35"/>
      <c r="CP1487" s="39"/>
      <c r="CQ1487" s="32"/>
      <c r="CR1487" s="40"/>
      <c r="CS1487" s="40"/>
      <c r="CT1487" s="33"/>
      <c r="CU1487" s="33"/>
      <c r="CV1487" s="33"/>
      <c r="CW1487" s="33"/>
      <c r="CX1487" s="33"/>
      <c r="CY1487" s="33"/>
      <c r="CZ1487" s="33"/>
    </row>
    <row r="1488" spans="7:104" ht="21" x14ac:dyDescent="0.35">
      <c r="N1488" s="38"/>
      <c r="R1488" s="83"/>
      <c r="AD1488" s="33"/>
      <c r="AH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  <c r="AX1488" s="33"/>
      <c r="AY1488" s="33"/>
      <c r="BA1488" s="33"/>
      <c r="BB1488" s="33"/>
      <c r="BC1488" s="114"/>
      <c r="BD1488" s="33"/>
      <c r="BE1488" s="33"/>
      <c r="BF1488" s="33"/>
      <c r="CI1488" s="35"/>
      <c r="CP1488" s="39"/>
      <c r="CQ1488" s="32"/>
      <c r="CR1488" s="40"/>
      <c r="CS1488" s="40"/>
      <c r="CT1488" s="33"/>
      <c r="CU1488" s="33"/>
      <c r="CV1488" s="33"/>
      <c r="CW1488" s="33"/>
      <c r="CX1488" s="33"/>
      <c r="CY1488" s="33"/>
      <c r="CZ1488" s="33"/>
    </row>
    <row r="1489" spans="14:104" ht="21" x14ac:dyDescent="0.35">
      <c r="N1489" s="38"/>
      <c r="R1489" s="83"/>
      <c r="AD1489" s="33"/>
      <c r="AH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  <c r="AX1489" s="33"/>
      <c r="AY1489" s="33"/>
      <c r="BA1489" s="33"/>
      <c r="BB1489" s="33"/>
      <c r="BC1489" s="114"/>
      <c r="BD1489" s="33"/>
      <c r="BE1489" s="33"/>
      <c r="BF1489" s="33"/>
      <c r="CI1489" s="35"/>
      <c r="CP1489" s="39"/>
      <c r="CQ1489" s="32"/>
      <c r="CR1489" s="40"/>
      <c r="CS1489" s="40"/>
      <c r="CT1489" s="33"/>
      <c r="CU1489" s="33"/>
      <c r="CV1489" s="33"/>
      <c r="CW1489" s="33"/>
      <c r="CX1489" s="33"/>
      <c r="CY1489" s="33"/>
      <c r="CZ1489" s="33"/>
    </row>
    <row r="1490" spans="14:104" ht="21" x14ac:dyDescent="0.35">
      <c r="N1490" s="38"/>
      <c r="R1490" s="83"/>
      <c r="AD1490" s="33"/>
      <c r="AH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  <c r="AX1490" s="33"/>
      <c r="AY1490" s="33"/>
      <c r="BA1490" s="33"/>
      <c r="BB1490" s="33"/>
      <c r="BC1490" s="114"/>
      <c r="BD1490" s="33"/>
      <c r="BE1490" s="33"/>
      <c r="BF1490" s="33"/>
      <c r="CI1490" s="35"/>
      <c r="CP1490" s="39"/>
      <c r="CQ1490" s="32"/>
      <c r="CR1490" s="40"/>
      <c r="CS1490" s="40"/>
      <c r="CT1490" s="33"/>
      <c r="CU1490" s="33"/>
      <c r="CV1490" s="33"/>
      <c r="CW1490" s="33"/>
      <c r="CX1490" s="33"/>
      <c r="CY1490" s="33"/>
      <c r="CZ1490" s="33"/>
    </row>
    <row r="1491" spans="14:104" ht="21" x14ac:dyDescent="0.35">
      <c r="N1491" s="38"/>
      <c r="R1491" s="83"/>
      <c r="AD1491" s="33"/>
      <c r="AH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  <c r="AX1491" s="33"/>
      <c r="AY1491" s="33"/>
      <c r="BA1491" s="33"/>
      <c r="BB1491" s="33"/>
      <c r="BC1491" s="114"/>
      <c r="BD1491" s="33"/>
      <c r="BE1491" s="33"/>
      <c r="BF1491" s="33"/>
      <c r="CI1491" s="35"/>
      <c r="CP1491" s="39"/>
      <c r="CQ1491" s="32"/>
      <c r="CR1491" s="40"/>
      <c r="CS1491" s="40"/>
      <c r="CT1491" s="33"/>
      <c r="CU1491" s="33"/>
      <c r="CV1491" s="33"/>
      <c r="CW1491" s="33"/>
      <c r="CX1491" s="33"/>
      <c r="CY1491" s="33"/>
      <c r="CZ1491" s="33"/>
    </row>
    <row r="1492" spans="14:104" ht="21" x14ac:dyDescent="0.35">
      <c r="N1492" s="38"/>
      <c r="R1492" s="83"/>
      <c r="AD1492" s="33"/>
      <c r="AH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  <c r="AX1492" s="33"/>
      <c r="AY1492" s="33"/>
      <c r="BA1492" s="33"/>
      <c r="BB1492" s="33"/>
      <c r="BC1492" s="114"/>
      <c r="BD1492" s="33"/>
      <c r="BE1492" s="33"/>
      <c r="BF1492" s="33"/>
      <c r="CI1492" s="35"/>
      <c r="CP1492" s="39"/>
      <c r="CQ1492" s="32"/>
      <c r="CR1492" s="40"/>
      <c r="CS1492" s="40"/>
      <c r="CT1492" s="33"/>
      <c r="CU1492" s="33"/>
      <c r="CV1492" s="33"/>
      <c r="CW1492" s="33"/>
      <c r="CX1492" s="33"/>
      <c r="CY1492" s="33"/>
      <c r="CZ1492" s="33"/>
    </row>
    <row r="1493" spans="14:104" ht="21" x14ac:dyDescent="0.35">
      <c r="N1493" s="38"/>
      <c r="R1493" s="83"/>
      <c r="AD1493" s="33"/>
      <c r="AH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  <c r="AX1493" s="33"/>
      <c r="AY1493" s="33"/>
      <c r="BA1493" s="33"/>
      <c r="BB1493" s="33"/>
      <c r="BC1493" s="114"/>
      <c r="BD1493" s="33"/>
      <c r="BE1493" s="33"/>
      <c r="BF1493" s="33"/>
      <c r="CI1493" s="35"/>
      <c r="CP1493" s="39"/>
      <c r="CQ1493" s="32"/>
      <c r="CR1493" s="40"/>
      <c r="CS1493" s="40"/>
      <c r="CT1493" s="33"/>
      <c r="CU1493" s="33"/>
      <c r="CV1493" s="33"/>
      <c r="CW1493" s="33"/>
      <c r="CX1493" s="33"/>
      <c r="CY1493" s="33"/>
      <c r="CZ1493" s="33"/>
    </row>
    <row r="1494" spans="14:104" ht="21" x14ac:dyDescent="0.35">
      <c r="N1494" s="38"/>
      <c r="R1494" s="83"/>
      <c r="AD1494" s="33"/>
      <c r="AH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BA1494" s="33"/>
      <c r="BB1494" s="33"/>
      <c r="BC1494" s="114"/>
      <c r="BD1494" s="33"/>
      <c r="BE1494" s="33"/>
      <c r="BF1494" s="33"/>
      <c r="CI1494" s="35"/>
      <c r="CP1494" s="39"/>
      <c r="CQ1494" s="32"/>
      <c r="CR1494" s="40"/>
      <c r="CS1494" s="40"/>
      <c r="CT1494" s="33"/>
      <c r="CU1494" s="33"/>
      <c r="CV1494" s="33"/>
      <c r="CW1494" s="33"/>
      <c r="CX1494" s="33"/>
      <c r="CY1494" s="33"/>
      <c r="CZ1494" s="33"/>
    </row>
    <row r="1495" spans="14:104" ht="21" x14ac:dyDescent="0.35">
      <c r="N1495" s="38"/>
      <c r="R1495" s="83"/>
      <c r="AD1495" s="33"/>
      <c r="AH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  <c r="AX1495" s="33"/>
      <c r="AY1495" s="33"/>
      <c r="BA1495" s="33"/>
      <c r="BB1495" s="33"/>
      <c r="BC1495" s="114"/>
      <c r="BD1495" s="33"/>
      <c r="BE1495" s="33"/>
      <c r="BF1495" s="33"/>
      <c r="CI1495" s="35"/>
      <c r="CP1495" s="39"/>
      <c r="CQ1495" s="32"/>
      <c r="CR1495" s="40"/>
      <c r="CS1495" s="40"/>
      <c r="CT1495" s="33"/>
      <c r="CU1495" s="33"/>
      <c r="CV1495" s="33"/>
      <c r="CW1495" s="33"/>
      <c r="CX1495" s="33"/>
      <c r="CY1495" s="33"/>
      <c r="CZ1495" s="33"/>
    </row>
    <row r="1496" spans="14:104" ht="21" x14ac:dyDescent="0.35">
      <c r="N1496" s="38"/>
      <c r="R1496" s="83"/>
      <c r="AD1496" s="33"/>
      <c r="AH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  <c r="BA1496" s="33"/>
      <c r="BB1496" s="33"/>
      <c r="BC1496" s="114"/>
      <c r="BD1496" s="33"/>
      <c r="BE1496" s="33"/>
      <c r="BF1496" s="33"/>
      <c r="CI1496" s="35"/>
      <c r="CP1496" s="39"/>
      <c r="CQ1496" s="32"/>
      <c r="CR1496" s="40"/>
      <c r="CS1496" s="40"/>
      <c r="CT1496" s="33"/>
      <c r="CU1496" s="33"/>
      <c r="CV1496" s="33"/>
      <c r="CW1496" s="33"/>
      <c r="CX1496" s="33"/>
      <c r="CY1496" s="33"/>
      <c r="CZ1496" s="33"/>
    </row>
    <row r="1497" spans="14:104" ht="21" x14ac:dyDescent="0.35">
      <c r="N1497" s="38"/>
      <c r="R1497" s="83"/>
      <c r="AD1497" s="33"/>
      <c r="AH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  <c r="BA1497" s="33"/>
      <c r="BB1497" s="33"/>
      <c r="BC1497" s="114"/>
      <c r="BD1497" s="33"/>
      <c r="BE1497" s="33"/>
      <c r="BF1497" s="33"/>
      <c r="CI1497" s="35"/>
      <c r="CP1497" s="39"/>
      <c r="CQ1497" s="32"/>
      <c r="CR1497" s="40"/>
      <c r="CS1497" s="40"/>
      <c r="CT1497" s="33"/>
      <c r="CU1497" s="33"/>
      <c r="CV1497" s="33"/>
      <c r="CW1497" s="33"/>
      <c r="CX1497" s="33"/>
      <c r="CY1497" s="33"/>
      <c r="CZ1497" s="33"/>
    </row>
    <row r="1498" spans="14:104" ht="21" x14ac:dyDescent="0.35">
      <c r="N1498" s="38"/>
      <c r="R1498" s="83"/>
      <c r="AD1498" s="33"/>
      <c r="AH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  <c r="BA1498" s="33"/>
      <c r="BB1498" s="33"/>
      <c r="BC1498" s="114"/>
      <c r="BD1498" s="33"/>
      <c r="BE1498" s="33"/>
      <c r="BF1498" s="33"/>
      <c r="CI1498" s="35"/>
      <c r="CP1498" s="39"/>
      <c r="CQ1498" s="32"/>
      <c r="CR1498" s="40"/>
      <c r="CS1498" s="40"/>
      <c r="CT1498" s="33"/>
      <c r="CU1498" s="33"/>
      <c r="CV1498" s="33"/>
      <c r="CW1498" s="33"/>
      <c r="CX1498" s="33"/>
      <c r="CY1498" s="33"/>
      <c r="CZ1498" s="33"/>
    </row>
    <row r="1499" spans="14:104" x14ac:dyDescent="0.25">
      <c r="N1499" s="38"/>
      <c r="AD1499" s="33"/>
      <c r="AH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BA1499" s="33"/>
      <c r="BB1499" s="33"/>
      <c r="BC1499" s="114"/>
      <c r="BD1499" s="33"/>
      <c r="BE1499" s="33"/>
      <c r="BF1499" s="33"/>
      <c r="CI1499" s="35"/>
      <c r="CP1499" s="39"/>
      <c r="CQ1499" s="32"/>
      <c r="CR1499" s="40"/>
      <c r="CS1499" s="40"/>
      <c r="CT1499" s="33"/>
      <c r="CU1499" s="33"/>
      <c r="CV1499" s="33"/>
      <c r="CW1499" s="33"/>
      <c r="CX1499" s="33"/>
      <c r="CY1499" s="33"/>
      <c r="CZ1499" s="33"/>
    </row>
    <row r="1500" spans="14:104" x14ac:dyDescent="0.25">
      <c r="N1500" s="38"/>
      <c r="AD1500" s="33"/>
      <c r="AH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V1500" s="33"/>
      <c r="AW1500" s="33"/>
      <c r="AX1500" s="33"/>
      <c r="AY1500" s="33"/>
      <c r="BA1500" s="33"/>
      <c r="BB1500" s="33"/>
      <c r="BC1500" s="114"/>
      <c r="BD1500" s="33"/>
      <c r="BE1500" s="33"/>
      <c r="BF1500" s="33"/>
      <c r="CI1500" s="35"/>
      <c r="CP1500" s="39"/>
      <c r="CQ1500" s="32"/>
      <c r="CR1500" s="40"/>
      <c r="CS1500" s="40"/>
      <c r="CT1500" s="33"/>
      <c r="CU1500" s="33"/>
      <c r="CV1500" s="33"/>
      <c r="CW1500" s="33"/>
      <c r="CX1500" s="33"/>
      <c r="CY1500" s="33"/>
      <c r="CZ1500" s="33"/>
    </row>
    <row r="1501" spans="14:104" x14ac:dyDescent="0.25">
      <c r="N1501" s="38"/>
      <c r="AD1501" s="33"/>
      <c r="AH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  <c r="AX1501" s="33"/>
      <c r="AY1501" s="33"/>
      <c r="BA1501" s="33"/>
      <c r="BB1501" s="33"/>
      <c r="BC1501" s="114"/>
      <c r="BD1501" s="33"/>
      <c r="BE1501" s="33"/>
      <c r="BF1501" s="33"/>
      <c r="CI1501" s="35"/>
      <c r="CP1501" s="39"/>
      <c r="CQ1501" s="32"/>
      <c r="CR1501" s="40"/>
      <c r="CS1501" s="40"/>
      <c r="CT1501" s="33"/>
      <c r="CU1501" s="33"/>
      <c r="CV1501" s="33"/>
      <c r="CW1501" s="33"/>
      <c r="CX1501" s="33"/>
      <c r="CY1501" s="33"/>
      <c r="CZ1501" s="33"/>
    </row>
    <row r="1502" spans="14:104" x14ac:dyDescent="0.25">
      <c r="N1502" s="38"/>
      <c r="AD1502" s="33"/>
      <c r="AH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  <c r="AX1502" s="33"/>
      <c r="AY1502" s="33"/>
      <c r="BA1502" s="33"/>
      <c r="BB1502" s="33"/>
      <c r="BC1502" s="114"/>
      <c r="BD1502" s="33"/>
      <c r="BE1502" s="33"/>
      <c r="BF1502" s="33"/>
      <c r="CI1502" s="35"/>
      <c r="CP1502" s="39"/>
      <c r="CQ1502" s="32"/>
      <c r="CR1502" s="40"/>
      <c r="CS1502" s="40"/>
      <c r="CT1502" s="33"/>
      <c r="CU1502" s="33"/>
      <c r="CV1502" s="33"/>
      <c r="CW1502" s="33"/>
      <c r="CX1502" s="33"/>
      <c r="CY1502" s="33"/>
      <c r="CZ1502" s="33"/>
    </row>
    <row r="1503" spans="14:104" x14ac:dyDescent="0.25">
      <c r="N1503" s="38"/>
      <c r="AD1503" s="33"/>
      <c r="AH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  <c r="BA1503" s="33"/>
      <c r="BB1503" s="33"/>
      <c r="BC1503" s="114"/>
      <c r="BD1503" s="33"/>
      <c r="BE1503" s="33"/>
      <c r="BF1503" s="33"/>
      <c r="CI1503" s="35"/>
      <c r="CP1503" s="39"/>
      <c r="CQ1503" s="32"/>
      <c r="CR1503" s="40"/>
      <c r="CS1503" s="40"/>
      <c r="CT1503" s="33"/>
      <c r="CU1503" s="33"/>
      <c r="CV1503" s="33"/>
      <c r="CW1503" s="33"/>
      <c r="CX1503" s="33"/>
      <c r="CY1503" s="33"/>
      <c r="CZ1503" s="33"/>
    </row>
    <row r="1504" spans="14:104" x14ac:dyDescent="0.25">
      <c r="N1504" s="38"/>
      <c r="AD1504" s="33"/>
      <c r="AH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  <c r="AX1504" s="33"/>
      <c r="AY1504" s="33"/>
      <c r="BA1504" s="33"/>
      <c r="BB1504" s="33"/>
      <c r="BC1504" s="114"/>
      <c r="BD1504" s="33"/>
      <c r="BE1504" s="33"/>
      <c r="BF1504" s="33"/>
      <c r="CI1504" s="35"/>
      <c r="CP1504" s="39"/>
      <c r="CQ1504" s="32"/>
      <c r="CR1504" s="40"/>
      <c r="CS1504" s="40"/>
      <c r="CT1504" s="33"/>
      <c r="CU1504" s="33"/>
      <c r="CV1504" s="33"/>
      <c r="CW1504" s="33"/>
      <c r="CX1504" s="33"/>
      <c r="CY1504" s="33"/>
      <c r="CZ1504" s="33"/>
    </row>
    <row r="1505" spans="14:104" x14ac:dyDescent="0.25">
      <c r="N1505" s="38"/>
      <c r="AD1505" s="33"/>
      <c r="AH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  <c r="AX1505" s="33"/>
      <c r="AY1505" s="33"/>
      <c r="BA1505" s="33"/>
      <c r="BB1505" s="33"/>
      <c r="BC1505" s="114"/>
      <c r="BD1505" s="33"/>
      <c r="BE1505" s="33"/>
      <c r="BF1505" s="33"/>
      <c r="CI1505" s="35"/>
      <c r="CP1505" s="39"/>
      <c r="CQ1505" s="32"/>
      <c r="CR1505" s="40"/>
      <c r="CS1505" s="40"/>
      <c r="CT1505" s="33"/>
      <c r="CU1505" s="33"/>
      <c r="CV1505" s="33"/>
      <c r="CW1505" s="33"/>
      <c r="CX1505" s="33"/>
      <c r="CY1505" s="33"/>
      <c r="CZ1505" s="33"/>
    </row>
    <row r="1506" spans="14:104" x14ac:dyDescent="0.25">
      <c r="N1506" s="38"/>
      <c r="AD1506" s="33"/>
      <c r="AH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33"/>
      <c r="AX1506" s="33"/>
      <c r="AY1506" s="33"/>
      <c r="BA1506" s="33"/>
      <c r="BB1506" s="33"/>
      <c r="BC1506" s="114"/>
      <c r="BD1506" s="33"/>
      <c r="BE1506" s="33"/>
      <c r="BF1506" s="33"/>
      <c r="CI1506" s="36"/>
      <c r="CP1506" s="39"/>
      <c r="CQ1506" s="32"/>
      <c r="CR1506" s="40"/>
      <c r="CS1506" s="40"/>
      <c r="CT1506" s="40"/>
      <c r="CU1506" s="40"/>
      <c r="CV1506" s="40"/>
      <c r="CW1506" s="40"/>
      <c r="CX1506" s="40"/>
      <c r="CY1506" s="40"/>
      <c r="CZ1506" s="40"/>
    </row>
    <row r="1507" spans="14:104" x14ac:dyDescent="0.25">
      <c r="N1507" s="38"/>
      <c r="AD1507" s="33"/>
      <c r="AH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33"/>
      <c r="AX1507" s="33"/>
      <c r="AY1507" s="33"/>
      <c r="BA1507" s="33"/>
      <c r="BB1507" s="33"/>
      <c r="BC1507" s="114"/>
      <c r="BD1507" s="33"/>
      <c r="BE1507" s="33"/>
      <c r="BF1507" s="33"/>
      <c r="CI1507" s="35"/>
      <c r="CP1507" s="39"/>
      <c r="CQ1507" s="32"/>
      <c r="CR1507" s="40"/>
      <c r="CS1507" s="40"/>
      <c r="CT1507" s="33"/>
      <c r="CU1507" s="33"/>
      <c r="CV1507" s="33"/>
      <c r="CW1507" s="33"/>
      <c r="CX1507" s="33"/>
      <c r="CY1507" s="33"/>
      <c r="CZ1507" s="33"/>
    </row>
    <row r="1508" spans="14:104" x14ac:dyDescent="0.25">
      <c r="N1508" s="38"/>
      <c r="AD1508" s="33"/>
      <c r="AH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  <c r="AX1508" s="33"/>
      <c r="AY1508" s="33"/>
      <c r="BA1508" s="33"/>
      <c r="BB1508" s="33"/>
      <c r="BC1508" s="114"/>
      <c r="BD1508" s="33"/>
      <c r="BE1508" s="33"/>
      <c r="BF1508" s="33"/>
      <c r="CI1508" s="35"/>
      <c r="CP1508" s="39"/>
      <c r="CQ1508" s="32"/>
      <c r="CR1508" s="40"/>
      <c r="CS1508" s="40"/>
      <c r="CT1508" s="33"/>
      <c r="CU1508" s="33"/>
      <c r="CV1508" s="33"/>
      <c r="CW1508" s="33"/>
      <c r="CX1508" s="33"/>
      <c r="CY1508" s="33"/>
      <c r="CZ1508" s="33"/>
    </row>
    <row r="1509" spans="14:104" x14ac:dyDescent="0.25">
      <c r="N1509" s="38"/>
      <c r="AD1509" s="33"/>
      <c r="AH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33"/>
      <c r="AX1509" s="33"/>
      <c r="AY1509" s="33"/>
      <c r="BA1509" s="33"/>
      <c r="BB1509" s="33"/>
      <c r="BC1509" s="114"/>
      <c r="BD1509" s="33"/>
      <c r="BE1509" s="33"/>
      <c r="BF1509" s="33"/>
      <c r="CI1509" s="35"/>
      <c r="CP1509" s="39"/>
      <c r="CQ1509" s="32"/>
      <c r="CR1509" s="40"/>
      <c r="CS1509" s="40"/>
      <c r="CT1509" s="33"/>
      <c r="CU1509" s="33"/>
      <c r="CV1509" s="33"/>
      <c r="CW1509" s="33"/>
      <c r="CX1509" s="33"/>
      <c r="CY1509" s="33"/>
      <c r="CZ1509" s="33"/>
    </row>
    <row r="1510" spans="14:104" x14ac:dyDescent="0.25">
      <c r="N1510" s="38"/>
      <c r="AD1510" s="33"/>
      <c r="AH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33"/>
      <c r="AX1510" s="33"/>
      <c r="AY1510" s="33"/>
      <c r="BA1510" s="33"/>
      <c r="BB1510" s="33"/>
      <c r="BC1510" s="114"/>
      <c r="BD1510" s="33"/>
      <c r="BE1510" s="33"/>
      <c r="BF1510" s="33"/>
      <c r="CI1510" s="35"/>
      <c r="CP1510" s="39"/>
      <c r="CQ1510" s="32"/>
      <c r="CR1510" s="40"/>
      <c r="CS1510" s="40"/>
      <c r="CT1510" s="33"/>
      <c r="CU1510" s="33"/>
      <c r="CV1510" s="33"/>
      <c r="CW1510" s="33"/>
      <c r="CX1510" s="33"/>
      <c r="CY1510" s="33"/>
      <c r="CZ1510" s="33"/>
    </row>
    <row r="1511" spans="14:104" x14ac:dyDescent="0.25">
      <c r="N1511" s="38"/>
      <c r="AD1511" s="33"/>
      <c r="AH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V1511" s="33"/>
      <c r="AW1511" s="33"/>
      <c r="AX1511" s="33"/>
      <c r="AY1511" s="33"/>
      <c r="BA1511" s="33"/>
      <c r="BB1511" s="33"/>
      <c r="BC1511" s="114"/>
      <c r="BD1511" s="33"/>
      <c r="BE1511" s="33"/>
      <c r="BF1511" s="33"/>
      <c r="CI1511" s="35"/>
      <c r="CP1511" s="39"/>
      <c r="CQ1511" s="32"/>
      <c r="CR1511" s="40"/>
      <c r="CS1511" s="40"/>
      <c r="CT1511" s="33"/>
      <c r="CU1511" s="33"/>
      <c r="CV1511" s="33"/>
      <c r="CW1511" s="33"/>
      <c r="CX1511" s="33"/>
      <c r="CY1511" s="33"/>
      <c r="CZ1511" s="33"/>
    </row>
    <row r="1512" spans="14:104" x14ac:dyDescent="0.25">
      <c r="N1512" s="38"/>
      <c r="AD1512" s="33"/>
      <c r="AH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V1512" s="33"/>
      <c r="AW1512" s="33"/>
      <c r="AX1512" s="33"/>
      <c r="AY1512" s="33"/>
      <c r="BA1512" s="33"/>
      <c r="BB1512" s="33"/>
      <c r="BC1512" s="114"/>
      <c r="BD1512" s="33"/>
      <c r="BE1512" s="33"/>
      <c r="BF1512" s="33"/>
      <c r="CI1512" s="35"/>
      <c r="CP1512" s="39"/>
      <c r="CQ1512" s="32"/>
      <c r="CR1512" s="40"/>
      <c r="CS1512" s="40"/>
      <c r="CT1512" s="33"/>
      <c r="CU1512" s="33"/>
      <c r="CV1512" s="33"/>
      <c r="CW1512" s="33"/>
      <c r="CX1512" s="33"/>
      <c r="CY1512" s="33"/>
      <c r="CZ1512" s="33"/>
    </row>
    <row r="1513" spans="14:104" x14ac:dyDescent="0.25">
      <c r="N1513" s="38"/>
      <c r="AD1513" s="33"/>
      <c r="AH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  <c r="BA1513" s="33"/>
      <c r="BB1513" s="33"/>
      <c r="BC1513" s="114"/>
      <c r="BD1513" s="33"/>
      <c r="BE1513" s="33"/>
      <c r="BF1513" s="33"/>
      <c r="CI1513" s="35"/>
      <c r="CP1513" s="39"/>
      <c r="CQ1513" s="32"/>
      <c r="CR1513" s="40"/>
      <c r="CS1513" s="40"/>
      <c r="CT1513" s="33"/>
      <c r="CU1513" s="33"/>
      <c r="CV1513" s="33"/>
      <c r="CW1513" s="33"/>
      <c r="CX1513" s="33"/>
      <c r="CY1513" s="33"/>
      <c r="CZ1513" s="33"/>
    </row>
    <row r="1514" spans="14:104" x14ac:dyDescent="0.25">
      <c r="N1514" s="38"/>
      <c r="AD1514" s="33"/>
      <c r="AH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33"/>
      <c r="AX1514" s="33"/>
      <c r="AY1514" s="33"/>
      <c r="BA1514" s="33"/>
      <c r="BB1514" s="33"/>
      <c r="BC1514" s="114"/>
      <c r="BD1514" s="33"/>
      <c r="BE1514" s="33"/>
      <c r="BF1514" s="33"/>
      <c r="CI1514" s="35"/>
      <c r="CP1514" s="39"/>
      <c r="CQ1514" s="32"/>
      <c r="CR1514" s="40"/>
      <c r="CS1514" s="40"/>
      <c r="CT1514" s="33"/>
      <c r="CU1514" s="33"/>
      <c r="CV1514" s="33"/>
      <c r="CW1514" s="33"/>
      <c r="CX1514" s="33"/>
      <c r="CY1514" s="33"/>
      <c r="CZ1514" s="33"/>
    </row>
    <row r="1515" spans="14:104" x14ac:dyDescent="0.25">
      <c r="N1515" s="38"/>
      <c r="AD1515" s="33"/>
      <c r="AH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V1515" s="33"/>
      <c r="AW1515" s="33"/>
      <c r="AX1515" s="33"/>
      <c r="AY1515" s="33"/>
      <c r="BA1515" s="33"/>
      <c r="BB1515" s="33"/>
      <c r="BC1515" s="114"/>
      <c r="BD1515" s="33"/>
      <c r="BE1515" s="33"/>
      <c r="BF1515" s="33"/>
      <c r="CI1515" s="35"/>
      <c r="CP1515" s="39"/>
      <c r="CQ1515" s="32"/>
      <c r="CR1515" s="40"/>
      <c r="CS1515" s="40"/>
      <c r="CT1515" s="33"/>
      <c r="CU1515" s="33"/>
      <c r="CV1515" s="33"/>
      <c r="CW1515" s="33"/>
      <c r="CX1515" s="33"/>
      <c r="CY1515" s="33"/>
      <c r="CZ1515" s="33"/>
    </row>
    <row r="1516" spans="14:104" x14ac:dyDescent="0.25">
      <c r="N1516" s="38"/>
      <c r="AD1516" s="33"/>
      <c r="AH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33"/>
      <c r="AX1516" s="33"/>
      <c r="AY1516" s="33"/>
      <c r="BA1516" s="33"/>
      <c r="BB1516" s="33"/>
      <c r="BC1516" s="114"/>
      <c r="BD1516" s="33"/>
      <c r="BE1516" s="33"/>
      <c r="BF1516" s="33"/>
      <c r="CI1516" s="35"/>
      <c r="CP1516" s="39"/>
      <c r="CQ1516" s="32"/>
      <c r="CR1516" s="40"/>
      <c r="CS1516" s="40"/>
      <c r="CT1516" s="33"/>
      <c r="CU1516" s="33"/>
      <c r="CV1516" s="33"/>
      <c r="CW1516" s="33"/>
      <c r="CX1516" s="33"/>
      <c r="CY1516" s="33"/>
      <c r="CZ1516" s="33"/>
    </row>
    <row r="1517" spans="14:104" x14ac:dyDescent="0.25">
      <c r="N1517" s="38"/>
      <c r="AD1517" s="33"/>
      <c r="AH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33"/>
      <c r="AX1517" s="33"/>
      <c r="AY1517" s="33"/>
      <c r="BA1517" s="33"/>
      <c r="BB1517" s="33"/>
      <c r="BC1517" s="114"/>
      <c r="BD1517" s="33"/>
      <c r="BE1517" s="33"/>
      <c r="BF1517" s="33"/>
      <c r="CI1517" s="35"/>
      <c r="CP1517" s="39"/>
      <c r="CQ1517" s="32"/>
      <c r="CR1517" s="40"/>
      <c r="CS1517" s="40"/>
      <c r="CT1517" s="33"/>
      <c r="CU1517" s="33"/>
      <c r="CV1517" s="33"/>
      <c r="CW1517" s="33"/>
      <c r="CX1517" s="33"/>
      <c r="CY1517" s="33"/>
      <c r="CZ1517" s="33"/>
    </row>
    <row r="1518" spans="14:104" x14ac:dyDescent="0.25">
      <c r="N1518" s="38"/>
      <c r="AD1518" s="33"/>
      <c r="AH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33"/>
      <c r="AX1518" s="33"/>
      <c r="AY1518" s="33"/>
      <c r="BA1518" s="33"/>
      <c r="BB1518" s="33"/>
      <c r="BC1518" s="114"/>
      <c r="BD1518" s="33"/>
      <c r="BE1518" s="33"/>
      <c r="BF1518" s="33"/>
      <c r="CI1518" s="35"/>
      <c r="CP1518" s="39"/>
      <c r="CQ1518" s="32"/>
      <c r="CR1518" s="40"/>
      <c r="CS1518" s="40"/>
      <c r="CT1518" s="33"/>
      <c r="CU1518" s="33"/>
      <c r="CV1518" s="33"/>
      <c r="CW1518" s="33"/>
      <c r="CX1518" s="33"/>
      <c r="CY1518" s="33"/>
      <c r="CZ1518" s="33"/>
    </row>
    <row r="1519" spans="14:104" x14ac:dyDescent="0.25">
      <c r="N1519" s="38"/>
      <c r="AD1519" s="33"/>
      <c r="AH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  <c r="AX1519" s="33"/>
      <c r="AY1519" s="33"/>
      <c r="BA1519" s="33"/>
      <c r="BB1519" s="33"/>
      <c r="BC1519" s="114"/>
      <c r="BD1519" s="33"/>
      <c r="BE1519" s="33"/>
      <c r="BF1519" s="33"/>
      <c r="CI1519" s="35"/>
      <c r="CP1519" s="39"/>
      <c r="CQ1519" s="32"/>
      <c r="CR1519" s="40"/>
      <c r="CS1519" s="40"/>
      <c r="CT1519" s="33"/>
      <c r="CU1519" s="33"/>
      <c r="CV1519" s="33"/>
      <c r="CW1519" s="33"/>
      <c r="CX1519" s="33"/>
      <c r="CY1519" s="33"/>
      <c r="CZ1519" s="33"/>
    </row>
    <row r="1520" spans="14:104" x14ac:dyDescent="0.25">
      <c r="N1520" s="38"/>
      <c r="AD1520" s="33"/>
      <c r="AH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  <c r="BA1520" s="33"/>
      <c r="BB1520" s="33"/>
      <c r="BC1520" s="114"/>
      <c r="BD1520" s="33"/>
      <c r="BE1520" s="33"/>
      <c r="BF1520" s="33"/>
      <c r="CI1520" s="35"/>
      <c r="CP1520" s="39"/>
      <c r="CQ1520" s="32"/>
      <c r="CR1520" s="40"/>
      <c r="CS1520" s="40"/>
      <c r="CT1520" s="33"/>
      <c r="CU1520" s="33"/>
      <c r="CV1520" s="33"/>
      <c r="CW1520" s="33"/>
      <c r="CX1520" s="33"/>
      <c r="CY1520" s="33"/>
      <c r="CZ1520" s="33"/>
    </row>
    <row r="1521" spans="14:104" x14ac:dyDescent="0.25">
      <c r="N1521" s="38"/>
      <c r="AD1521" s="33"/>
      <c r="AH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  <c r="BA1521" s="33"/>
      <c r="BB1521" s="33"/>
      <c r="BC1521" s="114"/>
      <c r="BD1521" s="33"/>
      <c r="BE1521" s="33"/>
      <c r="BF1521" s="33"/>
      <c r="CI1521" s="35"/>
      <c r="CP1521" s="39"/>
      <c r="CQ1521" s="32"/>
      <c r="CR1521" s="40"/>
      <c r="CS1521" s="40"/>
      <c r="CT1521" s="33"/>
      <c r="CU1521" s="33"/>
      <c r="CV1521" s="33"/>
      <c r="CW1521" s="33"/>
      <c r="CX1521" s="33"/>
      <c r="CY1521" s="33"/>
      <c r="CZ1521" s="33"/>
    </row>
    <row r="1522" spans="14:104" x14ac:dyDescent="0.25">
      <c r="N1522" s="38"/>
      <c r="AD1522" s="33"/>
      <c r="AH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  <c r="BA1522" s="33"/>
      <c r="BB1522" s="33"/>
      <c r="BC1522" s="114"/>
      <c r="BD1522" s="33"/>
      <c r="BE1522" s="33"/>
      <c r="BF1522" s="33"/>
      <c r="CI1522" s="35"/>
      <c r="CP1522" s="39"/>
      <c r="CQ1522" s="32"/>
      <c r="CR1522" s="40"/>
      <c r="CS1522" s="40"/>
      <c r="CT1522" s="33"/>
      <c r="CU1522" s="33"/>
      <c r="CV1522" s="33"/>
      <c r="CW1522" s="33"/>
      <c r="CX1522" s="33"/>
      <c r="CY1522" s="33"/>
      <c r="CZ1522" s="33"/>
    </row>
    <row r="1523" spans="14:104" x14ac:dyDescent="0.25">
      <c r="N1523" s="38"/>
      <c r="AD1523" s="33"/>
      <c r="AH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  <c r="BA1523" s="33"/>
      <c r="BB1523" s="33"/>
      <c r="BC1523" s="114"/>
      <c r="BD1523" s="33"/>
      <c r="BE1523" s="33"/>
      <c r="BF1523" s="33"/>
      <c r="CI1523" s="35"/>
      <c r="CP1523" s="39"/>
      <c r="CQ1523" s="32"/>
      <c r="CR1523" s="40"/>
      <c r="CS1523" s="40"/>
      <c r="CT1523" s="33"/>
      <c r="CU1523" s="33"/>
      <c r="CV1523" s="33"/>
      <c r="CW1523" s="33"/>
      <c r="CX1523" s="33"/>
      <c r="CY1523" s="33"/>
      <c r="CZ1523" s="33"/>
    </row>
    <row r="1524" spans="14:104" x14ac:dyDescent="0.25">
      <c r="N1524" s="38"/>
      <c r="AD1524" s="33"/>
      <c r="AH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BA1524" s="33"/>
      <c r="BB1524" s="33"/>
      <c r="BC1524" s="114"/>
      <c r="BD1524" s="33"/>
      <c r="BE1524" s="33"/>
      <c r="BF1524" s="33"/>
      <c r="CI1524" s="35"/>
      <c r="CP1524" s="39"/>
      <c r="CQ1524" s="32"/>
      <c r="CR1524" s="40"/>
      <c r="CS1524" s="40"/>
      <c r="CT1524" s="33"/>
      <c r="CU1524" s="33"/>
      <c r="CV1524" s="33"/>
      <c r="CW1524" s="33"/>
      <c r="CX1524" s="33"/>
      <c r="CY1524" s="33"/>
      <c r="CZ1524" s="33"/>
    </row>
    <row r="1525" spans="14:104" x14ac:dyDescent="0.25">
      <c r="N1525" s="38"/>
      <c r="AD1525" s="33"/>
      <c r="AH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BA1525" s="33"/>
      <c r="BB1525" s="33"/>
      <c r="BC1525" s="114"/>
      <c r="BD1525" s="33"/>
      <c r="BE1525" s="33"/>
      <c r="BF1525" s="33"/>
      <c r="CI1525" s="35"/>
      <c r="CP1525" s="39"/>
      <c r="CQ1525" s="32"/>
      <c r="CR1525" s="40"/>
      <c r="CS1525" s="40"/>
      <c r="CT1525" s="33"/>
      <c r="CU1525" s="33"/>
      <c r="CV1525" s="33"/>
      <c r="CW1525" s="33"/>
      <c r="CX1525" s="33"/>
      <c r="CY1525" s="33"/>
      <c r="CZ1525" s="33"/>
    </row>
    <row r="1526" spans="14:104" x14ac:dyDescent="0.25">
      <c r="N1526" s="38"/>
      <c r="AD1526" s="33"/>
      <c r="AH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  <c r="BA1526" s="33"/>
      <c r="BB1526" s="33"/>
      <c r="BC1526" s="114"/>
      <c r="BD1526" s="33"/>
      <c r="BE1526" s="33"/>
      <c r="BF1526" s="33"/>
      <c r="CI1526" s="35"/>
      <c r="CP1526" s="39"/>
      <c r="CQ1526" s="32"/>
      <c r="CR1526" s="40"/>
      <c r="CS1526" s="40"/>
      <c r="CT1526" s="33"/>
      <c r="CU1526" s="33"/>
      <c r="CV1526" s="33"/>
      <c r="CW1526" s="33"/>
      <c r="CX1526" s="33"/>
      <c r="CY1526" s="33"/>
      <c r="CZ1526" s="33"/>
    </row>
    <row r="1527" spans="14:104" x14ac:dyDescent="0.25">
      <c r="N1527" s="38"/>
      <c r="AD1527" s="33"/>
      <c r="AH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33"/>
      <c r="AX1527" s="33"/>
      <c r="AY1527" s="33"/>
      <c r="BA1527" s="33"/>
      <c r="BB1527" s="33"/>
      <c r="BC1527" s="114"/>
      <c r="BD1527" s="33"/>
      <c r="BE1527" s="33"/>
      <c r="BF1527" s="33"/>
      <c r="CI1527" s="35"/>
      <c r="CP1527" s="39"/>
      <c r="CQ1527" s="32"/>
      <c r="CR1527" s="40"/>
      <c r="CS1527" s="40"/>
      <c r="CT1527" s="33"/>
      <c r="CU1527" s="33"/>
      <c r="CV1527" s="33"/>
      <c r="CW1527" s="33"/>
      <c r="CX1527" s="33"/>
      <c r="CY1527" s="33"/>
      <c r="CZ1527" s="33"/>
    </row>
    <row r="1528" spans="14:104" x14ac:dyDescent="0.25">
      <c r="N1528" s="38"/>
      <c r="AD1528" s="33"/>
      <c r="AH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33"/>
      <c r="AX1528" s="33"/>
      <c r="AY1528" s="33"/>
      <c r="BA1528" s="33"/>
      <c r="BB1528" s="33"/>
      <c r="BC1528" s="114"/>
      <c r="BD1528" s="33"/>
      <c r="BE1528" s="33"/>
      <c r="BF1528" s="33"/>
      <c r="CI1528" s="36"/>
      <c r="CP1528" s="39"/>
      <c r="CQ1528" s="32"/>
      <c r="CR1528" s="40"/>
      <c r="CS1528" s="40"/>
      <c r="CT1528" s="40"/>
      <c r="CU1528" s="40"/>
      <c r="CV1528" s="40"/>
      <c r="CW1528" s="40"/>
      <c r="CX1528" s="40"/>
      <c r="CY1528" s="40"/>
      <c r="CZ1528" s="40"/>
    </row>
    <row r="1529" spans="14:104" x14ac:dyDescent="0.25">
      <c r="N1529" s="38"/>
      <c r="AD1529" s="33"/>
      <c r="AH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BA1529" s="33"/>
      <c r="BB1529" s="33"/>
      <c r="BC1529" s="114"/>
      <c r="BD1529" s="33"/>
      <c r="BE1529" s="33"/>
      <c r="BF1529" s="33"/>
      <c r="CI1529" s="35"/>
      <c r="CP1529" s="39"/>
      <c r="CQ1529" s="32"/>
      <c r="CR1529" s="40"/>
      <c r="CS1529" s="40"/>
      <c r="CT1529" s="33"/>
      <c r="CU1529" s="33"/>
      <c r="CV1529" s="33"/>
      <c r="CW1529" s="33"/>
      <c r="CX1529" s="33"/>
      <c r="CY1529" s="33"/>
      <c r="CZ1529" s="33"/>
    </row>
    <row r="1530" spans="14:104" x14ac:dyDescent="0.25">
      <c r="N1530" s="38"/>
      <c r="AD1530" s="33"/>
      <c r="AH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BA1530" s="33"/>
      <c r="BB1530" s="33"/>
      <c r="BC1530" s="114"/>
      <c r="BD1530" s="33"/>
      <c r="BE1530" s="33"/>
      <c r="BF1530" s="33"/>
      <c r="CI1530" s="35"/>
      <c r="CP1530" s="39"/>
      <c r="CQ1530" s="32"/>
      <c r="CR1530" s="40"/>
      <c r="CS1530" s="40"/>
      <c r="CT1530" s="33"/>
      <c r="CU1530" s="33"/>
      <c r="CV1530" s="33"/>
      <c r="CW1530" s="33"/>
      <c r="CX1530" s="33"/>
      <c r="CY1530" s="33"/>
      <c r="CZ1530" s="33"/>
    </row>
    <row r="1531" spans="14:104" x14ac:dyDescent="0.25">
      <c r="N1531" s="38"/>
      <c r="AD1531" s="33"/>
      <c r="AH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BA1531" s="33"/>
      <c r="BB1531" s="33"/>
      <c r="BC1531" s="114"/>
      <c r="BD1531" s="33"/>
      <c r="BE1531" s="33"/>
      <c r="BF1531" s="33"/>
      <c r="CI1531" s="35"/>
      <c r="CP1531" s="39"/>
      <c r="CQ1531" s="32"/>
      <c r="CR1531" s="40"/>
      <c r="CS1531" s="40"/>
      <c r="CT1531" s="33"/>
      <c r="CU1531" s="33"/>
      <c r="CV1531" s="33"/>
      <c r="CW1531" s="33"/>
      <c r="CX1531" s="33"/>
      <c r="CY1531" s="33"/>
      <c r="CZ1531" s="33"/>
    </row>
    <row r="1532" spans="14:104" x14ac:dyDescent="0.25">
      <c r="N1532" s="38"/>
      <c r="AD1532" s="33"/>
      <c r="AH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BA1532" s="33"/>
      <c r="BB1532" s="33"/>
      <c r="BC1532" s="114"/>
      <c r="BD1532" s="33"/>
      <c r="BE1532" s="33"/>
      <c r="BF1532" s="33"/>
      <c r="CI1532" s="35"/>
      <c r="CP1532" s="39"/>
      <c r="CQ1532" s="32"/>
      <c r="CR1532" s="40"/>
      <c r="CS1532" s="40"/>
      <c r="CT1532" s="33"/>
      <c r="CU1532" s="33"/>
      <c r="CV1532" s="33"/>
      <c r="CW1532" s="33"/>
      <c r="CX1532" s="33"/>
      <c r="CY1532" s="33"/>
      <c r="CZ1532" s="33"/>
    </row>
    <row r="1533" spans="14:104" x14ac:dyDescent="0.25">
      <c r="N1533" s="38"/>
      <c r="AD1533" s="33"/>
      <c r="AH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33"/>
      <c r="AX1533" s="33"/>
      <c r="AY1533" s="33"/>
      <c r="BA1533" s="33"/>
      <c r="BB1533" s="33"/>
      <c r="BC1533" s="114"/>
      <c r="BD1533" s="33"/>
      <c r="BE1533" s="33"/>
      <c r="BF1533" s="33"/>
      <c r="CI1533" s="35"/>
      <c r="CP1533" s="39"/>
      <c r="CQ1533" s="32"/>
      <c r="CR1533" s="40"/>
      <c r="CS1533" s="40"/>
      <c r="CT1533" s="33"/>
      <c r="CU1533" s="33"/>
      <c r="CV1533" s="33"/>
      <c r="CW1533" s="33"/>
      <c r="CX1533" s="33"/>
      <c r="CY1533" s="33"/>
      <c r="CZ1533" s="33"/>
    </row>
    <row r="1534" spans="14:104" x14ac:dyDescent="0.25">
      <c r="N1534" s="38"/>
      <c r="AD1534" s="33"/>
      <c r="AH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BA1534" s="33"/>
      <c r="BB1534" s="33"/>
      <c r="BC1534" s="114"/>
      <c r="BD1534" s="33"/>
      <c r="BE1534" s="33"/>
      <c r="BF1534" s="33"/>
      <c r="CI1534" s="35"/>
      <c r="CP1534" s="39"/>
      <c r="CQ1534" s="32"/>
      <c r="CR1534" s="40"/>
      <c r="CS1534" s="40"/>
      <c r="CT1534" s="33"/>
      <c r="CU1534" s="33"/>
      <c r="CV1534" s="33"/>
      <c r="CW1534" s="33"/>
      <c r="CX1534" s="33"/>
      <c r="CY1534" s="33"/>
      <c r="CZ1534" s="33"/>
    </row>
    <row r="1535" spans="14:104" x14ac:dyDescent="0.25">
      <c r="N1535" s="38"/>
      <c r="AD1535" s="33"/>
      <c r="AH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BA1535" s="33"/>
      <c r="BB1535" s="33"/>
      <c r="BC1535" s="114"/>
      <c r="BD1535" s="33"/>
      <c r="BE1535" s="33"/>
      <c r="BF1535" s="33"/>
      <c r="CI1535" s="35"/>
      <c r="CP1535" s="39"/>
      <c r="CQ1535" s="32"/>
      <c r="CR1535" s="40"/>
      <c r="CS1535" s="40"/>
      <c r="CT1535" s="33"/>
      <c r="CU1535" s="33"/>
      <c r="CV1535" s="33"/>
      <c r="CW1535" s="33"/>
      <c r="CX1535" s="33"/>
      <c r="CY1535" s="33"/>
      <c r="CZ1535" s="33"/>
    </row>
    <row r="1536" spans="14:104" x14ac:dyDescent="0.25">
      <c r="N1536" s="38"/>
      <c r="AD1536" s="33"/>
      <c r="AH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BA1536" s="33"/>
      <c r="BB1536" s="33"/>
      <c r="BC1536" s="114"/>
      <c r="BD1536" s="33"/>
      <c r="BE1536" s="33"/>
      <c r="BF1536" s="33"/>
      <c r="CI1536" s="35"/>
      <c r="CP1536" s="39"/>
      <c r="CQ1536" s="32"/>
      <c r="CR1536" s="40"/>
      <c r="CS1536" s="40"/>
      <c r="CT1536" s="33"/>
      <c r="CU1536" s="33"/>
      <c r="CV1536" s="33"/>
      <c r="CW1536" s="33"/>
      <c r="CX1536" s="33"/>
      <c r="CY1536" s="33"/>
      <c r="CZ1536" s="33"/>
    </row>
    <row r="1537" spans="14:104" x14ac:dyDescent="0.25">
      <c r="N1537" s="38"/>
      <c r="AD1537" s="33"/>
      <c r="AH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BA1537" s="33"/>
      <c r="BB1537" s="33"/>
      <c r="BC1537" s="114"/>
      <c r="BD1537" s="33"/>
      <c r="BE1537" s="33"/>
      <c r="BF1537" s="33"/>
      <c r="CI1537" s="35"/>
      <c r="CP1537" s="39"/>
      <c r="CQ1537" s="32"/>
      <c r="CR1537" s="40"/>
      <c r="CS1537" s="40"/>
      <c r="CT1537" s="33"/>
      <c r="CU1537" s="33"/>
      <c r="CV1537" s="33"/>
      <c r="CW1537" s="33"/>
      <c r="CX1537" s="33"/>
      <c r="CY1537" s="33"/>
      <c r="CZ1537" s="33"/>
    </row>
    <row r="1538" spans="14:104" x14ac:dyDescent="0.25">
      <c r="N1538" s="38"/>
      <c r="AD1538" s="33"/>
      <c r="AH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BA1538" s="33"/>
      <c r="BB1538" s="33"/>
      <c r="BC1538" s="114"/>
      <c r="BD1538" s="33"/>
      <c r="BE1538" s="33"/>
      <c r="BF1538" s="33"/>
      <c r="CI1538" s="35"/>
      <c r="CP1538" s="39"/>
      <c r="CQ1538" s="32"/>
      <c r="CR1538" s="40"/>
      <c r="CS1538" s="40"/>
      <c r="CT1538" s="33"/>
      <c r="CU1538" s="33"/>
      <c r="CV1538" s="33"/>
      <c r="CW1538" s="33"/>
      <c r="CX1538" s="33"/>
      <c r="CY1538" s="33"/>
      <c r="CZ1538" s="33"/>
    </row>
    <row r="1539" spans="14:104" x14ac:dyDescent="0.25">
      <c r="N1539" s="38"/>
      <c r="AD1539" s="33"/>
      <c r="AH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BA1539" s="33"/>
      <c r="BB1539" s="33"/>
      <c r="BC1539" s="114"/>
      <c r="BD1539" s="33"/>
      <c r="BE1539" s="33"/>
      <c r="BF1539" s="33"/>
      <c r="CI1539" s="35"/>
      <c r="CP1539" s="39"/>
      <c r="CQ1539" s="32"/>
      <c r="CR1539" s="40"/>
      <c r="CS1539" s="40"/>
      <c r="CT1539" s="33"/>
      <c r="CU1539" s="33"/>
      <c r="CV1539" s="33"/>
      <c r="CW1539" s="33"/>
      <c r="CX1539" s="33"/>
      <c r="CY1539" s="33"/>
      <c r="CZ1539" s="33"/>
    </row>
    <row r="1540" spans="14:104" x14ac:dyDescent="0.25">
      <c r="N1540" s="38"/>
      <c r="AD1540" s="33"/>
      <c r="AH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BA1540" s="33"/>
      <c r="BB1540" s="33"/>
      <c r="BC1540" s="114"/>
      <c r="BD1540" s="33"/>
      <c r="BE1540" s="33"/>
      <c r="BF1540" s="33"/>
      <c r="CI1540" s="35"/>
      <c r="CP1540" s="39"/>
      <c r="CQ1540" s="32"/>
      <c r="CR1540" s="40"/>
      <c r="CS1540" s="40"/>
      <c r="CT1540" s="33"/>
      <c r="CU1540" s="33"/>
      <c r="CV1540" s="33"/>
      <c r="CW1540" s="33"/>
      <c r="CX1540" s="33"/>
      <c r="CY1540" s="33"/>
      <c r="CZ1540" s="33"/>
    </row>
    <row r="1541" spans="14:104" x14ac:dyDescent="0.25">
      <c r="N1541" s="38"/>
      <c r="AD1541" s="33"/>
      <c r="AH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BA1541" s="33"/>
      <c r="BB1541" s="33"/>
      <c r="BC1541" s="114"/>
      <c r="BD1541" s="33"/>
      <c r="BE1541" s="33"/>
      <c r="BF1541" s="33"/>
      <c r="CI1541" s="35"/>
      <c r="CP1541" s="39"/>
      <c r="CQ1541" s="32"/>
      <c r="CR1541" s="40"/>
      <c r="CS1541" s="40"/>
      <c r="CT1541" s="33"/>
      <c r="CU1541" s="33"/>
      <c r="CV1541" s="33"/>
      <c r="CW1541" s="33"/>
      <c r="CX1541" s="33"/>
      <c r="CY1541" s="33"/>
      <c r="CZ1541" s="33"/>
    </row>
    <row r="1542" spans="14:104" x14ac:dyDescent="0.25">
      <c r="N1542" s="38"/>
      <c r="AD1542" s="33"/>
      <c r="AH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BA1542" s="33"/>
      <c r="BB1542" s="33"/>
      <c r="BC1542" s="114"/>
      <c r="BD1542" s="33"/>
      <c r="BE1542" s="33"/>
      <c r="BF1542" s="33"/>
      <c r="CI1542" s="35"/>
      <c r="CP1542" s="39"/>
      <c r="CQ1542" s="32"/>
      <c r="CR1542" s="40"/>
      <c r="CS1542" s="40"/>
      <c r="CT1542" s="33"/>
      <c r="CU1542" s="33"/>
      <c r="CV1542" s="33"/>
      <c r="CW1542" s="33"/>
      <c r="CX1542" s="33"/>
      <c r="CY1542" s="33"/>
      <c r="CZ1542" s="33"/>
    </row>
    <row r="1543" spans="14:104" x14ac:dyDescent="0.25">
      <c r="N1543" s="38"/>
      <c r="AD1543" s="33"/>
      <c r="AH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BA1543" s="33"/>
      <c r="BB1543" s="33"/>
      <c r="BC1543" s="114"/>
      <c r="BD1543" s="33"/>
      <c r="BE1543" s="33"/>
      <c r="BF1543" s="33"/>
      <c r="CI1543" s="35"/>
      <c r="CP1543" s="39"/>
      <c r="CQ1543" s="32"/>
      <c r="CR1543" s="40"/>
      <c r="CS1543" s="40"/>
      <c r="CT1543" s="33"/>
      <c r="CU1543" s="33"/>
      <c r="CV1543" s="33"/>
      <c r="CW1543" s="33"/>
      <c r="CX1543" s="33"/>
      <c r="CY1543" s="33"/>
      <c r="CZ1543" s="33"/>
    </row>
    <row r="1544" spans="14:104" x14ac:dyDescent="0.25">
      <c r="N1544" s="38"/>
      <c r="AD1544" s="33"/>
      <c r="AH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BA1544" s="33"/>
      <c r="BB1544" s="33"/>
      <c r="BC1544" s="114"/>
      <c r="BD1544" s="33"/>
      <c r="BE1544" s="33"/>
      <c r="BF1544" s="33"/>
      <c r="CI1544" s="35"/>
      <c r="CP1544" s="39"/>
      <c r="CQ1544" s="32"/>
      <c r="CR1544" s="40"/>
      <c r="CS1544" s="40"/>
      <c r="CT1544" s="33"/>
      <c r="CU1544" s="33"/>
      <c r="CV1544" s="33"/>
      <c r="CW1544" s="33"/>
      <c r="CX1544" s="33"/>
      <c r="CY1544" s="33"/>
      <c r="CZ1544" s="33"/>
    </row>
    <row r="1545" spans="14:104" x14ac:dyDescent="0.25">
      <c r="N1545" s="38"/>
      <c r="AD1545" s="33"/>
      <c r="AH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BA1545" s="33"/>
      <c r="BB1545" s="33"/>
      <c r="BC1545" s="114"/>
      <c r="BD1545" s="33"/>
      <c r="BE1545" s="33"/>
      <c r="BF1545" s="33"/>
      <c r="CI1545" s="35"/>
      <c r="CP1545" s="39"/>
      <c r="CQ1545" s="32"/>
      <c r="CR1545" s="40"/>
      <c r="CS1545" s="40"/>
      <c r="CT1545" s="33"/>
      <c r="CU1545" s="33"/>
      <c r="CV1545" s="33"/>
      <c r="CW1545" s="33"/>
      <c r="CX1545" s="33"/>
      <c r="CY1545" s="33"/>
      <c r="CZ1545" s="33"/>
    </row>
    <row r="1546" spans="14:104" x14ac:dyDescent="0.25">
      <c r="N1546" s="38"/>
      <c r="AD1546" s="33"/>
      <c r="AH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BA1546" s="33"/>
      <c r="BB1546" s="33"/>
      <c r="BC1546" s="114"/>
      <c r="BD1546" s="33"/>
      <c r="BE1546" s="33"/>
      <c r="BF1546" s="33"/>
      <c r="CI1546" s="35"/>
      <c r="CP1546" s="39"/>
      <c r="CQ1546" s="32"/>
      <c r="CR1546" s="40"/>
      <c r="CS1546" s="40"/>
      <c r="CT1546" s="33"/>
      <c r="CU1546" s="33"/>
      <c r="CV1546" s="33"/>
      <c r="CW1546" s="33"/>
      <c r="CX1546" s="33"/>
      <c r="CY1546" s="33"/>
      <c r="CZ1546" s="33"/>
    </row>
    <row r="1547" spans="14:104" x14ac:dyDescent="0.25">
      <c r="N1547" s="38"/>
      <c r="AD1547" s="33"/>
      <c r="AH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BA1547" s="33"/>
      <c r="BB1547" s="33"/>
      <c r="BC1547" s="114"/>
      <c r="BD1547" s="33"/>
      <c r="BE1547" s="33"/>
      <c r="BF1547" s="33"/>
      <c r="CI1547" s="35"/>
      <c r="CP1547" s="39"/>
      <c r="CQ1547" s="32"/>
      <c r="CR1547" s="40"/>
      <c r="CS1547" s="40"/>
      <c r="CT1547" s="33"/>
      <c r="CU1547" s="33"/>
      <c r="CV1547" s="33"/>
      <c r="CW1547" s="33"/>
      <c r="CX1547" s="33"/>
      <c r="CY1547" s="33"/>
      <c r="CZ1547" s="33"/>
    </row>
    <row r="1548" spans="14:104" x14ac:dyDescent="0.25">
      <c r="N1548" s="38"/>
      <c r="AD1548" s="33"/>
      <c r="AH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BA1548" s="33"/>
      <c r="BB1548" s="33"/>
      <c r="BC1548" s="114"/>
      <c r="BD1548" s="33"/>
      <c r="BE1548" s="33"/>
      <c r="BF1548" s="33"/>
      <c r="CI1548" s="35"/>
      <c r="CP1548" s="39"/>
      <c r="CQ1548" s="32"/>
      <c r="CR1548" s="40"/>
      <c r="CS1548" s="40"/>
      <c r="CT1548" s="33"/>
      <c r="CU1548" s="33"/>
      <c r="CV1548" s="33"/>
      <c r="CW1548" s="33"/>
      <c r="CX1548" s="33"/>
      <c r="CY1548" s="33"/>
      <c r="CZ1548" s="33"/>
    </row>
    <row r="1549" spans="14:104" x14ac:dyDescent="0.25">
      <c r="N1549" s="38"/>
      <c r="AD1549" s="33"/>
      <c r="AH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BA1549" s="33"/>
      <c r="BB1549" s="33"/>
      <c r="BC1549" s="114"/>
      <c r="BD1549" s="33"/>
      <c r="BE1549" s="33"/>
      <c r="BF1549" s="33"/>
      <c r="CI1549" s="35"/>
      <c r="CP1549" s="39"/>
      <c r="CQ1549" s="32"/>
      <c r="CR1549" s="40"/>
      <c r="CS1549" s="40"/>
      <c r="CT1549" s="33"/>
      <c r="CU1549" s="33"/>
      <c r="CV1549" s="33"/>
      <c r="CW1549" s="33"/>
      <c r="CX1549" s="33"/>
      <c r="CY1549" s="33"/>
      <c r="CZ1549" s="33"/>
    </row>
    <row r="1550" spans="14:104" x14ac:dyDescent="0.25">
      <c r="N1550" s="38"/>
      <c r="AD1550" s="33"/>
      <c r="AH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BA1550" s="33"/>
      <c r="BB1550" s="33"/>
      <c r="BC1550" s="114"/>
      <c r="BD1550" s="33"/>
      <c r="BE1550" s="33"/>
      <c r="BF1550" s="33"/>
      <c r="CI1550" s="36"/>
      <c r="CP1550" s="39"/>
      <c r="CQ1550" s="32"/>
      <c r="CR1550" s="40"/>
      <c r="CS1550" s="40"/>
      <c r="CT1550" s="40"/>
      <c r="CU1550" s="40"/>
      <c r="CV1550" s="40"/>
      <c r="CW1550" s="40"/>
      <c r="CX1550" s="40"/>
      <c r="CY1550" s="40"/>
      <c r="CZ1550" s="40"/>
    </row>
    <row r="1551" spans="14:104" x14ac:dyDescent="0.25">
      <c r="N1551" s="38"/>
      <c r="AD1551" s="33"/>
      <c r="AH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  <c r="AX1551" s="33"/>
      <c r="AY1551" s="33"/>
      <c r="BA1551" s="33"/>
      <c r="BB1551" s="33"/>
      <c r="BC1551" s="114"/>
      <c r="BD1551" s="33"/>
      <c r="BE1551" s="33"/>
      <c r="BF1551" s="33"/>
      <c r="CI1551" s="35"/>
      <c r="CP1551" s="39"/>
      <c r="CQ1551" s="32"/>
      <c r="CR1551" s="40"/>
      <c r="CS1551" s="40"/>
      <c r="CT1551" s="33"/>
      <c r="CU1551" s="33"/>
      <c r="CV1551" s="33"/>
      <c r="CW1551" s="33"/>
      <c r="CX1551" s="33"/>
      <c r="CY1551" s="33"/>
      <c r="CZ1551" s="33"/>
    </row>
    <row r="1552" spans="14:104" x14ac:dyDescent="0.25">
      <c r="N1552" s="38"/>
      <c r="AD1552" s="33"/>
      <c r="AH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33"/>
      <c r="AX1552" s="33"/>
      <c r="AY1552" s="33"/>
      <c r="BA1552" s="33"/>
      <c r="BB1552" s="33"/>
      <c r="BC1552" s="114"/>
      <c r="BD1552" s="33"/>
      <c r="BE1552" s="33"/>
      <c r="BF1552" s="33"/>
      <c r="CI1552" s="35"/>
      <c r="CP1552" s="39"/>
      <c r="CQ1552" s="32"/>
      <c r="CR1552" s="40"/>
      <c r="CS1552" s="40"/>
      <c r="CT1552" s="33"/>
      <c r="CU1552" s="33"/>
      <c r="CV1552" s="33"/>
      <c r="CW1552" s="33"/>
      <c r="CX1552" s="33"/>
      <c r="CY1552" s="33"/>
      <c r="CZ1552" s="33"/>
    </row>
    <row r="1553" spans="14:104" x14ac:dyDescent="0.25">
      <c r="N1553" s="38"/>
      <c r="AD1553" s="33"/>
      <c r="AH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  <c r="AX1553" s="33"/>
      <c r="AY1553" s="33"/>
      <c r="BA1553" s="33"/>
      <c r="BB1553" s="33"/>
      <c r="BC1553" s="114"/>
      <c r="BD1553" s="33"/>
      <c r="BE1553" s="33"/>
      <c r="BF1553" s="33"/>
      <c r="CI1553" s="35"/>
      <c r="CP1553" s="39"/>
      <c r="CQ1553" s="32"/>
      <c r="CR1553" s="40"/>
      <c r="CS1553" s="40"/>
      <c r="CT1553" s="33"/>
      <c r="CU1553" s="33"/>
      <c r="CV1553" s="33"/>
      <c r="CW1553" s="33"/>
      <c r="CX1553" s="33"/>
      <c r="CY1553" s="33"/>
      <c r="CZ1553" s="33"/>
    </row>
    <row r="1554" spans="14:104" x14ac:dyDescent="0.25">
      <c r="N1554" s="38"/>
      <c r="AD1554" s="33"/>
      <c r="AH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  <c r="BA1554" s="33"/>
      <c r="BB1554" s="33"/>
      <c r="BC1554" s="114"/>
      <c r="BD1554" s="33"/>
      <c r="BE1554" s="33"/>
      <c r="BF1554" s="33"/>
      <c r="CI1554" s="35"/>
      <c r="CP1554" s="39"/>
      <c r="CQ1554" s="32"/>
      <c r="CR1554" s="40"/>
      <c r="CS1554" s="40"/>
      <c r="CT1554" s="33"/>
      <c r="CU1554" s="33"/>
      <c r="CV1554" s="33"/>
      <c r="CW1554" s="33"/>
      <c r="CX1554" s="33"/>
      <c r="CY1554" s="33"/>
      <c r="CZ1554" s="33"/>
    </row>
    <row r="1555" spans="14:104" x14ac:dyDescent="0.25">
      <c r="N1555" s="38"/>
      <c r="AD1555" s="33"/>
      <c r="AH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33"/>
      <c r="AX1555" s="33"/>
      <c r="AY1555" s="33"/>
      <c r="BA1555" s="33"/>
      <c r="BB1555" s="33"/>
      <c r="BC1555" s="114"/>
      <c r="BD1555" s="33"/>
      <c r="BE1555" s="33"/>
      <c r="BF1555" s="33"/>
      <c r="CI1555" s="35"/>
      <c r="CP1555" s="39"/>
      <c r="CQ1555" s="32"/>
      <c r="CR1555" s="40"/>
      <c r="CS1555" s="40"/>
      <c r="CT1555" s="33"/>
      <c r="CU1555" s="33"/>
      <c r="CV1555" s="33"/>
      <c r="CW1555" s="33"/>
      <c r="CX1555" s="33"/>
      <c r="CY1555" s="33"/>
      <c r="CZ1555" s="33"/>
    </row>
    <row r="1556" spans="14:104" x14ac:dyDescent="0.25">
      <c r="N1556" s="38"/>
      <c r="AD1556" s="33"/>
      <c r="AH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  <c r="AX1556" s="33"/>
      <c r="AY1556" s="33"/>
      <c r="BA1556" s="33"/>
      <c r="BB1556" s="33"/>
      <c r="BC1556" s="114"/>
      <c r="BD1556" s="33"/>
      <c r="BE1556" s="33"/>
      <c r="BF1556" s="33"/>
      <c r="CI1556" s="35"/>
      <c r="CP1556" s="39"/>
      <c r="CQ1556" s="32"/>
      <c r="CR1556" s="40"/>
      <c r="CS1556" s="40"/>
      <c r="CT1556" s="33"/>
      <c r="CU1556" s="33"/>
      <c r="CV1556" s="33"/>
      <c r="CW1556" s="33"/>
      <c r="CX1556" s="33"/>
      <c r="CY1556" s="33"/>
      <c r="CZ1556" s="33"/>
    </row>
    <row r="1557" spans="14:104" x14ac:dyDescent="0.25">
      <c r="N1557" s="38"/>
      <c r="AD1557" s="33"/>
      <c r="AH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33"/>
      <c r="AX1557" s="33"/>
      <c r="AY1557" s="33"/>
      <c r="BA1557" s="33"/>
      <c r="BB1557" s="33"/>
      <c r="BC1557" s="114"/>
      <c r="BD1557" s="33"/>
      <c r="BE1557" s="33"/>
      <c r="BF1557" s="33"/>
      <c r="CI1557" s="35"/>
      <c r="CP1557" s="39"/>
      <c r="CQ1557" s="32"/>
      <c r="CR1557" s="40"/>
      <c r="CS1557" s="40"/>
      <c r="CT1557" s="33"/>
      <c r="CU1557" s="33"/>
      <c r="CV1557" s="33"/>
      <c r="CW1557" s="33"/>
      <c r="CX1557" s="33"/>
      <c r="CY1557" s="33"/>
      <c r="CZ1557" s="33"/>
    </row>
    <row r="1558" spans="14:104" x14ac:dyDescent="0.25">
      <c r="N1558" s="38"/>
      <c r="AD1558" s="33"/>
      <c r="AH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BA1558" s="33"/>
      <c r="BB1558" s="33"/>
      <c r="BC1558" s="114"/>
      <c r="BD1558" s="33"/>
      <c r="BE1558" s="33"/>
      <c r="BF1558" s="33"/>
      <c r="CI1558" s="35"/>
      <c r="CP1558" s="39"/>
      <c r="CQ1558" s="32"/>
      <c r="CR1558" s="40"/>
      <c r="CS1558" s="40"/>
      <c r="CT1558" s="33"/>
      <c r="CU1558" s="33"/>
      <c r="CV1558" s="33"/>
      <c r="CW1558" s="33"/>
      <c r="CX1558" s="33"/>
      <c r="CY1558" s="33"/>
      <c r="CZ1558" s="33"/>
    </row>
    <row r="1559" spans="14:104" x14ac:dyDescent="0.25">
      <c r="N1559" s="38"/>
      <c r="AD1559" s="33"/>
      <c r="AH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  <c r="AX1559" s="33"/>
      <c r="AY1559" s="33"/>
      <c r="BA1559" s="33"/>
      <c r="BB1559" s="33"/>
      <c r="BC1559" s="114"/>
      <c r="BD1559" s="33"/>
      <c r="BE1559" s="33"/>
      <c r="BF1559" s="33"/>
      <c r="CI1559" s="35"/>
      <c r="CP1559" s="39"/>
      <c r="CQ1559" s="32"/>
      <c r="CR1559" s="40"/>
      <c r="CS1559" s="40"/>
      <c r="CT1559" s="33"/>
      <c r="CU1559" s="33"/>
      <c r="CV1559" s="33"/>
      <c r="CW1559" s="33"/>
      <c r="CX1559" s="33"/>
      <c r="CY1559" s="33"/>
      <c r="CZ1559" s="33"/>
    </row>
    <row r="1560" spans="14:104" x14ac:dyDescent="0.25">
      <c r="N1560" s="38"/>
      <c r="AD1560" s="33"/>
      <c r="AH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33"/>
      <c r="AX1560" s="33"/>
      <c r="AY1560" s="33"/>
      <c r="BA1560" s="33"/>
      <c r="BB1560" s="33"/>
      <c r="BC1560" s="114"/>
      <c r="BD1560" s="33"/>
      <c r="BE1560" s="33"/>
      <c r="BF1560" s="33"/>
      <c r="CI1560" s="35"/>
      <c r="CP1560" s="39"/>
      <c r="CQ1560" s="32"/>
      <c r="CR1560" s="40"/>
      <c r="CS1560" s="40"/>
      <c r="CT1560" s="33"/>
      <c r="CU1560" s="33"/>
      <c r="CV1560" s="33"/>
      <c r="CW1560" s="33"/>
      <c r="CX1560" s="33"/>
      <c r="CY1560" s="33"/>
      <c r="CZ1560" s="33"/>
    </row>
    <row r="1561" spans="14:104" x14ac:dyDescent="0.25">
      <c r="N1561" s="38"/>
      <c r="AD1561" s="33"/>
      <c r="AH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33"/>
      <c r="AX1561" s="33"/>
      <c r="AY1561" s="33"/>
      <c r="BA1561" s="33"/>
      <c r="BB1561" s="33"/>
      <c r="BC1561" s="114"/>
      <c r="BD1561" s="33"/>
      <c r="BE1561" s="33"/>
      <c r="BF1561" s="33"/>
      <c r="CI1561" s="35"/>
      <c r="CP1561" s="39"/>
      <c r="CQ1561" s="32"/>
      <c r="CR1561" s="40"/>
      <c r="CS1561" s="40"/>
      <c r="CT1561" s="33"/>
      <c r="CU1561" s="33"/>
      <c r="CV1561" s="33"/>
      <c r="CW1561" s="33"/>
      <c r="CX1561" s="33"/>
      <c r="CY1561" s="33"/>
      <c r="CZ1561" s="33"/>
    </row>
    <row r="1562" spans="14:104" x14ac:dyDescent="0.25">
      <c r="N1562" s="38"/>
      <c r="AD1562" s="33"/>
      <c r="AH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  <c r="AX1562" s="33"/>
      <c r="AY1562" s="33"/>
      <c r="BA1562" s="33"/>
      <c r="BB1562" s="33"/>
      <c r="BC1562" s="114"/>
      <c r="BD1562" s="33"/>
      <c r="BE1562" s="33"/>
      <c r="BF1562" s="33"/>
      <c r="CI1562" s="35"/>
      <c r="CP1562" s="39"/>
      <c r="CQ1562" s="32"/>
      <c r="CR1562" s="40"/>
      <c r="CS1562" s="40"/>
      <c r="CT1562" s="33"/>
      <c r="CU1562" s="33"/>
      <c r="CV1562" s="33"/>
      <c r="CW1562" s="33"/>
      <c r="CX1562" s="33"/>
      <c r="CY1562" s="33"/>
      <c r="CZ1562" s="33"/>
    </row>
    <row r="1563" spans="14:104" x14ac:dyDescent="0.25">
      <c r="N1563" s="38"/>
      <c r="AD1563" s="33"/>
      <c r="AH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  <c r="BA1563" s="33"/>
      <c r="BB1563" s="33"/>
      <c r="BC1563" s="114"/>
      <c r="BD1563" s="33"/>
      <c r="BE1563" s="33"/>
      <c r="BF1563" s="33"/>
      <c r="CI1563" s="35"/>
      <c r="CP1563" s="39"/>
      <c r="CQ1563" s="32"/>
      <c r="CR1563" s="40"/>
      <c r="CS1563" s="40"/>
      <c r="CT1563" s="33"/>
      <c r="CU1563" s="33"/>
      <c r="CV1563" s="33"/>
      <c r="CW1563" s="33"/>
      <c r="CX1563" s="33"/>
      <c r="CY1563" s="33"/>
      <c r="CZ1563" s="33"/>
    </row>
    <row r="1564" spans="14:104" x14ac:dyDescent="0.25">
      <c r="N1564" s="38"/>
      <c r="AD1564" s="33"/>
      <c r="AH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33"/>
      <c r="AX1564" s="33"/>
      <c r="AY1564" s="33"/>
      <c r="BA1564" s="33"/>
      <c r="BB1564" s="33"/>
      <c r="BC1564" s="114"/>
      <c r="BD1564" s="33"/>
      <c r="BE1564" s="33"/>
      <c r="BF1564" s="33"/>
      <c r="CI1564" s="35"/>
      <c r="CP1564" s="39"/>
      <c r="CQ1564" s="32"/>
      <c r="CR1564" s="40"/>
      <c r="CS1564" s="40"/>
      <c r="CT1564" s="33"/>
      <c r="CU1564" s="33"/>
      <c r="CV1564" s="33"/>
      <c r="CW1564" s="33"/>
      <c r="CX1564" s="33"/>
      <c r="CY1564" s="33"/>
      <c r="CZ1564" s="33"/>
    </row>
    <row r="1565" spans="14:104" x14ac:dyDescent="0.25">
      <c r="N1565" s="38"/>
      <c r="AD1565" s="33"/>
      <c r="AH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33"/>
      <c r="AX1565" s="33"/>
      <c r="AY1565" s="33"/>
      <c r="BA1565" s="33"/>
      <c r="BB1565" s="33"/>
      <c r="BC1565" s="114"/>
      <c r="BD1565" s="33"/>
      <c r="BE1565" s="33"/>
      <c r="BF1565" s="33"/>
      <c r="CI1565" s="35"/>
      <c r="CP1565" s="39"/>
      <c r="CQ1565" s="32"/>
      <c r="CR1565" s="40"/>
      <c r="CS1565" s="40"/>
      <c r="CT1565" s="33"/>
      <c r="CU1565" s="33"/>
      <c r="CV1565" s="33"/>
      <c r="CW1565" s="33"/>
      <c r="CX1565" s="33"/>
      <c r="CY1565" s="33"/>
      <c r="CZ1565" s="33"/>
    </row>
    <row r="1566" spans="14:104" x14ac:dyDescent="0.25">
      <c r="N1566" s="38"/>
      <c r="AD1566" s="33"/>
      <c r="AH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  <c r="AX1566" s="33"/>
      <c r="AY1566" s="33"/>
      <c r="BA1566" s="33"/>
      <c r="BB1566" s="33"/>
      <c r="BC1566" s="114"/>
      <c r="BD1566" s="33"/>
      <c r="BE1566" s="33"/>
      <c r="BF1566" s="33"/>
      <c r="CI1566" s="35"/>
      <c r="CP1566" s="39"/>
      <c r="CQ1566" s="32"/>
      <c r="CR1566" s="40"/>
      <c r="CS1566" s="40"/>
      <c r="CT1566" s="33"/>
      <c r="CU1566" s="33"/>
      <c r="CV1566" s="33"/>
      <c r="CW1566" s="33"/>
      <c r="CX1566" s="33"/>
      <c r="CY1566" s="33"/>
      <c r="CZ1566" s="33"/>
    </row>
    <row r="1567" spans="14:104" x14ac:dyDescent="0.25">
      <c r="N1567" s="38"/>
      <c r="AD1567" s="33"/>
      <c r="AH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  <c r="AX1567" s="33"/>
      <c r="AY1567" s="33"/>
      <c r="BA1567" s="33"/>
      <c r="BB1567" s="33"/>
      <c r="BC1567" s="114"/>
      <c r="BD1567" s="33"/>
      <c r="BE1567" s="33"/>
      <c r="BF1567" s="33"/>
      <c r="CI1567" s="35"/>
      <c r="CP1567" s="39"/>
      <c r="CQ1567" s="32"/>
      <c r="CR1567" s="40"/>
      <c r="CS1567" s="40"/>
      <c r="CT1567" s="33"/>
      <c r="CU1567" s="33"/>
      <c r="CV1567" s="33"/>
      <c r="CW1567" s="33"/>
      <c r="CX1567" s="33"/>
      <c r="CY1567" s="33"/>
      <c r="CZ1567" s="33"/>
    </row>
    <row r="1568" spans="14:104" x14ac:dyDescent="0.25">
      <c r="N1568" s="38"/>
      <c r="AD1568" s="33"/>
      <c r="AH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  <c r="AX1568" s="33"/>
      <c r="AY1568" s="33"/>
      <c r="BA1568" s="33"/>
      <c r="BB1568" s="33"/>
      <c r="BC1568" s="114"/>
      <c r="BD1568" s="33"/>
      <c r="BE1568" s="33"/>
      <c r="BF1568" s="33"/>
      <c r="CI1568" s="35"/>
      <c r="CP1568" s="39"/>
      <c r="CQ1568" s="32"/>
      <c r="CR1568" s="40"/>
      <c r="CS1568" s="40"/>
      <c r="CT1568" s="33"/>
      <c r="CU1568" s="33"/>
      <c r="CV1568" s="33"/>
      <c r="CW1568" s="33"/>
      <c r="CX1568" s="33"/>
      <c r="CY1568" s="33"/>
      <c r="CZ1568" s="33"/>
    </row>
    <row r="1569" spans="14:104" x14ac:dyDescent="0.25">
      <c r="N1569" s="38"/>
      <c r="AD1569" s="33"/>
      <c r="AH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  <c r="AX1569" s="33"/>
      <c r="AY1569" s="33"/>
      <c r="BA1569" s="33"/>
      <c r="BB1569" s="33"/>
      <c r="BC1569" s="114"/>
      <c r="BD1569" s="33"/>
      <c r="BE1569" s="33"/>
      <c r="BF1569" s="33"/>
      <c r="CI1569" s="35"/>
      <c r="CP1569" s="39"/>
      <c r="CQ1569" s="32"/>
      <c r="CR1569" s="40"/>
      <c r="CS1569" s="40"/>
      <c r="CT1569" s="33"/>
      <c r="CU1569" s="33"/>
      <c r="CV1569" s="33"/>
      <c r="CW1569" s="33"/>
      <c r="CX1569" s="33"/>
      <c r="CY1569" s="33"/>
      <c r="CZ1569" s="33"/>
    </row>
    <row r="1570" spans="14:104" x14ac:dyDescent="0.25">
      <c r="N1570" s="38"/>
      <c r="AD1570" s="33"/>
      <c r="AH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33"/>
      <c r="AX1570" s="33"/>
      <c r="AY1570" s="33"/>
      <c r="BA1570" s="33"/>
      <c r="BB1570" s="33"/>
      <c r="BC1570" s="114"/>
      <c r="BD1570" s="33"/>
      <c r="BE1570" s="33"/>
      <c r="BF1570" s="33"/>
      <c r="CI1570" s="35"/>
      <c r="CP1570" s="39"/>
      <c r="CQ1570" s="32"/>
      <c r="CR1570" s="40"/>
      <c r="CS1570" s="40"/>
      <c r="CT1570" s="33"/>
      <c r="CU1570" s="33"/>
      <c r="CV1570" s="33"/>
      <c r="CW1570" s="33"/>
      <c r="CX1570" s="33"/>
      <c r="CY1570" s="33"/>
      <c r="CZ1570" s="33"/>
    </row>
    <row r="1571" spans="14:104" x14ac:dyDescent="0.25">
      <c r="N1571" s="38"/>
      <c r="AD1571" s="33"/>
      <c r="AH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  <c r="AX1571" s="33"/>
      <c r="AY1571" s="33"/>
      <c r="BA1571" s="33"/>
      <c r="BB1571" s="33"/>
      <c r="BC1571" s="114"/>
      <c r="BD1571" s="33"/>
      <c r="BE1571" s="33"/>
      <c r="BF1571" s="33"/>
      <c r="CI1571" s="35"/>
      <c r="CP1571" s="39"/>
      <c r="CQ1571" s="32"/>
      <c r="CR1571" s="40"/>
      <c r="CS1571" s="40"/>
      <c r="CT1571" s="33"/>
      <c r="CU1571" s="33"/>
      <c r="CV1571" s="33"/>
      <c r="CW1571" s="33"/>
      <c r="CX1571" s="33"/>
      <c r="CY1571" s="33"/>
      <c r="CZ1571" s="33"/>
    </row>
    <row r="1572" spans="14:104" x14ac:dyDescent="0.25">
      <c r="N1572" s="38"/>
      <c r="AD1572" s="33"/>
      <c r="AH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  <c r="BA1572" s="33"/>
      <c r="BB1572" s="33"/>
      <c r="BC1572" s="114"/>
      <c r="BD1572" s="33"/>
      <c r="BE1572" s="33"/>
      <c r="BF1572" s="33"/>
      <c r="CI1572" s="36"/>
      <c r="CP1572" s="39"/>
      <c r="CQ1572" s="32"/>
      <c r="CR1572" s="40"/>
      <c r="CS1572" s="40"/>
      <c r="CT1572" s="40"/>
      <c r="CU1572" s="40"/>
      <c r="CV1572" s="40"/>
      <c r="CW1572" s="40"/>
      <c r="CX1572" s="40"/>
      <c r="CY1572" s="40"/>
      <c r="CZ1572" s="40"/>
    </row>
    <row r="1573" spans="14:104" x14ac:dyDescent="0.25">
      <c r="N1573" s="38"/>
      <c r="AD1573" s="33"/>
      <c r="AH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  <c r="AX1573" s="33"/>
      <c r="AY1573" s="33"/>
      <c r="BA1573" s="33"/>
      <c r="BB1573" s="33"/>
      <c r="BC1573" s="114"/>
      <c r="BD1573" s="33"/>
      <c r="BE1573" s="33"/>
      <c r="BF1573" s="33"/>
      <c r="CI1573" s="35"/>
      <c r="CP1573" s="39"/>
      <c r="CQ1573" s="32"/>
      <c r="CR1573" s="40"/>
      <c r="CS1573" s="40"/>
      <c r="CT1573" s="33"/>
      <c r="CU1573" s="33"/>
      <c r="CV1573" s="33"/>
      <c r="CW1573" s="33"/>
      <c r="CX1573" s="33"/>
      <c r="CY1573" s="33"/>
      <c r="CZ1573" s="33"/>
    </row>
    <row r="1574" spans="14:104" x14ac:dyDescent="0.25">
      <c r="N1574" s="38"/>
      <c r="AD1574" s="33"/>
      <c r="AH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  <c r="AX1574" s="33"/>
      <c r="AY1574" s="33"/>
      <c r="BA1574" s="33"/>
      <c r="BB1574" s="33"/>
      <c r="BC1574" s="114"/>
      <c r="BD1574" s="33"/>
      <c r="BE1574" s="33"/>
      <c r="BF1574" s="33"/>
      <c r="CI1574" s="35"/>
      <c r="CP1574" s="39"/>
      <c r="CQ1574" s="32"/>
      <c r="CR1574" s="40"/>
      <c r="CS1574" s="40"/>
      <c r="CT1574" s="33"/>
      <c r="CU1574" s="33"/>
      <c r="CV1574" s="33"/>
      <c r="CW1574" s="33"/>
      <c r="CX1574" s="33"/>
      <c r="CY1574" s="33"/>
      <c r="CZ1574" s="33"/>
    </row>
    <row r="1575" spans="14:104" x14ac:dyDescent="0.25">
      <c r="N1575" s="38"/>
      <c r="AD1575" s="33"/>
      <c r="AH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  <c r="AX1575" s="33"/>
      <c r="AY1575" s="33"/>
      <c r="BA1575" s="33"/>
      <c r="BB1575" s="33"/>
      <c r="BC1575" s="114"/>
      <c r="BD1575" s="33"/>
      <c r="BE1575" s="33"/>
      <c r="BF1575" s="33"/>
      <c r="CI1575" s="35"/>
      <c r="CP1575" s="39"/>
      <c r="CQ1575" s="32"/>
      <c r="CR1575" s="40"/>
      <c r="CS1575" s="40"/>
      <c r="CT1575" s="33"/>
      <c r="CU1575" s="33"/>
      <c r="CV1575" s="33"/>
      <c r="CW1575" s="33"/>
      <c r="CX1575" s="33"/>
      <c r="CY1575" s="33"/>
      <c r="CZ1575" s="33"/>
    </row>
    <row r="1576" spans="14:104" x14ac:dyDescent="0.25">
      <c r="N1576" s="38"/>
      <c r="AD1576" s="33"/>
      <c r="AH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  <c r="BA1576" s="33"/>
      <c r="BB1576" s="33"/>
      <c r="BC1576" s="114"/>
      <c r="BD1576" s="33"/>
      <c r="BE1576" s="33"/>
      <c r="BF1576" s="33"/>
      <c r="CI1576" s="35"/>
      <c r="CP1576" s="39"/>
      <c r="CQ1576" s="32"/>
      <c r="CR1576" s="40"/>
      <c r="CS1576" s="40"/>
      <c r="CT1576" s="33"/>
      <c r="CU1576" s="33"/>
      <c r="CV1576" s="33"/>
      <c r="CW1576" s="33"/>
      <c r="CX1576" s="33"/>
      <c r="CY1576" s="33"/>
      <c r="CZ1576" s="33"/>
    </row>
    <row r="1577" spans="14:104" x14ac:dyDescent="0.25">
      <c r="N1577" s="38"/>
      <c r="AD1577" s="33"/>
      <c r="AH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33"/>
      <c r="AX1577" s="33"/>
      <c r="AY1577" s="33"/>
      <c r="BA1577" s="33"/>
      <c r="BB1577" s="33"/>
      <c r="BC1577" s="114"/>
      <c r="BD1577" s="33"/>
      <c r="BE1577" s="33"/>
      <c r="BF1577" s="33"/>
      <c r="CI1577" s="35"/>
      <c r="CP1577" s="39"/>
      <c r="CQ1577" s="32"/>
      <c r="CR1577" s="40"/>
      <c r="CS1577" s="40"/>
      <c r="CT1577" s="33"/>
      <c r="CU1577" s="33"/>
      <c r="CV1577" s="33"/>
      <c r="CW1577" s="33"/>
      <c r="CX1577" s="33"/>
      <c r="CY1577" s="33"/>
      <c r="CZ1577" s="33"/>
    </row>
    <row r="1578" spans="14:104" x14ac:dyDescent="0.25">
      <c r="N1578" s="38"/>
      <c r="AD1578" s="33"/>
      <c r="AH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33"/>
      <c r="AX1578" s="33"/>
      <c r="AY1578" s="33"/>
      <c r="BA1578" s="33"/>
      <c r="BB1578" s="33"/>
      <c r="BC1578" s="114"/>
      <c r="BD1578" s="33"/>
      <c r="BE1578" s="33"/>
      <c r="BF1578" s="33"/>
      <c r="CI1578" s="35"/>
      <c r="CP1578" s="39"/>
      <c r="CQ1578" s="32"/>
      <c r="CR1578" s="40"/>
      <c r="CS1578" s="40"/>
      <c r="CT1578" s="33"/>
      <c r="CU1578" s="33"/>
      <c r="CV1578" s="33"/>
      <c r="CW1578" s="33"/>
      <c r="CX1578" s="33"/>
      <c r="CY1578" s="33"/>
      <c r="CZ1578" s="33"/>
    </row>
    <row r="1579" spans="14:104" x14ac:dyDescent="0.25">
      <c r="N1579" s="38"/>
      <c r="AD1579" s="33"/>
      <c r="AH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33"/>
      <c r="AX1579" s="33"/>
      <c r="AY1579" s="33"/>
      <c r="BA1579" s="33"/>
      <c r="BB1579" s="33"/>
      <c r="BC1579" s="114"/>
      <c r="BD1579" s="33"/>
      <c r="BE1579" s="33"/>
      <c r="BF1579" s="33"/>
      <c r="CI1579" s="35"/>
      <c r="CP1579" s="39"/>
      <c r="CQ1579" s="32"/>
      <c r="CR1579" s="40"/>
      <c r="CS1579" s="40"/>
      <c r="CT1579" s="33"/>
      <c r="CU1579" s="33"/>
      <c r="CV1579" s="33"/>
      <c r="CW1579" s="33"/>
      <c r="CX1579" s="33"/>
      <c r="CY1579" s="33"/>
      <c r="CZ1579" s="33"/>
    </row>
    <row r="1580" spans="14:104" x14ac:dyDescent="0.25">
      <c r="N1580" s="38"/>
      <c r="AD1580" s="33"/>
      <c r="AH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  <c r="BA1580" s="33"/>
      <c r="BB1580" s="33"/>
      <c r="BC1580" s="114"/>
      <c r="BD1580" s="33"/>
      <c r="BE1580" s="33"/>
      <c r="BF1580" s="33"/>
      <c r="CI1580" s="35"/>
      <c r="CP1580" s="39"/>
      <c r="CQ1580" s="32"/>
      <c r="CR1580" s="40"/>
      <c r="CS1580" s="40"/>
      <c r="CT1580" s="33"/>
      <c r="CU1580" s="33"/>
      <c r="CV1580" s="33"/>
      <c r="CW1580" s="33"/>
      <c r="CX1580" s="33"/>
      <c r="CY1580" s="33"/>
      <c r="CZ1580" s="33"/>
    </row>
    <row r="1581" spans="14:104" x14ac:dyDescent="0.25">
      <c r="N1581" s="38"/>
      <c r="AD1581" s="33"/>
      <c r="AH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V1581" s="33"/>
      <c r="AW1581" s="33"/>
      <c r="AX1581" s="33"/>
      <c r="AY1581" s="33"/>
      <c r="BA1581" s="33"/>
      <c r="BB1581" s="33"/>
      <c r="BC1581" s="114"/>
      <c r="BD1581" s="33"/>
      <c r="BE1581" s="33"/>
      <c r="BF1581" s="33"/>
      <c r="CI1581" s="35"/>
      <c r="CP1581" s="39"/>
      <c r="CQ1581" s="32"/>
      <c r="CR1581" s="40"/>
      <c r="CS1581" s="40"/>
      <c r="CT1581" s="33"/>
      <c r="CU1581" s="33"/>
      <c r="CV1581" s="33"/>
      <c r="CW1581" s="33"/>
      <c r="CX1581" s="33"/>
      <c r="CY1581" s="33"/>
      <c r="CZ1581" s="33"/>
    </row>
    <row r="1582" spans="14:104" x14ac:dyDescent="0.25">
      <c r="N1582" s="38"/>
      <c r="AD1582" s="33"/>
      <c r="AH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  <c r="AX1582" s="33"/>
      <c r="AY1582" s="33"/>
      <c r="BA1582" s="33"/>
      <c r="BB1582" s="33"/>
      <c r="BC1582" s="114"/>
      <c r="BD1582" s="33"/>
      <c r="BE1582" s="33"/>
      <c r="BF1582" s="33"/>
      <c r="CI1582" s="35"/>
      <c r="CP1582" s="39"/>
      <c r="CQ1582" s="32"/>
      <c r="CR1582" s="40"/>
      <c r="CS1582" s="40"/>
      <c r="CT1582" s="33"/>
      <c r="CU1582" s="33"/>
      <c r="CV1582" s="33"/>
      <c r="CW1582" s="33"/>
      <c r="CX1582" s="33"/>
      <c r="CY1582" s="33"/>
      <c r="CZ1582" s="33"/>
    </row>
    <row r="1583" spans="14:104" x14ac:dyDescent="0.25">
      <c r="N1583" s="38"/>
      <c r="AD1583" s="33"/>
      <c r="AH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33"/>
      <c r="AX1583" s="33"/>
      <c r="AY1583" s="33"/>
      <c r="BA1583" s="33"/>
      <c r="BB1583" s="33"/>
      <c r="BC1583" s="114"/>
      <c r="BD1583" s="33"/>
      <c r="BE1583" s="33"/>
      <c r="BF1583" s="33"/>
      <c r="CI1583" s="35"/>
      <c r="CP1583" s="39"/>
      <c r="CQ1583" s="32"/>
      <c r="CR1583" s="40"/>
      <c r="CS1583" s="40"/>
      <c r="CT1583" s="33"/>
      <c r="CU1583" s="33"/>
      <c r="CV1583" s="33"/>
      <c r="CW1583" s="33"/>
      <c r="CX1583" s="33"/>
      <c r="CY1583" s="33"/>
      <c r="CZ1583" s="33"/>
    </row>
    <row r="1584" spans="14:104" x14ac:dyDescent="0.25">
      <c r="N1584" s="38"/>
      <c r="AD1584" s="33"/>
      <c r="AH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BA1584" s="33"/>
      <c r="BB1584" s="33"/>
      <c r="BC1584" s="114"/>
      <c r="BD1584" s="33"/>
      <c r="BE1584" s="33"/>
      <c r="BF1584" s="33"/>
      <c r="CI1584" s="35"/>
      <c r="CP1584" s="39"/>
      <c r="CQ1584" s="32"/>
      <c r="CR1584" s="40"/>
      <c r="CS1584" s="40"/>
      <c r="CT1584" s="33"/>
      <c r="CU1584" s="33"/>
      <c r="CV1584" s="33"/>
      <c r="CW1584" s="33"/>
      <c r="CX1584" s="33"/>
      <c r="CY1584" s="33"/>
      <c r="CZ1584" s="33"/>
    </row>
    <row r="1585" spans="14:104" x14ac:dyDescent="0.25">
      <c r="N1585" s="38"/>
      <c r="AD1585" s="33"/>
      <c r="AH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BA1585" s="33"/>
      <c r="BB1585" s="33"/>
      <c r="BC1585" s="114"/>
      <c r="BD1585" s="33"/>
      <c r="BE1585" s="33"/>
      <c r="BF1585" s="33"/>
      <c r="CI1585" s="35"/>
      <c r="CP1585" s="39"/>
      <c r="CQ1585" s="32"/>
      <c r="CR1585" s="40"/>
      <c r="CS1585" s="40"/>
      <c r="CT1585" s="33"/>
      <c r="CU1585" s="33"/>
      <c r="CV1585" s="33"/>
      <c r="CW1585" s="33"/>
      <c r="CX1585" s="33"/>
      <c r="CY1585" s="33"/>
      <c r="CZ1585" s="33"/>
    </row>
    <row r="1586" spans="14:104" x14ac:dyDescent="0.25">
      <c r="N1586" s="38"/>
      <c r="AD1586" s="33"/>
      <c r="AH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BA1586" s="33"/>
      <c r="BB1586" s="33"/>
      <c r="BC1586" s="114"/>
      <c r="BD1586" s="33"/>
      <c r="BE1586" s="33"/>
      <c r="BF1586" s="33"/>
      <c r="CI1586" s="35"/>
      <c r="CP1586" s="39"/>
      <c r="CQ1586" s="32"/>
      <c r="CR1586" s="40"/>
      <c r="CS1586" s="40"/>
      <c r="CT1586" s="33"/>
      <c r="CU1586" s="33"/>
      <c r="CV1586" s="33"/>
      <c r="CW1586" s="33"/>
      <c r="CX1586" s="33"/>
      <c r="CY1586" s="33"/>
      <c r="CZ1586" s="33"/>
    </row>
    <row r="1587" spans="14:104" x14ac:dyDescent="0.25">
      <c r="N1587" s="38"/>
      <c r="AD1587" s="33"/>
      <c r="AH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BA1587" s="33"/>
      <c r="BB1587" s="33"/>
      <c r="BC1587" s="114"/>
      <c r="BD1587" s="33"/>
      <c r="BE1587" s="33"/>
      <c r="BF1587" s="33"/>
      <c r="CI1587" s="35"/>
      <c r="CP1587" s="39"/>
      <c r="CQ1587" s="32"/>
      <c r="CR1587" s="40"/>
      <c r="CS1587" s="40"/>
      <c r="CT1587" s="33"/>
      <c r="CU1587" s="33"/>
      <c r="CV1587" s="33"/>
      <c r="CW1587" s="33"/>
      <c r="CX1587" s="33"/>
      <c r="CY1587" s="33"/>
      <c r="CZ1587" s="33"/>
    </row>
    <row r="1588" spans="14:104" x14ac:dyDescent="0.25">
      <c r="N1588" s="38"/>
      <c r="AD1588" s="33"/>
      <c r="AH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33"/>
      <c r="AX1588" s="33"/>
      <c r="AY1588" s="33"/>
      <c r="BA1588" s="33"/>
      <c r="BB1588" s="33"/>
      <c r="BC1588" s="114"/>
      <c r="BD1588" s="33"/>
      <c r="BE1588" s="33"/>
      <c r="BF1588" s="33"/>
      <c r="CI1588" s="35"/>
      <c r="CP1588" s="39"/>
      <c r="CQ1588" s="32"/>
      <c r="CR1588" s="40"/>
      <c r="CS1588" s="40"/>
      <c r="CT1588" s="33"/>
      <c r="CU1588" s="33"/>
      <c r="CV1588" s="33"/>
      <c r="CW1588" s="33"/>
      <c r="CX1588" s="33"/>
      <c r="CY1588" s="33"/>
      <c r="CZ1588" s="33"/>
    </row>
    <row r="1589" spans="14:104" x14ac:dyDescent="0.25">
      <c r="N1589" s="38"/>
      <c r="AD1589" s="33"/>
      <c r="AH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BA1589" s="33"/>
      <c r="BB1589" s="33"/>
      <c r="BC1589" s="114"/>
      <c r="BD1589" s="33"/>
      <c r="BE1589" s="33"/>
      <c r="BF1589" s="33"/>
      <c r="CI1589" s="35"/>
      <c r="CP1589" s="39"/>
      <c r="CQ1589" s="32"/>
      <c r="CR1589" s="40"/>
      <c r="CS1589" s="40"/>
      <c r="CT1589" s="33"/>
      <c r="CU1589" s="33"/>
      <c r="CV1589" s="33"/>
      <c r="CW1589" s="33"/>
      <c r="CX1589" s="33"/>
      <c r="CY1589" s="33"/>
      <c r="CZ1589" s="33"/>
    </row>
    <row r="1590" spans="14:104" x14ac:dyDescent="0.25">
      <c r="N1590" s="38"/>
      <c r="AD1590" s="33"/>
      <c r="AH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BA1590" s="33"/>
      <c r="BB1590" s="33"/>
      <c r="BC1590" s="114"/>
      <c r="BD1590" s="33"/>
      <c r="BE1590" s="33"/>
      <c r="BF1590" s="33"/>
      <c r="CI1590" s="35"/>
      <c r="CP1590" s="39"/>
      <c r="CQ1590" s="32"/>
      <c r="CR1590" s="40"/>
      <c r="CS1590" s="40"/>
      <c r="CT1590" s="33"/>
      <c r="CU1590" s="33"/>
      <c r="CV1590" s="33"/>
      <c r="CW1590" s="33"/>
      <c r="CX1590" s="33"/>
      <c r="CY1590" s="33"/>
      <c r="CZ1590" s="33"/>
    </row>
    <row r="1591" spans="14:104" x14ac:dyDescent="0.25">
      <c r="N1591" s="38"/>
      <c r="AD1591" s="33"/>
      <c r="AH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  <c r="AX1591" s="33"/>
      <c r="AY1591" s="33"/>
      <c r="BA1591" s="33"/>
      <c r="BB1591" s="33"/>
      <c r="BC1591" s="114"/>
      <c r="BD1591" s="33"/>
      <c r="BE1591" s="33"/>
      <c r="BF1591" s="33"/>
      <c r="CI1591" s="35"/>
      <c r="CP1591" s="39"/>
      <c r="CQ1591" s="32"/>
      <c r="CR1591" s="40"/>
      <c r="CS1591" s="40"/>
      <c r="CT1591" s="33"/>
      <c r="CU1591" s="33"/>
      <c r="CV1591" s="33"/>
      <c r="CW1591" s="33"/>
      <c r="CX1591" s="33"/>
      <c r="CY1591" s="33"/>
      <c r="CZ1591" s="33"/>
    </row>
    <row r="1592" spans="14:104" x14ac:dyDescent="0.25">
      <c r="N1592" s="38"/>
      <c r="AD1592" s="33"/>
      <c r="AH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33"/>
      <c r="AX1592" s="33"/>
      <c r="AY1592" s="33"/>
      <c r="BA1592" s="33"/>
      <c r="BB1592" s="33"/>
      <c r="BC1592" s="114"/>
      <c r="BD1592" s="33"/>
      <c r="BE1592" s="33"/>
      <c r="BF1592" s="33"/>
      <c r="CI1592" s="35"/>
      <c r="CP1592" s="39"/>
      <c r="CQ1592" s="32"/>
      <c r="CR1592" s="40"/>
      <c r="CS1592" s="40"/>
      <c r="CT1592" s="33"/>
      <c r="CU1592" s="33"/>
      <c r="CV1592" s="33"/>
      <c r="CW1592" s="33"/>
      <c r="CX1592" s="33"/>
      <c r="CY1592" s="33"/>
      <c r="CZ1592" s="33"/>
    </row>
    <row r="1593" spans="14:104" x14ac:dyDescent="0.25">
      <c r="N1593" s="38"/>
      <c r="AD1593" s="33"/>
      <c r="AH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V1593" s="33"/>
      <c r="AW1593" s="33"/>
      <c r="AX1593" s="33"/>
      <c r="AY1593" s="33"/>
      <c r="BA1593" s="33"/>
      <c r="BB1593" s="33"/>
      <c r="BC1593" s="114"/>
      <c r="BD1593" s="33"/>
      <c r="BE1593" s="33"/>
      <c r="BF1593" s="33"/>
      <c r="CI1593" s="35"/>
      <c r="CP1593" s="39"/>
      <c r="CQ1593" s="32"/>
      <c r="CR1593" s="40"/>
      <c r="CS1593" s="40"/>
      <c r="CT1593" s="33"/>
      <c r="CU1593" s="33"/>
      <c r="CV1593" s="33"/>
      <c r="CW1593" s="33"/>
      <c r="CX1593" s="33"/>
      <c r="CY1593" s="33"/>
      <c r="CZ1593" s="33"/>
    </row>
    <row r="1594" spans="14:104" x14ac:dyDescent="0.25">
      <c r="N1594" s="38"/>
      <c r="AD1594" s="33"/>
      <c r="AH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BA1594" s="33"/>
      <c r="BB1594" s="33"/>
      <c r="BC1594" s="114"/>
      <c r="BD1594" s="33"/>
      <c r="BE1594" s="33"/>
      <c r="BF1594" s="33"/>
      <c r="CI1594" s="36"/>
      <c r="CP1594" s="39"/>
      <c r="CQ1594" s="32"/>
      <c r="CR1594" s="40"/>
      <c r="CS1594" s="40"/>
      <c r="CT1594" s="40"/>
      <c r="CU1594" s="40"/>
      <c r="CV1594" s="40"/>
      <c r="CW1594" s="40"/>
      <c r="CX1594" s="40"/>
      <c r="CY1594" s="40"/>
      <c r="CZ1594" s="40"/>
    </row>
    <row r="1595" spans="14:104" x14ac:dyDescent="0.25">
      <c r="AD1595" s="33"/>
      <c r="AH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BA1595" s="33"/>
      <c r="BB1595" s="33"/>
      <c r="BC1595" s="114"/>
      <c r="BD1595" s="33"/>
      <c r="BE1595" s="33"/>
      <c r="BF1595" s="33"/>
      <c r="CI1595" s="35"/>
      <c r="CP1595" s="39"/>
      <c r="CQ1595" s="32"/>
      <c r="CR1595" s="40"/>
      <c r="CS1595" s="40"/>
      <c r="CT1595" s="33"/>
      <c r="CU1595" s="33"/>
      <c r="CV1595" s="33"/>
      <c r="CW1595" s="33"/>
      <c r="CX1595" s="33"/>
      <c r="CY1595" s="33"/>
      <c r="CZ1595" s="33"/>
    </row>
    <row r="1596" spans="14:104" x14ac:dyDescent="0.25">
      <c r="AD1596" s="33"/>
      <c r="AH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BA1596" s="33"/>
      <c r="BB1596" s="33"/>
      <c r="BC1596" s="114"/>
      <c r="BD1596" s="33"/>
      <c r="BE1596" s="33"/>
      <c r="BF1596" s="33"/>
      <c r="CI1596" s="35"/>
      <c r="CP1596" s="39"/>
      <c r="CQ1596" s="32"/>
      <c r="CR1596" s="40"/>
      <c r="CS1596" s="40"/>
      <c r="CT1596" s="33"/>
      <c r="CU1596" s="33"/>
      <c r="CV1596" s="33"/>
      <c r="CW1596" s="33"/>
      <c r="CX1596" s="33"/>
      <c r="CY1596" s="33"/>
      <c r="CZ1596" s="33"/>
    </row>
    <row r="1597" spans="14:104" x14ac:dyDescent="0.25">
      <c r="AD1597" s="33"/>
      <c r="AH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BA1597" s="33"/>
      <c r="BB1597" s="33"/>
      <c r="BC1597" s="114"/>
      <c r="BD1597" s="33"/>
      <c r="BE1597" s="33"/>
      <c r="BF1597" s="33"/>
      <c r="CI1597" s="35"/>
      <c r="CP1597" s="39"/>
      <c r="CQ1597" s="32"/>
      <c r="CR1597" s="40"/>
      <c r="CS1597" s="40"/>
      <c r="CT1597" s="33"/>
      <c r="CU1597" s="33"/>
      <c r="CV1597" s="33"/>
      <c r="CW1597" s="33"/>
      <c r="CX1597" s="33"/>
      <c r="CY1597" s="33"/>
      <c r="CZ1597" s="33"/>
    </row>
    <row r="1598" spans="14:104" x14ac:dyDescent="0.25">
      <c r="AD1598" s="33"/>
      <c r="AH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BA1598" s="33"/>
      <c r="BB1598" s="33"/>
      <c r="BC1598" s="114"/>
      <c r="BD1598" s="33"/>
      <c r="BE1598" s="33"/>
      <c r="BF1598" s="33"/>
      <c r="CI1598" s="35"/>
      <c r="CP1598" s="39"/>
      <c r="CQ1598" s="32"/>
      <c r="CR1598" s="40"/>
      <c r="CS1598" s="40"/>
      <c r="CT1598" s="33"/>
      <c r="CU1598" s="33"/>
      <c r="CV1598" s="33"/>
      <c r="CW1598" s="33"/>
      <c r="CX1598" s="33"/>
      <c r="CY1598" s="33"/>
      <c r="CZ1598" s="33"/>
    </row>
    <row r="1599" spans="14:104" x14ac:dyDescent="0.25">
      <c r="AD1599" s="33"/>
      <c r="AH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BA1599" s="33"/>
      <c r="BB1599" s="33"/>
      <c r="BC1599" s="114"/>
      <c r="BD1599" s="33"/>
      <c r="BE1599" s="33"/>
      <c r="BF1599" s="33"/>
      <c r="CI1599" s="35"/>
      <c r="CP1599" s="39"/>
      <c r="CQ1599" s="32"/>
      <c r="CR1599" s="40"/>
      <c r="CS1599" s="40"/>
      <c r="CT1599" s="33"/>
      <c r="CU1599" s="33"/>
      <c r="CV1599" s="33"/>
      <c r="CW1599" s="33"/>
      <c r="CX1599" s="33"/>
      <c r="CY1599" s="33"/>
      <c r="CZ1599" s="33"/>
    </row>
    <row r="1600" spans="14:104" x14ac:dyDescent="0.25">
      <c r="AD1600" s="33"/>
      <c r="AH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BA1600" s="33"/>
      <c r="BB1600" s="33"/>
      <c r="BC1600" s="114"/>
      <c r="BD1600" s="33"/>
      <c r="BE1600" s="33"/>
      <c r="BF1600" s="33"/>
      <c r="CI1600" s="35"/>
      <c r="CP1600" s="39"/>
      <c r="CQ1600" s="32"/>
      <c r="CR1600" s="40"/>
      <c r="CS1600" s="40"/>
      <c r="CT1600" s="33"/>
      <c r="CU1600" s="33"/>
      <c r="CV1600" s="33"/>
      <c r="CW1600" s="33"/>
      <c r="CX1600" s="33"/>
      <c r="CY1600" s="33"/>
      <c r="CZ1600" s="33"/>
    </row>
    <row r="1601" spans="30:104" x14ac:dyDescent="0.25">
      <c r="AD1601" s="33"/>
      <c r="AH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BA1601" s="33"/>
      <c r="BB1601" s="33"/>
      <c r="BC1601" s="114"/>
      <c r="BD1601" s="33"/>
      <c r="BE1601" s="33"/>
      <c r="BF1601" s="33"/>
      <c r="CI1601" s="35"/>
      <c r="CP1601" s="39"/>
      <c r="CQ1601" s="32"/>
      <c r="CR1601" s="40"/>
      <c r="CS1601" s="40"/>
      <c r="CT1601" s="33"/>
      <c r="CU1601" s="33"/>
      <c r="CV1601" s="33"/>
      <c r="CW1601" s="33"/>
      <c r="CX1601" s="33"/>
      <c r="CY1601" s="33"/>
      <c r="CZ1601" s="33"/>
    </row>
    <row r="1602" spans="30:104" x14ac:dyDescent="0.25">
      <c r="AD1602" s="33"/>
      <c r="AH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BA1602" s="33"/>
      <c r="BB1602" s="33"/>
      <c r="BC1602" s="114"/>
      <c r="BD1602" s="33"/>
      <c r="BE1602" s="33"/>
      <c r="BF1602" s="33"/>
      <c r="CI1602" s="35"/>
      <c r="CP1602" s="39"/>
      <c r="CQ1602" s="32"/>
      <c r="CR1602" s="40"/>
      <c r="CS1602" s="40"/>
      <c r="CT1602" s="33"/>
      <c r="CU1602" s="33"/>
      <c r="CV1602" s="33"/>
      <c r="CW1602" s="33"/>
      <c r="CX1602" s="33"/>
      <c r="CY1602" s="33"/>
      <c r="CZ1602" s="33"/>
    </row>
    <row r="1603" spans="30:104" x14ac:dyDescent="0.25">
      <c r="AD1603" s="33"/>
      <c r="AH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BA1603" s="33"/>
      <c r="BB1603" s="33"/>
      <c r="BC1603" s="114"/>
      <c r="BD1603" s="33"/>
      <c r="BE1603" s="33"/>
      <c r="BF1603" s="33"/>
      <c r="CI1603" s="35"/>
      <c r="CP1603" s="39"/>
      <c r="CQ1603" s="32"/>
      <c r="CR1603" s="40"/>
      <c r="CS1603" s="40"/>
      <c r="CT1603" s="33"/>
      <c r="CU1603" s="33"/>
      <c r="CV1603" s="33"/>
      <c r="CW1603" s="33"/>
      <c r="CX1603" s="33"/>
      <c r="CY1603" s="33"/>
      <c r="CZ1603" s="33"/>
    </row>
    <row r="1604" spans="30:104" x14ac:dyDescent="0.25">
      <c r="AD1604" s="33"/>
      <c r="AH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BA1604" s="33"/>
      <c r="BB1604" s="33"/>
      <c r="BC1604" s="114"/>
      <c r="BD1604" s="33"/>
      <c r="BE1604" s="33"/>
      <c r="BF1604" s="33"/>
      <c r="CI1604" s="35"/>
      <c r="CP1604" s="39"/>
      <c r="CQ1604" s="32"/>
      <c r="CR1604" s="40"/>
      <c r="CS1604" s="40"/>
      <c r="CT1604" s="33"/>
      <c r="CU1604" s="33"/>
      <c r="CV1604" s="33"/>
      <c r="CW1604" s="33"/>
      <c r="CX1604" s="33"/>
      <c r="CY1604" s="33"/>
      <c r="CZ1604" s="33"/>
    </row>
    <row r="1605" spans="30:104" x14ac:dyDescent="0.25">
      <c r="AD1605" s="33"/>
      <c r="AH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BA1605" s="33"/>
      <c r="BB1605" s="33"/>
      <c r="BC1605" s="114"/>
      <c r="BD1605" s="33"/>
      <c r="BE1605" s="33"/>
      <c r="BF1605" s="33"/>
      <c r="CI1605" s="35"/>
      <c r="CP1605" s="39"/>
      <c r="CQ1605" s="32"/>
      <c r="CR1605" s="40"/>
      <c r="CS1605" s="40"/>
      <c r="CT1605" s="33"/>
      <c r="CU1605" s="33"/>
      <c r="CV1605" s="33"/>
      <c r="CW1605" s="33"/>
      <c r="CX1605" s="33"/>
      <c r="CY1605" s="33"/>
      <c r="CZ1605" s="33"/>
    </row>
    <row r="1606" spans="30:104" x14ac:dyDescent="0.25">
      <c r="AD1606" s="33"/>
      <c r="AH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  <c r="AX1606" s="33"/>
      <c r="AY1606" s="33"/>
      <c r="BA1606" s="33"/>
      <c r="BB1606" s="33"/>
      <c r="BC1606" s="114"/>
      <c r="BD1606" s="33"/>
      <c r="BE1606" s="33"/>
      <c r="BF1606" s="33"/>
      <c r="CI1606" s="35"/>
      <c r="CP1606" s="39"/>
      <c r="CQ1606" s="32"/>
      <c r="CR1606" s="40"/>
      <c r="CS1606" s="40"/>
      <c r="CT1606" s="33"/>
      <c r="CU1606" s="33"/>
      <c r="CV1606" s="33"/>
      <c r="CW1606" s="33"/>
      <c r="CX1606" s="33"/>
      <c r="CY1606" s="33"/>
      <c r="CZ1606" s="33"/>
    </row>
    <row r="1607" spans="30:104" x14ac:dyDescent="0.25">
      <c r="AD1607" s="33"/>
      <c r="AH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  <c r="BA1607" s="33"/>
      <c r="BB1607" s="33"/>
      <c r="BC1607" s="114"/>
      <c r="BD1607" s="33"/>
      <c r="BE1607" s="33"/>
      <c r="BF1607" s="33"/>
      <c r="CI1607" s="35"/>
      <c r="CP1607" s="39"/>
      <c r="CQ1607" s="32"/>
      <c r="CR1607" s="40"/>
      <c r="CS1607" s="40"/>
      <c r="CT1607" s="33"/>
      <c r="CU1607" s="33"/>
      <c r="CV1607" s="33"/>
      <c r="CW1607" s="33"/>
      <c r="CX1607" s="33"/>
      <c r="CY1607" s="33"/>
      <c r="CZ1607" s="33"/>
    </row>
    <row r="1608" spans="30:104" x14ac:dyDescent="0.25">
      <c r="AD1608" s="33"/>
      <c r="AH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  <c r="AX1608" s="33"/>
      <c r="AY1608" s="33"/>
      <c r="BA1608" s="33"/>
      <c r="BB1608" s="33"/>
      <c r="BC1608" s="114"/>
      <c r="BD1608" s="33"/>
      <c r="BE1608" s="33"/>
      <c r="BF1608" s="33"/>
      <c r="CI1608" s="35"/>
      <c r="CP1608" s="39"/>
      <c r="CQ1608" s="32"/>
      <c r="CR1608" s="40"/>
      <c r="CS1608" s="40"/>
      <c r="CT1608" s="33"/>
      <c r="CU1608" s="33"/>
      <c r="CV1608" s="33"/>
      <c r="CW1608" s="33"/>
      <c r="CX1608" s="33"/>
      <c r="CY1608" s="33"/>
      <c r="CZ1608" s="33"/>
    </row>
    <row r="1609" spans="30:104" x14ac:dyDescent="0.25">
      <c r="AD1609" s="33"/>
      <c r="AH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33"/>
      <c r="AX1609" s="33"/>
      <c r="AY1609" s="33"/>
      <c r="BA1609" s="33"/>
      <c r="BB1609" s="33"/>
      <c r="BC1609" s="114"/>
      <c r="BD1609" s="33"/>
      <c r="BE1609" s="33"/>
      <c r="BF1609" s="33"/>
      <c r="CI1609" s="35"/>
      <c r="CP1609" s="39"/>
      <c r="CQ1609" s="32"/>
      <c r="CR1609" s="40"/>
      <c r="CS1609" s="40"/>
      <c r="CT1609" s="33"/>
      <c r="CU1609" s="33"/>
      <c r="CV1609" s="33"/>
      <c r="CW1609" s="33"/>
      <c r="CX1609" s="33"/>
      <c r="CY1609" s="33"/>
      <c r="CZ1609" s="33"/>
    </row>
    <row r="1610" spans="30:104" x14ac:dyDescent="0.25">
      <c r="AD1610" s="33"/>
      <c r="AH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33"/>
      <c r="AX1610" s="33"/>
      <c r="AY1610" s="33"/>
      <c r="BA1610" s="33"/>
      <c r="BB1610" s="33"/>
      <c r="BC1610" s="114"/>
      <c r="BD1610" s="33"/>
      <c r="BE1610" s="33"/>
      <c r="BF1610" s="33"/>
      <c r="CI1610" s="35"/>
      <c r="CP1610" s="39"/>
      <c r="CQ1610" s="32"/>
      <c r="CR1610" s="40"/>
      <c r="CS1610" s="40"/>
      <c r="CT1610" s="33"/>
      <c r="CU1610" s="33"/>
      <c r="CV1610" s="33"/>
      <c r="CW1610" s="33"/>
      <c r="CX1610" s="33"/>
      <c r="CY1610" s="33"/>
      <c r="CZ1610" s="33"/>
    </row>
    <row r="1611" spans="30:104" x14ac:dyDescent="0.25">
      <c r="AD1611" s="33"/>
      <c r="AH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  <c r="BA1611" s="33"/>
      <c r="BB1611" s="33"/>
      <c r="BC1611" s="114"/>
      <c r="BD1611" s="33"/>
      <c r="BE1611" s="33"/>
      <c r="BF1611" s="33"/>
      <c r="CI1611" s="35"/>
      <c r="CP1611" s="39"/>
      <c r="CQ1611" s="32"/>
      <c r="CR1611" s="40"/>
      <c r="CS1611" s="40"/>
      <c r="CT1611" s="33"/>
      <c r="CU1611" s="33"/>
      <c r="CV1611" s="33"/>
      <c r="CW1611" s="33"/>
      <c r="CX1611" s="33"/>
      <c r="CY1611" s="33"/>
      <c r="CZ1611" s="33"/>
    </row>
    <row r="1612" spans="30:104" x14ac:dyDescent="0.25">
      <c r="AD1612" s="33"/>
      <c r="AH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33"/>
      <c r="AX1612" s="33"/>
      <c r="AY1612" s="33"/>
      <c r="BA1612" s="33"/>
      <c r="BB1612" s="33"/>
      <c r="BC1612" s="114"/>
      <c r="BD1612" s="33"/>
      <c r="BE1612" s="33"/>
      <c r="BF1612" s="33"/>
      <c r="CI1612" s="35"/>
      <c r="CP1612" s="39"/>
      <c r="CQ1612" s="32"/>
      <c r="CR1612" s="40"/>
      <c r="CS1612" s="40"/>
      <c r="CT1612" s="33"/>
      <c r="CU1612" s="33"/>
      <c r="CV1612" s="33"/>
      <c r="CW1612" s="33"/>
      <c r="CX1612" s="33"/>
      <c r="CY1612" s="33"/>
      <c r="CZ1612" s="33"/>
    </row>
    <row r="1613" spans="30:104" x14ac:dyDescent="0.25">
      <c r="AD1613" s="33"/>
      <c r="AH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33"/>
      <c r="AX1613" s="33"/>
      <c r="AY1613" s="33"/>
      <c r="BA1613" s="33"/>
      <c r="BB1613" s="33"/>
      <c r="BC1613" s="114"/>
      <c r="BD1613" s="33"/>
      <c r="BE1613" s="33"/>
      <c r="BF1613" s="33"/>
      <c r="CI1613" s="35"/>
      <c r="CP1613" s="39"/>
      <c r="CQ1613" s="32"/>
      <c r="CR1613" s="40"/>
      <c r="CS1613" s="40"/>
      <c r="CT1613" s="33"/>
      <c r="CU1613" s="33"/>
      <c r="CV1613" s="33"/>
      <c r="CW1613" s="33"/>
      <c r="CX1613" s="33"/>
      <c r="CY1613" s="33"/>
      <c r="CZ1613" s="33"/>
    </row>
    <row r="1614" spans="30:104" x14ac:dyDescent="0.25">
      <c r="AD1614" s="33"/>
      <c r="AH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  <c r="AX1614" s="33"/>
      <c r="AY1614" s="33"/>
      <c r="BA1614" s="33"/>
      <c r="BB1614" s="33"/>
      <c r="BC1614" s="114"/>
      <c r="BD1614" s="33"/>
      <c r="BE1614" s="33"/>
      <c r="BF1614" s="33"/>
      <c r="CI1614" s="35"/>
      <c r="CP1614" s="39"/>
      <c r="CQ1614" s="32"/>
      <c r="CR1614" s="40"/>
      <c r="CS1614" s="40"/>
      <c r="CT1614" s="33"/>
      <c r="CU1614" s="33"/>
      <c r="CV1614" s="33"/>
      <c r="CW1614" s="33"/>
      <c r="CX1614" s="33"/>
      <c r="CY1614" s="33"/>
      <c r="CZ1614" s="33"/>
    </row>
    <row r="1615" spans="30:104" x14ac:dyDescent="0.25">
      <c r="AD1615" s="33"/>
      <c r="AH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V1615" s="33"/>
      <c r="AW1615" s="33"/>
      <c r="AX1615" s="33"/>
      <c r="AY1615" s="33"/>
      <c r="BA1615" s="33"/>
      <c r="BB1615" s="33"/>
      <c r="BC1615" s="114"/>
      <c r="BD1615" s="33"/>
      <c r="BE1615" s="33"/>
      <c r="BF1615" s="33"/>
      <c r="CI1615" s="35"/>
      <c r="CP1615" s="39"/>
      <c r="CQ1615" s="32"/>
      <c r="CR1615" s="40"/>
      <c r="CS1615" s="40"/>
      <c r="CT1615" s="33"/>
      <c r="CU1615" s="33"/>
      <c r="CV1615" s="33"/>
      <c r="CW1615" s="33"/>
      <c r="CX1615" s="33"/>
      <c r="CY1615" s="33"/>
      <c r="CZ1615" s="33"/>
    </row>
    <row r="1616" spans="30:104" x14ac:dyDescent="0.25">
      <c r="AD1616" s="33"/>
      <c r="AH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  <c r="AX1616" s="33"/>
      <c r="AY1616" s="33"/>
      <c r="BA1616" s="33"/>
      <c r="BB1616" s="33"/>
      <c r="BC1616" s="114"/>
      <c r="BD1616" s="33"/>
      <c r="BE1616" s="33"/>
      <c r="BF1616" s="33"/>
      <c r="CI1616" s="36"/>
      <c r="CP1616" s="39"/>
      <c r="CQ1616" s="32"/>
      <c r="CR1616" s="40"/>
      <c r="CS1616" s="40"/>
      <c r="CT1616" s="40"/>
      <c r="CU1616" s="40"/>
      <c r="CV1616" s="40"/>
      <c r="CW1616" s="40"/>
      <c r="CX1616" s="40"/>
      <c r="CY1616" s="40"/>
      <c r="CZ1616" s="40"/>
    </row>
    <row r="1617" spans="30:104" x14ac:dyDescent="0.25">
      <c r="AD1617" s="33"/>
      <c r="AH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  <c r="AX1617" s="33"/>
      <c r="AY1617" s="33"/>
      <c r="BA1617" s="33"/>
      <c r="BB1617" s="33"/>
      <c r="BC1617" s="114"/>
      <c r="BD1617" s="33"/>
      <c r="BE1617" s="33"/>
      <c r="BF1617" s="33"/>
      <c r="CI1617" s="35"/>
      <c r="CP1617" s="39"/>
      <c r="CQ1617" s="32"/>
      <c r="CR1617" s="40"/>
      <c r="CS1617" s="40"/>
      <c r="CT1617" s="33"/>
      <c r="CU1617" s="33"/>
      <c r="CV1617" s="33"/>
      <c r="CW1617" s="33"/>
      <c r="CX1617" s="33"/>
      <c r="CY1617" s="33"/>
      <c r="CZ1617" s="33"/>
    </row>
    <row r="1618" spans="30:104" x14ac:dyDescent="0.25">
      <c r="AD1618" s="33"/>
      <c r="AH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  <c r="AX1618" s="33"/>
      <c r="AY1618" s="33"/>
      <c r="BA1618" s="33"/>
      <c r="BB1618" s="33"/>
      <c r="BC1618" s="114"/>
      <c r="BD1618" s="33"/>
      <c r="BE1618" s="33"/>
      <c r="BF1618" s="33"/>
      <c r="CI1618" s="35"/>
      <c r="CP1618" s="39"/>
      <c r="CQ1618" s="32"/>
      <c r="CR1618" s="40"/>
      <c r="CS1618" s="40"/>
      <c r="CT1618" s="33"/>
      <c r="CU1618" s="33"/>
      <c r="CV1618" s="33"/>
      <c r="CW1618" s="33"/>
      <c r="CX1618" s="33"/>
      <c r="CY1618" s="33"/>
      <c r="CZ1618" s="33"/>
    </row>
    <row r="1619" spans="30:104" x14ac:dyDescent="0.25">
      <c r="AD1619" s="33"/>
      <c r="AH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33"/>
      <c r="AX1619" s="33"/>
      <c r="AY1619" s="33"/>
      <c r="BA1619" s="33"/>
      <c r="BB1619" s="33"/>
      <c r="BC1619" s="114"/>
      <c r="BD1619" s="33"/>
      <c r="BE1619" s="33"/>
      <c r="BF1619" s="33"/>
      <c r="CI1619" s="35"/>
      <c r="CP1619" s="39"/>
      <c r="CQ1619" s="32"/>
      <c r="CR1619" s="40"/>
      <c r="CS1619" s="40"/>
      <c r="CT1619" s="33"/>
      <c r="CU1619" s="33"/>
      <c r="CV1619" s="33"/>
      <c r="CW1619" s="33"/>
      <c r="CX1619" s="33"/>
      <c r="CY1619" s="33"/>
      <c r="CZ1619" s="33"/>
    </row>
    <row r="1620" spans="30:104" x14ac:dyDescent="0.25">
      <c r="AD1620" s="33"/>
      <c r="AH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  <c r="AU1620" s="33"/>
      <c r="AV1620" s="33"/>
      <c r="AW1620" s="33"/>
      <c r="AX1620" s="33"/>
      <c r="AY1620" s="33"/>
      <c r="BA1620" s="33"/>
      <c r="BB1620" s="33"/>
      <c r="BC1620" s="114"/>
      <c r="BD1620" s="33"/>
      <c r="BE1620" s="33"/>
      <c r="BF1620" s="33"/>
      <c r="CI1620" s="35"/>
      <c r="CP1620" s="39"/>
      <c r="CQ1620" s="32"/>
      <c r="CR1620" s="40"/>
      <c r="CS1620" s="40"/>
      <c r="CT1620" s="33"/>
      <c r="CU1620" s="33"/>
      <c r="CV1620" s="33"/>
      <c r="CW1620" s="33"/>
      <c r="CX1620" s="33"/>
      <c r="CY1620" s="33"/>
      <c r="CZ1620" s="33"/>
    </row>
    <row r="1621" spans="30:104" x14ac:dyDescent="0.25">
      <c r="AD1621" s="33"/>
      <c r="AH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33"/>
      <c r="AX1621" s="33"/>
      <c r="AY1621" s="33"/>
      <c r="BA1621" s="33"/>
      <c r="BB1621" s="33"/>
      <c r="BC1621" s="114"/>
      <c r="BD1621" s="33"/>
      <c r="BE1621" s="33"/>
      <c r="BF1621" s="33"/>
      <c r="CI1621" s="35"/>
      <c r="CP1621" s="39"/>
      <c r="CQ1621" s="32"/>
      <c r="CR1621" s="40"/>
      <c r="CS1621" s="40"/>
      <c r="CT1621" s="33"/>
      <c r="CU1621" s="33"/>
      <c r="CV1621" s="33"/>
      <c r="CW1621" s="33"/>
      <c r="CX1621" s="33"/>
      <c r="CY1621" s="33"/>
      <c r="CZ1621" s="33"/>
    </row>
    <row r="1622" spans="30:104" x14ac:dyDescent="0.25">
      <c r="AD1622" s="33"/>
      <c r="AH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  <c r="AX1622" s="33"/>
      <c r="AY1622" s="33"/>
      <c r="BA1622" s="33"/>
      <c r="BB1622" s="33"/>
      <c r="BC1622" s="114"/>
      <c r="BD1622" s="33"/>
      <c r="BE1622" s="33"/>
      <c r="BF1622" s="33"/>
      <c r="CI1622" s="35"/>
      <c r="CP1622" s="39"/>
      <c r="CQ1622" s="32"/>
      <c r="CR1622" s="40"/>
      <c r="CS1622" s="40"/>
      <c r="CT1622" s="33"/>
      <c r="CU1622" s="33"/>
      <c r="CV1622" s="33"/>
      <c r="CW1622" s="33"/>
      <c r="CX1622" s="33"/>
      <c r="CY1622" s="33"/>
      <c r="CZ1622" s="33"/>
    </row>
    <row r="1623" spans="30:104" x14ac:dyDescent="0.25">
      <c r="AD1623" s="33"/>
      <c r="AH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33"/>
      <c r="AX1623" s="33"/>
      <c r="AY1623" s="33"/>
      <c r="BA1623" s="33"/>
      <c r="BB1623" s="33"/>
      <c r="BC1623" s="114"/>
      <c r="BD1623" s="33"/>
      <c r="BE1623" s="33"/>
      <c r="BF1623" s="33"/>
      <c r="CI1623" s="35"/>
      <c r="CP1623" s="39"/>
      <c r="CQ1623" s="32"/>
      <c r="CR1623" s="40"/>
      <c r="CS1623" s="40"/>
      <c r="CT1623" s="33"/>
      <c r="CU1623" s="33"/>
      <c r="CV1623" s="33"/>
      <c r="CW1623" s="33"/>
      <c r="CX1623" s="33"/>
      <c r="CY1623" s="33"/>
      <c r="CZ1623" s="33"/>
    </row>
    <row r="1624" spans="30:104" x14ac:dyDescent="0.25">
      <c r="AD1624" s="33"/>
      <c r="AH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  <c r="AX1624" s="33"/>
      <c r="AY1624" s="33"/>
      <c r="BA1624" s="33"/>
      <c r="BB1624" s="33"/>
      <c r="BC1624" s="114"/>
      <c r="BD1624" s="33"/>
      <c r="BE1624" s="33"/>
      <c r="BF1624" s="33"/>
      <c r="CI1624" s="35"/>
      <c r="CP1624" s="39"/>
      <c r="CQ1624" s="32"/>
      <c r="CR1624" s="40"/>
      <c r="CS1624" s="40"/>
      <c r="CT1624" s="33"/>
      <c r="CU1624" s="33"/>
      <c r="CV1624" s="33"/>
      <c r="CW1624" s="33"/>
      <c r="CX1624" s="33"/>
      <c r="CY1624" s="33"/>
      <c r="CZ1624" s="33"/>
    </row>
    <row r="1625" spans="30:104" x14ac:dyDescent="0.25">
      <c r="AD1625" s="33"/>
      <c r="AH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  <c r="AU1625" s="33"/>
      <c r="AV1625" s="33"/>
      <c r="AW1625" s="33"/>
      <c r="AX1625" s="33"/>
      <c r="AY1625" s="33"/>
      <c r="BA1625" s="33"/>
      <c r="BB1625" s="33"/>
      <c r="BC1625" s="114"/>
      <c r="BD1625" s="33"/>
      <c r="BE1625" s="33"/>
      <c r="BF1625" s="33"/>
      <c r="CI1625" s="35"/>
      <c r="CP1625" s="39"/>
      <c r="CQ1625" s="32"/>
      <c r="CR1625" s="40"/>
      <c r="CS1625" s="40"/>
      <c r="CT1625" s="33"/>
      <c r="CU1625" s="33"/>
      <c r="CV1625" s="33"/>
      <c r="CW1625" s="33"/>
      <c r="CX1625" s="33"/>
      <c r="CY1625" s="33"/>
      <c r="CZ1625" s="33"/>
    </row>
    <row r="1626" spans="30:104" x14ac:dyDescent="0.25">
      <c r="AD1626" s="33"/>
      <c r="AH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33"/>
      <c r="AX1626" s="33"/>
      <c r="AY1626" s="33"/>
      <c r="BA1626" s="33"/>
      <c r="BB1626" s="33"/>
      <c r="BC1626" s="114"/>
      <c r="BD1626" s="33"/>
      <c r="BE1626" s="33"/>
      <c r="BF1626" s="33"/>
      <c r="CI1626" s="35"/>
      <c r="CP1626" s="39"/>
      <c r="CQ1626" s="32"/>
      <c r="CR1626" s="40"/>
      <c r="CS1626" s="40"/>
      <c r="CT1626" s="33"/>
      <c r="CU1626" s="33"/>
      <c r="CV1626" s="33"/>
      <c r="CW1626" s="33"/>
      <c r="CX1626" s="33"/>
      <c r="CY1626" s="33"/>
      <c r="CZ1626" s="33"/>
    </row>
    <row r="1627" spans="30:104" x14ac:dyDescent="0.25">
      <c r="AD1627" s="33"/>
      <c r="AH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  <c r="AX1627" s="33"/>
      <c r="AY1627" s="33"/>
      <c r="BA1627" s="33"/>
      <c r="BB1627" s="33"/>
      <c r="BC1627" s="114"/>
      <c r="BD1627" s="33"/>
      <c r="BE1627" s="33"/>
      <c r="BF1627" s="33"/>
      <c r="CI1627" s="35"/>
      <c r="CP1627" s="39"/>
      <c r="CQ1627" s="32"/>
      <c r="CR1627" s="40"/>
      <c r="CS1627" s="40"/>
      <c r="CT1627" s="33"/>
      <c r="CU1627" s="33"/>
      <c r="CV1627" s="33"/>
      <c r="CW1627" s="33"/>
      <c r="CX1627" s="33"/>
      <c r="CY1627" s="33"/>
      <c r="CZ1627" s="33"/>
    </row>
    <row r="1628" spans="30:104" x14ac:dyDescent="0.25">
      <c r="AD1628" s="33"/>
      <c r="AH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/>
      <c r="AX1628" s="33"/>
      <c r="AY1628" s="33"/>
      <c r="BA1628" s="33"/>
      <c r="BB1628" s="33"/>
      <c r="BC1628" s="114"/>
      <c r="BD1628" s="33"/>
      <c r="BE1628" s="33"/>
      <c r="BF1628" s="33"/>
      <c r="CI1628" s="35"/>
      <c r="CP1628" s="39"/>
      <c r="CQ1628" s="32"/>
      <c r="CR1628" s="40"/>
      <c r="CS1628" s="40"/>
      <c r="CT1628" s="33"/>
      <c r="CU1628" s="33"/>
      <c r="CV1628" s="33"/>
      <c r="CW1628" s="33"/>
      <c r="CX1628" s="33"/>
      <c r="CY1628" s="33"/>
      <c r="CZ1628" s="33"/>
    </row>
    <row r="1629" spans="30:104" x14ac:dyDescent="0.25">
      <c r="AD1629" s="33"/>
      <c r="AH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/>
      <c r="AV1629" s="33"/>
      <c r="AW1629" s="33"/>
      <c r="AX1629" s="33"/>
      <c r="AY1629" s="33"/>
      <c r="BA1629" s="33"/>
      <c r="BB1629" s="33"/>
      <c r="BC1629" s="114"/>
      <c r="BD1629" s="33"/>
      <c r="BE1629" s="33"/>
      <c r="BF1629" s="33"/>
      <c r="CI1629" s="35"/>
      <c r="CP1629" s="39"/>
      <c r="CQ1629" s="32"/>
      <c r="CR1629" s="40"/>
      <c r="CS1629" s="40"/>
      <c r="CT1629" s="33"/>
      <c r="CU1629" s="33"/>
      <c r="CV1629" s="33"/>
      <c r="CW1629" s="33"/>
      <c r="CX1629" s="33"/>
      <c r="CY1629" s="33"/>
      <c r="CZ1629" s="33"/>
    </row>
    <row r="1630" spans="30:104" x14ac:dyDescent="0.25">
      <c r="AD1630" s="33"/>
      <c r="AH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  <c r="AX1630" s="33"/>
      <c r="AY1630" s="33"/>
      <c r="BA1630" s="33"/>
      <c r="BB1630" s="33"/>
      <c r="BC1630" s="114"/>
      <c r="BD1630" s="33"/>
      <c r="BE1630" s="33"/>
      <c r="BF1630" s="33"/>
      <c r="CI1630" s="35"/>
      <c r="CP1630" s="39"/>
      <c r="CQ1630" s="32"/>
      <c r="CR1630" s="40"/>
      <c r="CS1630" s="40"/>
      <c r="CT1630" s="33"/>
      <c r="CU1630" s="33"/>
      <c r="CV1630" s="33"/>
      <c r="CW1630" s="33"/>
      <c r="CX1630" s="33"/>
      <c r="CY1630" s="33"/>
      <c r="CZ1630" s="33"/>
    </row>
    <row r="1631" spans="30:104" x14ac:dyDescent="0.25">
      <c r="AD1631" s="33"/>
      <c r="AH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33"/>
      <c r="AX1631" s="33"/>
      <c r="AY1631" s="33"/>
      <c r="BA1631" s="33"/>
      <c r="BB1631" s="33"/>
      <c r="BC1631" s="114"/>
      <c r="BD1631" s="33"/>
      <c r="BE1631" s="33"/>
      <c r="BF1631" s="33"/>
      <c r="CI1631" s="35"/>
      <c r="CP1631" s="39"/>
      <c r="CQ1631" s="32"/>
      <c r="CR1631" s="40"/>
      <c r="CS1631" s="40"/>
      <c r="CT1631" s="33"/>
      <c r="CU1631" s="33"/>
      <c r="CV1631" s="33"/>
      <c r="CW1631" s="33"/>
      <c r="CX1631" s="33"/>
      <c r="CY1631" s="33"/>
      <c r="CZ1631" s="33"/>
    </row>
    <row r="1632" spans="30:104" x14ac:dyDescent="0.25">
      <c r="AD1632" s="33"/>
      <c r="AH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33"/>
      <c r="AX1632" s="33"/>
      <c r="AY1632" s="33"/>
      <c r="BA1632" s="33"/>
      <c r="BB1632" s="33"/>
      <c r="BC1632" s="114"/>
      <c r="BD1632" s="33"/>
      <c r="BE1632" s="33"/>
      <c r="BF1632" s="33"/>
      <c r="CI1632" s="35"/>
      <c r="CP1632" s="39"/>
      <c r="CQ1632" s="32"/>
      <c r="CR1632" s="40"/>
      <c r="CS1632" s="40"/>
      <c r="CT1632" s="33"/>
      <c r="CU1632" s="33"/>
      <c r="CV1632" s="33"/>
      <c r="CW1632" s="33"/>
      <c r="CX1632" s="33"/>
      <c r="CY1632" s="33"/>
      <c r="CZ1632" s="33"/>
    </row>
    <row r="1633" spans="30:104" x14ac:dyDescent="0.25">
      <c r="AD1633" s="33"/>
      <c r="AH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BA1633" s="33"/>
      <c r="BB1633" s="33"/>
      <c r="BC1633" s="114"/>
      <c r="BD1633" s="33"/>
      <c r="BE1633" s="33"/>
      <c r="BF1633" s="33"/>
      <c r="CI1633" s="35"/>
      <c r="CP1633" s="39"/>
      <c r="CQ1633" s="32"/>
      <c r="CR1633" s="40"/>
      <c r="CS1633" s="40"/>
      <c r="CT1633" s="33"/>
      <c r="CU1633" s="33"/>
      <c r="CV1633" s="33"/>
      <c r="CW1633" s="33"/>
      <c r="CX1633" s="33"/>
      <c r="CY1633" s="33"/>
      <c r="CZ1633" s="33"/>
    </row>
    <row r="1634" spans="30:104" x14ac:dyDescent="0.25">
      <c r="AD1634" s="33"/>
      <c r="AH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BA1634" s="33"/>
      <c r="BB1634" s="33"/>
      <c r="BC1634" s="114"/>
      <c r="BD1634" s="33"/>
      <c r="BE1634" s="33"/>
      <c r="BF1634" s="33"/>
      <c r="CI1634" s="35"/>
      <c r="CP1634" s="39"/>
      <c r="CQ1634" s="32"/>
      <c r="CR1634" s="40"/>
      <c r="CS1634" s="40"/>
      <c r="CT1634" s="33"/>
      <c r="CU1634" s="33"/>
      <c r="CV1634" s="33"/>
      <c r="CW1634" s="33"/>
      <c r="CX1634" s="33"/>
      <c r="CY1634" s="33"/>
      <c r="CZ1634" s="33"/>
    </row>
    <row r="1635" spans="30:104" x14ac:dyDescent="0.25">
      <c r="AD1635" s="33"/>
      <c r="AH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33"/>
      <c r="AX1635" s="33"/>
      <c r="AY1635" s="33"/>
      <c r="BA1635" s="33"/>
      <c r="BB1635" s="33"/>
      <c r="BC1635" s="114"/>
      <c r="BD1635" s="33"/>
      <c r="BE1635" s="33"/>
      <c r="BF1635" s="33"/>
      <c r="CI1635" s="35"/>
      <c r="CP1635" s="39"/>
      <c r="CQ1635" s="32"/>
      <c r="CR1635" s="40"/>
      <c r="CS1635" s="40"/>
      <c r="CT1635" s="33"/>
      <c r="CU1635" s="33"/>
      <c r="CV1635" s="33"/>
      <c r="CW1635" s="33"/>
      <c r="CX1635" s="33"/>
      <c r="CY1635" s="33"/>
      <c r="CZ1635" s="33"/>
    </row>
    <row r="1636" spans="30:104" x14ac:dyDescent="0.25">
      <c r="AD1636" s="33"/>
      <c r="AH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  <c r="AX1636" s="33"/>
      <c r="AY1636" s="33"/>
      <c r="BA1636" s="33"/>
      <c r="BB1636" s="33"/>
      <c r="BC1636" s="114"/>
      <c r="BD1636" s="33"/>
      <c r="BE1636" s="33"/>
      <c r="BF1636" s="33"/>
      <c r="CI1636" s="35"/>
      <c r="CP1636" s="39"/>
      <c r="CQ1636" s="32"/>
      <c r="CR1636" s="40"/>
      <c r="CS1636" s="40"/>
      <c r="CT1636" s="33"/>
      <c r="CU1636" s="33"/>
      <c r="CV1636" s="33"/>
      <c r="CW1636" s="33"/>
      <c r="CX1636" s="33"/>
      <c r="CY1636" s="33"/>
      <c r="CZ1636" s="33"/>
    </row>
    <row r="1637" spans="30:104" x14ac:dyDescent="0.25">
      <c r="AD1637" s="33"/>
      <c r="AH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33"/>
      <c r="AX1637" s="33"/>
      <c r="AY1637" s="33"/>
      <c r="BA1637" s="33"/>
      <c r="BB1637" s="33"/>
      <c r="BC1637" s="114"/>
      <c r="BD1637" s="33"/>
      <c r="BE1637" s="33"/>
      <c r="BF1637" s="33"/>
      <c r="CI1637" s="35"/>
      <c r="CP1637" s="39"/>
      <c r="CQ1637" s="32"/>
      <c r="CR1637" s="40"/>
      <c r="CS1637" s="40"/>
      <c r="CT1637" s="33"/>
      <c r="CU1637" s="33"/>
      <c r="CV1637" s="33"/>
      <c r="CW1637" s="33"/>
      <c r="CX1637" s="33"/>
      <c r="CY1637" s="33"/>
      <c r="CZ1637" s="33"/>
    </row>
    <row r="1638" spans="30:104" x14ac:dyDescent="0.25">
      <c r="AD1638" s="33"/>
      <c r="AH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BA1638" s="33"/>
      <c r="BB1638" s="33"/>
      <c r="BC1638" s="114"/>
      <c r="BD1638" s="33"/>
      <c r="BE1638" s="33"/>
      <c r="BF1638" s="33"/>
      <c r="CI1638" s="36"/>
      <c r="CP1638" s="39"/>
      <c r="CQ1638" s="32"/>
      <c r="CR1638" s="40"/>
      <c r="CS1638" s="40"/>
      <c r="CT1638" s="40"/>
      <c r="CU1638" s="40"/>
      <c r="CV1638" s="40"/>
      <c r="CW1638" s="40"/>
      <c r="CX1638" s="40"/>
      <c r="CY1638" s="40"/>
      <c r="CZ1638" s="40"/>
    </row>
    <row r="1639" spans="30:104" x14ac:dyDescent="0.25">
      <c r="AD1639" s="33"/>
      <c r="AH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BA1639" s="33"/>
      <c r="BB1639" s="33"/>
      <c r="BC1639" s="114"/>
      <c r="BD1639" s="33"/>
      <c r="BE1639" s="33"/>
      <c r="BF1639" s="33"/>
      <c r="CI1639" s="35"/>
      <c r="CP1639" s="39"/>
      <c r="CQ1639" s="32"/>
      <c r="CR1639" s="40"/>
      <c r="CS1639" s="40"/>
      <c r="CT1639" s="33"/>
      <c r="CU1639" s="33"/>
      <c r="CV1639" s="33"/>
      <c r="CW1639" s="33"/>
      <c r="CX1639" s="33"/>
      <c r="CY1639" s="33"/>
      <c r="CZ1639" s="33"/>
    </row>
    <row r="1640" spans="30:104" x14ac:dyDescent="0.25">
      <c r="AD1640" s="33"/>
      <c r="AH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BA1640" s="33"/>
      <c r="BB1640" s="33"/>
      <c r="BC1640" s="114"/>
      <c r="BD1640" s="33"/>
      <c r="BE1640" s="33"/>
      <c r="BF1640" s="33"/>
      <c r="CI1640" s="35"/>
      <c r="CP1640" s="39"/>
      <c r="CQ1640" s="32"/>
      <c r="CR1640" s="40"/>
      <c r="CS1640" s="40"/>
      <c r="CT1640" s="33"/>
      <c r="CU1640" s="33"/>
      <c r="CV1640" s="33"/>
      <c r="CW1640" s="33"/>
      <c r="CX1640" s="33"/>
      <c r="CY1640" s="33"/>
      <c r="CZ1640" s="33"/>
    </row>
    <row r="1641" spans="30:104" x14ac:dyDescent="0.25">
      <c r="AD1641" s="33"/>
      <c r="AH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BA1641" s="33"/>
      <c r="BB1641" s="33"/>
      <c r="BC1641" s="114"/>
      <c r="BD1641" s="33"/>
      <c r="BE1641" s="33"/>
      <c r="BF1641" s="33"/>
      <c r="CI1641" s="35"/>
      <c r="CP1641" s="39"/>
      <c r="CQ1641" s="32"/>
      <c r="CR1641" s="40"/>
      <c r="CS1641" s="40"/>
      <c r="CT1641" s="33"/>
      <c r="CU1641" s="33"/>
      <c r="CV1641" s="33"/>
      <c r="CW1641" s="33"/>
      <c r="CX1641" s="33"/>
      <c r="CY1641" s="33"/>
      <c r="CZ1641" s="33"/>
    </row>
    <row r="1642" spans="30:104" x14ac:dyDescent="0.25">
      <c r="AD1642" s="33"/>
      <c r="AH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BA1642" s="33"/>
      <c r="BB1642" s="33"/>
      <c r="BC1642" s="114"/>
      <c r="BD1642" s="33"/>
      <c r="BE1642" s="33"/>
      <c r="BF1642" s="33"/>
      <c r="CI1642" s="35"/>
      <c r="CP1642" s="39"/>
      <c r="CQ1642" s="32"/>
      <c r="CR1642" s="40"/>
      <c r="CS1642" s="40"/>
      <c r="CT1642" s="33"/>
      <c r="CU1642" s="33"/>
      <c r="CV1642" s="33"/>
      <c r="CW1642" s="33"/>
      <c r="CX1642" s="33"/>
      <c r="CY1642" s="33"/>
      <c r="CZ1642" s="33"/>
    </row>
    <row r="1643" spans="30:104" x14ac:dyDescent="0.25">
      <c r="AD1643" s="33"/>
      <c r="AH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BA1643" s="33"/>
      <c r="BB1643" s="33"/>
      <c r="BC1643" s="114"/>
      <c r="BD1643" s="33"/>
      <c r="BE1643" s="33"/>
      <c r="BF1643" s="33"/>
      <c r="CI1643" s="35"/>
      <c r="CP1643" s="39"/>
      <c r="CQ1643" s="32"/>
      <c r="CR1643" s="40"/>
      <c r="CS1643" s="40"/>
      <c r="CT1643" s="33"/>
      <c r="CU1643" s="33"/>
      <c r="CV1643" s="33"/>
      <c r="CW1643" s="33"/>
      <c r="CX1643" s="33"/>
      <c r="CY1643" s="33"/>
      <c r="CZ1643" s="33"/>
    </row>
    <row r="1644" spans="30:104" x14ac:dyDescent="0.25">
      <c r="AD1644" s="33"/>
      <c r="AH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BA1644" s="33"/>
      <c r="BB1644" s="33"/>
      <c r="BC1644" s="114"/>
      <c r="BD1644" s="33"/>
      <c r="BE1644" s="33"/>
      <c r="BF1644" s="33"/>
      <c r="CI1644" s="35"/>
      <c r="CP1644" s="39"/>
      <c r="CQ1644" s="32"/>
      <c r="CR1644" s="40"/>
      <c r="CS1644" s="40"/>
      <c r="CT1644" s="33"/>
      <c r="CU1644" s="33"/>
      <c r="CV1644" s="33"/>
      <c r="CW1644" s="33"/>
      <c r="CX1644" s="33"/>
      <c r="CY1644" s="33"/>
      <c r="CZ1644" s="33"/>
    </row>
    <row r="1645" spans="30:104" x14ac:dyDescent="0.25">
      <c r="AD1645" s="33"/>
      <c r="AH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BA1645" s="33"/>
      <c r="BB1645" s="33"/>
      <c r="BC1645" s="114"/>
      <c r="BD1645" s="33"/>
      <c r="BE1645" s="33"/>
      <c r="BF1645" s="33"/>
      <c r="CI1645" s="35"/>
      <c r="CP1645" s="39"/>
      <c r="CQ1645" s="32"/>
      <c r="CR1645" s="40"/>
      <c r="CS1645" s="40"/>
      <c r="CT1645" s="33"/>
      <c r="CU1645" s="33"/>
      <c r="CV1645" s="33"/>
      <c r="CW1645" s="33"/>
      <c r="CX1645" s="33"/>
      <c r="CY1645" s="33"/>
      <c r="CZ1645" s="33"/>
    </row>
    <row r="1646" spans="30:104" x14ac:dyDescent="0.25">
      <c r="AD1646" s="33"/>
      <c r="AH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BA1646" s="33"/>
      <c r="BB1646" s="33"/>
      <c r="BC1646" s="114"/>
      <c r="BD1646" s="33"/>
      <c r="BE1646" s="33"/>
      <c r="BF1646" s="33"/>
      <c r="CI1646" s="35"/>
      <c r="CP1646" s="39"/>
      <c r="CQ1646" s="32"/>
      <c r="CR1646" s="40"/>
      <c r="CS1646" s="40"/>
      <c r="CT1646" s="33"/>
      <c r="CU1646" s="33"/>
      <c r="CV1646" s="33"/>
      <c r="CW1646" s="33"/>
      <c r="CX1646" s="33"/>
      <c r="CY1646" s="33"/>
      <c r="CZ1646" s="33"/>
    </row>
    <row r="1647" spans="30:104" x14ac:dyDescent="0.25">
      <c r="AD1647" s="33"/>
      <c r="AH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BA1647" s="33"/>
      <c r="BB1647" s="33"/>
      <c r="BC1647" s="114"/>
      <c r="BD1647" s="33"/>
      <c r="BE1647" s="33"/>
      <c r="BF1647" s="33"/>
      <c r="CI1647" s="35"/>
      <c r="CP1647" s="39"/>
      <c r="CQ1647" s="32"/>
      <c r="CR1647" s="40"/>
      <c r="CS1647" s="40"/>
      <c r="CT1647" s="33"/>
      <c r="CU1647" s="33"/>
      <c r="CV1647" s="33"/>
      <c r="CW1647" s="33"/>
      <c r="CX1647" s="33"/>
      <c r="CY1647" s="33"/>
      <c r="CZ1647" s="33"/>
    </row>
    <row r="1648" spans="30:104" x14ac:dyDescent="0.25">
      <c r="AD1648" s="33"/>
      <c r="AH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BA1648" s="33"/>
      <c r="BB1648" s="33"/>
      <c r="BC1648" s="114"/>
      <c r="BD1648" s="33"/>
      <c r="BE1648" s="33"/>
      <c r="BF1648" s="33"/>
      <c r="CI1648" s="35"/>
      <c r="CP1648" s="39"/>
      <c r="CQ1648" s="32"/>
      <c r="CR1648" s="40"/>
      <c r="CS1648" s="40"/>
      <c r="CT1648" s="33"/>
      <c r="CU1648" s="33"/>
      <c r="CV1648" s="33"/>
      <c r="CW1648" s="33"/>
      <c r="CX1648" s="33"/>
      <c r="CY1648" s="33"/>
      <c r="CZ1648" s="33"/>
    </row>
    <row r="1649" spans="30:104" x14ac:dyDescent="0.25">
      <c r="AD1649" s="33"/>
      <c r="AH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BA1649" s="33"/>
      <c r="BB1649" s="33"/>
      <c r="BC1649" s="114"/>
      <c r="BD1649" s="33"/>
      <c r="BE1649" s="33"/>
      <c r="BF1649" s="33"/>
      <c r="CI1649" s="35"/>
      <c r="CP1649" s="39"/>
      <c r="CQ1649" s="32"/>
      <c r="CR1649" s="40"/>
      <c r="CS1649" s="40"/>
      <c r="CT1649" s="33"/>
      <c r="CU1649" s="33"/>
      <c r="CV1649" s="33"/>
      <c r="CW1649" s="33"/>
      <c r="CX1649" s="33"/>
      <c r="CY1649" s="33"/>
      <c r="CZ1649" s="33"/>
    </row>
    <row r="1650" spans="30:104" x14ac:dyDescent="0.25">
      <c r="AD1650" s="33"/>
      <c r="AH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BA1650" s="33"/>
      <c r="BB1650" s="33"/>
      <c r="BC1650" s="114"/>
      <c r="BD1650" s="33"/>
      <c r="BE1650" s="33"/>
      <c r="BF1650" s="33"/>
      <c r="CI1650" s="35"/>
      <c r="CP1650" s="39"/>
      <c r="CQ1650" s="32"/>
      <c r="CR1650" s="40"/>
      <c r="CS1650" s="40"/>
      <c r="CT1650" s="33"/>
      <c r="CU1650" s="33"/>
      <c r="CV1650" s="33"/>
      <c r="CW1650" s="33"/>
      <c r="CX1650" s="33"/>
      <c r="CY1650" s="33"/>
      <c r="CZ1650" s="33"/>
    </row>
    <row r="1651" spans="30:104" x14ac:dyDescent="0.25">
      <c r="AD1651" s="33"/>
      <c r="AH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BA1651" s="33"/>
      <c r="BB1651" s="33"/>
      <c r="BC1651" s="114"/>
      <c r="BD1651" s="33"/>
      <c r="BE1651" s="33"/>
      <c r="BF1651" s="33"/>
      <c r="CI1651" s="35"/>
      <c r="CP1651" s="39"/>
      <c r="CQ1651" s="32"/>
      <c r="CR1651" s="40"/>
      <c r="CS1651" s="40"/>
      <c r="CT1651" s="33"/>
      <c r="CU1651" s="33"/>
      <c r="CV1651" s="33"/>
      <c r="CW1651" s="33"/>
      <c r="CX1651" s="33"/>
      <c r="CY1651" s="33"/>
      <c r="CZ1651" s="33"/>
    </row>
    <row r="1652" spans="30:104" x14ac:dyDescent="0.25">
      <c r="AD1652" s="33"/>
      <c r="AH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BA1652" s="33"/>
      <c r="BB1652" s="33"/>
      <c r="BC1652" s="114"/>
      <c r="BD1652" s="33"/>
      <c r="BE1652" s="33"/>
      <c r="BF1652" s="33"/>
      <c r="CI1652" s="35"/>
      <c r="CP1652" s="39"/>
      <c r="CQ1652" s="32"/>
      <c r="CR1652" s="40"/>
      <c r="CS1652" s="40"/>
      <c r="CT1652" s="33"/>
      <c r="CU1652" s="33"/>
      <c r="CV1652" s="33"/>
      <c r="CW1652" s="33"/>
      <c r="CX1652" s="33"/>
      <c r="CY1652" s="33"/>
      <c r="CZ1652" s="33"/>
    </row>
    <row r="1653" spans="30:104" x14ac:dyDescent="0.25">
      <c r="AD1653" s="33"/>
      <c r="AH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BA1653" s="33"/>
      <c r="BB1653" s="33"/>
      <c r="BC1653" s="114"/>
      <c r="BD1653" s="33"/>
      <c r="BE1653" s="33"/>
      <c r="BF1653" s="33"/>
      <c r="CI1653" s="35"/>
      <c r="CP1653" s="39"/>
      <c r="CQ1653" s="32"/>
      <c r="CR1653" s="40"/>
      <c r="CS1653" s="40"/>
      <c r="CT1653" s="33"/>
      <c r="CU1653" s="33"/>
      <c r="CV1653" s="33"/>
      <c r="CW1653" s="33"/>
      <c r="CX1653" s="33"/>
      <c r="CY1653" s="33"/>
      <c r="CZ1653" s="33"/>
    </row>
    <row r="1654" spans="30:104" x14ac:dyDescent="0.25">
      <c r="AD1654" s="33"/>
      <c r="AH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BA1654" s="33"/>
      <c r="BB1654" s="33"/>
      <c r="BC1654" s="114"/>
      <c r="BD1654" s="33"/>
      <c r="BE1654" s="33"/>
      <c r="BF1654" s="33"/>
      <c r="CI1654" s="35"/>
      <c r="CP1654" s="39"/>
      <c r="CQ1654" s="32"/>
      <c r="CR1654" s="40"/>
      <c r="CS1654" s="40"/>
      <c r="CT1654" s="33"/>
      <c r="CU1654" s="33"/>
      <c r="CV1654" s="33"/>
      <c r="CW1654" s="33"/>
      <c r="CX1654" s="33"/>
      <c r="CY1654" s="33"/>
      <c r="CZ1654" s="33"/>
    </row>
    <row r="1655" spans="30:104" x14ac:dyDescent="0.25">
      <c r="AD1655" s="33"/>
      <c r="AH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BA1655" s="33"/>
      <c r="BB1655" s="33"/>
      <c r="BC1655" s="114"/>
      <c r="BD1655" s="33"/>
      <c r="BE1655" s="33"/>
      <c r="BF1655" s="33"/>
      <c r="CI1655" s="35"/>
      <c r="CP1655" s="39"/>
      <c r="CQ1655" s="32"/>
      <c r="CR1655" s="40"/>
      <c r="CS1655" s="40"/>
      <c r="CT1655" s="33"/>
      <c r="CU1655" s="33"/>
      <c r="CV1655" s="33"/>
      <c r="CW1655" s="33"/>
      <c r="CX1655" s="33"/>
      <c r="CY1655" s="33"/>
      <c r="CZ1655" s="33"/>
    </row>
    <row r="1656" spans="30:104" x14ac:dyDescent="0.25">
      <c r="AD1656" s="33"/>
      <c r="AH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BA1656" s="33"/>
      <c r="BB1656" s="33"/>
      <c r="BC1656" s="114"/>
      <c r="BD1656" s="33"/>
      <c r="BE1656" s="33"/>
      <c r="BF1656" s="33"/>
      <c r="CI1656" s="35"/>
      <c r="CP1656" s="39"/>
      <c r="CQ1656" s="32"/>
      <c r="CR1656" s="40"/>
      <c r="CS1656" s="40"/>
      <c r="CT1656" s="33"/>
      <c r="CU1656" s="33"/>
      <c r="CV1656" s="33"/>
      <c r="CW1656" s="33"/>
      <c r="CX1656" s="33"/>
      <c r="CY1656" s="33"/>
      <c r="CZ1656" s="33"/>
    </row>
    <row r="1657" spans="30:104" x14ac:dyDescent="0.25">
      <c r="AD1657" s="33"/>
      <c r="AH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BA1657" s="33"/>
      <c r="BB1657" s="33"/>
      <c r="BC1657" s="114"/>
      <c r="BD1657" s="33"/>
      <c r="BE1657" s="33"/>
      <c r="BF1657" s="33"/>
      <c r="CI1657" s="35"/>
      <c r="CP1657" s="39"/>
      <c r="CQ1657" s="32"/>
      <c r="CR1657" s="40"/>
      <c r="CS1657" s="40"/>
      <c r="CT1657" s="33"/>
      <c r="CU1657" s="33"/>
      <c r="CV1657" s="33"/>
      <c r="CW1657" s="33"/>
      <c r="CX1657" s="33"/>
      <c r="CY1657" s="33"/>
      <c r="CZ1657" s="33"/>
    </row>
    <row r="1658" spans="30:104" x14ac:dyDescent="0.25">
      <c r="AD1658" s="33"/>
      <c r="AH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BA1658" s="33"/>
      <c r="BB1658" s="33"/>
      <c r="BC1658" s="114"/>
      <c r="BD1658" s="33"/>
      <c r="BE1658" s="33"/>
      <c r="BF1658" s="33"/>
      <c r="CI1658" s="35"/>
      <c r="CP1658" s="39"/>
      <c r="CQ1658" s="32"/>
      <c r="CR1658" s="40"/>
      <c r="CS1658" s="40"/>
      <c r="CT1658" s="33"/>
      <c r="CU1658" s="33"/>
      <c r="CV1658" s="33"/>
      <c r="CW1658" s="33"/>
      <c r="CX1658" s="33"/>
      <c r="CY1658" s="33"/>
      <c r="CZ1658" s="33"/>
    </row>
    <row r="1659" spans="30:104" x14ac:dyDescent="0.25">
      <c r="AD1659" s="33"/>
      <c r="AH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BA1659" s="33"/>
      <c r="BB1659" s="33"/>
      <c r="BC1659" s="114"/>
      <c r="BD1659" s="33"/>
      <c r="BE1659" s="33"/>
      <c r="BF1659" s="33"/>
      <c r="CI1659" s="35"/>
      <c r="CP1659" s="39"/>
      <c r="CQ1659" s="32"/>
      <c r="CR1659" s="40"/>
      <c r="CS1659" s="40"/>
      <c r="CT1659" s="33"/>
      <c r="CU1659" s="33"/>
      <c r="CV1659" s="33"/>
      <c r="CW1659" s="33"/>
      <c r="CX1659" s="33"/>
      <c r="CY1659" s="33"/>
      <c r="CZ1659" s="33"/>
    </row>
    <row r="1660" spans="30:104" x14ac:dyDescent="0.25">
      <c r="AD1660" s="33"/>
      <c r="AH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BA1660" s="33"/>
      <c r="BB1660" s="33"/>
      <c r="BC1660" s="114"/>
      <c r="BD1660" s="33"/>
      <c r="BE1660" s="33"/>
      <c r="BF1660" s="33"/>
      <c r="CI1660" s="36"/>
      <c r="CP1660" s="39"/>
      <c r="CQ1660" s="32"/>
      <c r="CR1660" s="40"/>
      <c r="CS1660" s="40"/>
      <c r="CT1660" s="40"/>
      <c r="CU1660" s="40"/>
      <c r="CV1660" s="40"/>
      <c r="CW1660" s="40"/>
      <c r="CX1660" s="40"/>
      <c r="CY1660" s="40"/>
      <c r="CZ1660" s="40"/>
    </row>
    <row r="1661" spans="30:104" x14ac:dyDescent="0.25">
      <c r="AD1661" s="33"/>
      <c r="AH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33"/>
      <c r="AX1661" s="33"/>
      <c r="AY1661" s="33"/>
      <c r="BA1661" s="33"/>
      <c r="BB1661" s="33"/>
      <c r="BC1661" s="114"/>
      <c r="BD1661" s="33"/>
      <c r="BE1661" s="33"/>
      <c r="BF1661" s="33"/>
      <c r="CI1661" s="35"/>
      <c r="CP1661" s="39"/>
      <c r="CQ1661" s="32"/>
      <c r="CR1661" s="40"/>
      <c r="CS1661" s="40"/>
      <c r="CT1661" s="33"/>
      <c r="CU1661" s="33"/>
      <c r="CV1661" s="33"/>
      <c r="CW1661" s="33"/>
      <c r="CX1661" s="33"/>
      <c r="CY1661" s="33"/>
      <c r="CZ1661" s="33"/>
    </row>
    <row r="1662" spans="30:104" x14ac:dyDescent="0.25">
      <c r="AD1662" s="33"/>
      <c r="AH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  <c r="BA1662" s="33"/>
      <c r="BB1662" s="33"/>
      <c r="BC1662" s="114"/>
      <c r="BD1662" s="33"/>
      <c r="BE1662" s="33"/>
      <c r="BF1662" s="33"/>
      <c r="CI1662" s="35"/>
      <c r="CP1662" s="39"/>
      <c r="CQ1662" s="32"/>
      <c r="CR1662" s="40"/>
      <c r="CS1662" s="40"/>
      <c r="CT1662" s="33"/>
      <c r="CU1662" s="33"/>
      <c r="CV1662" s="33"/>
      <c r="CW1662" s="33"/>
      <c r="CX1662" s="33"/>
      <c r="CY1662" s="33"/>
      <c r="CZ1662" s="33"/>
    </row>
    <row r="1663" spans="30:104" x14ac:dyDescent="0.25">
      <c r="AD1663" s="33"/>
      <c r="AH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  <c r="AX1663" s="33"/>
      <c r="AY1663" s="33"/>
      <c r="BA1663" s="33"/>
      <c r="BB1663" s="33"/>
      <c r="BC1663" s="114"/>
      <c r="BD1663" s="33"/>
      <c r="BE1663" s="33"/>
      <c r="BF1663" s="33"/>
      <c r="CI1663" s="35"/>
      <c r="CP1663" s="39"/>
      <c r="CQ1663" s="32"/>
      <c r="CR1663" s="40"/>
      <c r="CS1663" s="40"/>
      <c r="CT1663" s="33"/>
      <c r="CU1663" s="33"/>
      <c r="CV1663" s="33"/>
      <c r="CW1663" s="33"/>
      <c r="CX1663" s="33"/>
      <c r="CY1663" s="33"/>
      <c r="CZ1663" s="33"/>
    </row>
    <row r="1664" spans="30:104" x14ac:dyDescent="0.25">
      <c r="AD1664" s="33"/>
      <c r="AH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  <c r="AX1664" s="33"/>
      <c r="AY1664" s="33"/>
      <c r="BA1664" s="33"/>
      <c r="BB1664" s="33"/>
      <c r="BC1664" s="114"/>
      <c r="BD1664" s="33"/>
      <c r="BE1664" s="33"/>
      <c r="BF1664" s="33"/>
      <c r="CI1664" s="35"/>
      <c r="CP1664" s="39"/>
      <c r="CQ1664" s="32"/>
      <c r="CR1664" s="40"/>
      <c r="CS1664" s="40"/>
      <c r="CT1664" s="33"/>
      <c r="CU1664" s="33"/>
      <c r="CV1664" s="33"/>
      <c r="CW1664" s="33"/>
      <c r="CX1664" s="33"/>
      <c r="CY1664" s="33"/>
      <c r="CZ1664" s="33"/>
    </row>
    <row r="1665" spans="30:104" x14ac:dyDescent="0.25">
      <c r="AD1665" s="33"/>
      <c r="AH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  <c r="AX1665" s="33"/>
      <c r="AY1665" s="33"/>
      <c r="BA1665" s="33"/>
      <c r="BB1665" s="33"/>
      <c r="BC1665" s="114"/>
      <c r="BD1665" s="33"/>
      <c r="BE1665" s="33"/>
      <c r="BF1665" s="33"/>
      <c r="CI1665" s="35"/>
      <c r="CP1665" s="39"/>
      <c r="CQ1665" s="32"/>
      <c r="CR1665" s="40"/>
      <c r="CS1665" s="40"/>
      <c r="CT1665" s="33"/>
      <c r="CU1665" s="33"/>
      <c r="CV1665" s="33"/>
      <c r="CW1665" s="33"/>
      <c r="CX1665" s="33"/>
      <c r="CY1665" s="33"/>
      <c r="CZ1665" s="33"/>
    </row>
    <row r="1666" spans="30:104" x14ac:dyDescent="0.25">
      <c r="AD1666" s="33"/>
      <c r="AH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33"/>
      <c r="AX1666" s="33"/>
      <c r="AY1666" s="33"/>
      <c r="BA1666" s="33"/>
      <c r="BB1666" s="33"/>
      <c r="BC1666" s="114"/>
      <c r="BD1666" s="33"/>
      <c r="BE1666" s="33"/>
      <c r="BF1666" s="33"/>
      <c r="CI1666" s="35"/>
      <c r="CP1666" s="39"/>
      <c r="CQ1666" s="32"/>
      <c r="CR1666" s="40"/>
      <c r="CS1666" s="40"/>
      <c r="CT1666" s="33"/>
      <c r="CU1666" s="33"/>
      <c r="CV1666" s="33"/>
      <c r="CW1666" s="33"/>
      <c r="CX1666" s="33"/>
      <c r="CY1666" s="33"/>
      <c r="CZ1666" s="33"/>
    </row>
    <row r="1667" spans="30:104" x14ac:dyDescent="0.25">
      <c r="AD1667" s="33"/>
      <c r="AH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  <c r="AX1667" s="33"/>
      <c r="AY1667" s="33"/>
      <c r="BA1667" s="33"/>
      <c r="BB1667" s="33"/>
      <c r="BC1667" s="114"/>
      <c r="BD1667" s="33"/>
      <c r="BE1667" s="33"/>
      <c r="BF1667" s="33"/>
      <c r="CI1667" s="35"/>
      <c r="CP1667" s="39"/>
      <c r="CQ1667" s="32"/>
      <c r="CR1667" s="40"/>
      <c r="CS1667" s="40"/>
      <c r="CT1667" s="33"/>
      <c r="CU1667" s="33"/>
      <c r="CV1667" s="33"/>
      <c r="CW1667" s="33"/>
      <c r="CX1667" s="33"/>
      <c r="CY1667" s="33"/>
      <c r="CZ1667" s="33"/>
    </row>
    <row r="1668" spans="30:104" x14ac:dyDescent="0.25">
      <c r="AD1668" s="33"/>
      <c r="AH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  <c r="AX1668" s="33"/>
      <c r="AY1668" s="33"/>
      <c r="BA1668" s="33"/>
      <c r="BB1668" s="33"/>
      <c r="BC1668" s="114"/>
      <c r="BD1668" s="33"/>
      <c r="BE1668" s="33"/>
      <c r="BF1668" s="33"/>
      <c r="CI1668" s="35"/>
      <c r="CP1668" s="39"/>
      <c r="CQ1668" s="32"/>
      <c r="CR1668" s="40"/>
      <c r="CS1668" s="40"/>
      <c r="CT1668" s="33"/>
      <c r="CU1668" s="33"/>
      <c r="CV1668" s="33"/>
      <c r="CW1668" s="33"/>
      <c r="CX1668" s="33"/>
      <c r="CY1668" s="33"/>
      <c r="CZ1668" s="33"/>
    </row>
    <row r="1669" spans="30:104" x14ac:dyDescent="0.25">
      <c r="AD1669" s="33"/>
      <c r="AH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BA1669" s="33"/>
      <c r="BB1669" s="33"/>
      <c r="BC1669" s="114"/>
      <c r="BD1669" s="33"/>
      <c r="BE1669" s="33"/>
      <c r="BF1669" s="33"/>
      <c r="CI1669" s="35"/>
      <c r="CP1669" s="39"/>
      <c r="CQ1669" s="32"/>
      <c r="CR1669" s="40"/>
      <c r="CS1669" s="40"/>
      <c r="CT1669" s="33"/>
      <c r="CU1669" s="33"/>
      <c r="CV1669" s="33"/>
      <c r="CW1669" s="33"/>
      <c r="CX1669" s="33"/>
      <c r="CY1669" s="33"/>
      <c r="CZ1669" s="33"/>
    </row>
    <row r="1670" spans="30:104" x14ac:dyDescent="0.25">
      <c r="AD1670" s="33"/>
      <c r="AH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  <c r="AX1670" s="33"/>
      <c r="AY1670" s="33"/>
      <c r="BA1670" s="33"/>
      <c r="BB1670" s="33"/>
      <c r="BC1670" s="114"/>
      <c r="BD1670" s="33"/>
      <c r="BE1670" s="33"/>
      <c r="BF1670" s="33"/>
      <c r="CI1670" s="35"/>
      <c r="CP1670" s="39"/>
      <c r="CQ1670" s="32"/>
      <c r="CR1670" s="40"/>
      <c r="CS1670" s="40"/>
      <c r="CT1670" s="33"/>
      <c r="CU1670" s="33"/>
      <c r="CV1670" s="33"/>
      <c r="CW1670" s="33"/>
      <c r="CX1670" s="33"/>
      <c r="CY1670" s="33"/>
      <c r="CZ1670" s="33"/>
    </row>
    <row r="1671" spans="30:104" x14ac:dyDescent="0.25">
      <c r="AD1671" s="33"/>
      <c r="AH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  <c r="AX1671" s="33"/>
      <c r="AY1671" s="33"/>
      <c r="BA1671" s="33"/>
      <c r="BB1671" s="33"/>
      <c r="BC1671" s="114"/>
      <c r="BD1671" s="33"/>
      <c r="BE1671" s="33"/>
      <c r="BF1671" s="33"/>
      <c r="CI1671" s="35"/>
      <c r="CP1671" s="39"/>
      <c r="CQ1671" s="32"/>
      <c r="CR1671" s="40"/>
      <c r="CS1671" s="40"/>
      <c r="CT1671" s="33"/>
      <c r="CU1671" s="33"/>
      <c r="CV1671" s="33"/>
      <c r="CW1671" s="33"/>
      <c r="CX1671" s="33"/>
      <c r="CY1671" s="33"/>
      <c r="CZ1671" s="33"/>
    </row>
    <row r="1672" spans="30:104" x14ac:dyDescent="0.25">
      <c r="AD1672" s="33"/>
      <c r="AH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  <c r="AX1672" s="33"/>
      <c r="AY1672" s="33"/>
      <c r="BA1672" s="33"/>
      <c r="BB1672" s="33"/>
      <c r="BC1672" s="114"/>
      <c r="BD1672" s="33"/>
      <c r="BE1672" s="33"/>
      <c r="BF1672" s="33"/>
      <c r="CI1672" s="35"/>
      <c r="CP1672" s="39"/>
      <c r="CQ1672" s="32"/>
      <c r="CR1672" s="40"/>
      <c r="CS1672" s="40"/>
      <c r="CT1672" s="33"/>
      <c r="CU1672" s="33"/>
      <c r="CV1672" s="33"/>
      <c r="CW1672" s="33"/>
      <c r="CX1672" s="33"/>
      <c r="CY1672" s="33"/>
      <c r="CZ1672" s="33"/>
    </row>
    <row r="1673" spans="30:104" x14ac:dyDescent="0.25">
      <c r="AD1673" s="33"/>
      <c r="AH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  <c r="BA1673" s="33"/>
      <c r="BB1673" s="33"/>
      <c r="BC1673" s="114"/>
      <c r="BD1673" s="33"/>
      <c r="BE1673" s="33"/>
      <c r="BF1673" s="33"/>
      <c r="CI1673" s="35"/>
      <c r="CP1673" s="39"/>
      <c r="CQ1673" s="32"/>
      <c r="CR1673" s="40"/>
      <c r="CS1673" s="40"/>
      <c r="CT1673" s="33"/>
      <c r="CU1673" s="33"/>
      <c r="CV1673" s="33"/>
      <c r="CW1673" s="33"/>
      <c r="CX1673" s="33"/>
      <c r="CY1673" s="33"/>
      <c r="CZ1673" s="33"/>
    </row>
    <row r="1674" spans="30:104" x14ac:dyDescent="0.25">
      <c r="AD1674" s="33"/>
      <c r="AH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  <c r="BA1674" s="33"/>
      <c r="BB1674" s="33"/>
      <c r="BC1674" s="114"/>
      <c r="BD1674" s="33"/>
      <c r="BE1674" s="33"/>
      <c r="BF1674" s="33"/>
      <c r="CI1674" s="35"/>
      <c r="CP1674" s="39"/>
      <c r="CQ1674" s="32"/>
      <c r="CR1674" s="40"/>
      <c r="CS1674" s="40"/>
      <c r="CT1674" s="33"/>
      <c r="CU1674" s="33"/>
      <c r="CV1674" s="33"/>
      <c r="CW1674" s="33"/>
      <c r="CX1674" s="33"/>
      <c r="CY1674" s="33"/>
      <c r="CZ1674" s="33"/>
    </row>
    <row r="1675" spans="30:104" x14ac:dyDescent="0.25">
      <c r="AD1675" s="33"/>
      <c r="AH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V1675" s="33"/>
      <c r="AW1675" s="33"/>
      <c r="AX1675" s="33"/>
      <c r="AY1675" s="33"/>
      <c r="BA1675" s="33"/>
      <c r="BB1675" s="33"/>
      <c r="BC1675" s="114"/>
      <c r="BD1675" s="33"/>
      <c r="BE1675" s="33"/>
      <c r="BF1675" s="33"/>
      <c r="CI1675" s="35"/>
      <c r="CP1675" s="39"/>
      <c r="CQ1675" s="32"/>
      <c r="CR1675" s="40"/>
      <c r="CS1675" s="40"/>
      <c r="CT1675" s="33"/>
      <c r="CU1675" s="33"/>
      <c r="CV1675" s="33"/>
      <c r="CW1675" s="33"/>
      <c r="CX1675" s="33"/>
      <c r="CY1675" s="33"/>
      <c r="CZ1675" s="33"/>
    </row>
    <row r="1676" spans="30:104" x14ac:dyDescent="0.25">
      <c r="AD1676" s="33"/>
      <c r="AH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  <c r="AX1676" s="33"/>
      <c r="AY1676" s="33"/>
      <c r="BA1676" s="33"/>
      <c r="BB1676" s="33"/>
      <c r="BC1676" s="114"/>
      <c r="BD1676" s="33"/>
      <c r="BE1676" s="33"/>
      <c r="BF1676" s="33"/>
      <c r="CI1676" s="35"/>
      <c r="CP1676" s="39"/>
      <c r="CQ1676" s="32"/>
      <c r="CR1676" s="40"/>
      <c r="CS1676" s="40"/>
      <c r="CT1676" s="33"/>
      <c r="CU1676" s="33"/>
      <c r="CV1676" s="33"/>
      <c r="CW1676" s="33"/>
      <c r="CX1676" s="33"/>
      <c r="CY1676" s="33"/>
      <c r="CZ1676" s="33"/>
    </row>
    <row r="1677" spans="30:104" x14ac:dyDescent="0.25">
      <c r="AD1677" s="33"/>
      <c r="AH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BA1677" s="33"/>
      <c r="BB1677" s="33"/>
      <c r="BC1677" s="114"/>
      <c r="BD1677" s="33"/>
      <c r="BE1677" s="33"/>
      <c r="BF1677" s="33"/>
      <c r="CI1677" s="35"/>
      <c r="CP1677" s="39"/>
      <c r="CQ1677" s="32"/>
      <c r="CR1677" s="40"/>
      <c r="CS1677" s="40"/>
      <c r="CT1677" s="33"/>
      <c r="CU1677" s="33"/>
      <c r="CV1677" s="33"/>
      <c r="CW1677" s="33"/>
      <c r="CX1677" s="33"/>
      <c r="CY1677" s="33"/>
      <c r="CZ1677" s="33"/>
    </row>
    <row r="1678" spans="30:104" x14ac:dyDescent="0.25">
      <c r="AD1678" s="33"/>
      <c r="AH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  <c r="BA1678" s="33"/>
      <c r="BB1678" s="33"/>
      <c r="BC1678" s="114"/>
      <c r="BD1678" s="33"/>
      <c r="BE1678" s="33"/>
      <c r="BF1678" s="33"/>
      <c r="CI1678" s="35"/>
      <c r="CP1678" s="39"/>
      <c r="CQ1678" s="32"/>
      <c r="CR1678" s="40"/>
      <c r="CS1678" s="40"/>
      <c r="CT1678" s="33"/>
      <c r="CU1678" s="33"/>
      <c r="CV1678" s="33"/>
      <c r="CW1678" s="33"/>
      <c r="CX1678" s="33"/>
      <c r="CY1678" s="33"/>
      <c r="CZ1678" s="33"/>
    </row>
    <row r="1679" spans="30:104" x14ac:dyDescent="0.25">
      <c r="AD1679" s="33"/>
      <c r="AH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  <c r="BA1679" s="33"/>
      <c r="BB1679" s="33"/>
      <c r="BC1679" s="114"/>
      <c r="BD1679" s="33"/>
      <c r="BE1679" s="33"/>
      <c r="BF1679" s="33"/>
      <c r="CI1679" s="35"/>
      <c r="CP1679" s="39"/>
      <c r="CQ1679" s="32"/>
      <c r="CR1679" s="40"/>
      <c r="CS1679" s="40"/>
      <c r="CT1679" s="33"/>
      <c r="CU1679" s="33"/>
      <c r="CV1679" s="33"/>
      <c r="CW1679" s="33"/>
      <c r="CX1679" s="33"/>
      <c r="CY1679" s="33"/>
      <c r="CZ1679" s="33"/>
    </row>
    <row r="1680" spans="30:104" x14ac:dyDescent="0.25">
      <c r="AD1680" s="33"/>
      <c r="AH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  <c r="AX1680" s="33"/>
      <c r="AY1680" s="33"/>
      <c r="BA1680" s="33"/>
      <c r="BB1680" s="33"/>
      <c r="BC1680" s="114"/>
      <c r="BD1680" s="33"/>
      <c r="BE1680" s="33"/>
      <c r="BF1680" s="33"/>
      <c r="CI1680" s="35"/>
      <c r="CP1680" s="39"/>
      <c r="CQ1680" s="32"/>
      <c r="CR1680" s="40"/>
      <c r="CS1680" s="40"/>
      <c r="CT1680" s="33"/>
      <c r="CU1680" s="33"/>
      <c r="CV1680" s="33"/>
      <c r="CW1680" s="33"/>
      <c r="CX1680" s="33"/>
      <c r="CY1680" s="33"/>
      <c r="CZ1680" s="33"/>
    </row>
    <row r="1681" spans="30:104" x14ac:dyDescent="0.25">
      <c r="AD1681" s="33"/>
      <c r="AH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  <c r="BA1681" s="33"/>
      <c r="BB1681" s="33"/>
      <c r="BC1681" s="114"/>
      <c r="BD1681" s="33"/>
      <c r="BE1681" s="33"/>
      <c r="BF1681" s="33"/>
      <c r="CI1681" s="35"/>
      <c r="CP1681" s="39"/>
      <c r="CQ1681" s="32"/>
      <c r="CR1681" s="40"/>
      <c r="CS1681" s="40"/>
      <c r="CT1681" s="33"/>
      <c r="CU1681" s="33"/>
      <c r="CV1681" s="33"/>
      <c r="CW1681" s="33"/>
      <c r="CX1681" s="33"/>
      <c r="CY1681" s="33"/>
      <c r="CZ1681" s="33"/>
    </row>
    <row r="1682" spans="30:104" x14ac:dyDescent="0.25">
      <c r="AD1682" s="33"/>
      <c r="AH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BA1682" s="33"/>
      <c r="BB1682" s="33"/>
      <c r="BC1682" s="114"/>
      <c r="BD1682" s="33"/>
      <c r="BE1682" s="33"/>
      <c r="BF1682" s="33"/>
      <c r="CI1682" s="36"/>
      <c r="CP1682" s="39"/>
      <c r="CQ1682" s="32"/>
      <c r="CR1682" s="40"/>
      <c r="CS1682" s="40"/>
      <c r="CT1682" s="40"/>
      <c r="CU1682" s="40"/>
      <c r="CV1682" s="40"/>
      <c r="CW1682" s="40"/>
      <c r="CX1682" s="40"/>
      <c r="CY1682" s="40"/>
      <c r="CZ1682" s="40"/>
    </row>
    <row r="1683" spans="30:104" x14ac:dyDescent="0.25">
      <c r="AD1683" s="33"/>
      <c r="AH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33"/>
      <c r="AX1683" s="33"/>
      <c r="AY1683" s="33"/>
      <c r="BA1683" s="33"/>
      <c r="BB1683" s="33"/>
      <c r="BC1683" s="114"/>
      <c r="BD1683" s="33"/>
      <c r="BE1683" s="33"/>
      <c r="BF1683" s="33"/>
      <c r="CI1683" s="35"/>
      <c r="CP1683" s="39"/>
      <c r="CQ1683" s="32"/>
      <c r="CR1683" s="40"/>
      <c r="CS1683" s="40"/>
      <c r="CT1683" s="33"/>
      <c r="CU1683" s="33"/>
      <c r="CV1683" s="33"/>
      <c r="CW1683" s="33"/>
      <c r="CX1683" s="33"/>
      <c r="CY1683" s="33"/>
      <c r="CZ1683" s="33"/>
    </row>
    <row r="1684" spans="30:104" x14ac:dyDescent="0.25">
      <c r="AD1684" s="33"/>
      <c r="AH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  <c r="AX1684" s="33"/>
      <c r="AY1684" s="33"/>
      <c r="BA1684" s="33"/>
      <c r="BB1684" s="33"/>
      <c r="BC1684" s="114"/>
      <c r="BD1684" s="33"/>
      <c r="BE1684" s="33"/>
      <c r="BF1684" s="33"/>
      <c r="CI1684" s="35"/>
      <c r="CP1684" s="39"/>
      <c r="CQ1684" s="32"/>
      <c r="CR1684" s="40"/>
      <c r="CS1684" s="40"/>
      <c r="CT1684" s="33"/>
      <c r="CU1684" s="33"/>
      <c r="CV1684" s="33"/>
      <c r="CW1684" s="33"/>
      <c r="CX1684" s="33"/>
      <c r="CY1684" s="33"/>
      <c r="CZ1684" s="33"/>
    </row>
    <row r="1685" spans="30:104" x14ac:dyDescent="0.25">
      <c r="AD1685" s="33"/>
      <c r="AH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  <c r="BA1685" s="33"/>
      <c r="BB1685" s="33"/>
      <c r="BC1685" s="114"/>
      <c r="BD1685" s="33"/>
      <c r="BE1685" s="33"/>
      <c r="BF1685" s="33"/>
      <c r="CI1685" s="35"/>
      <c r="CP1685" s="39"/>
      <c r="CQ1685" s="32"/>
      <c r="CR1685" s="40"/>
      <c r="CS1685" s="40"/>
      <c r="CT1685" s="33"/>
      <c r="CU1685" s="33"/>
      <c r="CV1685" s="33"/>
      <c r="CW1685" s="33"/>
      <c r="CX1685" s="33"/>
      <c r="CY1685" s="33"/>
      <c r="CZ1685" s="33"/>
    </row>
    <row r="1686" spans="30:104" x14ac:dyDescent="0.25">
      <c r="AD1686" s="33"/>
      <c r="AH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  <c r="AX1686" s="33"/>
      <c r="AY1686" s="33"/>
      <c r="BA1686" s="33"/>
      <c r="BB1686" s="33"/>
      <c r="BC1686" s="114"/>
      <c r="BD1686" s="33"/>
      <c r="BE1686" s="33"/>
      <c r="BF1686" s="33"/>
      <c r="CI1686" s="35"/>
      <c r="CP1686" s="39"/>
      <c r="CQ1686" s="32"/>
      <c r="CR1686" s="40"/>
      <c r="CS1686" s="40"/>
      <c r="CT1686" s="33"/>
      <c r="CU1686" s="33"/>
      <c r="CV1686" s="33"/>
      <c r="CW1686" s="33"/>
      <c r="CX1686" s="33"/>
      <c r="CY1686" s="33"/>
      <c r="CZ1686" s="33"/>
    </row>
    <row r="1687" spans="30:104" x14ac:dyDescent="0.25">
      <c r="AD1687" s="33"/>
      <c r="AH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  <c r="AX1687" s="33"/>
      <c r="AY1687" s="33"/>
      <c r="BA1687" s="33"/>
      <c r="BB1687" s="33"/>
      <c r="BC1687" s="114"/>
      <c r="BD1687" s="33"/>
      <c r="BE1687" s="33"/>
      <c r="BF1687" s="33"/>
      <c r="CI1687" s="35"/>
      <c r="CP1687" s="39"/>
      <c r="CQ1687" s="32"/>
      <c r="CR1687" s="40"/>
      <c r="CS1687" s="40"/>
      <c r="CT1687" s="33"/>
      <c r="CU1687" s="33"/>
      <c r="CV1687" s="33"/>
      <c r="CW1687" s="33"/>
      <c r="CX1687" s="33"/>
      <c r="CY1687" s="33"/>
      <c r="CZ1687" s="33"/>
    </row>
    <row r="1688" spans="30:104" x14ac:dyDescent="0.25">
      <c r="AD1688" s="33"/>
      <c r="AH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33"/>
      <c r="AX1688" s="33"/>
      <c r="AY1688" s="33"/>
      <c r="BA1688" s="33"/>
      <c r="BB1688" s="33"/>
      <c r="BC1688" s="114"/>
      <c r="BD1688" s="33"/>
      <c r="BE1688" s="33"/>
      <c r="BF1688" s="33"/>
      <c r="CI1688" s="35"/>
      <c r="CP1688" s="39"/>
      <c r="CQ1688" s="32"/>
      <c r="CR1688" s="40"/>
      <c r="CS1688" s="40"/>
      <c r="CT1688" s="33"/>
      <c r="CU1688" s="33"/>
      <c r="CV1688" s="33"/>
      <c r="CW1688" s="33"/>
      <c r="CX1688" s="33"/>
      <c r="CY1688" s="33"/>
      <c r="CZ1688" s="33"/>
    </row>
    <row r="1689" spans="30:104" x14ac:dyDescent="0.25">
      <c r="AD1689" s="33"/>
      <c r="AH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  <c r="BA1689" s="33"/>
      <c r="BB1689" s="33"/>
      <c r="BC1689" s="114"/>
      <c r="BD1689" s="33"/>
      <c r="BE1689" s="33"/>
      <c r="BF1689" s="33"/>
      <c r="CI1689" s="35"/>
      <c r="CP1689" s="39"/>
      <c r="CQ1689" s="32"/>
      <c r="CR1689" s="40"/>
      <c r="CS1689" s="40"/>
      <c r="CT1689" s="33"/>
      <c r="CU1689" s="33"/>
      <c r="CV1689" s="33"/>
      <c r="CW1689" s="33"/>
      <c r="CX1689" s="33"/>
      <c r="CY1689" s="33"/>
      <c r="CZ1689" s="33"/>
    </row>
    <row r="1690" spans="30:104" x14ac:dyDescent="0.25">
      <c r="AD1690" s="33"/>
      <c r="AH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V1690" s="33"/>
      <c r="AW1690" s="33"/>
      <c r="AX1690" s="33"/>
      <c r="AY1690" s="33"/>
      <c r="BA1690" s="33"/>
      <c r="BB1690" s="33"/>
      <c r="BC1690" s="114"/>
      <c r="BD1690" s="33"/>
      <c r="BE1690" s="33"/>
      <c r="BF1690" s="33"/>
      <c r="CI1690" s="35"/>
      <c r="CP1690" s="39"/>
      <c r="CQ1690" s="32"/>
      <c r="CR1690" s="40"/>
      <c r="CS1690" s="40"/>
      <c r="CT1690" s="33"/>
      <c r="CU1690" s="33"/>
      <c r="CV1690" s="33"/>
      <c r="CW1690" s="33"/>
      <c r="CX1690" s="33"/>
      <c r="CY1690" s="33"/>
      <c r="CZ1690" s="33"/>
    </row>
    <row r="1691" spans="30:104" x14ac:dyDescent="0.25">
      <c r="AD1691" s="33"/>
      <c r="AH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  <c r="AX1691" s="33"/>
      <c r="AY1691" s="33"/>
      <c r="BA1691" s="33"/>
      <c r="BB1691" s="33"/>
      <c r="BC1691" s="114"/>
      <c r="BD1691" s="33"/>
      <c r="BE1691" s="33"/>
      <c r="BF1691" s="33"/>
      <c r="CI1691" s="35"/>
      <c r="CP1691" s="39"/>
      <c r="CQ1691" s="32"/>
      <c r="CR1691" s="40"/>
      <c r="CS1691" s="40"/>
      <c r="CT1691" s="33"/>
      <c r="CU1691" s="33"/>
      <c r="CV1691" s="33"/>
      <c r="CW1691" s="33"/>
      <c r="CX1691" s="33"/>
      <c r="CY1691" s="33"/>
      <c r="CZ1691" s="33"/>
    </row>
    <row r="1692" spans="30:104" x14ac:dyDescent="0.25">
      <c r="AD1692" s="33"/>
      <c r="AH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  <c r="BA1692" s="33"/>
      <c r="BB1692" s="33"/>
      <c r="BC1692" s="114"/>
      <c r="BD1692" s="33"/>
      <c r="BE1692" s="33"/>
      <c r="BF1692" s="33"/>
      <c r="CI1692" s="35"/>
      <c r="CP1692" s="39"/>
      <c r="CQ1692" s="32"/>
      <c r="CR1692" s="40"/>
      <c r="CS1692" s="40"/>
      <c r="CT1692" s="33"/>
      <c r="CU1692" s="33"/>
      <c r="CV1692" s="33"/>
      <c r="CW1692" s="33"/>
      <c r="CX1692" s="33"/>
      <c r="CY1692" s="33"/>
      <c r="CZ1692" s="33"/>
    </row>
    <row r="1693" spans="30:104" x14ac:dyDescent="0.25">
      <c r="AD1693" s="33"/>
      <c r="AH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  <c r="AX1693" s="33"/>
      <c r="AY1693" s="33"/>
      <c r="BA1693" s="33"/>
      <c r="BB1693" s="33"/>
      <c r="BC1693" s="33"/>
      <c r="BD1693" s="33"/>
      <c r="BE1693" s="33"/>
      <c r="BF1693" s="33"/>
      <c r="CI1693" s="35"/>
      <c r="CP1693" s="39"/>
      <c r="CQ1693" s="32"/>
      <c r="CR1693" s="40"/>
      <c r="CS1693" s="40"/>
      <c r="CT1693" s="33"/>
      <c r="CU1693" s="33"/>
      <c r="CV1693" s="33"/>
      <c r="CW1693" s="33"/>
      <c r="CX1693" s="33"/>
      <c r="CY1693" s="33"/>
      <c r="CZ1693" s="33"/>
    </row>
    <row r="1694" spans="30:104" x14ac:dyDescent="0.25">
      <c r="AD1694" s="33"/>
      <c r="AH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BA1694" s="33"/>
      <c r="BB1694" s="33"/>
      <c r="BC1694" s="33"/>
      <c r="BD1694" s="33"/>
      <c r="BE1694" s="33"/>
      <c r="BF1694" s="33"/>
      <c r="CI1694" s="35"/>
      <c r="CP1694" s="39"/>
      <c r="CQ1694" s="32"/>
      <c r="CR1694" s="40"/>
      <c r="CS1694" s="40"/>
      <c r="CT1694" s="33"/>
      <c r="CU1694" s="33"/>
      <c r="CV1694" s="33"/>
      <c r="CW1694" s="33"/>
      <c r="CX1694" s="33"/>
      <c r="CY1694" s="33"/>
      <c r="CZ1694" s="33"/>
    </row>
    <row r="1695" spans="30:104" x14ac:dyDescent="0.25">
      <c r="AD1695" s="33"/>
      <c r="AH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BA1695" s="33"/>
      <c r="BB1695" s="33"/>
      <c r="BC1695" s="33"/>
      <c r="BD1695" s="33"/>
      <c r="BE1695" s="33"/>
      <c r="BF1695" s="33"/>
      <c r="CI1695" s="35"/>
      <c r="CP1695" s="39"/>
      <c r="CQ1695" s="32"/>
      <c r="CR1695" s="40"/>
      <c r="CS1695" s="40"/>
      <c r="CT1695" s="33"/>
      <c r="CU1695" s="33"/>
      <c r="CV1695" s="33"/>
      <c r="CW1695" s="33"/>
      <c r="CX1695" s="33"/>
      <c r="CY1695" s="33"/>
      <c r="CZ1695" s="33"/>
    </row>
    <row r="1696" spans="30:104" x14ac:dyDescent="0.25">
      <c r="AD1696" s="33"/>
      <c r="AH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BA1696" s="33"/>
      <c r="BB1696" s="33"/>
      <c r="BC1696" s="33"/>
      <c r="BD1696" s="33"/>
      <c r="BE1696" s="33"/>
      <c r="BF1696" s="33"/>
      <c r="CI1696" s="35"/>
      <c r="CP1696" s="39"/>
      <c r="CQ1696" s="32"/>
      <c r="CR1696" s="40"/>
      <c r="CS1696" s="40"/>
      <c r="CT1696" s="33"/>
      <c r="CU1696" s="33"/>
      <c r="CV1696" s="33"/>
      <c r="CW1696" s="33"/>
      <c r="CX1696" s="33"/>
      <c r="CY1696" s="33"/>
      <c r="CZ1696" s="33"/>
    </row>
    <row r="1697" spans="30:104" x14ac:dyDescent="0.25">
      <c r="AD1697" s="33"/>
      <c r="AH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BA1697" s="33"/>
      <c r="BB1697" s="33"/>
      <c r="BC1697" s="33"/>
      <c r="BD1697" s="33"/>
      <c r="BE1697" s="33"/>
      <c r="BF1697" s="33"/>
      <c r="CI1697" s="35"/>
      <c r="CP1697" s="39"/>
      <c r="CQ1697" s="32"/>
      <c r="CR1697" s="40"/>
      <c r="CS1697" s="40"/>
      <c r="CT1697" s="33"/>
      <c r="CU1697" s="33"/>
      <c r="CV1697" s="33"/>
      <c r="CW1697" s="33"/>
      <c r="CX1697" s="33"/>
      <c r="CY1697" s="33"/>
      <c r="CZ1697" s="33"/>
    </row>
    <row r="1698" spans="30:104" x14ac:dyDescent="0.25">
      <c r="AD1698" s="33"/>
      <c r="AH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  <c r="BA1698" s="33"/>
      <c r="BB1698" s="33"/>
      <c r="BC1698" s="33"/>
      <c r="BD1698" s="33"/>
      <c r="BE1698" s="33"/>
      <c r="BF1698" s="33"/>
      <c r="CI1698" s="35"/>
      <c r="CP1698" s="39"/>
      <c r="CQ1698" s="32"/>
      <c r="CR1698" s="40"/>
      <c r="CS1698" s="40"/>
      <c r="CT1698" s="33"/>
      <c r="CU1698" s="33"/>
      <c r="CV1698" s="33"/>
      <c r="CW1698" s="33"/>
      <c r="CX1698" s="33"/>
      <c r="CY1698" s="33"/>
      <c r="CZ1698" s="33"/>
    </row>
    <row r="1699" spans="30:104" x14ac:dyDescent="0.25">
      <c r="AD1699" s="33"/>
      <c r="AH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BA1699" s="33"/>
      <c r="BB1699" s="33"/>
      <c r="BC1699" s="33"/>
      <c r="BD1699" s="33"/>
      <c r="BE1699" s="33"/>
      <c r="BF1699" s="33"/>
      <c r="CI1699" s="35"/>
      <c r="CP1699" s="39"/>
      <c r="CQ1699" s="32"/>
      <c r="CR1699" s="40"/>
      <c r="CS1699" s="40"/>
      <c r="CT1699" s="33"/>
      <c r="CU1699" s="33"/>
      <c r="CV1699" s="33"/>
      <c r="CW1699" s="33"/>
      <c r="CX1699" s="33"/>
      <c r="CY1699" s="33"/>
      <c r="CZ1699" s="33"/>
    </row>
    <row r="1700" spans="30:104" x14ac:dyDescent="0.25">
      <c r="AD1700" s="33"/>
      <c r="AH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BA1700" s="33"/>
      <c r="BB1700" s="33"/>
      <c r="BC1700" s="33"/>
      <c r="BD1700" s="33"/>
      <c r="BE1700" s="33"/>
      <c r="BF1700" s="33"/>
      <c r="CI1700" s="35"/>
      <c r="CP1700" s="39"/>
      <c r="CQ1700" s="32"/>
      <c r="CR1700" s="40"/>
      <c r="CS1700" s="40"/>
      <c r="CT1700" s="33"/>
      <c r="CU1700" s="33"/>
      <c r="CV1700" s="33"/>
      <c r="CW1700" s="33"/>
      <c r="CX1700" s="33"/>
      <c r="CY1700" s="33"/>
      <c r="CZ1700" s="33"/>
    </row>
    <row r="1701" spans="30:104" x14ac:dyDescent="0.25">
      <c r="AD1701" s="33"/>
      <c r="AH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BA1701" s="33"/>
      <c r="BB1701" s="33"/>
      <c r="BC1701" s="33"/>
      <c r="BD1701" s="33"/>
      <c r="BE1701" s="33"/>
      <c r="BF1701" s="33"/>
      <c r="CI1701" s="35"/>
      <c r="CP1701" s="39"/>
      <c r="CQ1701" s="32"/>
      <c r="CR1701" s="40"/>
      <c r="CS1701" s="40"/>
      <c r="CT1701" s="33"/>
      <c r="CU1701" s="33"/>
      <c r="CV1701" s="33"/>
      <c r="CW1701" s="33"/>
      <c r="CX1701" s="33"/>
      <c r="CY1701" s="33"/>
      <c r="CZ1701" s="33"/>
    </row>
    <row r="1702" spans="30:104" x14ac:dyDescent="0.25">
      <c r="AD1702" s="33"/>
      <c r="AH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BA1702" s="33"/>
      <c r="BB1702" s="33"/>
      <c r="BC1702" s="33"/>
      <c r="BD1702" s="33"/>
      <c r="BE1702" s="33"/>
      <c r="BF1702" s="33"/>
      <c r="CI1702" s="35"/>
      <c r="CP1702" s="39"/>
      <c r="CQ1702" s="32"/>
      <c r="CR1702" s="40"/>
      <c r="CS1702" s="40"/>
      <c r="CT1702" s="33"/>
      <c r="CU1702" s="33"/>
      <c r="CV1702" s="33"/>
      <c r="CW1702" s="33"/>
      <c r="CX1702" s="33"/>
      <c r="CY1702" s="33"/>
      <c r="CZ1702" s="33"/>
    </row>
    <row r="1703" spans="30:104" x14ac:dyDescent="0.25">
      <c r="AD1703" s="33"/>
      <c r="AH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BA1703" s="33"/>
      <c r="BB1703" s="33"/>
      <c r="BC1703" s="33"/>
      <c r="BD1703" s="33"/>
      <c r="BE1703" s="33"/>
      <c r="BF1703" s="33"/>
      <c r="CI1703" s="35"/>
      <c r="CP1703" s="39"/>
      <c r="CQ1703" s="32"/>
      <c r="CR1703" s="40"/>
      <c r="CS1703" s="40"/>
      <c r="CT1703" s="33"/>
      <c r="CU1703" s="33"/>
      <c r="CV1703" s="33"/>
      <c r="CW1703" s="33"/>
      <c r="CX1703" s="33"/>
      <c r="CY1703" s="33"/>
      <c r="CZ1703" s="33"/>
    </row>
    <row r="1704" spans="30:104" x14ac:dyDescent="0.25">
      <c r="AD1704" s="33"/>
      <c r="AH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BA1704" s="33"/>
      <c r="BB1704" s="33"/>
      <c r="BC1704" s="33"/>
      <c r="BD1704" s="33"/>
      <c r="BE1704" s="33"/>
      <c r="BF1704" s="33"/>
      <c r="CI1704" s="36"/>
      <c r="CP1704" s="39"/>
      <c r="CQ1704" s="32"/>
      <c r="CR1704" s="40"/>
      <c r="CS1704" s="40"/>
      <c r="CT1704" s="40"/>
      <c r="CU1704" s="40"/>
      <c r="CV1704" s="40"/>
      <c r="CW1704" s="40"/>
      <c r="CX1704" s="40"/>
      <c r="CY1704" s="40"/>
      <c r="CZ1704" s="40"/>
    </row>
    <row r="1705" spans="30:104" x14ac:dyDescent="0.25">
      <c r="AD1705" s="33"/>
      <c r="AH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BA1705" s="33"/>
      <c r="BB1705" s="33"/>
      <c r="BC1705" s="33"/>
      <c r="BD1705" s="33"/>
      <c r="BE1705" s="33"/>
      <c r="BF1705" s="33"/>
      <c r="CI1705" s="35"/>
      <c r="CP1705" s="39"/>
      <c r="CQ1705" s="32"/>
      <c r="CR1705" s="40"/>
      <c r="CS1705" s="40"/>
      <c r="CT1705" s="33"/>
      <c r="CU1705" s="33"/>
      <c r="CV1705" s="33"/>
      <c r="CW1705" s="33"/>
      <c r="CX1705" s="33"/>
      <c r="CY1705" s="33"/>
      <c r="CZ1705" s="33"/>
    </row>
    <row r="1706" spans="30:104" x14ac:dyDescent="0.25">
      <c r="AD1706" s="33"/>
      <c r="AH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BA1706" s="33"/>
      <c r="BB1706" s="33"/>
      <c r="BC1706" s="33"/>
      <c r="BD1706" s="33"/>
      <c r="BE1706" s="33"/>
      <c r="BF1706" s="33"/>
      <c r="CI1706" s="35"/>
      <c r="CP1706" s="39"/>
      <c r="CQ1706" s="32"/>
      <c r="CR1706" s="40"/>
      <c r="CS1706" s="40"/>
      <c r="CT1706" s="33"/>
      <c r="CU1706" s="33"/>
      <c r="CV1706" s="33"/>
      <c r="CW1706" s="33"/>
      <c r="CX1706" s="33"/>
      <c r="CY1706" s="33"/>
      <c r="CZ1706" s="33"/>
    </row>
    <row r="1707" spans="30:104" x14ac:dyDescent="0.25">
      <c r="AD1707" s="33"/>
      <c r="AH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BA1707" s="33"/>
      <c r="BB1707" s="33"/>
      <c r="BC1707" s="33"/>
      <c r="BD1707" s="33"/>
      <c r="BE1707" s="33"/>
      <c r="BF1707" s="33"/>
      <c r="CI1707" s="35"/>
      <c r="CP1707" s="39"/>
      <c r="CQ1707" s="32"/>
      <c r="CR1707" s="40"/>
      <c r="CS1707" s="40"/>
      <c r="CT1707" s="33"/>
      <c r="CU1707" s="33"/>
      <c r="CV1707" s="33"/>
      <c r="CW1707" s="33"/>
      <c r="CX1707" s="33"/>
      <c r="CY1707" s="33"/>
      <c r="CZ1707" s="33"/>
    </row>
    <row r="1708" spans="30:104" x14ac:dyDescent="0.25">
      <c r="AD1708" s="33"/>
      <c r="AH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BA1708" s="33"/>
      <c r="BB1708" s="33"/>
      <c r="BC1708" s="33"/>
      <c r="BD1708" s="33"/>
      <c r="BE1708" s="33"/>
      <c r="BF1708" s="33"/>
      <c r="CI1708" s="35"/>
      <c r="CP1708" s="39"/>
      <c r="CQ1708" s="32"/>
      <c r="CR1708" s="40"/>
      <c r="CS1708" s="40"/>
      <c r="CT1708" s="33"/>
      <c r="CU1708" s="33"/>
      <c r="CV1708" s="33"/>
      <c r="CW1708" s="33"/>
      <c r="CX1708" s="33"/>
      <c r="CY1708" s="33"/>
      <c r="CZ1708" s="33"/>
    </row>
    <row r="1709" spans="30:104" x14ac:dyDescent="0.25">
      <c r="AD1709" s="33"/>
      <c r="AH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BA1709" s="33"/>
      <c r="BB1709" s="33"/>
      <c r="BC1709" s="33"/>
      <c r="BD1709" s="33"/>
      <c r="BE1709" s="33"/>
      <c r="BF1709" s="33"/>
      <c r="CI1709" s="35"/>
      <c r="CP1709" s="39"/>
      <c r="CQ1709" s="32"/>
      <c r="CR1709" s="40"/>
      <c r="CS1709" s="40"/>
      <c r="CT1709" s="33"/>
      <c r="CU1709" s="33"/>
      <c r="CV1709" s="33"/>
      <c r="CW1709" s="33"/>
      <c r="CX1709" s="33"/>
      <c r="CY1709" s="33"/>
      <c r="CZ1709" s="33"/>
    </row>
    <row r="1710" spans="30:104" x14ac:dyDescent="0.25">
      <c r="AD1710" s="33"/>
      <c r="AH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BA1710" s="33"/>
      <c r="BB1710" s="33"/>
      <c r="BC1710" s="33"/>
      <c r="BD1710" s="33"/>
      <c r="BE1710" s="33"/>
      <c r="BF1710" s="33"/>
      <c r="CI1710" s="35"/>
      <c r="CP1710" s="39"/>
      <c r="CQ1710" s="32"/>
      <c r="CR1710" s="40"/>
      <c r="CS1710" s="40"/>
      <c r="CT1710" s="33"/>
      <c r="CU1710" s="33"/>
      <c r="CV1710" s="33"/>
      <c r="CW1710" s="33"/>
      <c r="CX1710" s="33"/>
      <c r="CY1710" s="33"/>
      <c r="CZ1710" s="33"/>
    </row>
    <row r="1711" spans="30:104" x14ac:dyDescent="0.25">
      <c r="AD1711" s="33"/>
      <c r="AH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BA1711" s="33"/>
      <c r="BB1711" s="33"/>
      <c r="BC1711" s="33"/>
      <c r="BD1711" s="33"/>
      <c r="BE1711" s="33"/>
      <c r="BF1711" s="33"/>
      <c r="CI1711" s="35"/>
      <c r="CP1711" s="39"/>
      <c r="CQ1711" s="32"/>
      <c r="CR1711" s="40"/>
      <c r="CS1711" s="40"/>
      <c r="CT1711" s="33"/>
      <c r="CU1711" s="33"/>
      <c r="CV1711" s="33"/>
      <c r="CW1711" s="33"/>
      <c r="CX1711" s="33"/>
      <c r="CY1711" s="33"/>
      <c r="CZ1711" s="33"/>
    </row>
    <row r="1712" spans="30:104" x14ac:dyDescent="0.25">
      <c r="AD1712" s="33"/>
      <c r="AH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BA1712" s="33"/>
      <c r="BB1712" s="33"/>
      <c r="BC1712" s="33"/>
      <c r="BD1712" s="33"/>
      <c r="BE1712" s="33"/>
      <c r="BF1712" s="33"/>
      <c r="CI1712" s="35"/>
      <c r="CP1712" s="39"/>
      <c r="CQ1712" s="32"/>
      <c r="CR1712" s="40"/>
      <c r="CS1712" s="40"/>
      <c r="CT1712" s="33"/>
      <c r="CU1712" s="33"/>
      <c r="CV1712" s="33"/>
      <c r="CW1712" s="33"/>
      <c r="CX1712" s="33"/>
      <c r="CY1712" s="33"/>
      <c r="CZ1712" s="33"/>
    </row>
    <row r="1713" spans="30:104" x14ac:dyDescent="0.25">
      <c r="AD1713" s="33"/>
      <c r="AH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BA1713" s="33"/>
      <c r="BB1713" s="33"/>
      <c r="BC1713" s="33"/>
      <c r="BD1713" s="33"/>
      <c r="BE1713" s="33"/>
      <c r="BF1713" s="33"/>
      <c r="CI1713" s="35"/>
      <c r="CP1713" s="39"/>
      <c r="CQ1713" s="32"/>
      <c r="CR1713" s="40"/>
      <c r="CS1713" s="40"/>
      <c r="CT1713" s="33"/>
      <c r="CU1713" s="33"/>
      <c r="CV1713" s="33"/>
      <c r="CW1713" s="33"/>
      <c r="CX1713" s="33"/>
      <c r="CY1713" s="33"/>
      <c r="CZ1713" s="33"/>
    </row>
    <row r="1714" spans="30:104" x14ac:dyDescent="0.25">
      <c r="AD1714" s="33"/>
      <c r="AH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BA1714" s="33"/>
      <c r="BB1714" s="33"/>
      <c r="BC1714" s="33"/>
      <c r="BD1714" s="33"/>
      <c r="BE1714" s="33"/>
      <c r="BF1714" s="33"/>
      <c r="CI1714" s="35"/>
      <c r="CP1714" s="39"/>
      <c r="CQ1714" s="32"/>
      <c r="CR1714" s="40"/>
      <c r="CS1714" s="40"/>
      <c r="CT1714" s="33"/>
      <c r="CU1714" s="33"/>
      <c r="CV1714" s="33"/>
      <c r="CW1714" s="33"/>
      <c r="CX1714" s="33"/>
      <c r="CY1714" s="33"/>
      <c r="CZ1714" s="33"/>
    </row>
    <row r="1715" spans="30:104" x14ac:dyDescent="0.25">
      <c r="AD1715" s="33"/>
      <c r="AH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BA1715" s="33"/>
      <c r="BB1715" s="33"/>
      <c r="BC1715" s="33"/>
      <c r="BD1715" s="33"/>
      <c r="BE1715" s="33"/>
      <c r="BF1715" s="33"/>
      <c r="CI1715" s="35"/>
      <c r="CP1715" s="39"/>
      <c r="CQ1715" s="32"/>
      <c r="CR1715" s="40"/>
      <c r="CS1715" s="40"/>
      <c r="CT1715" s="33"/>
      <c r="CU1715" s="33"/>
      <c r="CV1715" s="33"/>
      <c r="CW1715" s="33"/>
      <c r="CX1715" s="33"/>
      <c r="CY1715" s="33"/>
      <c r="CZ1715" s="33"/>
    </row>
    <row r="1716" spans="30:104" x14ac:dyDescent="0.25">
      <c r="AD1716" s="33"/>
      <c r="AH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V1716" s="33"/>
      <c r="AW1716" s="33"/>
      <c r="AX1716" s="33"/>
      <c r="AY1716" s="33"/>
      <c r="BA1716" s="33"/>
      <c r="BB1716" s="33"/>
      <c r="BC1716" s="33"/>
      <c r="BD1716" s="33"/>
      <c r="BE1716" s="33"/>
      <c r="BF1716" s="33"/>
      <c r="CI1716" s="35"/>
      <c r="CP1716" s="39"/>
      <c r="CQ1716" s="32"/>
      <c r="CR1716" s="40"/>
      <c r="CS1716" s="40"/>
      <c r="CT1716" s="33"/>
      <c r="CU1716" s="33"/>
      <c r="CV1716" s="33"/>
      <c r="CW1716" s="33"/>
      <c r="CX1716" s="33"/>
      <c r="CY1716" s="33"/>
      <c r="CZ1716" s="33"/>
    </row>
    <row r="1717" spans="30:104" x14ac:dyDescent="0.25">
      <c r="AD1717" s="33"/>
      <c r="AH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  <c r="AX1717" s="33"/>
      <c r="AY1717" s="33"/>
      <c r="BA1717" s="33"/>
      <c r="BB1717" s="33"/>
      <c r="BC1717" s="33"/>
      <c r="BD1717" s="33"/>
      <c r="BE1717" s="33"/>
      <c r="BF1717" s="33"/>
      <c r="CI1717" s="35"/>
      <c r="CP1717" s="39"/>
      <c r="CQ1717" s="32"/>
      <c r="CR1717" s="40"/>
      <c r="CS1717" s="40"/>
      <c r="CT1717" s="33"/>
      <c r="CU1717" s="33"/>
      <c r="CV1717" s="33"/>
      <c r="CW1717" s="33"/>
      <c r="CX1717" s="33"/>
      <c r="CY1717" s="33"/>
      <c r="CZ1717" s="33"/>
    </row>
    <row r="1718" spans="30:104" x14ac:dyDescent="0.25">
      <c r="AD1718" s="33"/>
      <c r="AH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  <c r="AX1718" s="33"/>
      <c r="AY1718" s="33"/>
      <c r="BA1718" s="33"/>
      <c r="BB1718" s="33"/>
      <c r="BC1718" s="33"/>
      <c r="BD1718" s="33"/>
      <c r="BE1718" s="33"/>
      <c r="BF1718" s="33"/>
      <c r="CI1718" s="35"/>
      <c r="CP1718" s="39"/>
      <c r="CQ1718" s="32"/>
      <c r="CR1718" s="40"/>
      <c r="CS1718" s="40"/>
      <c r="CT1718" s="33"/>
      <c r="CU1718" s="33"/>
      <c r="CV1718" s="33"/>
      <c r="CW1718" s="33"/>
      <c r="CX1718" s="33"/>
      <c r="CY1718" s="33"/>
      <c r="CZ1718" s="33"/>
    </row>
    <row r="1719" spans="30:104" x14ac:dyDescent="0.25">
      <c r="AD1719" s="33"/>
      <c r="AH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  <c r="AX1719" s="33"/>
      <c r="AY1719" s="33"/>
      <c r="BA1719" s="33"/>
      <c r="BB1719" s="33"/>
      <c r="BC1719" s="33"/>
      <c r="BD1719" s="33"/>
      <c r="BE1719" s="33"/>
      <c r="BF1719" s="33"/>
      <c r="CI1719" s="35"/>
      <c r="CP1719" s="39"/>
      <c r="CQ1719" s="32"/>
      <c r="CR1719" s="40"/>
      <c r="CS1719" s="40"/>
      <c r="CT1719" s="33"/>
      <c r="CU1719" s="33"/>
      <c r="CV1719" s="33"/>
      <c r="CW1719" s="33"/>
      <c r="CX1719" s="33"/>
      <c r="CY1719" s="33"/>
      <c r="CZ1719" s="33"/>
    </row>
    <row r="1720" spans="30:104" x14ac:dyDescent="0.25">
      <c r="AD1720" s="33"/>
      <c r="AH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  <c r="AX1720" s="33"/>
      <c r="AY1720" s="33"/>
      <c r="BA1720" s="33"/>
      <c r="BB1720" s="33"/>
      <c r="BC1720" s="33"/>
      <c r="BD1720" s="33"/>
      <c r="BE1720" s="33"/>
      <c r="BF1720" s="33"/>
      <c r="CI1720" s="35"/>
      <c r="CP1720" s="39"/>
      <c r="CQ1720" s="32"/>
      <c r="CR1720" s="40"/>
      <c r="CS1720" s="40"/>
      <c r="CT1720" s="33"/>
      <c r="CU1720" s="33"/>
      <c r="CV1720" s="33"/>
      <c r="CW1720" s="33"/>
      <c r="CX1720" s="33"/>
      <c r="CY1720" s="33"/>
      <c r="CZ1720" s="33"/>
    </row>
    <row r="1721" spans="30:104" x14ac:dyDescent="0.25">
      <c r="AD1721" s="33"/>
      <c r="AH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V1721" s="33"/>
      <c r="AW1721" s="33"/>
      <c r="AX1721" s="33"/>
      <c r="AY1721" s="33"/>
      <c r="BA1721" s="33"/>
      <c r="BB1721" s="33"/>
      <c r="BC1721" s="33"/>
      <c r="BD1721" s="33"/>
      <c r="BE1721" s="33"/>
      <c r="BF1721" s="33"/>
      <c r="CI1721" s="35"/>
      <c r="CP1721" s="39"/>
      <c r="CQ1721" s="32"/>
      <c r="CR1721" s="40"/>
      <c r="CS1721" s="40"/>
      <c r="CT1721" s="33"/>
      <c r="CU1721" s="33"/>
      <c r="CV1721" s="33"/>
      <c r="CW1721" s="33"/>
      <c r="CX1721" s="33"/>
      <c r="CY1721" s="33"/>
      <c r="CZ1721" s="33"/>
    </row>
    <row r="1722" spans="30:104" x14ac:dyDescent="0.25">
      <c r="AD1722" s="33"/>
      <c r="AH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33"/>
      <c r="AX1722" s="33"/>
      <c r="AY1722" s="33"/>
      <c r="BA1722" s="33"/>
      <c r="BB1722" s="33"/>
      <c r="BC1722" s="33"/>
      <c r="BD1722" s="33"/>
      <c r="BE1722" s="33"/>
      <c r="BF1722" s="33"/>
      <c r="CI1722" s="35"/>
      <c r="CP1722" s="39"/>
      <c r="CQ1722" s="32"/>
      <c r="CR1722" s="40"/>
      <c r="CS1722" s="40"/>
      <c r="CT1722" s="33"/>
      <c r="CU1722" s="33"/>
      <c r="CV1722" s="33"/>
      <c r="CW1722" s="33"/>
      <c r="CX1722" s="33"/>
      <c r="CY1722" s="33"/>
      <c r="CZ1722" s="33"/>
    </row>
    <row r="1723" spans="30:104" x14ac:dyDescent="0.25">
      <c r="AD1723" s="33"/>
      <c r="AH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33"/>
      <c r="AX1723" s="33"/>
      <c r="AY1723" s="33"/>
      <c r="BA1723" s="33"/>
      <c r="BB1723" s="33"/>
      <c r="BC1723" s="33"/>
      <c r="BD1723" s="33"/>
      <c r="BE1723" s="33"/>
      <c r="BF1723" s="33"/>
      <c r="CI1723" s="35"/>
      <c r="CP1723" s="39"/>
      <c r="CQ1723" s="32"/>
      <c r="CR1723" s="40"/>
      <c r="CS1723" s="40"/>
      <c r="CT1723" s="33"/>
      <c r="CU1723" s="33"/>
      <c r="CV1723" s="33"/>
      <c r="CW1723" s="33"/>
      <c r="CX1723" s="33"/>
      <c r="CY1723" s="33"/>
      <c r="CZ1723" s="33"/>
    </row>
    <row r="1724" spans="30:104" x14ac:dyDescent="0.25">
      <c r="AD1724" s="33"/>
      <c r="AH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33"/>
      <c r="AX1724" s="33"/>
      <c r="AY1724" s="33"/>
      <c r="BA1724" s="33"/>
      <c r="BB1724" s="33"/>
      <c r="BC1724" s="33"/>
      <c r="BD1724" s="33"/>
      <c r="BE1724" s="33"/>
      <c r="BF1724" s="33"/>
      <c r="CI1724" s="35"/>
      <c r="CP1724" s="39"/>
      <c r="CQ1724" s="32"/>
      <c r="CR1724" s="40"/>
      <c r="CS1724" s="40"/>
      <c r="CT1724" s="33"/>
      <c r="CU1724" s="33"/>
      <c r="CV1724" s="33"/>
      <c r="CW1724" s="33"/>
      <c r="CX1724" s="33"/>
      <c r="CY1724" s="33"/>
      <c r="CZ1724" s="33"/>
    </row>
    <row r="1725" spans="30:104" x14ac:dyDescent="0.25">
      <c r="AD1725" s="33"/>
      <c r="AH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  <c r="AX1725" s="33"/>
      <c r="AY1725" s="33"/>
      <c r="BA1725" s="33"/>
      <c r="BB1725" s="33"/>
      <c r="BC1725" s="33"/>
      <c r="BD1725" s="33"/>
      <c r="BE1725" s="33"/>
      <c r="BF1725" s="33"/>
      <c r="CI1725" s="35"/>
      <c r="CP1725" s="39"/>
      <c r="CQ1725" s="32"/>
      <c r="CR1725" s="40"/>
      <c r="CS1725" s="40"/>
      <c r="CT1725" s="33"/>
      <c r="CU1725" s="33"/>
      <c r="CV1725" s="33"/>
      <c r="CW1725" s="33"/>
      <c r="CX1725" s="33"/>
      <c r="CY1725" s="33"/>
      <c r="CZ1725" s="33"/>
    </row>
    <row r="1726" spans="30:104" x14ac:dyDescent="0.25">
      <c r="AD1726" s="33"/>
      <c r="AH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BA1726" s="33"/>
      <c r="BB1726" s="33"/>
      <c r="BC1726" s="33"/>
      <c r="BD1726" s="33"/>
      <c r="BE1726" s="33"/>
      <c r="BF1726" s="33"/>
      <c r="CP1726" s="39"/>
      <c r="CQ1726" s="32"/>
      <c r="CR1726" s="40"/>
      <c r="CS1726" s="40"/>
      <c r="CT1726" s="40"/>
      <c r="CU1726" s="40"/>
      <c r="CV1726" s="40"/>
      <c r="CW1726" s="40"/>
      <c r="CX1726" s="40"/>
      <c r="CY1726" s="40"/>
      <c r="CZ1726" s="40"/>
    </row>
    <row r="1727" spans="30:104" x14ac:dyDescent="0.25">
      <c r="AD1727" s="33"/>
      <c r="AH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33"/>
      <c r="AX1727" s="33"/>
      <c r="AY1727" s="33"/>
      <c r="BA1727" s="33"/>
      <c r="BB1727" s="33"/>
      <c r="BC1727" s="33"/>
      <c r="BD1727" s="33"/>
      <c r="BE1727" s="33"/>
      <c r="BF1727" s="33"/>
      <c r="CP1727" s="39"/>
      <c r="CQ1727" s="32"/>
    </row>
    <row r="1728" spans="30:104" x14ac:dyDescent="0.25">
      <c r="AD1728" s="33"/>
      <c r="AH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  <c r="AX1728" s="33"/>
      <c r="AY1728" s="33"/>
      <c r="BA1728" s="33"/>
      <c r="BB1728" s="33"/>
      <c r="BC1728" s="33"/>
      <c r="BD1728" s="33"/>
      <c r="BE1728" s="33"/>
      <c r="BF1728" s="33"/>
      <c r="CP1728" s="39"/>
      <c r="CQ1728" s="32"/>
    </row>
    <row r="1729" spans="30:95" x14ac:dyDescent="0.25">
      <c r="AD1729" s="33"/>
      <c r="AH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  <c r="AX1729" s="33"/>
      <c r="AY1729" s="33"/>
      <c r="BA1729" s="33"/>
      <c r="BB1729" s="33"/>
      <c r="BC1729" s="33"/>
      <c r="BD1729" s="33"/>
      <c r="BE1729" s="33"/>
      <c r="BF1729" s="33"/>
      <c r="CP1729" s="39"/>
      <c r="CQ1729" s="32"/>
    </row>
    <row r="1730" spans="30:95" x14ac:dyDescent="0.25">
      <c r="AD1730" s="33"/>
      <c r="AH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  <c r="AX1730" s="33"/>
      <c r="AY1730" s="33"/>
      <c r="BA1730" s="33"/>
      <c r="BB1730" s="33"/>
      <c r="BC1730" s="33"/>
      <c r="BD1730" s="33"/>
      <c r="BE1730" s="33"/>
      <c r="BF1730" s="33"/>
      <c r="CP1730" s="39"/>
      <c r="CQ1730" s="32"/>
    </row>
    <row r="1731" spans="30:95" x14ac:dyDescent="0.25">
      <c r="AD1731" s="33"/>
      <c r="AH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33"/>
      <c r="AX1731" s="33"/>
      <c r="AY1731" s="33"/>
      <c r="BA1731" s="33"/>
      <c r="BB1731" s="33"/>
      <c r="BC1731" s="33"/>
      <c r="BD1731" s="33"/>
      <c r="BE1731" s="33"/>
      <c r="BF1731" s="33"/>
      <c r="CP1731" s="39"/>
      <c r="CQ1731" s="32"/>
    </row>
    <row r="1732" spans="30:95" x14ac:dyDescent="0.25">
      <c r="AD1732" s="33"/>
      <c r="AH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  <c r="AX1732" s="33"/>
      <c r="AY1732" s="33"/>
      <c r="BA1732" s="33"/>
      <c r="BB1732" s="33"/>
      <c r="BC1732" s="33"/>
      <c r="BD1732" s="33"/>
      <c r="BE1732" s="33"/>
      <c r="BF1732" s="33"/>
      <c r="CP1732" s="39"/>
      <c r="CQ1732" s="32"/>
    </row>
    <row r="1733" spans="30:95" x14ac:dyDescent="0.25">
      <c r="AD1733" s="33"/>
      <c r="AH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V1733" s="33"/>
      <c r="AW1733" s="33"/>
      <c r="AX1733" s="33"/>
      <c r="AY1733" s="33"/>
      <c r="BA1733" s="33"/>
      <c r="BB1733" s="33"/>
      <c r="BC1733" s="33"/>
      <c r="BD1733" s="33"/>
      <c r="BE1733" s="33"/>
      <c r="BF1733" s="33"/>
      <c r="CP1733" s="39"/>
      <c r="CQ1733" s="32"/>
    </row>
    <row r="1734" spans="30:95" x14ac:dyDescent="0.25">
      <c r="AD1734" s="33"/>
      <c r="AH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33"/>
      <c r="AX1734" s="33"/>
      <c r="AY1734" s="33"/>
      <c r="BA1734" s="33"/>
      <c r="BB1734" s="33"/>
      <c r="BC1734" s="33"/>
      <c r="BD1734" s="33"/>
      <c r="BE1734" s="33"/>
      <c r="BF1734" s="33"/>
      <c r="CP1734" s="39"/>
      <c r="CQ1734" s="32"/>
    </row>
    <row r="1735" spans="30:95" x14ac:dyDescent="0.25">
      <c r="AD1735" s="33"/>
      <c r="AH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33"/>
      <c r="AX1735" s="33"/>
      <c r="AY1735" s="33"/>
      <c r="BA1735" s="33"/>
      <c r="BB1735" s="33"/>
      <c r="BC1735" s="33"/>
      <c r="BD1735" s="33"/>
      <c r="BE1735" s="33"/>
      <c r="BF1735" s="33"/>
      <c r="CP1735" s="39"/>
      <c r="CQ1735" s="32"/>
    </row>
    <row r="1736" spans="30:95" x14ac:dyDescent="0.25">
      <c r="AD1736" s="33"/>
      <c r="AH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  <c r="AX1736" s="33"/>
      <c r="AY1736" s="33"/>
      <c r="BA1736" s="33"/>
      <c r="BB1736" s="33"/>
      <c r="BC1736" s="33"/>
      <c r="BD1736" s="33"/>
      <c r="BE1736" s="33"/>
      <c r="BF1736" s="33"/>
      <c r="CP1736" s="39"/>
      <c r="CQ1736" s="32"/>
    </row>
    <row r="1737" spans="30:95" x14ac:dyDescent="0.25">
      <c r="AD1737" s="33"/>
      <c r="AH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  <c r="BA1737" s="33"/>
      <c r="BB1737" s="33"/>
      <c r="BC1737" s="33"/>
      <c r="BD1737" s="33"/>
      <c r="BE1737" s="33"/>
      <c r="BF1737" s="33"/>
      <c r="CP1737" s="39"/>
      <c r="CQ1737" s="32"/>
    </row>
    <row r="1738" spans="30:95" x14ac:dyDescent="0.25">
      <c r="AD1738" s="33"/>
      <c r="AH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  <c r="BA1738" s="33"/>
      <c r="BB1738" s="33"/>
      <c r="BC1738" s="33"/>
      <c r="BD1738" s="33"/>
      <c r="BE1738" s="33"/>
      <c r="BF1738" s="33"/>
      <c r="CP1738" s="39"/>
      <c r="CQ1738" s="32"/>
    </row>
    <row r="1739" spans="30:95" x14ac:dyDescent="0.25">
      <c r="AD1739" s="33"/>
      <c r="AH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33"/>
      <c r="AX1739" s="33"/>
      <c r="AY1739" s="33"/>
      <c r="BA1739" s="33"/>
      <c r="BB1739" s="33"/>
      <c r="BC1739" s="33"/>
      <c r="BD1739" s="33"/>
      <c r="BE1739" s="33"/>
      <c r="BF1739" s="33"/>
      <c r="CP1739" s="39"/>
      <c r="CQ1739" s="32"/>
    </row>
    <row r="1740" spans="30:95" x14ac:dyDescent="0.25">
      <c r="AD1740" s="33"/>
      <c r="AH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  <c r="AX1740" s="33"/>
      <c r="AY1740" s="33"/>
      <c r="BA1740" s="33"/>
      <c r="BB1740" s="33"/>
      <c r="BC1740" s="33"/>
      <c r="BD1740" s="33"/>
      <c r="BE1740" s="33"/>
      <c r="BF1740" s="33"/>
      <c r="CP1740" s="39"/>
      <c r="CQ1740" s="32"/>
    </row>
    <row r="1741" spans="30:95" x14ac:dyDescent="0.25">
      <c r="AD1741" s="33"/>
      <c r="AH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V1741" s="33"/>
      <c r="AW1741" s="33"/>
      <c r="AX1741" s="33"/>
      <c r="AY1741" s="33"/>
      <c r="BA1741" s="33"/>
      <c r="BB1741" s="33"/>
      <c r="BC1741" s="33"/>
      <c r="BD1741" s="33"/>
      <c r="BE1741" s="33"/>
      <c r="BF1741" s="33"/>
      <c r="CP1741" s="39"/>
      <c r="CQ1741" s="32"/>
    </row>
    <row r="1742" spans="30:95" x14ac:dyDescent="0.25">
      <c r="AD1742" s="33"/>
      <c r="AH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  <c r="AX1742" s="33"/>
      <c r="AY1742" s="33"/>
      <c r="BA1742" s="33"/>
      <c r="BB1742" s="33"/>
      <c r="BC1742" s="33"/>
      <c r="BD1742" s="33"/>
      <c r="BE1742" s="33"/>
      <c r="BF1742" s="33"/>
      <c r="CP1742" s="39"/>
      <c r="CQ1742" s="32"/>
    </row>
    <row r="1743" spans="30:95" x14ac:dyDescent="0.25">
      <c r="AD1743" s="33"/>
      <c r="AH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  <c r="AX1743" s="33"/>
      <c r="AY1743" s="33"/>
      <c r="BA1743" s="33"/>
      <c r="BB1743" s="33"/>
      <c r="BC1743" s="33"/>
      <c r="BD1743" s="33"/>
      <c r="BE1743" s="33"/>
      <c r="BF1743" s="33"/>
      <c r="CP1743" s="39"/>
      <c r="CQ1743" s="32"/>
    </row>
    <row r="1744" spans="30:95" x14ac:dyDescent="0.25">
      <c r="AD1744" s="33"/>
      <c r="AH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  <c r="AX1744" s="33"/>
      <c r="AY1744" s="33"/>
      <c r="BA1744" s="33"/>
      <c r="BB1744" s="33"/>
      <c r="BC1744" s="33"/>
      <c r="BD1744" s="33"/>
      <c r="BE1744" s="33"/>
      <c r="BF1744" s="33"/>
      <c r="CP1744" s="39"/>
      <c r="CQ1744" s="32"/>
    </row>
    <row r="1745" spans="30:95" x14ac:dyDescent="0.25">
      <c r="AD1745" s="33"/>
      <c r="AH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BA1745" s="33"/>
      <c r="BB1745" s="33"/>
      <c r="BC1745" s="33"/>
      <c r="BD1745" s="33"/>
      <c r="BE1745" s="33"/>
      <c r="BF1745" s="33"/>
      <c r="CP1745" s="39"/>
      <c r="CQ1745" s="32"/>
    </row>
    <row r="1746" spans="30:95" x14ac:dyDescent="0.25">
      <c r="AD1746" s="33"/>
      <c r="AH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BA1746" s="33"/>
      <c r="BB1746" s="33"/>
      <c r="BC1746" s="33"/>
      <c r="BD1746" s="33"/>
      <c r="BE1746" s="33"/>
      <c r="BF1746" s="33"/>
      <c r="CP1746" s="39"/>
      <c r="CQ1746" s="32"/>
    </row>
    <row r="1747" spans="30:95" x14ac:dyDescent="0.25">
      <c r="AD1747" s="33"/>
      <c r="AH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  <c r="AX1747" s="33"/>
      <c r="AY1747" s="33"/>
      <c r="BA1747" s="33"/>
      <c r="BB1747" s="33"/>
      <c r="BC1747" s="33"/>
      <c r="BD1747" s="33"/>
      <c r="BE1747" s="33"/>
      <c r="BF1747" s="33"/>
      <c r="CP1747" s="39"/>
      <c r="CQ1747" s="32"/>
    </row>
    <row r="1748" spans="30:95" x14ac:dyDescent="0.25">
      <c r="AD1748" s="33"/>
      <c r="AH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33"/>
      <c r="AX1748" s="33"/>
      <c r="AY1748" s="33"/>
      <c r="BA1748" s="33"/>
      <c r="BB1748" s="33"/>
      <c r="BC1748" s="33"/>
      <c r="BD1748" s="33"/>
      <c r="BE1748" s="33"/>
      <c r="BF1748" s="33"/>
      <c r="CP1748" s="39"/>
      <c r="CQ1748" s="32"/>
    </row>
    <row r="1749" spans="30:95" x14ac:dyDescent="0.25">
      <c r="AD1749" s="33"/>
      <c r="AH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  <c r="AX1749" s="33"/>
      <c r="AY1749" s="33"/>
      <c r="BA1749" s="33"/>
      <c r="BB1749" s="33"/>
      <c r="BC1749" s="33"/>
      <c r="BD1749" s="33"/>
      <c r="BE1749" s="33"/>
      <c r="BF1749" s="33"/>
      <c r="CP1749" s="39"/>
      <c r="CQ1749" s="32"/>
    </row>
    <row r="1750" spans="30:95" x14ac:dyDescent="0.25">
      <c r="AD1750" s="33"/>
      <c r="AH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  <c r="AX1750" s="33"/>
      <c r="AY1750" s="33"/>
      <c r="BA1750" s="33"/>
      <c r="BB1750" s="33"/>
      <c r="BC1750" s="33"/>
      <c r="BD1750" s="33"/>
      <c r="BE1750" s="33"/>
      <c r="BF1750" s="33"/>
      <c r="CP1750" s="39"/>
      <c r="CQ1750" s="32"/>
    </row>
    <row r="1751" spans="30:95" x14ac:dyDescent="0.25">
      <c r="AD1751" s="33"/>
      <c r="AH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  <c r="AX1751" s="33"/>
      <c r="AY1751" s="33"/>
      <c r="BA1751" s="33"/>
      <c r="BB1751" s="33"/>
      <c r="BC1751" s="33"/>
      <c r="BD1751" s="33"/>
      <c r="BE1751" s="33"/>
      <c r="BF1751" s="33"/>
      <c r="CP1751" s="39"/>
      <c r="CQ1751" s="32"/>
    </row>
    <row r="1752" spans="30:95" x14ac:dyDescent="0.25">
      <c r="AD1752" s="33"/>
      <c r="AH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  <c r="AX1752" s="33"/>
      <c r="AY1752" s="33"/>
      <c r="BA1752" s="33"/>
      <c r="BB1752" s="33"/>
      <c r="BC1752" s="33"/>
      <c r="BD1752" s="33"/>
      <c r="BE1752" s="33"/>
      <c r="BF1752" s="33"/>
      <c r="CP1752" s="39"/>
      <c r="CQ1752" s="32"/>
    </row>
    <row r="1753" spans="30:95" x14ac:dyDescent="0.25">
      <c r="AD1753" s="33"/>
      <c r="AH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V1753" s="33"/>
      <c r="AW1753" s="33"/>
      <c r="AX1753" s="33"/>
      <c r="AY1753" s="33"/>
      <c r="BA1753" s="33"/>
      <c r="BB1753" s="33"/>
      <c r="BC1753" s="33"/>
      <c r="BD1753" s="33"/>
      <c r="BE1753" s="33"/>
      <c r="BF1753" s="33"/>
      <c r="CP1753" s="39"/>
      <c r="CQ1753" s="32"/>
    </row>
    <row r="1754" spans="30:95" x14ac:dyDescent="0.25">
      <c r="AD1754" s="33"/>
      <c r="AH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33"/>
      <c r="AX1754" s="33"/>
      <c r="AY1754" s="33"/>
      <c r="BA1754" s="33"/>
      <c r="BB1754" s="33"/>
      <c r="BC1754" s="33"/>
      <c r="BD1754" s="33"/>
      <c r="BE1754" s="33"/>
      <c r="BF1754" s="33"/>
      <c r="CP1754" s="39"/>
      <c r="CQ1754" s="32"/>
    </row>
    <row r="1755" spans="30:95" x14ac:dyDescent="0.25">
      <c r="AD1755" s="33"/>
      <c r="AH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  <c r="AX1755" s="33"/>
      <c r="AY1755" s="33"/>
      <c r="BA1755" s="33"/>
      <c r="BB1755" s="33"/>
      <c r="BC1755" s="33"/>
      <c r="BD1755" s="33"/>
      <c r="BE1755" s="33"/>
      <c r="BF1755" s="33"/>
      <c r="CP1755" s="39"/>
      <c r="CQ1755" s="32"/>
    </row>
    <row r="1756" spans="30:95" x14ac:dyDescent="0.25">
      <c r="AD1756" s="33"/>
      <c r="AH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BA1756" s="33"/>
      <c r="BB1756" s="33"/>
      <c r="BC1756" s="33"/>
      <c r="BD1756" s="33"/>
      <c r="BE1756" s="33"/>
      <c r="BF1756" s="33"/>
      <c r="CP1756" s="39"/>
      <c r="CQ1756" s="32"/>
    </row>
    <row r="1757" spans="30:95" x14ac:dyDescent="0.25">
      <c r="AD1757" s="33"/>
      <c r="AH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BA1757" s="33"/>
      <c r="BB1757" s="33"/>
      <c r="BC1757" s="33"/>
      <c r="BD1757" s="33"/>
      <c r="BE1757" s="33"/>
      <c r="BF1757" s="33"/>
      <c r="CP1757" s="39"/>
      <c r="CQ1757" s="32"/>
    </row>
    <row r="1758" spans="30:95" x14ac:dyDescent="0.25">
      <c r="AD1758" s="33"/>
      <c r="AH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BA1758" s="33"/>
      <c r="BB1758" s="33"/>
      <c r="BC1758" s="33"/>
      <c r="BD1758" s="33"/>
      <c r="BE1758" s="33"/>
      <c r="BF1758" s="33"/>
      <c r="CP1758" s="39"/>
      <c r="CQ1758" s="32"/>
    </row>
    <row r="1759" spans="30:95" x14ac:dyDescent="0.25">
      <c r="AD1759" s="33"/>
      <c r="AH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  <c r="BA1759" s="33"/>
      <c r="BB1759" s="33"/>
      <c r="BC1759" s="33"/>
      <c r="BD1759" s="33"/>
      <c r="BE1759" s="33"/>
      <c r="BF1759" s="33"/>
      <c r="CP1759" s="39"/>
      <c r="CQ1759" s="32"/>
    </row>
    <row r="1760" spans="30:95" x14ac:dyDescent="0.25">
      <c r="AD1760" s="33"/>
      <c r="AH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  <c r="AX1760" s="33"/>
      <c r="AY1760" s="33"/>
      <c r="BA1760" s="33"/>
      <c r="BB1760" s="33"/>
      <c r="BC1760" s="33"/>
      <c r="BD1760" s="33"/>
      <c r="BE1760" s="33"/>
      <c r="BF1760" s="33"/>
      <c r="CP1760" s="39"/>
      <c r="CQ1760" s="32"/>
    </row>
    <row r="1761" spans="30:95" x14ac:dyDescent="0.25">
      <c r="AD1761" s="33"/>
      <c r="AH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33"/>
      <c r="AX1761" s="33"/>
      <c r="AY1761" s="33"/>
      <c r="BA1761" s="33"/>
      <c r="BB1761" s="33"/>
      <c r="BC1761" s="33"/>
      <c r="BD1761" s="33"/>
      <c r="BE1761" s="33"/>
      <c r="BF1761" s="33"/>
      <c r="CP1761" s="39"/>
      <c r="CQ1761" s="32"/>
    </row>
    <row r="1762" spans="30:95" x14ac:dyDescent="0.25">
      <c r="AD1762" s="33"/>
      <c r="AH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33"/>
      <c r="AX1762" s="33"/>
      <c r="AY1762" s="33"/>
      <c r="BA1762" s="33"/>
      <c r="BB1762" s="33"/>
      <c r="BC1762" s="33"/>
      <c r="BD1762" s="33"/>
      <c r="BE1762" s="33"/>
      <c r="BF1762" s="33"/>
      <c r="CP1762" s="39"/>
      <c r="CQ1762" s="32"/>
    </row>
    <row r="1763" spans="30:95" x14ac:dyDescent="0.25">
      <c r="AD1763" s="33"/>
      <c r="AH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  <c r="BA1763" s="33"/>
      <c r="BB1763" s="33"/>
      <c r="BC1763" s="33"/>
      <c r="BD1763" s="33"/>
      <c r="BE1763" s="33"/>
      <c r="BF1763" s="33"/>
      <c r="CP1763" s="39"/>
      <c r="CQ1763" s="32"/>
    </row>
    <row r="1764" spans="30:95" x14ac:dyDescent="0.25">
      <c r="AD1764" s="33"/>
      <c r="AH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33"/>
      <c r="AX1764" s="33"/>
      <c r="AY1764" s="33"/>
      <c r="BA1764" s="33"/>
      <c r="BB1764" s="33"/>
      <c r="BC1764" s="33"/>
      <c r="BD1764" s="33"/>
      <c r="BE1764" s="33"/>
      <c r="BF1764" s="33"/>
      <c r="CP1764" s="39"/>
      <c r="CQ1764" s="32"/>
    </row>
    <row r="1765" spans="30:95" x14ac:dyDescent="0.25">
      <c r="AD1765" s="33"/>
      <c r="AH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  <c r="AX1765" s="33"/>
      <c r="AY1765" s="33"/>
      <c r="BA1765" s="33"/>
      <c r="BB1765" s="33"/>
      <c r="BC1765" s="33"/>
      <c r="BD1765" s="33"/>
      <c r="BE1765" s="33"/>
      <c r="BF1765" s="33"/>
      <c r="CP1765" s="39"/>
      <c r="CQ1765" s="32"/>
    </row>
    <row r="1766" spans="30:95" x14ac:dyDescent="0.25">
      <c r="AD1766" s="33"/>
      <c r="AH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  <c r="BA1766" s="33"/>
      <c r="BB1766" s="33"/>
      <c r="BC1766" s="33"/>
      <c r="BD1766" s="33"/>
      <c r="BE1766" s="33"/>
      <c r="BF1766" s="33"/>
      <c r="CP1766" s="39"/>
      <c r="CQ1766" s="32"/>
    </row>
    <row r="1767" spans="30:95" x14ac:dyDescent="0.25">
      <c r="AD1767" s="33"/>
      <c r="AH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33"/>
      <c r="AX1767" s="33"/>
      <c r="AY1767" s="33"/>
      <c r="BA1767" s="33"/>
      <c r="BB1767" s="33"/>
      <c r="BC1767" s="33"/>
      <c r="BD1767" s="33"/>
      <c r="BE1767" s="33"/>
      <c r="BF1767" s="33"/>
      <c r="CP1767" s="39"/>
      <c r="CQ1767" s="32"/>
    </row>
    <row r="1768" spans="30:95" x14ac:dyDescent="0.25">
      <c r="AD1768" s="33"/>
      <c r="AH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  <c r="BA1768" s="33"/>
      <c r="BB1768" s="33"/>
      <c r="BC1768" s="33"/>
      <c r="BD1768" s="33"/>
      <c r="BE1768" s="33"/>
      <c r="BF1768" s="33"/>
      <c r="CP1768" s="39"/>
      <c r="CQ1768" s="32"/>
    </row>
    <row r="1769" spans="30:95" x14ac:dyDescent="0.25">
      <c r="AD1769" s="33"/>
      <c r="AH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  <c r="AX1769" s="33"/>
      <c r="AY1769" s="33"/>
      <c r="BA1769" s="33"/>
      <c r="BB1769" s="33"/>
      <c r="BC1769" s="33"/>
      <c r="BD1769" s="33"/>
      <c r="BE1769" s="33"/>
      <c r="BF1769" s="33"/>
      <c r="CP1769" s="39"/>
      <c r="CQ1769" s="32"/>
    </row>
    <row r="1770" spans="30:95" x14ac:dyDescent="0.25">
      <c r="AD1770" s="33"/>
      <c r="AH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33"/>
      <c r="AX1770" s="33"/>
      <c r="AY1770" s="33"/>
      <c r="BA1770" s="33"/>
      <c r="BB1770" s="33"/>
      <c r="BC1770" s="33"/>
      <c r="BD1770" s="33"/>
      <c r="BE1770" s="33"/>
      <c r="BF1770" s="33"/>
      <c r="CP1770" s="39"/>
      <c r="CQ1770" s="32"/>
    </row>
    <row r="1771" spans="30:95" x14ac:dyDescent="0.25">
      <c r="AD1771" s="33"/>
      <c r="AH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  <c r="AX1771" s="33"/>
      <c r="AY1771" s="33"/>
      <c r="BA1771" s="33"/>
      <c r="BB1771" s="33"/>
      <c r="BC1771" s="33"/>
      <c r="BD1771" s="33"/>
      <c r="BE1771" s="33"/>
      <c r="BF1771" s="33"/>
      <c r="CP1771" s="39"/>
      <c r="CQ1771" s="32"/>
    </row>
    <row r="1772" spans="30:95" x14ac:dyDescent="0.25">
      <c r="AD1772" s="33"/>
      <c r="AH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  <c r="AX1772" s="33"/>
      <c r="AY1772" s="33"/>
      <c r="BA1772" s="33"/>
      <c r="BB1772" s="33"/>
      <c r="BC1772" s="33"/>
      <c r="BD1772" s="33"/>
      <c r="BE1772" s="33"/>
      <c r="BF1772" s="33"/>
      <c r="CP1772" s="39"/>
      <c r="CQ1772" s="32"/>
    </row>
    <row r="1773" spans="30:95" x14ac:dyDescent="0.25">
      <c r="AD1773" s="33"/>
      <c r="AH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  <c r="AX1773" s="33"/>
      <c r="AY1773" s="33"/>
      <c r="BA1773" s="33"/>
      <c r="BB1773" s="33"/>
      <c r="BC1773" s="33"/>
      <c r="BD1773" s="33"/>
      <c r="BE1773" s="33"/>
      <c r="BF1773" s="33"/>
      <c r="CP1773" s="39"/>
      <c r="CQ1773" s="32"/>
    </row>
    <row r="1774" spans="30:95" x14ac:dyDescent="0.25">
      <c r="AD1774" s="33"/>
      <c r="AH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  <c r="AX1774" s="33"/>
      <c r="AY1774" s="33"/>
      <c r="BA1774" s="33"/>
      <c r="BB1774" s="33"/>
      <c r="BC1774" s="33"/>
      <c r="BD1774" s="33"/>
      <c r="BE1774" s="33"/>
      <c r="BF1774" s="33"/>
      <c r="CP1774" s="39"/>
      <c r="CQ1774" s="32"/>
    </row>
    <row r="1775" spans="30:95" x14ac:dyDescent="0.25">
      <c r="AD1775" s="33"/>
      <c r="AH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  <c r="BA1775" s="33"/>
      <c r="BB1775" s="33"/>
      <c r="BC1775" s="33"/>
      <c r="BD1775" s="33"/>
      <c r="BE1775" s="33"/>
      <c r="BF1775" s="33"/>
      <c r="CP1775" s="39"/>
      <c r="CQ1775" s="32"/>
    </row>
    <row r="1776" spans="30:95" x14ac:dyDescent="0.25">
      <c r="AD1776" s="33"/>
      <c r="AH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33"/>
      <c r="AX1776" s="33"/>
      <c r="AY1776" s="33"/>
      <c r="BA1776" s="33"/>
      <c r="BB1776" s="33"/>
      <c r="BC1776" s="33"/>
      <c r="BD1776" s="33"/>
      <c r="BE1776" s="33"/>
      <c r="BF1776" s="33"/>
      <c r="CP1776" s="39"/>
      <c r="CQ1776" s="32"/>
    </row>
    <row r="1777" spans="30:95" x14ac:dyDescent="0.25">
      <c r="AD1777" s="33"/>
      <c r="AH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V1777" s="33"/>
      <c r="AW1777" s="33"/>
      <c r="AX1777" s="33"/>
      <c r="AY1777" s="33"/>
      <c r="BA1777" s="33"/>
      <c r="BB1777" s="33"/>
      <c r="BC1777" s="33"/>
      <c r="BD1777" s="33"/>
      <c r="BE1777" s="33"/>
      <c r="BF1777" s="33"/>
      <c r="CP1777" s="39"/>
      <c r="CQ1777" s="32"/>
    </row>
    <row r="1778" spans="30:95" x14ac:dyDescent="0.25">
      <c r="AD1778" s="33"/>
      <c r="AH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33"/>
      <c r="AX1778" s="33"/>
      <c r="AY1778" s="33"/>
      <c r="BA1778" s="33"/>
      <c r="BB1778" s="33"/>
      <c r="BC1778" s="33"/>
      <c r="BD1778" s="33"/>
      <c r="BE1778" s="33"/>
      <c r="BF1778" s="33"/>
      <c r="CP1778" s="39"/>
      <c r="CQ1778" s="32"/>
    </row>
    <row r="1779" spans="30:95" x14ac:dyDescent="0.25">
      <c r="AD1779" s="33"/>
      <c r="AH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V1779" s="33"/>
      <c r="AW1779" s="33"/>
      <c r="AX1779" s="33"/>
      <c r="AY1779" s="33"/>
      <c r="BA1779" s="33"/>
      <c r="BB1779" s="33"/>
      <c r="BC1779" s="33"/>
      <c r="BD1779" s="33"/>
      <c r="BE1779" s="33"/>
      <c r="BF1779" s="33"/>
      <c r="CP1779" s="39"/>
      <c r="CQ1779" s="32"/>
    </row>
    <row r="1780" spans="30:95" x14ac:dyDescent="0.25">
      <c r="AD1780" s="33"/>
      <c r="AH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  <c r="AX1780" s="33"/>
      <c r="AY1780" s="33"/>
      <c r="BA1780" s="33"/>
      <c r="BB1780" s="33"/>
      <c r="BC1780" s="33"/>
      <c r="BD1780" s="33"/>
      <c r="BE1780" s="33"/>
      <c r="BF1780" s="33"/>
      <c r="CP1780" s="39"/>
      <c r="CQ1780" s="32"/>
    </row>
    <row r="1781" spans="30:95" x14ac:dyDescent="0.25">
      <c r="AD1781" s="33"/>
      <c r="AH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V1781" s="33"/>
      <c r="AW1781" s="33"/>
      <c r="AX1781" s="33"/>
      <c r="AY1781" s="33"/>
      <c r="BA1781" s="33"/>
      <c r="BB1781" s="33"/>
      <c r="BC1781" s="33"/>
      <c r="BD1781" s="33"/>
      <c r="BE1781" s="33"/>
      <c r="BF1781" s="33"/>
      <c r="CP1781" s="39"/>
      <c r="CQ1781" s="32"/>
    </row>
    <row r="1782" spans="30:95" x14ac:dyDescent="0.25">
      <c r="AD1782" s="33"/>
      <c r="AH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33"/>
      <c r="AX1782" s="33"/>
      <c r="AY1782" s="33"/>
      <c r="BA1782" s="33"/>
      <c r="BB1782" s="33"/>
      <c r="BC1782" s="33"/>
      <c r="BD1782" s="33"/>
      <c r="BE1782" s="33"/>
      <c r="BF1782" s="33"/>
      <c r="CP1782" s="39"/>
      <c r="CQ1782" s="32"/>
    </row>
    <row r="1783" spans="30:95" x14ac:dyDescent="0.25">
      <c r="AD1783" s="33"/>
      <c r="AH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33"/>
      <c r="AX1783" s="33"/>
      <c r="AY1783" s="33"/>
      <c r="BA1783" s="33"/>
      <c r="BB1783" s="33"/>
      <c r="BC1783" s="33"/>
      <c r="BD1783" s="33"/>
      <c r="BE1783" s="33"/>
      <c r="BF1783" s="33"/>
      <c r="CP1783" s="39"/>
      <c r="CQ1783" s="32"/>
    </row>
    <row r="1784" spans="30:95" x14ac:dyDescent="0.25">
      <c r="AD1784" s="33"/>
      <c r="AH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33"/>
      <c r="AY1784" s="33"/>
      <c r="BA1784" s="33"/>
      <c r="BB1784" s="33"/>
      <c r="BC1784" s="33"/>
      <c r="BD1784" s="33"/>
      <c r="BE1784" s="33"/>
      <c r="BF1784" s="33"/>
      <c r="CP1784" s="39"/>
      <c r="CQ1784" s="32"/>
    </row>
    <row r="1785" spans="30:95" x14ac:dyDescent="0.25">
      <c r="AD1785" s="33"/>
      <c r="AH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33"/>
      <c r="AX1785" s="33"/>
      <c r="AY1785" s="33"/>
      <c r="BA1785" s="33"/>
      <c r="BB1785" s="33"/>
      <c r="BC1785" s="33"/>
      <c r="BD1785" s="33"/>
      <c r="BE1785" s="33"/>
      <c r="BF1785" s="33"/>
      <c r="CP1785" s="39"/>
      <c r="CQ1785" s="32"/>
    </row>
    <row r="1786" spans="30:95" x14ac:dyDescent="0.25">
      <c r="AD1786" s="33"/>
      <c r="AH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  <c r="AX1786" s="33"/>
      <c r="AY1786" s="33"/>
      <c r="BA1786" s="33"/>
      <c r="BB1786" s="33"/>
      <c r="BC1786" s="33"/>
      <c r="BD1786" s="33"/>
      <c r="BE1786" s="33"/>
      <c r="BF1786" s="33"/>
      <c r="CP1786" s="39"/>
      <c r="CQ1786" s="32"/>
    </row>
    <row r="1787" spans="30:95" x14ac:dyDescent="0.25">
      <c r="AD1787" s="33"/>
      <c r="AH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  <c r="BA1787" s="33"/>
      <c r="BB1787" s="33"/>
      <c r="BC1787" s="33"/>
      <c r="BD1787" s="33"/>
      <c r="BE1787" s="33"/>
      <c r="BF1787" s="33"/>
      <c r="CP1787" s="39"/>
      <c r="CQ1787" s="32"/>
    </row>
    <row r="1788" spans="30:95" x14ac:dyDescent="0.25">
      <c r="AD1788" s="33"/>
      <c r="AH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  <c r="AX1788" s="33"/>
      <c r="AY1788" s="33"/>
      <c r="BA1788" s="33"/>
      <c r="BB1788" s="33"/>
      <c r="BC1788" s="33"/>
      <c r="BD1788" s="33"/>
      <c r="BE1788" s="33"/>
      <c r="BF1788" s="33"/>
      <c r="CP1788" s="39"/>
      <c r="CQ1788" s="32"/>
    </row>
    <row r="1789" spans="30:95" x14ac:dyDescent="0.25">
      <c r="AD1789" s="33"/>
      <c r="AH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  <c r="BA1789" s="33"/>
      <c r="BB1789" s="33"/>
      <c r="BC1789" s="33"/>
      <c r="BD1789" s="33"/>
      <c r="BE1789" s="33"/>
      <c r="BF1789" s="33"/>
      <c r="CP1789" s="39"/>
      <c r="CQ1789" s="32"/>
    </row>
    <row r="1790" spans="30:95" x14ac:dyDescent="0.25">
      <c r="AD1790" s="33"/>
      <c r="AH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  <c r="BA1790" s="33"/>
      <c r="BB1790" s="33"/>
      <c r="BC1790" s="33"/>
      <c r="BD1790" s="33"/>
      <c r="BE1790" s="33"/>
      <c r="BF1790" s="33"/>
      <c r="CP1790" s="39"/>
      <c r="CQ1790" s="32"/>
    </row>
    <row r="1791" spans="30:95" x14ac:dyDescent="0.25">
      <c r="AD1791" s="33"/>
      <c r="AH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  <c r="AX1791" s="33"/>
      <c r="AY1791" s="33"/>
      <c r="BA1791" s="33"/>
      <c r="BB1791" s="33"/>
      <c r="BC1791" s="33"/>
      <c r="BD1791" s="33"/>
      <c r="BE1791" s="33"/>
      <c r="BF1791" s="33"/>
      <c r="CP1791" s="39"/>
      <c r="CQ1791" s="32"/>
    </row>
    <row r="1792" spans="30:95" x14ac:dyDescent="0.25">
      <c r="AD1792" s="33"/>
      <c r="AH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33"/>
      <c r="AX1792" s="33"/>
      <c r="AY1792" s="33"/>
      <c r="BA1792" s="33"/>
      <c r="BB1792" s="33"/>
      <c r="BC1792" s="33"/>
      <c r="BD1792" s="33"/>
      <c r="BE1792" s="33"/>
      <c r="BF1792" s="33"/>
      <c r="CP1792" s="39"/>
      <c r="CQ1792" s="32"/>
    </row>
    <row r="1793" spans="30:95" x14ac:dyDescent="0.25">
      <c r="AD1793" s="33"/>
      <c r="AH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33"/>
      <c r="AX1793" s="33"/>
      <c r="AY1793" s="33"/>
      <c r="BA1793" s="33"/>
      <c r="BB1793" s="33"/>
      <c r="BC1793" s="33"/>
      <c r="BD1793" s="33"/>
      <c r="BE1793" s="33"/>
      <c r="BF1793" s="33"/>
      <c r="CP1793" s="39"/>
      <c r="CQ1793" s="32"/>
    </row>
    <row r="1794" spans="30:95" x14ac:dyDescent="0.25">
      <c r="AD1794" s="33"/>
      <c r="AH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33"/>
      <c r="AX1794" s="33"/>
      <c r="AY1794" s="33"/>
      <c r="BA1794" s="33"/>
      <c r="BB1794" s="33"/>
      <c r="BC1794" s="33"/>
      <c r="BD1794" s="33"/>
      <c r="BE1794" s="33"/>
      <c r="BF1794" s="33"/>
      <c r="CP1794" s="39"/>
      <c r="CQ1794" s="32"/>
    </row>
    <row r="1795" spans="30:95" x14ac:dyDescent="0.25">
      <c r="AD1795" s="33"/>
      <c r="AH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  <c r="AX1795" s="33"/>
      <c r="AY1795" s="33"/>
      <c r="BA1795" s="33"/>
      <c r="BB1795" s="33"/>
      <c r="BC1795" s="33"/>
      <c r="BD1795" s="33"/>
      <c r="BE1795" s="33"/>
      <c r="BF1795" s="33"/>
      <c r="CP1795" s="39"/>
      <c r="CQ1795" s="32"/>
    </row>
    <row r="1796" spans="30:95" x14ac:dyDescent="0.25">
      <c r="AD1796" s="33"/>
      <c r="AH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V1796" s="33"/>
      <c r="AW1796" s="33"/>
      <c r="AX1796" s="33"/>
      <c r="AY1796" s="33"/>
      <c r="BA1796" s="33"/>
      <c r="BB1796" s="33"/>
      <c r="BC1796" s="33"/>
      <c r="BD1796" s="33"/>
      <c r="BE1796" s="33"/>
      <c r="BF1796" s="33"/>
      <c r="CP1796" s="39"/>
      <c r="CQ1796" s="32"/>
    </row>
    <row r="1797" spans="30:95" x14ac:dyDescent="0.25">
      <c r="AD1797" s="33"/>
      <c r="AH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33"/>
      <c r="AY1797" s="33"/>
      <c r="BA1797" s="33"/>
      <c r="BB1797" s="33"/>
      <c r="BC1797" s="33"/>
      <c r="BD1797" s="33"/>
      <c r="BE1797" s="33"/>
      <c r="BF1797" s="33"/>
      <c r="CP1797" s="39"/>
      <c r="CQ1797" s="32"/>
    </row>
    <row r="1798" spans="30:95" x14ac:dyDescent="0.25">
      <c r="AD1798" s="33"/>
      <c r="AH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33"/>
      <c r="AY1798" s="33"/>
      <c r="BA1798" s="33"/>
      <c r="BB1798" s="33"/>
      <c r="BC1798" s="33"/>
      <c r="BD1798" s="33"/>
      <c r="BE1798" s="33"/>
      <c r="BF1798" s="33"/>
      <c r="CP1798" s="39"/>
      <c r="CQ1798" s="32"/>
    </row>
    <row r="1799" spans="30:95" x14ac:dyDescent="0.25">
      <c r="AD1799" s="33"/>
      <c r="AH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  <c r="AX1799" s="33"/>
      <c r="AY1799" s="33"/>
      <c r="BA1799" s="33"/>
      <c r="BB1799" s="33"/>
      <c r="BC1799" s="33"/>
      <c r="BD1799" s="33"/>
      <c r="BE1799" s="33"/>
      <c r="BF1799" s="33"/>
      <c r="CP1799" s="39"/>
      <c r="CQ1799" s="32"/>
    </row>
    <row r="1800" spans="30:95" x14ac:dyDescent="0.25">
      <c r="AD1800" s="33"/>
      <c r="AH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33"/>
      <c r="AX1800" s="33"/>
      <c r="AY1800" s="33"/>
      <c r="BA1800" s="33"/>
      <c r="BB1800" s="33"/>
      <c r="BC1800" s="33"/>
      <c r="BD1800" s="33"/>
      <c r="BE1800" s="33"/>
      <c r="BF1800" s="33"/>
      <c r="CP1800" s="39"/>
      <c r="CQ1800" s="32"/>
    </row>
    <row r="1801" spans="30:95" x14ac:dyDescent="0.25">
      <c r="AD1801" s="33"/>
      <c r="AH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  <c r="BA1801" s="33"/>
      <c r="BB1801" s="33"/>
      <c r="BC1801" s="33"/>
      <c r="BD1801" s="33"/>
      <c r="BE1801" s="33"/>
      <c r="BF1801" s="33"/>
      <c r="CP1801" s="39"/>
      <c r="CQ1801" s="32"/>
    </row>
    <row r="1802" spans="30:95" x14ac:dyDescent="0.25">
      <c r="AD1802" s="33"/>
      <c r="AH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  <c r="AX1802" s="33"/>
      <c r="AY1802" s="33"/>
      <c r="BA1802" s="33"/>
      <c r="BB1802" s="33"/>
      <c r="BC1802" s="33"/>
      <c r="BD1802" s="33"/>
      <c r="BE1802" s="33"/>
      <c r="BF1802" s="33"/>
      <c r="CP1802" s="39"/>
      <c r="CQ1802" s="32"/>
    </row>
    <row r="1803" spans="30:95" x14ac:dyDescent="0.25">
      <c r="AD1803" s="33"/>
      <c r="AH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  <c r="BA1803" s="33"/>
      <c r="BB1803" s="33"/>
      <c r="BC1803" s="33"/>
      <c r="BD1803" s="33"/>
      <c r="BE1803" s="33"/>
      <c r="BF1803" s="33"/>
      <c r="CP1803" s="39"/>
      <c r="CQ1803" s="32"/>
    </row>
    <row r="1804" spans="30:95" x14ac:dyDescent="0.25">
      <c r="AD1804" s="33"/>
      <c r="AH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  <c r="AX1804" s="33"/>
      <c r="AY1804" s="33"/>
      <c r="BA1804" s="33"/>
      <c r="BB1804" s="33"/>
      <c r="BC1804" s="33"/>
      <c r="BD1804" s="33"/>
      <c r="BE1804" s="33"/>
      <c r="BF1804" s="33"/>
      <c r="CP1804" s="39"/>
      <c r="CQ1804" s="32"/>
    </row>
    <row r="1805" spans="30:95" x14ac:dyDescent="0.25">
      <c r="AD1805" s="33"/>
      <c r="AH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33"/>
      <c r="AX1805" s="33"/>
      <c r="AY1805" s="33"/>
      <c r="BA1805" s="33"/>
      <c r="BB1805" s="33"/>
      <c r="BC1805" s="33"/>
      <c r="BD1805" s="33"/>
      <c r="BE1805" s="33"/>
      <c r="BF1805" s="33"/>
      <c r="CP1805" s="39"/>
      <c r="CQ1805" s="32"/>
    </row>
    <row r="1806" spans="30:95" x14ac:dyDescent="0.25">
      <c r="AD1806" s="33"/>
      <c r="AH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  <c r="AX1806" s="33"/>
      <c r="AY1806" s="33"/>
      <c r="BA1806" s="33"/>
      <c r="BB1806" s="33"/>
      <c r="BC1806" s="33"/>
      <c r="BD1806" s="33"/>
      <c r="BE1806" s="33"/>
      <c r="BF1806" s="33"/>
      <c r="CP1806" s="39"/>
      <c r="CQ1806" s="32"/>
    </row>
    <row r="1807" spans="30:95" x14ac:dyDescent="0.25">
      <c r="AD1807" s="33"/>
      <c r="AH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BA1807" s="33"/>
      <c r="BB1807" s="33"/>
      <c r="BC1807" s="33"/>
      <c r="BD1807" s="33"/>
      <c r="BE1807" s="33"/>
      <c r="BF1807" s="33"/>
      <c r="CP1807" s="39"/>
      <c r="CQ1807" s="32"/>
    </row>
    <row r="1808" spans="30:95" x14ac:dyDescent="0.25">
      <c r="AD1808" s="33"/>
      <c r="AH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BA1808" s="33"/>
      <c r="BB1808" s="33"/>
      <c r="BC1808" s="33"/>
      <c r="BD1808" s="33"/>
      <c r="BE1808" s="33"/>
      <c r="BF1808" s="33"/>
      <c r="CP1808" s="39"/>
      <c r="CQ1808" s="32"/>
    </row>
    <row r="1809" spans="30:95" x14ac:dyDescent="0.25">
      <c r="AD1809" s="33"/>
      <c r="AH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33"/>
      <c r="AX1809" s="33"/>
      <c r="AY1809" s="33"/>
      <c r="BA1809" s="33"/>
      <c r="BB1809" s="33"/>
      <c r="BC1809" s="33"/>
      <c r="BD1809" s="33"/>
      <c r="BE1809" s="33"/>
      <c r="BF1809" s="33"/>
      <c r="CP1809" s="39"/>
      <c r="CQ1809" s="32"/>
    </row>
    <row r="1810" spans="30:95" x14ac:dyDescent="0.25">
      <c r="AD1810" s="33"/>
      <c r="AH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  <c r="AX1810" s="33"/>
      <c r="AY1810" s="33"/>
      <c r="BA1810" s="33"/>
      <c r="BB1810" s="33"/>
      <c r="BC1810" s="33"/>
      <c r="BD1810" s="33"/>
      <c r="BE1810" s="33"/>
      <c r="BF1810" s="33"/>
      <c r="CP1810" s="39"/>
      <c r="CQ1810" s="32"/>
    </row>
    <row r="1811" spans="30:95" x14ac:dyDescent="0.25">
      <c r="AD1811" s="33"/>
      <c r="AH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BA1811" s="33"/>
      <c r="BB1811" s="33"/>
      <c r="BC1811" s="33"/>
      <c r="BD1811" s="33"/>
      <c r="BE1811" s="33"/>
      <c r="BF1811" s="33"/>
      <c r="CP1811" s="39"/>
      <c r="CQ1811" s="32"/>
    </row>
    <row r="1812" spans="30:95" x14ac:dyDescent="0.25">
      <c r="AD1812" s="33"/>
      <c r="AH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BA1812" s="33"/>
      <c r="BB1812" s="33"/>
      <c r="BC1812" s="33"/>
      <c r="BD1812" s="33"/>
      <c r="BE1812" s="33"/>
      <c r="BF1812" s="33"/>
      <c r="CP1812" s="39"/>
      <c r="CQ1812" s="32"/>
    </row>
    <row r="1813" spans="30:95" x14ac:dyDescent="0.25">
      <c r="AD1813" s="33"/>
      <c r="AH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BA1813" s="33"/>
      <c r="BB1813" s="33"/>
      <c r="BC1813" s="33"/>
      <c r="BD1813" s="33"/>
      <c r="BE1813" s="33"/>
      <c r="BF1813" s="33"/>
      <c r="CP1813" s="39"/>
      <c r="CQ1813" s="32"/>
    </row>
    <row r="1814" spans="30:95" x14ac:dyDescent="0.25">
      <c r="AD1814" s="33"/>
      <c r="AH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BA1814" s="33"/>
      <c r="BB1814" s="33"/>
      <c r="BC1814" s="33"/>
      <c r="BD1814" s="33"/>
      <c r="BE1814" s="33"/>
      <c r="BF1814" s="33"/>
      <c r="CP1814" s="39"/>
      <c r="CQ1814" s="32"/>
    </row>
    <row r="1815" spans="30:95" x14ac:dyDescent="0.25">
      <c r="AD1815" s="33"/>
      <c r="AH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BA1815" s="33"/>
      <c r="BB1815" s="33"/>
      <c r="BC1815" s="33"/>
      <c r="BD1815" s="33"/>
      <c r="BE1815" s="33"/>
      <c r="BF1815" s="33"/>
      <c r="CP1815" s="39"/>
      <c r="CQ1815" s="32"/>
    </row>
    <row r="1816" spans="30:95" x14ac:dyDescent="0.25">
      <c r="AD1816" s="33"/>
      <c r="AH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BA1816" s="33"/>
      <c r="BB1816" s="33"/>
      <c r="BC1816" s="33"/>
      <c r="BD1816" s="33"/>
      <c r="BE1816" s="33"/>
      <c r="BF1816" s="33"/>
      <c r="CP1816" s="39"/>
      <c r="CQ1816" s="32"/>
    </row>
    <row r="1817" spans="30:95" x14ac:dyDescent="0.25">
      <c r="AD1817" s="33"/>
      <c r="AH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BA1817" s="33"/>
      <c r="BB1817" s="33"/>
      <c r="BC1817" s="33"/>
      <c r="BD1817" s="33"/>
      <c r="BE1817" s="33"/>
      <c r="BF1817" s="33"/>
      <c r="CP1817" s="39"/>
      <c r="CQ1817" s="32"/>
    </row>
    <row r="1818" spans="30:95" x14ac:dyDescent="0.25">
      <c r="AD1818" s="33"/>
      <c r="AH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BA1818" s="33"/>
      <c r="BB1818" s="33"/>
      <c r="BC1818" s="33"/>
      <c r="BD1818" s="33"/>
      <c r="BE1818" s="33"/>
      <c r="BF1818" s="33"/>
      <c r="CP1818" s="39"/>
      <c r="CQ1818" s="32"/>
    </row>
    <row r="1819" spans="30:95" x14ac:dyDescent="0.25">
      <c r="AD1819" s="33"/>
      <c r="AH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BA1819" s="33"/>
      <c r="BB1819" s="33"/>
      <c r="BC1819" s="33"/>
      <c r="BD1819" s="33"/>
      <c r="BE1819" s="33"/>
      <c r="BF1819" s="33"/>
      <c r="CP1819" s="39"/>
      <c r="CQ1819" s="32"/>
    </row>
    <row r="1820" spans="30:95" x14ac:dyDescent="0.25">
      <c r="AD1820" s="33"/>
      <c r="AH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BA1820" s="33"/>
      <c r="BB1820" s="33"/>
      <c r="BC1820" s="33"/>
      <c r="BD1820" s="33"/>
      <c r="BE1820" s="33"/>
      <c r="BF1820" s="33"/>
      <c r="CP1820" s="39"/>
      <c r="CQ1820" s="32"/>
    </row>
    <row r="1821" spans="30:95" x14ac:dyDescent="0.25">
      <c r="AD1821" s="33"/>
      <c r="AH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BA1821" s="33"/>
      <c r="BB1821" s="33"/>
      <c r="BC1821" s="33"/>
      <c r="BD1821" s="33"/>
      <c r="BE1821" s="33"/>
      <c r="BF1821" s="33"/>
      <c r="CP1821" s="39"/>
      <c r="CQ1821" s="32"/>
    </row>
    <row r="1822" spans="30:95" x14ac:dyDescent="0.25">
      <c r="AD1822" s="33"/>
      <c r="AH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BA1822" s="33"/>
      <c r="BB1822" s="33"/>
      <c r="BC1822" s="33"/>
      <c r="BD1822" s="33"/>
      <c r="BE1822" s="33"/>
      <c r="BF1822" s="33"/>
      <c r="CP1822" s="39"/>
      <c r="CQ1822" s="32"/>
    </row>
    <row r="1823" spans="30:95" x14ac:dyDescent="0.25">
      <c r="AD1823" s="33"/>
      <c r="AH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BA1823" s="33"/>
      <c r="BB1823" s="33"/>
      <c r="BC1823" s="33"/>
      <c r="BD1823" s="33"/>
      <c r="BE1823" s="33"/>
      <c r="BF1823" s="33"/>
      <c r="CP1823" s="39"/>
      <c r="CQ1823" s="32"/>
    </row>
    <row r="1824" spans="30:95" x14ac:dyDescent="0.25">
      <c r="AD1824" s="33"/>
      <c r="AH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BA1824" s="33"/>
      <c r="BB1824" s="33"/>
      <c r="BC1824" s="33"/>
      <c r="BD1824" s="33"/>
      <c r="BE1824" s="33"/>
      <c r="BF1824" s="33"/>
      <c r="CP1824" s="39"/>
      <c r="CQ1824" s="32"/>
    </row>
    <row r="1825" spans="30:95" x14ac:dyDescent="0.25">
      <c r="AD1825" s="33"/>
      <c r="AH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BA1825" s="33"/>
      <c r="BB1825" s="33"/>
      <c r="BC1825" s="33"/>
      <c r="BD1825" s="33"/>
      <c r="BE1825" s="33"/>
      <c r="BF1825" s="33"/>
      <c r="CP1825" s="39"/>
      <c r="CQ1825" s="32"/>
    </row>
    <row r="1826" spans="30:95" x14ac:dyDescent="0.25">
      <c r="AD1826" s="33"/>
      <c r="AH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BA1826" s="33"/>
      <c r="BB1826" s="33"/>
      <c r="BC1826" s="33"/>
      <c r="BD1826" s="33"/>
      <c r="BE1826" s="33"/>
      <c r="BF1826" s="33"/>
      <c r="CP1826" s="39"/>
      <c r="CQ1826" s="32"/>
    </row>
    <row r="1827" spans="30:95" x14ac:dyDescent="0.25">
      <c r="AD1827" s="33"/>
      <c r="AH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BA1827" s="33"/>
      <c r="BB1827" s="33"/>
      <c r="BC1827" s="33"/>
      <c r="BD1827" s="33"/>
      <c r="BE1827" s="33"/>
      <c r="BF1827" s="33"/>
      <c r="CP1827" s="39"/>
      <c r="CQ1827" s="32"/>
    </row>
    <row r="1828" spans="30:95" x14ac:dyDescent="0.25">
      <c r="AD1828" s="33"/>
      <c r="AH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BA1828" s="33"/>
      <c r="BB1828" s="33"/>
      <c r="BC1828" s="33"/>
      <c r="BD1828" s="33"/>
      <c r="BE1828" s="33"/>
      <c r="BF1828" s="33"/>
      <c r="CP1828" s="39"/>
      <c r="CQ1828" s="32"/>
    </row>
    <row r="1829" spans="30:95" x14ac:dyDescent="0.25">
      <c r="AD1829" s="33"/>
      <c r="AH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BA1829" s="33"/>
      <c r="BB1829" s="33"/>
      <c r="BC1829" s="33"/>
      <c r="BD1829" s="33"/>
      <c r="BE1829" s="33"/>
      <c r="BF1829" s="33"/>
      <c r="CP1829" s="39"/>
      <c r="CQ1829" s="32"/>
    </row>
    <row r="1830" spans="30:95" x14ac:dyDescent="0.25">
      <c r="AD1830" s="33"/>
      <c r="AH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BA1830" s="33"/>
      <c r="BB1830" s="33"/>
      <c r="BC1830" s="33"/>
      <c r="BD1830" s="33"/>
      <c r="BE1830" s="33"/>
      <c r="BF1830" s="33"/>
      <c r="CP1830" s="39"/>
      <c r="CQ1830" s="32"/>
    </row>
    <row r="1831" spans="30:95" x14ac:dyDescent="0.25">
      <c r="AD1831" s="33"/>
      <c r="AH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BA1831" s="33"/>
      <c r="BB1831" s="33"/>
      <c r="BC1831" s="33"/>
      <c r="BD1831" s="33"/>
      <c r="BE1831" s="33"/>
      <c r="BF1831" s="33"/>
      <c r="CP1831" s="39"/>
      <c r="CQ1831" s="32"/>
    </row>
    <row r="1832" spans="30:95" x14ac:dyDescent="0.25">
      <c r="AD1832" s="33"/>
      <c r="AH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BA1832" s="33"/>
      <c r="BB1832" s="33"/>
      <c r="BC1832" s="33"/>
      <c r="BD1832" s="33"/>
      <c r="BE1832" s="33"/>
      <c r="BF1832" s="33"/>
      <c r="CP1832" s="39"/>
      <c r="CQ1832" s="32"/>
    </row>
    <row r="1833" spans="30:95" x14ac:dyDescent="0.25">
      <c r="AD1833" s="33"/>
      <c r="AH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  <c r="AX1833" s="33"/>
      <c r="AY1833" s="33"/>
      <c r="BA1833" s="33"/>
      <c r="BB1833" s="33"/>
      <c r="BC1833" s="33"/>
      <c r="BD1833" s="33"/>
      <c r="BE1833" s="33"/>
      <c r="BF1833" s="33"/>
      <c r="CP1833" s="39"/>
      <c r="CQ1833" s="32"/>
    </row>
    <row r="1834" spans="30:95" x14ac:dyDescent="0.25">
      <c r="AD1834" s="33"/>
      <c r="AH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33"/>
      <c r="AY1834" s="33"/>
      <c r="BA1834" s="33"/>
      <c r="BB1834" s="33"/>
      <c r="BC1834" s="33"/>
      <c r="BD1834" s="33"/>
      <c r="BE1834" s="33"/>
      <c r="BF1834" s="33"/>
      <c r="CP1834" s="39"/>
      <c r="CQ1834" s="32"/>
    </row>
    <row r="1835" spans="30:95" x14ac:dyDescent="0.25">
      <c r="AD1835" s="33"/>
      <c r="AH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33"/>
      <c r="AY1835" s="33"/>
      <c r="BA1835" s="33"/>
      <c r="BB1835" s="33"/>
      <c r="BC1835" s="33"/>
      <c r="BD1835" s="33"/>
      <c r="BE1835" s="33"/>
      <c r="BF1835" s="33"/>
      <c r="CP1835" s="39"/>
      <c r="CQ1835" s="32"/>
    </row>
    <row r="1836" spans="30:95" x14ac:dyDescent="0.25">
      <c r="AD1836" s="33"/>
      <c r="AH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33"/>
      <c r="AY1836" s="33"/>
      <c r="BA1836" s="33"/>
      <c r="BB1836" s="33"/>
      <c r="BC1836" s="33"/>
      <c r="BD1836" s="33"/>
      <c r="BE1836" s="33"/>
      <c r="BF1836" s="33"/>
      <c r="CP1836" s="39"/>
      <c r="CQ1836" s="32"/>
    </row>
    <row r="1837" spans="30:95" x14ac:dyDescent="0.25">
      <c r="AD1837" s="33"/>
      <c r="AH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33"/>
      <c r="AY1837" s="33"/>
      <c r="BA1837" s="33"/>
      <c r="BB1837" s="33"/>
      <c r="BC1837" s="33"/>
      <c r="BD1837" s="33"/>
      <c r="BE1837" s="33"/>
      <c r="BF1837" s="33"/>
      <c r="CP1837" s="39"/>
      <c r="CQ1837" s="32"/>
    </row>
    <row r="1838" spans="30:95" x14ac:dyDescent="0.25">
      <c r="AD1838" s="33"/>
      <c r="AH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33"/>
      <c r="AX1838" s="33"/>
      <c r="AY1838" s="33"/>
      <c r="BA1838" s="33"/>
      <c r="BB1838" s="33"/>
      <c r="BC1838" s="33"/>
      <c r="BD1838" s="33"/>
      <c r="BE1838" s="33"/>
      <c r="BF1838" s="33"/>
      <c r="CP1838" s="39"/>
      <c r="CQ1838" s="32"/>
    </row>
    <row r="1839" spans="30:95" x14ac:dyDescent="0.25">
      <c r="AD1839" s="33"/>
      <c r="AH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V1839" s="33"/>
      <c r="AW1839" s="33"/>
      <c r="AX1839" s="33"/>
      <c r="AY1839" s="33"/>
      <c r="BA1839" s="33"/>
      <c r="BB1839" s="33"/>
      <c r="BC1839" s="33"/>
      <c r="BD1839" s="33"/>
      <c r="BE1839" s="33"/>
      <c r="BF1839" s="33"/>
      <c r="CP1839" s="39"/>
      <c r="CQ1839" s="32"/>
    </row>
    <row r="1840" spans="30:95" x14ac:dyDescent="0.25">
      <c r="AD1840" s="33"/>
      <c r="AH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  <c r="BA1840" s="33"/>
      <c r="BB1840" s="33"/>
      <c r="BC1840" s="33"/>
      <c r="BD1840" s="33"/>
      <c r="BE1840" s="33"/>
      <c r="BF1840" s="33"/>
      <c r="CP1840" s="39"/>
      <c r="CQ1840" s="32"/>
    </row>
    <row r="1841" spans="30:95" x14ac:dyDescent="0.25">
      <c r="AD1841" s="33"/>
      <c r="AH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33"/>
      <c r="AX1841" s="33"/>
      <c r="AY1841" s="33"/>
      <c r="BA1841" s="33"/>
      <c r="BB1841" s="33"/>
      <c r="BC1841" s="33"/>
      <c r="BD1841" s="33"/>
      <c r="BE1841" s="33"/>
      <c r="BF1841" s="33"/>
      <c r="CP1841" s="39"/>
      <c r="CQ1841" s="32"/>
    </row>
    <row r="1842" spans="30:95" x14ac:dyDescent="0.25">
      <c r="AD1842" s="33"/>
      <c r="AH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  <c r="AX1842" s="33"/>
      <c r="AY1842" s="33"/>
      <c r="BA1842" s="33"/>
      <c r="BB1842" s="33"/>
      <c r="BC1842" s="33"/>
      <c r="BD1842" s="33"/>
      <c r="BE1842" s="33"/>
      <c r="BF1842" s="33"/>
      <c r="CP1842" s="39"/>
      <c r="CQ1842" s="32"/>
    </row>
    <row r="1843" spans="30:95" x14ac:dyDescent="0.25">
      <c r="AD1843" s="33"/>
      <c r="AH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33"/>
      <c r="AY1843" s="33"/>
      <c r="BA1843" s="33"/>
      <c r="BB1843" s="33"/>
      <c r="BC1843" s="33"/>
      <c r="BD1843" s="33"/>
      <c r="BE1843" s="33"/>
      <c r="BF1843" s="33"/>
      <c r="CP1843" s="39"/>
      <c r="CQ1843" s="32"/>
    </row>
    <row r="1844" spans="30:95" x14ac:dyDescent="0.25">
      <c r="AD1844" s="33"/>
      <c r="AH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33"/>
      <c r="AX1844" s="33"/>
      <c r="AY1844" s="33"/>
      <c r="BA1844" s="33"/>
      <c r="BB1844" s="33"/>
      <c r="BC1844" s="33"/>
      <c r="BD1844" s="33"/>
      <c r="BE1844" s="33"/>
      <c r="BF1844" s="33"/>
      <c r="CP1844" s="39"/>
      <c r="CQ1844" s="32"/>
    </row>
    <row r="1845" spans="30:95" x14ac:dyDescent="0.25">
      <c r="AD1845" s="33"/>
      <c r="AH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  <c r="AX1845" s="33"/>
      <c r="AY1845" s="33"/>
      <c r="BA1845" s="33"/>
      <c r="BB1845" s="33"/>
      <c r="BC1845" s="33"/>
      <c r="BD1845" s="33"/>
      <c r="BE1845" s="33"/>
      <c r="BF1845" s="33"/>
      <c r="CP1845" s="39"/>
      <c r="CQ1845" s="32"/>
    </row>
    <row r="1846" spans="30:95" x14ac:dyDescent="0.25">
      <c r="AD1846" s="33"/>
      <c r="AH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33"/>
      <c r="AX1846" s="33"/>
      <c r="AY1846" s="33"/>
      <c r="BA1846" s="33"/>
      <c r="BB1846" s="33"/>
      <c r="BC1846" s="33"/>
      <c r="BD1846" s="33"/>
      <c r="BE1846" s="33"/>
      <c r="BF1846" s="33"/>
      <c r="CP1846" s="39"/>
      <c r="CQ1846" s="32"/>
    </row>
    <row r="1847" spans="30:95" x14ac:dyDescent="0.25">
      <c r="AD1847" s="33"/>
      <c r="AH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  <c r="AX1847" s="33"/>
      <c r="AY1847" s="33"/>
      <c r="BA1847" s="33"/>
      <c r="BB1847" s="33"/>
      <c r="BC1847" s="33"/>
      <c r="BD1847" s="33"/>
      <c r="BE1847" s="33"/>
      <c r="BF1847" s="33"/>
      <c r="CP1847" s="39"/>
      <c r="CQ1847" s="32"/>
    </row>
    <row r="1848" spans="30:95" x14ac:dyDescent="0.25">
      <c r="AD1848" s="33"/>
      <c r="AH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  <c r="AX1848" s="33"/>
      <c r="AY1848" s="33"/>
      <c r="BA1848" s="33"/>
      <c r="BB1848" s="33"/>
      <c r="BC1848" s="33"/>
      <c r="BD1848" s="33"/>
      <c r="BE1848" s="33"/>
      <c r="BF1848" s="33"/>
      <c r="CP1848" s="39"/>
      <c r="CQ1848" s="32"/>
    </row>
    <row r="1849" spans="30:95" x14ac:dyDescent="0.25">
      <c r="AD1849" s="33"/>
      <c r="AH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33"/>
      <c r="AX1849" s="33"/>
      <c r="AY1849" s="33"/>
      <c r="BA1849" s="33"/>
      <c r="BB1849" s="33"/>
      <c r="BC1849" s="33"/>
      <c r="BD1849" s="33"/>
      <c r="BE1849" s="33"/>
      <c r="BF1849" s="33"/>
      <c r="CP1849" s="39"/>
      <c r="CQ1849" s="32"/>
    </row>
    <row r="1850" spans="30:95" x14ac:dyDescent="0.25">
      <c r="AD1850" s="33"/>
      <c r="AH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  <c r="AX1850" s="33"/>
      <c r="AY1850" s="33"/>
      <c r="BA1850" s="33"/>
      <c r="BB1850" s="33"/>
      <c r="BC1850" s="33"/>
      <c r="BD1850" s="33"/>
      <c r="BE1850" s="33"/>
      <c r="BF1850" s="33"/>
      <c r="CP1850" s="39"/>
      <c r="CQ1850" s="32"/>
    </row>
    <row r="1851" spans="30:95" x14ac:dyDescent="0.25">
      <c r="AD1851" s="33"/>
      <c r="AH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33"/>
      <c r="AX1851" s="33"/>
      <c r="AY1851" s="33"/>
      <c r="BA1851" s="33"/>
      <c r="BB1851" s="33"/>
      <c r="BC1851" s="33"/>
      <c r="BD1851" s="33"/>
      <c r="BE1851" s="33"/>
      <c r="BF1851" s="33"/>
      <c r="CP1851" s="39"/>
      <c r="CQ1851" s="32"/>
    </row>
    <row r="1852" spans="30:95" x14ac:dyDescent="0.25">
      <c r="AD1852" s="33"/>
      <c r="AH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33"/>
      <c r="AX1852" s="33"/>
      <c r="AY1852" s="33"/>
      <c r="BA1852" s="33"/>
      <c r="BB1852" s="33"/>
      <c r="BC1852" s="33"/>
      <c r="BD1852" s="33"/>
      <c r="BE1852" s="33"/>
      <c r="BF1852" s="33"/>
      <c r="CP1852" s="39"/>
      <c r="CQ1852" s="32"/>
    </row>
    <row r="1853" spans="30:95" x14ac:dyDescent="0.25">
      <c r="AD1853" s="33"/>
      <c r="AH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  <c r="AX1853" s="33"/>
      <c r="AY1853" s="33"/>
      <c r="BA1853" s="33"/>
      <c r="BB1853" s="33"/>
      <c r="BC1853" s="33"/>
      <c r="BD1853" s="33"/>
      <c r="BE1853" s="33"/>
      <c r="BF1853" s="33"/>
      <c r="CP1853" s="39"/>
      <c r="CQ1853" s="32"/>
    </row>
    <row r="1854" spans="30:95" x14ac:dyDescent="0.25">
      <c r="AD1854" s="33"/>
      <c r="AH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  <c r="AX1854" s="33"/>
      <c r="AY1854" s="33"/>
      <c r="BA1854" s="33"/>
      <c r="BB1854" s="33"/>
      <c r="BC1854" s="33"/>
      <c r="BD1854" s="33"/>
      <c r="BE1854" s="33"/>
      <c r="BF1854" s="33"/>
      <c r="CP1854" s="39"/>
      <c r="CQ1854" s="32"/>
    </row>
    <row r="1855" spans="30:95" x14ac:dyDescent="0.25">
      <c r="AD1855" s="33"/>
      <c r="AH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33"/>
      <c r="AX1855" s="33"/>
      <c r="AY1855" s="33"/>
      <c r="BA1855" s="33"/>
      <c r="BB1855" s="33"/>
      <c r="BC1855" s="33"/>
      <c r="BD1855" s="33"/>
      <c r="BE1855" s="33"/>
      <c r="BF1855" s="33"/>
      <c r="CP1855" s="39"/>
      <c r="CQ1855" s="32"/>
    </row>
    <row r="1856" spans="30:95" x14ac:dyDescent="0.25">
      <c r="AD1856" s="33"/>
      <c r="AH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33"/>
      <c r="AX1856" s="33"/>
      <c r="AY1856" s="33"/>
      <c r="BA1856" s="33"/>
      <c r="BB1856" s="33"/>
      <c r="BC1856" s="33"/>
      <c r="BD1856" s="33"/>
      <c r="BE1856" s="33"/>
      <c r="BF1856" s="33"/>
      <c r="CP1856" s="39"/>
      <c r="CQ1856" s="32"/>
    </row>
    <row r="1857" spans="30:95" x14ac:dyDescent="0.25">
      <c r="AD1857" s="33"/>
      <c r="AH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  <c r="AX1857" s="33"/>
      <c r="AY1857" s="33"/>
      <c r="BA1857" s="33"/>
      <c r="BB1857" s="33"/>
      <c r="BC1857" s="33"/>
      <c r="BD1857" s="33"/>
      <c r="BE1857" s="33"/>
      <c r="BF1857" s="33"/>
      <c r="CP1857" s="39"/>
      <c r="CQ1857" s="32"/>
    </row>
    <row r="1858" spans="30:95" x14ac:dyDescent="0.25">
      <c r="AD1858" s="33"/>
      <c r="AH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  <c r="BA1858" s="33"/>
      <c r="BB1858" s="33"/>
      <c r="BC1858" s="33"/>
      <c r="BD1858" s="33"/>
      <c r="BE1858" s="33"/>
      <c r="BF1858" s="33"/>
      <c r="CP1858" s="39"/>
      <c r="CQ1858" s="32"/>
    </row>
    <row r="1859" spans="30:95" x14ac:dyDescent="0.25">
      <c r="AD1859" s="33"/>
      <c r="AH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  <c r="AX1859" s="33"/>
      <c r="AY1859" s="33"/>
      <c r="BA1859" s="33"/>
      <c r="BB1859" s="33"/>
      <c r="BC1859" s="33"/>
      <c r="BD1859" s="33"/>
      <c r="BE1859" s="33"/>
      <c r="BF1859" s="33"/>
      <c r="CP1859" s="39"/>
      <c r="CQ1859" s="32"/>
    </row>
    <row r="1860" spans="30:95" x14ac:dyDescent="0.25">
      <c r="AD1860" s="33"/>
      <c r="AH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33"/>
      <c r="AX1860" s="33"/>
      <c r="AY1860" s="33"/>
      <c r="CP1860" s="39"/>
      <c r="CQ1860" s="32"/>
    </row>
    <row r="1861" spans="30:95" x14ac:dyDescent="0.25">
      <c r="AD1861" s="33"/>
      <c r="AH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  <c r="AX1861" s="33"/>
      <c r="AY1861" s="33"/>
      <c r="CP1861" s="39"/>
      <c r="CQ1861" s="32"/>
    </row>
    <row r="1862" spans="30:95" x14ac:dyDescent="0.25">
      <c r="AD1862" s="33"/>
      <c r="AH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V1862" s="33"/>
      <c r="AW1862" s="33"/>
      <c r="AX1862" s="33"/>
      <c r="AY1862" s="33"/>
      <c r="CP1862" s="39"/>
      <c r="CQ1862" s="32"/>
    </row>
    <row r="1863" spans="30:95" x14ac:dyDescent="0.25">
      <c r="AD1863" s="33"/>
      <c r="AH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33"/>
      <c r="AX1863" s="33"/>
      <c r="AY1863" s="33"/>
      <c r="CP1863" s="39"/>
      <c r="CQ1863" s="32"/>
    </row>
    <row r="1864" spans="30:95" x14ac:dyDescent="0.25">
      <c r="AD1864" s="33"/>
      <c r="AH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33"/>
      <c r="AX1864" s="33"/>
      <c r="AY1864" s="33"/>
      <c r="CP1864" s="39"/>
      <c r="CQ1864" s="32"/>
    </row>
    <row r="1865" spans="30:95" x14ac:dyDescent="0.25">
      <c r="AD1865" s="33"/>
      <c r="AH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33"/>
      <c r="AX1865" s="33"/>
      <c r="AY1865" s="33"/>
      <c r="CP1865" s="39"/>
      <c r="CQ1865" s="32"/>
    </row>
    <row r="1866" spans="30:95" x14ac:dyDescent="0.25">
      <c r="AD1866" s="33"/>
      <c r="AH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CP1866" s="39"/>
      <c r="CQ1866" s="32"/>
    </row>
    <row r="1867" spans="30:95" x14ac:dyDescent="0.25">
      <c r="AD1867" s="33"/>
      <c r="AH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CP1867" s="39"/>
      <c r="CQ1867" s="32"/>
    </row>
    <row r="1868" spans="30:95" x14ac:dyDescent="0.25">
      <c r="AD1868" s="33"/>
      <c r="AH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CP1868" s="39"/>
      <c r="CQ1868" s="32"/>
    </row>
    <row r="1869" spans="30:95" x14ac:dyDescent="0.25">
      <c r="AD1869" s="33"/>
      <c r="AH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CP1869" s="39"/>
      <c r="CQ1869" s="32"/>
    </row>
    <row r="1870" spans="30:95" x14ac:dyDescent="0.25">
      <c r="AH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  <c r="CP1870" s="39"/>
      <c r="CQ1870" s="32"/>
    </row>
    <row r="1871" spans="30:95" x14ac:dyDescent="0.25">
      <c r="AH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CP1871" s="39"/>
      <c r="CQ1871" s="32"/>
    </row>
    <row r="1872" spans="30:95" x14ac:dyDescent="0.25">
      <c r="AH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CP1872" s="39"/>
      <c r="CQ1872" s="32"/>
    </row>
    <row r="1873" spans="34:95" x14ac:dyDescent="0.25">
      <c r="AH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33"/>
      <c r="AX1873" s="33"/>
      <c r="AY1873" s="33"/>
      <c r="CP1873" s="39"/>
      <c r="CQ1873" s="32"/>
    </row>
    <row r="1874" spans="34:95" x14ac:dyDescent="0.25">
      <c r="AH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33"/>
      <c r="AX1874" s="33"/>
      <c r="AY1874" s="33"/>
      <c r="CP1874" s="39"/>
      <c r="CQ1874" s="32"/>
    </row>
    <row r="1875" spans="34:95" x14ac:dyDescent="0.25">
      <c r="AH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  <c r="CP1875" s="39"/>
      <c r="CQ1875" s="32"/>
    </row>
    <row r="1876" spans="34:95" x14ac:dyDescent="0.25">
      <c r="AH1876" s="33"/>
      <c r="CP1876" s="39"/>
      <c r="CQ1876" s="32"/>
    </row>
    <row r="1877" spans="34:95" x14ac:dyDescent="0.25">
      <c r="AH1877" s="33"/>
      <c r="CP1877" s="39"/>
      <c r="CQ1877" s="32"/>
    </row>
    <row r="1878" spans="34:95" x14ac:dyDescent="0.25">
      <c r="AH1878" s="33"/>
      <c r="CP1878" s="39"/>
      <c r="CQ1878" s="32"/>
    </row>
    <row r="1879" spans="34:95" x14ac:dyDescent="0.25">
      <c r="AH1879" s="33"/>
      <c r="CP1879" s="39"/>
      <c r="CQ1879" s="32"/>
    </row>
    <row r="1880" spans="34:95" x14ac:dyDescent="0.25">
      <c r="AH1880" s="33"/>
      <c r="CP1880" s="39"/>
      <c r="CQ1880" s="32"/>
    </row>
    <row r="1881" spans="34:95" x14ac:dyDescent="0.25">
      <c r="AH1881" s="33"/>
      <c r="CP1881" s="39"/>
      <c r="CQ1881" s="32"/>
    </row>
    <row r="1882" spans="34:95" x14ac:dyDescent="0.25">
      <c r="AH1882" s="33"/>
      <c r="CP1882" s="39"/>
      <c r="CQ1882" s="32"/>
    </row>
    <row r="1883" spans="34:95" x14ac:dyDescent="0.25">
      <c r="AH1883" s="33"/>
      <c r="CP1883" s="39"/>
      <c r="CQ1883" s="32"/>
    </row>
    <row r="1884" spans="34:95" x14ac:dyDescent="0.25">
      <c r="AH1884" s="33"/>
      <c r="CP1884" s="39"/>
      <c r="CQ1884" s="32"/>
    </row>
    <row r="1885" spans="34:95" x14ac:dyDescent="0.25">
      <c r="AH1885" s="33"/>
      <c r="CP1885" s="39"/>
      <c r="CQ1885" s="32"/>
    </row>
    <row r="1886" spans="34:95" x14ac:dyDescent="0.25">
      <c r="AH1886" s="33"/>
      <c r="CP1886" s="39"/>
      <c r="CQ1886" s="32"/>
    </row>
    <row r="1887" spans="34:95" x14ac:dyDescent="0.25">
      <c r="AH1887" s="33"/>
      <c r="CP1887" s="39"/>
      <c r="CQ1887" s="32"/>
    </row>
    <row r="1888" spans="34:95" x14ac:dyDescent="0.25">
      <c r="AH1888" s="33"/>
      <c r="CP1888" s="39"/>
      <c r="CQ1888" s="32"/>
    </row>
    <row r="1889" spans="34:95" x14ac:dyDescent="0.25">
      <c r="AH1889" s="33"/>
      <c r="CP1889" s="39"/>
      <c r="CQ1889" s="32"/>
    </row>
    <row r="1890" spans="34:95" x14ac:dyDescent="0.25">
      <c r="AH1890" s="33"/>
      <c r="CP1890" s="39"/>
      <c r="CQ1890" s="32"/>
    </row>
    <row r="1891" spans="34:95" x14ac:dyDescent="0.25">
      <c r="AH1891" s="33"/>
      <c r="CP1891" s="39"/>
      <c r="CQ1891" s="32"/>
    </row>
    <row r="1892" spans="34:95" x14ac:dyDescent="0.25">
      <c r="AH1892" s="33"/>
      <c r="CP1892" s="39"/>
      <c r="CQ1892" s="32"/>
    </row>
    <row r="1893" spans="34:95" x14ac:dyDescent="0.25">
      <c r="AH1893" s="33"/>
      <c r="CP1893" s="39"/>
      <c r="CQ1893" s="32"/>
    </row>
    <row r="1894" spans="34:95" x14ac:dyDescent="0.25">
      <c r="AH1894" s="33"/>
      <c r="CP1894" s="39"/>
      <c r="CQ1894" s="32"/>
    </row>
    <row r="1895" spans="34:95" x14ac:dyDescent="0.25">
      <c r="AH1895" s="33"/>
      <c r="CP1895" s="39"/>
      <c r="CQ1895" s="32"/>
    </row>
    <row r="1896" spans="34:95" x14ac:dyDescent="0.25">
      <c r="AH1896" s="33"/>
      <c r="CP1896" s="39"/>
      <c r="CQ1896" s="32"/>
    </row>
    <row r="1897" spans="34:95" x14ac:dyDescent="0.25">
      <c r="AH1897" s="33"/>
      <c r="CP1897" s="39"/>
      <c r="CQ1897" s="32"/>
    </row>
    <row r="1898" spans="34:95" x14ac:dyDescent="0.25">
      <c r="AH1898" s="33"/>
      <c r="CP1898" s="39"/>
      <c r="CQ1898" s="32"/>
    </row>
    <row r="1899" spans="34:95" x14ac:dyDescent="0.25">
      <c r="AH1899" s="33"/>
      <c r="CP1899" s="39"/>
      <c r="CQ1899" s="32"/>
    </row>
    <row r="1900" spans="34:95" x14ac:dyDescent="0.25">
      <c r="AH1900" s="33"/>
      <c r="CP1900" s="39"/>
      <c r="CQ1900" s="32"/>
    </row>
    <row r="1901" spans="34:95" x14ac:dyDescent="0.25">
      <c r="AH1901" s="33"/>
      <c r="CP1901" s="39"/>
      <c r="CQ1901" s="32"/>
    </row>
    <row r="1902" spans="34:95" x14ac:dyDescent="0.25">
      <c r="AH1902" s="33"/>
      <c r="CP1902" s="39"/>
      <c r="CQ1902" s="32"/>
    </row>
    <row r="1903" spans="34:95" x14ac:dyDescent="0.25">
      <c r="AH1903" s="33"/>
      <c r="CP1903" s="39"/>
      <c r="CQ1903" s="32"/>
    </row>
    <row r="1904" spans="34:95" x14ac:dyDescent="0.25">
      <c r="AH1904" s="33"/>
      <c r="CP1904" s="39"/>
      <c r="CQ1904" s="32"/>
    </row>
    <row r="1905" spans="34:95" x14ac:dyDescent="0.25">
      <c r="AH1905" s="33"/>
      <c r="CP1905" s="39"/>
      <c r="CQ1905" s="32"/>
    </row>
    <row r="1906" spans="34:95" x14ac:dyDescent="0.25">
      <c r="AH1906" s="33"/>
      <c r="CP1906" s="39"/>
      <c r="CQ1906" s="32"/>
    </row>
    <row r="1907" spans="34:95" x14ac:dyDescent="0.25">
      <c r="AH1907" s="33"/>
      <c r="CP1907" s="39"/>
      <c r="CQ1907" s="32"/>
    </row>
    <row r="1908" spans="34:95" x14ac:dyDescent="0.25">
      <c r="AH1908" s="33"/>
      <c r="CP1908" s="39"/>
      <c r="CQ1908" s="32"/>
    </row>
    <row r="1909" spans="34:95" x14ac:dyDescent="0.25">
      <c r="AH1909" s="33"/>
      <c r="CP1909" s="39"/>
      <c r="CQ1909" s="32"/>
    </row>
    <row r="1910" spans="34:95" x14ac:dyDescent="0.25">
      <c r="AH1910" s="33"/>
      <c r="CP1910" s="39"/>
      <c r="CQ1910" s="32"/>
    </row>
    <row r="1911" spans="34:95" x14ac:dyDescent="0.25">
      <c r="AH1911" s="33"/>
      <c r="CP1911" s="39"/>
      <c r="CQ1911" s="32"/>
    </row>
    <row r="1912" spans="34:95" x14ac:dyDescent="0.25">
      <c r="AH1912" s="33"/>
      <c r="CP1912" s="39"/>
      <c r="CQ1912" s="32"/>
    </row>
    <row r="1913" spans="34:95" x14ac:dyDescent="0.25">
      <c r="AH1913" s="33"/>
      <c r="CP1913" s="39"/>
      <c r="CQ1913" s="32"/>
    </row>
    <row r="1914" spans="34:95" x14ac:dyDescent="0.25">
      <c r="AH1914" s="33"/>
      <c r="CP1914" s="39"/>
      <c r="CQ1914" s="32"/>
    </row>
    <row r="1915" spans="34:95" x14ac:dyDescent="0.25">
      <c r="AH1915" s="33"/>
      <c r="CP1915" s="39"/>
      <c r="CQ1915" s="32"/>
    </row>
    <row r="1916" spans="34:95" x14ac:dyDescent="0.25">
      <c r="AH1916" s="33"/>
      <c r="CP1916" s="39"/>
      <c r="CQ1916" s="32"/>
    </row>
    <row r="1917" spans="34:95" x14ac:dyDescent="0.25">
      <c r="AH1917" s="33"/>
      <c r="CP1917" s="39"/>
      <c r="CQ1917" s="32"/>
    </row>
    <row r="1918" spans="34:95" x14ac:dyDescent="0.25">
      <c r="AH1918" s="33"/>
      <c r="CP1918" s="39"/>
      <c r="CQ1918" s="32"/>
    </row>
    <row r="1919" spans="34:95" x14ac:dyDescent="0.25">
      <c r="CP1919" s="39"/>
      <c r="CQ1919" s="32"/>
    </row>
    <row r="1920" spans="34:95" x14ac:dyDescent="0.25">
      <c r="CP1920" s="39"/>
      <c r="CQ1920" s="32"/>
    </row>
    <row r="1921" spans="94:95" x14ac:dyDescent="0.25">
      <c r="CP1921" s="39"/>
      <c r="CQ1921" s="32"/>
    </row>
    <row r="1922" spans="94:95" x14ac:dyDescent="0.25">
      <c r="CP1922" s="39"/>
      <c r="CQ1922" s="32"/>
    </row>
    <row r="1923" spans="94:95" x14ac:dyDescent="0.25">
      <c r="CP1923" s="39"/>
      <c r="CQ1923" s="32"/>
    </row>
    <row r="1924" spans="94:95" x14ac:dyDescent="0.25">
      <c r="CP1924" s="39"/>
      <c r="CQ1924" s="32"/>
    </row>
    <row r="1925" spans="94:95" x14ac:dyDescent="0.25">
      <c r="CP1925" s="39"/>
      <c r="CQ1925" s="32"/>
    </row>
    <row r="1926" spans="94:95" x14ac:dyDescent="0.25">
      <c r="CP1926" s="39"/>
      <c r="CQ1926" s="32"/>
    </row>
    <row r="1927" spans="94:95" x14ac:dyDescent="0.25">
      <c r="CP1927" s="39"/>
      <c r="CQ1927" s="32"/>
    </row>
    <row r="1928" spans="94:95" x14ac:dyDescent="0.25">
      <c r="CP1928" s="39"/>
      <c r="CQ1928" s="32"/>
    </row>
  </sheetData>
  <autoFilter ref="B33:EH1331" xr:uid="{ECCC5F23-CDCA-4450-A63C-A611FFB0D307}"/>
  <mergeCells count="1">
    <mergeCell ref="BJ45:BO45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3:AE91"/>
  <sheetViews>
    <sheetView topLeftCell="A2" zoomScale="75" zoomScaleNormal="75" workbookViewId="0">
      <selection activeCell="B10" sqref="A1:XFD1048576"/>
    </sheetView>
  </sheetViews>
  <sheetFormatPr defaultRowHeight="12.75" x14ac:dyDescent="0.2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27" width="17.5703125" style="1" customWidth="1"/>
    <col min="28" max="16384" width="9.140625" style="1"/>
  </cols>
  <sheetData>
    <row r="3" spans="1:31" ht="38.25" x14ac:dyDescent="0.2">
      <c r="E3" s="9" t="s">
        <v>320</v>
      </c>
      <c r="F3" s="9" t="s">
        <v>320</v>
      </c>
      <c r="G3" s="9" t="s">
        <v>320</v>
      </c>
      <c r="H3" s="9" t="s">
        <v>320</v>
      </c>
      <c r="I3" s="9" t="s">
        <v>320</v>
      </c>
      <c r="J3" s="9" t="s">
        <v>320</v>
      </c>
      <c r="K3" s="9" t="s">
        <v>320</v>
      </c>
      <c r="L3" s="9" t="s">
        <v>320</v>
      </c>
      <c r="M3" s="9" t="s">
        <v>320</v>
      </c>
      <c r="N3" s="9" t="s">
        <v>320</v>
      </c>
      <c r="O3" s="9" t="s">
        <v>320</v>
      </c>
      <c r="P3" s="9" t="s">
        <v>320</v>
      </c>
      <c r="Q3" s="9" t="s">
        <v>320</v>
      </c>
      <c r="R3" s="9" t="s">
        <v>320</v>
      </c>
      <c r="S3" s="9" t="s">
        <v>320</v>
      </c>
      <c r="T3" s="9" t="s">
        <v>320</v>
      </c>
      <c r="U3" s="9" t="s">
        <v>320</v>
      </c>
      <c r="V3" s="9" t="s">
        <v>320</v>
      </c>
      <c r="W3" s="9" t="s">
        <v>320</v>
      </c>
      <c r="X3" s="9" t="s">
        <v>320</v>
      </c>
      <c r="Y3" s="9" t="s">
        <v>320</v>
      </c>
      <c r="Z3" s="9" t="s">
        <v>320</v>
      </c>
      <c r="AA3" s="9" t="s">
        <v>320</v>
      </c>
      <c r="AB3" s="1" t="s">
        <v>320</v>
      </c>
      <c r="AC3" s="1" t="s">
        <v>320</v>
      </c>
      <c r="AD3" s="1" t="s">
        <v>320</v>
      </c>
      <c r="AE3" s="1" t="s">
        <v>320</v>
      </c>
    </row>
    <row r="4" spans="1:31" ht="25.5" x14ac:dyDescent="0.2">
      <c r="B4" s="2"/>
      <c r="C4" s="2"/>
      <c r="D4" s="2"/>
      <c r="E4" s="9" t="s">
        <v>179</v>
      </c>
      <c r="F4" s="9" t="s">
        <v>179</v>
      </c>
      <c r="G4" s="9" t="s">
        <v>179</v>
      </c>
      <c r="H4" s="9" t="s">
        <v>179</v>
      </c>
      <c r="I4" s="9" t="s">
        <v>179</v>
      </c>
      <c r="J4" s="9" t="s">
        <v>179</v>
      </c>
      <c r="K4" s="9" t="s">
        <v>179</v>
      </c>
      <c r="L4" s="9" t="s">
        <v>179</v>
      </c>
      <c r="M4" s="9" t="s">
        <v>179</v>
      </c>
      <c r="N4" s="9" t="s">
        <v>179</v>
      </c>
      <c r="O4" s="9" t="s">
        <v>179</v>
      </c>
      <c r="P4" s="9" t="s">
        <v>179</v>
      </c>
      <c r="Q4" s="9" t="s">
        <v>179</v>
      </c>
      <c r="R4" s="9" t="s">
        <v>179</v>
      </c>
      <c r="S4" s="9" t="s">
        <v>179</v>
      </c>
      <c r="T4" s="9" t="s">
        <v>179</v>
      </c>
      <c r="U4" s="9" t="s">
        <v>179</v>
      </c>
      <c r="V4" s="9" t="s">
        <v>179</v>
      </c>
      <c r="W4" s="9" t="s">
        <v>179</v>
      </c>
      <c r="X4" s="9" t="s">
        <v>179</v>
      </c>
      <c r="Y4" s="9" t="s">
        <v>179</v>
      </c>
      <c r="Z4" s="9" t="s">
        <v>179</v>
      </c>
      <c r="AA4" s="9" t="s">
        <v>179</v>
      </c>
      <c r="AB4" s="1" t="s">
        <v>179</v>
      </c>
      <c r="AC4" s="1" t="s">
        <v>179</v>
      </c>
      <c r="AD4" s="1" t="s">
        <v>179</v>
      </c>
      <c r="AE4" s="1" t="s">
        <v>179</v>
      </c>
    </row>
    <row r="5" spans="1:31" x14ac:dyDescent="0.2">
      <c r="A5" s="3" t="s">
        <v>0</v>
      </c>
      <c r="B5" s="4" t="s">
        <v>1</v>
      </c>
      <c r="C5" s="4" t="s">
        <v>2</v>
      </c>
      <c r="D5" s="5" t="s">
        <v>3</v>
      </c>
      <c r="E5" s="9" t="s">
        <v>462</v>
      </c>
      <c r="F5" s="9" t="s">
        <v>26</v>
      </c>
      <c r="G5" s="9" t="s">
        <v>25</v>
      </c>
      <c r="H5" s="9" t="s">
        <v>24</v>
      </c>
      <c r="I5" s="9" t="s">
        <v>23</v>
      </c>
      <c r="J5" s="9" t="s">
        <v>22</v>
      </c>
      <c r="K5" s="9" t="s">
        <v>21</v>
      </c>
      <c r="L5" s="9" t="s">
        <v>20</v>
      </c>
      <c r="M5" s="9" t="s">
        <v>19</v>
      </c>
      <c r="N5" s="9" t="s">
        <v>18</v>
      </c>
      <c r="O5" s="9" t="s">
        <v>17</v>
      </c>
      <c r="P5" s="9" t="s">
        <v>16</v>
      </c>
      <c r="Q5" s="9" t="s">
        <v>15</v>
      </c>
      <c r="R5" s="9" t="s">
        <v>14</v>
      </c>
      <c r="S5" s="9" t="s">
        <v>13</v>
      </c>
      <c r="T5" s="9" t="s">
        <v>12</v>
      </c>
      <c r="U5" s="9" t="s">
        <v>11</v>
      </c>
      <c r="V5" s="9" t="s">
        <v>10</v>
      </c>
      <c r="W5" s="9" t="s">
        <v>9</v>
      </c>
      <c r="X5" s="9" t="s">
        <v>8</v>
      </c>
      <c r="Y5" s="9" t="s">
        <v>7</v>
      </c>
      <c r="Z5" s="9" t="s">
        <v>6</v>
      </c>
      <c r="AA5" s="9" t="s">
        <v>5</v>
      </c>
      <c r="AB5" s="1" t="s">
        <v>4</v>
      </c>
      <c r="AC5" s="1" t="s">
        <v>321</v>
      </c>
      <c r="AD5" s="1" t="s">
        <v>322</v>
      </c>
      <c r="AE5" s="1" t="s">
        <v>323</v>
      </c>
    </row>
    <row r="6" spans="1:31" x14ac:dyDescent="0.2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31" x14ac:dyDescent="0.2">
      <c r="B7" s="6" t="s">
        <v>27</v>
      </c>
      <c r="C7" s="6" t="s">
        <v>27</v>
      </c>
      <c r="D7" s="7">
        <v>4058513</v>
      </c>
      <c r="E7" s="206" t="s">
        <v>123</v>
      </c>
      <c r="F7" s="206" t="s">
        <v>123</v>
      </c>
      <c r="G7" s="206" t="s">
        <v>123</v>
      </c>
      <c r="H7" s="206" t="s">
        <v>123</v>
      </c>
      <c r="I7" s="206">
        <v>1416</v>
      </c>
      <c r="J7" s="206">
        <v>1672</v>
      </c>
      <c r="K7" s="206">
        <v>1330</v>
      </c>
      <c r="L7" s="206">
        <v>3054</v>
      </c>
      <c r="M7" s="206">
        <v>2590</v>
      </c>
      <c r="N7" s="206">
        <v>1431</v>
      </c>
      <c r="O7" s="206">
        <v>1543</v>
      </c>
      <c r="P7" s="206">
        <v>1569</v>
      </c>
      <c r="Q7" s="206">
        <v>798</v>
      </c>
      <c r="R7" s="206">
        <v>779</v>
      </c>
      <c r="S7" s="206">
        <v>1087</v>
      </c>
      <c r="T7" s="206">
        <v>815</v>
      </c>
      <c r="U7" s="206">
        <v>1467</v>
      </c>
      <c r="V7" s="206">
        <v>821</v>
      </c>
      <c r="W7" s="206">
        <v>484</v>
      </c>
      <c r="X7" s="206">
        <v>753</v>
      </c>
      <c r="Y7" s="206" t="s">
        <v>123</v>
      </c>
      <c r="Z7" s="206" t="s">
        <v>123</v>
      </c>
      <c r="AA7" s="206" t="s">
        <v>123</v>
      </c>
      <c r="AB7" s="1" t="s">
        <v>123</v>
      </c>
      <c r="AC7" s="1" t="s">
        <v>123</v>
      </c>
      <c r="AD7" s="1" t="s">
        <v>123</v>
      </c>
      <c r="AE7" s="1" t="s">
        <v>123</v>
      </c>
    </row>
    <row r="8" spans="1:31" x14ac:dyDescent="0.2">
      <c r="B8" s="6" t="s">
        <v>28</v>
      </c>
      <c r="C8" s="6" t="s">
        <v>28</v>
      </c>
      <c r="D8" s="7">
        <v>4054707</v>
      </c>
      <c r="E8" s="206">
        <v>32191</v>
      </c>
      <c r="F8" s="206">
        <v>28483</v>
      </c>
      <c r="G8" s="206">
        <v>29663</v>
      </c>
      <c r="H8" s="206">
        <v>36949</v>
      </c>
      <c r="I8" s="206">
        <v>16543</v>
      </c>
      <c r="J8" s="206">
        <v>28617</v>
      </c>
      <c r="K8" s="206">
        <v>18844</v>
      </c>
      <c r="L8" s="206">
        <v>18160</v>
      </c>
      <c r="M8" s="206">
        <v>27931</v>
      </c>
      <c r="N8" s="206">
        <v>5799</v>
      </c>
      <c r="O8" s="206">
        <v>20972</v>
      </c>
      <c r="P8" s="206">
        <v>7556</v>
      </c>
      <c r="Q8" s="206">
        <v>16166</v>
      </c>
      <c r="R8" s="206">
        <v>11912</v>
      </c>
      <c r="S8" s="206">
        <v>41124</v>
      </c>
      <c r="T8" s="206">
        <v>29029</v>
      </c>
      <c r="U8" s="206">
        <v>5858</v>
      </c>
      <c r="V8" s="206">
        <v>2969</v>
      </c>
      <c r="W8" s="206">
        <v>3554</v>
      </c>
      <c r="X8" s="206">
        <v>-2100</v>
      </c>
      <c r="Y8" s="206">
        <v>2119</v>
      </c>
      <c r="Z8" s="206">
        <v>26207</v>
      </c>
      <c r="AA8" s="206">
        <v>3051</v>
      </c>
      <c r="AB8" s="1">
        <v>5414</v>
      </c>
      <c r="AC8" s="1">
        <v>0</v>
      </c>
      <c r="AD8" s="1">
        <v>0</v>
      </c>
      <c r="AE8" s="1">
        <v>0</v>
      </c>
    </row>
    <row r="9" spans="1:31" x14ac:dyDescent="0.2">
      <c r="B9" s="6" t="s">
        <v>29</v>
      </c>
      <c r="C9" s="6" t="s">
        <v>29</v>
      </c>
      <c r="D9" s="7">
        <v>4057075</v>
      </c>
      <c r="E9" s="206">
        <v>353</v>
      </c>
      <c r="F9" s="206">
        <v>2583</v>
      </c>
      <c r="G9" s="206">
        <v>9150</v>
      </c>
      <c r="H9" s="206">
        <v>19881</v>
      </c>
      <c r="I9" s="206">
        <v>5291</v>
      </c>
      <c r="J9" s="206">
        <v>3621</v>
      </c>
      <c r="K9" s="206">
        <v>3521</v>
      </c>
      <c r="L9" s="206">
        <v>3208</v>
      </c>
      <c r="M9" s="206">
        <v>3616</v>
      </c>
      <c r="N9" s="206">
        <v>2404</v>
      </c>
      <c r="O9" s="206">
        <v>3413</v>
      </c>
      <c r="P9" s="206">
        <v>3717</v>
      </c>
      <c r="Q9" s="206">
        <v>2570</v>
      </c>
      <c r="R9" s="206">
        <v>2422</v>
      </c>
      <c r="S9" s="206">
        <v>1008</v>
      </c>
      <c r="T9" s="206">
        <v>3104</v>
      </c>
      <c r="U9" s="206">
        <v>1475</v>
      </c>
      <c r="V9" s="206">
        <v>2194</v>
      </c>
      <c r="W9" s="206">
        <v>435</v>
      </c>
      <c r="X9" s="206">
        <v>416</v>
      </c>
      <c r="Y9" s="206">
        <v>344</v>
      </c>
      <c r="Z9" s="206">
        <v>1380</v>
      </c>
      <c r="AA9" s="206">
        <v>337</v>
      </c>
      <c r="AB9" s="1">
        <v>415</v>
      </c>
      <c r="AC9" s="1" t="s">
        <v>123</v>
      </c>
      <c r="AD9" s="1">
        <v>0</v>
      </c>
      <c r="AE9" s="1">
        <v>0</v>
      </c>
    </row>
    <row r="10" spans="1:31" x14ac:dyDescent="0.2">
      <c r="A10" s="1" t="s">
        <v>30</v>
      </c>
      <c r="B10" s="6" t="s">
        <v>31</v>
      </c>
      <c r="C10" s="6" t="s">
        <v>31</v>
      </c>
      <c r="D10" s="7">
        <v>4007784</v>
      </c>
      <c r="E10" s="206">
        <v>4808.8159999999998</v>
      </c>
      <c r="F10" s="206">
        <v>7847</v>
      </c>
      <c r="G10" s="206">
        <v>2972</v>
      </c>
      <c r="H10" s="206">
        <v>2811</v>
      </c>
      <c r="I10" s="206">
        <v>2989</v>
      </c>
      <c r="J10" s="206">
        <v>5862</v>
      </c>
      <c r="K10" s="206">
        <v>925</v>
      </c>
      <c r="L10" s="206">
        <v>1852</v>
      </c>
      <c r="M10" s="206">
        <v>2793</v>
      </c>
      <c r="N10" s="206">
        <v>1882</v>
      </c>
      <c r="O10" s="206">
        <v>0</v>
      </c>
      <c r="P10" s="206">
        <v>1671</v>
      </c>
      <c r="Q10" s="206">
        <v>736</v>
      </c>
      <c r="R10" s="206">
        <v>355</v>
      </c>
      <c r="S10" s="206">
        <v>570</v>
      </c>
      <c r="T10" s="206">
        <v>595</v>
      </c>
      <c r="U10" s="206">
        <v>1078</v>
      </c>
      <c r="V10" s="206">
        <v>355</v>
      </c>
      <c r="W10" s="206">
        <v>748</v>
      </c>
      <c r="X10" s="206">
        <v>591</v>
      </c>
      <c r="Y10" s="206">
        <v>0</v>
      </c>
      <c r="Z10" s="206">
        <v>12</v>
      </c>
      <c r="AA10" s="206">
        <v>0</v>
      </c>
      <c r="AB10" s="1">
        <v>597</v>
      </c>
      <c r="AC10" s="1" t="s">
        <v>123</v>
      </c>
      <c r="AD10" s="1" t="s">
        <v>123</v>
      </c>
      <c r="AE10" s="1">
        <v>362</v>
      </c>
    </row>
    <row r="11" spans="1:31" x14ac:dyDescent="0.2">
      <c r="A11" s="1" t="s">
        <v>30</v>
      </c>
      <c r="B11" s="6" t="s">
        <v>32</v>
      </c>
      <c r="C11" s="6" t="s">
        <v>33</v>
      </c>
      <c r="D11" s="7">
        <v>4058656</v>
      </c>
      <c r="E11" s="206" t="s">
        <v>123</v>
      </c>
      <c r="F11" s="206">
        <v>1785</v>
      </c>
      <c r="G11" s="206">
        <v>2071</v>
      </c>
      <c r="H11" s="206">
        <v>3189</v>
      </c>
      <c r="I11" s="206">
        <v>3077</v>
      </c>
      <c r="J11" s="206">
        <v>6241</v>
      </c>
      <c r="K11" s="206">
        <v>2491</v>
      </c>
      <c r="L11" s="206">
        <v>2653</v>
      </c>
      <c r="M11" s="206">
        <v>5818</v>
      </c>
      <c r="N11" s="206">
        <v>5906</v>
      </c>
      <c r="O11" s="206">
        <v>5364</v>
      </c>
      <c r="P11" s="206">
        <v>1875</v>
      </c>
      <c r="Q11" s="206">
        <v>3172</v>
      </c>
      <c r="R11" s="206">
        <v>1847</v>
      </c>
      <c r="S11" s="206">
        <v>1901</v>
      </c>
      <c r="T11" s="206">
        <v>1858</v>
      </c>
      <c r="U11" s="206">
        <v>2532</v>
      </c>
      <c r="V11" s="206">
        <v>5892</v>
      </c>
      <c r="W11" s="206">
        <v>781</v>
      </c>
      <c r="X11" s="206">
        <v>257</v>
      </c>
      <c r="Y11" s="206">
        <v>1406</v>
      </c>
      <c r="Z11" s="206">
        <v>1329</v>
      </c>
      <c r="AA11" s="206">
        <v>6829</v>
      </c>
      <c r="AB11" s="1">
        <v>5007</v>
      </c>
      <c r="AC11" s="1" t="s">
        <v>123</v>
      </c>
      <c r="AD11" s="1" t="s">
        <v>123</v>
      </c>
      <c r="AE11" s="1" t="s">
        <v>123</v>
      </c>
    </row>
    <row r="12" spans="1:31" x14ac:dyDescent="0.2">
      <c r="A12" s="1" t="s">
        <v>30</v>
      </c>
      <c r="B12" s="6" t="s">
        <v>34</v>
      </c>
      <c r="C12" s="6" t="s">
        <v>35</v>
      </c>
      <c r="D12" s="7">
        <v>4057110</v>
      </c>
      <c r="E12" s="206">
        <v>4430</v>
      </c>
      <c r="F12" s="206">
        <v>1640</v>
      </c>
      <c r="G12" s="206">
        <v>2031</v>
      </c>
      <c r="H12" s="206">
        <v>2502</v>
      </c>
      <c r="I12" s="206">
        <v>6691</v>
      </c>
      <c r="J12" s="206">
        <v>7749</v>
      </c>
      <c r="K12" s="206">
        <v>1995</v>
      </c>
      <c r="L12" s="206">
        <v>1560</v>
      </c>
      <c r="M12" s="206">
        <v>3196</v>
      </c>
      <c r="N12" s="206">
        <v>341</v>
      </c>
      <c r="O12" s="206">
        <v>1486</v>
      </c>
      <c r="P12" s="206">
        <v>416</v>
      </c>
      <c r="Q12" s="206">
        <v>770</v>
      </c>
      <c r="R12" s="206">
        <v>890</v>
      </c>
      <c r="S12" s="206">
        <v>929</v>
      </c>
      <c r="T12" s="206">
        <v>860</v>
      </c>
      <c r="U12" s="206">
        <v>749</v>
      </c>
      <c r="V12" s="206">
        <v>693</v>
      </c>
      <c r="W12" s="206">
        <v>829</v>
      </c>
      <c r="X12" s="206">
        <v>442</v>
      </c>
      <c r="Y12" s="206">
        <v>99</v>
      </c>
      <c r="Z12" s="206">
        <v>184</v>
      </c>
      <c r="AA12" s="206">
        <v>149</v>
      </c>
      <c r="AB12" s="1">
        <v>294</v>
      </c>
      <c r="AC12" s="1" t="s">
        <v>123</v>
      </c>
      <c r="AD12" s="1" t="s">
        <v>123</v>
      </c>
      <c r="AE12" s="1" t="s">
        <v>123</v>
      </c>
    </row>
    <row r="13" spans="1:31" x14ac:dyDescent="0.2">
      <c r="B13" s="6" t="s">
        <v>36</v>
      </c>
      <c r="C13" s="6" t="s">
        <v>36</v>
      </c>
      <c r="D13" s="7">
        <v>4058516</v>
      </c>
      <c r="E13" s="206">
        <v>14220</v>
      </c>
      <c r="F13" s="206">
        <v>19625</v>
      </c>
      <c r="G13" s="206">
        <v>10062</v>
      </c>
      <c r="H13" s="206">
        <v>2950</v>
      </c>
      <c r="I13" s="206">
        <v>1815</v>
      </c>
      <c r="J13" s="206">
        <v>9095</v>
      </c>
      <c r="K13" s="206">
        <v>7038</v>
      </c>
      <c r="L13" s="206">
        <v>4057</v>
      </c>
      <c r="M13" s="206">
        <v>3064</v>
      </c>
      <c r="N13" s="206">
        <v>3349</v>
      </c>
      <c r="O13" s="206">
        <v>4052</v>
      </c>
      <c r="P13" s="206">
        <v>4315</v>
      </c>
      <c r="Q13" s="206">
        <v>1878</v>
      </c>
      <c r="R13" s="206">
        <v>1064</v>
      </c>
      <c r="S13" s="206">
        <v>2751</v>
      </c>
      <c r="T13" s="206">
        <v>2936</v>
      </c>
      <c r="U13" s="206">
        <v>1822</v>
      </c>
      <c r="V13" s="206">
        <v>1442</v>
      </c>
      <c r="W13" s="206">
        <v>2096</v>
      </c>
      <c r="X13" s="206">
        <v>1872</v>
      </c>
      <c r="Y13" s="206">
        <v>1673</v>
      </c>
      <c r="Z13" s="206">
        <v>1318</v>
      </c>
      <c r="AA13" s="206">
        <v>2658</v>
      </c>
      <c r="AB13" s="1">
        <v>2288</v>
      </c>
      <c r="AC13" s="1">
        <v>0</v>
      </c>
      <c r="AD13" s="1">
        <v>0</v>
      </c>
      <c r="AE13" s="1">
        <v>0</v>
      </c>
    </row>
    <row r="14" spans="1:31" x14ac:dyDescent="0.2">
      <c r="B14" s="6" t="s">
        <v>37</v>
      </c>
      <c r="C14" s="6" t="s">
        <v>37</v>
      </c>
      <c r="D14" s="7">
        <v>4058793</v>
      </c>
      <c r="E14" s="206">
        <v>69</v>
      </c>
      <c r="F14" s="206">
        <v>70</v>
      </c>
      <c r="G14" s="206">
        <v>0</v>
      </c>
      <c r="H14" s="206">
        <v>75</v>
      </c>
      <c r="I14" s="206">
        <v>45</v>
      </c>
      <c r="J14" s="206">
        <v>169</v>
      </c>
      <c r="K14" s="206">
        <v>61</v>
      </c>
      <c r="L14" s="206">
        <v>47</v>
      </c>
      <c r="M14" s="206">
        <v>114</v>
      </c>
      <c r="N14" s="206">
        <v>45</v>
      </c>
      <c r="O14" s="206">
        <v>27</v>
      </c>
      <c r="P14" s="206">
        <v>18</v>
      </c>
      <c r="Q14" s="206">
        <v>2</v>
      </c>
      <c r="R14" s="206">
        <v>90</v>
      </c>
      <c r="S14" s="206">
        <v>104</v>
      </c>
      <c r="T14" s="206">
        <v>24</v>
      </c>
      <c r="U14" s="206">
        <v>17</v>
      </c>
      <c r="V14" s="206">
        <v>0</v>
      </c>
      <c r="W14" s="206">
        <v>210</v>
      </c>
      <c r="X14" s="206">
        <v>57</v>
      </c>
      <c r="Y14" s="206">
        <v>33</v>
      </c>
      <c r="Z14" s="206">
        <v>122</v>
      </c>
      <c r="AA14" s="206">
        <v>87</v>
      </c>
      <c r="AB14" s="1">
        <v>83</v>
      </c>
      <c r="AC14" s="1" t="s">
        <v>123</v>
      </c>
      <c r="AD14" s="1" t="s">
        <v>123</v>
      </c>
      <c r="AE14" s="1" t="s">
        <v>123</v>
      </c>
    </row>
    <row r="15" spans="1:31" x14ac:dyDescent="0.2">
      <c r="A15" s="1" t="s">
        <v>30</v>
      </c>
      <c r="B15" s="6" t="s">
        <v>38</v>
      </c>
      <c r="C15" s="6" t="s">
        <v>38</v>
      </c>
      <c r="D15" s="7">
        <v>4057111</v>
      </c>
      <c r="E15" s="206">
        <v>5346</v>
      </c>
      <c r="F15" s="206">
        <v>8201</v>
      </c>
      <c r="G15" s="206">
        <v>6101</v>
      </c>
      <c r="H15" s="206">
        <v>8379</v>
      </c>
      <c r="I15" s="206">
        <v>2338</v>
      </c>
      <c r="J15" s="206">
        <v>17246</v>
      </c>
      <c r="K15" s="206">
        <v>3056</v>
      </c>
      <c r="L15" s="206">
        <v>3569</v>
      </c>
      <c r="M15" s="206">
        <v>7330</v>
      </c>
      <c r="N15" s="206">
        <v>2483</v>
      </c>
      <c r="O15" s="206">
        <v>3093</v>
      </c>
      <c r="P15" s="206">
        <v>1581</v>
      </c>
      <c r="Q15" s="206">
        <v>7953</v>
      </c>
      <c r="R15" s="206">
        <v>7056</v>
      </c>
      <c r="S15" s="206">
        <v>2147</v>
      </c>
      <c r="T15" s="206">
        <v>12865</v>
      </c>
      <c r="U15" s="206">
        <v>5230</v>
      </c>
      <c r="V15" s="206">
        <v>5986</v>
      </c>
      <c r="W15" s="206">
        <v>509</v>
      </c>
      <c r="X15" s="206">
        <v>3199</v>
      </c>
      <c r="Y15" s="206">
        <v>7144</v>
      </c>
      <c r="Z15" s="206">
        <v>1115</v>
      </c>
      <c r="AA15" s="206">
        <v>800</v>
      </c>
      <c r="AB15" s="1">
        <v>801</v>
      </c>
      <c r="AC15" s="1">
        <v>0</v>
      </c>
      <c r="AD15" s="1">
        <v>0</v>
      </c>
      <c r="AE15" s="1">
        <v>0</v>
      </c>
    </row>
    <row r="16" spans="1:31" x14ac:dyDescent="0.2">
      <c r="A16" s="1" t="s">
        <v>30</v>
      </c>
      <c r="B16" s="6" t="s">
        <v>39</v>
      </c>
      <c r="C16" s="6" t="s">
        <v>39</v>
      </c>
      <c r="D16" s="7">
        <v>4018679</v>
      </c>
      <c r="E16" s="206">
        <v>13813</v>
      </c>
      <c r="F16" s="206">
        <v>11714</v>
      </c>
      <c r="G16" s="206">
        <v>18309</v>
      </c>
      <c r="H16" s="206">
        <v>15262</v>
      </c>
      <c r="I16" s="206">
        <v>4539</v>
      </c>
      <c r="J16" s="206">
        <v>37492</v>
      </c>
      <c r="K16" s="206">
        <v>15963</v>
      </c>
      <c r="L16" s="206">
        <v>8878</v>
      </c>
      <c r="M16" s="206">
        <v>5733</v>
      </c>
      <c r="N16" s="206">
        <v>2398</v>
      </c>
      <c r="O16" s="206">
        <v>2745</v>
      </c>
      <c r="P16" s="206">
        <v>8281</v>
      </c>
      <c r="Q16" s="206">
        <v>4373</v>
      </c>
      <c r="R16" s="206">
        <v>12484</v>
      </c>
      <c r="S16" s="206">
        <v>3516</v>
      </c>
      <c r="T16" s="206">
        <v>6349</v>
      </c>
      <c r="U16" s="206">
        <v>10969</v>
      </c>
      <c r="V16" s="206">
        <v>1923</v>
      </c>
      <c r="W16" s="206">
        <v>5701</v>
      </c>
      <c r="X16" s="206">
        <v>10566</v>
      </c>
      <c r="Y16" s="206">
        <v>6098</v>
      </c>
      <c r="Z16" s="206">
        <v>14118</v>
      </c>
      <c r="AA16" s="206">
        <v>10543</v>
      </c>
      <c r="AB16" s="1">
        <v>7076</v>
      </c>
      <c r="AC16" s="1">
        <v>0</v>
      </c>
      <c r="AD16" s="1">
        <v>0</v>
      </c>
      <c r="AE16" s="1">
        <v>0</v>
      </c>
    </row>
    <row r="17" spans="1:31" x14ac:dyDescent="0.2">
      <c r="B17" s="6" t="s">
        <v>40</v>
      </c>
      <c r="C17" s="6" t="s">
        <v>40</v>
      </c>
      <c r="D17" s="7">
        <v>4057112</v>
      </c>
      <c r="E17" s="206">
        <v>8105</v>
      </c>
      <c r="F17" s="206">
        <v>6240</v>
      </c>
      <c r="G17" s="206">
        <v>10444</v>
      </c>
      <c r="H17" s="206">
        <v>7966</v>
      </c>
      <c r="I17" s="206">
        <v>4430</v>
      </c>
      <c r="J17" s="206">
        <v>4943</v>
      </c>
      <c r="K17" s="206">
        <v>10492</v>
      </c>
      <c r="L17" s="206">
        <v>5320</v>
      </c>
      <c r="M17" s="206">
        <v>7181</v>
      </c>
      <c r="N17" s="206">
        <v>3913</v>
      </c>
      <c r="O17" s="206">
        <v>3482</v>
      </c>
      <c r="P17" s="206">
        <v>10122</v>
      </c>
      <c r="Q17" s="206">
        <v>3616</v>
      </c>
      <c r="R17" s="206">
        <v>4255</v>
      </c>
      <c r="S17" s="206">
        <v>2700</v>
      </c>
      <c r="T17" s="206">
        <v>2790</v>
      </c>
      <c r="U17" s="206">
        <v>3587</v>
      </c>
      <c r="V17" s="206">
        <v>1891</v>
      </c>
      <c r="W17" s="206">
        <v>3332</v>
      </c>
      <c r="X17" s="206">
        <v>3130</v>
      </c>
      <c r="Y17" s="206">
        <v>5198</v>
      </c>
      <c r="Z17" s="206">
        <v>1263</v>
      </c>
      <c r="AA17" s="206">
        <v>1310</v>
      </c>
      <c r="AB17" s="1">
        <v>3257</v>
      </c>
      <c r="AC17" s="1">
        <v>0</v>
      </c>
      <c r="AD17" s="1">
        <v>0</v>
      </c>
      <c r="AE17" s="1">
        <v>0</v>
      </c>
    </row>
    <row r="18" spans="1:31" x14ac:dyDescent="0.2">
      <c r="A18" s="1" t="s">
        <v>30</v>
      </c>
      <c r="B18" s="6" t="s">
        <v>41</v>
      </c>
      <c r="C18" s="6" t="s">
        <v>41</v>
      </c>
      <c r="D18" s="7">
        <v>4057076</v>
      </c>
      <c r="E18" s="206">
        <v>0</v>
      </c>
      <c r="F18" s="206" t="s">
        <v>123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1">
        <v>0</v>
      </c>
      <c r="AC18" s="1">
        <v>0</v>
      </c>
      <c r="AD18" s="1">
        <v>0</v>
      </c>
      <c r="AE18" s="1">
        <v>0</v>
      </c>
    </row>
    <row r="19" spans="1:31" x14ac:dyDescent="0.2">
      <c r="B19" s="6" t="s">
        <v>42</v>
      </c>
      <c r="C19" s="6" t="s">
        <v>42</v>
      </c>
      <c r="D19" s="7">
        <v>4059166</v>
      </c>
      <c r="E19" s="206" t="s">
        <v>123</v>
      </c>
      <c r="F19" s="206">
        <v>1908</v>
      </c>
      <c r="G19" s="206">
        <v>4041</v>
      </c>
      <c r="H19" s="206">
        <v>1328</v>
      </c>
      <c r="I19" s="206">
        <v>4051</v>
      </c>
      <c r="J19" s="206">
        <v>899</v>
      </c>
      <c r="K19" s="206">
        <v>872</v>
      </c>
      <c r="L19" s="206">
        <v>829</v>
      </c>
      <c r="M19" s="206">
        <v>329</v>
      </c>
      <c r="N19" s="206">
        <v>406</v>
      </c>
      <c r="O19" s="206">
        <v>751</v>
      </c>
      <c r="P19" s="206">
        <v>286</v>
      </c>
      <c r="Q19" s="206">
        <v>947</v>
      </c>
      <c r="R19" s="206">
        <v>1777</v>
      </c>
      <c r="S19" s="206">
        <v>733</v>
      </c>
      <c r="T19" s="206">
        <v>1066</v>
      </c>
      <c r="U19" s="206">
        <v>122</v>
      </c>
      <c r="V19" s="206">
        <v>-223</v>
      </c>
      <c r="W19" s="206">
        <v>0</v>
      </c>
      <c r="X19" s="206">
        <v>0</v>
      </c>
      <c r="Y19" s="206">
        <v>9</v>
      </c>
      <c r="Z19" s="206">
        <v>3</v>
      </c>
      <c r="AA19" s="206" t="s">
        <v>123</v>
      </c>
      <c r="AB19" s="1" t="s">
        <v>123</v>
      </c>
      <c r="AC19" s="1">
        <v>0</v>
      </c>
      <c r="AD19" s="1">
        <v>0</v>
      </c>
      <c r="AE19" s="1">
        <v>0</v>
      </c>
    </row>
    <row r="20" spans="1:31" x14ac:dyDescent="0.2">
      <c r="B20" s="6" t="s">
        <v>43</v>
      </c>
      <c r="C20" s="6" t="s">
        <v>43</v>
      </c>
      <c r="D20" s="7">
        <v>4059227</v>
      </c>
      <c r="E20" s="206" t="s">
        <v>123</v>
      </c>
      <c r="F20" s="206">
        <v>199</v>
      </c>
      <c r="G20" s="206">
        <v>252</v>
      </c>
      <c r="H20" s="206">
        <v>869</v>
      </c>
      <c r="I20" s="206">
        <v>392</v>
      </c>
      <c r="J20" s="206">
        <v>244</v>
      </c>
      <c r="K20" s="206">
        <v>180</v>
      </c>
      <c r="L20" s="206">
        <v>203</v>
      </c>
      <c r="M20" s="206">
        <v>73</v>
      </c>
      <c r="N20" s="206">
        <v>56</v>
      </c>
      <c r="O20" s="206">
        <v>181</v>
      </c>
      <c r="P20" s="206">
        <v>23</v>
      </c>
      <c r="Q20" s="206">
        <v>75</v>
      </c>
      <c r="R20" s="206">
        <v>129</v>
      </c>
      <c r="S20" s="206">
        <v>95</v>
      </c>
      <c r="T20" s="206">
        <v>87</v>
      </c>
      <c r="U20" s="206">
        <v>64</v>
      </c>
      <c r="V20" s="206" t="s">
        <v>123</v>
      </c>
      <c r="W20" s="206">
        <v>152</v>
      </c>
      <c r="X20" s="206">
        <v>79</v>
      </c>
      <c r="Y20" s="206" t="s">
        <v>123</v>
      </c>
      <c r="Z20" s="206">
        <v>207</v>
      </c>
      <c r="AA20" s="206" t="s">
        <v>123</v>
      </c>
      <c r="AB20" s="1" t="s">
        <v>123</v>
      </c>
      <c r="AC20" s="1" t="s">
        <v>123</v>
      </c>
      <c r="AD20" s="1">
        <v>0</v>
      </c>
      <c r="AE20" s="1">
        <v>0</v>
      </c>
    </row>
    <row r="21" spans="1:31" x14ac:dyDescent="0.2">
      <c r="A21" s="1" t="s">
        <v>30</v>
      </c>
      <c r="B21" s="6" t="s">
        <v>44</v>
      </c>
      <c r="C21" s="6" t="s">
        <v>44</v>
      </c>
      <c r="D21" s="7">
        <v>4057114</v>
      </c>
      <c r="E21" s="206" t="s">
        <v>123</v>
      </c>
      <c r="F21" s="206">
        <v>1888</v>
      </c>
      <c r="G21" s="206">
        <v>332</v>
      </c>
      <c r="H21" s="206">
        <v>1253</v>
      </c>
      <c r="I21" s="206">
        <v>1221</v>
      </c>
      <c r="J21" s="206">
        <v>2192</v>
      </c>
      <c r="K21" s="206">
        <v>2305</v>
      </c>
      <c r="L21" s="206">
        <v>1618</v>
      </c>
      <c r="M21" s="206">
        <v>989</v>
      </c>
      <c r="N21" s="206">
        <v>311</v>
      </c>
      <c r="O21" s="206">
        <v>309</v>
      </c>
      <c r="P21" s="206">
        <v>350</v>
      </c>
      <c r="Q21" s="206">
        <v>2257</v>
      </c>
      <c r="R21" s="206">
        <v>3156</v>
      </c>
      <c r="S21" s="206">
        <v>1094</v>
      </c>
      <c r="T21" s="206">
        <v>1727</v>
      </c>
      <c r="U21" s="206">
        <v>1144</v>
      </c>
      <c r="V21" s="206">
        <v>1110</v>
      </c>
      <c r="W21" s="206">
        <v>1517</v>
      </c>
      <c r="X21" s="206">
        <v>641</v>
      </c>
      <c r="Y21" s="206">
        <v>965</v>
      </c>
      <c r="Z21" s="206">
        <v>291</v>
      </c>
      <c r="AA21" s="206">
        <v>192</v>
      </c>
      <c r="AB21" s="1">
        <v>3885</v>
      </c>
      <c r="AC21" s="1">
        <v>0</v>
      </c>
      <c r="AD21" s="1">
        <v>0</v>
      </c>
      <c r="AE21" s="1">
        <v>0</v>
      </c>
    </row>
    <row r="22" spans="1:31" x14ac:dyDescent="0.2">
      <c r="B22" s="6" t="s">
        <v>45</v>
      </c>
      <c r="C22" s="6" t="s">
        <v>45</v>
      </c>
      <c r="D22" s="7">
        <v>4059355</v>
      </c>
      <c r="E22" s="206">
        <v>441</v>
      </c>
      <c r="F22" s="206">
        <v>442</v>
      </c>
      <c r="G22" s="206">
        <v>418</v>
      </c>
      <c r="H22" s="206">
        <v>445</v>
      </c>
      <c r="I22" s="206">
        <v>938</v>
      </c>
      <c r="J22" s="206">
        <v>850</v>
      </c>
      <c r="K22" s="206">
        <v>804</v>
      </c>
      <c r="L22" s="206">
        <v>229</v>
      </c>
      <c r="M22" s="206">
        <v>495</v>
      </c>
      <c r="N22" s="206">
        <v>222</v>
      </c>
      <c r="O22" s="206">
        <v>775</v>
      </c>
      <c r="P22" s="206">
        <v>122</v>
      </c>
      <c r="Q22" s="206">
        <v>65</v>
      </c>
      <c r="R22" s="206">
        <v>254</v>
      </c>
      <c r="S22" s="206">
        <v>-176</v>
      </c>
      <c r="T22" s="206">
        <v>52</v>
      </c>
      <c r="U22" s="206">
        <v>149</v>
      </c>
      <c r="V22" s="206">
        <v>281</v>
      </c>
      <c r="W22" s="206">
        <v>32</v>
      </c>
      <c r="X22" s="206">
        <v>447</v>
      </c>
      <c r="Y22" s="206">
        <v>216</v>
      </c>
      <c r="Z22" s="206">
        <v>0</v>
      </c>
      <c r="AA22" s="206">
        <v>186</v>
      </c>
      <c r="AB22" s="1">
        <v>482</v>
      </c>
      <c r="AC22" s="1">
        <v>0</v>
      </c>
      <c r="AD22" s="1">
        <v>0</v>
      </c>
      <c r="AE22" s="1">
        <v>0</v>
      </c>
    </row>
    <row r="23" spans="1:31" x14ac:dyDescent="0.2">
      <c r="B23" s="6" t="s">
        <v>46</v>
      </c>
      <c r="C23" s="6" t="s">
        <v>46</v>
      </c>
      <c r="D23" s="7">
        <v>4088325</v>
      </c>
      <c r="E23" s="206">
        <v>616</v>
      </c>
      <c r="F23" s="206">
        <v>265</v>
      </c>
      <c r="G23" s="206">
        <v>669</v>
      </c>
      <c r="H23" s="206">
        <v>153</v>
      </c>
      <c r="I23" s="206">
        <v>223</v>
      </c>
      <c r="J23" s="206">
        <v>257</v>
      </c>
      <c r="K23" s="206">
        <v>156</v>
      </c>
      <c r="L23" s="206">
        <v>149</v>
      </c>
      <c r="M23" s="206">
        <v>191</v>
      </c>
      <c r="N23" s="206">
        <v>133</v>
      </c>
      <c r="O23" s="206">
        <v>295</v>
      </c>
      <c r="P23" s="206">
        <v>108</v>
      </c>
      <c r="Q23" s="206">
        <v>25</v>
      </c>
      <c r="R23" s="206">
        <v>246</v>
      </c>
      <c r="S23" s="206">
        <v>0</v>
      </c>
      <c r="T23" s="206">
        <v>0</v>
      </c>
      <c r="U23" s="206">
        <v>11</v>
      </c>
      <c r="V23" s="206">
        <v>68</v>
      </c>
      <c r="W23" s="206">
        <v>24</v>
      </c>
      <c r="X23" s="206">
        <v>255</v>
      </c>
      <c r="Y23" s="206">
        <v>19</v>
      </c>
      <c r="Z23" s="206">
        <v>122</v>
      </c>
      <c r="AA23" s="206">
        <v>44</v>
      </c>
      <c r="AB23" s="1">
        <v>69</v>
      </c>
      <c r="AC23" s="1">
        <v>0</v>
      </c>
      <c r="AD23" s="1">
        <v>0</v>
      </c>
      <c r="AE23" s="1">
        <v>0</v>
      </c>
    </row>
    <row r="24" spans="1:31" x14ac:dyDescent="0.2">
      <c r="B24" s="6" t="s">
        <v>47</v>
      </c>
      <c r="C24" s="6" t="s">
        <v>47</v>
      </c>
      <c r="D24" s="7">
        <v>4088326</v>
      </c>
      <c r="E24" s="206" t="s">
        <v>123</v>
      </c>
      <c r="F24" s="206">
        <v>5025</v>
      </c>
      <c r="G24" s="206">
        <v>1831</v>
      </c>
      <c r="H24" s="206">
        <v>3947</v>
      </c>
      <c r="I24" s="206">
        <v>4807</v>
      </c>
      <c r="J24" s="206">
        <v>3514</v>
      </c>
      <c r="K24" s="206">
        <v>4894</v>
      </c>
      <c r="L24" s="206">
        <v>34635</v>
      </c>
      <c r="M24" s="206">
        <v>2499</v>
      </c>
      <c r="N24" s="206">
        <v>2137</v>
      </c>
      <c r="O24" s="206">
        <v>8180</v>
      </c>
      <c r="P24" s="206">
        <v>1112</v>
      </c>
      <c r="Q24" s="206">
        <v>1428</v>
      </c>
      <c r="R24" s="206">
        <v>5812</v>
      </c>
      <c r="S24" s="206">
        <v>19</v>
      </c>
      <c r="T24" s="206">
        <v>120</v>
      </c>
      <c r="U24" s="206">
        <v>263</v>
      </c>
      <c r="V24" s="206">
        <v>1816</v>
      </c>
      <c r="W24" s="206">
        <v>1519</v>
      </c>
      <c r="X24" s="206">
        <v>4866</v>
      </c>
      <c r="Y24" s="206">
        <v>1021</v>
      </c>
      <c r="Z24" s="206" t="s">
        <v>123</v>
      </c>
      <c r="AA24" s="206">
        <v>4252</v>
      </c>
      <c r="AB24" s="1">
        <v>11507</v>
      </c>
      <c r="AC24" s="1">
        <v>0</v>
      </c>
      <c r="AD24" s="1">
        <v>0</v>
      </c>
      <c r="AE24" s="1">
        <v>0</v>
      </c>
    </row>
    <row r="25" spans="1:31" x14ac:dyDescent="0.2">
      <c r="A25" s="1" t="s">
        <v>30</v>
      </c>
      <c r="B25" s="6" t="s">
        <v>48</v>
      </c>
      <c r="C25" s="6" t="s">
        <v>48</v>
      </c>
      <c r="D25" s="7">
        <v>4059358</v>
      </c>
      <c r="E25" s="206" t="s">
        <v>123</v>
      </c>
      <c r="F25" s="206">
        <v>862</v>
      </c>
      <c r="G25" s="206">
        <v>1424</v>
      </c>
      <c r="H25" s="206">
        <v>1309</v>
      </c>
      <c r="I25" s="206">
        <v>3264</v>
      </c>
      <c r="J25" s="206">
        <v>2717</v>
      </c>
      <c r="K25" s="206">
        <v>4837</v>
      </c>
      <c r="L25" s="206">
        <v>1165</v>
      </c>
      <c r="M25" s="206">
        <v>1176</v>
      </c>
      <c r="N25" s="206">
        <v>977</v>
      </c>
      <c r="O25" s="206">
        <v>3235</v>
      </c>
      <c r="P25" s="206">
        <v>1448</v>
      </c>
      <c r="Q25" s="206">
        <v>397</v>
      </c>
      <c r="R25" s="206">
        <v>2484</v>
      </c>
      <c r="S25" s="206">
        <v>0</v>
      </c>
      <c r="T25" s="206">
        <v>147</v>
      </c>
      <c r="U25" s="206">
        <v>262</v>
      </c>
      <c r="V25" s="206">
        <v>2160</v>
      </c>
      <c r="W25" s="206">
        <v>118</v>
      </c>
      <c r="X25" s="206">
        <v>1012</v>
      </c>
      <c r="Y25" s="206">
        <v>1814</v>
      </c>
      <c r="Z25" s="206">
        <v>2866</v>
      </c>
      <c r="AA25" s="206">
        <v>2378</v>
      </c>
      <c r="AB25" s="1">
        <v>3579</v>
      </c>
      <c r="AC25" s="1">
        <v>0</v>
      </c>
      <c r="AD25" s="1">
        <v>0</v>
      </c>
      <c r="AE25" s="1">
        <v>0</v>
      </c>
    </row>
    <row r="26" spans="1:31" x14ac:dyDescent="0.2">
      <c r="B26" s="6" t="s">
        <v>49</v>
      </c>
      <c r="C26" s="6" t="s">
        <v>49</v>
      </c>
      <c r="D26" s="7">
        <v>4059359</v>
      </c>
      <c r="E26" s="206" t="s">
        <v>123</v>
      </c>
      <c r="F26" s="206">
        <v>787</v>
      </c>
      <c r="G26" s="206">
        <v>1045</v>
      </c>
      <c r="H26" s="206">
        <v>1218</v>
      </c>
      <c r="I26" s="206">
        <v>1153</v>
      </c>
      <c r="J26" s="206">
        <v>1044</v>
      </c>
      <c r="K26" s="206">
        <v>1901</v>
      </c>
      <c r="L26" s="206">
        <v>613</v>
      </c>
      <c r="M26" s="206">
        <v>552</v>
      </c>
      <c r="N26" s="206">
        <v>510</v>
      </c>
      <c r="O26" s="206">
        <v>1168</v>
      </c>
      <c r="P26" s="206">
        <v>486</v>
      </c>
      <c r="Q26" s="206">
        <v>356</v>
      </c>
      <c r="R26" s="206">
        <v>420</v>
      </c>
      <c r="S26" s="206">
        <v>210</v>
      </c>
      <c r="T26" s="206">
        <v>139</v>
      </c>
      <c r="U26" s="206">
        <v>202</v>
      </c>
      <c r="V26" s="206">
        <v>954</v>
      </c>
      <c r="W26" s="206">
        <v>116</v>
      </c>
      <c r="X26" s="206">
        <v>253</v>
      </c>
      <c r="Y26" s="206">
        <v>556</v>
      </c>
      <c r="Z26" s="206">
        <v>623</v>
      </c>
      <c r="AA26" s="206" t="s">
        <v>123</v>
      </c>
      <c r="AB26" s="1">
        <v>1423</v>
      </c>
      <c r="AC26" s="1">
        <v>0</v>
      </c>
      <c r="AD26" s="1" t="s">
        <v>123</v>
      </c>
      <c r="AE26" s="1" t="s">
        <v>123</v>
      </c>
    </row>
    <row r="27" spans="1:31" x14ac:dyDescent="0.2">
      <c r="A27" s="1" t="s">
        <v>30</v>
      </c>
      <c r="B27" s="6" t="s">
        <v>50</v>
      </c>
      <c r="C27" s="6" t="s">
        <v>50</v>
      </c>
      <c r="D27" s="7">
        <v>4059402</v>
      </c>
      <c r="E27" s="206">
        <v>10334</v>
      </c>
      <c r="F27" s="206">
        <v>3375</v>
      </c>
      <c r="G27" s="206">
        <v>6384</v>
      </c>
      <c r="H27" s="206">
        <v>2894</v>
      </c>
      <c r="I27" s="206">
        <v>2273</v>
      </c>
      <c r="J27" s="206">
        <v>5888</v>
      </c>
      <c r="K27" s="206">
        <v>7651</v>
      </c>
      <c r="L27" s="206">
        <v>279</v>
      </c>
      <c r="M27" s="206">
        <v>929</v>
      </c>
      <c r="N27" s="206">
        <v>2093</v>
      </c>
      <c r="O27" s="206">
        <v>1166</v>
      </c>
      <c r="P27" s="206">
        <v>170</v>
      </c>
      <c r="Q27" s="206">
        <v>444</v>
      </c>
      <c r="R27" s="206">
        <v>1744</v>
      </c>
      <c r="S27" s="206">
        <v>2787</v>
      </c>
      <c r="T27" s="206">
        <v>1528</v>
      </c>
      <c r="U27" s="206">
        <v>1401</v>
      </c>
      <c r="V27" s="206">
        <v>1237</v>
      </c>
      <c r="W27" s="206">
        <v>268</v>
      </c>
      <c r="X27" s="206">
        <v>714</v>
      </c>
      <c r="Y27" s="206">
        <v>1022</v>
      </c>
      <c r="Z27" s="206">
        <v>1476</v>
      </c>
      <c r="AA27" s="206">
        <v>1207</v>
      </c>
      <c r="AB27" s="1">
        <v>1420</v>
      </c>
      <c r="AC27" s="1">
        <v>0</v>
      </c>
      <c r="AD27" s="1">
        <v>0</v>
      </c>
      <c r="AE27" s="1">
        <v>0</v>
      </c>
    </row>
    <row r="28" spans="1:31" x14ac:dyDescent="0.2">
      <c r="A28" s="1" t="s">
        <v>30</v>
      </c>
      <c r="B28" s="6" t="s">
        <v>51</v>
      </c>
      <c r="C28" s="6" t="s">
        <v>51</v>
      </c>
      <c r="D28" s="7">
        <v>4057080</v>
      </c>
      <c r="E28" s="206">
        <v>22881</v>
      </c>
      <c r="F28" s="206">
        <v>10254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1">
        <v>0</v>
      </c>
      <c r="AC28" s="1">
        <v>0</v>
      </c>
      <c r="AD28" s="1">
        <v>0</v>
      </c>
      <c r="AE28" s="1">
        <v>0</v>
      </c>
    </row>
    <row r="29" spans="1:31" x14ac:dyDescent="0.2">
      <c r="B29" s="6" t="s">
        <v>52</v>
      </c>
      <c r="C29" s="6" t="s">
        <v>52</v>
      </c>
      <c r="D29" s="7">
        <v>4057081</v>
      </c>
      <c r="E29" s="206">
        <v>5000</v>
      </c>
      <c r="F29" s="206">
        <v>16555</v>
      </c>
      <c r="G29" s="206">
        <v>14953</v>
      </c>
      <c r="H29" s="206">
        <v>21287</v>
      </c>
      <c r="I29" s="206">
        <v>15732</v>
      </c>
      <c r="J29" s="206">
        <v>35589</v>
      </c>
      <c r="K29" s="206">
        <v>46675</v>
      </c>
      <c r="L29" s="206">
        <v>39866</v>
      </c>
      <c r="M29" s="206">
        <v>26036</v>
      </c>
      <c r="N29" s="206">
        <v>4480</v>
      </c>
      <c r="O29" s="206">
        <v>4689</v>
      </c>
      <c r="P29" s="206">
        <v>1173</v>
      </c>
      <c r="Q29" s="206">
        <v>9477</v>
      </c>
      <c r="R29" s="206">
        <v>1387</v>
      </c>
      <c r="S29" s="206">
        <v>13445</v>
      </c>
      <c r="T29" s="206">
        <v>108</v>
      </c>
      <c r="U29" s="206">
        <v>3160</v>
      </c>
      <c r="V29" s="206">
        <v>1279</v>
      </c>
      <c r="W29" s="206">
        <v>5862</v>
      </c>
      <c r="X29" s="206">
        <v>16211</v>
      </c>
      <c r="Y29" s="206">
        <v>7185</v>
      </c>
      <c r="Z29" s="206">
        <v>4994</v>
      </c>
      <c r="AA29" s="206">
        <v>1849</v>
      </c>
      <c r="AB29" s="1">
        <v>3290</v>
      </c>
      <c r="AC29" s="1">
        <v>0</v>
      </c>
      <c r="AD29" s="1">
        <v>0</v>
      </c>
      <c r="AE29" s="1">
        <v>0</v>
      </c>
    </row>
    <row r="30" spans="1:31" x14ac:dyDescent="0.2">
      <c r="A30" s="1" t="s">
        <v>30</v>
      </c>
      <c r="B30" s="6" t="s">
        <v>53</v>
      </c>
      <c r="C30" s="6" t="s">
        <v>53</v>
      </c>
      <c r="D30" s="7">
        <v>4059459</v>
      </c>
      <c r="E30" s="206">
        <v>509</v>
      </c>
      <c r="F30" s="206">
        <v>1183</v>
      </c>
      <c r="G30" s="206">
        <v>170</v>
      </c>
      <c r="H30" s="206">
        <v>607</v>
      </c>
      <c r="I30" s="206">
        <v>471</v>
      </c>
      <c r="J30" s="206">
        <v>271</v>
      </c>
      <c r="K30" s="206">
        <v>297</v>
      </c>
      <c r="L30" s="206">
        <v>965</v>
      </c>
      <c r="M30" s="206">
        <v>798</v>
      </c>
      <c r="N30" s="206">
        <v>726</v>
      </c>
      <c r="O30" s="206">
        <v>286</v>
      </c>
      <c r="P30" s="206">
        <v>267</v>
      </c>
      <c r="Q30" s="206">
        <v>77</v>
      </c>
      <c r="R30" s="206">
        <v>201</v>
      </c>
      <c r="S30" s="206">
        <v>301</v>
      </c>
      <c r="T30" s="206">
        <v>108</v>
      </c>
      <c r="U30" s="206">
        <v>92</v>
      </c>
      <c r="V30" s="206">
        <v>82</v>
      </c>
      <c r="W30" s="206">
        <v>177</v>
      </c>
      <c r="X30" s="206">
        <v>207</v>
      </c>
      <c r="Y30" s="206">
        <v>352</v>
      </c>
      <c r="Z30" s="206">
        <v>221</v>
      </c>
      <c r="AA30" s="206">
        <v>285</v>
      </c>
      <c r="AB30" s="1">
        <v>236</v>
      </c>
      <c r="AC30" s="1">
        <v>0</v>
      </c>
      <c r="AD30" s="1">
        <v>0</v>
      </c>
      <c r="AE30" s="1">
        <v>0</v>
      </c>
    </row>
    <row r="31" spans="1:31" x14ac:dyDescent="0.2">
      <c r="B31" s="6" t="s">
        <v>54</v>
      </c>
      <c r="C31" s="6" t="s">
        <v>54</v>
      </c>
      <c r="D31" s="7">
        <v>4057118</v>
      </c>
      <c r="E31" s="206">
        <v>4167</v>
      </c>
      <c r="F31" s="206">
        <v>799</v>
      </c>
      <c r="G31" s="206">
        <v>1054</v>
      </c>
      <c r="H31" s="206">
        <v>3790</v>
      </c>
      <c r="I31" s="206">
        <v>1234</v>
      </c>
      <c r="J31" s="206">
        <v>1106</v>
      </c>
      <c r="K31" s="206">
        <v>1642</v>
      </c>
      <c r="L31" s="206">
        <v>1256</v>
      </c>
      <c r="M31" s="206">
        <v>1264</v>
      </c>
      <c r="N31" s="206">
        <v>690</v>
      </c>
      <c r="O31" s="206">
        <v>1588</v>
      </c>
      <c r="P31" s="206">
        <v>1224</v>
      </c>
      <c r="Q31" s="206">
        <v>1371</v>
      </c>
      <c r="R31" s="206">
        <v>1662</v>
      </c>
      <c r="S31" s="206">
        <v>1384</v>
      </c>
      <c r="T31" s="206">
        <v>1759</v>
      </c>
      <c r="U31" s="206">
        <v>763</v>
      </c>
      <c r="V31" s="206">
        <v>1248</v>
      </c>
      <c r="W31" s="206">
        <v>1998</v>
      </c>
      <c r="X31" s="206">
        <v>3076</v>
      </c>
      <c r="Y31" s="206">
        <v>1243</v>
      </c>
      <c r="Z31" s="206">
        <v>741</v>
      </c>
      <c r="AA31" s="206">
        <v>1641</v>
      </c>
      <c r="AB31" s="1">
        <v>1171</v>
      </c>
      <c r="AC31" s="1">
        <v>0</v>
      </c>
      <c r="AD31" s="1">
        <v>0</v>
      </c>
      <c r="AE31" s="1">
        <v>0</v>
      </c>
    </row>
    <row r="32" spans="1:31" x14ac:dyDescent="0.2">
      <c r="B32" s="6" t="s">
        <v>55</v>
      </c>
      <c r="C32" s="6" t="s">
        <v>55</v>
      </c>
      <c r="D32" s="7">
        <v>4057126</v>
      </c>
      <c r="E32" s="206">
        <v>41106</v>
      </c>
      <c r="F32" s="206">
        <v>18238</v>
      </c>
      <c r="G32" s="206">
        <v>53215</v>
      </c>
      <c r="H32" s="206">
        <v>42922</v>
      </c>
      <c r="I32" s="206">
        <v>19442</v>
      </c>
      <c r="J32" s="206">
        <v>19905</v>
      </c>
      <c r="K32" s="206">
        <v>13785</v>
      </c>
      <c r="L32" s="206">
        <v>20436</v>
      </c>
      <c r="M32" s="206">
        <v>21260</v>
      </c>
      <c r="N32" s="206">
        <v>15565</v>
      </c>
      <c r="O32" s="206">
        <v>14644</v>
      </c>
      <c r="P32" s="206">
        <v>3703</v>
      </c>
      <c r="Q32" s="206">
        <v>16281</v>
      </c>
      <c r="R32" s="206">
        <v>32137</v>
      </c>
      <c r="S32" s="206">
        <v>1601</v>
      </c>
      <c r="T32" s="206">
        <v>4114</v>
      </c>
      <c r="U32" s="206">
        <v>4437</v>
      </c>
      <c r="V32" s="206">
        <v>5118</v>
      </c>
      <c r="W32" s="206">
        <v>6623</v>
      </c>
      <c r="X32" s="206">
        <v>12581</v>
      </c>
      <c r="Y32" s="206">
        <v>20357</v>
      </c>
      <c r="Z32" s="206">
        <v>26291</v>
      </c>
      <c r="AA32" s="206">
        <v>27572</v>
      </c>
      <c r="AB32" s="1">
        <v>54246</v>
      </c>
      <c r="AC32" s="1">
        <v>0</v>
      </c>
      <c r="AD32" s="1">
        <v>0</v>
      </c>
      <c r="AE32" s="1">
        <v>0</v>
      </c>
    </row>
    <row r="33" spans="1:31" x14ac:dyDescent="0.2">
      <c r="B33" s="6" t="s">
        <v>56</v>
      </c>
      <c r="C33" s="6" t="s">
        <v>56</v>
      </c>
      <c r="D33" s="7">
        <v>4057103</v>
      </c>
      <c r="E33" s="206" t="s">
        <v>123</v>
      </c>
      <c r="F33" s="206" t="s">
        <v>123</v>
      </c>
      <c r="G33" s="206">
        <v>1462</v>
      </c>
      <c r="H33" s="206">
        <v>1579</v>
      </c>
      <c r="I33" s="206">
        <v>203</v>
      </c>
      <c r="J33" s="206" t="s">
        <v>123</v>
      </c>
      <c r="K33" s="206">
        <v>90</v>
      </c>
      <c r="L33" s="206">
        <v>111</v>
      </c>
      <c r="M33" s="206">
        <v>24</v>
      </c>
      <c r="N33" s="206">
        <v>135</v>
      </c>
      <c r="O33" s="206">
        <v>153</v>
      </c>
      <c r="P33" s="206">
        <v>158</v>
      </c>
      <c r="Q33" s="206">
        <v>899</v>
      </c>
      <c r="R33" s="206">
        <v>122</v>
      </c>
      <c r="S33" s="206">
        <v>7</v>
      </c>
      <c r="T33" s="206">
        <v>34</v>
      </c>
      <c r="U33" s="206">
        <v>21</v>
      </c>
      <c r="V33" s="206">
        <v>170</v>
      </c>
      <c r="W33" s="206">
        <v>31</v>
      </c>
      <c r="X33" s="206">
        <v>36</v>
      </c>
      <c r="Y33" s="206">
        <v>185</v>
      </c>
      <c r="Z33" s="206">
        <v>201</v>
      </c>
      <c r="AA33" s="206">
        <v>116</v>
      </c>
      <c r="AB33" s="1">
        <v>67</v>
      </c>
      <c r="AC33" s="1">
        <v>0</v>
      </c>
      <c r="AD33" s="1">
        <v>0</v>
      </c>
      <c r="AE33" s="1">
        <v>0</v>
      </c>
    </row>
    <row r="34" spans="1:31" x14ac:dyDescent="0.2">
      <c r="B34" s="6" t="s">
        <v>57</v>
      </c>
      <c r="C34" s="6" t="s">
        <v>57</v>
      </c>
      <c r="D34" s="7">
        <v>4057079</v>
      </c>
      <c r="E34" s="206">
        <v>699</v>
      </c>
      <c r="F34" s="206">
        <v>15241</v>
      </c>
      <c r="G34" s="206">
        <v>9456</v>
      </c>
      <c r="H34" s="206">
        <v>10493</v>
      </c>
      <c r="I34" s="206">
        <v>1809</v>
      </c>
      <c r="J34" s="206">
        <v>2589</v>
      </c>
      <c r="K34" s="206">
        <v>1807</v>
      </c>
      <c r="L34" s="206">
        <v>2942</v>
      </c>
      <c r="M34" s="206">
        <v>7194</v>
      </c>
      <c r="N34" s="206">
        <v>22851</v>
      </c>
      <c r="O34" s="206">
        <v>1385</v>
      </c>
      <c r="P34" s="206">
        <v>689</v>
      </c>
      <c r="Q34" s="206">
        <v>1005</v>
      </c>
      <c r="R34" s="206">
        <v>197</v>
      </c>
      <c r="S34" s="206">
        <v>413</v>
      </c>
      <c r="T34" s="206">
        <v>166</v>
      </c>
      <c r="U34" s="206">
        <v>372</v>
      </c>
      <c r="V34" s="206">
        <v>800</v>
      </c>
      <c r="W34" s="206">
        <v>277</v>
      </c>
      <c r="X34" s="206">
        <v>137</v>
      </c>
      <c r="Y34" s="206">
        <v>1058</v>
      </c>
      <c r="Z34" s="206">
        <v>818</v>
      </c>
      <c r="AA34" s="206">
        <v>462</v>
      </c>
      <c r="AB34" s="1">
        <v>489</v>
      </c>
      <c r="AC34" s="1">
        <v>0</v>
      </c>
      <c r="AD34" s="1">
        <v>0</v>
      </c>
      <c r="AE34" s="1">
        <v>0</v>
      </c>
    </row>
    <row r="35" spans="1:31" x14ac:dyDescent="0.2">
      <c r="B35" s="6" t="s">
        <v>58</v>
      </c>
      <c r="C35" s="6" t="s">
        <v>59</v>
      </c>
      <c r="D35" s="7">
        <v>4081251</v>
      </c>
      <c r="E35" s="206" t="s">
        <v>123</v>
      </c>
      <c r="F35" s="206" t="s">
        <v>123</v>
      </c>
      <c r="G35" s="206">
        <v>32</v>
      </c>
      <c r="H35" s="206">
        <v>0</v>
      </c>
      <c r="I35" s="206">
        <v>0</v>
      </c>
      <c r="J35" s="206">
        <v>3</v>
      </c>
      <c r="K35" s="206" t="s">
        <v>123</v>
      </c>
      <c r="L35" s="206">
        <v>86</v>
      </c>
      <c r="M35" s="206">
        <v>0</v>
      </c>
      <c r="N35" s="206">
        <v>0</v>
      </c>
      <c r="O35" s="206">
        <v>2</v>
      </c>
      <c r="P35" s="206">
        <v>0</v>
      </c>
      <c r="Q35" s="206">
        <v>4</v>
      </c>
      <c r="R35" s="206">
        <v>1</v>
      </c>
      <c r="S35" s="206">
        <v>37</v>
      </c>
      <c r="T35" s="206">
        <v>41</v>
      </c>
      <c r="U35" s="206">
        <v>82</v>
      </c>
      <c r="V35" s="206">
        <v>33</v>
      </c>
      <c r="W35" s="206">
        <v>0</v>
      </c>
      <c r="X35" s="206">
        <v>3</v>
      </c>
      <c r="Y35" s="206">
        <v>1</v>
      </c>
      <c r="Z35" s="206">
        <v>9</v>
      </c>
      <c r="AA35" s="206" t="s">
        <v>123</v>
      </c>
      <c r="AB35" s="1" t="s">
        <v>123</v>
      </c>
      <c r="AC35" s="1" t="s">
        <v>123</v>
      </c>
      <c r="AD35" s="1" t="s">
        <v>123</v>
      </c>
      <c r="AE35" s="1" t="s">
        <v>123</v>
      </c>
    </row>
    <row r="36" spans="1:31" x14ac:dyDescent="0.2">
      <c r="B36" s="6" t="s">
        <v>60</v>
      </c>
      <c r="C36" s="6" t="s">
        <v>60</v>
      </c>
      <c r="D36" s="7">
        <v>4060572</v>
      </c>
      <c r="E36" s="206" t="s">
        <v>123</v>
      </c>
      <c r="F36" s="206">
        <v>3267</v>
      </c>
      <c r="G36" s="206">
        <v>782</v>
      </c>
      <c r="H36" s="206">
        <v>986</v>
      </c>
      <c r="I36" s="206">
        <v>3275</v>
      </c>
      <c r="J36" s="206">
        <v>621</v>
      </c>
      <c r="K36" s="206">
        <v>1293</v>
      </c>
      <c r="L36" s="206">
        <v>615</v>
      </c>
      <c r="M36" s="206">
        <v>1092</v>
      </c>
      <c r="N36" s="206">
        <v>2053</v>
      </c>
      <c r="O36" s="206">
        <v>793</v>
      </c>
      <c r="P36" s="206">
        <v>278</v>
      </c>
      <c r="Q36" s="206">
        <v>2193</v>
      </c>
      <c r="R36" s="206">
        <v>742</v>
      </c>
      <c r="S36" s="206">
        <v>25</v>
      </c>
      <c r="T36" s="206">
        <v>93</v>
      </c>
      <c r="U36" s="206">
        <v>133</v>
      </c>
      <c r="V36" s="206">
        <v>1021</v>
      </c>
      <c r="W36" s="206">
        <v>914</v>
      </c>
      <c r="X36" s="206">
        <v>603</v>
      </c>
      <c r="Y36" s="206">
        <v>361</v>
      </c>
      <c r="Z36" s="206">
        <v>808</v>
      </c>
      <c r="AA36" s="206" t="s">
        <v>123</v>
      </c>
      <c r="AB36" s="1" t="s">
        <v>123</v>
      </c>
      <c r="AC36" s="1">
        <v>0</v>
      </c>
      <c r="AD36" s="1">
        <v>0</v>
      </c>
      <c r="AE36" s="1">
        <v>0</v>
      </c>
    </row>
    <row r="37" spans="1:31" x14ac:dyDescent="0.2">
      <c r="B37" s="6" t="s">
        <v>61</v>
      </c>
      <c r="C37" s="6" t="s">
        <v>61</v>
      </c>
      <c r="D37" s="7">
        <v>4083318</v>
      </c>
      <c r="E37" s="206" t="s">
        <v>123</v>
      </c>
      <c r="F37" s="206">
        <v>390</v>
      </c>
      <c r="G37" s="206">
        <v>90</v>
      </c>
      <c r="H37" s="206">
        <v>322</v>
      </c>
      <c r="I37" s="206">
        <v>527</v>
      </c>
      <c r="J37" s="206">
        <v>369</v>
      </c>
      <c r="K37" s="206">
        <v>608</v>
      </c>
      <c r="L37" s="206">
        <v>272</v>
      </c>
      <c r="M37" s="206">
        <v>338</v>
      </c>
      <c r="N37" s="206">
        <v>278</v>
      </c>
      <c r="O37" s="206">
        <v>213</v>
      </c>
      <c r="P37" s="206">
        <v>331</v>
      </c>
      <c r="Q37" s="206">
        <v>162</v>
      </c>
      <c r="R37" s="206">
        <v>262</v>
      </c>
      <c r="S37" s="206">
        <v>174</v>
      </c>
      <c r="T37" s="206">
        <v>197</v>
      </c>
      <c r="U37" s="206">
        <v>123</v>
      </c>
      <c r="V37" s="206">
        <v>145</v>
      </c>
      <c r="W37" s="206">
        <v>281</v>
      </c>
      <c r="X37" s="206">
        <v>333</v>
      </c>
      <c r="Y37" s="206" t="s">
        <v>123</v>
      </c>
      <c r="Z37" s="206" t="s">
        <v>123</v>
      </c>
      <c r="AA37" s="206" t="s">
        <v>123</v>
      </c>
      <c r="AB37" s="1" t="s">
        <v>123</v>
      </c>
      <c r="AC37" s="1" t="s">
        <v>123</v>
      </c>
      <c r="AD37" s="1">
        <v>0</v>
      </c>
      <c r="AE37" s="1">
        <v>0</v>
      </c>
    </row>
    <row r="38" spans="1:31" x14ac:dyDescent="0.2">
      <c r="B38" s="6" t="s">
        <v>62</v>
      </c>
      <c r="C38" s="6" t="s">
        <v>62</v>
      </c>
      <c r="D38" s="7">
        <v>4057125</v>
      </c>
      <c r="E38" s="206" t="s">
        <v>123</v>
      </c>
      <c r="F38" s="206">
        <v>1487</v>
      </c>
      <c r="G38" s="206">
        <v>12531</v>
      </c>
      <c r="H38" s="206">
        <v>22217</v>
      </c>
      <c r="I38" s="206">
        <v>2244</v>
      </c>
      <c r="J38" s="206">
        <v>3047</v>
      </c>
      <c r="K38" s="206">
        <v>7660</v>
      </c>
      <c r="L38" s="206">
        <v>5592</v>
      </c>
      <c r="M38" s="206">
        <v>897</v>
      </c>
      <c r="N38" s="206">
        <v>7386</v>
      </c>
      <c r="O38" s="206">
        <v>326</v>
      </c>
      <c r="P38" s="206">
        <v>73</v>
      </c>
      <c r="Q38" s="206">
        <v>4935</v>
      </c>
      <c r="R38" s="206">
        <v>1311</v>
      </c>
      <c r="S38" s="206">
        <v>4267</v>
      </c>
      <c r="T38" s="206">
        <v>65</v>
      </c>
      <c r="U38" s="206">
        <v>1749</v>
      </c>
      <c r="V38" s="206">
        <v>3624</v>
      </c>
      <c r="W38" s="206">
        <v>776</v>
      </c>
      <c r="X38" s="206">
        <v>0</v>
      </c>
      <c r="Y38" s="206">
        <v>4133</v>
      </c>
      <c r="Z38" s="206">
        <v>1778</v>
      </c>
      <c r="AA38" s="206">
        <v>415</v>
      </c>
      <c r="AB38" s="1">
        <v>1273</v>
      </c>
      <c r="AC38" s="1">
        <v>0</v>
      </c>
      <c r="AD38" s="1">
        <v>0</v>
      </c>
      <c r="AE38" s="1">
        <v>0</v>
      </c>
    </row>
    <row r="39" spans="1:31" x14ac:dyDescent="0.2">
      <c r="B39" s="6" t="s">
        <v>63</v>
      </c>
      <c r="C39" s="6" t="s">
        <v>63</v>
      </c>
      <c r="D39" s="7">
        <v>4087741</v>
      </c>
      <c r="E39" s="206" t="s">
        <v>123</v>
      </c>
      <c r="F39" s="206" t="s">
        <v>123</v>
      </c>
      <c r="G39" s="206" t="s">
        <v>123</v>
      </c>
      <c r="H39" s="206">
        <v>12616</v>
      </c>
      <c r="I39" s="206">
        <v>7121</v>
      </c>
      <c r="J39" s="206">
        <v>5352</v>
      </c>
      <c r="K39" s="206">
        <v>3124</v>
      </c>
      <c r="L39" s="206">
        <v>7226</v>
      </c>
      <c r="M39" s="206">
        <v>8380</v>
      </c>
      <c r="N39" s="206">
        <v>6234</v>
      </c>
      <c r="O39" s="206">
        <v>7648</v>
      </c>
      <c r="P39" s="206">
        <v>7576</v>
      </c>
      <c r="Q39" s="206">
        <v>8828</v>
      </c>
      <c r="R39" s="206">
        <v>4051</v>
      </c>
      <c r="S39" s="206">
        <v>3159</v>
      </c>
      <c r="T39" s="206">
        <v>4991</v>
      </c>
      <c r="U39" s="206">
        <v>4415</v>
      </c>
      <c r="V39" s="206">
        <v>11238</v>
      </c>
      <c r="W39" s="206">
        <v>6973</v>
      </c>
      <c r="X39" s="206">
        <v>6704</v>
      </c>
      <c r="Y39" s="206" t="s">
        <v>123</v>
      </c>
      <c r="Z39" s="206">
        <v>19099</v>
      </c>
      <c r="AA39" s="206" t="s">
        <v>123</v>
      </c>
      <c r="AB39" s="1" t="s">
        <v>123</v>
      </c>
      <c r="AC39" s="1" t="s">
        <v>123</v>
      </c>
      <c r="AD39" s="1" t="s">
        <v>123</v>
      </c>
      <c r="AE39" s="1" t="s">
        <v>123</v>
      </c>
    </row>
    <row r="40" spans="1:31" x14ac:dyDescent="0.2">
      <c r="B40" s="6" t="s">
        <v>64</v>
      </c>
      <c r="C40" s="6" t="s">
        <v>64</v>
      </c>
      <c r="D40" s="7">
        <v>4059875</v>
      </c>
      <c r="E40" s="206" t="s">
        <v>123</v>
      </c>
      <c r="F40" s="206">
        <v>8707</v>
      </c>
      <c r="G40" s="206">
        <v>6553</v>
      </c>
      <c r="H40" s="206">
        <v>4043</v>
      </c>
      <c r="I40" s="206">
        <v>1745</v>
      </c>
      <c r="J40" s="206">
        <v>25265</v>
      </c>
      <c r="K40" s="206">
        <v>43549</v>
      </c>
      <c r="L40" s="206">
        <v>2014</v>
      </c>
      <c r="M40" s="206">
        <v>418</v>
      </c>
      <c r="N40" s="206">
        <v>22</v>
      </c>
      <c r="O40" s="206">
        <v>184</v>
      </c>
      <c r="P40" s="206">
        <v>206</v>
      </c>
      <c r="Q40" s="206">
        <v>1121</v>
      </c>
      <c r="R40" s="206">
        <v>3123</v>
      </c>
      <c r="S40" s="206">
        <v>1363</v>
      </c>
      <c r="T40" s="206">
        <v>1591</v>
      </c>
      <c r="U40" s="206">
        <v>338</v>
      </c>
      <c r="V40" s="206">
        <v>1122</v>
      </c>
      <c r="W40" s="206">
        <v>470</v>
      </c>
      <c r="X40" s="206">
        <v>7451</v>
      </c>
      <c r="Y40" s="206" t="s">
        <v>123</v>
      </c>
      <c r="Z40" s="206">
        <v>261</v>
      </c>
      <c r="AA40" s="206">
        <v>2074</v>
      </c>
      <c r="AB40" s="1">
        <v>579</v>
      </c>
      <c r="AC40" s="1">
        <v>0</v>
      </c>
      <c r="AD40" s="1">
        <v>0</v>
      </c>
      <c r="AE40" s="1">
        <v>0</v>
      </c>
    </row>
    <row r="41" spans="1:31" x14ac:dyDescent="0.2">
      <c r="B41" s="6" t="s">
        <v>65</v>
      </c>
      <c r="C41" s="6" t="s">
        <v>65</v>
      </c>
      <c r="D41" s="7">
        <v>4057090</v>
      </c>
      <c r="E41" s="206">
        <v>1441</v>
      </c>
      <c r="F41" s="206">
        <v>1529</v>
      </c>
      <c r="G41" s="206">
        <v>1301</v>
      </c>
      <c r="H41" s="206">
        <v>1927</v>
      </c>
      <c r="I41" s="206">
        <v>1075</v>
      </c>
      <c r="J41" s="206">
        <v>1455</v>
      </c>
      <c r="K41" s="206">
        <v>539</v>
      </c>
      <c r="L41" s="206">
        <v>1654</v>
      </c>
      <c r="M41" s="206">
        <v>293</v>
      </c>
      <c r="N41" s="206">
        <v>1156</v>
      </c>
      <c r="O41" s="206">
        <v>843</v>
      </c>
      <c r="P41" s="206">
        <v>684</v>
      </c>
      <c r="Q41" s="206">
        <v>394</v>
      </c>
      <c r="R41" s="206">
        <v>5</v>
      </c>
      <c r="S41" s="206">
        <v>299</v>
      </c>
      <c r="T41" s="206">
        <v>649</v>
      </c>
      <c r="U41" s="206">
        <v>474</v>
      </c>
      <c r="V41" s="206">
        <v>720</v>
      </c>
      <c r="W41" s="206">
        <v>176</v>
      </c>
      <c r="X41" s="206">
        <v>507</v>
      </c>
      <c r="Y41" s="206">
        <v>444</v>
      </c>
      <c r="Z41" s="206">
        <v>973</v>
      </c>
      <c r="AA41" s="206">
        <v>1448</v>
      </c>
      <c r="AB41" s="1">
        <v>607</v>
      </c>
      <c r="AC41" s="1">
        <v>0</v>
      </c>
      <c r="AD41" s="1">
        <v>0</v>
      </c>
      <c r="AE41" s="1">
        <v>0</v>
      </c>
    </row>
    <row r="42" spans="1:31" x14ac:dyDescent="0.2">
      <c r="B42" s="6" t="s">
        <v>66</v>
      </c>
      <c r="C42" s="6" t="s">
        <v>66</v>
      </c>
      <c r="D42" s="7">
        <v>4008754</v>
      </c>
      <c r="E42" s="206">
        <v>180</v>
      </c>
      <c r="F42" s="206">
        <v>235</v>
      </c>
      <c r="G42" s="206">
        <v>192</v>
      </c>
      <c r="H42" s="206">
        <v>355</v>
      </c>
      <c r="I42" s="206">
        <v>200</v>
      </c>
      <c r="J42" s="206">
        <v>118</v>
      </c>
      <c r="K42" s="206">
        <v>267</v>
      </c>
      <c r="L42" s="206">
        <v>206</v>
      </c>
      <c r="M42" s="206">
        <v>290</v>
      </c>
      <c r="N42" s="206">
        <v>352</v>
      </c>
      <c r="O42" s="206">
        <v>130</v>
      </c>
      <c r="P42" s="206">
        <v>73</v>
      </c>
      <c r="Q42" s="206">
        <v>239</v>
      </c>
      <c r="R42" s="206">
        <v>258</v>
      </c>
      <c r="S42" s="206">
        <v>215</v>
      </c>
      <c r="T42" s="206">
        <v>103</v>
      </c>
      <c r="U42" s="206">
        <v>55</v>
      </c>
      <c r="V42" s="206">
        <v>120</v>
      </c>
      <c r="W42" s="206">
        <v>291</v>
      </c>
      <c r="X42" s="206">
        <v>106</v>
      </c>
      <c r="Y42" s="206">
        <v>34</v>
      </c>
      <c r="Z42" s="206">
        <v>140</v>
      </c>
      <c r="AA42" s="206">
        <v>100</v>
      </c>
      <c r="AB42" s="1">
        <v>95</v>
      </c>
      <c r="AC42" s="1">
        <v>0</v>
      </c>
      <c r="AD42" s="1">
        <v>0</v>
      </c>
      <c r="AE42" s="1">
        <v>0</v>
      </c>
    </row>
    <row r="43" spans="1:31" x14ac:dyDescent="0.2">
      <c r="B43" s="6" t="s">
        <v>67</v>
      </c>
      <c r="C43" s="6" t="s">
        <v>67</v>
      </c>
      <c r="D43" s="7">
        <v>4061474</v>
      </c>
      <c r="E43" s="206" t="s">
        <v>123</v>
      </c>
      <c r="F43" s="206">
        <v>177</v>
      </c>
      <c r="G43" s="206">
        <v>549</v>
      </c>
      <c r="H43" s="206">
        <v>347</v>
      </c>
      <c r="I43" s="206">
        <v>216</v>
      </c>
      <c r="J43" s="206">
        <v>169</v>
      </c>
      <c r="K43" s="206">
        <v>174</v>
      </c>
      <c r="L43" s="206">
        <v>418</v>
      </c>
      <c r="M43" s="206">
        <v>296</v>
      </c>
      <c r="N43" s="206">
        <v>513</v>
      </c>
      <c r="O43" s="206">
        <v>1452</v>
      </c>
      <c r="P43" s="206">
        <v>714</v>
      </c>
      <c r="Q43" s="206">
        <v>422</v>
      </c>
      <c r="R43" s="206">
        <v>268</v>
      </c>
      <c r="S43" s="206">
        <v>188</v>
      </c>
      <c r="T43" s="206">
        <v>811</v>
      </c>
      <c r="U43" s="206">
        <v>215</v>
      </c>
      <c r="V43" s="206">
        <v>193</v>
      </c>
      <c r="W43" s="206">
        <v>183</v>
      </c>
      <c r="X43" s="206">
        <v>105</v>
      </c>
      <c r="Y43" s="206" t="s">
        <v>123</v>
      </c>
      <c r="Z43" s="206">
        <v>135</v>
      </c>
      <c r="AA43" s="206" t="s">
        <v>123</v>
      </c>
      <c r="AB43" s="1" t="s">
        <v>123</v>
      </c>
      <c r="AC43" s="1">
        <v>0</v>
      </c>
      <c r="AD43" s="1">
        <v>0</v>
      </c>
      <c r="AE43" s="1">
        <v>0</v>
      </c>
    </row>
    <row r="44" spans="1:31" x14ac:dyDescent="0.2">
      <c r="B44" s="6" t="s">
        <v>68</v>
      </c>
      <c r="C44" s="6" t="s">
        <v>68</v>
      </c>
      <c r="D44" s="7">
        <v>4076679</v>
      </c>
      <c r="E44" s="206" t="s">
        <v>123</v>
      </c>
      <c r="F44" s="206">
        <v>934</v>
      </c>
      <c r="G44" s="206">
        <v>201</v>
      </c>
      <c r="H44" s="206">
        <v>127</v>
      </c>
      <c r="I44" s="206">
        <v>426</v>
      </c>
      <c r="J44" s="206">
        <v>227</v>
      </c>
      <c r="K44" s="206">
        <v>239</v>
      </c>
      <c r="L44" s="206">
        <v>162</v>
      </c>
      <c r="M44" s="206">
        <v>148</v>
      </c>
      <c r="N44" s="206">
        <v>181</v>
      </c>
      <c r="O44" s="206">
        <v>365</v>
      </c>
      <c r="P44" s="206">
        <v>144</v>
      </c>
      <c r="Q44" s="206">
        <v>147</v>
      </c>
      <c r="R44" s="206">
        <v>165</v>
      </c>
      <c r="S44" s="206">
        <v>103</v>
      </c>
      <c r="T44" s="206">
        <v>44</v>
      </c>
      <c r="U44" s="206">
        <v>250</v>
      </c>
      <c r="V44" s="206">
        <v>115</v>
      </c>
      <c r="W44" s="206">
        <v>130</v>
      </c>
      <c r="X44" s="206">
        <v>95</v>
      </c>
      <c r="Y44" s="206">
        <v>133</v>
      </c>
      <c r="Z44" s="206">
        <v>221</v>
      </c>
      <c r="AA44" s="206" t="s">
        <v>123</v>
      </c>
      <c r="AB44" s="1" t="s">
        <v>123</v>
      </c>
      <c r="AC44" s="1" t="s">
        <v>123</v>
      </c>
      <c r="AD44" s="1" t="s">
        <v>123</v>
      </c>
      <c r="AE44" s="1" t="s">
        <v>123</v>
      </c>
    </row>
    <row r="45" spans="1:31" x14ac:dyDescent="0.2">
      <c r="B45" s="6" t="s">
        <v>69</v>
      </c>
      <c r="C45" s="6" t="s">
        <v>69</v>
      </c>
      <c r="D45" s="7">
        <v>4061634</v>
      </c>
      <c r="E45" s="206">
        <v>3972</v>
      </c>
      <c r="F45" s="206">
        <v>2178</v>
      </c>
      <c r="G45" s="206">
        <v>1294</v>
      </c>
      <c r="H45" s="206">
        <v>2276</v>
      </c>
      <c r="I45" s="206">
        <v>2330</v>
      </c>
      <c r="J45" s="206">
        <v>1664</v>
      </c>
      <c r="K45" s="206">
        <v>4025</v>
      </c>
      <c r="L45" s="206">
        <v>6755</v>
      </c>
      <c r="M45" s="206">
        <v>4560</v>
      </c>
      <c r="N45" s="206">
        <v>1916</v>
      </c>
      <c r="O45" s="206">
        <v>966</v>
      </c>
      <c r="P45" s="206">
        <v>4225</v>
      </c>
      <c r="Q45" s="206">
        <v>698</v>
      </c>
      <c r="R45" s="206">
        <v>545</v>
      </c>
      <c r="S45" s="206">
        <v>507</v>
      </c>
      <c r="T45" s="206">
        <v>787</v>
      </c>
      <c r="U45" s="206">
        <v>8</v>
      </c>
      <c r="V45" s="206">
        <v>648</v>
      </c>
      <c r="W45" s="206">
        <v>3</v>
      </c>
      <c r="X45" s="206">
        <v>520</v>
      </c>
      <c r="Y45" s="206">
        <v>7349</v>
      </c>
      <c r="Z45" s="206">
        <v>2815</v>
      </c>
      <c r="AA45" s="206">
        <v>4361</v>
      </c>
      <c r="AB45" s="1">
        <v>4018</v>
      </c>
      <c r="AC45" s="1">
        <v>0</v>
      </c>
      <c r="AD45" s="1">
        <v>0</v>
      </c>
      <c r="AE45" s="1">
        <v>0</v>
      </c>
    </row>
    <row r="46" spans="1:31" x14ac:dyDescent="0.2">
      <c r="B46" s="6" t="s">
        <v>70</v>
      </c>
      <c r="C46" s="6" t="s">
        <v>70</v>
      </c>
      <c r="D46" s="7">
        <v>4061687</v>
      </c>
      <c r="E46" s="206">
        <v>5186</v>
      </c>
      <c r="F46" s="206">
        <v>10404</v>
      </c>
      <c r="G46" s="206">
        <v>5936</v>
      </c>
      <c r="H46" s="206">
        <v>4844</v>
      </c>
      <c r="I46" s="206">
        <v>5840</v>
      </c>
      <c r="J46" s="206">
        <v>7481</v>
      </c>
      <c r="K46" s="206">
        <v>7005</v>
      </c>
      <c r="L46" s="206">
        <v>13825</v>
      </c>
      <c r="M46" s="206">
        <v>5120</v>
      </c>
      <c r="N46" s="206">
        <v>7008</v>
      </c>
      <c r="O46" s="206">
        <v>7162</v>
      </c>
      <c r="P46" s="206">
        <v>5088</v>
      </c>
      <c r="Q46" s="206">
        <v>4549</v>
      </c>
      <c r="R46" s="206">
        <v>4484</v>
      </c>
      <c r="S46" s="206">
        <v>5288</v>
      </c>
      <c r="T46" s="206">
        <v>5535</v>
      </c>
      <c r="U46" s="206">
        <v>4127</v>
      </c>
      <c r="V46" s="206">
        <v>7162</v>
      </c>
      <c r="W46" s="206">
        <v>1901</v>
      </c>
      <c r="X46" s="206">
        <v>610</v>
      </c>
      <c r="Y46" s="206">
        <v>798</v>
      </c>
      <c r="Z46" s="206">
        <v>2459</v>
      </c>
      <c r="AA46" s="206">
        <v>1686</v>
      </c>
      <c r="AB46" s="1">
        <v>2718</v>
      </c>
      <c r="AC46" s="1">
        <v>1052</v>
      </c>
      <c r="AD46" s="1">
        <v>2270</v>
      </c>
      <c r="AE46" s="1">
        <v>2636</v>
      </c>
    </row>
    <row r="47" spans="1:31" x14ac:dyDescent="0.2">
      <c r="A47" s="1" t="s">
        <v>30</v>
      </c>
      <c r="B47" s="6" t="s">
        <v>71</v>
      </c>
      <c r="C47" s="6" t="s">
        <v>71</v>
      </c>
      <c r="D47" s="7">
        <v>4061755</v>
      </c>
      <c r="E47" s="206">
        <v>53597.341999999997</v>
      </c>
      <c r="F47" s="206">
        <v>27196</v>
      </c>
      <c r="G47" s="206">
        <v>29245</v>
      </c>
      <c r="H47" s="206">
        <v>5011</v>
      </c>
      <c r="I47" s="206">
        <v>9734</v>
      </c>
      <c r="J47" s="206">
        <v>31197</v>
      </c>
      <c r="K47" s="206">
        <v>9937</v>
      </c>
      <c r="L47" s="206">
        <v>5972</v>
      </c>
      <c r="M47" s="206">
        <v>5474</v>
      </c>
      <c r="N47" s="206">
        <v>5963</v>
      </c>
      <c r="O47" s="206">
        <v>8730</v>
      </c>
      <c r="P47" s="206">
        <v>9385</v>
      </c>
      <c r="Q47" s="206">
        <v>3306</v>
      </c>
      <c r="R47" s="206">
        <v>2179</v>
      </c>
      <c r="S47" s="206">
        <v>3823</v>
      </c>
      <c r="T47" s="206">
        <v>957</v>
      </c>
      <c r="U47" s="206">
        <v>635</v>
      </c>
      <c r="V47" s="206">
        <v>311</v>
      </c>
      <c r="W47" s="206">
        <v>3197</v>
      </c>
      <c r="X47" s="206">
        <v>2418</v>
      </c>
      <c r="Y47" s="206">
        <v>2300</v>
      </c>
      <c r="Z47" s="206">
        <v>8168</v>
      </c>
      <c r="AA47" s="206">
        <v>3215</v>
      </c>
      <c r="AB47" s="1">
        <v>5070</v>
      </c>
      <c r="AC47" s="1">
        <v>0</v>
      </c>
      <c r="AD47" s="1">
        <v>0</v>
      </c>
      <c r="AE47" s="1">
        <v>0</v>
      </c>
    </row>
    <row r="48" spans="1:31" x14ac:dyDescent="0.2">
      <c r="A48" s="1" t="s">
        <v>30</v>
      </c>
      <c r="B48" s="6" t="s">
        <v>72</v>
      </c>
      <c r="C48" s="6" t="s">
        <v>72</v>
      </c>
      <c r="D48" s="7">
        <v>4004389</v>
      </c>
      <c r="E48" s="206">
        <v>1093</v>
      </c>
      <c r="F48" s="206">
        <v>973</v>
      </c>
      <c r="G48" s="206">
        <v>844</v>
      </c>
      <c r="H48" s="206">
        <v>955</v>
      </c>
      <c r="I48" s="206">
        <v>654</v>
      </c>
      <c r="J48" s="206">
        <v>754</v>
      </c>
      <c r="K48" s="206">
        <v>765</v>
      </c>
      <c r="L48" s="206">
        <v>-3646</v>
      </c>
      <c r="M48" s="206">
        <v>1821</v>
      </c>
      <c r="N48" s="206">
        <v>1780</v>
      </c>
      <c r="O48" s="206">
        <v>1610</v>
      </c>
      <c r="P48" s="206">
        <v>8</v>
      </c>
      <c r="Q48" s="206">
        <v>1778</v>
      </c>
      <c r="R48" s="206">
        <v>963</v>
      </c>
      <c r="S48" s="206">
        <v>821</v>
      </c>
      <c r="T48" s="206">
        <v>1595</v>
      </c>
      <c r="U48" s="206">
        <v>1470</v>
      </c>
      <c r="V48" s="206">
        <v>-4487</v>
      </c>
      <c r="W48" s="206">
        <v>894</v>
      </c>
      <c r="X48" s="206">
        <v>1199</v>
      </c>
      <c r="Y48" s="206">
        <v>988</v>
      </c>
      <c r="Z48" s="206">
        <v>817</v>
      </c>
      <c r="AA48" s="206">
        <v>1772</v>
      </c>
      <c r="AB48" s="1">
        <v>1506</v>
      </c>
      <c r="AC48" s="1">
        <v>0</v>
      </c>
      <c r="AD48" s="1">
        <v>0</v>
      </c>
      <c r="AE48" s="1">
        <v>0</v>
      </c>
    </row>
    <row r="49" spans="1:31" x14ac:dyDescent="0.2">
      <c r="A49" s="1" t="s">
        <v>30</v>
      </c>
      <c r="B49" s="6" t="s">
        <v>73</v>
      </c>
      <c r="C49" s="6" t="s">
        <v>73</v>
      </c>
      <c r="D49" s="7">
        <v>4057014</v>
      </c>
      <c r="E49" s="206">
        <v>-3554</v>
      </c>
      <c r="F49" s="206">
        <v>3655</v>
      </c>
      <c r="G49" s="206">
        <v>6301</v>
      </c>
      <c r="H49" s="206">
        <v>3134</v>
      </c>
      <c r="I49" s="206">
        <v>4002</v>
      </c>
      <c r="J49" s="206">
        <v>3235</v>
      </c>
      <c r="K49" s="206">
        <v>3057</v>
      </c>
      <c r="L49" s="206">
        <v>5743</v>
      </c>
      <c r="M49" s="206">
        <v>2465</v>
      </c>
      <c r="N49" s="206">
        <v>1850</v>
      </c>
      <c r="O49" s="206">
        <v>321</v>
      </c>
      <c r="P49" s="206">
        <v>5418</v>
      </c>
      <c r="Q49" s="206">
        <v>6520</v>
      </c>
      <c r="R49" s="206">
        <v>2414</v>
      </c>
      <c r="S49" s="206">
        <v>1749</v>
      </c>
      <c r="T49" s="206">
        <v>104</v>
      </c>
      <c r="U49" s="206">
        <v>1087</v>
      </c>
      <c r="V49" s="206">
        <v>835</v>
      </c>
      <c r="W49" s="206">
        <v>25765</v>
      </c>
      <c r="X49" s="206">
        <v>4140</v>
      </c>
      <c r="Y49" s="206">
        <v>969</v>
      </c>
      <c r="Z49" s="206">
        <v>2166</v>
      </c>
      <c r="AA49" s="206">
        <v>1581</v>
      </c>
      <c r="AB49" s="1">
        <v>7268</v>
      </c>
      <c r="AC49" s="1">
        <v>0</v>
      </c>
      <c r="AD49" s="1">
        <v>0</v>
      </c>
      <c r="AE49" s="1">
        <v>0</v>
      </c>
    </row>
    <row r="50" spans="1:31" x14ac:dyDescent="0.2">
      <c r="B50" s="6" t="s">
        <v>74</v>
      </c>
      <c r="C50" s="6" t="s">
        <v>74</v>
      </c>
      <c r="D50" s="7">
        <v>4057130</v>
      </c>
      <c r="E50" s="206">
        <v>2324</v>
      </c>
      <c r="F50" s="206">
        <v>1491</v>
      </c>
      <c r="G50" s="206">
        <v>3077</v>
      </c>
      <c r="H50" s="206">
        <v>1921</v>
      </c>
      <c r="I50" s="206">
        <v>1053</v>
      </c>
      <c r="J50" s="206">
        <v>2378</v>
      </c>
      <c r="K50" s="206">
        <v>639</v>
      </c>
      <c r="L50" s="206">
        <v>2487</v>
      </c>
      <c r="M50" s="206">
        <v>1812</v>
      </c>
      <c r="N50" s="206">
        <v>2158</v>
      </c>
      <c r="O50" s="206">
        <v>1640</v>
      </c>
      <c r="P50" s="206">
        <v>542</v>
      </c>
      <c r="Q50" s="206">
        <v>1188</v>
      </c>
      <c r="R50" s="206">
        <v>846</v>
      </c>
      <c r="S50" s="206">
        <v>1070</v>
      </c>
      <c r="T50" s="206">
        <v>1086</v>
      </c>
      <c r="U50" s="206">
        <v>1099</v>
      </c>
      <c r="V50" s="206">
        <v>1010</v>
      </c>
      <c r="W50" s="206">
        <v>2686</v>
      </c>
      <c r="X50" s="206">
        <v>528</v>
      </c>
      <c r="Y50" s="206">
        <v>646</v>
      </c>
      <c r="Z50" s="206">
        <v>1828</v>
      </c>
      <c r="AA50" s="206">
        <v>988</v>
      </c>
      <c r="AB50" s="1">
        <v>898</v>
      </c>
      <c r="AC50" s="1">
        <v>0</v>
      </c>
      <c r="AD50" s="1">
        <v>0</v>
      </c>
      <c r="AE50" s="1" t="s">
        <v>123</v>
      </c>
    </row>
    <row r="51" spans="1:31" x14ac:dyDescent="0.2">
      <c r="B51" s="6" t="s">
        <v>75</v>
      </c>
      <c r="C51" s="6" t="s">
        <v>75</v>
      </c>
      <c r="D51" s="7">
        <v>4057131</v>
      </c>
      <c r="E51" s="206">
        <v>51980</v>
      </c>
      <c r="F51" s="206">
        <v>64520</v>
      </c>
      <c r="G51" s="206">
        <v>58647</v>
      </c>
      <c r="H51" s="206">
        <v>57230</v>
      </c>
      <c r="I51" s="206">
        <v>47239</v>
      </c>
      <c r="J51" s="206">
        <v>36902</v>
      </c>
      <c r="K51" s="206">
        <v>48683</v>
      </c>
      <c r="L51" s="206">
        <v>19802</v>
      </c>
      <c r="M51" s="206">
        <v>14823</v>
      </c>
      <c r="N51" s="206">
        <v>30621</v>
      </c>
      <c r="O51" s="206">
        <v>21907</v>
      </c>
      <c r="P51" s="206">
        <v>20668</v>
      </c>
      <c r="Q51" s="206">
        <v>33186</v>
      </c>
      <c r="R51" s="206">
        <v>22592</v>
      </c>
      <c r="S51" s="206">
        <v>15785</v>
      </c>
      <c r="T51" s="206">
        <v>21060</v>
      </c>
      <c r="U51" s="206">
        <v>20992</v>
      </c>
      <c r="V51" s="206">
        <v>17672</v>
      </c>
      <c r="W51" s="206">
        <v>19856</v>
      </c>
      <c r="X51" s="206">
        <v>20270</v>
      </c>
      <c r="Y51" s="206">
        <v>16560</v>
      </c>
      <c r="Z51" s="206">
        <v>24378</v>
      </c>
      <c r="AA51" s="206">
        <v>14866</v>
      </c>
      <c r="AB51" s="1">
        <v>17269</v>
      </c>
      <c r="AC51" s="1">
        <v>0</v>
      </c>
      <c r="AD51" s="1">
        <v>0</v>
      </c>
      <c r="AE51" s="1">
        <v>0</v>
      </c>
    </row>
    <row r="52" spans="1:31" x14ac:dyDescent="0.2">
      <c r="B52" s="6" t="s">
        <v>76</v>
      </c>
      <c r="C52" s="6" t="s">
        <v>76</v>
      </c>
      <c r="D52" s="7">
        <v>4012860</v>
      </c>
      <c r="E52" s="206">
        <v>5136</v>
      </c>
      <c r="F52" s="206">
        <v>2102</v>
      </c>
      <c r="G52" s="206">
        <v>2851</v>
      </c>
      <c r="H52" s="206">
        <v>3252</v>
      </c>
      <c r="I52" s="206">
        <v>3499</v>
      </c>
      <c r="J52" s="206">
        <v>2445</v>
      </c>
      <c r="K52" s="206">
        <v>4562</v>
      </c>
      <c r="L52" s="206">
        <v>1671</v>
      </c>
      <c r="M52" s="206">
        <v>1058</v>
      </c>
      <c r="N52" s="206">
        <v>1603</v>
      </c>
      <c r="O52" s="206">
        <v>5404</v>
      </c>
      <c r="P52" s="206">
        <v>371</v>
      </c>
      <c r="Q52" s="206">
        <v>1325</v>
      </c>
      <c r="R52" s="206">
        <v>2349</v>
      </c>
      <c r="S52" s="206">
        <v>-3205</v>
      </c>
      <c r="T52" s="206">
        <v>2689</v>
      </c>
      <c r="U52" s="206">
        <v>2438</v>
      </c>
      <c r="V52" s="206">
        <v>807</v>
      </c>
      <c r="W52" s="206">
        <v>1676</v>
      </c>
      <c r="X52" s="206">
        <v>2134</v>
      </c>
      <c r="Y52" s="206">
        <v>2180</v>
      </c>
      <c r="Z52" s="206">
        <v>17004</v>
      </c>
      <c r="AA52" s="206">
        <v>1213</v>
      </c>
      <c r="AB52" s="1">
        <v>4375</v>
      </c>
      <c r="AC52" s="1">
        <v>0</v>
      </c>
      <c r="AD52" s="1">
        <v>0</v>
      </c>
      <c r="AE52" s="1">
        <v>0</v>
      </c>
    </row>
    <row r="53" spans="1:31" x14ac:dyDescent="0.2">
      <c r="B53" s="6" t="s">
        <v>77</v>
      </c>
      <c r="C53" s="6" t="s">
        <v>78</v>
      </c>
      <c r="D53" s="7">
        <v>4061925</v>
      </c>
      <c r="E53" s="206">
        <v>2072</v>
      </c>
      <c r="F53" s="206">
        <v>2314</v>
      </c>
      <c r="G53" s="206">
        <v>2315</v>
      </c>
      <c r="H53" s="206">
        <v>1479</v>
      </c>
      <c r="I53" s="206">
        <v>2640</v>
      </c>
      <c r="J53" s="206">
        <v>700</v>
      </c>
      <c r="K53" s="206">
        <v>1810</v>
      </c>
      <c r="L53" s="206">
        <v>1091</v>
      </c>
      <c r="M53" s="206">
        <v>741</v>
      </c>
      <c r="N53" s="206">
        <v>1380</v>
      </c>
      <c r="O53" s="206">
        <v>1687</v>
      </c>
      <c r="P53" s="206">
        <v>1929</v>
      </c>
      <c r="Q53" s="206">
        <v>5409</v>
      </c>
      <c r="R53" s="206">
        <v>902</v>
      </c>
      <c r="S53" s="206">
        <v>381</v>
      </c>
      <c r="T53" s="206">
        <v>642</v>
      </c>
      <c r="U53" s="206">
        <v>233</v>
      </c>
      <c r="V53" s="206">
        <v>372</v>
      </c>
      <c r="W53" s="206">
        <v>653</v>
      </c>
      <c r="X53" s="206">
        <v>36</v>
      </c>
      <c r="Y53" s="206">
        <v>46</v>
      </c>
      <c r="Z53" s="206">
        <v>130</v>
      </c>
      <c r="AA53" s="206">
        <v>84</v>
      </c>
      <c r="AB53" s="1">
        <v>61</v>
      </c>
      <c r="AC53" s="1">
        <v>0</v>
      </c>
      <c r="AD53" s="1">
        <v>0</v>
      </c>
      <c r="AE53" s="1">
        <v>0</v>
      </c>
    </row>
    <row r="54" spans="1:31" x14ac:dyDescent="0.2">
      <c r="B54" s="6" t="s">
        <v>79</v>
      </c>
      <c r="C54" s="6" t="s">
        <v>79</v>
      </c>
      <c r="D54" s="7">
        <v>4057132</v>
      </c>
      <c r="E54" s="206" t="s">
        <v>123</v>
      </c>
      <c r="F54" s="206" t="s">
        <v>123</v>
      </c>
      <c r="G54" s="206" t="s">
        <v>123</v>
      </c>
      <c r="H54" s="206" t="s">
        <v>123</v>
      </c>
      <c r="I54" s="206">
        <v>20775</v>
      </c>
      <c r="J54" s="206">
        <v>15723</v>
      </c>
      <c r="K54" s="206">
        <v>16363</v>
      </c>
      <c r="L54" s="206">
        <v>15706</v>
      </c>
      <c r="M54" s="206">
        <v>46581</v>
      </c>
      <c r="N54" s="206">
        <v>28198</v>
      </c>
      <c r="O54" s="206">
        <v>11852</v>
      </c>
      <c r="P54" s="206">
        <v>7181</v>
      </c>
      <c r="Q54" s="206">
        <v>5990</v>
      </c>
      <c r="R54" s="206">
        <v>5981</v>
      </c>
      <c r="S54" s="206">
        <v>5752</v>
      </c>
      <c r="T54" s="206">
        <v>3938</v>
      </c>
      <c r="U54" s="206">
        <v>8117</v>
      </c>
      <c r="V54" s="206">
        <v>5844</v>
      </c>
      <c r="W54" s="206" t="s">
        <v>123</v>
      </c>
      <c r="X54" s="206">
        <v>4781</v>
      </c>
      <c r="Y54" s="206">
        <v>6345</v>
      </c>
      <c r="Z54" s="206">
        <v>3909</v>
      </c>
      <c r="AA54" s="206">
        <v>6718</v>
      </c>
      <c r="AB54" s="1">
        <v>3933</v>
      </c>
      <c r="AC54" s="1">
        <v>0</v>
      </c>
      <c r="AD54" s="1">
        <v>0</v>
      </c>
      <c r="AE54" s="1">
        <v>0</v>
      </c>
    </row>
    <row r="55" spans="1:31" x14ac:dyDescent="0.2">
      <c r="A55" s="1" t="s">
        <v>30</v>
      </c>
      <c r="B55" s="6" t="s">
        <v>80</v>
      </c>
      <c r="C55" s="6" t="s">
        <v>80</v>
      </c>
      <c r="D55" s="7">
        <v>4057115</v>
      </c>
      <c r="E55" s="206" t="s">
        <v>123</v>
      </c>
      <c r="F55" s="206">
        <v>9927</v>
      </c>
      <c r="G55" s="206">
        <v>7261</v>
      </c>
      <c r="H55" s="206">
        <v>10654</v>
      </c>
      <c r="I55" s="206">
        <v>8738</v>
      </c>
      <c r="J55" s="206">
        <v>16951</v>
      </c>
      <c r="K55" s="206">
        <v>2670</v>
      </c>
      <c r="L55" s="206">
        <v>6006</v>
      </c>
      <c r="M55" s="206">
        <v>2252</v>
      </c>
      <c r="N55" s="206">
        <v>3485</v>
      </c>
      <c r="O55" s="206">
        <v>3903</v>
      </c>
      <c r="P55" s="206">
        <v>3804</v>
      </c>
      <c r="Q55" s="206">
        <v>2141</v>
      </c>
      <c r="R55" s="206">
        <v>3296</v>
      </c>
      <c r="S55" s="206">
        <v>5857</v>
      </c>
      <c r="T55" s="206">
        <v>3200</v>
      </c>
      <c r="U55" s="206">
        <v>990</v>
      </c>
      <c r="V55" s="206">
        <v>2210</v>
      </c>
      <c r="W55" s="206">
        <v>1527</v>
      </c>
      <c r="X55" s="206">
        <v>6726</v>
      </c>
      <c r="Y55" s="206" t="s">
        <v>123</v>
      </c>
      <c r="Z55" s="206">
        <v>0</v>
      </c>
      <c r="AA55" s="206" t="s">
        <v>123</v>
      </c>
      <c r="AB55" s="1">
        <v>375</v>
      </c>
      <c r="AC55" s="1">
        <v>0</v>
      </c>
      <c r="AD55" s="1">
        <v>0</v>
      </c>
      <c r="AE55" s="1">
        <v>0</v>
      </c>
    </row>
    <row r="56" spans="1:31" x14ac:dyDescent="0.2">
      <c r="B56" s="6" t="s">
        <v>81</v>
      </c>
      <c r="C56" s="6" t="s">
        <v>81</v>
      </c>
      <c r="D56" s="7">
        <v>4064479</v>
      </c>
      <c r="E56" s="206">
        <v>1998</v>
      </c>
      <c r="F56" s="206">
        <v>678</v>
      </c>
      <c r="G56" s="206">
        <v>379</v>
      </c>
      <c r="H56" s="206">
        <v>242</v>
      </c>
      <c r="I56" s="206">
        <v>311</v>
      </c>
      <c r="J56" s="206">
        <v>484</v>
      </c>
      <c r="K56" s="206">
        <v>432</v>
      </c>
      <c r="L56" s="206">
        <v>344</v>
      </c>
      <c r="M56" s="206">
        <v>351</v>
      </c>
      <c r="N56" s="206">
        <v>616</v>
      </c>
      <c r="O56" s="206">
        <v>2042</v>
      </c>
      <c r="P56" s="206">
        <v>873</v>
      </c>
      <c r="Q56" s="206">
        <v>582</v>
      </c>
      <c r="R56" s="206">
        <v>710</v>
      </c>
      <c r="S56" s="206">
        <v>686</v>
      </c>
      <c r="T56" s="206">
        <v>380</v>
      </c>
      <c r="U56" s="206">
        <v>340</v>
      </c>
      <c r="V56" s="206">
        <v>422</v>
      </c>
      <c r="W56" s="206">
        <v>427</v>
      </c>
      <c r="X56" s="206">
        <v>227</v>
      </c>
      <c r="Y56" s="206">
        <v>335</v>
      </c>
      <c r="Z56" s="206">
        <v>187</v>
      </c>
      <c r="AA56" s="206">
        <v>418</v>
      </c>
      <c r="AB56" s="1">
        <v>330</v>
      </c>
      <c r="AC56" s="1">
        <v>0</v>
      </c>
      <c r="AD56" s="1">
        <v>485</v>
      </c>
      <c r="AE56" s="1">
        <v>0</v>
      </c>
    </row>
    <row r="57" spans="1:31" x14ac:dyDescent="0.2">
      <c r="B57" s="6" t="s">
        <v>82</v>
      </c>
      <c r="C57" s="6" t="s">
        <v>82</v>
      </c>
      <c r="D57" s="7">
        <v>4062025</v>
      </c>
      <c r="E57" s="206" t="s">
        <v>123</v>
      </c>
      <c r="F57" s="206">
        <v>1548</v>
      </c>
      <c r="G57" s="206">
        <v>1820</v>
      </c>
      <c r="H57" s="206">
        <v>628</v>
      </c>
      <c r="I57" s="206">
        <v>605</v>
      </c>
      <c r="J57" s="206">
        <v>907</v>
      </c>
      <c r="K57" s="206">
        <v>357</v>
      </c>
      <c r="L57" s="206">
        <v>407</v>
      </c>
      <c r="M57" s="206">
        <v>317</v>
      </c>
      <c r="N57" s="206">
        <v>404</v>
      </c>
      <c r="O57" s="206">
        <v>660</v>
      </c>
      <c r="P57" s="206">
        <v>215</v>
      </c>
      <c r="Q57" s="206">
        <v>348</v>
      </c>
      <c r="R57" s="206">
        <v>741</v>
      </c>
      <c r="S57" s="206">
        <v>377</v>
      </c>
      <c r="T57" s="206">
        <v>280</v>
      </c>
      <c r="U57" s="206">
        <v>266</v>
      </c>
      <c r="V57" s="206">
        <v>454</v>
      </c>
      <c r="W57" s="206">
        <v>501</v>
      </c>
      <c r="X57" s="206">
        <v>248</v>
      </c>
      <c r="Y57" s="206">
        <v>417</v>
      </c>
      <c r="Z57" s="206">
        <v>258</v>
      </c>
      <c r="AA57" s="206">
        <v>3546</v>
      </c>
      <c r="AB57" s="1">
        <v>272</v>
      </c>
      <c r="AC57" s="1">
        <v>0</v>
      </c>
      <c r="AD57" s="1">
        <v>0</v>
      </c>
      <c r="AE57" s="1">
        <v>0</v>
      </c>
    </row>
    <row r="58" spans="1:31" x14ac:dyDescent="0.2">
      <c r="B58" s="6" t="s">
        <v>83</v>
      </c>
      <c r="C58" s="6" t="s">
        <v>83</v>
      </c>
      <c r="D58" s="7">
        <v>4064481</v>
      </c>
      <c r="E58" s="206" t="s">
        <v>123</v>
      </c>
      <c r="F58" s="206" t="s">
        <v>123</v>
      </c>
      <c r="G58" s="206" t="s">
        <v>123</v>
      </c>
      <c r="H58" s="206">
        <v>5190</v>
      </c>
      <c r="I58" s="206">
        <v>5478</v>
      </c>
      <c r="J58" s="206">
        <v>10011</v>
      </c>
      <c r="K58" s="206">
        <v>2137</v>
      </c>
      <c r="L58" s="206">
        <v>3206</v>
      </c>
      <c r="M58" s="206">
        <v>10861</v>
      </c>
      <c r="N58" s="206">
        <v>5710</v>
      </c>
      <c r="O58" s="206">
        <v>15977</v>
      </c>
      <c r="P58" s="206">
        <v>5765</v>
      </c>
      <c r="Q58" s="206">
        <v>8994</v>
      </c>
      <c r="R58" s="206">
        <v>5754</v>
      </c>
      <c r="S58" s="206">
        <v>3020</v>
      </c>
      <c r="T58" s="206">
        <v>7803</v>
      </c>
      <c r="U58" s="206">
        <v>2765</v>
      </c>
      <c r="V58" s="206">
        <v>5079</v>
      </c>
      <c r="W58" s="206">
        <v>1659</v>
      </c>
      <c r="X58" s="206">
        <v>1535</v>
      </c>
      <c r="Y58" s="206">
        <v>5648</v>
      </c>
      <c r="Z58" s="206">
        <v>5410</v>
      </c>
      <c r="AA58" s="206">
        <v>7269</v>
      </c>
      <c r="AB58" s="1">
        <v>10472</v>
      </c>
      <c r="AC58" s="1">
        <v>0</v>
      </c>
      <c r="AD58" s="1">
        <v>0</v>
      </c>
      <c r="AE58" s="1" t="s">
        <v>123</v>
      </c>
    </row>
    <row r="59" spans="1:31" x14ac:dyDescent="0.2">
      <c r="A59" s="1" t="s">
        <v>30</v>
      </c>
      <c r="B59" s="6" t="s">
        <v>84</v>
      </c>
      <c r="C59" s="6" t="s">
        <v>84</v>
      </c>
      <c r="D59" s="7">
        <v>4057093</v>
      </c>
      <c r="E59" s="206">
        <v>3968</v>
      </c>
      <c r="F59" s="206">
        <v>3902</v>
      </c>
      <c r="G59" s="206">
        <v>1446</v>
      </c>
      <c r="H59" s="206">
        <v>2164</v>
      </c>
      <c r="I59" s="206">
        <v>1301</v>
      </c>
      <c r="J59" s="206">
        <v>584</v>
      </c>
      <c r="K59" s="206">
        <v>705</v>
      </c>
      <c r="L59" s="206">
        <v>455</v>
      </c>
      <c r="M59" s="206">
        <v>1486</v>
      </c>
      <c r="N59" s="206">
        <v>800</v>
      </c>
      <c r="O59" s="206">
        <v>1073</v>
      </c>
      <c r="P59" s="206">
        <v>923</v>
      </c>
      <c r="Q59" s="206">
        <v>1270</v>
      </c>
      <c r="R59" s="206">
        <v>1004</v>
      </c>
      <c r="S59" s="206">
        <v>1757</v>
      </c>
      <c r="T59" s="206">
        <v>1441</v>
      </c>
      <c r="U59" s="206">
        <v>1022</v>
      </c>
      <c r="V59" s="206">
        <v>846</v>
      </c>
      <c r="W59" s="206">
        <v>937</v>
      </c>
      <c r="X59" s="206">
        <v>186</v>
      </c>
      <c r="Y59" s="206">
        <v>3</v>
      </c>
      <c r="Z59" s="206">
        <v>254</v>
      </c>
      <c r="AA59" s="206">
        <v>59</v>
      </c>
      <c r="AB59" s="1">
        <v>692</v>
      </c>
      <c r="AC59" s="1">
        <v>0</v>
      </c>
      <c r="AD59" s="1">
        <v>0</v>
      </c>
      <c r="AE59" s="1">
        <v>0</v>
      </c>
    </row>
    <row r="60" spans="1:31" x14ac:dyDescent="0.2">
      <c r="B60" s="6" t="s">
        <v>85</v>
      </c>
      <c r="C60" s="6" t="s">
        <v>85</v>
      </c>
      <c r="D60" s="7">
        <v>4004218</v>
      </c>
      <c r="E60" s="206">
        <v>92663.921000000002</v>
      </c>
      <c r="F60" s="206">
        <v>23837</v>
      </c>
      <c r="G60" s="206">
        <v>24821</v>
      </c>
      <c r="H60" s="206">
        <v>61935</v>
      </c>
      <c r="I60" s="206">
        <v>112560</v>
      </c>
      <c r="J60" s="206">
        <v>38772</v>
      </c>
      <c r="K60" s="206">
        <v>33336</v>
      </c>
      <c r="L60" s="206">
        <v>27110</v>
      </c>
      <c r="M60" s="206">
        <v>64622</v>
      </c>
      <c r="N60" s="206">
        <v>25899</v>
      </c>
      <c r="O60" s="206">
        <v>27914</v>
      </c>
      <c r="P60" s="206">
        <v>1845</v>
      </c>
      <c r="Q60" s="206">
        <v>1740</v>
      </c>
      <c r="R60" s="206">
        <v>2280</v>
      </c>
      <c r="S60" s="206">
        <v>1128</v>
      </c>
      <c r="T60" s="206">
        <v>1421</v>
      </c>
      <c r="U60" s="206">
        <v>1464</v>
      </c>
      <c r="V60" s="206">
        <v>1351</v>
      </c>
      <c r="W60" s="206">
        <v>1419</v>
      </c>
      <c r="X60" s="206">
        <v>3134</v>
      </c>
      <c r="Y60" s="206">
        <v>1023</v>
      </c>
      <c r="Z60" s="206">
        <v>-344</v>
      </c>
      <c r="AA60" s="206">
        <v>3007</v>
      </c>
      <c r="AB60" s="1">
        <v>1758</v>
      </c>
      <c r="AC60" s="1">
        <v>0</v>
      </c>
      <c r="AD60" s="1">
        <v>0</v>
      </c>
      <c r="AE60" s="1">
        <v>0</v>
      </c>
    </row>
    <row r="61" spans="1:31" x14ac:dyDescent="0.2">
      <c r="A61" s="1" t="s">
        <v>30</v>
      </c>
      <c r="B61" s="6" t="s">
        <v>86</v>
      </c>
      <c r="C61" s="6" t="s">
        <v>87</v>
      </c>
      <c r="D61" s="7">
        <v>4062222</v>
      </c>
      <c r="E61" s="206" t="s">
        <v>123</v>
      </c>
      <c r="F61" s="206">
        <v>5061</v>
      </c>
      <c r="G61" s="206">
        <v>1337</v>
      </c>
      <c r="H61" s="206">
        <v>6530</v>
      </c>
      <c r="I61" s="206">
        <v>3861</v>
      </c>
      <c r="J61" s="206">
        <v>1601</v>
      </c>
      <c r="K61" s="206">
        <v>785</v>
      </c>
      <c r="L61" s="206">
        <v>803</v>
      </c>
      <c r="M61" s="206">
        <v>869</v>
      </c>
      <c r="N61" s="206">
        <v>2656</v>
      </c>
      <c r="O61" s="206">
        <v>696</v>
      </c>
      <c r="P61" s="206">
        <v>517</v>
      </c>
      <c r="Q61" s="206">
        <v>851</v>
      </c>
      <c r="R61" s="206">
        <v>1220</v>
      </c>
      <c r="S61" s="206">
        <v>1344</v>
      </c>
      <c r="T61" s="206">
        <v>-792</v>
      </c>
      <c r="U61" s="206">
        <v>1152</v>
      </c>
      <c r="V61" s="206">
        <v>1531</v>
      </c>
      <c r="W61" s="206">
        <v>377</v>
      </c>
      <c r="X61" s="206">
        <v>260</v>
      </c>
      <c r="Y61" s="206">
        <v>399</v>
      </c>
      <c r="Z61" s="206" t="s">
        <v>123</v>
      </c>
      <c r="AA61" s="206">
        <v>71</v>
      </c>
      <c r="AB61" s="1">
        <v>-68</v>
      </c>
      <c r="AC61" s="1">
        <v>0</v>
      </c>
      <c r="AD61" s="1">
        <v>0</v>
      </c>
      <c r="AE61" s="1">
        <v>0</v>
      </c>
    </row>
    <row r="62" spans="1:31" x14ac:dyDescent="0.2">
      <c r="B62" s="6" t="s">
        <v>88</v>
      </c>
      <c r="C62" s="6" t="s">
        <v>89</v>
      </c>
      <c r="D62" s="7">
        <v>4057135</v>
      </c>
      <c r="E62" s="206">
        <v>11839</v>
      </c>
      <c r="F62" s="206">
        <v>24669</v>
      </c>
      <c r="G62" s="206">
        <v>15820</v>
      </c>
      <c r="H62" s="206">
        <v>21938</v>
      </c>
      <c r="I62" s="206">
        <v>5681</v>
      </c>
      <c r="J62" s="206">
        <v>9407</v>
      </c>
      <c r="K62" s="206">
        <v>10803</v>
      </c>
      <c r="L62" s="206">
        <v>11827</v>
      </c>
      <c r="M62" s="206">
        <v>11851</v>
      </c>
      <c r="N62" s="206">
        <v>16081</v>
      </c>
      <c r="O62" s="206">
        <v>11561</v>
      </c>
      <c r="P62" s="206">
        <v>3018</v>
      </c>
      <c r="Q62" s="206">
        <v>1944</v>
      </c>
      <c r="R62" s="206">
        <v>2693</v>
      </c>
      <c r="S62" s="206">
        <v>9274</v>
      </c>
      <c r="T62" s="206">
        <v>11709</v>
      </c>
      <c r="U62" s="206">
        <v>9261</v>
      </c>
      <c r="V62" s="206">
        <v>4866</v>
      </c>
      <c r="W62" s="206">
        <v>10164</v>
      </c>
      <c r="X62" s="206">
        <v>7792</v>
      </c>
      <c r="Y62" s="206">
        <v>11419</v>
      </c>
      <c r="Z62" s="206">
        <v>13432</v>
      </c>
      <c r="AA62" s="206">
        <v>12328</v>
      </c>
      <c r="AB62" s="1">
        <v>12300</v>
      </c>
      <c r="AC62" s="1">
        <v>0</v>
      </c>
      <c r="AD62" s="1">
        <v>0</v>
      </c>
      <c r="AE62" s="1">
        <v>0</v>
      </c>
    </row>
    <row r="63" spans="1:31" x14ac:dyDescent="0.2">
      <c r="B63" s="6" t="s">
        <v>90</v>
      </c>
      <c r="C63" s="6" t="s">
        <v>90</v>
      </c>
      <c r="D63" s="7">
        <v>4063341</v>
      </c>
      <c r="E63" s="206">
        <v>3068</v>
      </c>
      <c r="F63" s="206">
        <v>5884</v>
      </c>
      <c r="G63" s="206">
        <v>6989</v>
      </c>
      <c r="H63" s="206">
        <v>4067</v>
      </c>
      <c r="I63" s="206">
        <v>3129</v>
      </c>
      <c r="J63" s="206">
        <v>4565</v>
      </c>
      <c r="K63" s="206">
        <v>4430</v>
      </c>
      <c r="L63" s="206">
        <v>4889</v>
      </c>
      <c r="M63" s="206">
        <v>3921</v>
      </c>
      <c r="N63" s="206">
        <v>955</v>
      </c>
      <c r="O63" s="206">
        <v>4743</v>
      </c>
      <c r="P63" s="206">
        <v>1524</v>
      </c>
      <c r="Q63" s="206">
        <v>2171</v>
      </c>
      <c r="R63" s="206">
        <v>2776</v>
      </c>
      <c r="S63" s="206">
        <v>3765</v>
      </c>
      <c r="T63" s="206">
        <v>3738</v>
      </c>
      <c r="U63" s="206">
        <v>2683</v>
      </c>
      <c r="V63" s="206">
        <v>2815</v>
      </c>
      <c r="W63" s="206">
        <v>7268</v>
      </c>
      <c r="X63" s="206">
        <v>8586</v>
      </c>
      <c r="Y63" s="206">
        <v>12892</v>
      </c>
      <c r="Z63" s="206">
        <v>0</v>
      </c>
      <c r="AA63" s="206">
        <v>7369</v>
      </c>
      <c r="AB63" s="1">
        <v>0</v>
      </c>
      <c r="AC63" s="1">
        <v>0</v>
      </c>
      <c r="AD63" s="1">
        <v>0</v>
      </c>
      <c r="AE63" s="1">
        <v>0</v>
      </c>
    </row>
    <row r="64" spans="1:31" x14ac:dyDescent="0.2">
      <c r="A64" s="1" t="s">
        <v>30</v>
      </c>
      <c r="B64" s="6" t="s">
        <v>91</v>
      </c>
      <c r="C64" s="6" t="s">
        <v>91</v>
      </c>
      <c r="D64" s="7">
        <v>4083575</v>
      </c>
      <c r="E64" s="206" t="s">
        <v>123</v>
      </c>
      <c r="F64" s="206">
        <v>4104</v>
      </c>
      <c r="G64" s="206">
        <v>9055</v>
      </c>
      <c r="H64" s="206">
        <v>9580</v>
      </c>
      <c r="I64" s="206">
        <v>384</v>
      </c>
      <c r="J64" s="206">
        <v>575</v>
      </c>
      <c r="K64" s="206">
        <v>152</v>
      </c>
      <c r="L64" s="206">
        <v>8047</v>
      </c>
      <c r="M64" s="206">
        <v>1937</v>
      </c>
      <c r="N64" s="206">
        <v>0</v>
      </c>
      <c r="O64" s="206">
        <v>1598</v>
      </c>
      <c r="P64" s="206">
        <v>2619</v>
      </c>
      <c r="Q64" s="206">
        <v>12933</v>
      </c>
      <c r="R64" s="206">
        <v>125</v>
      </c>
      <c r="S64" s="206">
        <v>1798</v>
      </c>
      <c r="T64" s="206">
        <v>173</v>
      </c>
      <c r="U64" s="206">
        <v>3267</v>
      </c>
      <c r="V64" s="206">
        <v>4737</v>
      </c>
      <c r="W64" s="206">
        <v>4933</v>
      </c>
      <c r="X64" s="206">
        <v>30904</v>
      </c>
      <c r="Y64" s="206">
        <v>6418</v>
      </c>
      <c r="Z64" s="206" t="s">
        <v>123</v>
      </c>
      <c r="AA64" s="206" t="s">
        <v>123</v>
      </c>
      <c r="AB64" s="1" t="s">
        <v>123</v>
      </c>
      <c r="AC64" s="1" t="s">
        <v>123</v>
      </c>
      <c r="AD64" s="1" t="s">
        <v>123</v>
      </c>
      <c r="AE64" s="1" t="s">
        <v>123</v>
      </c>
    </row>
    <row r="65" spans="1:31" x14ac:dyDescent="0.2">
      <c r="B65" s="6" t="s">
        <v>92</v>
      </c>
      <c r="C65" s="6" t="s">
        <v>92</v>
      </c>
      <c r="D65" s="7">
        <v>4062303</v>
      </c>
      <c r="E65" s="206" t="s">
        <v>123</v>
      </c>
      <c r="F65" s="206">
        <v>22</v>
      </c>
      <c r="G65" s="206">
        <v>20</v>
      </c>
      <c r="H65" s="206">
        <v>56</v>
      </c>
      <c r="I65" s="206" t="s">
        <v>123</v>
      </c>
      <c r="J65" s="206" t="s">
        <v>123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 t="s">
        <v>123</v>
      </c>
      <c r="AB65" s="1" t="s">
        <v>123</v>
      </c>
      <c r="AC65" s="1" t="s">
        <v>123</v>
      </c>
      <c r="AD65" s="1" t="s">
        <v>123</v>
      </c>
      <c r="AE65" s="1" t="s">
        <v>123</v>
      </c>
    </row>
    <row r="66" spans="1:31" x14ac:dyDescent="0.2">
      <c r="B66" s="6" t="s">
        <v>93</v>
      </c>
      <c r="C66" s="6" t="s">
        <v>93</v>
      </c>
      <c r="D66" s="7">
        <v>4083581</v>
      </c>
      <c r="E66" s="206" t="s">
        <v>123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56</v>
      </c>
      <c r="P66" s="206">
        <v>7</v>
      </c>
      <c r="Q66" s="206">
        <v>38</v>
      </c>
      <c r="R66" s="206">
        <v>0</v>
      </c>
      <c r="S66" s="206">
        <v>23</v>
      </c>
      <c r="T66" s="206">
        <v>135</v>
      </c>
      <c r="U66" s="206">
        <v>3</v>
      </c>
      <c r="V66" s="206">
        <v>0</v>
      </c>
      <c r="W66" s="206">
        <v>68</v>
      </c>
      <c r="X66" s="206" t="s">
        <v>123</v>
      </c>
      <c r="Y66" s="206">
        <v>35</v>
      </c>
      <c r="Z66" s="206">
        <v>80</v>
      </c>
      <c r="AA66" s="206" t="s">
        <v>123</v>
      </c>
      <c r="AB66" s="1" t="s">
        <v>123</v>
      </c>
      <c r="AC66" s="1" t="s">
        <v>123</v>
      </c>
      <c r="AD66" s="1" t="s">
        <v>123</v>
      </c>
      <c r="AE66" s="1" t="s">
        <v>123</v>
      </c>
    </row>
    <row r="67" spans="1:31" x14ac:dyDescent="0.2">
      <c r="B67" s="6" t="s">
        <v>94</v>
      </c>
      <c r="C67" s="6" t="s">
        <v>94</v>
      </c>
      <c r="D67" s="7">
        <v>4057139</v>
      </c>
      <c r="E67" s="206">
        <v>5578.5789999999997</v>
      </c>
      <c r="F67" s="206">
        <v>134565</v>
      </c>
      <c r="G67" s="206">
        <v>2551</v>
      </c>
      <c r="H67" s="206">
        <v>6220</v>
      </c>
      <c r="I67" s="206">
        <v>14173</v>
      </c>
      <c r="J67" s="206">
        <v>9041</v>
      </c>
      <c r="K67" s="206">
        <v>12953</v>
      </c>
      <c r="L67" s="206">
        <v>6883</v>
      </c>
      <c r="M67" s="206">
        <v>8581</v>
      </c>
      <c r="N67" s="206">
        <v>10071</v>
      </c>
      <c r="O67" s="206">
        <v>8295</v>
      </c>
      <c r="P67" s="206">
        <v>6850</v>
      </c>
      <c r="Q67" s="206">
        <v>4436</v>
      </c>
      <c r="R67" s="206">
        <v>9691</v>
      </c>
      <c r="S67" s="206">
        <v>7522</v>
      </c>
      <c r="T67" s="206">
        <v>7571</v>
      </c>
      <c r="U67" s="206">
        <v>5783</v>
      </c>
      <c r="V67" s="206">
        <v>4103</v>
      </c>
      <c r="W67" s="206">
        <v>6378</v>
      </c>
      <c r="X67" s="206">
        <v>8663</v>
      </c>
      <c r="Y67" s="206">
        <v>17602</v>
      </c>
      <c r="Z67" s="206">
        <v>7002</v>
      </c>
      <c r="AA67" s="206">
        <v>19236</v>
      </c>
      <c r="AB67" s="1">
        <v>9065</v>
      </c>
      <c r="AC67" s="1">
        <v>0</v>
      </c>
      <c r="AD67" s="1">
        <v>0</v>
      </c>
      <c r="AE67" s="1">
        <v>0</v>
      </c>
    </row>
    <row r="68" spans="1:31" x14ac:dyDescent="0.2">
      <c r="A68" s="1" t="s">
        <v>30</v>
      </c>
      <c r="B68" s="6" t="s">
        <v>95</v>
      </c>
      <c r="C68" s="6" t="s">
        <v>95</v>
      </c>
      <c r="D68" s="7">
        <v>4057095</v>
      </c>
      <c r="E68" s="206">
        <v>23903.339</v>
      </c>
      <c r="F68" s="206" t="s">
        <v>123</v>
      </c>
      <c r="G68" s="206">
        <v>9857</v>
      </c>
      <c r="H68" s="206">
        <v>27632</v>
      </c>
      <c r="I68" s="206">
        <v>13423</v>
      </c>
      <c r="J68" s="206">
        <v>6518</v>
      </c>
      <c r="K68" s="206">
        <v>-4111</v>
      </c>
      <c r="L68" s="206">
        <v>7947</v>
      </c>
      <c r="M68" s="206">
        <v>1022</v>
      </c>
      <c r="N68" s="206">
        <v>5388</v>
      </c>
      <c r="O68" s="206">
        <v>8908</v>
      </c>
      <c r="P68" s="206">
        <v>14641</v>
      </c>
      <c r="Q68" s="206">
        <v>6882</v>
      </c>
      <c r="R68" s="206">
        <v>17735</v>
      </c>
      <c r="S68" s="206">
        <v>18059</v>
      </c>
      <c r="T68" s="206">
        <v>20292</v>
      </c>
      <c r="U68" s="206">
        <v>20545</v>
      </c>
      <c r="V68" s="206">
        <v>13513</v>
      </c>
      <c r="W68" s="206">
        <v>11792</v>
      </c>
      <c r="X68" s="206">
        <v>8700</v>
      </c>
      <c r="Y68" s="206">
        <v>13422</v>
      </c>
      <c r="Z68" s="206">
        <v>12565</v>
      </c>
      <c r="AA68" s="206">
        <v>13304</v>
      </c>
      <c r="AB68" s="1">
        <v>1113</v>
      </c>
      <c r="AC68" s="1">
        <v>0</v>
      </c>
      <c r="AD68" s="1">
        <v>0</v>
      </c>
      <c r="AE68" s="1">
        <v>0</v>
      </c>
    </row>
    <row r="69" spans="1:31" x14ac:dyDescent="0.2">
      <c r="B69" s="6" t="s">
        <v>96</v>
      </c>
      <c r="C69" s="6" t="s">
        <v>96</v>
      </c>
      <c r="D69" s="7">
        <v>4062485</v>
      </c>
      <c r="E69" s="206">
        <v>1275</v>
      </c>
      <c r="F69" s="206">
        <v>1491</v>
      </c>
      <c r="G69" s="206">
        <v>-244</v>
      </c>
      <c r="H69" s="206">
        <v>891</v>
      </c>
      <c r="I69" s="206">
        <v>1704</v>
      </c>
      <c r="J69" s="206">
        <v>1481</v>
      </c>
      <c r="K69" s="206">
        <v>515</v>
      </c>
      <c r="L69" s="206">
        <v>870</v>
      </c>
      <c r="M69" s="206">
        <v>15083</v>
      </c>
      <c r="N69" s="206">
        <v>1835</v>
      </c>
      <c r="O69" s="206">
        <v>1046</v>
      </c>
      <c r="P69" s="206">
        <v>5076</v>
      </c>
      <c r="Q69" s="206">
        <v>2018</v>
      </c>
      <c r="R69" s="206">
        <v>2315</v>
      </c>
      <c r="S69" s="206">
        <v>901</v>
      </c>
      <c r="T69" s="206">
        <v>944</v>
      </c>
      <c r="U69" s="206">
        <v>1112</v>
      </c>
      <c r="V69" s="206">
        <v>171</v>
      </c>
      <c r="W69" s="206">
        <v>758</v>
      </c>
      <c r="X69" s="206">
        <v>359</v>
      </c>
      <c r="Y69" s="206">
        <v>507</v>
      </c>
      <c r="Z69" s="206">
        <v>830</v>
      </c>
      <c r="AA69" s="206">
        <v>634</v>
      </c>
      <c r="AB69" s="1">
        <v>9052</v>
      </c>
      <c r="AC69" s="1" t="s">
        <v>123</v>
      </c>
      <c r="AD69" s="1" t="s">
        <v>123</v>
      </c>
      <c r="AE69" s="1">
        <v>0</v>
      </c>
    </row>
    <row r="70" spans="1:31" x14ac:dyDescent="0.2">
      <c r="B70" s="6" t="s">
        <v>97</v>
      </c>
      <c r="C70" s="6" t="s">
        <v>97</v>
      </c>
      <c r="D70" s="7">
        <v>4057140</v>
      </c>
      <c r="E70" s="206">
        <v>21271</v>
      </c>
      <c r="F70" s="206">
        <v>943</v>
      </c>
      <c r="G70" s="206">
        <v>2759</v>
      </c>
      <c r="H70" s="206">
        <v>5368</v>
      </c>
      <c r="I70" s="206">
        <v>12232</v>
      </c>
      <c r="J70" s="206">
        <v>33476</v>
      </c>
      <c r="K70" s="206">
        <v>24344</v>
      </c>
      <c r="L70" s="206">
        <v>21307</v>
      </c>
      <c r="M70" s="206">
        <v>16203</v>
      </c>
      <c r="N70" s="206">
        <v>26540</v>
      </c>
      <c r="O70" s="206">
        <v>24727</v>
      </c>
      <c r="P70" s="206">
        <v>18030</v>
      </c>
      <c r="Q70" s="206">
        <v>16677</v>
      </c>
      <c r="R70" s="206">
        <v>9329</v>
      </c>
      <c r="S70" s="206">
        <v>10069</v>
      </c>
      <c r="T70" s="206">
        <v>11004</v>
      </c>
      <c r="U70" s="206">
        <v>7386</v>
      </c>
      <c r="V70" s="206">
        <v>24662</v>
      </c>
      <c r="W70" s="206">
        <v>2889</v>
      </c>
      <c r="X70" s="206">
        <v>10272</v>
      </c>
      <c r="Y70" s="206">
        <v>18828</v>
      </c>
      <c r="Z70" s="206">
        <v>14147</v>
      </c>
      <c r="AA70" s="206">
        <v>9472</v>
      </c>
      <c r="AB70" s="1">
        <v>22050</v>
      </c>
      <c r="AC70" s="1">
        <v>0</v>
      </c>
      <c r="AD70" s="1">
        <v>0</v>
      </c>
      <c r="AE70" s="1">
        <v>0</v>
      </c>
    </row>
    <row r="71" spans="1:31" x14ac:dyDescent="0.2">
      <c r="A71" s="1" t="s">
        <v>30</v>
      </c>
      <c r="B71" s="6" t="s">
        <v>98</v>
      </c>
      <c r="C71" s="6" t="s">
        <v>99</v>
      </c>
      <c r="D71" s="7">
        <v>4057096</v>
      </c>
      <c r="E71" s="206">
        <v>319</v>
      </c>
      <c r="F71" s="206">
        <v>521</v>
      </c>
      <c r="G71" s="206">
        <v>524</v>
      </c>
      <c r="H71" s="206">
        <v>367</v>
      </c>
      <c r="I71" s="206">
        <v>313</v>
      </c>
      <c r="J71" s="206">
        <v>310</v>
      </c>
      <c r="K71" s="206">
        <v>255</v>
      </c>
      <c r="L71" s="206">
        <v>702</v>
      </c>
      <c r="M71" s="206">
        <v>1185</v>
      </c>
      <c r="N71" s="206">
        <v>362</v>
      </c>
      <c r="O71" s="206">
        <v>86</v>
      </c>
      <c r="P71" s="206">
        <v>60</v>
      </c>
      <c r="Q71" s="206">
        <v>95</v>
      </c>
      <c r="R71" s="206">
        <v>97</v>
      </c>
      <c r="S71" s="206">
        <v>161</v>
      </c>
      <c r="T71" s="206">
        <v>188</v>
      </c>
      <c r="U71" s="206">
        <v>187</v>
      </c>
      <c r="V71" s="206">
        <v>144</v>
      </c>
      <c r="W71" s="206" t="s">
        <v>123</v>
      </c>
      <c r="X71" s="206" t="s">
        <v>123</v>
      </c>
      <c r="Y71" s="206">
        <v>116</v>
      </c>
      <c r="Z71" s="206">
        <v>178</v>
      </c>
      <c r="AA71" s="206">
        <v>201</v>
      </c>
      <c r="AB71" s="1">
        <v>243</v>
      </c>
      <c r="AC71" s="1">
        <v>0</v>
      </c>
      <c r="AD71" s="1">
        <v>0</v>
      </c>
      <c r="AE71" s="1">
        <v>0</v>
      </c>
    </row>
    <row r="72" spans="1:31" x14ac:dyDescent="0.2">
      <c r="B72" s="6" t="s">
        <v>100</v>
      </c>
      <c r="C72" s="6" t="s">
        <v>100</v>
      </c>
      <c r="D72" s="7">
        <v>4057097</v>
      </c>
      <c r="E72" s="206" t="s">
        <v>123</v>
      </c>
      <c r="F72" s="206" t="s">
        <v>123</v>
      </c>
      <c r="G72" s="206" t="s">
        <v>123</v>
      </c>
      <c r="H72" s="206">
        <v>658</v>
      </c>
      <c r="I72" s="206">
        <v>1732</v>
      </c>
      <c r="J72" s="206">
        <v>2361</v>
      </c>
      <c r="K72" s="206">
        <v>649</v>
      </c>
      <c r="L72" s="206">
        <v>843</v>
      </c>
      <c r="M72" s="206">
        <v>1205</v>
      </c>
      <c r="N72" s="206">
        <v>860</v>
      </c>
      <c r="O72" s="206">
        <v>394</v>
      </c>
      <c r="P72" s="206">
        <v>98</v>
      </c>
      <c r="Q72" s="206">
        <v>443</v>
      </c>
      <c r="R72" s="206">
        <v>90</v>
      </c>
      <c r="S72" s="206">
        <v>357</v>
      </c>
      <c r="T72" s="206">
        <v>516</v>
      </c>
      <c r="U72" s="206">
        <v>426</v>
      </c>
      <c r="V72" s="206">
        <v>325</v>
      </c>
      <c r="W72" s="206">
        <v>577</v>
      </c>
      <c r="X72" s="206">
        <v>543</v>
      </c>
      <c r="Y72" s="206">
        <v>857</v>
      </c>
      <c r="Z72" s="206">
        <v>390</v>
      </c>
      <c r="AA72" s="206">
        <v>496</v>
      </c>
      <c r="AB72" s="1">
        <v>1147</v>
      </c>
      <c r="AC72" s="1">
        <v>0</v>
      </c>
      <c r="AD72" s="1">
        <v>0</v>
      </c>
      <c r="AE72" s="1">
        <v>0</v>
      </c>
    </row>
    <row r="73" spans="1:31" x14ac:dyDescent="0.2">
      <c r="B73" s="6" t="s">
        <v>101</v>
      </c>
      <c r="C73" s="6" t="s">
        <v>101</v>
      </c>
      <c r="D73" s="7">
        <v>4057098</v>
      </c>
      <c r="E73" s="206" t="s">
        <v>123</v>
      </c>
      <c r="F73" s="206" t="s">
        <v>123</v>
      </c>
      <c r="G73" s="206">
        <v>15</v>
      </c>
      <c r="H73" s="206">
        <v>81</v>
      </c>
      <c r="I73" s="206">
        <v>637</v>
      </c>
      <c r="J73" s="206">
        <v>105</v>
      </c>
      <c r="K73" s="206">
        <v>360</v>
      </c>
      <c r="L73" s="206">
        <v>0</v>
      </c>
      <c r="M73" s="206">
        <v>164</v>
      </c>
      <c r="N73" s="206">
        <v>953</v>
      </c>
      <c r="O73" s="206">
        <v>0</v>
      </c>
      <c r="P73" s="206">
        <v>0</v>
      </c>
      <c r="Q73" s="206">
        <v>0</v>
      </c>
      <c r="R73" s="206">
        <v>16</v>
      </c>
      <c r="S73" s="206">
        <v>346</v>
      </c>
      <c r="T73" s="206">
        <v>65</v>
      </c>
      <c r="U73" s="206">
        <v>672</v>
      </c>
      <c r="V73" s="206">
        <v>75</v>
      </c>
      <c r="W73" s="206">
        <v>852</v>
      </c>
      <c r="X73" s="206">
        <v>546</v>
      </c>
      <c r="Y73" s="206" t="s">
        <v>123</v>
      </c>
      <c r="Z73" s="206">
        <v>0</v>
      </c>
      <c r="AA73" s="206">
        <v>0</v>
      </c>
      <c r="AB73" s="1">
        <v>43</v>
      </c>
      <c r="AC73" s="1">
        <v>0</v>
      </c>
      <c r="AD73" s="1">
        <v>0</v>
      </c>
      <c r="AE73" s="1">
        <v>0</v>
      </c>
    </row>
    <row r="74" spans="1:31" x14ac:dyDescent="0.2">
      <c r="A74" s="1" t="s">
        <v>30</v>
      </c>
      <c r="B74" s="6" t="s">
        <v>102</v>
      </c>
      <c r="C74" s="6" t="s">
        <v>102</v>
      </c>
      <c r="D74" s="7">
        <v>4063023</v>
      </c>
      <c r="E74" s="206">
        <v>4295.9070000000002</v>
      </c>
      <c r="F74" s="206" t="s">
        <v>123</v>
      </c>
      <c r="G74" s="206">
        <v>7597</v>
      </c>
      <c r="H74" s="206">
        <v>77791</v>
      </c>
      <c r="I74" s="206">
        <v>9373</v>
      </c>
      <c r="J74" s="206">
        <v>7798</v>
      </c>
      <c r="K74" s="206">
        <v>65119</v>
      </c>
      <c r="L74" s="206">
        <v>197253</v>
      </c>
      <c r="M74" s="206">
        <v>7254</v>
      </c>
      <c r="N74" s="206">
        <v>8035</v>
      </c>
      <c r="O74" s="206">
        <v>4228</v>
      </c>
      <c r="P74" s="206">
        <v>7212</v>
      </c>
      <c r="Q74" s="206">
        <v>5099</v>
      </c>
      <c r="R74" s="206">
        <v>3177</v>
      </c>
      <c r="S74" s="206">
        <v>3177</v>
      </c>
      <c r="T74" s="206">
        <v>3177</v>
      </c>
      <c r="U74" s="206">
        <v>1241</v>
      </c>
      <c r="V74" s="206">
        <v>428</v>
      </c>
      <c r="W74" s="206">
        <v>8640</v>
      </c>
      <c r="X74" s="206">
        <v>6823</v>
      </c>
      <c r="Y74" s="206">
        <v>7179</v>
      </c>
      <c r="Z74" s="206">
        <v>7316</v>
      </c>
      <c r="AA74" s="206">
        <v>6005</v>
      </c>
      <c r="AB74" s="1">
        <v>7220</v>
      </c>
      <c r="AC74" s="1">
        <v>0</v>
      </c>
      <c r="AD74" s="1">
        <v>0</v>
      </c>
      <c r="AE74" s="1">
        <v>0</v>
      </c>
    </row>
    <row r="75" spans="1:31" x14ac:dyDescent="0.2">
      <c r="B75" s="6" t="s">
        <v>103</v>
      </c>
      <c r="C75" s="6" t="s">
        <v>103</v>
      </c>
      <c r="D75" s="7">
        <v>4057146</v>
      </c>
      <c r="E75" s="206">
        <v>246919.97399999999</v>
      </c>
      <c r="F75" s="206" t="s">
        <v>123</v>
      </c>
      <c r="G75" s="206">
        <v>146442</v>
      </c>
      <c r="H75" s="206">
        <v>161255</v>
      </c>
      <c r="I75" s="206">
        <v>212108</v>
      </c>
      <c r="J75" s="206">
        <v>172543</v>
      </c>
      <c r="K75" s="206">
        <v>204924</v>
      </c>
      <c r="L75" s="206">
        <v>117124</v>
      </c>
      <c r="M75" s="206">
        <v>234790</v>
      </c>
      <c r="N75" s="206">
        <v>254673</v>
      </c>
      <c r="O75" s="206">
        <v>159691</v>
      </c>
      <c r="P75" s="206">
        <v>168082</v>
      </c>
      <c r="Q75" s="206">
        <v>69167</v>
      </c>
      <c r="R75" s="206">
        <v>48771</v>
      </c>
      <c r="S75" s="206">
        <v>45950</v>
      </c>
      <c r="T75" s="206">
        <v>37188</v>
      </c>
      <c r="U75" s="206">
        <v>54554</v>
      </c>
      <c r="V75" s="206">
        <v>27995</v>
      </c>
      <c r="W75" s="206">
        <v>56531</v>
      </c>
      <c r="X75" s="206">
        <v>28423</v>
      </c>
      <c r="Y75" s="206">
        <v>21453</v>
      </c>
      <c r="Z75" s="206">
        <v>27360</v>
      </c>
      <c r="AA75" s="206">
        <v>30770</v>
      </c>
      <c r="AB75" s="1">
        <v>33419</v>
      </c>
      <c r="AC75" s="1">
        <v>0</v>
      </c>
      <c r="AD75" s="1">
        <v>0</v>
      </c>
      <c r="AE75" s="1" t="s">
        <v>123</v>
      </c>
    </row>
    <row r="76" spans="1:31" x14ac:dyDescent="0.2">
      <c r="A76" s="1" t="s">
        <v>30</v>
      </c>
      <c r="B76" s="6" t="s">
        <v>104</v>
      </c>
      <c r="C76" s="6" t="s">
        <v>105</v>
      </c>
      <c r="D76" s="7">
        <v>4063060</v>
      </c>
      <c r="E76" s="206">
        <v>6616</v>
      </c>
      <c r="F76" s="206">
        <v>5366</v>
      </c>
      <c r="G76" s="206">
        <v>4212</v>
      </c>
      <c r="H76" s="206">
        <v>1285</v>
      </c>
      <c r="I76" s="206">
        <v>1990</v>
      </c>
      <c r="J76" s="206">
        <v>10258</v>
      </c>
      <c r="K76" s="206">
        <v>17022</v>
      </c>
      <c r="L76" s="206">
        <v>1675</v>
      </c>
      <c r="M76" s="206">
        <v>1823</v>
      </c>
      <c r="N76" s="206">
        <v>4592</v>
      </c>
      <c r="O76" s="206">
        <v>1017</v>
      </c>
      <c r="P76" s="206">
        <v>-227</v>
      </c>
      <c r="Q76" s="206">
        <v>502</v>
      </c>
      <c r="R76" s="206">
        <v>14659</v>
      </c>
      <c r="S76" s="206">
        <v>3056</v>
      </c>
      <c r="T76" s="206">
        <v>1680</v>
      </c>
      <c r="U76" s="206">
        <v>1057</v>
      </c>
      <c r="V76" s="206">
        <v>1389</v>
      </c>
      <c r="W76" s="206">
        <v>478</v>
      </c>
      <c r="X76" s="206">
        <v>3469</v>
      </c>
      <c r="Y76" s="206">
        <v>9131</v>
      </c>
      <c r="Z76" s="206">
        <v>377</v>
      </c>
      <c r="AA76" s="206" t="s">
        <v>123</v>
      </c>
      <c r="AB76" s="1">
        <v>3041</v>
      </c>
      <c r="AC76" s="1">
        <v>0</v>
      </c>
      <c r="AD76" s="1">
        <v>0</v>
      </c>
      <c r="AE76" s="1">
        <v>0</v>
      </c>
    </row>
    <row r="77" spans="1:31" x14ac:dyDescent="0.2">
      <c r="B77" s="6" t="s">
        <v>106</v>
      </c>
      <c r="C77" s="6" t="s">
        <v>106</v>
      </c>
      <c r="D77" s="7">
        <v>4057100</v>
      </c>
      <c r="E77" s="206">
        <v>916</v>
      </c>
      <c r="F77" s="206">
        <v>0</v>
      </c>
      <c r="G77" s="206" t="s">
        <v>123</v>
      </c>
      <c r="H77" s="206">
        <v>2879</v>
      </c>
      <c r="I77" s="206">
        <v>541</v>
      </c>
      <c r="J77" s="206">
        <v>524</v>
      </c>
      <c r="K77" s="206">
        <v>1097</v>
      </c>
      <c r="L77" s="206">
        <v>1053</v>
      </c>
      <c r="M77" s="206">
        <v>453</v>
      </c>
      <c r="N77" s="206">
        <v>136</v>
      </c>
      <c r="O77" s="206">
        <v>574</v>
      </c>
      <c r="P77" s="206">
        <v>539</v>
      </c>
      <c r="Q77" s="206">
        <v>1254</v>
      </c>
      <c r="R77" s="206">
        <v>630</v>
      </c>
      <c r="S77" s="206">
        <v>373</v>
      </c>
      <c r="T77" s="206">
        <v>857</v>
      </c>
      <c r="U77" s="206">
        <v>79</v>
      </c>
      <c r="V77" s="206">
        <v>655</v>
      </c>
      <c r="W77" s="206">
        <v>385</v>
      </c>
      <c r="X77" s="206">
        <v>665</v>
      </c>
      <c r="Y77" s="206">
        <v>274</v>
      </c>
      <c r="Z77" s="206">
        <v>362</v>
      </c>
      <c r="AA77" s="206">
        <v>476</v>
      </c>
      <c r="AB77" s="1">
        <v>279</v>
      </c>
      <c r="AC77" s="1">
        <v>0</v>
      </c>
      <c r="AD77" s="1">
        <v>0</v>
      </c>
      <c r="AE77" s="1">
        <v>0</v>
      </c>
    </row>
    <row r="78" spans="1:31" x14ac:dyDescent="0.2">
      <c r="B78" s="6" t="s">
        <v>107</v>
      </c>
      <c r="C78" s="6" t="s">
        <v>107</v>
      </c>
      <c r="D78" s="7">
        <v>4064035</v>
      </c>
      <c r="E78" s="206" t="s">
        <v>123</v>
      </c>
      <c r="F78" s="206" t="s">
        <v>123</v>
      </c>
      <c r="G78" s="206">
        <v>0</v>
      </c>
      <c r="H78" s="206">
        <v>0</v>
      </c>
      <c r="I78" s="206">
        <v>255</v>
      </c>
      <c r="J78" s="206">
        <v>799</v>
      </c>
      <c r="K78" s="206">
        <v>2286</v>
      </c>
      <c r="L78" s="206">
        <v>525</v>
      </c>
      <c r="M78" s="206">
        <v>2012</v>
      </c>
      <c r="N78" s="206">
        <v>287</v>
      </c>
      <c r="O78" s="206">
        <v>183</v>
      </c>
      <c r="P78" s="206">
        <v>257</v>
      </c>
      <c r="Q78" s="206">
        <v>329</v>
      </c>
      <c r="R78" s="206">
        <v>241</v>
      </c>
      <c r="S78" s="206">
        <v>223</v>
      </c>
      <c r="T78" s="206">
        <v>279</v>
      </c>
      <c r="U78" s="206">
        <v>215</v>
      </c>
      <c r="V78" s="206">
        <v>245</v>
      </c>
      <c r="W78" s="206">
        <v>206</v>
      </c>
      <c r="X78" s="206" t="s">
        <v>123</v>
      </c>
      <c r="Y78" s="206">
        <v>-14</v>
      </c>
      <c r="Z78" s="206">
        <v>367</v>
      </c>
      <c r="AA78" s="206" t="s">
        <v>123</v>
      </c>
      <c r="AB78" s="1">
        <v>0</v>
      </c>
      <c r="AC78" s="1">
        <v>0</v>
      </c>
      <c r="AD78" s="1">
        <v>0</v>
      </c>
      <c r="AE78" s="1">
        <v>0</v>
      </c>
    </row>
    <row r="79" spans="1:31" x14ac:dyDescent="0.2">
      <c r="B79" s="6" t="s">
        <v>108</v>
      </c>
      <c r="C79" s="6" t="s">
        <v>108</v>
      </c>
      <c r="D79" s="7">
        <v>4060957</v>
      </c>
      <c r="E79" s="206" t="s">
        <v>123</v>
      </c>
      <c r="F79" s="206">
        <v>35735</v>
      </c>
      <c r="G79" s="206">
        <v>44952</v>
      </c>
      <c r="H79" s="206">
        <v>27501</v>
      </c>
      <c r="I79" s="206">
        <v>44234</v>
      </c>
      <c r="J79" s="206">
        <v>16350</v>
      </c>
      <c r="K79" s="206">
        <v>48638</v>
      </c>
      <c r="L79" s="206">
        <v>17558</v>
      </c>
      <c r="M79" s="206">
        <v>83881</v>
      </c>
      <c r="N79" s="206">
        <v>7230</v>
      </c>
      <c r="O79" s="206">
        <v>11109</v>
      </c>
      <c r="P79" s="206">
        <v>8479</v>
      </c>
      <c r="Q79" s="206">
        <v>5215</v>
      </c>
      <c r="R79" s="206">
        <v>8595</v>
      </c>
      <c r="S79" s="206">
        <v>6363</v>
      </c>
      <c r="T79" s="206">
        <v>7207</v>
      </c>
      <c r="U79" s="206">
        <v>8197</v>
      </c>
      <c r="V79" s="206">
        <v>5122</v>
      </c>
      <c r="W79" s="206">
        <v>3916</v>
      </c>
      <c r="X79" s="206">
        <v>7835</v>
      </c>
      <c r="Y79" s="206">
        <v>9935</v>
      </c>
      <c r="Z79" s="206">
        <v>8057</v>
      </c>
      <c r="AA79" s="206">
        <v>19870</v>
      </c>
      <c r="AB79" s="1">
        <v>6415</v>
      </c>
      <c r="AC79" s="1">
        <v>0</v>
      </c>
      <c r="AD79" s="1">
        <v>0</v>
      </c>
      <c r="AE79" s="1">
        <v>0</v>
      </c>
    </row>
    <row r="80" spans="1:31" x14ac:dyDescent="0.2">
      <c r="B80" s="6" t="s">
        <v>109</v>
      </c>
      <c r="C80" s="6" t="s">
        <v>109</v>
      </c>
      <c r="D80" s="7">
        <v>4063179</v>
      </c>
      <c r="E80" s="206">
        <v>127</v>
      </c>
      <c r="F80" s="206">
        <v>14</v>
      </c>
      <c r="G80" s="206" t="s">
        <v>123</v>
      </c>
      <c r="H80" s="206">
        <v>108</v>
      </c>
      <c r="I80" s="206">
        <v>20</v>
      </c>
      <c r="J80" s="206">
        <v>168</v>
      </c>
      <c r="K80" s="206">
        <v>62</v>
      </c>
      <c r="L80" s="206">
        <v>69</v>
      </c>
      <c r="M80" s="206">
        <v>31</v>
      </c>
      <c r="N80" s="206">
        <v>14</v>
      </c>
      <c r="O80" s="206">
        <v>37</v>
      </c>
      <c r="P80" s="206">
        <v>7</v>
      </c>
      <c r="Q80" s="206">
        <v>99</v>
      </c>
      <c r="R80" s="206">
        <v>4</v>
      </c>
      <c r="S80" s="206">
        <v>113</v>
      </c>
      <c r="T80" s="206">
        <v>85</v>
      </c>
      <c r="U80" s="206">
        <v>61</v>
      </c>
      <c r="V80" s="206">
        <v>6</v>
      </c>
      <c r="W80" s="206">
        <v>97</v>
      </c>
      <c r="X80" s="206">
        <v>28</v>
      </c>
      <c r="Y80" s="206">
        <v>59</v>
      </c>
      <c r="Z80" s="206">
        <v>4</v>
      </c>
      <c r="AA80" s="206">
        <v>57</v>
      </c>
      <c r="AB80" s="1">
        <v>19</v>
      </c>
      <c r="AC80" s="1">
        <v>0</v>
      </c>
      <c r="AD80" s="1">
        <v>0</v>
      </c>
      <c r="AE80" s="1">
        <v>0</v>
      </c>
    </row>
    <row r="81" spans="1:31" x14ac:dyDescent="0.2">
      <c r="A81" s="1" t="s">
        <v>30</v>
      </c>
      <c r="B81" s="6" t="s">
        <v>110</v>
      </c>
      <c r="C81" s="6" t="s">
        <v>110</v>
      </c>
      <c r="D81" s="7">
        <v>4063183</v>
      </c>
      <c r="E81" s="206">
        <v>586</v>
      </c>
      <c r="F81" s="206">
        <v>2987</v>
      </c>
      <c r="G81" s="206">
        <v>772</v>
      </c>
      <c r="H81" s="206">
        <v>898</v>
      </c>
      <c r="I81" s="206" t="s">
        <v>123</v>
      </c>
      <c r="J81" s="206">
        <v>745</v>
      </c>
      <c r="K81" s="206">
        <v>607</v>
      </c>
      <c r="L81" s="206">
        <v>376</v>
      </c>
      <c r="M81" s="206">
        <v>1223</v>
      </c>
      <c r="N81" s="206">
        <v>722</v>
      </c>
      <c r="O81" s="206">
        <v>614</v>
      </c>
      <c r="P81" s="206">
        <v>597</v>
      </c>
      <c r="Q81" s="206">
        <v>313</v>
      </c>
      <c r="R81" s="206">
        <v>316</v>
      </c>
      <c r="S81" s="206">
        <v>402</v>
      </c>
      <c r="T81" s="206">
        <v>1202</v>
      </c>
      <c r="U81" s="206">
        <v>143</v>
      </c>
      <c r="V81" s="206">
        <v>239</v>
      </c>
      <c r="W81" s="206">
        <v>445</v>
      </c>
      <c r="X81" s="206">
        <v>214</v>
      </c>
      <c r="Y81" s="206">
        <v>190</v>
      </c>
      <c r="Z81" s="206">
        <v>282</v>
      </c>
      <c r="AA81" s="206">
        <v>360</v>
      </c>
      <c r="AB81" s="1">
        <v>287</v>
      </c>
      <c r="AC81" s="1">
        <v>0</v>
      </c>
      <c r="AD81" s="1">
        <v>0</v>
      </c>
      <c r="AE81" s="1">
        <v>0</v>
      </c>
    </row>
    <row r="82" spans="1:31" x14ac:dyDescent="0.2">
      <c r="B82" s="6" t="s">
        <v>111</v>
      </c>
      <c r="C82" s="6" t="s">
        <v>111</v>
      </c>
      <c r="D82" s="7">
        <v>4063281</v>
      </c>
      <c r="E82" s="206">
        <v>-406</v>
      </c>
      <c r="F82" s="206">
        <v>123</v>
      </c>
      <c r="G82" s="206">
        <v>451</v>
      </c>
      <c r="H82" s="206">
        <v>416</v>
      </c>
      <c r="I82" s="206">
        <v>368</v>
      </c>
      <c r="J82" s="206">
        <v>128</v>
      </c>
      <c r="K82" s="206">
        <v>0</v>
      </c>
      <c r="L82" s="206">
        <v>31</v>
      </c>
      <c r="M82" s="206">
        <v>13</v>
      </c>
      <c r="N82" s="206">
        <v>11</v>
      </c>
      <c r="O82" s="206">
        <v>146</v>
      </c>
      <c r="P82" s="206">
        <v>199</v>
      </c>
      <c r="Q82" s="206">
        <v>241</v>
      </c>
      <c r="R82" s="206">
        <v>32</v>
      </c>
      <c r="S82" s="206">
        <v>78</v>
      </c>
      <c r="T82" s="206">
        <v>26</v>
      </c>
      <c r="U82" s="206">
        <v>25</v>
      </c>
      <c r="V82" s="206">
        <v>51</v>
      </c>
      <c r="W82" s="206">
        <v>52</v>
      </c>
      <c r="X82" s="206">
        <v>32</v>
      </c>
      <c r="Y82" s="206">
        <v>0</v>
      </c>
      <c r="Z82" s="206">
        <v>12</v>
      </c>
      <c r="AA82" s="206">
        <v>8</v>
      </c>
      <c r="AB82" s="1">
        <v>3</v>
      </c>
      <c r="AC82" s="1">
        <v>0</v>
      </c>
      <c r="AD82" s="1">
        <v>0</v>
      </c>
      <c r="AE82" s="1">
        <v>0</v>
      </c>
    </row>
    <row r="83" spans="1:31" x14ac:dyDescent="0.2">
      <c r="B83" s="6" t="s">
        <v>112</v>
      </c>
      <c r="C83" s="6" t="s">
        <v>112</v>
      </c>
      <c r="D83" s="7">
        <v>4059746</v>
      </c>
      <c r="E83" s="206">
        <v>32263</v>
      </c>
      <c r="F83" s="206">
        <v>5132</v>
      </c>
      <c r="G83" s="206">
        <v>12171</v>
      </c>
      <c r="H83" s="206">
        <v>7365</v>
      </c>
      <c r="I83" s="206">
        <v>34978</v>
      </c>
      <c r="J83" s="206">
        <v>25738</v>
      </c>
      <c r="K83" s="206">
        <v>31575</v>
      </c>
      <c r="L83" s="206">
        <v>9691</v>
      </c>
      <c r="M83" s="206">
        <v>6276</v>
      </c>
      <c r="N83" s="206">
        <v>7916</v>
      </c>
      <c r="O83" s="206">
        <v>13645</v>
      </c>
      <c r="P83" s="206">
        <v>16766</v>
      </c>
      <c r="Q83" s="206">
        <v>4659</v>
      </c>
      <c r="R83" s="206">
        <v>5332</v>
      </c>
      <c r="S83" s="206">
        <v>2700</v>
      </c>
      <c r="T83" s="206">
        <v>7768</v>
      </c>
      <c r="U83" s="206">
        <v>8175</v>
      </c>
      <c r="V83" s="206">
        <v>4289</v>
      </c>
      <c r="W83" s="206">
        <v>3986</v>
      </c>
      <c r="X83" s="206">
        <v>5700</v>
      </c>
      <c r="Y83" s="206">
        <v>1931</v>
      </c>
      <c r="Z83" s="206">
        <v>5646</v>
      </c>
      <c r="AA83" s="206">
        <v>3607</v>
      </c>
      <c r="AB83" s="1">
        <v>5870</v>
      </c>
      <c r="AC83" s="1">
        <v>0</v>
      </c>
      <c r="AD83" s="1">
        <v>0</v>
      </c>
      <c r="AE83" s="1">
        <v>0</v>
      </c>
    </row>
    <row r="84" spans="1:31" x14ac:dyDescent="0.2">
      <c r="A84" s="1" t="s">
        <v>30</v>
      </c>
      <c r="B84" s="6" t="s">
        <v>113</v>
      </c>
      <c r="C84" s="6" t="s">
        <v>113</v>
      </c>
      <c r="D84" s="7">
        <v>4062279</v>
      </c>
      <c r="E84" s="206" t="s">
        <v>123</v>
      </c>
      <c r="F84" s="206" t="s">
        <v>123</v>
      </c>
      <c r="G84" s="206" t="s">
        <v>123</v>
      </c>
      <c r="H84" s="206" t="s">
        <v>123</v>
      </c>
      <c r="I84" s="206">
        <v>1784</v>
      </c>
      <c r="J84" s="206">
        <v>2602</v>
      </c>
      <c r="K84" s="206">
        <v>1329</v>
      </c>
      <c r="L84" s="206">
        <v>1202</v>
      </c>
      <c r="M84" s="206">
        <v>1026</v>
      </c>
      <c r="N84" s="206">
        <v>395</v>
      </c>
      <c r="O84" s="206">
        <v>1928</v>
      </c>
      <c r="P84" s="206">
        <v>1473</v>
      </c>
      <c r="Q84" s="206">
        <v>1165</v>
      </c>
      <c r="R84" s="206">
        <v>1125</v>
      </c>
      <c r="S84" s="206">
        <v>4746</v>
      </c>
      <c r="T84" s="206">
        <v>2027</v>
      </c>
      <c r="U84" s="206">
        <v>4723</v>
      </c>
      <c r="V84" s="206">
        <v>3956</v>
      </c>
      <c r="W84" s="206">
        <v>2341</v>
      </c>
      <c r="X84" s="206">
        <v>6222</v>
      </c>
      <c r="Y84" s="206">
        <v>967</v>
      </c>
      <c r="Z84" s="206">
        <v>2738</v>
      </c>
      <c r="AA84" s="206" t="s">
        <v>123</v>
      </c>
      <c r="AB84" s="1">
        <v>3525</v>
      </c>
      <c r="AC84" s="1">
        <v>0</v>
      </c>
      <c r="AD84" s="1">
        <v>0</v>
      </c>
      <c r="AE84" s="1">
        <v>0</v>
      </c>
    </row>
    <row r="85" spans="1:31" x14ac:dyDescent="0.2">
      <c r="A85" s="1" t="s">
        <v>30</v>
      </c>
      <c r="B85" s="6" t="s">
        <v>114</v>
      </c>
      <c r="C85" s="6" t="s">
        <v>114</v>
      </c>
      <c r="D85" s="7">
        <v>4063729</v>
      </c>
      <c r="E85" s="206" t="s">
        <v>123</v>
      </c>
      <c r="F85" s="206" t="s">
        <v>123</v>
      </c>
      <c r="G85" s="206" t="s">
        <v>123</v>
      </c>
      <c r="H85" s="206" t="s">
        <v>123</v>
      </c>
      <c r="I85" s="206">
        <v>1405</v>
      </c>
      <c r="J85" s="206">
        <v>1635</v>
      </c>
      <c r="K85" s="206">
        <v>2032</v>
      </c>
      <c r="L85" s="206">
        <v>1422</v>
      </c>
      <c r="M85" s="206">
        <v>1274</v>
      </c>
      <c r="N85" s="206">
        <v>1309</v>
      </c>
      <c r="O85" s="206">
        <v>783</v>
      </c>
      <c r="P85" s="206">
        <v>1324</v>
      </c>
      <c r="Q85" s="206">
        <v>1027</v>
      </c>
      <c r="R85" s="206">
        <v>1076</v>
      </c>
      <c r="S85" s="206">
        <v>1510</v>
      </c>
      <c r="T85" s="206">
        <v>1043</v>
      </c>
      <c r="U85" s="206">
        <v>518</v>
      </c>
      <c r="V85" s="206">
        <v>541</v>
      </c>
      <c r="W85" s="206">
        <v>620</v>
      </c>
      <c r="X85" s="206">
        <v>435</v>
      </c>
      <c r="Y85" s="206">
        <v>411</v>
      </c>
      <c r="Z85" s="206">
        <v>631</v>
      </c>
      <c r="AA85" s="206">
        <v>414</v>
      </c>
      <c r="AB85" s="1" t="s">
        <v>123</v>
      </c>
      <c r="AC85" s="1" t="s">
        <v>123</v>
      </c>
      <c r="AD85" s="1">
        <v>0</v>
      </c>
      <c r="AE85" s="1">
        <v>0</v>
      </c>
    </row>
    <row r="86" spans="1:31" x14ac:dyDescent="0.2">
      <c r="B86" s="6" t="s">
        <v>115</v>
      </c>
      <c r="C86" s="6" t="s">
        <v>115</v>
      </c>
      <c r="D86" s="7">
        <v>4063762</v>
      </c>
      <c r="E86" s="206">
        <v>5003.6030000000001</v>
      </c>
      <c r="F86" s="206">
        <v>3918</v>
      </c>
      <c r="G86" s="206">
        <v>7479</v>
      </c>
      <c r="H86" s="206">
        <v>4497</v>
      </c>
      <c r="I86" s="206">
        <v>3557</v>
      </c>
      <c r="J86" s="206">
        <v>3917</v>
      </c>
      <c r="K86" s="206">
        <v>2324</v>
      </c>
      <c r="L86" s="206">
        <v>2255</v>
      </c>
      <c r="M86" s="206">
        <v>1613</v>
      </c>
      <c r="N86" s="206">
        <v>2475</v>
      </c>
      <c r="O86" s="206">
        <v>1058</v>
      </c>
      <c r="P86" s="206">
        <v>637</v>
      </c>
      <c r="Q86" s="206">
        <v>6993</v>
      </c>
      <c r="R86" s="206">
        <v>2917</v>
      </c>
      <c r="S86" s="206">
        <v>7006</v>
      </c>
      <c r="T86" s="206">
        <v>5020</v>
      </c>
      <c r="U86" s="206">
        <v>1322</v>
      </c>
      <c r="V86" s="206">
        <v>950</v>
      </c>
      <c r="W86" s="206">
        <v>574</v>
      </c>
      <c r="X86" s="206">
        <v>1174</v>
      </c>
      <c r="Y86" s="206">
        <v>6</v>
      </c>
      <c r="Z86" s="206">
        <v>1941</v>
      </c>
      <c r="AA86" s="206">
        <v>1061</v>
      </c>
      <c r="AB86" s="1">
        <v>579</v>
      </c>
      <c r="AC86" s="1">
        <v>0</v>
      </c>
      <c r="AD86" s="1">
        <v>0</v>
      </c>
      <c r="AE86" s="1" t="s">
        <v>123</v>
      </c>
    </row>
    <row r="87" spans="1:31" x14ac:dyDescent="0.2">
      <c r="B87" s="6" t="s">
        <v>116</v>
      </c>
      <c r="C87" s="6" t="s">
        <v>116</v>
      </c>
      <c r="D87" s="7">
        <v>4058284</v>
      </c>
      <c r="E87" s="206">
        <v>7320.7020000000002</v>
      </c>
      <c r="F87" s="206">
        <v>18917</v>
      </c>
      <c r="G87" s="206">
        <v>34697</v>
      </c>
      <c r="H87" s="206">
        <v>30019</v>
      </c>
      <c r="I87" s="206">
        <v>34208</v>
      </c>
      <c r="J87" s="206">
        <v>19738</v>
      </c>
      <c r="K87" s="206">
        <v>13293</v>
      </c>
      <c r="L87" s="206">
        <v>23700</v>
      </c>
      <c r="M87" s="206">
        <v>12418</v>
      </c>
      <c r="N87" s="206">
        <v>118470</v>
      </c>
      <c r="O87" s="206">
        <v>13683</v>
      </c>
      <c r="P87" s="206">
        <v>25944</v>
      </c>
      <c r="Q87" s="206">
        <v>21063</v>
      </c>
      <c r="R87" s="206">
        <v>14261</v>
      </c>
      <c r="S87" s="206">
        <v>121039</v>
      </c>
      <c r="T87" s="206">
        <v>14571</v>
      </c>
      <c r="U87" s="206">
        <v>17310</v>
      </c>
      <c r="V87" s="206">
        <v>11970</v>
      </c>
      <c r="W87" s="206">
        <v>18678</v>
      </c>
      <c r="X87" s="206">
        <v>7224</v>
      </c>
      <c r="Y87" s="206">
        <v>11529</v>
      </c>
      <c r="Z87" s="206">
        <v>14941</v>
      </c>
      <c r="AA87" s="206">
        <v>4581</v>
      </c>
      <c r="AB87" s="1">
        <v>7904</v>
      </c>
      <c r="AC87" s="1">
        <v>0</v>
      </c>
      <c r="AD87" s="1">
        <v>0</v>
      </c>
      <c r="AE87" s="1">
        <v>0</v>
      </c>
    </row>
    <row r="88" spans="1:31" x14ac:dyDescent="0.2">
      <c r="B88" s="6" t="s">
        <v>117</v>
      </c>
      <c r="C88" s="6" t="s">
        <v>117</v>
      </c>
      <c r="D88" s="7">
        <v>4008752</v>
      </c>
      <c r="E88" s="206">
        <v>12412</v>
      </c>
      <c r="F88" s="206">
        <v>18157</v>
      </c>
      <c r="G88" s="206">
        <v>12830</v>
      </c>
      <c r="H88" s="206">
        <v>12771</v>
      </c>
      <c r="I88" s="206">
        <v>12465</v>
      </c>
      <c r="J88" s="206">
        <v>9813</v>
      </c>
      <c r="K88" s="206">
        <v>6002</v>
      </c>
      <c r="L88" s="206">
        <v>12371</v>
      </c>
      <c r="M88" s="206">
        <v>10433</v>
      </c>
      <c r="N88" s="206">
        <v>8025</v>
      </c>
      <c r="O88" s="206">
        <v>4573</v>
      </c>
      <c r="P88" s="206">
        <v>4687</v>
      </c>
      <c r="Q88" s="206">
        <v>6339</v>
      </c>
      <c r="R88" s="206">
        <v>17959</v>
      </c>
      <c r="S88" s="206">
        <v>8111</v>
      </c>
      <c r="T88" s="206">
        <v>20381</v>
      </c>
      <c r="U88" s="206">
        <v>8474</v>
      </c>
      <c r="V88" s="206">
        <v>2025</v>
      </c>
      <c r="W88" s="206">
        <v>6585</v>
      </c>
      <c r="X88" s="206">
        <v>7169</v>
      </c>
      <c r="Y88" s="206">
        <v>6933</v>
      </c>
      <c r="Z88" s="206">
        <v>4365</v>
      </c>
      <c r="AA88" s="206">
        <v>8739</v>
      </c>
      <c r="AB88" s="1">
        <v>4660</v>
      </c>
      <c r="AC88" s="1">
        <v>0</v>
      </c>
      <c r="AD88" s="1">
        <v>0</v>
      </c>
      <c r="AE88" s="1">
        <v>0</v>
      </c>
    </row>
    <row r="89" spans="1:31" x14ac:dyDescent="0.2">
      <c r="B89" s="6" t="s">
        <v>118</v>
      </c>
      <c r="C89" s="6" t="s">
        <v>118</v>
      </c>
      <c r="D89" s="7">
        <v>4008669</v>
      </c>
      <c r="E89" s="206">
        <v>2165</v>
      </c>
      <c r="F89" s="206">
        <v>2244</v>
      </c>
      <c r="G89" s="206">
        <v>3313</v>
      </c>
      <c r="H89" s="206">
        <v>1505</v>
      </c>
      <c r="I89" s="206">
        <v>1526</v>
      </c>
      <c r="J89" s="206">
        <v>3890</v>
      </c>
      <c r="K89" s="206">
        <v>914</v>
      </c>
      <c r="L89" s="206">
        <v>641</v>
      </c>
      <c r="M89" s="206">
        <v>347</v>
      </c>
      <c r="N89" s="206">
        <v>383</v>
      </c>
      <c r="O89" s="206">
        <v>157</v>
      </c>
      <c r="P89" s="206">
        <v>294</v>
      </c>
      <c r="Q89" s="206">
        <v>519</v>
      </c>
      <c r="R89" s="206">
        <v>636</v>
      </c>
      <c r="S89" s="206">
        <v>41</v>
      </c>
      <c r="T89" s="206" t="s">
        <v>123</v>
      </c>
      <c r="U89" s="206">
        <v>604</v>
      </c>
      <c r="V89" s="206">
        <v>738</v>
      </c>
      <c r="W89" s="206">
        <v>314</v>
      </c>
      <c r="X89" s="206">
        <v>278</v>
      </c>
      <c r="Y89" s="206">
        <v>974</v>
      </c>
      <c r="Z89" s="206">
        <v>1691</v>
      </c>
      <c r="AA89" s="206">
        <v>4181</v>
      </c>
      <c r="AB89" s="1">
        <v>199</v>
      </c>
      <c r="AC89" s="1">
        <v>0</v>
      </c>
      <c r="AD89" s="1">
        <v>0</v>
      </c>
      <c r="AE89" s="1">
        <v>0</v>
      </c>
    </row>
    <row r="90" spans="1:31" x14ac:dyDescent="0.2">
      <c r="B90" s="6" t="s">
        <v>119</v>
      </c>
      <c r="C90" s="6" t="s">
        <v>120</v>
      </c>
      <c r="D90" s="7">
        <v>4076892</v>
      </c>
      <c r="E90" s="206" t="s">
        <v>123</v>
      </c>
      <c r="F90" s="206">
        <v>7</v>
      </c>
      <c r="G90" s="206">
        <v>196</v>
      </c>
      <c r="H90" s="206">
        <v>39</v>
      </c>
      <c r="I90" s="206">
        <v>65</v>
      </c>
      <c r="J90" s="206">
        <v>349</v>
      </c>
      <c r="K90" s="206">
        <v>125</v>
      </c>
      <c r="L90" s="206">
        <v>173</v>
      </c>
      <c r="M90" s="206">
        <v>60</v>
      </c>
      <c r="N90" s="206">
        <v>101</v>
      </c>
      <c r="O90" s="206">
        <v>31</v>
      </c>
      <c r="P90" s="206">
        <v>26</v>
      </c>
      <c r="Q90" s="206">
        <v>166</v>
      </c>
      <c r="R90" s="206">
        <v>403</v>
      </c>
      <c r="S90" s="206">
        <v>27</v>
      </c>
      <c r="T90" s="206">
        <v>150</v>
      </c>
      <c r="U90" s="206">
        <v>89</v>
      </c>
      <c r="V90" s="206">
        <v>-17</v>
      </c>
      <c r="W90" s="206">
        <v>56</v>
      </c>
      <c r="X90" s="206">
        <v>39</v>
      </c>
      <c r="Y90" s="206" t="s">
        <v>123</v>
      </c>
      <c r="Z90" s="206" t="s">
        <v>123</v>
      </c>
      <c r="AA90" s="206" t="s">
        <v>123</v>
      </c>
      <c r="AB90" s="1" t="s">
        <v>123</v>
      </c>
      <c r="AC90" s="1" t="s">
        <v>123</v>
      </c>
      <c r="AD90" s="1" t="s">
        <v>123</v>
      </c>
      <c r="AE90" s="1" t="s">
        <v>123</v>
      </c>
    </row>
    <row r="91" spans="1:31" x14ac:dyDescent="0.2">
      <c r="A91" s="1" t="s">
        <v>30</v>
      </c>
      <c r="B91" s="6" t="s">
        <v>121</v>
      </c>
      <c r="C91" s="6" t="s">
        <v>122</v>
      </c>
      <c r="D91" s="7">
        <v>4064141</v>
      </c>
      <c r="E91" s="206">
        <v>8700</v>
      </c>
      <c r="F91" s="206">
        <v>8529</v>
      </c>
      <c r="G91" s="206">
        <v>6239</v>
      </c>
      <c r="H91" s="206">
        <v>6409</v>
      </c>
      <c r="I91" s="206">
        <v>7080</v>
      </c>
      <c r="J91" s="206">
        <v>9030</v>
      </c>
      <c r="K91" s="206">
        <v>1606</v>
      </c>
      <c r="L91" s="206">
        <v>3490</v>
      </c>
      <c r="M91" s="206">
        <v>2368</v>
      </c>
      <c r="N91" s="206">
        <v>4641</v>
      </c>
      <c r="O91" s="206">
        <v>10375</v>
      </c>
      <c r="P91" s="206">
        <v>3552</v>
      </c>
      <c r="Q91" s="206">
        <v>2650</v>
      </c>
      <c r="R91" s="206">
        <v>3677</v>
      </c>
      <c r="S91" s="206">
        <v>1948</v>
      </c>
      <c r="T91" s="206">
        <v>2149</v>
      </c>
      <c r="U91" s="206">
        <v>186</v>
      </c>
      <c r="V91" s="206">
        <v>993</v>
      </c>
      <c r="W91" s="206">
        <v>13854</v>
      </c>
      <c r="X91" s="206">
        <v>6338</v>
      </c>
      <c r="Y91" s="206">
        <v>4715</v>
      </c>
      <c r="Z91" s="206">
        <v>2393</v>
      </c>
      <c r="AA91" s="206">
        <v>28270</v>
      </c>
      <c r="AB91" s="1">
        <v>1807</v>
      </c>
      <c r="AC91" s="1">
        <v>0</v>
      </c>
      <c r="AD91" s="1">
        <v>0</v>
      </c>
      <c r="AE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AAE7-AE93-4CBE-8FD5-9CA204333E75}">
  <dimension ref="A3:AD91"/>
  <sheetViews>
    <sheetView zoomScale="70" zoomScaleNormal="70" workbookViewId="0">
      <selection sqref="A1:XFD1048576"/>
    </sheetView>
  </sheetViews>
  <sheetFormatPr defaultRowHeight="12.75" x14ac:dyDescent="0.2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30" width="17.5703125" style="1" customWidth="1"/>
    <col min="31" max="16384" width="9.140625" style="1"/>
  </cols>
  <sheetData>
    <row r="3" spans="1:30" ht="51" x14ac:dyDescent="0.2">
      <c r="E3" s="9" t="s">
        <v>335</v>
      </c>
      <c r="F3" s="9" t="s">
        <v>335</v>
      </c>
      <c r="G3" s="9" t="s">
        <v>335</v>
      </c>
      <c r="H3" s="9" t="s">
        <v>335</v>
      </c>
      <c r="I3" s="9" t="s">
        <v>335</v>
      </c>
      <c r="J3" s="9" t="s">
        <v>335</v>
      </c>
      <c r="K3" s="9" t="s">
        <v>335</v>
      </c>
      <c r="L3" s="9" t="s">
        <v>335</v>
      </c>
      <c r="M3" s="9" t="s">
        <v>335</v>
      </c>
      <c r="N3" s="9" t="s">
        <v>335</v>
      </c>
      <c r="O3" s="9" t="s">
        <v>335</v>
      </c>
      <c r="P3" s="9" t="s">
        <v>335</v>
      </c>
      <c r="Q3" s="9" t="s">
        <v>335</v>
      </c>
      <c r="R3" s="9" t="s">
        <v>335</v>
      </c>
      <c r="S3" s="9" t="s">
        <v>335</v>
      </c>
      <c r="T3" s="9" t="s">
        <v>335</v>
      </c>
      <c r="U3" s="9" t="s">
        <v>335</v>
      </c>
      <c r="V3" s="9" t="s">
        <v>335</v>
      </c>
      <c r="W3" s="9" t="s">
        <v>335</v>
      </c>
      <c r="X3" s="9" t="s">
        <v>335</v>
      </c>
      <c r="Y3" s="9" t="s">
        <v>335</v>
      </c>
      <c r="Z3" s="9" t="s">
        <v>335</v>
      </c>
      <c r="AA3" s="9" t="s">
        <v>335</v>
      </c>
      <c r="AB3" s="9" t="s">
        <v>335</v>
      </c>
      <c r="AC3" s="9" t="s">
        <v>335</v>
      </c>
      <c r="AD3" s="9" t="s">
        <v>335</v>
      </c>
    </row>
    <row r="4" spans="1:30" ht="38.25" x14ac:dyDescent="0.2">
      <c r="B4" s="2"/>
      <c r="C4" s="2"/>
      <c r="D4" s="2"/>
      <c r="E4" s="9" t="s">
        <v>336</v>
      </c>
      <c r="F4" s="9" t="s">
        <v>336</v>
      </c>
      <c r="G4" s="9" t="s">
        <v>336</v>
      </c>
      <c r="H4" s="9" t="s">
        <v>336</v>
      </c>
      <c r="I4" s="9" t="s">
        <v>336</v>
      </c>
      <c r="J4" s="9" t="s">
        <v>336</v>
      </c>
      <c r="K4" s="9" t="s">
        <v>336</v>
      </c>
      <c r="L4" s="9" t="s">
        <v>336</v>
      </c>
      <c r="M4" s="9" t="s">
        <v>336</v>
      </c>
      <c r="N4" s="9" t="s">
        <v>336</v>
      </c>
      <c r="O4" s="9" t="s">
        <v>336</v>
      </c>
      <c r="P4" s="9" t="s">
        <v>336</v>
      </c>
      <c r="Q4" s="9" t="s">
        <v>336</v>
      </c>
      <c r="R4" s="9" t="s">
        <v>336</v>
      </c>
      <c r="S4" s="9" t="s">
        <v>336</v>
      </c>
      <c r="T4" s="9" t="s">
        <v>336</v>
      </c>
      <c r="U4" s="9" t="s">
        <v>336</v>
      </c>
      <c r="V4" s="9" t="s">
        <v>336</v>
      </c>
      <c r="W4" s="9" t="s">
        <v>336</v>
      </c>
      <c r="X4" s="9" t="s">
        <v>336</v>
      </c>
      <c r="Y4" s="9" t="s">
        <v>336</v>
      </c>
      <c r="Z4" s="9" t="s">
        <v>336</v>
      </c>
      <c r="AA4" s="9" t="s">
        <v>336</v>
      </c>
      <c r="AB4" s="9" t="s">
        <v>336</v>
      </c>
      <c r="AC4" s="9" t="s">
        <v>336</v>
      </c>
      <c r="AD4" s="9" t="s">
        <v>336</v>
      </c>
    </row>
    <row r="5" spans="1:30" x14ac:dyDescent="0.2">
      <c r="A5" s="3" t="s">
        <v>0</v>
      </c>
      <c r="B5" s="4" t="s">
        <v>1</v>
      </c>
      <c r="C5" s="4" t="s">
        <v>2</v>
      </c>
      <c r="D5" s="5" t="s">
        <v>3</v>
      </c>
      <c r="E5" s="9" t="s">
        <v>26</v>
      </c>
      <c r="F5" s="9" t="s">
        <v>25</v>
      </c>
      <c r="G5" s="9" t="s">
        <v>24</v>
      </c>
      <c r="H5" s="9" t="s">
        <v>23</v>
      </c>
      <c r="I5" s="9" t="s">
        <v>22</v>
      </c>
      <c r="J5" s="9" t="s">
        <v>21</v>
      </c>
      <c r="K5" s="9" t="s">
        <v>20</v>
      </c>
      <c r="L5" s="9" t="s">
        <v>19</v>
      </c>
      <c r="M5" s="9" t="s">
        <v>18</v>
      </c>
      <c r="N5" s="9" t="s">
        <v>17</v>
      </c>
      <c r="O5" s="9" t="s">
        <v>16</v>
      </c>
      <c r="P5" s="9" t="s">
        <v>15</v>
      </c>
      <c r="Q5" s="9" t="s">
        <v>14</v>
      </c>
      <c r="R5" s="9" t="s">
        <v>13</v>
      </c>
      <c r="S5" s="9" t="s">
        <v>12</v>
      </c>
      <c r="T5" s="9" t="s">
        <v>11</v>
      </c>
      <c r="U5" s="9" t="s">
        <v>10</v>
      </c>
      <c r="V5" s="9" t="s">
        <v>9</v>
      </c>
      <c r="W5" s="9" t="s">
        <v>8</v>
      </c>
      <c r="X5" s="9" t="s">
        <v>7</v>
      </c>
      <c r="Y5" s="9" t="s">
        <v>6</v>
      </c>
      <c r="Z5" s="9" t="s">
        <v>5</v>
      </c>
      <c r="AA5" s="9" t="s">
        <v>4</v>
      </c>
      <c r="AB5" s="9" t="s">
        <v>321</v>
      </c>
      <c r="AC5" s="9" t="s">
        <v>322</v>
      </c>
      <c r="AD5" s="9" t="s">
        <v>323</v>
      </c>
    </row>
    <row r="6" spans="1:30" x14ac:dyDescent="0.2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15" x14ac:dyDescent="0.2">
      <c r="B7" s="6" t="s">
        <v>27</v>
      </c>
      <c r="C7" s="6" t="s">
        <v>27</v>
      </c>
      <c r="D7" s="7">
        <v>4058513</v>
      </c>
      <c r="E7" s="208" t="s">
        <v>123</v>
      </c>
      <c r="F7" s="208" t="s">
        <v>123</v>
      </c>
      <c r="G7" s="208" t="s">
        <v>123</v>
      </c>
      <c r="H7" s="208">
        <v>171991</v>
      </c>
      <c r="I7" s="208">
        <v>162938</v>
      </c>
      <c r="J7" s="208">
        <v>158311</v>
      </c>
      <c r="K7" s="208">
        <v>154220</v>
      </c>
      <c r="L7" s="208">
        <v>148665</v>
      </c>
      <c r="M7" s="208">
        <v>144259</v>
      </c>
      <c r="N7" s="208">
        <v>141147</v>
      </c>
      <c r="O7" s="208">
        <v>138795</v>
      </c>
      <c r="P7" s="208">
        <v>134378</v>
      </c>
      <c r="Q7" s="208">
        <v>132882</v>
      </c>
      <c r="R7" s="208">
        <v>130341</v>
      </c>
      <c r="S7" s="208">
        <v>126430</v>
      </c>
      <c r="T7" s="208">
        <v>123874</v>
      </c>
      <c r="U7" s="208">
        <v>121926</v>
      </c>
      <c r="V7" s="208">
        <v>119757</v>
      </c>
      <c r="W7" s="208">
        <v>118322</v>
      </c>
      <c r="X7" s="208">
        <v>116241</v>
      </c>
      <c r="Y7" s="208">
        <v>113224</v>
      </c>
      <c r="Z7" s="208">
        <v>110266</v>
      </c>
      <c r="AA7" s="208">
        <v>105703</v>
      </c>
      <c r="AB7" s="208">
        <v>102269</v>
      </c>
      <c r="AC7" s="208">
        <v>99852</v>
      </c>
      <c r="AD7" s="208">
        <v>96814</v>
      </c>
    </row>
    <row r="8" spans="1:30" ht="15" x14ac:dyDescent="0.2">
      <c r="B8" s="6" t="s">
        <v>28</v>
      </c>
      <c r="C8" s="6" t="s">
        <v>28</v>
      </c>
      <c r="D8" s="7">
        <v>4054707</v>
      </c>
      <c r="E8" s="208">
        <v>6085062</v>
      </c>
      <c r="F8" s="208">
        <v>5764448</v>
      </c>
      <c r="G8" s="208">
        <v>5503634</v>
      </c>
      <c r="H8" s="208">
        <v>5115635</v>
      </c>
      <c r="I8" s="208">
        <v>4807217</v>
      </c>
      <c r="J8" s="208">
        <v>4540737</v>
      </c>
      <c r="K8" s="208">
        <v>4317812</v>
      </c>
      <c r="L8" s="208">
        <v>3919337</v>
      </c>
      <c r="M8" s="208">
        <v>3743270</v>
      </c>
      <c r="N8" s="208">
        <v>3528606</v>
      </c>
      <c r="O8" s="208">
        <v>3295139</v>
      </c>
      <c r="P8" s="208">
        <v>3183220</v>
      </c>
      <c r="Q8" s="208">
        <v>2999552</v>
      </c>
      <c r="R8" s="208">
        <v>2891038</v>
      </c>
      <c r="S8" s="208">
        <v>2810072</v>
      </c>
      <c r="T8" s="208">
        <v>2660148</v>
      </c>
      <c r="U8" s="208">
        <v>2498082</v>
      </c>
      <c r="V8" s="208">
        <v>2383275</v>
      </c>
      <c r="W8" s="208">
        <v>2342998</v>
      </c>
      <c r="X8" s="208">
        <v>2225079</v>
      </c>
      <c r="Y8" s="208">
        <v>2151209</v>
      </c>
      <c r="Z8" s="208">
        <v>2075197</v>
      </c>
      <c r="AA8" s="208">
        <v>1945628</v>
      </c>
      <c r="AB8" s="208">
        <v>1885348</v>
      </c>
      <c r="AC8" s="208">
        <v>1796080</v>
      </c>
      <c r="AD8" s="208">
        <v>1761784</v>
      </c>
    </row>
    <row r="9" spans="1:30" ht="15" x14ac:dyDescent="0.2">
      <c r="B9" s="6" t="s">
        <v>29</v>
      </c>
      <c r="C9" s="6" t="s">
        <v>29</v>
      </c>
      <c r="D9" s="7">
        <v>4057075</v>
      </c>
      <c r="E9" s="208">
        <v>1410776</v>
      </c>
      <c r="F9" s="208">
        <v>1330407</v>
      </c>
      <c r="G9" s="208">
        <v>1238295</v>
      </c>
      <c r="H9" s="208">
        <v>1125744</v>
      </c>
      <c r="I9" s="208">
        <v>1041400</v>
      </c>
      <c r="J9" s="208">
        <v>963386</v>
      </c>
      <c r="K9" s="208">
        <v>890729</v>
      </c>
      <c r="L9" s="208">
        <v>838783</v>
      </c>
      <c r="M9" s="208">
        <v>777970</v>
      </c>
      <c r="N9" s="208">
        <v>754450</v>
      </c>
      <c r="O9" s="208">
        <v>713747</v>
      </c>
      <c r="P9" s="208">
        <v>690243</v>
      </c>
      <c r="Q9" s="208">
        <v>657628</v>
      </c>
      <c r="R9" s="208">
        <v>586429</v>
      </c>
      <c r="S9" s="208">
        <v>540893</v>
      </c>
      <c r="T9" s="208">
        <v>507311</v>
      </c>
      <c r="U9" s="208">
        <v>505139</v>
      </c>
      <c r="V9" s="208">
        <v>484721</v>
      </c>
      <c r="W9" s="208">
        <v>464916</v>
      </c>
      <c r="X9" s="208">
        <v>449131</v>
      </c>
      <c r="Y9" s="208">
        <v>433708</v>
      </c>
      <c r="Z9" s="208">
        <v>409109</v>
      </c>
      <c r="AA9" s="208">
        <v>389159</v>
      </c>
      <c r="AB9" s="208">
        <v>339342</v>
      </c>
      <c r="AC9" s="208">
        <v>337290</v>
      </c>
      <c r="AD9" s="208">
        <v>307748</v>
      </c>
    </row>
    <row r="10" spans="1:30" ht="15" x14ac:dyDescent="0.2">
      <c r="A10" s="1" t="s">
        <v>30</v>
      </c>
      <c r="B10" s="6" t="s">
        <v>31</v>
      </c>
      <c r="C10" s="6" t="s">
        <v>31</v>
      </c>
      <c r="D10" s="7">
        <v>4007784</v>
      </c>
      <c r="E10" s="208">
        <v>3315349</v>
      </c>
      <c r="F10" s="208">
        <v>2999048</v>
      </c>
      <c r="G10" s="208">
        <v>2629899</v>
      </c>
      <c r="H10" s="208">
        <v>2379557</v>
      </c>
      <c r="I10" s="208">
        <v>2180103</v>
      </c>
      <c r="J10" s="208">
        <v>1950770</v>
      </c>
      <c r="K10" s="208">
        <v>1761067</v>
      </c>
      <c r="L10" s="208">
        <v>1659871</v>
      </c>
      <c r="M10" s="208">
        <v>1548272</v>
      </c>
      <c r="N10" s="208">
        <v>1386906</v>
      </c>
      <c r="O10" s="208">
        <v>1322988</v>
      </c>
      <c r="P10" s="208">
        <v>1260575</v>
      </c>
      <c r="Q10" s="208">
        <v>1221125</v>
      </c>
      <c r="R10" s="208">
        <v>1181716</v>
      </c>
      <c r="S10" s="208">
        <v>1148276</v>
      </c>
      <c r="T10" s="208">
        <v>1116646</v>
      </c>
      <c r="U10" s="208">
        <v>1086684</v>
      </c>
      <c r="V10" s="208">
        <v>1064706</v>
      </c>
      <c r="W10" s="208">
        <v>1041004</v>
      </c>
      <c r="X10" s="208">
        <v>1014403</v>
      </c>
      <c r="Y10" s="208">
        <v>988386</v>
      </c>
      <c r="Z10" s="208">
        <v>961983</v>
      </c>
      <c r="AA10" s="208">
        <v>921284</v>
      </c>
      <c r="AB10" s="208">
        <v>846881</v>
      </c>
      <c r="AC10" s="208">
        <v>776973</v>
      </c>
      <c r="AD10" s="208">
        <v>692694</v>
      </c>
    </row>
    <row r="11" spans="1:30" ht="15" x14ac:dyDescent="0.2">
      <c r="A11" s="1" t="s">
        <v>30</v>
      </c>
      <c r="B11" s="6" t="s">
        <v>32</v>
      </c>
      <c r="C11" s="6" t="s">
        <v>33</v>
      </c>
      <c r="D11" s="7">
        <v>4058656</v>
      </c>
      <c r="E11" s="208">
        <v>2428164</v>
      </c>
      <c r="F11" s="208">
        <v>2370252</v>
      </c>
      <c r="G11" s="208">
        <v>2044322</v>
      </c>
      <c r="H11" s="208">
        <v>1931657</v>
      </c>
      <c r="I11" s="208">
        <v>1827175</v>
      </c>
      <c r="J11" s="208">
        <v>1714327</v>
      </c>
      <c r="K11" s="208">
        <v>1658954</v>
      </c>
      <c r="L11" s="208">
        <v>1571897</v>
      </c>
      <c r="M11" s="208">
        <v>1553421</v>
      </c>
      <c r="N11" s="208">
        <v>1473540</v>
      </c>
      <c r="O11" s="208">
        <v>1421514</v>
      </c>
      <c r="P11" s="208">
        <v>1409410</v>
      </c>
      <c r="Q11" s="208">
        <v>1366498</v>
      </c>
      <c r="R11" s="208">
        <v>1320872</v>
      </c>
      <c r="S11" s="208">
        <v>1271491</v>
      </c>
      <c r="T11" s="208">
        <v>1228411</v>
      </c>
      <c r="U11" s="208">
        <v>1204671</v>
      </c>
      <c r="V11" s="208">
        <v>1181472</v>
      </c>
      <c r="W11" s="208">
        <v>1152683</v>
      </c>
      <c r="X11" s="208">
        <v>1125030</v>
      </c>
      <c r="Y11" s="208">
        <v>1108201</v>
      </c>
      <c r="Z11" s="208">
        <v>1095128</v>
      </c>
      <c r="AA11" s="208">
        <v>598364</v>
      </c>
      <c r="AB11" s="208">
        <v>566959</v>
      </c>
      <c r="AC11" s="208">
        <v>565303</v>
      </c>
      <c r="AD11" s="208" t="s">
        <v>123</v>
      </c>
    </row>
    <row r="12" spans="1:30" ht="15" x14ac:dyDescent="0.2">
      <c r="A12" s="1" t="s">
        <v>30</v>
      </c>
      <c r="B12" s="6" t="s">
        <v>34</v>
      </c>
      <c r="C12" s="6" t="s">
        <v>35</v>
      </c>
      <c r="D12" s="7">
        <v>4057110</v>
      </c>
      <c r="E12" s="208">
        <v>345746</v>
      </c>
      <c r="F12" s="208">
        <v>329128</v>
      </c>
      <c r="G12" s="208">
        <v>314779</v>
      </c>
      <c r="H12" s="208">
        <v>292027</v>
      </c>
      <c r="I12" s="208">
        <v>275012</v>
      </c>
      <c r="J12" s="208">
        <v>256842</v>
      </c>
      <c r="K12" s="208">
        <v>248536</v>
      </c>
      <c r="L12" s="208">
        <v>239032</v>
      </c>
      <c r="M12" s="208">
        <v>225627</v>
      </c>
      <c r="N12" s="208">
        <v>219384</v>
      </c>
      <c r="O12" s="208">
        <v>212292</v>
      </c>
      <c r="P12" s="208">
        <v>218341</v>
      </c>
      <c r="Q12" s="208">
        <v>215556</v>
      </c>
      <c r="R12" s="208">
        <v>212342</v>
      </c>
      <c r="S12" s="208">
        <v>208876</v>
      </c>
      <c r="T12" s="208">
        <v>201694</v>
      </c>
      <c r="U12" s="208">
        <v>198123</v>
      </c>
      <c r="V12" s="208">
        <v>196086</v>
      </c>
      <c r="W12" s="208">
        <v>193918</v>
      </c>
      <c r="X12" s="208">
        <v>190849</v>
      </c>
      <c r="Y12" s="208">
        <v>189319</v>
      </c>
      <c r="Z12" s="208">
        <v>112762</v>
      </c>
      <c r="AA12" s="208">
        <v>109652</v>
      </c>
      <c r="AB12" s="208">
        <v>104913</v>
      </c>
      <c r="AC12" s="208">
        <v>99054</v>
      </c>
      <c r="AD12" s="208">
        <v>94287</v>
      </c>
    </row>
    <row r="13" spans="1:30" ht="15" x14ac:dyDescent="0.2">
      <c r="B13" s="6" t="s">
        <v>36</v>
      </c>
      <c r="C13" s="6" t="s">
        <v>36</v>
      </c>
      <c r="D13" s="7">
        <v>4058516</v>
      </c>
      <c r="E13" s="208">
        <v>665683</v>
      </c>
      <c r="F13" s="208">
        <v>593903</v>
      </c>
      <c r="G13" s="208">
        <v>558509</v>
      </c>
      <c r="H13" s="208">
        <v>532620</v>
      </c>
      <c r="I13" s="208">
        <v>474650</v>
      </c>
      <c r="J13" s="208">
        <v>415642</v>
      </c>
      <c r="K13" s="208">
        <v>363263</v>
      </c>
      <c r="L13" s="208">
        <v>319044</v>
      </c>
      <c r="M13" s="208">
        <v>287108</v>
      </c>
      <c r="N13" s="208">
        <v>269752</v>
      </c>
      <c r="O13" s="208">
        <v>257047</v>
      </c>
      <c r="P13" s="208">
        <v>247601</v>
      </c>
      <c r="Q13" s="208">
        <v>241294</v>
      </c>
      <c r="R13" s="208">
        <v>242513</v>
      </c>
      <c r="S13" s="208">
        <v>233057</v>
      </c>
      <c r="T13" s="208">
        <v>223114</v>
      </c>
      <c r="U13" s="208">
        <v>213771</v>
      </c>
      <c r="V13" s="208">
        <v>209920</v>
      </c>
      <c r="W13" s="208">
        <v>202751</v>
      </c>
      <c r="X13" s="208">
        <v>198017</v>
      </c>
      <c r="Y13" s="208">
        <v>195816</v>
      </c>
      <c r="Z13" s="208">
        <v>236101</v>
      </c>
      <c r="AA13" s="208">
        <v>230643</v>
      </c>
      <c r="AB13" s="208">
        <v>222630</v>
      </c>
      <c r="AC13" s="208">
        <v>212664</v>
      </c>
      <c r="AD13" s="208">
        <v>182492</v>
      </c>
    </row>
    <row r="14" spans="1:30" ht="15" x14ac:dyDescent="0.2">
      <c r="B14" s="6" t="s">
        <v>37</v>
      </c>
      <c r="C14" s="6" t="s">
        <v>37</v>
      </c>
      <c r="D14" s="7">
        <v>4058793</v>
      </c>
      <c r="E14" s="208">
        <v>18179</v>
      </c>
      <c r="F14" s="208">
        <v>15979</v>
      </c>
      <c r="G14" s="208">
        <v>14507</v>
      </c>
      <c r="H14" s="208">
        <v>12116</v>
      </c>
      <c r="I14" s="208">
        <v>12416</v>
      </c>
      <c r="J14" s="208">
        <v>11783</v>
      </c>
      <c r="K14" s="208">
        <v>11452</v>
      </c>
      <c r="L14" s="208">
        <v>11239</v>
      </c>
      <c r="M14" s="208">
        <v>10952</v>
      </c>
      <c r="N14" s="208">
        <v>10486</v>
      </c>
      <c r="O14" s="208">
        <v>10165</v>
      </c>
      <c r="P14" s="208">
        <v>9962</v>
      </c>
      <c r="Q14" s="208">
        <v>9530</v>
      </c>
      <c r="R14" s="208">
        <v>9152</v>
      </c>
      <c r="S14" s="208">
        <v>8814</v>
      </c>
      <c r="T14" s="208">
        <v>8596</v>
      </c>
      <c r="U14" s="208">
        <v>8197</v>
      </c>
      <c r="V14" s="208">
        <v>7650</v>
      </c>
      <c r="W14" s="208">
        <v>7188</v>
      </c>
      <c r="X14" s="208">
        <v>6742</v>
      </c>
      <c r="Y14" s="208">
        <v>6220</v>
      </c>
      <c r="Z14" s="208">
        <v>5818</v>
      </c>
      <c r="AA14" s="208">
        <v>5383</v>
      </c>
      <c r="AB14" s="208">
        <v>5116</v>
      </c>
      <c r="AC14" s="208">
        <v>4783</v>
      </c>
      <c r="AD14" s="208">
        <v>4435</v>
      </c>
    </row>
    <row r="15" spans="1:30" ht="15" x14ac:dyDescent="0.2">
      <c r="A15" s="1" t="s">
        <v>30</v>
      </c>
      <c r="B15" s="6" t="s">
        <v>38</v>
      </c>
      <c r="C15" s="6" t="s">
        <v>38</v>
      </c>
      <c r="D15" s="7">
        <v>4057111</v>
      </c>
      <c r="E15" s="208">
        <v>5738300</v>
      </c>
      <c r="F15" s="208">
        <v>5242556</v>
      </c>
      <c r="G15" s="208">
        <v>4866924</v>
      </c>
      <c r="H15" s="208">
        <v>4531059</v>
      </c>
      <c r="I15" s="208">
        <v>4199682</v>
      </c>
      <c r="J15" s="208">
        <v>3903361</v>
      </c>
      <c r="K15" s="208">
        <v>3611562</v>
      </c>
      <c r="L15" s="208">
        <v>3311259</v>
      </c>
      <c r="M15" s="208">
        <v>3130992</v>
      </c>
      <c r="N15" s="208">
        <v>2932639</v>
      </c>
      <c r="O15" s="208">
        <v>2737909</v>
      </c>
      <c r="P15" s="208">
        <v>2346703</v>
      </c>
      <c r="Q15" s="208">
        <v>2117234</v>
      </c>
      <c r="R15" s="208">
        <v>2458000</v>
      </c>
      <c r="S15" s="208">
        <v>2375017</v>
      </c>
      <c r="T15" s="208">
        <v>2268598</v>
      </c>
      <c r="U15" s="208">
        <v>2193358</v>
      </c>
      <c r="V15" s="208">
        <v>2089930</v>
      </c>
      <c r="W15" s="208">
        <v>1992036</v>
      </c>
      <c r="X15" s="208">
        <v>1867958</v>
      </c>
      <c r="Y15" s="208">
        <v>1722142</v>
      </c>
      <c r="Z15" s="208">
        <v>942047</v>
      </c>
      <c r="AA15" s="208">
        <v>897643</v>
      </c>
      <c r="AB15" s="208">
        <v>866016</v>
      </c>
      <c r="AC15" s="208">
        <v>811374</v>
      </c>
      <c r="AD15" s="208">
        <v>760895</v>
      </c>
    </row>
    <row r="16" spans="1:30" ht="15" x14ac:dyDescent="0.2">
      <c r="A16" s="1" t="s">
        <v>30</v>
      </c>
      <c r="B16" s="6" t="s">
        <v>39</v>
      </c>
      <c r="C16" s="6" t="s">
        <v>39</v>
      </c>
      <c r="D16" s="7">
        <v>4018679</v>
      </c>
      <c r="E16" s="208">
        <v>7293675</v>
      </c>
      <c r="F16" s="208">
        <v>6618455</v>
      </c>
      <c r="G16" s="208">
        <v>5693211</v>
      </c>
      <c r="H16" s="208">
        <v>5028774</v>
      </c>
      <c r="I16" s="208">
        <v>4547260</v>
      </c>
      <c r="J16" s="208">
        <v>4279699</v>
      </c>
      <c r="K16" s="208">
        <v>4017268</v>
      </c>
      <c r="L16" s="208">
        <v>3721490</v>
      </c>
      <c r="M16" s="208">
        <v>3628188</v>
      </c>
      <c r="N16" s="208">
        <v>3514853</v>
      </c>
      <c r="O16" s="208">
        <v>3362449</v>
      </c>
      <c r="P16" s="208">
        <v>3192669</v>
      </c>
      <c r="Q16" s="208">
        <v>3067900</v>
      </c>
      <c r="R16" s="208">
        <v>2895700</v>
      </c>
      <c r="S16" s="208">
        <v>2748301</v>
      </c>
      <c r="T16" s="208">
        <v>2635557</v>
      </c>
      <c r="U16" s="208">
        <v>2532573</v>
      </c>
      <c r="V16" s="208">
        <v>2420130</v>
      </c>
      <c r="W16" s="208">
        <v>2296965</v>
      </c>
      <c r="X16" s="208">
        <v>2176458</v>
      </c>
      <c r="Y16" s="208">
        <v>2102522</v>
      </c>
      <c r="Z16" s="208">
        <v>2007565</v>
      </c>
      <c r="AA16" s="208">
        <v>1897219</v>
      </c>
      <c r="AB16" s="208">
        <v>1827438</v>
      </c>
      <c r="AC16" s="208">
        <v>1764092</v>
      </c>
      <c r="AD16" s="208">
        <v>1671498</v>
      </c>
    </row>
    <row r="17" spans="1:30" ht="15" x14ac:dyDescent="0.2">
      <c r="B17" s="6" t="s">
        <v>40</v>
      </c>
      <c r="C17" s="6" t="s">
        <v>40</v>
      </c>
      <c r="D17" s="7">
        <v>4057112</v>
      </c>
      <c r="E17" s="208">
        <v>1261133</v>
      </c>
      <c r="F17" s="208">
        <v>1148216</v>
      </c>
      <c r="G17" s="208">
        <v>1077227</v>
      </c>
      <c r="H17" s="208">
        <v>997637</v>
      </c>
      <c r="I17" s="208">
        <v>922695</v>
      </c>
      <c r="J17" s="208">
        <v>870184</v>
      </c>
      <c r="K17" s="208">
        <v>801092</v>
      </c>
      <c r="L17" s="208">
        <v>767958</v>
      </c>
      <c r="M17" s="208">
        <v>737323</v>
      </c>
      <c r="N17" s="208">
        <v>702855</v>
      </c>
      <c r="O17" s="208">
        <v>684284</v>
      </c>
      <c r="P17" s="208">
        <v>672302</v>
      </c>
      <c r="Q17" s="208">
        <v>664684</v>
      </c>
      <c r="R17" s="208">
        <v>639713</v>
      </c>
      <c r="S17" s="208">
        <v>617591</v>
      </c>
      <c r="T17" s="208">
        <v>601888</v>
      </c>
      <c r="U17" s="208">
        <v>577395</v>
      </c>
      <c r="V17" s="208">
        <v>539153</v>
      </c>
      <c r="W17" s="208">
        <v>511875</v>
      </c>
      <c r="X17" s="208">
        <v>491090</v>
      </c>
      <c r="Y17" s="208">
        <v>473206</v>
      </c>
      <c r="Z17" s="208">
        <v>458361</v>
      </c>
      <c r="AA17" s="208">
        <v>441199</v>
      </c>
      <c r="AB17" s="208">
        <v>423141</v>
      </c>
      <c r="AC17" s="208">
        <v>398240</v>
      </c>
      <c r="AD17" s="208">
        <v>362924</v>
      </c>
    </row>
    <row r="18" spans="1:30" ht="15" x14ac:dyDescent="0.2">
      <c r="A18" s="1" t="s">
        <v>30</v>
      </c>
      <c r="B18" s="6" t="s">
        <v>41</v>
      </c>
      <c r="C18" s="6" t="s">
        <v>41</v>
      </c>
      <c r="D18" s="7">
        <v>4057076</v>
      </c>
      <c r="E18" s="208" t="s">
        <v>123</v>
      </c>
      <c r="F18" s="208">
        <v>615857</v>
      </c>
      <c r="G18" s="208">
        <v>566197</v>
      </c>
      <c r="H18" s="208">
        <v>502226</v>
      </c>
      <c r="I18" s="208">
        <v>457270</v>
      </c>
      <c r="J18" s="208">
        <v>417455</v>
      </c>
      <c r="K18" s="208">
        <v>380966</v>
      </c>
      <c r="L18" s="208">
        <v>356627</v>
      </c>
      <c r="M18" s="208">
        <v>320121</v>
      </c>
      <c r="N18" s="208">
        <v>305664</v>
      </c>
      <c r="O18" s="208">
        <v>292358</v>
      </c>
      <c r="P18" s="208">
        <v>281139</v>
      </c>
      <c r="Q18" s="208">
        <v>263824</v>
      </c>
      <c r="R18" s="208">
        <v>248843</v>
      </c>
      <c r="S18" s="208">
        <v>239267</v>
      </c>
      <c r="T18" s="208">
        <v>226808</v>
      </c>
      <c r="U18" s="208">
        <v>214866</v>
      </c>
      <c r="V18" s="208">
        <v>199221</v>
      </c>
      <c r="W18" s="208">
        <v>189143</v>
      </c>
      <c r="X18" s="208">
        <v>180673</v>
      </c>
      <c r="Y18" s="208">
        <v>172242</v>
      </c>
      <c r="Z18" s="208">
        <v>164767</v>
      </c>
      <c r="AA18" s="208">
        <v>158165</v>
      </c>
      <c r="AB18" s="208">
        <v>151222</v>
      </c>
      <c r="AC18" s="208">
        <v>145375</v>
      </c>
      <c r="AD18" s="208">
        <v>140341</v>
      </c>
    </row>
    <row r="19" spans="1:30" ht="15" x14ac:dyDescent="0.2">
      <c r="B19" s="6" t="s">
        <v>42</v>
      </c>
      <c r="C19" s="6" t="s">
        <v>42</v>
      </c>
      <c r="D19" s="7">
        <v>4059166</v>
      </c>
      <c r="E19" s="208">
        <v>353727</v>
      </c>
      <c r="F19" s="208">
        <v>336876</v>
      </c>
      <c r="G19" s="208">
        <v>283116</v>
      </c>
      <c r="H19" s="208">
        <v>279224</v>
      </c>
      <c r="I19" s="208">
        <v>265838</v>
      </c>
      <c r="J19" s="208">
        <v>250044</v>
      </c>
      <c r="K19" s="208">
        <v>235720</v>
      </c>
      <c r="L19" s="208">
        <v>215884</v>
      </c>
      <c r="M19" s="208">
        <v>209048</v>
      </c>
      <c r="N19" s="208">
        <v>204115</v>
      </c>
      <c r="O19" s="208">
        <v>193513</v>
      </c>
      <c r="P19" s="208">
        <v>191456</v>
      </c>
      <c r="Q19" s="208">
        <v>182801</v>
      </c>
      <c r="R19" s="208">
        <v>177938</v>
      </c>
      <c r="S19" s="208">
        <v>172507</v>
      </c>
      <c r="T19" s="208">
        <v>158748</v>
      </c>
      <c r="U19" s="208">
        <v>157664</v>
      </c>
      <c r="V19" s="208">
        <v>152118</v>
      </c>
      <c r="W19" s="208">
        <v>151295</v>
      </c>
      <c r="X19" s="208">
        <v>146061</v>
      </c>
      <c r="Y19" s="208">
        <v>144768</v>
      </c>
      <c r="Z19" s="208" t="s">
        <v>123</v>
      </c>
      <c r="AA19" s="208" t="s">
        <v>123</v>
      </c>
      <c r="AB19" s="208">
        <v>130029</v>
      </c>
      <c r="AC19" s="208">
        <v>124599</v>
      </c>
      <c r="AD19" s="208">
        <v>118546</v>
      </c>
    </row>
    <row r="20" spans="1:30" ht="15" x14ac:dyDescent="0.2">
      <c r="B20" s="6" t="s">
        <v>43</v>
      </c>
      <c r="C20" s="6" t="s">
        <v>43</v>
      </c>
      <c r="D20" s="7">
        <v>4059227</v>
      </c>
      <c r="E20" s="208">
        <v>34644</v>
      </c>
      <c r="F20" s="208">
        <v>33891</v>
      </c>
      <c r="G20" s="208">
        <v>33589</v>
      </c>
      <c r="H20" s="208">
        <v>32395</v>
      </c>
      <c r="I20" s="208">
        <v>31942</v>
      </c>
      <c r="J20" s="208">
        <v>31086</v>
      </c>
      <c r="K20" s="208">
        <v>30540</v>
      </c>
      <c r="L20" s="208">
        <v>30337</v>
      </c>
      <c r="M20" s="208">
        <v>29597</v>
      </c>
      <c r="N20" s="208">
        <v>29386</v>
      </c>
      <c r="O20" s="208">
        <v>28994</v>
      </c>
      <c r="P20" s="208">
        <v>28611</v>
      </c>
      <c r="Q20" s="208">
        <v>28530</v>
      </c>
      <c r="R20" s="208">
        <v>27736</v>
      </c>
      <c r="S20" s="208">
        <v>27854</v>
      </c>
      <c r="T20" s="208">
        <v>27467</v>
      </c>
      <c r="U20" s="208" t="s">
        <v>123</v>
      </c>
      <c r="V20" s="208">
        <v>26602</v>
      </c>
      <c r="W20" s="208">
        <v>26384</v>
      </c>
      <c r="X20" s="208" t="s">
        <v>123</v>
      </c>
      <c r="Y20" s="208">
        <v>25094</v>
      </c>
      <c r="Z20" s="208" t="s">
        <v>123</v>
      </c>
      <c r="AA20" s="208" t="s">
        <v>123</v>
      </c>
      <c r="AB20" s="208" t="s">
        <v>123</v>
      </c>
      <c r="AC20" s="208">
        <v>18918</v>
      </c>
      <c r="AD20" s="208">
        <v>18353</v>
      </c>
    </row>
    <row r="21" spans="1:30" ht="15" x14ac:dyDescent="0.2">
      <c r="A21" s="1" t="s">
        <v>30</v>
      </c>
      <c r="B21" s="6" t="s">
        <v>44</v>
      </c>
      <c r="C21" s="6" t="s">
        <v>44</v>
      </c>
      <c r="D21" s="7">
        <v>4057114</v>
      </c>
      <c r="E21" s="208">
        <v>1304807</v>
      </c>
      <c r="F21" s="208">
        <v>1096209</v>
      </c>
      <c r="G21" s="208">
        <v>1041756</v>
      </c>
      <c r="H21" s="208">
        <v>997910</v>
      </c>
      <c r="I21" s="208">
        <v>944259</v>
      </c>
      <c r="J21" s="208">
        <v>865747</v>
      </c>
      <c r="K21" s="208">
        <v>825674</v>
      </c>
      <c r="L21" s="208">
        <v>774416</v>
      </c>
      <c r="M21" s="208">
        <v>723917</v>
      </c>
      <c r="N21" s="208">
        <v>695611</v>
      </c>
      <c r="O21" s="208">
        <v>802983</v>
      </c>
      <c r="P21" s="208">
        <v>784238</v>
      </c>
      <c r="Q21" s="208">
        <v>763402</v>
      </c>
      <c r="R21" s="208">
        <v>911707</v>
      </c>
      <c r="S21" s="208">
        <v>901718</v>
      </c>
      <c r="T21" s="208">
        <v>880830</v>
      </c>
      <c r="U21" s="208">
        <v>866327</v>
      </c>
      <c r="V21" s="208">
        <v>846061</v>
      </c>
      <c r="W21" s="208">
        <v>829426</v>
      </c>
      <c r="X21" s="208">
        <v>804215</v>
      </c>
      <c r="Y21" s="208">
        <v>765090</v>
      </c>
      <c r="Z21" s="208">
        <v>628674</v>
      </c>
      <c r="AA21" s="208">
        <v>387086</v>
      </c>
      <c r="AB21" s="208">
        <v>346991</v>
      </c>
      <c r="AC21" s="208">
        <v>323673</v>
      </c>
      <c r="AD21" s="208">
        <v>300928</v>
      </c>
    </row>
    <row r="22" spans="1:30" ht="15" x14ac:dyDescent="0.2">
      <c r="B22" s="6" t="s">
        <v>45</v>
      </c>
      <c r="C22" s="6" t="s">
        <v>45</v>
      </c>
      <c r="D22" s="7">
        <v>4059355</v>
      </c>
      <c r="E22" s="208">
        <v>593326</v>
      </c>
      <c r="F22" s="208">
        <v>539995</v>
      </c>
      <c r="G22" s="208">
        <v>490189</v>
      </c>
      <c r="H22" s="208">
        <v>457110</v>
      </c>
      <c r="I22" s="208">
        <v>425614</v>
      </c>
      <c r="J22" s="208">
        <v>394623</v>
      </c>
      <c r="K22" s="208">
        <v>364022</v>
      </c>
      <c r="L22" s="208">
        <v>336056</v>
      </c>
      <c r="M22" s="208">
        <v>318324</v>
      </c>
      <c r="N22" s="208">
        <v>302595</v>
      </c>
      <c r="O22" s="208">
        <v>289464</v>
      </c>
      <c r="P22" s="208">
        <v>281339</v>
      </c>
      <c r="Q22" s="208">
        <v>271693</v>
      </c>
      <c r="R22" s="208">
        <v>260642</v>
      </c>
      <c r="S22" s="208">
        <v>253767</v>
      </c>
      <c r="T22" s="208">
        <v>244767</v>
      </c>
      <c r="U22" s="208">
        <v>239631</v>
      </c>
      <c r="V22" s="208">
        <v>236269</v>
      </c>
      <c r="W22" s="208">
        <v>230909</v>
      </c>
      <c r="X22" s="208">
        <v>220059</v>
      </c>
      <c r="Y22" s="208">
        <v>212474</v>
      </c>
      <c r="Z22" s="208">
        <v>205378</v>
      </c>
      <c r="AA22" s="208">
        <v>196597</v>
      </c>
      <c r="AB22" s="208">
        <v>188011</v>
      </c>
      <c r="AC22" s="208">
        <v>184536</v>
      </c>
      <c r="AD22" s="208">
        <v>170796</v>
      </c>
    </row>
    <row r="23" spans="1:30" ht="15" x14ac:dyDescent="0.2">
      <c r="B23" s="6" t="s">
        <v>46</v>
      </c>
      <c r="C23" s="6" t="s">
        <v>46</v>
      </c>
      <c r="D23" s="7">
        <v>4088325</v>
      </c>
      <c r="E23" s="208">
        <v>250525</v>
      </c>
      <c r="F23" s="208">
        <v>232037</v>
      </c>
      <c r="G23" s="208">
        <v>206165</v>
      </c>
      <c r="H23" s="208">
        <v>186769</v>
      </c>
      <c r="I23" s="208">
        <v>170546</v>
      </c>
      <c r="J23" s="208">
        <v>164449</v>
      </c>
      <c r="K23" s="208">
        <v>149878</v>
      </c>
      <c r="L23" s="208">
        <v>137355</v>
      </c>
      <c r="M23" s="208">
        <v>129543</v>
      </c>
      <c r="N23" s="208">
        <v>121073</v>
      </c>
      <c r="O23" s="208">
        <v>113779</v>
      </c>
      <c r="P23" s="208">
        <v>108425</v>
      </c>
      <c r="Q23" s="208">
        <v>99859</v>
      </c>
      <c r="R23" s="208">
        <v>95736</v>
      </c>
      <c r="S23" s="208">
        <v>92317</v>
      </c>
      <c r="T23" s="208">
        <v>89043</v>
      </c>
      <c r="U23" s="208">
        <v>85629</v>
      </c>
      <c r="V23" s="208">
        <v>83223</v>
      </c>
      <c r="W23" s="208">
        <v>83232</v>
      </c>
      <c r="X23" s="208">
        <v>81539</v>
      </c>
      <c r="Y23" s="208">
        <v>78427</v>
      </c>
      <c r="Z23" s="208">
        <v>75531</v>
      </c>
      <c r="AA23" s="208">
        <v>72716</v>
      </c>
      <c r="AB23" s="208">
        <v>68239</v>
      </c>
      <c r="AC23" s="208">
        <v>64237</v>
      </c>
      <c r="AD23" s="208">
        <v>61368</v>
      </c>
    </row>
    <row r="24" spans="1:30" ht="15" x14ac:dyDescent="0.2">
      <c r="B24" s="6" t="s">
        <v>47</v>
      </c>
      <c r="C24" s="6" t="s">
        <v>47</v>
      </c>
      <c r="D24" s="7">
        <v>4088326</v>
      </c>
      <c r="E24" s="208">
        <v>4961933</v>
      </c>
      <c r="F24" s="208">
        <v>4597491</v>
      </c>
      <c r="G24" s="208">
        <v>4264101</v>
      </c>
      <c r="H24" s="208">
        <v>3972580</v>
      </c>
      <c r="I24" s="208">
        <v>3654955</v>
      </c>
      <c r="J24" s="208">
        <v>3314931</v>
      </c>
      <c r="K24" s="208">
        <v>3059356</v>
      </c>
      <c r="L24" s="208">
        <v>2790699</v>
      </c>
      <c r="M24" s="208">
        <v>2581053</v>
      </c>
      <c r="N24" s="208">
        <v>2380719</v>
      </c>
      <c r="O24" s="208">
        <v>2224306</v>
      </c>
      <c r="P24" s="208">
        <v>2070181</v>
      </c>
      <c r="Q24" s="208">
        <v>1932021</v>
      </c>
      <c r="R24" s="208">
        <v>1779893</v>
      </c>
      <c r="S24" s="208">
        <v>1716044</v>
      </c>
      <c r="T24" s="208">
        <v>1636269</v>
      </c>
      <c r="U24" s="208">
        <v>1588774</v>
      </c>
      <c r="V24" s="208">
        <v>1546328</v>
      </c>
      <c r="W24" s="208">
        <v>1519442</v>
      </c>
      <c r="X24" s="208">
        <v>1463234</v>
      </c>
      <c r="Y24" s="208" t="s">
        <v>123</v>
      </c>
      <c r="Z24" s="208">
        <v>1400171</v>
      </c>
      <c r="AA24" s="208">
        <v>1358341</v>
      </c>
      <c r="AB24" s="208">
        <v>1297148</v>
      </c>
      <c r="AC24" s="208">
        <v>1231455</v>
      </c>
      <c r="AD24" s="208">
        <v>1158889</v>
      </c>
    </row>
    <row r="25" spans="1:30" ht="15" x14ac:dyDescent="0.2">
      <c r="A25" s="1" t="s">
        <v>30</v>
      </c>
      <c r="B25" s="6" t="s">
        <v>48</v>
      </c>
      <c r="C25" s="6" t="s">
        <v>48</v>
      </c>
      <c r="D25" s="7">
        <v>4059358</v>
      </c>
      <c r="E25" s="208">
        <v>2851060</v>
      </c>
      <c r="F25" s="208">
        <v>2568659</v>
      </c>
      <c r="G25" s="208">
        <v>2330626</v>
      </c>
      <c r="H25" s="208">
        <v>2074070</v>
      </c>
      <c r="I25" s="208">
        <v>1860077</v>
      </c>
      <c r="J25" s="208">
        <v>1660068</v>
      </c>
      <c r="K25" s="208">
        <v>1500491</v>
      </c>
      <c r="L25" s="208">
        <v>1335700</v>
      </c>
      <c r="M25" s="208">
        <v>1198205</v>
      </c>
      <c r="N25" s="208">
        <v>1073635</v>
      </c>
      <c r="O25" s="208">
        <v>981869</v>
      </c>
      <c r="P25" s="208">
        <v>925064</v>
      </c>
      <c r="Q25" s="208">
        <v>851128</v>
      </c>
      <c r="R25" s="208">
        <v>788614</v>
      </c>
      <c r="S25" s="208">
        <v>748601</v>
      </c>
      <c r="T25" s="208">
        <v>710426</v>
      </c>
      <c r="U25" s="208">
        <v>673652</v>
      </c>
      <c r="V25" s="208">
        <v>658081</v>
      </c>
      <c r="W25" s="208">
        <v>641669</v>
      </c>
      <c r="X25" s="208">
        <v>622289</v>
      </c>
      <c r="Y25" s="208">
        <v>600130</v>
      </c>
      <c r="Z25" s="208">
        <v>575540</v>
      </c>
      <c r="AA25" s="208">
        <v>557217</v>
      </c>
      <c r="AB25" s="208">
        <v>531308</v>
      </c>
      <c r="AC25" s="208">
        <v>505065</v>
      </c>
      <c r="AD25" s="208">
        <v>482440</v>
      </c>
    </row>
    <row r="26" spans="1:30" ht="15" x14ac:dyDescent="0.2">
      <c r="B26" s="6" t="s">
        <v>49</v>
      </c>
      <c r="C26" s="6" t="s">
        <v>49</v>
      </c>
      <c r="D26" s="7">
        <v>4059359</v>
      </c>
      <c r="E26" s="208">
        <v>1496730</v>
      </c>
      <c r="F26" s="208">
        <v>1399884</v>
      </c>
      <c r="G26" s="208">
        <v>1284626</v>
      </c>
      <c r="H26" s="208">
        <v>1207433</v>
      </c>
      <c r="I26" s="208">
        <v>1115058</v>
      </c>
      <c r="J26" s="208">
        <v>1023079</v>
      </c>
      <c r="K26" s="208">
        <v>950619</v>
      </c>
      <c r="L26" s="208">
        <v>859458</v>
      </c>
      <c r="M26" s="208">
        <v>784230</v>
      </c>
      <c r="N26" s="208">
        <v>737753</v>
      </c>
      <c r="O26" s="208">
        <v>710058</v>
      </c>
      <c r="P26" s="208">
        <v>647125</v>
      </c>
      <c r="Q26" s="208">
        <v>627220</v>
      </c>
      <c r="R26" s="208">
        <v>597438</v>
      </c>
      <c r="S26" s="208">
        <v>574408</v>
      </c>
      <c r="T26" s="208">
        <v>551826</v>
      </c>
      <c r="U26" s="208">
        <v>528357</v>
      </c>
      <c r="V26" s="208">
        <v>513677</v>
      </c>
      <c r="W26" s="208">
        <v>480755</v>
      </c>
      <c r="X26" s="208">
        <v>463365</v>
      </c>
      <c r="Y26" s="208">
        <v>434612</v>
      </c>
      <c r="Z26" s="208" t="s">
        <v>123</v>
      </c>
      <c r="AA26" s="208">
        <v>379107</v>
      </c>
      <c r="AB26" s="208">
        <v>339603</v>
      </c>
      <c r="AC26" s="208" t="s">
        <v>123</v>
      </c>
      <c r="AD26" s="208" t="s">
        <v>123</v>
      </c>
    </row>
    <row r="27" spans="1:30" ht="15" x14ac:dyDescent="0.2">
      <c r="A27" s="1" t="s">
        <v>30</v>
      </c>
      <c r="B27" s="6" t="s">
        <v>50</v>
      </c>
      <c r="C27" s="6" t="s">
        <v>50</v>
      </c>
      <c r="D27" s="7">
        <v>4059402</v>
      </c>
      <c r="E27" s="208">
        <v>1083498</v>
      </c>
      <c r="F27" s="208">
        <v>1055</v>
      </c>
      <c r="G27" s="208">
        <v>1005452</v>
      </c>
      <c r="H27" s="208">
        <v>892596</v>
      </c>
      <c r="I27" s="208">
        <v>857533</v>
      </c>
      <c r="J27" s="208">
        <v>794780</v>
      </c>
      <c r="K27" s="208">
        <v>736860</v>
      </c>
      <c r="L27" s="208">
        <v>695010</v>
      </c>
      <c r="M27" s="208">
        <v>665870</v>
      </c>
      <c r="N27" s="208">
        <v>655245</v>
      </c>
      <c r="O27" s="208">
        <v>634481</v>
      </c>
      <c r="P27" s="208">
        <v>629365</v>
      </c>
      <c r="Q27" s="208">
        <v>619460</v>
      </c>
      <c r="R27" s="208">
        <v>603588</v>
      </c>
      <c r="S27" s="208">
        <v>589076</v>
      </c>
      <c r="T27" s="208">
        <v>569827</v>
      </c>
      <c r="U27" s="208">
        <v>548913</v>
      </c>
      <c r="V27" s="208">
        <v>533518</v>
      </c>
      <c r="W27" s="208">
        <v>521327</v>
      </c>
      <c r="X27" s="208">
        <v>507135</v>
      </c>
      <c r="Y27" s="208">
        <v>460164</v>
      </c>
      <c r="Z27" s="208">
        <v>448533</v>
      </c>
      <c r="AA27" s="208">
        <v>429589</v>
      </c>
      <c r="AB27" s="208">
        <v>405693</v>
      </c>
      <c r="AC27" s="208">
        <v>386468</v>
      </c>
      <c r="AD27" s="208">
        <v>370512</v>
      </c>
    </row>
    <row r="28" spans="1:30" ht="15" x14ac:dyDescent="0.2">
      <c r="A28" s="1" t="s">
        <v>30</v>
      </c>
      <c r="B28" s="6" t="s">
        <v>51</v>
      </c>
      <c r="C28" s="6" t="s">
        <v>51</v>
      </c>
      <c r="D28" s="7">
        <v>4057080</v>
      </c>
      <c r="E28" s="208">
        <v>9629033</v>
      </c>
      <c r="F28" s="208">
        <v>9021787</v>
      </c>
      <c r="G28" s="208">
        <v>8125976</v>
      </c>
      <c r="H28" s="208">
        <v>7333184</v>
      </c>
      <c r="I28" s="208">
        <v>6704877</v>
      </c>
      <c r="J28" s="208">
        <v>6089528</v>
      </c>
      <c r="K28" s="208">
        <v>5397695</v>
      </c>
      <c r="L28" s="208">
        <v>4857843</v>
      </c>
      <c r="M28" s="208">
        <v>4501201</v>
      </c>
      <c r="N28" s="208">
        <v>4165129</v>
      </c>
      <c r="O28" s="208">
        <v>3836487</v>
      </c>
      <c r="P28" s="208">
        <v>3530660</v>
      </c>
      <c r="Q28" s="208">
        <v>3265800</v>
      </c>
      <c r="R28" s="208">
        <v>2992462</v>
      </c>
      <c r="S28" s="208">
        <v>2843732</v>
      </c>
      <c r="T28" s="208">
        <v>2678427</v>
      </c>
      <c r="U28" s="208">
        <v>2529939</v>
      </c>
      <c r="V28" s="208">
        <v>2379911</v>
      </c>
      <c r="W28" s="208">
        <v>2228655</v>
      </c>
      <c r="X28" s="208">
        <v>2112426</v>
      </c>
      <c r="Y28" s="208">
        <v>2019156</v>
      </c>
      <c r="Z28" s="208">
        <v>1932851</v>
      </c>
      <c r="AA28" s="208">
        <v>1837311</v>
      </c>
      <c r="AB28" s="208">
        <v>1740323</v>
      </c>
      <c r="AC28" s="208">
        <v>1640992</v>
      </c>
      <c r="AD28" s="208">
        <v>1536057</v>
      </c>
    </row>
    <row r="29" spans="1:30" ht="15" x14ac:dyDescent="0.2">
      <c r="B29" s="6" t="s">
        <v>52</v>
      </c>
      <c r="C29" s="6" t="s">
        <v>52</v>
      </c>
      <c r="D29" s="7">
        <v>4057081</v>
      </c>
      <c r="E29" s="208">
        <v>9061053</v>
      </c>
      <c r="F29" s="208">
        <v>8269281</v>
      </c>
      <c r="G29" s="208">
        <v>7382516</v>
      </c>
      <c r="H29" s="208">
        <v>6585296</v>
      </c>
      <c r="I29" s="208">
        <v>5806197</v>
      </c>
      <c r="J29" s="208">
        <v>5293350</v>
      </c>
      <c r="K29" s="208">
        <v>4959496</v>
      </c>
      <c r="L29" s="208">
        <v>4501828</v>
      </c>
      <c r="M29" s="208">
        <v>4077224</v>
      </c>
      <c r="N29" s="208">
        <v>3901151</v>
      </c>
      <c r="O29" s="208">
        <v>3777935</v>
      </c>
      <c r="P29" s="208">
        <v>3532530</v>
      </c>
      <c r="Q29" s="208">
        <v>3309848</v>
      </c>
      <c r="R29" s="208">
        <v>3232020</v>
      </c>
      <c r="S29" s="208">
        <v>3046429</v>
      </c>
      <c r="T29" s="208">
        <v>2924238</v>
      </c>
      <c r="U29" s="208">
        <v>2782577</v>
      </c>
      <c r="V29" s="208">
        <v>2656748</v>
      </c>
      <c r="W29" s="208">
        <v>2522390</v>
      </c>
      <c r="X29" s="208">
        <v>2286327</v>
      </c>
      <c r="Y29" s="208">
        <v>2205332</v>
      </c>
      <c r="Z29" s="208">
        <v>2171042</v>
      </c>
      <c r="AA29" s="208">
        <v>2078555</v>
      </c>
      <c r="AB29" s="208">
        <v>1995310</v>
      </c>
      <c r="AC29" s="208">
        <v>1881293</v>
      </c>
      <c r="AD29" s="208">
        <v>1792382</v>
      </c>
    </row>
    <row r="30" spans="1:30" ht="15" x14ac:dyDescent="0.2">
      <c r="A30" s="1" t="s">
        <v>30</v>
      </c>
      <c r="B30" s="6" t="s">
        <v>53</v>
      </c>
      <c r="C30" s="6" t="s">
        <v>53</v>
      </c>
      <c r="D30" s="7">
        <v>4059459</v>
      </c>
      <c r="E30" s="208">
        <v>97382</v>
      </c>
      <c r="F30" s="208">
        <v>93121</v>
      </c>
      <c r="G30" s="208">
        <v>89685</v>
      </c>
      <c r="H30" s="208">
        <v>83296</v>
      </c>
      <c r="I30" s="208">
        <v>78781</v>
      </c>
      <c r="J30" s="208">
        <v>72282</v>
      </c>
      <c r="K30" s="208">
        <v>69966</v>
      </c>
      <c r="L30" s="208">
        <v>62551</v>
      </c>
      <c r="M30" s="208">
        <v>55640</v>
      </c>
      <c r="N30" s="208">
        <v>49349</v>
      </c>
      <c r="O30" s="208">
        <v>44783</v>
      </c>
      <c r="P30" s="208">
        <v>39725</v>
      </c>
      <c r="Q30" s="208">
        <v>35550</v>
      </c>
      <c r="R30" s="208">
        <v>30343</v>
      </c>
      <c r="S30" s="208">
        <v>28701</v>
      </c>
      <c r="T30" s="208">
        <v>26849</v>
      </c>
      <c r="U30" s="208">
        <v>25805</v>
      </c>
      <c r="V30" s="208">
        <v>24968</v>
      </c>
      <c r="W30" s="208">
        <v>23990</v>
      </c>
      <c r="X30" s="208">
        <v>23043</v>
      </c>
      <c r="Y30" s="208">
        <v>22269</v>
      </c>
      <c r="Z30" s="208">
        <v>21603</v>
      </c>
      <c r="AA30" s="208">
        <v>21349</v>
      </c>
      <c r="AB30" s="208">
        <v>20350</v>
      </c>
      <c r="AC30" s="208">
        <v>19605</v>
      </c>
      <c r="AD30" s="208">
        <v>19297</v>
      </c>
    </row>
    <row r="31" spans="1:30" ht="15" x14ac:dyDescent="0.2">
      <c r="B31" s="6" t="s">
        <v>54</v>
      </c>
      <c r="C31" s="6" t="s">
        <v>54</v>
      </c>
      <c r="D31" s="7">
        <v>4057118</v>
      </c>
      <c r="E31" s="208">
        <v>265024</v>
      </c>
      <c r="F31" s="208">
        <v>259190</v>
      </c>
      <c r="G31" s="208">
        <v>247752</v>
      </c>
      <c r="H31" s="208">
        <v>244639</v>
      </c>
      <c r="I31" s="208">
        <v>237047</v>
      </c>
      <c r="J31" s="208">
        <v>232371</v>
      </c>
      <c r="K31" s="208">
        <v>227623</v>
      </c>
      <c r="L31" s="208">
        <v>219428</v>
      </c>
      <c r="M31" s="208">
        <v>212944</v>
      </c>
      <c r="N31" s="208">
        <v>207015</v>
      </c>
      <c r="O31" s="208">
        <v>197919</v>
      </c>
      <c r="P31" s="208">
        <v>195036</v>
      </c>
      <c r="Q31" s="208">
        <v>189046</v>
      </c>
      <c r="R31" s="208">
        <v>182035</v>
      </c>
      <c r="S31" s="208">
        <v>176713</v>
      </c>
      <c r="T31" s="208">
        <v>169029</v>
      </c>
      <c r="U31" s="208">
        <v>165124</v>
      </c>
      <c r="V31" s="208">
        <v>160635</v>
      </c>
      <c r="W31" s="208">
        <v>149885</v>
      </c>
      <c r="X31" s="208">
        <v>142248</v>
      </c>
      <c r="Y31" s="208">
        <v>137882</v>
      </c>
      <c r="Z31" s="208">
        <v>131511</v>
      </c>
      <c r="AA31" s="208">
        <v>119759</v>
      </c>
      <c r="AB31" s="208">
        <v>106252</v>
      </c>
      <c r="AC31" s="208">
        <v>100214</v>
      </c>
      <c r="AD31" s="208">
        <v>90032</v>
      </c>
    </row>
    <row r="32" spans="1:30" ht="15" x14ac:dyDescent="0.2">
      <c r="B32" s="6" t="s">
        <v>55</v>
      </c>
      <c r="C32" s="6" t="s">
        <v>55</v>
      </c>
      <c r="D32" s="7">
        <v>4057126</v>
      </c>
      <c r="E32" s="208">
        <v>6161941</v>
      </c>
      <c r="F32" s="208">
        <v>5750236</v>
      </c>
      <c r="G32" s="208">
        <v>5407853</v>
      </c>
      <c r="H32" s="208">
        <v>4846317</v>
      </c>
      <c r="I32" s="208">
        <v>4585989</v>
      </c>
      <c r="J32" s="208">
        <v>4297361</v>
      </c>
      <c r="K32" s="208">
        <v>4138929</v>
      </c>
      <c r="L32" s="208">
        <v>3973988</v>
      </c>
      <c r="M32" s="208">
        <v>3805080</v>
      </c>
      <c r="N32" s="208">
        <v>3708149</v>
      </c>
      <c r="O32" s="208">
        <v>3553894</v>
      </c>
      <c r="P32" s="208">
        <v>3508588</v>
      </c>
      <c r="Q32" s="208">
        <v>3393376</v>
      </c>
      <c r="R32" s="208">
        <v>3067694</v>
      </c>
      <c r="S32" s="208">
        <v>3042637</v>
      </c>
      <c r="T32" s="208">
        <v>2937928</v>
      </c>
      <c r="U32" s="208">
        <v>2999846</v>
      </c>
      <c r="V32" s="208">
        <v>2931606</v>
      </c>
      <c r="W32" s="208">
        <v>2943817</v>
      </c>
      <c r="X32" s="208">
        <v>2871586</v>
      </c>
      <c r="Y32" s="208">
        <v>2790709</v>
      </c>
      <c r="Z32" s="208">
        <v>2783003</v>
      </c>
      <c r="AA32" s="208">
        <v>2643127</v>
      </c>
      <c r="AB32" s="208">
        <v>2532243</v>
      </c>
      <c r="AC32" s="208">
        <v>2357794</v>
      </c>
      <c r="AD32" s="208">
        <v>2241818</v>
      </c>
    </row>
    <row r="33" spans="1:30" ht="15" x14ac:dyDescent="0.2">
      <c r="B33" s="6" t="s">
        <v>56</v>
      </c>
      <c r="C33" s="6" t="s">
        <v>56</v>
      </c>
      <c r="D33" s="7">
        <v>4057103</v>
      </c>
      <c r="E33" s="208" t="s">
        <v>123</v>
      </c>
      <c r="F33" s="208">
        <v>647904</v>
      </c>
      <c r="G33" s="208">
        <v>580454</v>
      </c>
      <c r="H33" s="208">
        <v>503229</v>
      </c>
      <c r="I33" s="208" t="s">
        <v>123</v>
      </c>
      <c r="J33" s="208">
        <v>445878</v>
      </c>
      <c r="K33" s="208">
        <v>435893</v>
      </c>
      <c r="L33" s="208">
        <v>428524</v>
      </c>
      <c r="M33" s="208">
        <v>420262</v>
      </c>
      <c r="N33" s="208">
        <v>405992</v>
      </c>
      <c r="O33" s="208">
        <v>395430</v>
      </c>
      <c r="P33" s="208">
        <v>378134</v>
      </c>
      <c r="Q33" s="208">
        <v>345064</v>
      </c>
      <c r="R33" s="208">
        <v>319464</v>
      </c>
      <c r="S33" s="208">
        <v>297891</v>
      </c>
      <c r="T33" s="208">
        <v>276908</v>
      </c>
      <c r="U33" s="208">
        <v>256667</v>
      </c>
      <c r="V33" s="208">
        <v>239670</v>
      </c>
      <c r="W33" s="208">
        <v>215505</v>
      </c>
      <c r="X33" s="208">
        <v>197301</v>
      </c>
      <c r="Y33" s="208">
        <v>184878</v>
      </c>
      <c r="Z33" s="208">
        <v>173011</v>
      </c>
      <c r="AA33" s="208">
        <v>164040</v>
      </c>
      <c r="AB33" s="208">
        <v>155167</v>
      </c>
      <c r="AC33" s="208">
        <v>148202</v>
      </c>
      <c r="AD33" s="208">
        <v>140604</v>
      </c>
    </row>
    <row r="34" spans="1:30" ht="15" x14ac:dyDescent="0.2">
      <c r="B34" s="6" t="s">
        <v>57</v>
      </c>
      <c r="C34" s="6" t="s">
        <v>57</v>
      </c>
      <c r="D34" s="7">
        <v>4057079</v>
      </c>
      <c r="E34" s="208">
        <v>2515227</v>
      </c>
      <c r="F34" s="208">
        <v>2348175</v>
      </c>
      <c r="G34" s="208">
        <v>2196595</v>
      </c>
      <c r="H34" s="208">
        <v>2099425</v>
      </c>
      <c r="I34" s="208">
        <v>2021508</v>
      </c>
      <c r="J34" s="208">
        <v>1935849</v>
      </c>
      <c r="K34" s="208">
        <v>1853582</v>
      </c>
      <c r="L34" s="208">
        <v>1764135</v>
      </c>
      <c r="M34" s="208">
        <v>1663366</v>
      </c>
      <c r="N34" s="208">
        <v>1551922</v>
      </c>
      <c r="O34" s="208">
        <v>1442435</v>
      </c>
      <c r="P34" s="208">
        <v>1330533</v>
      </c>
      <c r="Q34" s="208">
        <v>1233710</v>
      </c>
      <c r="R34" s="208">
        <v>1127375</v>
      </c>
      <c r="S34" s="208">
        <v>1051209</v>
      </c>
      <c r="T34" s="208">
        <v>978225</v>
      </c>
      <c r="U34" s="208">
        <v>908712</v>
      </c>
      <c r="V34" s="208">
        <v>829314</v>
      </c>
      <c r="W34" s="208">
        <v>753616</v>
      </c>
      <c r="X34" s="208">
        <v>696345</v>
      </c>
      <c r="Y34" s="208">
        <v>648891</v>
      </c>
      <c r="Z34" s="208">
        <v>620886</v>
      </c>
      <c r="AA34" s="208">
        <v>592396</v>
      </c>
      <c r="AB34" s="208">
        <v>568730</v>
      </c>
      <c r="AC34" s="208">
        <v>543000</v>
      </c>
      <c r="AD34" s="208">
        <v>525649</v>
      </c>
    </row>
    <row r="35" spans="1:30" ht="15" x14ac:dyDescent="0.2">
      <c r="B35" s="6" t="s">
        <v>58</v>
      </c>
      <c r="C35" s="6" t="s">
        <v>59</v>
      </c>
      <c r="D35" s="7">
        <v>4081251</v>
      </c>
      <c r="E35" s="208" t="s">
        <v>123</v>
      </c>
      <c r="F35" s="208">
        <v>2297</v>
      </c>
      <c r="G35" s="208">
        <v>2222</v>
      </c>
      <c r="H35" s="208">
        <v>2123</v>
      </c>
      <c r="I35" s="208">
        <v>2063</v>
      </c>
      <c r="J35" s="208">
        <v>2032</v>
      </c>
      <c r="K35" s="208">
        <v>1917</v>
      </c>
      <c r="L35" s="208">
        <v>1715</v>
      </c>
      <c r="M35" s="208">
        <v>1690</v>
      </c>
      <c r="N35" s="208">
        <v>1634</v>
      </c>
      <c r="O35" s="208">
        <v>1579</v>
      </c>
      <c r="P35" s="208">
        <v>1557</v>
      </c>
      <c r="Q35" s="208">
        <v>1530</v>
      </c>
      <c r="R35" s="208">
        <v>1490</v>
      </c>
      <c r="S35" s="208">
        <v>1420</v>
      </c>
      <c r="T35" s="208">
        <v>1380</v>
      </c>
      <c r="U35" s="208">
        <v>1219</v>
      </c>
      <c r="V35" s="208">
        <v>1163</v>
      </c>
      <c r="W35" s="208">
        <v>1126</v>
      </c>
      <c r="X35" s="208">
        <v>1064</v>
      </c>
      <c r="Y35" s="208">
        <v>1059</v>
      </c>
      <c r="Z35" s="208" t="s">
        <v>123</v>
      </c>
      <c r="AA35" s="208" t="s">
        <v>123</v>
      </c>
      <c r="AB35" s="208" t="s">
        <v>123</v>
      </c>
      <c r="AC35" s="208" t="s">
        <v>123</v>
      </c>
      <c r="AD35" s="208" t="s">
        <v>123</v>
      </c>
    </row>
    <row r="36" spans="1:30" ht="15" x14ac:dyDescent="0.2">
      <c r="B36" s="6" t="s">
        <v>60</v>
      </c>
      <c r="C36" s="6" t="s">
        <v>60</v>
      </c>
      <c r="D36" s="7">
        <v>4060572</v>
      </c>
      <c r="E36" s="208">
        <v>517390</v>
      </c>
      <c r="F36" s="208">
        <v>467542</v>
      </c>
      <c r="G36" s="208">
        <v>432033</v>
      </c>
      <c r="H36" s="208">
        <v>401397</v>
      </c>
      <c r="I36" s="208">
        <v>365377</v>
      </c>
      <c r="J36" s="208">
        <v>329151</v>
      </c>
      <c r="K36" s="208">
        <v>313539</v>
      </c>
      <c r="L36" s="208">
        <v>293033</v>
      </c>
      <c r="M36" s="208">
        <v>284322</v>
      </c>
      <c r="N36" s="208">
        <v>274495</v>
      </c>
      <c r="O36" s="208">
        <v>263712</v>
      </c>
      <c r="P36" s="208">
        <v>256804</v>
      </c>
      <c r="Q36" s="208">
        <v>248458</v>
      </c>
      <c r="R36" s="208">
        <v>240641</v>
      </c>
      <c r="S36" s="208">
        <v>240101</v>
      </c>
      <c r="T36" s="208">
        <v>234276</v>
      </c>
      <c r="U36" s="208">
        <v>228342</v>
      </c>
      <c r="V36" s="208">
        <v>223917</v>
      </c>
      <c r="W36" s="208">
        <v>213462</v>
      </c>
      <c r="X36" s="208">
        <v>204902</v>
      </c>
      <c r="Y36" s="208">
        <v>197244</v>
      </c>
      <c r="Z36" s="208" t="s">
        <v>123</v>
      </c>
      <c r="AA36" s="208" t="s">
        <v>123</v>
      </c>
      <c r="AB36" s="208">
        <v>179019</v>
      </c>
      <c r="AC36" s="208">
        <v>165908</v>
      </c>
      <c r="AD36" s="208">
        <v>171932</v>
      </c>
    </row>
    <row r="37" spans="1:30" ht="15" x14ac:dyDescent="0.2">
      <c r="B37" s="6" t="s">
        <v>61</v>
      </c>
      <c r="C37" s="6" t="s">
        <v>61</v>
      </c>
      <c r="D37" s="7">
        <v>4083318</v>
      </c>
      <c r="E37" s="208">
        <v>21322</v>
      </c>
      <c r="F37" s="208">
        <v>20689</v>
      </c>
      <c r="G37" s="208">
        <v>20855</v>
      </c>
      <c r="H37" s="208">
        <v>20747</v>
      </c>
      <c r="I37" s="208">
        <v>20289</v>
      </c>
      <c r="J37" s="208">
        <v>19835</v>
      </c>
      <c r="K37" s="208">
        <v>18894</v>
      </c>
      <c r="L37" s="208">
        <v>18417</v>
      </c>
      <c r="M37" s="208">
        <v>17772</v>
      </c>
      <c r="N37" s="208">
        <v>17333</v>
      </c>
      <c r="O37" s="208">
        <v>16964</v>
      </c>
      <c r="P37" s="208">
        <v>16607</v>
      </c>
      <c r="Q37" s="208">
        <v>16354</v>
      </c>
      <c r="R37" s="208">
        <v>16197</v>
      </c>
      <c r="S37" s="208">
        <v>16017</v>
      </c>
      <c r="T37" s="208">
        <v>15662</v>
      </c>
      <c r="U37" s="208">
        <v>15546</v>
      </c>
      <c r="V37" s="208">
        <v>15322</v>
      </c>
      <c r="W37" s="208">
        <v>15161</v>
      </c>
      <c r="X37" s="208" t="s">
        <v>123</v>
      </c>
      <c r="Y37" s="208" t="s">
        <v>123</v>
      </c>
      <c r="Z37" s="208" t="s">
        <v>123</v>
      </c>
      <c r="AA37" s="208" t="s">
        <v>123</v>
      </c>
      <c r="AB37" s="208" t="s">
        <v>123</v>
      </c>
      <c r="AC37" s="208">
        <v>11270</v>
      </c>
      <c r="AD37" s="208">
        <v>10552</v>
      </c>
    </row>
    <row r="38" spans="1:30" ht="15" x14ac:dyDescent="0.2">
      <c r="B38" s="6" t="s">
        <v>62</v>
      </c>
      <c r="C38" s="6" t="s">
        <v>62</v>
      </c>
      <c r="D38" s="7">
        <v>4057125</v>
      </c>
      <c r="E38" s="208">
        <v>2647424</v>
      </c>
      <c r="F38" s="208">
        <v>2554078</v>
      </c>
      <c r="G38" s="208">
        <v>2130324</v>
      </c>
      <c r="H38" s="208">
        <v>1811362</v>
      </c>
      <c r="I38" s="208">
        <v>1768937</v>
      </c>
      <c r="J38" s="208">
        <v>1712573</v>
      </c>
      <c r="K38" s="208">
        <v>1619238</v>
      </c>
      <c r="L38" s="208">
        <v>1577072</v>
      </c>
      <c r="M38" s="208">
        <v>1529326</v>
      </c>
      <c r="N38" s="208">
        <v>1443603</v>
      </c>
      <c r="O38" s="208">
        <v>1415509</v>
      </c>
      <c r="P38" s="208">
        <v>1395210</v>
      </c>
      <c r="Q38" s="208">
        <v>1253701</v>
      </c>
      <c r="R38" s="208">
        <v>1237327</v>
      </c>
      <c r="S38" s="208">
        <v>1211905</v>
      </c>
      <c r="T38" s="208">
        <v>1190956</v>
      </c>
      <c r="U38" s="208">
        <v>1084606</v>
      </c>
      <c r="V38" s="208">
        <v>1028734</v>
      </c>
      <c r="W38" s="208">
        <v>1004965</v>
      </c>
      <c r="X38" s="208">
        <v>991271</v>
      </c>
      <c r="Y38" s="208">
        <v>920087</v>
      </c>
      <c r="Z38" s="208">
        <v>896159</v>
      </c>
      <c r="AA38" s="208">
        <v>861686</v>
      </c>
      <c r="AB38" s="208">
        <v>846695</v>
      </c>
      <c r="AC38" s="208">
        <v>856001</v>
      </c>
      <c r="AD38" s="208">
        <v>796039</v>
      </c>
    </row>
    <row r="39" spans="1:30" ht="15" x14ac:dyDescent="0.2">
      <c r="B39" s="6" t="s">
        <v>63</v>
      </c>
      <c r="C39" s="6" t="s">
        <v>63</v>
      </c>
      <c r="D39" s="7">
        <v>4087741</v>
      </c>
      <c r="E39" s="208" t="s">
        <v>123</v>
      </c>
      <c r="F39" s="208" t="s">
        <v>123</v>
      </c>
      <c r="G39" s="208">
        <v>1926494</v>
      </c>
      <c r="H39" s="208">
        <v>1834159</v>
      </c>
      <c r="I39" s="208">
        <v>1761874</v>
      </c>
      <c r="J39" s="208">
        <v>1702040</v>
      </c>
      <c r="K39" s="208">
        <v>1648624</v>
      </c>
      <c r="L39" s="208">
        <v>1588595</v>
      </c>
      <c r="M39" s="208">
        <v>1537323</v>
      </c>
      <c r="N39" s="208">
        <v>1574615</v>
      </c>
      <c r="O39" s="208">
        <v>1422126</v>
      </c>
      <c r="P39" s="208">
        <v>1375159</v>
      </c>
      <c r="Q39" s="208">
        <v>1364022</v>
      </c>
      <c r="R39" s="208">
        <v>1313323</v>
      </c>
      <c r="S39" s="208">
        <v>1278475</v>
      </c>
      <c r="T39" s="208">
        <v>1234345</v>
      </c>
      <c r="U39" s="208">
        <v>1191203</v>
      </c>
      <c r="V39" s="208">
        <v>1135548</v>
      </c>
      <c r="W39" s="208">
        <v>1076878</v>
      </c>
      <c r="X39" s="208" t="s">
        <v>123</v>
      </c>
      <c r="Y39" s="208">
        <v>883620</v>
      </c>
      <c r="Z39" s="208" t="s">
        <v>123</v>
      </c>
      <c r="AA39" s="208" t="s">
        <v>123</v>
      </c>
      <c r="AB39" s="208" t="s">
        <v>123</v>
      </c>
      <c r="AC39" s="208" t="s">
        <v>123</v>
      </c>
      <c r="AD39" s="208" t="s">
        <v>123</v>
      </c>
    </row>
    <row r="40" spans="1:30" ht="15" x14ac:dyDescent="0.2">
      <c r="B40" s="6" t="s">
        <v>64</v>
      </c>
      <c r="C40" s="6" t="s">
        <v>64</v>
      </c>
      <c r="D40" s="7">
        <v>4059875</v>
      </c>
      <c r="E40" s="208">
        <v>636782</v>
      </c>
      <c r="F40" s="208">
        <v>595313</v>
      </c>
      <c r="G40" s="208">
        <v>537746</v>
      </c>
      <c r="H40" s="208">
        <v>485723</v>
      </c>
      <c r="I40" s="208">
        <v>453429</v>
      </c>
      <c r="J40" s="208">
        <v>426165</v>
      </c>
      <c r="K40" s="208">
        <v>379562</v>
      </c>
      <c r="L40" s="208">
        <v>360914</v>
      </c>
      <c r="M40" s="208">
        <v>339611</v>
      </c>
      <c r="N40" s="208">
        <v>338986</v>
      </c>
      <c r="O40" s="208">
        <v>328222</v>
      </c>
      <c r="P40" s="208">
        <v>318901</v>
      </c>
      <c r="Q40" s="208">
        <v>298932</v>
      </c>
      <c r="R40" s="208">
        <v>289379</v>
      </c>
      <c r="S40" s="208">
        <v>272878</v>
      </c>
      <c r="T40" s="208">
        <v>242115</v>
      </c>
      <c r="U40" s="208">
        <v>243752</v>
      </c>
      <c r="V40" s="208">
        <v>231506</v>
      </c>
      <c r="W40" s="208">
        <v>211467</v>
      </c>
      <c r="X40" s="208" t="s">
        <v>123</v>
      </c>
      <c r="Y40" s="208">
        <v>175987</v>
      </c>
      <c r="Z40" s="208">
        <v>166414</v>
      </c>
      <c r="AA40" s="208">
        <v>156167</v>
      </c>
      <c r="AB40" s="208">
        <v>145612</v>
      </c>
      <c r="AC40" s="208">
        <v>135602</v>
      </c>
      <c r="AD40" s="208">
        <v>129272</v>
      </c>
    </row>
    <row r="41" spans="1:30" ht="15" x14ac:dyDescent="0.2">
      <c r="B41" s="6" t="s">
        <v>65</v>
      </c>
      <c r="C41" s="6" t="s">
        <v>65</v>
      </c>
      <c r="D41" s="7">
        <v>4057090</v>
      </c>
      <c r="E41" s="208">
        <v>1432717</v>
      </c>
      <c r="F41" s="208">
        <v>1292072</v>
      </c>
      <c r="G41" s="208">
        <v>1234465</v>
      </c>
      <c r="H41" s="208">
        <v>1179218</v>
      </c>
      <c r="I41" s="208">
        <v>1110112</v>
      </c>
      <c r="J41" s="208">
        <v>1021163</v>
      </c>
      <c r="K41" s="208">
        <v>948188</v>
      </c>
      <c r="L41" s="208">
        <v>842651</v>
      </c>
      <c r="M41" s="208">
        <v>778374</v>
      </c>
      <c r="N41" s="208">
        <v>724381</v>
      </c>
      <c r="O41" s="208">
        <v>679554</v>
      </c>
      <c r="P41" s="208">
        <v>637312</v>
      </c>
      <c r="Q41" s="208">
        <v>597031</v>
      </c>
      <c r="R41" s="208">
        <v>548434</v>
      </c>
      <c r="S41" s="208">
        <v>524411</v>
      </c>
      <c r="T41" s="208">
        <v>509430</v>
      </c>
      <c r="U41" s="208">
        <v>485631</v>
      </c>
      <c r="V41" s="208">
        <v>466364</v>
      </c>
      <c r="W41" s="208">
        <v>433095</v>
      </c>
      <c r="X41" s="208">
        <v>407854</v>
      </c>
      <c r="Y41" s="208">
        <v>387231</v>
      </c>
      <c r="Z41" s="208">
        <v>362988</v>
      </c>
      <c r="AA41" s="208">
        <v>337507</v>
      </c>
      <c r="AB41" s="208">
        <v>335480</v>
      </c>
      <c r="AC41" s="208">
        <v>318651</v>
      </c>
      <c r="AD41" s="208">
        <v>296930</v>
      </c>
    </row>
    <row r="42" spans="1:30" ht="15" x14ac:dyDescent="0.2">
      <c r="B42" s="6" t="s">
        <v>66</v>
      </c>
      <c r="C42" s="6" t="s">
        <v>66</v>
      </c>
      <c r="D42" s="7">
        <v>4008754</v>
      </c>
      <c r="E42" s="208">
        <v>413481</v>
      </c>
      <c r="F42" s="208">
        <v>413481</v>
      </c>
      <c r="G42" s="208">
        <v>393153</v>
      </c>
      <c r="H42" s="208">
        <v>372725</v>
      </c>
      <c r="I42" s="208">
        <v>355622</v>
      </c>
      <c r="J42" s="208">
        <v>343273</v>
      </c>
      <c r="K42" s="208">
        <v>332609</v>
      </c>
      <c r="L42" s="208">
        <v>316522</v>
      </c>
      <c r="M42" s="208">
        <v>301194</v>
      </c>
      <c r="N42" s="208">
        <v>289263</v>
      </c>
      <c r="O42" s="208">
        <v>275587</v>
      </c>
      <c r="P42" s="208">
        <v>266693</v>
      </c>
      <c r="Q42" s="208">
        <v>253619</v>
      </c>
      <c r="R42" s="208">
        <v>244501</v>
      </c>
      <c r="S42" s="208">
        <v>237470</v>
      </c>
      <c r="T42" s="208">
        <v>229744</v>
      </c>
      <c r="U42" s="208">
        <v>220856</v>
      </c>
      <c r="V42" s="208">
        <v>214344</v>
      </c>
      <c r="W42" s="208">
        <v>204656</v>
      </c>
      <c r="X42" s="208">
        <v>190557</v>
      </c>
      <c r="Y42" s="208">
        <v>180240</v>
      </c>
      <c r="Z42" s="208">
        <v>173846</v>
      </c>
      <c r="AA42" s="208">
        <v>169560</v>
      </c>
      <c r="AB42" s="208">
        <v>166804</v>
      </c>
      <c r="AC42" s="208">
        <v>163553</v>
      </c>
      <c r="AD42" s="208">
        <v>159305</v>
      </c>
    </row>
    <row r="43" spans="1:30" ht="15" x14ac:dyDescent="0.2">
      <c r="B43" s="6" t="s">
        <v>67</v>
      </c>
      <c r="C43" s="6" t="s">
        <v>67</v>
      </c>
      <c r="D43" s="7">
        <v>4061474</v>
      </c>
      <c r="E43" s="208">
        <v>43330</v>
      </c>
      <c r="F43" s="208">
        <v>42326</v>
      </c>
      <c r="G43" s="208">
        <v>40534</v>
      </c>
      <c r="H43" s="208">
        <v>39226</v>
      </c>
      <c r="I43" s="208">
        <v>37566</v>
      </c>
      <c r="J43" s="208">
        <v>35949</v>
      </c>
      <c r="K43" s="208">
        <v>34328</v>
      </c>
      <c r="L43" s="208">
        <v>32870</v>
      </c>
      <c r="M43" s="208">
        <v>31841</v>
      </c>
      <c r="N43" s="208">
        <v>31227</v>
      </c>
      <c r="O43" s="208">
        <v>29616</v>
      </c>
      <c r="P43" s="208">
        <v>28668</v>
      </c>
      <c r="Q43" s="208">
        <v>27914</v>
      </c>
      <c r="R43" s="208">
        <v>26992</v>
      </c>
      <c r="S43" s="208">
        <v>26625</v>
      </c>
      <c r="T43" s="208">
        <v>25541</v>
      </c>
      <c r="U43" s="208">
        <v>25103</v>
      </c>
      <c r="V43" s="208">
        <v>24643</v>
      </c>
      <c r="W43" s="208">
        <v>19164</v>
      </c>
      <c r="X43" s="208" t="s">
        <v>123</v>
      </c>
      <c r="Y43" s="208">
        <v>18074</v>
      </c>
      <c r="Z43" s="208" t="s">
        <v>123</v>
      </c>
      <c r="AA43" s="208" t="s">
        <v>123</v>
      </c>
      <c r="AB43" s="208">
        <v>16419</v>
      </c>
      <c r="AC43" s="208">
        <v>16067</v>
      </c>
      <c r="AD43" s="208">
        <v>15413</v>
      </c>
    </row>
    <row r="44" spans="1:30" ht="15" x14ac:dyDescent="0.2">
      <c r="B44" s="6" t="s">
        <v>68</v>
      </c>
      <c r="C44" s="6" t="s">
        <v>68</v>
      </c>
      <c r="D44" s="7">
        <v>4076679</v>
      </c>
      <c r="E44" s="208">
        <v>48780</v>
      </c>
      <c r="F44" s="208">
        <v>46214</v>
      </c>
      <c r="G44" s="208">
        <v>43889</v>
      </c>
      <c r="H44" s="208">
        <v>41863</v>
      </c>
      <c r="I44" s="208">
        <v>39967</v>
      </c>
      <c r="J44" s="208">
        <v>38092</v>
      </c>
      <c r="K44" s="208">
        <v>35468</v>
      </c>
      <c r="L44" s="208">
        <v>33019</v>
      </c>
      <c r="M44" s="208">
        <v>31845</v>
      </c>
      <c r="N44" s="208">
        <v>30729</v>
      </c>
      <c r="O44" s="208">
        <v>29341</v>
      </c>
      <c r="P44" s="208">
        <v>28096</v>
      </c>
      <c r="Q44" s="208">
        <v>27176</v>
      </c>
      <c r="R44" s="208">
        <v>26108</v>
      </c>
      <c r="S44" s="208">
        <v>25197</v>
      </c>
      <c r="T44" s="208">
        <v>23594</v>
      </c>
      <c r="U44" s="208">
        <v>22125</v>
      </c>
      <c r="V44" s="208">
        <v>21281</v>
      </c>
      <c r="W44" s="208">
        <v>19909</v>
      </c>
      <c r="X44" s="208">
        <v>17925</v>
      </c>
      <c r="Y44" s="208">
        <v>16878</v>
      </c>
      <c r="Z44" s="208" t="s">
        <v>123</v>
      </c>
      <c r="AA44" s="208" t="s">
        <v>123</v>
      </c>
      <c r="AB44" s="208" t="s">
        <v>123</v>
      </c>
      <c r="AC44" s="208" t="s">
        <v>123</v>
      </c>
      <c r="AD44" s="208" t="s">
        <v>123</v>
      </c>
    </row>
    <row r="45" spans="1:30" ht="15" x14ac:dyDescent="0.2">
      <c r="B45" s="6" t="s">
        <v>69</v>
      </c>
      <c r="C45" s="6" t="s">
        <v>69</v>
      </c>
      <c r="D45" s="7">
        <v>4061634</v>
      </c>
      <c r="E45" s="208">
        <v>682653</v>
      </c>
      <c r="F45" s="208">
        <v>636708</v>
      </c>
      <c r="G45" s="208">
        <v>584911</v>
      </c>
      <c r="H45" s="208">
        <v>528960</v>
      </c>
      <c r="I45" s="208">
        <v>503519</v>
      </c>
      <c r="J45" s="208">
        <v>488702</v>
      </c>
      <c r="K45" s="208">
        <v>470695</v>
      </c>
      <c r="L45" s="208">
        <v>450853</v>
      </c>
      <c r="M45" s="208">
        <v>436775</v>
      </c>
      <c r="N45" s="208">
        <v>427642</v>
      </c>
      <c r="O45" s="208">
        <v>419077</v>
      </c>
      <c r="P45" s="208">
        <v>399775</v>
      </c>
      <c r="Q45" s="208">
        <v>394548</v>
      </c>
      <c r="R45" s="208">
        <v>383983</v>
      </c>
      <c r="S45" s="208">
        <v>389717</v>
      </c>
      <c r="T45" s="208">
        <v>379116</v>
      </c>
      <c r="U45" s="208">
        <v>328914</v>
      </c>
      <c r="V45" s="208">
        <v>316700</v>
      </c>
      <c r="W45" s="208">
        <v>300522</v>
      </c>
      <c r="X45" s="208">
        <v>300522</v>
      </c>
      <c r="Y45" s="208">
        <v>284292</v>
      </c>
      <c r="Z45" s="208">
        <v>254089</v>
      </c>
      <c r="AA45" s="208">
        <v>242403</v>
      </c>
      <c r="AB45" s="208">
        <v>233261</v>
      </c>
      <c r="AC45" s="208">
        <v>223412</v>
      </c>
      <c r="AD45" s="208">
        <v>214995</v>
      </c>
    </row>
    <row r="46" spans="1:30" ht="15" x14ac:dyDescent="0.2">
      <c r="B46" s="6" t="s">
        <v>70</v>
      </c>
      <c r="C46" s="6" t="s">
        <v>70</v>
      </c>
      <c r="D46" s="7">
        <v>4061687</v>
      </c>
      <c r="E46" s="208">
        <v>2275101</v>
      </c>
      <c r="F46" s="208">
        <v>2207559</v>
      </c>
      <c r="G46" s="208">
        <v>2135432</v>
      </c>
      <c r="H46" s="208">
        <v>2077721</v>
      </c>
      <c r="I46" s="208">
        <v>2022024</v>
      </c>
      <c r="J46" s="208">
        <v>1904968</v>
      </c>
      <c r="K46" s="208">
        <v>1853806</v>
      </c>
      <c r="L46" s="208">
        <v>1795314</v>
      </c>
      <c r="M46" s="208">
        <v>1762469</v>
      </c>
      <c r="N46" s="208">
        <v>1724749</v>
      </c>
      <c r="O46" s="208">
        <v>1679533</v>
      </c>
      <c r="P46" s="208">
        <v>1633551</v>
      </c>
      <c r="Q46" s="208">
        <v>1600238</v>
      </c>
      <c r="R46" s="208">
        <v>1554436</v>
      </c>
      <c r="S46" s="208">
        <v>1509094</v>
      </c>
      <c r="T46" s="208">
        <v>1476229</v>
      </c>
      <c r="U46" s="208">
        <v>1442101</v>
      </c>
      <c r="V46" s="208">
        <v>1402275</v>
      </c>
      <c r="W46" s="208">
        <v>1322158</v>
      </c>
      <c r="X46" s="208">
        <v>1322158</v>
      </c>
      <c r="Y46" s="208">
        <v>1304569</v>
      </c>
      <c r="Z46" s="208">
        <v>1257739</v>
      </c>
      <c r="AA46" s="208">
        <v>1220317</v>
      </c>
      <c r="AB46" s="208">
        <v>1187351</v>
      </c>
      <c r="AC46" s="208">
        <v>1141603</v>
      </c>
      <c r="AD46" s="208">
        <v>1088575</v>
      </c>
    </row>
    <row r="47" spans="1:30" ht="15" x14ac:dyDescent="0.2">
      <c r="A47" s="1" t="s">
        <v>30</v>
      </c>
      <c r="B47" s="6" t="s">
        <v>71</v>
      </c>
      <c r="C47" s="6" t="s">
        <v>71</v>
      </c>
      <c r="D47" s="7">
        <v>4061755</v>
      </c>
      <c r="E47" s="208">
        <v>2720983</v>
      </c>
      <c r="F47" s="208">
        <v>2558361</v>
      </c>
      <c r="G47" s="208">
        <v>2316755</v>
      </c>
      <c r="H47" s="208">
        <v>2185338</v>
      </c>
      <c r="I47" s="208">
        <v>2029788</v>
      </c>
      <c r="J47" s="208">
        <v>1841753</v>
      </c>
      <c r="K47" s="208">
        <v>1701589</v>
      </c>
      <c r="L47" s="208">
        <v>1602301</v>
      </c>
      <c r="M47" s="208">
        <v>1507150</v>
      </c>
      <c r="N47" s="208">
        <v>1419541</v>
      </c>
      <c r="O47" s="208">
        <v>1348195</v>
      </c>
      <c r="P47" s="208">
        <v>1308370</v>
      </c>
      <c r="Q47" s="208">
        <v>1260542</v>
      </c>
      <c r="R47" s="208">
        <v>1193698</v>
      </c>
      <c r="S47" s="208">
        <v>1141744</v>
      </c>
      <c r="T47" s="208">
        <v>1102329</v>
      </c>
      <c r="U47" s="208">
        <v>1060146</v>
      </c>
      <c r="V47" s="208">
        <v>1013545</v>
      </c>
      <c r="W47" s="208">
        <v>981047</v>
      </c>
      <c r="X47" s="208">
        <v>950070</v>
      </c>
      <c r="Y47" s="208">
        <v>931679</v>
      </c>
      <c r="Z47" s="208">
        <v>895665</v>
      </c>
      <c r="AA47" s="208">
        <v>853178</v>
      </c>
      <c r="AB47" s="208">
        <v>810468</v>
      </c>
      <c r="AC47" s="208">
        <v>758254</v>
      </c>
      <c r="AD47" s="208">
        <v>722204</v>
      </c>
    </row>
    <row r="48" spans="1:30" ht="15" x14ac:dyDescent="0.2">
      <c r="A48" s="1" t="s">
        <v>30</v>
      </c>
      <c r="B48" s="6" t="s">
        <v>72</v>
      </c>
      <c r="C48" s="6" t="s">
        <v>72</v>
      </c>
      <c r="D48" s="7">
        <v>4004389</v>
      </c>
      <c r="E48" s="208">
        <v>1177418</v>
      </c>
      <c r="F48" s="208">
        <v>1120980</v>
      </c>
      <c r="G48" s="208">
        <v>1044395</v>
      </c>
      <c r="H48" s="208">
        <v>1004653</v>
      </c>
      <c r="I48" s="208">
        <v>948180</v>
      </c>
      <c r="J48" s="208">
        <v>906759</v>
      </c>
      <c r="K48" s="208">
        <v>878737</v>
      </c>
      <c r="L48" s="208">
        <v>846168</v>
      </c>
      <c r="M48" s="208">
        <v>809411</v>
      </c>
      <c r="N48" s="208">
        <v>773463</v>
      </c>
      <c r="O48" s="208">
        <v>808302</v>
      </c>
      <c r="P48" s="208">
        <v>790653</v>
      </c>
      <c r="Q48" s="208">
        <v>776610</v>
      </c>
      <c r="R48" s="208">
        <v>752372</v>
      </c>
      <c r="S48" s="208">
        <v>735145</v>
      </c>
      <c r="T48" s="208">
        <v>715446</v>
      </c>
      <c r="U48" s="208">
        <v>702883</v>
      </c>
      <c r="V48" s="208">
        <v>687422</v>
      </c>
      <c r="W48" s="208">
        <v>670037</v>
      </c>
      <c r="X48" s="208">
        <v>652938</v>
      </c>
      <c r="Y48" s="208">
        <v>634277</v>
      </c>
      <c r="Z48" s="208">
        <v>612127</v>
      </c>
      <c r="AA48" s="208">
        <v>589103</v>
      </c>
      <c r="AB48" s="208">
        <v>562666</v>
      </c>
      <c r="AC48" s="208">
        <v>514371</v>
      </c>
      <c r="AD48" s="208">
        <v>431757</v>
      </c>
    </row>
    <row r="49" spans="1:30" ht="15" x14ac:dyDescent="0.2">
      <c r="A49" s="1" t="s">
        <v>30</v>
      </c>
      <c r="B49" s="6" t="s">
        <v>73</v>
      </c>
      <c r="C49" s="6" t="s">
        <v>73</v>
      </c>
      <c r="D49" s="7">
        <v>4057014</v>
      </c>
      <c r="E49" s="208">
        <v>2745319</v>
      </c>
      <c r="F49" s="208">
        <v>2598928</v>
      </c>
      <c r="G49" s="208">
        <v>2482539</v>
      </c>
      <c r="H49" s="208">
        <v>2368515</v>
      </c>
      <c r="I49" s="208">
        <v>2237631</v>
      </c>
      <c r="J49" s="208">
        <v>2186917</v>
      </c>
      <c r="K49" s="208">
        <v>2066124</v>
      </c>
      <c r="L49" s="208">
        <v>1981233</v>
      </c>
      <c r="M49" s="208">
        <v>1929353</v>
      </c>
      <c r="N49" s="208">
        <v>1894560</v>
      </c>
      <c r="O49" s="208">
        <v>1840736</v>
      </c>
      <c r="P49" s="208">
        <v>1786447</v>
      </c>
      <c r="Q49" s="208">
        <v>1727173</v>
      </c>
      <c r="R49" s="208">
        <v>1666465</v>
      </c>
      <c r="S49" s="208">
        <v>1623913</v>
      </c>
      <c r="T49" s="208">
        <v>1565542</v>
      </c>
      <c r="U49" s="208">
        <v>1493274</v>
      </c>
      <c r="V49" s="208">
        <v>1466444</v>
      </c>
      <c r="W49" s="208">
        <v>1379786</v>
      </c>
      <c r="X49" s="208">
        <v>1345785</v>
      </c>
      <c r="Y49" s="208">
        <v>1310649</v>
      </c>
      <c r="Z49" s="208">
        <v>1263168</v>
      </c>
      <c r="AA49" s="208">
        <v>1179716</v>
      </c>
      <c r="AB49" s="208">
        <v>1131541</v>
      </c>
      <c r="AC49" s="208">
        <v>1067638</v>
      </c>
      <c r="AD49" s="208">
        <v>1006759</v>
      </c>
    </row>
    <row r="50" spans="1:30" ht="15" x14ac:dyDescent="0.2">
      <c r="B50" s="6" t="s">
        <v>74</v>
      </c>
      <c r="C50" s="6" t="s">
        <v>74</v>
      </c>
      <c r="D50" s="7">
        <v>4057130</v>
      </c>
      <c r="E50" s="208">
        <v>708468</v>
      </c>
      <c r="F50" s="208">
        <v>668882</v>
      </c>
      <c r="G50" s="208">
        <v>640394</v>
      </c>
      <c r="H50" s="208">
        <v>574201</v>
      </c>
      <c r="I50" s="208">
        <v>543369</v>
      </c>
      <c r="J50" s="208">
        <v>520890</v>
      </c>
      <c r="K50" s="208">
        <v>493471</v>
      </c>
      <c r="L50" s="208">
        <v>462027</v>
      </c>
      <c r="M50" s="208">
        <v>437387</v>
      </c>
      <c r="N50" s="208">
        <v>421830</v>
      </c>
      <c r="O50" s="208">
        <v>416409</v>
      </c>
      <c r="P50" s="208">
        <v>410587</v>
      </c>
      <c r="Q50" s="208">
        <v>405356</v>
      </c>
      <c r="R50" s="208">
        <v>396380</v>
      </c>
      <c r="S50" s="208">
        <v>374883</v>
      </c>
      <c r="T50" s="208">
        <v>363747</v>
      </c>
      <c r="U50" s="208">
        <v>353140</v>
      </c>
      <c r="V50" s="208">
        <v>346078</v>
      </c>
      <c r="W50" s="208">
        <v>338992</v>
      </c>
      <c r="X50" s="208">
        <v>331090</v>
      </c>
      <c r="Y50" s="208">
        <v>324850</v>
      </c>
      <c r="Z50" s="208">
        <v>314319</v>
      </c>
      <c r="AA50" s="208">
        <v>303695</v>
      </c>
      <c r="AB50" s="208">
        <v>292533</v>
      </c>
      <c r="AC50" s="208">
        <v>282776</v>
      </c>
      <c r="AD50" s="208" t="s">
        <v>123</v>
      </c>
    </row>
    <row r="51" spans="1:30" ht="15" x14ac:dyDescent="0.2">
      <c r="B51" s="6" t="s">
        <v>75</v>
      </c>
      <c r="C51" s="6" t="s">
        <v>75</v>
      </c>
      <c r="D51" s="7">
        <v>4057131</v>
      </c>
      <c r="E51" s="208">
        <v>8539332</v>
      </c>
      <c r="F51" s="208">
        <v>7782789</v>
      </c>
      <c r="G51" s="208">
        <v>7012883</v>
      </c>
      <c r="H51" s="208">
        <v>6442818</v>
      </c>
      <c r="I51" s="208">
        <v>5956573</v>
      </c>
      <c r="J51" s="208">
        <v>5581496</v>
      </c>
      <c r="K51" s="208">
        <v>5227079</v>
      </c>
      <c r="L51" s="208">
        <v>5037598</v>
      </c>
      <c r="M51" s="208">
        <v>4958983</v>
      </c>
      <c r="N51" s="208">
        <v>4802904</v>
      </c>
      <c r="O51" s="208">
        <v>4658031</v>
      </c>
      <c r="P51" s="208">
        <v>4538923</v>
      </c>
      <c r="Q51" s="208">
        <v>4365111</v>
      </c>
      <c r="R51" s="208">
        <v>4219552</v>
      </c>
      <c r="S51" s="208">
        <v>4098659</v>
      </c>
      <c r="T51" s="208">
        <v>3951566</v>
      </c>
      <c r="U51" s="208">
        <v>3755101</v>
      </c>
      <c r="V51" s="208">
        <v>3624331</v>
      </c>
      <c r="W51" s="208">
        <v>3484359</v>
      </c>
      <c r="X51" s="208">
        <v>3357209</v>
      </c>
      <c r="Y51" s="208">
        <v>3234485</v>
      </c>
      <c r="Z51" s="208">
        <v>3136914</v>
      </c>
      <c r="AA51" s="208">
        <v>3040406</v>
      </c>
      <c r="AB51" s="208">
        <v>2955628</v>
      </c>
      <c r="AC51" s="208">
        <v>2884639</v>
      </c>
      <c r="AD51" s="208">
        <v>2789140</v>
      </c>
    </row>
    <row r="52" spans="1:30" ht="15" x14ac:dyDescent="0.2">
      <c r="B52" s="6" t="s">
        <v>76</v>
      </c>
      <c r="C52" s="6" t="s">
        <v>76</v>
      </c>
      <c r="D52" s="7">
        <v>4012860</v>
      </c>
      <c r="E52" s="208">
        <v>3188183</v>
      </c>
      <c r="F52" s="208">
        <v>3012778</v>
      </c>
      <c r="G52" s="208">
        <v>2842538</v>
      </c>
      <c r="H52" s="208">
        <v>2521426</v>
      </c>
      <c r="I52" s="208">
        <v>2357517</v>
      </c>
      <c r="J52" s="208">
        <v>2199433</v>
      </c>
      <c r="K52" s="208">
        <v>2074488</v>
      </c>
      <c r="L52" s="208">
        <v>1976988</v>
      </c>
      <c r="M52" s="208">
        <v>1909082</v>
      </c>
      <c r="N52" s="208">
        <v>1834486</v>
      </c>
      <c r="O52" s="208">
        <v>1783075</v>
      </c>
      <c r="P52" s="208">
        <v>1656954</v>
      </c>
      <c r="Q52" s="208">
        <v>1625519</v>
      </c>
      <c r="R52" s="208">
        <v>1585995</v>
      </c>
      <c r="S52" s="208">
        <v>1565424</v>
      </c>
      <c r="T52" s="208">
        <v>1535161</v>
      </c>
      <c r="U52" s="208">
        <v>1500307</v>
      </c>
      <c r="V52" s="208">
        <v>1467990</v>
      </c>
      <c r="W52" s="208">
        <v>1425681</v>
      </c>
      <c r="X52" s="208">
        <v>1390797</v>
      </c>
      <c r="Y52" s="208">
        <v>1337981</v>
      </c>
      <c r="Z52" s="208">
        <v>1268840</v>
      </c>
      <c r="AA52" s="208">
        <v>1231898</v>
      </c>
      <c r="AB52" s="208">
        <v>1183580</v>
      </c>
      <c r="AC52" s="208">
        <v>1140580</v>
      </c>
      <c r="AD52" s="208">
        <v>1105861</v>
      </c>
    </row>
    <row r="53" spans="1:30" ht="15" x14ac:dyDescent="0.2">
      <c r="B53" s="6" t="s">
        <v>77</v>
      </c>
      <c r="C53" s="6" t="s">
        <v>78</v>
      </c>
      <c r="D53" s="7">
        <v>4061925</v>
      </c>
      <c r="E53" s="208">
        <v>392050</v>
      </c>
      <c r="F53" s="208">
        <v>366242</v>
      </c>
      <c r="G53" s="208">
        <v>346187</v>
      </c>
      <c r="H53" s="208">
        <v>326723</v>
      </c>
      <c r="I53" s="208">
        <v>294986</v>
      </c>
      <c r="J53" s="208">
        <v>275376</v>
      </c>
      <c r="K53" s="208">
        <v>255465</v>
      </c>
      <c r="L53" s="208">
        <v>236047</v>
      </c>
      <c r="M53" s="208">
        <v>224625</v>
      </c>
      <c r="N53" s="208">
        <v>213665</v>
      </c>
      <c r="O53" s="208">
        <v>199224</v>
      </c>
      <c r="P53" s="208">
        <v>187459</v>
      </c>
      <c r="Q53" s="208">
        <v>172131</v>
      </c>
      <c r="R53" s="208">
        <v>167593</v>
      </c>
      <c r="S53" s="208">
        <v>160675</v>
      </c>
      <c r="T53" s="208">
        <v>155628</v>
      </c>
      <c r="U53" s="208">
        <v>146749</v>
      </c>
      <c r="V53" s="208">
        <v>138764</v>
      </c>
      <c r="W53" s="208">
        <v>131951</v>
      </c>
      <c r="X53" s="208">
        <v>127635</v>
      </c>
      <c r="Y53" s="208">
        <v>123979</v>
      </c>
      <c r="Z53" s="208">
        <v>117201</v>
      </c>
      <c r="AA53" s="208">
        <v>111967</v>
      </c>
      <c r="AB53" s="208">
        <v>103801</v>
      </c>
      <c r="AC53" s="208">
        <v>98248</v>
      </c>
      <c r="AD53" s="208">
        <v>91801</v>
      </c>
    </row>
    <row r="54" spans="1:30" ht="15" x14ac:dyDescent="0.2">
      <c r="B54" s="6" t="s">
        <v>79</v>
      </c>
      <c r="C54" s="6" t="s">
        <v>79</v>
      </c>
      <c r="D54" s="7">
        <v>4057132</v>
      </c>
      <c r="E54" s="208" t="s">
        <v>123</v>
      </c>
      <c r="F54" s="208" t="s">
        <v>123</v>
      </c>
      <c r="G54" s="208" t="s">
        <v>123</v>
      </c>
      <c r="H54" s="208">
        <v>2955759</v>
      </c>
      <c r="I54" s="208">
        <v>2828186</v>
      </c>
      <c r="J54" s="208">
        <v>2730414</v>
      </c>
      <c r="K54" s="208">
        <v>2646814</v>
      </c>
      <c r="L54" s="208">
        <v>2571509</v>
      </c>
      <c r="M54" s="208">
        <v>2421489</v>
      </c>
      <c r="N54" s="208">
        <v>2309135</v>
      </c>
      <c r="O54" s="208">
        <v>2233795</v>
      </c>
      <c r="P54" s="208">
        <v>2173914</v>
      </c>
      <c r="Q54" s="208">
        <v>2105270</v>
      </c>
      <c r="R54" s="208">
        <v>2016574</v>
      </c>
      <c r="S54" s="208">
        <v>1929221</v>
      </c>
      <c r="T54" s="208">
        <v>1842587</v>
      </c>
      <c r="U54" s="208">
        <v>1772311</v>
      </c>
      <c r="V54" s="208" t="s">
        <v>123</v>
      </c>
      <c r="W54" s="208">
        <v>1498903</v>
      </c>
      <c r="X54" s="208">
        <v>1434009</v>
      </c>
      <c r="Y54" s="208">
        <v>1376680</v>
      </c>
      <c r="Z54" s="208">
        <v>1311323</v>
      </c>
      <c r="AA54" s="208">
        <v>1221743</v>
      </c>
      <c r="AB54" s="208">
        <v>1129310</v>
      </c>
      <c r="AC54" s="208">
        <v>1018256</v>
      </c>
      <c r="AD54" s="208">
        <v>947840</v>
      </c>
    </row>
    <row r="55" spans="1:30" ht="15" x14ac:dyDescent="0.2">
      <c r="A55" s="1" t="s">
        <v>30</v>
      </c>
      <c r="B55" s="6" t="s">
        <v>80</v>
      </c>
      <c r="C55" s="6" t="s">
        <v>80</v>
      </c>
      <c r="D55" s="7">
        <v>4057115</v>
      </c>
      <c r="E55" s="208">
        <v>1822314</v>
      </c>
      <c r="F55" s="208">
        <v>1640465</v>
      </c>
      <c r="G55" s="208">
        <v>1479308</v>
      </c>
      <c r="H55" s="208">
        <v>1330427</v>
      </c>
      <c r="I55" s="208">
        <v>1210609</v>
      </c>
      <c r="J55" s="208">
        <v>1082589</v>
      </c>
      <c r="K55" s="208">
        <v>1005801</v>
      </c>
      <c r="L55" s="208">
        <v>940851</v>
      </c>
      <c r="M55" s="208">
        <v>876905</v>
      </c>
      <c r="N55" s="208">
        <v>808911</v>
      </c>
      <c r="O55" s="208">
        <v>754213</v>
      </c>
      <c r="P55" s="208">
        <v>721802</v>
      </c>
      <c r="Q55" s="208">
        <v>674820</v>
      </c>
      <c r="R55" s="208">
        <v>639965</v>
      </c>
      <c r="S55" s="208">
        <v>601354</v>
      </c>
      <c r="T55" s="208">
        <v>566036</v>
      </c>
      <c r="U55" s="208">
        <v>536537</v>
      </c>
      <c r="V55" s="208">
        <v>505797</v>
      </c>
      <c r="W55" s="208">
        <v>483572</v>
      </c>
      <c r="X55" s="208" t="s">
        <v>123</v>
      </c>
      <c r="Y55" s="208">
        <v>414907</v>
      </c>
      <c r="Z55" s="208" t="s">
        <v>123</v>
      </c>
      <c r="AA55" s="208">
        <v>391069</v>
      </c>
      <c r="AB55" s="208">
        <v>373541</v>
      </c>
      <c r="AC55" s="208">
        <v>357403</v>
      </c>
      <c r="AD55" s="208">
        <v>346990</v>
      </c>
    </row>
    <row r="56" spans="1:30" ht="15" x14ac:dyDescent="0.2">
      <c r="B56" s="6" t="s">
        <v>81</v>
      </c>
      <c r="C56" s="6" t="s">
        <v>81</v>
      </c>
      <c r="D56" s="7">
        <v>4064479</v>
      </c>
      <c r="E56" s="208">
        <v>111443</v>
      </c>
      <c r="F56" s="208">
        <v>108457</v>
      </c>
      <c r="G56" s="208">
        <v>105654</v>
      </c>
      <c r="H56" s="208">
        <v>103113</v>
      </c>
      <c r="I56" s="208">
        <v>100493</v>
      </c>
      <c r="J56" s="208">
        <v>97435</v>
      </c>
      <c r="K56" s="208">
        <v>95165</v>
      </c>
      <c r="L56" s="208">
        <v>92664</v>
      </c>
      <c r="M56" s="208">
        <v>89569</v>
      </c>
      <c r="N56" s="208">
        <v>86684</v>
      </c>
      <c r="O56" s="208">
        <v>79615</v>
      </c>
      <c r="P56" s="208">
        <v>76513</v>
      </c>
      <c r="Q56" s="208">
        <v>74763</v>
      </c>
      <c r="R56" s="208">
        <v>72604</v>
      </c>
      <c r="S56" s="208">
        <v>70620</v>
      </c>
      <c r="T56" s="208">
        <v>68842</v>
      </c>
      <c r="U56" s="208">
        <v>67414</v>
      </c>
      <c r="V56" s="208">
        <v>65763</v>
      </c>
      <c r="W56" s="208">
        <v>64368</v>
      </c>
      <c r="X56" s="208">
        <v>63017</v>
      </c>
      <c r="Y56" s="208">
        <v>61314</v>
      </c>
      <c r="Z56" s="208">
        <v>59599</v>
      </c>
      <c r="AA56" s="208">
        <v>57732</v>
      </c>
      <c r="AB56" s="208">
        <v>55990</v>
      </c>
      <c r="AC56" s="208">
        <v>53706</v>
      </c>
      <c r="AD56" s="208">
        <v>50832</v>
      </c>
    </row>
    <row r="57" spans="1:30" ht="15" x14ac:dyDescent="0.2">
      <c r="B57" s="6" t="s">
        <v>82</v>
      </c>
      <c r="C57" s="6" t="s">
        <v>82</v>
      </c>
      <c r="D57" s="7">
        <v>4062025</v>
      </c>
      <c r="E57" s="208">
        <v>116288</v>
      </c>
      <c r="F57" s="208">
        <v>105838</v>
      </c>
      <c r="G57" s="208">
        <v>86401</v>
      </c>
      <c r="H57" s="208">
        <v>84245</v>
      </c>
      <c r="I57" s="208">
        <v>81808</v>
      </c>
      <c r="J57" s="208">
        <v>75999</v>
      </c>
      <c r="K57" s="208">
        <v>73428</v>
      </c>
      <c r="L57" s="208">
        <v>67600</v>
      </c>
      <c r="M57" s="208">
        <v>66011</v>
      </c>
      <c r="N57" s="208">
        <v>64051</v>
      </c>
      <c r="O57" s="208">
        <v>61968</v>
      </c>
      <c r="P57" s="208">
        <v>60605</v>
      </c>
      <c r="Q57" s="208">
        <v>59333</v>
      </c>
      <c r="R57" s="208">
        <v>54940</v>
      </c>
      <c r="S57" s="208">
        <v>52830</v>
      </c>
      <c r="T57" s="208">
        <v>51393</v>
      </c>
      <c r="U57" s="208">
        <v>50344</v>
      </c>
      <c r="V57" s="208">
        <v>48355</v>
      </c>
      <c r="W57" s="208">
        <v>46789</v>
      </c>
      <c r="X57" s="208">
        <v>45403</v>
      </c>
      <c r="Y57" s="208">
        <v>40517</v>
      </c>
      <c r="Z57" s="208">
        <v>39140</v>
      </c>
      <c r="AA57" s="208">
        <v>34465</v>
      </c>
      <c r="AB57" s="208">
        <v>32637</v>
      </c>
      <c r="AC57" s="208">
        <v>31166</v>
      </c>
      <c r="AD57" s="208">
        <v>28591</v>
      </c>
    </row>
    <row r="58" spans="1:30" ht="15" x14ac:dyDescent="0.2">
      <c r="B58" s="6" t="s">
        <v>83</v>
      </c>
      <c r="C58" s="6" t="s">
        <v>83</v>
      </c>
      <c r="D58" s="7">
        <v>4064481</v>
      </c>
      <c r="E58" s="208" t="s">
        <v>123</v>
      </c>
      <c r="F58" s="208" t="s">
        <v>123</v>
      </c>
      <c r="G58" s="208">
        <v>2452730</v>
      </c>
      <c r="H58" s="208">
        <v>2306804</v>
      </c>
      <c r="I58" s="208">
        <v>2181588</v>
      </c>
      <c r="J58" s="208">
        <v>2064937</v>
      </c>
      <c r="K58" s="208">
        <v>1961863</v>
      </c>
      <c r="L58" s="208">
        <v>1851641</v>
      </c>
      <c r="M58" s="208">
        <v>1743810</v>
      </c>
      <c r="N58" s="208">
        <v>1637745</v>
      </c>
      <c r="O58" s="208">
        <v>1549419</v>
      </c>
      <c r="P58" s="208">
        <v>1427672</v>
      </c>
      <c r="Q58" s="208">
        <v>1368651</v>
      </c>
      <c r="R58" s="208">
        <v>1281070</v>
      </c>
      <c r="S58" s="208">
        <v>1220263</v>
      </c>
      <c r="T58" s="208">
        <v>1166119</v>
      </c>
      <c r="U58" s="208">
        <v>1148277</v>
      </c>
      <c r="V58" s="208">
        <v>1071174</v>
      </c>
      <c r="W58" s="208">
        <v>1010110</v>
      </c>
      <c r="X58" s="208">
        <v>989002</v>
      </c>
      <c r="Y58" s="208">
        <v>940320</v>
      </c>
      <c r="Z58" s="208">
        <v>864347</v>
      </c>
      <c r="AA58" s="208">
        <v>765395</v>
      </c>
      <c r="AB58" s="208">
        <v>825819</v>
      </c>
      <c r="AC58" s="208">
        <v>787173</v>
      </c>
      <c r="AD58" s="208" t="s">
        <v>123</v>
      </c>
    </row>
    <row r="59" spans="1:30" ht="15" x14ac:dyDescent="0.2">
      <c r="A59" s="1" t="s">
        <v>30</v>
      </c>
      <c r="B59" s="6" t="s">
        <v>84</v>
      </c>
      <c r="C59" s="6" t="s">
        <v>84</v>
      </c>
      <c r="D59" s="7">
        <v>4057093</v>
      </c>
      <c r="E59" s="208">
        <v>910244</v>
      </c>
      <c r="F59" s="208">
        <v>864104</v>
      </c>
      <c r="G59" s="208">
        <v>804479</v>
      </c>
      <c r="H59" s="208">
        <v>757516</v>
      </c>
      <c r="I59" s="208">
        <v>710451</v>
      </c>
      <c r="J59" s="208">
        <v>666985</v>
      </c>
      <c r="K59" s="208">
        <v>629952</v>
      </c>
      <c r="L59" s="208">
        <v>599849</v>
      </c>
      <c r="M59" s="208">
        <v>570361</v>
      </c>
      <c r="N59" s="208">
        <v>531943</v>
      </c>
      <c r="O59" s="208">
        <v>502079</v>
      </c>
      <c r="P59" s="208">
        <v>447522</v>
      </c>
      <c r="Q59" s="208">
        <v>424054</v>
      </c>
      <c r="R59" s="208">
        <v>401856</v>
      </c>
      <c r="S59" s="208">
        <v>383566</v>
      </c>
      <c r="T59" s="208">
        <v>359504</v>
      </c>
      <c r="U59" s="208">
        <v>334566</v>
      </c>
      <c r="V59" s="208">
        <v>316723</v>
      </c>
      <c r="W59" s="208">
        <v>299221</v>
      </c>
      <c r="X59" s="208">
        <v>291033</v>
      </c>
      <c r="Y59" s="208">
        <v>278727</v>
      </c>
      <c r="Z59" s="208">
        <v>262716</v>
      </c>
      <c r="AA59" s="208">
        <v>245938</v>
      </c>
      <c r="AB59" s="208">
        <v>231266</v>
      </c>
      <c r="AC59" s="208">
        <v>218786</v>
      </c>
      <c r="AD59" s="208">
        <v>210209</v>
      </c>
    </row>
    <row r="60" spans="1:30" ht="15" x14ac:dyDescent="0.2">
      <c r="B60" s="6" t="s">
        <v>85</v>
      </c>
      <c r="C60" s="6" t="s">
        <v>85</v>
      </c>
      <c r="D60" s="7">
        <v>4004218</v>
      </c>
      <c r="E60" s="208">
        <v>21629634</v>
      </c>
      <c r="F60" s="208">
        <v>20104953</v>
      </c>
      <c r="G60" s="208">
        <v>19091876</v>
      </c>
      <c r="H60" s="208">
        <v>17234280</v>
      </c>
      <c r="I60" s="208">
        <v>15656633</v>
      </c>
      <c r="J60" s="208">
        <v>14616168</v>
      </c>
      <c r="K60" s="208">
        <v>13573531</v>
      </c>
      <c r="L60" s="208">
        <v>12392946</v>
      </c>
      <c r="M60" s="208">
        <v>10818798</v>
      </c>
      <c r="N60" s="208">
        <v>10177943</v>
      </c>
      <c r="O60" s="208">
        <v>9670660</v>
      </c>
      <c r="P60" s="208">
        <v>9100170</v>
      </c>
      <c r="Q60" s="208">
        <v>8727168</v>
      </c>
      <c r="R60" s="208">
        <v>8330146</v>
      </c>
      <c r="S60" s="208">
        <v>8015097</v>
      </c>
      <c r="T60" s="208">
        <v>7756963</v>
      </c>
      <c r="U60" s="208">
        <v>7432783</v>
      </c>
      <c r="V60" s="208">
        <v>7229782</v>
      </c>
      <c r="W60" s="208">
        <v>7022633</v>
      </c>
      <c r="X60" s="208">
        <v>6746421</v>
      </c>
      <c r="Y60" s="208">
        <v>6523568</v>
      </c>
      <c r="Z60" s="208">
        <v>6375179</v>
      </c>
      <c r="AA60" s="208">
        <v>6217242</v>
      </c>
      <c r="AB60" s="208">
        <v>5985326</v>
      </c>
      <c r="AC60" s="208">
        <v>5761685</v>
      </c>
      <c r="AD60" s="208">
        <v>5554164</v>
      </c>
    </row>
    <row r="61" spans="1:30" ht="15" x14ac:dyDescent="0.2">
      <c r="A61" s="1" t="s">
        <v>30</v>
      </c>
      <c r="B61" s="6" t="s">
        <v>86</v>
      </c>
      <c r="C61" s="6" t="s">
        <v>87</v>
      </c>
      <c r="D61" s="7">
        <v>4062222</v>
      </c>
      <c r="E61" s="208">
        <v>3098384</v>
      </c>
      <c r="F61" s="208">
        <v>2899113</v>
      </c>
      <c r="G61" s="208">
        <v>2693986</v>
      </c>
      <c r="H61" s="208">
        <v>2503565</v>
      </c>
      <c r="I61" s="208">
        <v>2348125</v>
      </c>
      <c r="J61" s="208">
        <v>2205404</v>
      </c>
      <c r="K61" s="208">
        <v>2071390</v>
      </c>
      <c r="L61" s="208">
        <v>1932368</v>
      </c>
      <c r="M61" s="208">
        <v>1859524</v>
      </c>
      <c r="N61" s="208">
        <v>1792877</v>
      </c>
      <c r="O61" s="208">
        <v>1731766</v>
      </c>
      <c r="P61" s="208">
        <v>1679020</v>
      </c>
      <c r="Q61" s="208">
        <v>1631395</v>
      </c>
      <c r="R61" s="208">
        <v>1581557</v>
      </c>
      <c r="S61" s="208">
        <v>1536761</v>
      </c>
      <c r="T61" s="208">
        <v>1483555</v>
      </c>
      <c r="U61" s="208">
        <v>1435893</v>
      </c>
      <c r="V61" s="208">
        <v>1381341</v>
      </c>
      <c r="W61" s="208">
        <v>1319024</v>
      </c>
      <c r="X61" s="208">
        <v>1280788</v>
      </c>
      <c r="Y61" s="208" t="s">
        <v>123</v>
      </c>
      <c r="Z61" s="208">
        <v>881393</v>
      </c>
      <c r="AA61" s="208">
        <v>877636</v>
      </c>
      <c r="AB61" s="208">
        <v>877562</v>
      </c>
      <c r="AC61" s="208">
        <v>875354</v>
      </c>
      <c r="AD61" s="208">
        <v>863494</v>
      </c>
    </row>
    <row r="62" spans="1:30" ht="15" x14ac:dyDescent="0.2">
      <c r="B62" s="6" t="s">
        <v>88</v>
      </c>
      <c r="C62" s="6" t="s">
        <v>89</v>
      </c>
      <c r="D62" s="7">
        <v>4057135</v>
      </c>
      <c r="E62" s="208">
        <v>6155332</v>
      </c>
      <c r="F62" s="208">
        <v>5425568</v>
      </c>
      <c r="G62" s="208">
        <v>5006846</v>
      </c>
      <c r="H62" s="208">
        <v>4668238</v>
      </c>
      <c r="I62" s="208">
        <v>4248779</v>
      </c>
      <c r="J62" s="208">
        <v>4015916</v>
      </c>
      <c r="K62" s="208">
        <v>3784722</v>
      </c>
      <c r="L62" s="208">
        <v>3516344</v>
      </c>
      <c r="M62" s="208">
        <v>3223184</v>
      </c>
      <c r="N62" s="208">
        <v>2990432</v>
      </c>
      <c r="O62" s="208">
        <v>2793760</v>
      </c>
      <c r="P62" s="208">
        <v>2647415</v>
      </c>
      <c r="Q62" s="208">
        <v>2590622</v>
      </c>
      <c r="R62" s="208">
        <v>2504597</v>
      </c>
      <c r="S62" s="208">
        <v>2347950</v>
      </c>
      <c r="T62" s="208">
        <v>2248692</v>
      </c>
      <c r="U62" s="208">
        <v>2229919</v>
      </c>
      <c r="V62" s="208">
        <v>2182572</v>
      </c>
      <c r="W62" s="208">
        <v>2123311</v>
      </c>
      <c r="X62" s="208">
        <v>2081445</v>
      </c>
      <c r="Y62" s="208">
        <v>2010778</v>
      </c>
      <c r="Z62" s="208">
        <v>1896199</v>
      </c>
      <c r="AA62" s="208">
        <v>1856057</v>
      </c>
      <c r="AB62" s="208">
        <v>1790803</v>
      </c>
      <c r="AC62" s="208">
        <v>1746600</v>
      </c>
      <c r="AD62" s="208">
        <v>1696723</v>
      </c>
    </row>
    <row r="63" spans="1:30" ht="15" x14ac:dyDescent="0.2">
      <c r="B63" s="6" t="s">
        <v>90</v>
      </c>
      <c r="C63" s="6" t="s">
        <v>90</v>
      </c>
      <c r="D63" s="7">
        <v>4063341</v>
      </c>
      <c r="E63" s="208">
        <v>2177138</v>
      </c>
      <c r="F63" s="208">
        <v>1927747</v>
      </c>
      <c r="G63" s="208">
        <v>1750033</v>
      </c>
      <c r="H63" s="208">
        <v>1601118</v>
      </c>
      <c r="I63" s="208">
        <v>1495402</v>
      </c>
      <c r="J63" s="208">
        <v>1399219</v>
      </c>
      <c r="K63" s="208">
        <v>1302933</v>
      </c>
      <c r="L63" s="208">
        <v>1243594</v>
      </c>
      <c r="M63" s="208">
        <v>1165833</v>
      </c>
      <c r="N63" s="208">
        <v>1098010</v>
      </c>
      <c r="O63" s="208">
        <v>1045039</v>
      </c>
      <c r="P63" s="208">
        <v>1017413</v>
      </c>
      <c r="Q63" s="208">
        <v>964615</v>
      </c>
      <c r="R63" s="208">
        <v>873761</v>
      </c>
      <c r="S63" s="208">
        <v>845131</v>
      </c>
      <c r="T63" s="208">
        <v>796895</v>
      </c>
      <c r="U63" s="208">
        <v>770864</v>
      </c>
      <c r="V63" s="208">
        <v>741127</v>
      </c>
      <c r="W63" s="208">
        <v>616247</v>
      </c>
      <c r="X63" s="208">
        <v>619356</v>
      </c>
      <c r="Y63" s="208">
        <v>597590</v>
      </c>
      <c r="Z63" s="208">
        <v>572817</v>
      </c>
      <c r="AA63" s="208">
        <v>500629</v>
      </c>
      <c r="AB63" s="208">
        <v>459829</v>
      </c>
      <c r="AC63" s="208">
        <v>399967</v>
      </c>
      <c r="AD63" s="208">
        <v>379385</v>
      </c>
    </row>
    <row r="64" spans="1:30" ht="15" x14ac:dyDescent="0.2">
      <c r="A64" s="1" t="s">
        <v>30</v>
      </c>
      <c r="B64" s="6" t="s">
        <v>91</v>
      </c>
      <c r="C64" s="6" t="s">
        <v>91</v>
      </c>
      <c r="D64" s="7">
        <v>4083575</v>
      </c>
      <c r="E64" s="208">
        <v>2172098</v>
      </c>
      <c r="F64" s="208">
        <v>2038514</v>
      </c>
      <c r="G64" s="208">
        <v>1905082</v>
      </c>
      <c r="H64" s="208">
        <v>1793557</v>
      </c>
      <c r="I64" s="208">
        <v>1741522</v>
      </c>
      <c r="J64" s="208">
        <v>1685179</v>
      </c>
      <c r="K64" s="208">
        <v>1646712</v>
      </c>
      <c r="L64" s="208">
        <v>1596623</v>
      </c>
      <c r="M64" s="208">
        <v>1575797</v>
      </c>
      <c r="N64" s="208">
        <v>1555052</v>
      </c>
      <c r="O64" s="208">
        <v>1530513</v>
      </c>
      <c r="P64" s="208">
        <v>1502008</v>
      </c>
      <c r="Q64" s="208">
        <v>1454940</v>
      </c>
      <c r="R64" s="208">
        <v>1421124</v>
      </c>
      <c r="S64" s="208">
        <v>1389788</v>
      </c>
      <c r="T64" s="208">
        <v>1362007</v>
      </c>
      <c r="U64" s="208">
        <v>1315903</v>
      </c>
      <c r="V64" s="208">
        <v>1283894</v>
      </c>
      <c r="W64" s="208">
        <v>1250867</v>
      </c>
      <c r="X64" s="208">
        <v>1148936</v>
      </c>
      <c r="Y64" s="208" t="s">
        <v>123</v>
      </c>
      <c r="Z64" s="208" t="s">
        <v>123</v>
      </c>
      <c r="AA64" s="208" t="s">
        <v>123</v>
      </c>
      <c r="AB64" s="208" t="s">
        <v>123</v>
      </c>
      <c r="AC64" s="208" t="s">
        <v>123</v>
      </c>
      <c r="AD64" s="208" t="s">
        <v>123</v>
      </c>
    </row>
    <row r="65" spans="1:30" ht="15" x14ac:dyDescent="0.2">
      <c r="B65" s="6" t="s">
        <v>92</v>
      </c>
      <c r="C65" s="6" t="s">
        <v>92</v>
      </c>
      <c r="D65" s="7">
        <v>4062303</v>
      </c>
      <c r="E65" s="208">
        <v>3610</v>
      </c>
      <c r="F65" s="208">
        <v>3535</v>
      </c>
      <c r="G65" s="208">
        <v>3193</v>
      </c>
      <c r="H65" s="208">
        <v>3023</v>
      </c>
      <c r="I65" s="208" t="s">
        <v>123</v>
      </c>
      <c r="J65" s="208">
        <v>2893</v>
      </c>
      <c r="K65" s="208">
        <v>2764</v>
      </c>
      <c r="L65" s="208">
        <v>2690</v>
      </c>
      <c r="M65" s="208">
        <v>2568</v>
      </c>
      <c r="N65" s="208">
        <v>2077</v>
      </c>
      <c r="O65" s="208">
        <v>2042</v>
      </c>
      <c r="P65" s="208">
        <v>1922</v>
      </c>
      <c r="Q65" s="208">
        <v>1853</v>
      </c>
      <c r="R65" s="208">
        <v>1690</v>
      </c>
      <c r="S65" s="208">
        <v>1557</v>
      </c>
      <c r="T65" s="208">
        <v>1494</v>
      </c>
      <c r="U65" s="208">
        <v>1162</v>
      </c>
      <c r="V65" s="208">
        <v>1109</v>
      </c>
      <c r="W65" s="208">
        <v>1099</v>
      </c>
      <c r="X65" s="208">
        <v>1001</v>
      </c>
      <c r="Y65" s="208">
        <v>902</v>
      </c>
      <c r="Z65" s="208" t="s">
        <v>123</v>
      </c>
      <c r="AA65" s="208" t="s">
        <v>123</v>
      </c>
      <c r="AB65" s="208" t="s">
        <v>123</v>
      </c>
      <c r="AC65" s="208" t="s">
        <v>123</v>
      </c>
      <c r="AD65" s="208" t="s">
        <v>123</v>
      </c>
    </row>
    <row r="66" spans="1:30" ht="15" x14ac:dyDescent="0.2">
      <c r="B66" s="6" t="s">
        <v>93</v>
      </c>
      <c r="C66" s="6" t="s">
        <v>93</v>
      </c>
      <c r="D66" s="7">
        <v>4083581</v>
      </c>
      <c r="E66" s="208">
        <v>9048</v>
      </c>
      <c r="F66" s="208">
        <v>8762</v>
      </c>
      <c r="G66" s="208">
        <v>8540</v>
      </c>
      <c r="H66" s="208">
        <v>8260</v>
      </c>
      <c r="I66" s="208">
        <v>7538</v>
      </c>
      <c r="J66" s="208">
        <v>7069</v>
      </c>
      <c r="K66" s="208">
        <v>6517</v>
      </c>
      <c r="L66" s="208">
        <v>6854</v>
      </c>
      <c r="M66" s="208">
        <v>6517</v>
      </c>
      <c r="N66" s="208">
        <v>6512</v>
      </c>
      <c r="O66" s="208">
        <v>6382</v>
      </c>
      <c r="P66" s="208">
        <v>6375</v>
      </c>
      <c r="Q66" s="208">
        <v>6345</v>
      </c>
      <c r="R66" s="208">
        <v>6355</v>
      </c>
      <c r="S66" s="208">
        <v>6213</v>
      </c>
      <c r="T66" s="208">
        <v>6100</v>
      </c>
      <c r="U66" s="208">
        <v>5782</v>
      </c>
      <c r="V66" s="208">
        <v>5466</v>
      </c>
      <c r="W66" s="208" t="s">
        <v>123</v>
      </c>
      <c r="X66" s="208">
        <v>5090</v>
      </c>
      <c r="Y66" s="208">
        <v>4666</v>
      </c>
      <c r="Z66" s="208" t="s">
        <v>123</v>
      </c>
      <c r="AA66" s="208" t="s">
        <v>123</v>
      </c>
      <c r="AB66" s="208" t="s">
        <v>123</v>
      </c>
      <c r="AC66" s="208" t="s">
        <v>123</v>
      </c>
      <c r="AD66" s="208" t="s">
        <v>123</v>
      </c>
    </row>
    <row r="67" spans="1:30" ht="15" x14ac:dyDescent="0.2">
      <c r="B67" s="6" t="s">
        <v>94</v>
      </c>
      <c r="C67" s="6" t="s">
        <v>94</v>
      </c>
      <c r="D67" s="7">
        <v>4057139</v>
      </c>
      <c r="E67" s="208">
        <v>2850859</v>
      </c>
      <c r="F67" s="208">
        <v>2726254</v>
      </c>
      <c r="G67" s="208">
        <v>2367788</v>
      </c>
      <c r="H67" s="208">
        <v>2203874</v>
      </c>
      <c r="I67" s="208">
        <v>1932599</v>
      </c>
      <c r="J67" s="208">
        <v>1728159</v>
      </c>
      <c r="K67" s="208">
        <v>1629932</v>
      </c>
      <c r="L67" s="208">
        <v>1481902</v>
      </c>
      <c r="M67" s="208">
        <v>1426106</v>
      </c>
      <c r="N67" s="208">
        <v>1370866</v>
      </c>
      <c r="O67" s="208">
        <v>1297274</v>
      </c>
      <c r="P67" s="208">
        <v>1259200</v>
      </c>
      <c r="Q67" s="208">
        <v>1231059</v>
      </c>
      <c r="R67" s="208">
        <v>1151481</v>
      </c>
      <c r="S67" s="208">
        <v>1077273</v>
      </c>
      <c r="T67" s="208">
        <v>991344</v>
      </c>
      <c r="U67" s="208">
        <v>940817</v>
      </c>
      <c r="V67" s="208">
        <v>915872</v>
      </c>
      <c r="W67" s="208">
        <v>885998</v>
      </c>
      <c r="X67" s="208">
        <v>842772</v>
      </c>
      <c r="Y67" s="208">
        <v>764785</v>
      </c>
      <c r="Z67" s="208">
        <v>754087</v>
      </c>
      <c r="AA67" s="208">
        <v>718213</v>
      </c>
      <c r="AB67" s="208">
        <v>671071</v>
      </c>
      <c r="AC67" s="208">
        <v>617544</v>
      </c>
      <c r="AD67" s="208">
        <v>561929</v>
      </c>
    </row>
    <row r="68" spans="1:30" ht="15" x14ac:dyDescent="0.2">
      <c r="A68" s="1" t="s">
        <v>30</v>
      </c>
      <c r="B68" s="6" t="s">
        <v>95</v>
      </c>
      <c r="C68" s="6" t="s">
        <v>95</v>
      </c>
      <c r="D68" s="7">
        <v>4057095</v>
      </c>
      <c r="E68" s="208" t="s">
        <v>123</v>
      </c>
      <c r="F68" s="208">
        <v>8711024</v>
      </c>
      <c r="G68" s="208">
        <v>8126332</v>
      </c>
      <c r="H68" s="208">
        <v>7350276</v>
      </c>
      <c r="I68" s="208">
        <v>6634736</v>
      </c>
      <c r="J68" s="208">
        <v>6119161</v>
      </c>
      <c r="K68" s="208">
        <v>5736847</v>
      </c>
      <c r="L68" s="208">
        <v>5485700</v>
      </c>
      <c r="M68" s="208">
        <v>5322287</v>
      </c>
      <c r="N68" s="208">
        <v>5119132</v>
      </c>
      <c r="O68" s="208">
        <v>4948477</v>
      </c>
      <c r="P68" s="208">
        <v>4703023</v>
      </c>
      <c r="Q68" s="208">
        <v>4525896</v>
      </c>
      <c r="R68" s="208">
        <v>4322406</v>
      </c>
      <c r="S68" s="208">
        <v>4167457</v>
      </c>
      <c r="T68" s="208">
        <v>3976672</v>
      </c>
      <c r="U68" s="208">
        <v>3731368</v>
      </c>
      <c r="V68" s="208">
        <v>3596394</v>
      </c>
      <c r="W68" s="208">
        <v>3436393</v>
      </c>
      <c r="X68" s="208">
        <v>3284628</v>
      </c>
      <c r="Y68" s="208">
        <v>3176805</v>
      </c>
      <c r="Z68" s="208">
        <v>3019300</v>
      </c>
      <c r="AA68" s="208">
        <v>2847093</v>
      </c>
      <c r="AB68" s="208">
        <v>2697343</v>
      </c>
      <c r="AC68" s="208">
        <v>2555901</v>
      </c>
      <c r="AD68" s="208">
        <v>2442572</v>
      </c>
    </row>
    <row r="69" spans="1:30" ht="15" x14ac:dyDescent="0.2">
      <c r="B69" s="6" t="s">
        <v>96</v>
      </c>
      <c r="C69" s="6" t="s">
        <v>96</v>
      </c>
      <c r="D69" s="7">
        <v>4062485</v>
      </c>
      <c r="E69" s="208">
        <v>4507642</v>
      </c>
      <c r="F69" s="208">
        <v>4232155</v>
      </c>
      <c r="G69" s="208">
        <v>3975895</v>
      </c>
      <c r="H69" s="208">
        <v>3740526</v>
      </c>
      <c r="I69" s="208">
        <v>3532504</v>
      </c>
      <c r="J69" s="208">
        <v>3345940</v>
      </c>
      <c r="K69" s="208">
        <v>3220615</v>
      </c>
      <c r="L69" s="208">
        <v>3075337</v>
      </c>
      <c r="M69" s="208">
        <v>2946179</v>
      </c>
      <c r="N69" s="208">
        <v>2791268</v>
      </c>
      <c r="O69" s="208">
        <v>2690606</v>
      </c>
      <c r="P69" s="208">
        <v>2580448</v>
      </c>
      <c r="Q69" s="208">
        <v>2446775</v>
      </c>
      <c r="R69" s="208">
        <v>2273292</v>
      </c>
      <c r="S69" s="208">
        <v>2097628</v>
      </c>
      <c r="T69" s="208">
        <v>1959946</v>
      </c>
      <c r="U69" s="208">
        <v>1848843</v>
      </c>
      <c r="V69" s="208">
        <v>1707559</v>
      </c>
      <c r="W69" s="208">
        <v>1618020</v>
      </c>
      <c r="X69" s="208">
        <v>1518251</v>
      </c>
      <c r="Y69" s="208">
        <v>1406306</v>
      </c>
      <c r="Z69" s="208">
        <v>1307207</v>
      </c>
      <c r="AA69" s="208">
        <v>1218354</v>
      </c>
      <c r="AB69" s="208">
        <v>1169466</v>
      </c>
      <c r="AC69" s="208">
        <v>1147927</v>
      </c>
      <c r="AD69" s="208">
        <v>1068545</v>
      </c>
    </row>
    <row r="70" spans="1:30" ht="15" x14ac:dyDescent="0.2">
      <c r="B70" s="6" t="s">
        <v>97</v>
      </c>
      <c r="C70" s="6" t="s">
        <v>97</v>
      </c>
      <c r="D70" s="7">
        <v>4057140</v>
      </c>
      <c r="E70" s="208">
        <v>3525652</v>
      </c>
      <c r="F70" s="208">
        <v>3306186</v>
      </c>
      <c r="G70" s="208">
        <v>3166151</v>
      </c>
      <c r="H70" s="208">
        <v>2976386</v>
      </c>
      <c r="I70" s="208">
        <v>2826523</v>
      </c>
      <c r="J70" s="208">
        <v>2518247</v>
      </c>
      <c r="K70" s="208">
        <v>2309700</v>
      </c>
      <c r="L70" s="208">
        <v>2151651</v>
      </c>
      <c r="M70" s="208">
        <v>1971070</v>
      </c>
      <c r="N70" s="208">
        <v>1866456</v>
      </c>
      <c r="O70" s="208">
        <v>1761511</v>
      </c>
      <c r="P70" s="208">
        <v>1680562</v>
      </c>
      <c r="Q70" s="208">
        <v>1621809</v>
      </c>
      <c r="R70" s="208">
        <v>1504723</v>
      </c>
      <c r="S70" s="208">
        <v>1385862</v>
      </c>
      <c r="T70" s="208">
        <v>1363285</v>
      </c>
      <c r="U70" s="208">
        <v>1299645</v>
      </c>
      <c r="V70" s="208">
        <v>1219302</v>
      </c>
      <c r="W70" s="208">
        <v>1176976</v>
      </c>
      <c r="X70" s="208">
        <v>1111006</v>
      </c>
      <c r="Y70" s="208">
        <v>1041063</v>
      </c>
      <c r="Z70" s="208">
        <v>943591</v>
      </c>
      <c r="AA70" s="208">
        <v>897118</v>
      </c>
      <c r="AB70" s="208">
        <v>836491</v>
      </c>
      <c r="AC70" s="208">
        <v>804234</v>
      </c>
      <c r="AD70" s="208">
        <v>763290</v>
      </c>
    </row>
    <row r="71" spans="1:30" ht="15" x14ac:dyDescent="0.2">
      <c r="A71" s="1" t="s">
        <v>30</v>
      </c>
      <c r="B71" s="6" t="s">
        <v>98</v>
      </c>
      <c r="C71" s="6" t="s">
        <v>99</v>
      </c>
      <c r="D71" s="7">
        <v>4057096</v>
      </c>
      <c r="E71" s="208">
        <v>1035679</v>
      </c>
      <c r="F71" s="208">
        <v>994193</v>
      </c>
      <c r="G71" s="208">
        <v>911829</v>
      </c>
      <c r="H71" s="208">
        <v>875117</v>
      </c>
      <c r="I71" s="208">
        <v>794212</v>
      </c>
      <c r="J71" s="208">
        <v>761755</v>
      </c>
      <c r="K71" s="208">
        <v>742387</v>
      </c>
      <c r="L71" s="208">
        <v>717183</v>
      </c>
      <c r="M71" s="208">
        <v>691619</v>
      </c>
      <c r="N71" s="208">
        <v>660125</v>
      </c>
      <c r="O71" s="208">
        <v>638630</v>
      </c>
      <c r="P71" s="208">
        <v>620776</v>
      </c>
      <c r="Q71" s="208">
        <v>614221</v>
      </c>
      <c r="R71" s="208">
        <v>599654</v>
      </c>
      <c r="S71" s="208">
        <v>585293</v>
      </c>
      <c r="T71" s="208">
        <v>573380</v>
      </c>
      <c r="U71" s="208">
        <v>557908</v>
      </c>
      <c r="V71" s="208" t="s">
        <v>123</v>
      </c>
      <c r="W71" s="208" t="s">
        <v>123</v>
      </c>
      <c r="X71" s="208">
        <v>496594</v>
      </c>
      <c r="Y71" s="208">
        <v>471051</v>
      </c>
      <c r="Z71" s="208">
        <v>453635</v>
      </c>
      <c r="AA71" s="208">
        <v>435318</v>
      </c>
      <c r="AB71" s="208">
        <v>416989</v>
      </c>
      <c r="AC71" s="208">
        <v>391231</v>
      </c>
      <c r="AD71" s="208">
        <v>382071</v>
      </c>
    </row>
    <row r="72" spans="1:30" ht="15" x14ac:dyDescent="0.2">
      <c r="B72" s="6" t="s">
        <v>100</v>
      </c>
      <c r="C72" s="6" t="s">
        <v>100</v>
      </c>
      <c r="D72" s="7">
        <v>4057097</v>
      </c>
      <c r="E72" s="208" t="s">
        <v>123</v>
      </c>
      <c r="F72" s="208" t="s">
        <v>123</v>
      </c>
      <c r="G72" s="208">
        <v>2382699</v>
      </c>
      <c r="H72" s="208">
        <v>2186086</v>
      </c>
      <c r="I72" s="208">
        <v>1896993</v>
      </c>
      <c r="J72" s="208">
        <v>1641760</v>
      </c>
      <c r="K72" s="208">
        <v>1535049</v>
      </c>
      <c r="L72" s="208">
        <v>1454074</v>
      </c>
      <c r="M72" s="208">
        <v>1405856</v>
      </c>
      <c r="N72" s="208">
        <v>1348547</v>
      </c>
      <c r="O72" s="208">
        <v>1280263</v>
      </c>
      <c r="P72" s="208">
        <v>1203600</v>
      </c>
      <c r="Q72" s="208">
        <v>1149828</v>
      </c>
      <c r="R72" s="208">
        <v>1142517</v>
      </c>
      <c r="S72" s="208">
        <v>1118580</v>
      </c>
      <c r="T72" s="208">
        <v>1086765</v>
      </c>
      <c r="U72" s="208">
        <v>1034643</v>
      </c>
      <c r="V72" s="208">
        <v>1011366</v>
      </c>
      <c r="W72" s="208">
        <v>982290</v>
      </c>
      <c r="X72" s="208">
        <v>954909</v>
      </c>
      <c r="Y72" s="208">
        <v>924926</v>
      </c>
      <c r="Z72" s="208">
        <v>902823</v>
      </c>
      <c r="AA72" s="208">
        <v>868564</v>
      </c>
      <c r="AB72" s="208">
        <v>844007</v>
      </c>
      <c r="AC72" s="208">
        <v>809200</v>
      </c>
      <c r="AD72" s="208">
        <v>763101</v>
      </c>
    </row>
    <row r="73" spans="1:30" ht="15" x14ac:dyDescent="0.2">
      <c r="B73" s="6" t="s">
        <v>101</v>
      </c>
      <c r="C73" s="6" t="s">
        <v>101</v>
      </c>
      <c r="D73" s="7">
        <v>4057098</v>
      </c>
      <c r="E73" s="208" t="s">
        <v>123</v>
      </c>
      <c r="F73" s="208">
        <v>429421</v>
      </c>
      <c r="G73" s="208">
        <v>415461</v>
      </c>
      <c r="H73" s="208">
        <v>402790</v>
      </c>
      <c r="I73" s="208">
        <v>394618</v>
      </c>
      <c r="J73" s="208">
        <v>385431</v>
      </c>
      <c r="K73" s="208">
        <v>376578</v>
      </c>
      <c r="L73" s="208">
        <v>367578</v>
      </c>
      <c r="M73" s="208">
        <v>351629</v>
      </c>
      <c r="N73" s="208">
        <v>314781</v>
      </c>
      <c r="O73" s="208">
        <v>306068</v>
      </c>
      <c r="P73" s="208">
        <v>297904</v>
      </c>
      <c r="Q73" s="208">
        <v>280238</v>
      </c>
      <c r="R73" s="208">
        <v>268738</v>
      </c>
      <c r="S73" s="208">
        <v>254382</v>
      </c>
      <c r="T73" s="208">
        <v>242891</v>
      </c>
      <c r="U73" s="208">
        <v>228386</v>
      </c>
      <c r="V73" s="208">
        <v>219417</v>
      </c>
      <c r="W73" s="208">
        <v>202670</v>
      </c>
      <c r="X73" s="208" t="s">
        <v>123</v>
      </c>
      <c r="Y73" s="208">
        <v>174647</v>
      </c>
      <c r="Z73" s="208">
        <v>161736</v>
      </c>
      <c r="AA73" s="208">
        <v>154578</v>
      </c>
      <c r="AB73" s="208">
        <v>146634</v>
      </c>
      <c r="AC73" s="208">
        <v>134656</v>
      </c>
      <c r="AD73" s="208">
        <v>125497</v>
      </c>
    </row>
    <row r="74" spans="1:30" ht="15" x14ac:dyDescent="0.2">
      <c r="A74" s="1" t="s">
        <v>30</v>
      </c>
      <c r="B74" s="6" t="s">
        <v>102</v>
      </c>
      <c r="C74" s="6" t="s">
        <v>102</v>
      </c>
      <c r="D74" s="7">
        <v>4063023</v>
      </c>
      <c r="E74" s="208" t="s">
        <v>123</v>
      </c>
      <c r="F74" s="208">
        <v>3047369</v>
      </c>
      <c r="G74" s="208">
        <v>2823101</v>
      </c>
      <c r="H74" s="208">
        <v>2541051</v>
      </c>
      <c r="I74" s="208">
        <v>2359522</v>
      </c>
      <c r="J74" s="208">
        <v>2139898</v>
      </c>
      <c r="K74" s="208">
        <v>1923107</v>
      </c>
      <c r="L74" s="208">
        <v>1742237</v>
      </c>
      <c r="M74" s="208">
        <v>1618932</v>
      </c>
      <c r="N74" s="208">
        <v>1482690</v>
      </c>
      <c r="O74" s="208">
        <v>1365232</v>
      </c>
      <c r="P74" s="208">
        <v>1234168</v>
      </c>
      <c r="Q74" s="208">
        <v>1166358</v>
      </c>
      <c r="R74" s="208">
        <v>1119806</v>
      </c>
      <c r="S74" s="208">
        <v>1075194</v>
      </c>
      <c r="T74" s="208">
        <v>1014402</v>
      </c>
      <c r="U74" s="208">
        <v>943313</v>
      </c>
      <c r="V74" s="208">
        <v>889136</v>
      </c>
      <c r="W74" s="208">
        <v>841653</v>
      </c>
      <c r="X74" s="208">
        <v>801063</v>
      </c>
      <c r="Y74" s="208">
        <v>761086</v>
      </c>
      <c r="Z74" s="208">
        <v>718478</v>
      </c>
      <c r="AA74" s="208">
        <v>676480</v>
      </c>
      <c r="AB74" s="208">
        <v>615806</v>
      </c>
      <c r="AC74" s="208">
        <v>573548</v>
      </c>
      <c r="AD74" s="208">
        <v>538139</v>
      </c>
    </row>
    <row r="75" spans="1:30" ht="15" x14ac:dyDescent="0.2">
      <c r="B75" s="6" t="s">
        <v>103</v>
      </c>
      <c r="C75" s="6" t="s">
        <v>103</v>
      </c>
      <c r="D75" s="7">
        <v>4057146</v>
      </c>
      <c r="E75" s="208" t="s">
        <v>123</v>
      </c>
      <c r="F75" s="208">
        <v>18281117</v>
      </c>
      <c r="G75" s="208">
        <v>17178926</v>
      </c>
      <c r="H75" s="208">
        <v>15675511</v>
      </c>
      <c r="I75" s="208">
        <v>14346945</v>
      </c>
      <c r="J75" s="208">
        <v>13161515</v>
      </c>
      <c r="K75" s="208">
        <v>12022432</v>
      </c>
      <c r="L75" s="208">
        <v>11321853</v>
      </c>
      <c r="M75" s="208">
        <v>10683957</v>
      </c>
      <c r="N75" s="208">
        <v>9976028</v>
      </c>
      <c r="O75" s="208">
        <v>9286535</v>
      </c>
      <c r="P75" s="208">
        <v>8813382</v>
      </c>
      <c r="Q75" s="208">
        <v>8429380</v>
      </c>
      <c r="R75" s="208">
        <v>8089647</v>
      </c>
      <c r="S75" s="208">
        <v>7827324</v>
      </c>
      <c r="T75" s="208">
        <v>7427607</v>
      </c>
      <c r="U75" s="208">
        <v>7069652</v>
      </c>
      <c r="V75" s="208">
        <v>6797173</v>
      </c>
      <c r="W75" s="208">
        <v>6473455</v>
      </c>
      <c r="X75" s="208">
        <v>6234647</v>
      </c>
      <c r="Y75" s="208">
        <v>6148438</v>
      </c>
      <c r="Z75" s="208">
        <v>6014463</v>
      </c>
      <c r="AA75" s="208">
        <v>5899908</v>
      </c>
      <c r="AB75" s="208">
        <v>5807948</v>
      </c>
      <c r="AC75" s="208">
        <v>5793759</v>
      </c>
      <c r="AD75" s="208" t="s">
        <v>123</v>
      </c>
    </row>
    <row r="76" spans="1:30" ht="15" x14ac:dyDescent="0.2">
      <c r="A76" s="1" t="s">
        <v>30</v>
      </c>
      <c r="B76" s="6" t="s">
        <v>104</v>
      </c>
      <c r="C76" s="6" t="s">
        <v>105</v>
      </c>
      <c r="D76" s="7">
        <v>4063060</v>
      </c>
      <c r="E76" s="208">
        <v>1109821</v>
      </c>
      <c r="F76" s="208">
        <v>1051580</v>
      </c>
      <c r="G76" s="208">
        <v>984639</v>
      </c>
      <c r="H76" s="208">
        <v>900742</v>
      </c>
      <c r="I76" s="208">
        <v>863316</v>
      </c>
      <c r="J76" s="208">
        <v>807062</v>
      </c>
      <c r="K76" s="208">
        <v>735931</v>
      </c>
      <c r="L76" s="208">
        <v>688427</v>
      </c>
      <c r="M76" s="208">
        <v>668946</v>
      </c>
      <c r="N76" s="208">
        <v>643633</v>
      </c>
      <c r="O76" s="208">
        <v>625099</v>
      </c>
      <c r="P76" s="208">
        <v>613478</v>
      </c>
      <c r="Q76" s="208">
        <v>597404</v>
      </c>
      <c r="R76" s="208">
        <v>573169</v>
      </c>
      <c r="S76" s="208">
        <v>570197</v>
      </c>
      <c r="T76" s="208">
        <v>549696</v>
      </c>
      <c r="U76" s="208">
        <v>521746</v>
      </c>
      <c r="V76" s="208">
        <v>504283</v>
      </c>
      <c r="W76" s="208">
        <v>485511</v>
      </c>
      <c r="X76" s="208">
        <v>464313</v>
      </c>
      <c r="Y76" s="208">
        <v>437047</v>
      </c>
      <c r="Z76" s="208" t="s">
        <v>123</v>
      </c>
      <c r="AA76" s="208">
        <v>406948</v>
      </c>
      <c r="AB76" s="208">
        <v>396263</v>
      </c>
      <c r="AC76" s="208">
        <v>372776</v>
      </c>
      <c r="AD76" s="208">
        <v>350716</v>
      </c>
    </row>
    <row r="77" spans="1:30" ht="15" x14ac:dyDescent="0.2">
      <c r="B77" s="6" t="s">
        <v>106</v>
      </c>
      <c r="C77" s="6" t="s">
        <v>106</v>
      </c>
      <c r="D77" s="7">
        <v>4057100</v>
      </c>
      <c r="E77" s="208">
        <v>573423</v>
      </c>
      <c r="F77" s="208">
        <v>533491</v>
      </c>
      <c r="G77" s="208">
        <v>483339</v>
      </c>
      <c r="H77" s="208">
        <v>427379</v>
      </c>
      <c r="I77" s="208">
        <v>387005</v>
      </c>
      <c r="J77" s="208">
        <v>351007</v>
      </c>
      <c r="K77" s="208">
        <v>314682</v>
      </c>
      <c r="L77" s="208">
        <v>277939</v>
      </c>
      <c r="M77" s="208">
        <v>264799</v>
      </c>
      <c r="N77" s="208">
        <v>255115</v>
      </c>
      <c r="O77" s="208">
        <v>246710</v>
      </c>
      <c r="P77" s="208">
        <v>229187</v>
      </c>
      <c r="Q77" s="208">
        <v>209486</v>
      </c>
      <c r="R77" s="208">
        <v>198221</v>
      </c>
      <c r="S77" s="208">
        <v>192504</v>
      </c>
      <c r="T77" s="208">
        <v>182191</v>
      </c>
      <c r="U77" s="208">
        <v>175353</v>
      </c>
      <c r="V77" s="208">
        <v>170866</v>
      </c>
      <c r="W77" s="208">
        <v>164511</v>
      </c>
      <c r="X77" s="208">
        <v>155051</v>
      </c>
      <c r="Y77" s="208">
        <v>152357</v>
      </c>
      <c r="Z77" s="208">
        <v>147324</v>
      </c>
      <c r="AA77" s="208">
        <v>141256</v>
      </c>
      <c r="AB77" s="208">
        <v>134255</v>
      </c>
      <c r="AC77" s="208">
        <v>124608</v>
      </c>
      <c r="AD77" s="208">
        <v>118130</v>
      </c>
    </row>
    <row r="78" spans="1:30" ht="15" x14ac:dyDescent="0.2">
      <c r="B78" s="6" t="s">
        <v>107</v>
      </c>
      <c r="C78" s="6" t="s">
        <v>107</v>
      </c>
      <c r="D78" s="7">
        <v>4064035</v>
      </c>
      <c r="E78" s="208" t="s">
        <v>123</v>
      </c>
      <c r="F78" s="208">
        <v>66197</v>
      </c>
      <c r="G78" s="208">
        <v>58637</v>
      </c>
      <c r="H78" s="208">
        <v>55916</v>
      </c>
      <c r="I78" s="208">
        <v>54062</v>
      </c>
      <c r="J78" s="208">
        <v>51191</v>
      </c>
      <c r="K78" s="208">
        <v>47366</v>
      </c>
      <c r="L78" s="208">
        <v>45155</v>
      </c>
      <c r="M78" s="208">
        <v>42069</v>
      </c>
      <c r="N78" s="208">
        <v>40807</v>
      </c>
      <c r="O78" s="208">
        <v>39617</v>
      </c>
      <c r="P78" s="208">
        <v>38225</v>
      </c>
      <c r="Q78" s="208">
        <v>36894</v>
      </c>
      <c r="R78" s="208">
        <v>35680</v>
      </c>
      <c r="S78" s="208">
        <v>34226</v>
      </c>
      <c r="T78" s="208">
        <v>32946</v>
      </c>
      <c r="U78" s="208">
        <v>31829</v>
      </c>
      <c r="V78" s="208">
        <v>30787</v>
      </c>
      <c r="W78" s="208" t="s">
        <v>123</v>
      </c>
      <c r="X78" s="208">
        <v>28467</v>
      </c>
      <c r="Y78" s="208">
        <v>27667</v>
      </c>
      <c r="Z78" s="208" t="s">
        <v>123</v>
      </c>
      <c r="AA78" s="208">
        <v>24819</v>
      </c>
      <c r="AB78" s="208">
        <v>23657</v>
      </c>
      <c r="AC78" s="208">
        <v>22478</v>
      </c>
      <c r="AD78" s="208">
        <v>20580</v>
      </c>
    </row>
    <row r="79" spans="1:30" ht="15" x14ac:dyDescent="0.2">
      <c r="B79" s="6" t="s">
        <v>108</v>
      </c>
      <c r="C79" s="6" t="s">
        <v>108</v>
      </c>
      <c r="D79" s="7">
        <v>4060957</v>
      </c>
      <c r="E79" s="208">
        <v>2456603</v>
      </c>
      <c r="F79" s="208">
        <v>2296306</v>
      </c>
      <c r="G79" s="208">
        <v>2136412</v>
      </c>
      <c r="H79" s="208">
        <v>2037408</v>
      </c>
      <c r="I79" s="208">
        <v>1858737</v>
      </c>
      <c r="J79" s="208">
        <v>1760731</v>
      </c>
      <c r="K79" s="208">
        <v>1638164</v>
      </c>
      <c r="L79" s="208">
        <v>1563570</v>
      </c>
      <c r="M79" s="208">
        <v>1430773</v>
      </c>
      <c r="N79" s="208">
        <v>1358095</v>
      </c>
      <c r="O79" s="208">
        <v>1305657</v>
      </c>
      <c r="P79" s="208">
        <v>1262325</v>
      </c>
      <c r="Q79" s="208">
        <v>1216064</v>
      </c>
      <c r="R79" s="208">
        <v>1173731</v>
      </c>
      <c r="S79" s="208">
        <v>1139113</v>
      </c>
      <c r="T79" s="208">
        <v>1093484</v>
      </c>
      <c r="U79" s="208">
        <v>1056031</v>
      </c>
      <c r="V79" s="208">
        <v>1018403</v>
      </c>
      <c r="W79" s="208">
        <v>942571</v>
      </c>
      <c r="X79" s="208">
        <v>942571</v>
      </c>
      <c r="Y79" s="208">
        <v>866321</v>
      </c>
      <c r="Z79" s="208">
        <v>866321</v>
      </c>
      <c r="AA79" s="208">
        <v>816748</v>
      </c>
      <c r="AB79" s="208">
        <v>781338</v>
      </c>
      <c r="AC79" s="208">
        <v>770725</v>
      </c>
      <c r="AD79" s="208">
        <v>735866</v>
      </c>
    </row>
    <row r="80" spans="1:30" ht="15" x14ac:dyDescent="0.2">
      <c r="B80" s="6" t="s">
        <v>109</v>
      </c>
      <c r="C80" s="6" t="s">
        <v>109</v>
      </c>
      <c r="D80" s="7">
        <v>4063179</v>
      </c>
      <c r="E80" s="208">
        <v>8236</v>
      </c>
      <c r="F80" s="208">
        <v>8215</v>
      </c>
      <c r="G80" s="208">
        <v>7739</v>
      </c>
      <c r="H80" s="208">
        <v>7387</v>
      </c>
      <c r="I80" s="208">
        <v>7236</v>
      </c>
      <c r="J80" s="208">
        <v>7060</v>
      </c>
      <c r="K80" s="208">
        <v>6874</v>
      </c>
      <c r="L80" s="208">
        <v>6732</v>
      </c>
      <c r="M80" s="208">
        <v>6650</v>
      </c>
      <c r="N80" s="208">
        <v>6641</v>
      </c>
      <c r="O80" s="208">
        <v>6565</v>
      </c>
      <c r="P80" s="208">
        <v>6326</v>
      </c>
      <c r="Q80" s="208">
        <v>6253</v>
      </c>
      <c r="R80" s="208">
        <v>6217</v>
      </c>
      <c r="S80" s="208">
        <v>6210</v>
      </c>
      <c r="T80" s="208">
        <v>6124</v>
      </c>
      <c r="U80" s="208">
        <v>6131</v>
      </c>
      <c r="V80" s="208">
        <v>6135</v>
      </c>
      <c r="W80" s="208">
        <v>6146</v>
      </c>
      <c r="X80" s="208">
        <v>6076</v>
      </c>
      <c r="Y80" s="208">
        <v>5978</v>
      </c>
      <c r="Z80" s="208">
        <v>6061</v>
      </c>
      <c r="AA80" s="208">
        <v>5972</v>
      </c>
      <c r="AB80" s="208">
        <v>5924</v>
      </c>
      <c r="AC80" s="208">
        <v>5403</v>
      </c>
      <c r="AD80" s="208">
        <v>5229</v>
      </c>
    </row>
    <row r="81" spans="1:30" ht="15" x14ac:dyDescent="0.2">
      <c r="A81" s="1" t="s">
        <v>30</v>
      </c>
      <c r="B81" s="6" t="s">
        <v>110</v>
      </c>
      <c r="C81" s="6" t="s">
        <v>110</v>
      </c>
      <c r="D81" s="7">
        <v>4063183</v>
      </c>
      <c r="E81" s="208">
        <v>80338</v>
      </c>
      <c r="F81" s="208">
        <v>77365</v>
      </c>
      <c r="G81" s="208">
        <v>98324</v>
      </c>
      <c r="H81" s="208">
        <v>100324</v>
      </c>
      <c r="I81" s="208">
        <v>100197</v>
      </c>
      <c r="J81" s="208">
        <v>100395</v>
      </c>
      <c r="K81" s="208">
        <v>68241</v>
      </c>
      <c r="L81" s="208">
        <v>65079</v>
      </c>
      <c r="M81" s="208">
        <v>51036</v>
      </c>
      <c r="N81" s="208">
        <v>49105</v>
      </c>
      <c r="O81" s="208">
        <v>48132</v>
      </c>
      <c r="P81" s="208">
        <v>46728</v>
      </c>
      <c r="Q81" s="208">
        <v>45103</v>
      </c>
      <c r="R81" s="208">
        <v>44491</v>
      </c>
      <c r="S81" s="208">
        <v>43244</v>
      </c>
      <c r="T81" s="208">
        <v>41988</v>
      </c>
      <c r="U81" s="208">
        <v>41637</v>
      </c>
      <c r="V81" s="208">
        <v>41260</v>
      </c>
      <c r="W81" s="208">
        <v>40527</v>
      </c>
      <c r="X81" s="208">
        <v>40110</v>
      </c>
      <c r="Y81" s="208">
        <v>39653</v>
      </c>
      <c r="Z81" s="208">
        <v>38770</v>
      </c>
      <c r="AA81" s="208">
        <v>38237</v>
      </c>
      <c r="AB81" s="208">
        <v>35933</v>
      </c>
      <c r="AC81" s="208">
        <v>35081</v>
      </c>
      <c r="AD81" s="208">
        <v>33382</v>
      </c>
    </row>
    <row r="82" spans="1:30" ht="15" x14ac:dyDescent="0.2">
      <c r="B82" s="6" t="s">
        <v>111</v>
      </c>
      <c r="C82" s="6" t="s">
        <v>111</v>
      </c>
      <c r="D82" s="7">
        <v>4063281</v>
      </c>
      <c r="E82" s="208">
        <v>38359</v>
      </c>
      <c r="F82" s="208">
        <v>36878</v>
      </c>
      <c r="G82" s="208">
        <v>34270</v>
      </c>
      <c r="H82" s="208">
        <v>31290</v>
      </c>
      <c r="I82" s="208">
        <v>28999</v>
      </c>
      <c r="J82" s="208">
        <v>25998</v>
      </c>
      <c r="K82" s="208">
        <v>25583</v>
      </c>
      <c r="L82" s="208">
        <v>24684</v>
      </c>
      <c r="M82" s="208">
        <v>23379</v>
      </c>
      <c r="N82" s="208">
        <v>22746</v>
      </c>
      <c r="O82" s="208">
        <v>22099</v>
      </c>
      <c r="P82" s="208">
        <v>21543</v>
      </c>
      <c r="Q82" s="208">
        <v>20782</v>
      </c>
      <c r="R82" s="208">
        <v>20162</v>
      </c>
      <c r="S82" s="208">
        <v>19736</v>
      </c>
      <c r="T82" s="208">
        <v>19276</v>
      </c>
      <c r="U82" s="208">
        <v>18816</v>
      </c>
      <c r="V82" s="208">
        <v>17750</v>
      </c>
      <c r="W82" s="208">
        <v>17255</v>
      </c>
      <c r="X82" s="208">
        <v>15588</v>
      </c>
      <c r="Y82" s="208">
        <v>15206</v>
      </c>
      <c r="Z82" s="208">
        <v>14791</v>
      </c>
      <c r="AA82" s="208">
        <v>14543</v>
      </c>
      <c r="AB82" s="208">
        <v>14266</v>
      </c>
      <c r="AC82" s="208">
        <v>12707</v>
      </c>
      <c r="AD82" s="208">
        <v>12215</v>
      </c>
    </row>
    <row r="83" spans="1:30" ht="15" x14ac:dyDescent="0.2">
      <c r="B83" s="6" t="s">
        <v>112</v>
      </c>
      <c r="C83" s="6" t="s">
        <v>112</v>
      </c>
      <c r="D83" s="7">
        <v>4059746</v>
      </c>
      <c r="E83" s="208">
        <v>5075401</v>
      </c>
      <c r="F83" s="208">
        <v>4883079</v>
      </c>
      <c r="G83" s="208">
        <v>4572420</v>
      </c>
      <c r="H83" s="208">
        <v>4354387</v>
      </c>
      <c r="I83" s="208">
        <v>4028969</v>
      </c>
      <c r="J83" s="208">
        <v>3666440</v>
      </c>
      <c r="K83" s="208">
        <v>3364254</v>
      </c>
      <c r="L83" s="208">
        <v>3047822</v>
      </c>
      <c r="M83" s="208">
        <v>2854031</v>
      </c>
      <c r="N83" s="208">
        <v>2657210</v>
      </c>
      <c r="O83" s="208">
        <v>2460405</v>
      </c>
      <c r="P83" s="208">
        <v>2255930</v>
      </c>
      <c r="Q83" s="208">
        <v>2100580</v>
      </c>
      <c r="R83" s="208">
        <v>1984273</v>
      </c>
      <c r="S83" s="208">
        <v>1917898</v>
      </c>
      <c r="T83" s="208">
        <v>1842236</v>
      </c>
      <c r="U83" s="208">
        <v>1780039</v>
      </c>
      <c r="V83" s="208">
        <v>1709374</v>
      </c>
      <c r="W83" s="208">
        <v>1656875</v>
      </c>
      <c r="X83" s="208">
        <v>1610351</v>
      </c>
      <c r="Y83" s="208">
        <v>1580189</v>
      </c>
      <c r="Z83" s="208">
        <v>1526114</v>
      </c>
      <c r="AA83" s="208">
        <v>1421979</v>
      </c>
      <c r="AB83" s="208">
        <v>1380618</v>
      </c>
      <c r="AC83" s="208">
        <v>1252097</v>
      </c>
      <c r="AD83" s="208">
        <v>1213110</v>
      </c>
    </row>
    <row r="84" spans="1:30" ht="15" x14ac:dyDescent="0.2">
      <c r="A84" s="1" t="s">
        <v>30</v>
      </c>
      <c r="B84" s="6" t="s">
        <v>113</v>
      </c>
      <c r="C84" s="6" t="s">
        <v>113</v>
      </c>
      <c r="D84" s="7">
        <v>4062279</v>
      </c>
      <c r="E84" s="208" t="s">
        <v>123</v>
      </c>
      <c r="F84" s="208" t="s">
        <v>123</v>
      </c>
      <c r="G84" s="208" t="s">
        <v>123</v>
      </c>
      <c r="H84" s="208">
        <v>821301</v>
      </c>
      <c r="I84" s="208">
        <v>780397</v>
      </c>
      <c r="J84" s="208">
        <v>733135</v>
      </c>
      <c r="K84" s="208">
        <v>685597</v>
      </c>
      <c r="L84" s="208">
        <v>650160</v>
      </c>
      <c r="M84" s="208">
        <v>618063</v>
      </c>
      <c r="N84" s="208">
        <v>597826</v>
      </c>
      <c r="O84" s="208">
        <v>575210</v>
      </c>
      <c r="P84" s="208">
        <v>564412</v>
      </c>
      <c r="Q84" s="208">
        <v>552858</v>
      </c>
      <c r="R84" s="208">
        <v>531876</v>
      </c>
      <c r="S84" s="208">
        <v>515190</v>
      </c>
      <c r="T84" s="208">
        <v>503749</v>
      </c>
      <c r="U84" s="208">
        <v>485098</v>
      </c>
      <c r="V84" s="208">
        <v>463973</v>
      </c>
      <c r="W84" s="208">
        <v>445807</v>
      </c>
      <c r="X84" s="208">
        <v>432041</v>
      </c>
      <c r="Y84" s="208">
        <v>409237</v>
      </c>
      <c r="Z84" s="208" t="s">
        <v>123</v>
      </c>
      <c r="AA84" s="208">
        <v>366247</v>
      </c>
      <c r="AB84" s="208">
        <v>345139</v>
      </c>
      <c r="AC84" s="208">
        <v>312142</v>
      </c>
      <c r="AD84" s="208">
        <v>272123</v>
      </c>
    </row>
    <row r="85" spans="1:30" ht="15" x14ac:dyDescent="0.2">
      <c r="A85" s="1" t="s">
        <v>30</v>
      </c>
      <c r="B85" s="6" t="s">
        <v>114</v>
      </c>
      <c r="C85" s="6" t="s">
        <v>114</v>
      </c>
      <c r="D85" s="7">
        <v>4063729</v>
      </c>
      <c r="E85" s="208" t="s">
        <v>123</v>
      </c>
      <c r="F85" s="208" t="s">
        <v>123</v>
      </c>
      <c r="G85" s="208" t="s">
        <v>123</v>
      </c>
      <c r="H85" s="208">
        <v>395557</v>
      </c>
      <c r="I85" s="208">
        <v>276527</v>
      </c>
      <c r="J85" s="208">
        <v>225786</v>
      </c>
      <c r="K85" s="208">
        <v>215890</v>
      </c>
      <c r="L85" s="208">
        <v>191592</v>
      </c>
      <c r="M85" s="208">
        <v>181017</v>
      </c>
      <c r="N85" s="208">
        <v>173788</v>
      </c>
      <c r="O85" s="208">
        <v>166827</v>
      </c>
      <c r="P85" s="208">
        <v>157884</v>
      </c>
      <c r="Q85" s="208">
        <v>148218</v>
      </c>
      <c r="R85" s="208">
        <v>138438</v>
      </c>
      <c r="S85" s="208">
        <v>127660</v>
      </c>
      <c r="T85" s="208">
        <v>120138</v>
      </c>
      <c r="U85" s="208">
        <v>106941</v>
      </c>
      <c r="V85" s="208">
        <v>95374</v>
      </c>
      <c r="W85" s="208">
        <v>89494</v>
      </c>
      <c r="X85" s="208">
        <v>80129</v>
      </c>
      <c r="Y85" s="208">
        <v>76531</v>
      </c>
      <c r="Z85" s="208">
        <v>74526</v>
      </c>
      <c r="AA85" s="208" t="s">
        <v>123</v>
      </c>
      <c r="AB85" s="208" t="s">
        <v>123</v>
      </c>
      <c r="AC85" s="208">
        <v>55944</v>
      </c>
      <c r="AD85" s="208">
        <v>52940</v>
      </c>
    </row>
    <row r="86" spans="1:30" ht="15" x14ac:dyDescent="0.2">
      <c r="B86" s="6" t="s">
        <v>115</v>
      </c>
      <c r="C86" s="6" t="s">
        <v>115</v>
      </c>
      <c r="D86" s="7">
        <v>4063762</v>
      </c>
      <c r="E86" s="208">
        <v>1673209</v>
      </c>
      <c r="F86" s="208">
        <v>1530415</v>
      </c>
      <c r="G86" s="208">
        <v>1348144</v>
      </c>
      <c r="H86" s="208">
        <v>1303522</v>
      </c>
      <c r="I86" s="208">
        <v>1252269</v>
      </c>
      <c r="J86" s="208">
        <v>1156340</v>
      </c>
      <c r="K86" s="208">
        <v>1107055</v>
      </c>
      <c r="L86" s="208">
        <v>1032842</v>
      </c>
      <c r="M86" s="208">
        <v>1000238</v>
      </c>
      <c r="N86" s="208">
        <v>927212</v>
      </c>
      <c r="O86" s="208">
        <v>853388</v>
      </c>
      <c r="P86" s="208">
        <v>705617</v>
      </c>
      <c r="Q86" s="208">
        <v>637043</v>
      </c>
      <c r="R86" s="208">
        <v>622764</v>
      </c>
      <c r="S86" s="208">
        <v>582774</v>
      </c>
      <c r="T86" s="208">
        <v>564649</v>
      </c>
      <c r="U86" s="208">
        <v>558589</v>
      </c>
      <c r="V86" s="208">
        <v>555597</v>
      </c>
      <c r="W86" s="208">
        <v>528467</v>
      </c>
      <c r="X86" s="208">
        <v>520113</v>
      </c>
      <c r="Y86" s="208">
        <v>516922</v>
      </c>
      <c r="Z86" s="208">
        <v>492204</v>
      </c>
      <c r="AA86" s="208">
        <v>470011</v>
      </c>
      <c r="AB86" s="208">
        <v>447376</v>
      </c>
      <c r="AC86" s="208">
        <v>424855</v>
      </c>
      <c r="AD86" s="208" t="s">
        <v>123</v>
      </c>
    </row>
    <row r="87" spans="1:30" ht="15" x14ac:dyDescent="0.2">
      <c r="B87" s="6" t="s">
        <v>116</v>
      </c>
      <c r="C87" s="6" t="s">
        <v>116</v>
      </c>
      <c r="D87" s="7">
        <v>4058284</v>
      </c>
      <c r="E87" s="208">
        <v>6097429</v>
      </c>
      <c r="F87" s="208">
        <v>5739912</v>
      </c>
      <c r="G87" s="208">
        <v>5429089</v>
      </c>
      <c r="H87" s="208">
        <v>5113235</v>
      </c>
      <c r="I87" s="208">
        <v>4715459</v>
      </c>
      <c r="J87" s="208">
        <v>4393464</v>
      </c>
      <c r="K87" s="208">
        <v>4075503</v>
      </c>
      <c r="L87" s="208">
        <v>3766505</v>
      </c>
      <c r="M87" s="208">
        <v>3563966</v>
      </c>
      <c r="N87" s="208">
        <v>3372661</v>
      </c>
      <c r="O87" s="208">
        <v>3279956</v>
      </c>
      <c r="P87" s="208">
        <v>3168786</v>
      </c>
      <c r="Q87" s="208">
        <v>3096519</v>
      </c>
      <c r="R87" s="208">
        <v>2976008</v>
      </c>
      <c r="S87" s="208">
        <v>2890217</v>
      </c>
      <c r="T87" s="208">
        <v>2733187</v>
      </c>
      <c r="U87" s="208">
        <v>2635849</v>
      </c>
      <c r="V87" s="208">
        <v>2529275</v>
      </c>
      <c r="W87" s="208">
        <v>2368635</v>
      </c>
      <c r="X87" s="208">
        <v>2252435</v>
      </c>
      <c r="Y87" s="208">
        <v>2124129</v>
      </c>
      <c r="Z87" s="208">
        <v>2004592</v>
      </c>
      <c r="AA87" s="208">
        <v>1872855</v>
      </c>
      <c r="AB87" s="208">
        <v>1764871</v>
      </c>
      <c r="AC87" s="208">
        <v>1648354</v>
      </c>
      <c r="AD87" s="208">
        <v>1495480</v>
      </c>
    </row>
    <row r="88" spans="1:30" ht="15" x14ac:dyDescent="0.2">
      <c r="B88" s="6" t="s">
        <v>117</v>
      </c>
      <c r="C88" s="6" t="s">
        <v>117</v>
      </c>
      <c r="D88" s="7">
        <v>4008752</v>
      </c>
      <c r="E88" s="208">
        <v>2675319</v>
      </c>
      <c r="F88" s="208">
        <v>2534747</v>
      </c>
      <c r="G88" s="208">
        <v>2390462</v>
      </c>
      <c r="H88" s="208">
        <v>2254179</v>
      </c>
      <c r="I88" s="208">
        <v>2112986</v>
      </c>
      <c r="J88" s="208">
        <v>2021393</v>
      </c>
      <c r="K88" s="208">
        <v>1787849</v>
      </c>
      <c r="L88" s="208">
        <v>1660662</v>
      </c>
      <c r="M88" s="208">
        <v>1553309</v>
      </c>
      <c r="N88" s="208">
        <v>1445936</v>
      </c>
      <c r="O88" s="208">
        <v>1379970</v>
      </c>
      <c r="P88" s="208">
        <v>1324073</v>
      </c>
      <c r="Q88" s="208">
        <v>1270222</v>
      </c>
      <c r="R88" s="208">
        <v>1195187</v>
      </c>
      <c r="S88" s="208">
        <v>1151448</v>
      </c>
      <c r="T88" s="208">
        <v>1103455</v>
      </c>
      <c r="U88" s="208">
        <v>1060637</v>
      </c>
      <c r="V88" s="208">
        <v>1021621</v>
      </c>
      <c r="W88" s="208">
        <v>934025</v>
      </c>
      <c r="X88" s="208">
        <v>906023</v>
      </c>
      <c r="Y88" s="208">
        <v>872649</v>
      </c>
      <c r="Z88" s="208">
        <v>842321</v>
      </c>
      <c r="AA88" s="208">
        <v>812281</v>
      </c>
      <c r="AB88" s="208">
        <v>787026</v>
      </c>
      <c r="AC88" s="208">
        <v>773211</v>
      </c>
      <c r="AD88" s="208">
        <v>747637</v>
      </c>
    </row>
    <row r="89" spans="1:30" ht="15" x14ac:dyDescent="0.2">
      <c r="B89" s="6" t="s">
        <v>118</v>
      </c>
      <c r="C89" s="6" t="s">
        <v>118</v>
      </c>
      <c r="D89" s="7">
        <v>4008669</v>
      </c>
      <c r="E89" s="208">
        <v>719591</v>
      </c>
      <c r="F89" s="208">
        <v>661903</v>
      </c>
      <c r="G89" s="208">
        <v>624787</v>
      </c>
      <c r="H89" s="208">
        <v>589233</v>
      </c>
      <c r="I89" s="208">
        <v>550935</v>
      </c>
      <c r="J89" s="208">
        <v>504653</v>
      </c>
      <c r="K89" s="208">
        <v>472159</v>
      </c>
      <c r="L89" s="208">
        <v>453166</v>
      </c>
      <c r="M89" s="208">
        <v>437003</v>
      </c>
      <c r="N89" s="208">
        <v>424749</v>
      </c>
      <c r="O89" s="208">
        <v>411391</v>
      </c>
      <c r="P89" s="208">
        <v>393765</v>
      </c>
      <c r="Q89" s="208">
        <v>370143</v>
      </c>
      <c r="R89" s="208">
        <v>286278</v>
      </c>
      <c r="S89" s="208">
        <v>325632</v>
      </c>
      <c r="T89" s="208">
        <v>319366</v>
      </c>
      <c r="U89" s="208">
        <v>304146</v>
      </c>
      <c r="V89" s="208">
        <v>289785</v>
      </c>
      <c r="W89" s="208">
        <v>275623</v>
      </c>
      <c r="X89" s="208">
        <v>270167</v>
      </c>
      <c r="Y89" s="208">
        <v>262892</v>
      </c>
      <c r="Z89" s="208">
        <v>247834</v>
      </c>
      <c r="AA89" s="208">
        <v>234811</v>
      </c>
      <c r="AB89" s="208">
        <v>228601</v>
      </c>
      <c r="AC89" s="208">
        <v>219400</v>
      </c>
      <c r="AD89" s="208">
        <v>210560</v>
      </c>
    </row>
    <row r="90" spans="1:30" ht="15" x14ac:dyDescent="0.2">
      <c r="B90" s="6" t="s">
        <v>119</v>
      </c>
      <c r="C90" s="6" t="s">
        <v>120</v>
      </c>
      <c r="D90" s="7">
        <v>4076892</v>
      </c>
      <c r="E90" s="208">
        <v>20924</v>
      </c>
      <c r="F90" s="208">
        <v>20877</v>
      </c>
      <c r="G90" s="208">
        <v>20477</v>
      </c>
      <c r="H90" s="208">
        <v>20348</v>
      </c>
      <c r="I90" s="208">
        <v>15538</v>
      </c>
      <c r="J90" s="208">
        <v>14947</v>
      </c>
      <c r="K90" s="208">
        <v>14653</v>
      </c>
      <c r="L90" s="208">
        <v>14441</v>
      </c>
      <c r="M90" s="208">
        <v>14300</v>
      </c>
      <c r="N90" s="208">
        <v>14042</v>
      </c>
      <c r="O90" s="208">
        <v>13623</v>
      </c>
      <c r="P90" s="208">
        <v>13272</v>
      </c>
      <c r="Q90" s="208">
        <v>12841</v>
      </c>
      <c r="R90" s="208">
        <v>12138</v>
      </c>
      <c r="S90" s="208">
        <v>11613</v>
      </c>
      <c r="T90" s="208">
        <v>11343</v>
      </c>
      <c r="U90" s="208">
        <v>11072</v>
      </c>
      <c r="V90" s="208">
        <v>10971</v>
      </c>
      <c r="W90" s="208">
        <v>10510</v>
      </c>
      <c r="X90" s="208" t="s">
        <v>123</v>
      </c>
      <c r="Y90" s="208" t="s">
        <v>123</v>
      </c>
      <c r="Z90" s="208" t="s">
        <v>123</v>
      </c>
      <c r="AA90" s="208" t="s">
        <v>123</v>
      </c>
      <c r="AB90" s="208" t="s">
        <v>123</v>
      </c>
      <c r="AC90" s="208" t="s">
        <v>123</v>
      </c>
      <c r="AD90" s="208" t="s">
        <v>123</v>
      </c>
    </row>
    <row r="91" spans="1:30" ht="15" x14ac:dyDescent="0.2">
      <c r="A91" s="1" t="s">
        <v>30</v>
      </c>
      <c r="B91" s="6" t="s">
        <v>121</v>
      </c>
      <c r="C91" s="6" t="s">
        <v>122</v>
      </c>
      <c r="D91" s="7">
        <v>4064141</v>
      </c>
      <c r="E91" s="208">
        <v>2335175</v>
      </c>
      <c r="F91" s="208">
        <v>2156690</v>
      </c>
      <c r="G91" s="208">
        <v>1962053</v>
      </c>
      <c r="H91" s="208">
        <v>1817713</v>
      </c>
      <c r="I91" s="208">
        <v>1709168</v>
      </c>
      <c r="J91" s="208">
        <v>1572534</v>
      </c>
      <c r="K91" s="208">
        <v>1518635</v>
      </c>
      <c r="L91" s="208">
        <v>1420915</v>
      </c>
      <c r="M91" s="208">
        <v>1334886</v>
      </c>
      <c r="N91" s="208">
        <v>1246799</v>
      </c>
      <c r="O91" s="208">
        <v>1125854</v>
      </c>
      <c r="P91" s="208">
        <v>1070357</v>
      </c>
      <c r="Q91" s="208">
        <v>1043321</v>
      </c>
      <c r="R91" s="208">
        <v>976924</v>
      </c>
      <c r="S91" s="208">
        <v>858595</v>
      </c>
      <c r="T91" s="208">
        <v>825505</v>
      </c>
      <c r="U91" s="208">
        <v>783179</v>
      </c>
      <c r="V91" s="208">
        <v>743624</v>
      </c>
      <c r="W91" s="208">
        <v>678689</v>
      </c>
      <c r="X91" s="208">
        <v>634518</v>
      </c>
      <c r="Y91" s="208">
        <v>607745</v>
      </c>
      <c r="Z91" s="208">
        <v>591516</v>
      </c>
      <c r="AA91" s="208">
        <v>546731</v>
      </c>
      <c r="AB91" s="208">
        <v>523855</v>
      </c>
      <c r="AC91" s="208">
        <v>499079</v>
      </c>
      <c r="AD91" s="208">
        <v>488174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75"/>
  <sheetViews>
    <sheetView zoomScale="75" zoomScaleNormal="75" workbookViewId="0"/>
  </sheetViews>
  <sheetFormatPr defaultRowHeight="15" x14ac:dyDescent="0.25"/>
  <cols>
    <col min="2" max="2" width="23.5703125" bestFit="1" customWidth="1"/>
    <col min="3" max="3" width="23.5703125" customWidth="1"/>
  </cols>
  <sheetData>
    <row r="1" spans="1:6" x14ac:dyDescent="0.25">
      <c r="A1" s="20" t="s">
        <v>127</v>
      </c>
      <c r="B1" s="20" t="s">
        <v>180</v>
      </c>
      <c r="C1" s="20"/>
      <c r="F1" t="s">
        <v>181</v>
      </c>
    </row>
    <row r="2" spans="1:6" x14ac:dyDescent="0.25">
      <c r="A2">
        <v>1947</v>
      </c>
      <c r="B2" s="21">
        <v>23.516666666666666</v>
      </c>
      <c r="C2" s="21"/>
    </row>
    <row r="3" spans="1:6" x14ac:dyDescent="0.25">
      <c r="A3">
        <v>1948</v>
      </c>
      <c r="B3" s="21">
        <v>26.033333333333335</v>
      </c>
      <c r="C3" s="21"/>
      <c r="D3">
        <v>1</v>
      </c>
      <c r="F3">
        <f>(SUMPRODUCT(B3:B53,D3:D53)/SUM(D3:D53))/100</f>
        <v>0.91349981146304682</v>
      </c>
    </row>
    <row r="4" spans="1:6" x14ac:dyDescent="0.25">
      <c r="A4">
        <v>1949</v>
      </c>
      <c r="B4" s="21">
        <v>25.525000000000002</v>
      </c>
      <c r="C4" s="21"/>
      <c r="D4">
        <f>D3+1</f>
        <v>2</v>
      </c>
    </row>
    <row r="5" spans="1:6" x14ac:dyDescent="0.25">
      <c r="A5">
        <v>1950</v>
      </c>
      <c r="B5" s="21">
        <v>27.391666666666669</v>
      </c>
      <c r="C5" s="21"/>
      <c r="D5">
        <f t="shared" ref="D5:D14" si="0">D4+1</f>
        <v>3</v>
      </c>
    </row>
    <row r="6" spans="1:6" x14ac:dyDescent="0.25">
      <c r="A6">
        <v>1951</v>
      </c>
      <c r="B6" s="21">
        <v>29.916666666666668</v>
      </c>
      <c r="C6" s="21"/>
      <c r="D6">
        <f t="shared" si="0"/>
        <v>4</v>
      </c>
    </row>
    <row r="7" spans="1:6" x14ac:dyDescent="0.25">
      <c r="A7">
        <v>1952</v>
      </c>
      <c r="B7" s="21">
        <v>29.575000000000003</v>
      </c>
      <c r="C7" s="21"/>
      <c r="D7">
        <f t="shared" si="0"/>
        <v>5</v>
      </c>
    </row>
    <row r="8" spans="1:6" x14ac:dyDescent="0.25">
      <c r="A8">
        <v>1953</v>
      </c>
      <c r="B8" s="21">
        <v>29.983333333333331</v>
      </c>
      <c r="C8" s="21"/>
      <c r="D8">
        <f t="shared" si="0"/>
        <v>6</v>
      </c>
    </row>
    <row r="9" spans="1:6" x14ac:dyDescent="0.25">
      <c r="A9">
        <v>1954</v>
      </c>
      <c r="B9" s="21">
        <v>30.041666666666661</v>
      </c>
      <c r="C9" s="21"/>
      <c r="D9">
        <f t="shared" si="0"/>
        <v>7</v>
      </c>
    </row>
    <row r="10" spans="1:6" x14ac:dyDescent="0.25">
      <c r="A10">
        <v>1955</v>
      </c>
      <c r="B10" s="21">
        <v>31.383333333333336</v>
      </c>
      <c r="C10" s="21"/>
      <c r="D10">
        <f t="shared" si="0"/>
        <v>8</v>
      </c>
    </row>
    <row r="11" spans="1:6" x14ac:dyDescent="0.25">
      <c r="A11">
        <v>1956</v>
      </c>
      <c r="B11" s="21">
        <v>32.674999999999997</v>
      </c>
      <c r="C11" s="21"/>
      <c r="D11">
        <f t="shared" si="0"/>
        <v>9</v>
      </c>
    </row>
    <row r="12" spans="1:6" x14ac:dyDescent="0.25">
      <c r="A12">
        <v>1957</v>
      </c>
      <c r="B12" s="21">
        <v>32.658333333333331</v>
      </c>
      <c r="C12" s="21"/>
      <c r="D12">
        <f t="shared" si="0"/>
        <v>10</v>
      </c>
    </row>
    <row r="13" spans="1:6" x14ac:dyDescent="0.25">
      <c r="A13">
        <v>1958</v>
      </c>
      <c r="B13" s="21">
        <v>32.633333333333333</v>
      </c>
      <c r="C13" s="21"/>
      <c r="D13">
        <f t="shared" si="0"/>
        <v>11</v>
      </c>
    </row>
    <row r="14" spans="1:6" x14ac:dyDescent="0.25">
      <c r="A14">
        <v>1959</v>
      </c>
      <c r="B14" s="21">
        <v>33.658333333333331</v>
      </c>
      <c r="C14" s="21"/>
      <c r="D14">
        <f t="shared" si="0"/>
        <v>12</v>
      </c>
    </row>
    <row r="15" spans="1:6" x14ac:dyDescent="0.25">
      <c r="A15">
        <v>1960</v>
      </c>
      <c r="B15" s="21">
        <v>33.158333333333339</v>
      </c>
      <c r="C15" s="21"/>
      <c r="D15">
        <f>D14+1</f>
        <v>13</v>
      </c>
    </row>
    <row r="16" spans="1:6" x14ac:dyDescent="0.25">
      <c r="A16">
        <v>1961</v>
      </c>
      <c r="B16" s="21">
        <v>32.524999999999991</v>
      </c>
      <c r="C16" s="21"/>
      <c r="D16">
        <f>D15+1</f>
        <v>14</v>
      </c>
    </row>
    <row r="17" spans="1:4" x14ac:dyDescent="0.25">
      <c r="A17">
        <v>1962</v>
      </c>
      <c r="B17" s="21">
        <v>32.458333333333329</v>
      </c>
      <c r="C17" s="21"/>
      <c r="D17">
        <f>D16+1</f>
        <v>15</v>
      </c>
    </row>
    <row r="18" spans="1:4" x14ac:dyDescent="0.25">
      <c r="A18">
        <v>1963</v>
      </c>
      <c r="B18" s="21">
        <v>32.508333333333333</v>
      </c>
      <c r="C18" s="21"/>
      <c r="D18">
        <f>D17+1</f>
        <v>16</v>
      </c>
    </row>
    <row r="19" spans="1:4" x14ac:dyDescent="0.25">
      <c r="A19">
        <v>1964</v>
      </c>
      <c r="B19" s="21">
        <v>32.849999999999994</v>
      </c>
      <c r="C19" s="21"/>
      <c r="D19">
        <f t="shared" ref="D19:D53" si="1">D18+1</f>
        <v>17</v>
      </c>
    </row>
    <row r="20" spans="1:4" x14ac:dyDescent="0.25">
      <c r="A20">
        <v>1965</v>
      </c>
      <c r="B20" s="21">
        <v>33.249999999999993</v>
      </c>
      <c r="C20" s="21"/>
      <c r="D20">
        <f t="shared" si="1"/>
        <v>18</v>
      </c>
    </row>
    <row r="21" spans="1:4" x14ac:dyDescent="0.25">
      <c r="A21">
        <v>1966</v>
      </c>
      <c r="B21" s="21">
        <v>34.300000000000004</v>
      </c>
      <c r="C21" s="21"/>
      <c r="D21">
        <f t="shared" si="1"/>
        <v>19</v>
      </c>
    </row>
    <row r="22" spans="1:4" x14ac:dyDescent="0.25">
      <c r="A22">
        <v>1967</v>
      </c>
      <c r="B22" s="21">
        <v>34.708333333333336</v>
      </c>
      <c r="C22" s="21"/>
      <c r="D22">
        <f t="shared" si="1"/>
        <v>20</v>
      </c>
    </row>
    <row r="23" spans="1:4" x14ac:dyDescent="0.25">
      <c r="A23">
        <v>1968</v>
      </c>
      <c r="B23" s="21">
        <v>36.675000000000004</v>
      </c>
      <c r="C23" s="21"/>
      <c r="D23">
        <f t="shared" si="1"/>
        <v>21</v>
      </c>
    </row>
    <row r="24" spans="1:4" x14ac:dyDescent="0.25">
      <c r="A24">
        <v>1969</v>
      </c>
      <c r="B24" s="21">
        <v>38.741666666666667</v>
      </c>
      <c r="C24" s="21"/>
      <c r="D24">
        <f t="shared" si="1"/>
        <v>22</v>
      </c>
    </row>
    <row r="25" spans="1:4" x14ac:dyDescent="0.25">
      <c r="A25">
        <v>1970</v>
      </c>
      <c r="B25" s="21">
        <v>39.033333333333331</v>
      </c>
      <c r="C25" s="21"/>
      <c r="D25">
        <f t="shared" si="1"/>
        <v>23</v>
      </c>
    </row>
    <row r="26" spans="1:4" x14ac:dyDescent="0.25">
      <c r="A26">
        <v>1971</v>
      </c>
      <c r="B26" s="21">
        <v>41.508333333333326</v>
      </c>
      <c r="C26" s="21"/>
      <c r="D26">
        <f t="shared" si="1"/>
        <v>24</v>
      </c>
    </row>
    <row r="27" spans="1:4" x14ac:dyDescent="0.25">
      <c r="A27">
        <v>1972</v>
      </c>
      <c r="B27" s="21">
        <v>43.949999999999996</v>
      </c>
      <c r="C27" s="21"/>
      <c r="D27">
        <f t="shared" si="1"/>
        <v>25</v>
      </c>
    </row>
    <row r="28" spans="1:4" x14ac:dyDescent="0.25">
      <c r="A28">
        <v>1973</v>
      </c>
      <c r="B28" s="21">
        <v>48.05833333333333</v>
      </c>
      <c r="C28" s="21"/>
      <c r="D28">
        <f t="shared" si="1"/>
        <v>26</v>
      </c>
    </row>
    <row r="29" spans="1:4" x14ac:dyDescent="0.25">
      <c r="A29">
        <v>1974</v>
      </c>
      <c r="B29" s="21">
        <v>55.841666666666669</v>
      </c>
      <c r="C29" s="21"/>
      <c r="D29">
        <f t="shared" si="1"/>
        <v>27</v>
      </c>
    </row>
    <row r="30" spans="1:4" x14ac:dyDescent="0.25">
      <c r="A30">
        <v>1975</v>
      </c>
      <c r="B30" s="21">
        <v>60.416666666666679</v>
      </c>
      <c r="C30" s="21"/>
      <c r="D30">
        <f t="shared" si="1"/>
        <v>28</v>
      </c>
    </row>
    <row r="31" spans="1:4" x14ac:dyDescent="0.25">
      <c r="A31">
        <v>1976</v>
      </c>
      <c r="B31" s="21">
        <v>65.208333333333329</v>
      </c>
      <c r="C31" s="21"/>
      <c r="D31">
        <f t="shared" si="1"/>
        <v>29</v>
      </c>
    </row>
    <row r="32" spans="1:4" x14ac:dyDescent="0.25">
      <c r="A32">
        <v>1977</v>
      </c>
      <c r="B32" s="21">
        <v>71.05</v>
      </c>
      <c r="C32" s="21"/>
      <c r="D32">
        <f t="shared" si="1"/>
        <v>30</v>
      </c>
    </row>
    <row r="33" spans="1:4" x14ac:dyDescent="0.25">
      <c r="A33">
        <v>1978</v>
      </c>
      <c r="B33" s="21">
        <v>79.249999999999986</v>
      </c>
      <c r="C33" s="21"/>
      <c r="D33">
        <f t="shared" si="1"/>
        <v>31</v>
      </c>
    </row>
    <row r="34" spans="1:4" x14ac:dyDescent="0.25">
      <c r="A34">
        <v>1979</v>
      </c>
      <c r="B34" s="21">
        <v>87.283333333333346</v>
      </c>
      <c r="C34" s="21"/>
      <c r="D34">
        <f t="shared" si="1"/>
        <v>32</v>
      </c>
    </row>
    <row r="35" spans="1:4" x14ac:dyDescent="0.25">
      <c r="A35">
        <v>1980</v>
      </c>
      <c r="B35" s="21">
        <v>92.5</v>
      </c>
      <c r="C35" s="21"/>
      <c r="D35">
        <f t="shared" si="1"/>
        <v>33</v>
      </c>
    </row>
    <row r="36" spans="1:4" x14ac:dyDescent="0.25">
      <c r="A36">
        <v>1981</v>
      </c>
      <c r="B36" s="21">
        <v>98.241666666666674</v>
      </c>
      <c r="C36" s="21"/>
      <c r="D36">
        <f t="shared" si="1"/>
        <v>34</v>
      </c>
    </row>
    <row r="37" spans="1:4" x14ac:dyDescent="0.25">
      <c r="A37">
        <v>1982</v>
      </c>
      <c r="B37" s="21">
        <v>100.00833333333334</v>
      </c>
      <c r="C37" s="21"/>
      <c r="D37">
        <f t="shared" si="1"/>
        <v>35</v>
      </c>
    </row>
    <row r="38" spans="1:4" x14ac:dyDescent="0.25">
      <c r="A38">
        <v>1983</v>
      </c>
      <c r="B38" s="21">
        <v>103.35833333333333</v>
      </c>
      <c r="C38" s="21"/>
      <c r="D38">
        <f t="shared" si="1"/>
        <v>36</v>
      </c>
    </row>
    <row r="39" spans="1:4" x14ac:dyDescent="0.25">
      <c r="A39">
        <v>1984</v>
      </c>
      <c r="B39" s="21">
        <v>106.38333333333331</v>
      </c>
      <c r="C39" s="21"/>
      <c r="D39">
        <f t="shared" si="1"/>
        <v>37</v>
      </c>
    </row>
    <row r="40" spans="1:4" x14ac:dyDescent="0.25">
      <c r="A40">
        <v>1985</v>
      </c>
      <c r="B40" s="21">
        <v>107.55833333333332</v>
      </c>
      <c r="C40" s="21"/>
      <c r="D40">
        <f t="shared" si="1"/>
        <v>38</v>
      </c>
    </row>
    <row r="41" spans="1:4" x14ac:dyDescent="0.25">
      <c r="A41">
        <v>1986</v>
      </c>
      <c r="B41" s="21">
        <v>107.34166666666665</v>
      </c>
      <c r="C41" s="21"/>
      <c r="D41">
        <f t="shared" si="1"/>
        <v>39</v>
      </c>
    </row>
    <row r="42" spans="1:4" x14ac:dyDescent="0.25">
      <c r="A42">
        <v>1987</v>
      </c>
      <c r="B42" s="21">
        <v>109.54166666666669</v>
      </c>
      <c r="C42" s="21"/>
      <c r="D42">
        <f t="shared" si="1"/>
        <v>40</v>
      </c>
    </row>
    <row r="43" spans="1:4" x14ac:dyDescent="0.25">
      <c r="A43">
        <v>1988</v>
      </c>
      <c r="B43" s="21">
        <v>115.65833333333332</v>
      </c>
      <c r="C43" s="21"/>
      <c r="D43">
        <f t="shared" si="1"/>
        <v>41</v>
      </c>
    </row>
    <row r="44" spans="1:4" x14ac:dyDescent="0.25">
      <c r="A44">
        <v>1989</v>
      </c>
      <c r="B44" s="21">
        <v>119.47500000000001</v>
      </c>
      <c r="C44" s="21"/>
      <c r="D44">
        <f t="shared" si="1"/>
        <v>42</v>
      </c>
    </row>
    <row r="45" spans="1:4" x14ac:dyDescent="0.25">
      <c r="A45">
        <v>1990</v>
      </c>
      <c r="B45" s="21">
        <v>119.61666666666667</v>
      </c>
      <c r="C45" s="21"/>
      <c r="D45">
        <f t="shared" si="1"/>
        <v>43</v>
      </c>
    </row>
    <row r="46" spans="1:4" x14ac:dyDescent="0.25">
      <c r="A46">
        <v>1991</v>
      </c>
      <c r="B46" s="21">
        <v>120.38333333333333</v>
      </c>
      <c r="C46" s="21"/>
      <c r="D46">
        <f t="shared" si="1"/>
        <v>44</v>
      </c>
    </row>
    <row r="47" spans="1:4" x14ac:dyDescent="0.25">
      <c r="A47">
        <v>1992</v>
      </c>
      <c r="B47" s="21">
        <v>122.50833333333333</v>
      </c>
      <c r="C47" s="21"/>
      <c r="D47">
        <f t="shared" si="1"/>
        <v>45</v>
      </c>
    </row>
    <row r="48" spans="1:4" x14ac:dyDescent="0.25">
      <c r="A48">
        <v>1993</v>
      </c>
      <c r="B48" s="21">
        <v>128.6</v>
      </c>
      <c r="C48" s="21"/>
      <c r="D48">
        <f t="shared" si="1"/>
        <v>46</v>
      </c>
    </row>
    <row r="49" spans="1:4" x14ac:dyDescent="0.25">
      <c r="A49">
        <v>1994</v>
      </c>
      <c r="B49" s="21">
        <v>133.85</v>
      </c>
      <c r="C49" s="21"/>
      <c r="D49">
        <f t="shared" si="1"/>
        <v>47</v>
      </c>
    </row>
    <row r="50" spans="1:4" x14ac:dyDescent="0.25">
      <c r="A50">
        <v>1995</v>
      </c>
      <c r="B50" s="21">
        <v>138.84166666666667</v>
      </c>
      <c r="C50" s="21"/>
      <c r="D50">
        <f t="shared" si="1"/>
        <v>48</v>
      </c>
    </row>
    <row r="51" spans="1:4" x14ac:dyDescent="0.25">
      <c r="A51">
        <v>1996</v>
      </c>
      <c r="B51" s="21">
        <v>139.63333333333335</v>
      </c>
      <c r="C51" s="21"/>
      <c r="D51">
        <f t="shared" si="1"/>
        <v>49</v>
      </c>
    </row>
    <row r="52" spans="1:4" x14ac:dyDescent="0.25">
      <c r="A52">
        <v>1997</v>
      </c>
      <c r="B52" s="21">
        <v>142.07499999999999</v>
      </c>
      <c r="C52" s="21"/>
      <c r="D52">
        <f t="shared" si="1"/>
        <v>50</v>
      </c>
    </row>
    <row r="53" spans="1:4" x14ac:dyDescent="0.25">
      <c r="A53">
        <v>1998</v>
      </c>
      <c r="B53" s="21">
        <v>141.38333333333333</v>
      </c>
      <c r="C53" s="21"/>
      <c r="D53">
        <f t="shared" si="1"/>
        <v>51</v>
      </c>
    </row>
    <row r="54" spans="1:4" x14ac:dyDescent="0.25">
      <c r="A54">
        <v>1999</v>
      </c>
      <c r="B54" s="21">
        <v>142.75833333333335</v>
      </c>
      <c r="C54" s="21"/>
    </row>
    <row r="55" spans="1:4" x14ac:dyDescent="0.25">
      <c r="A55">
        <v>2000</v>
      </c>
      <c r="B55" s="21">
        <v>144.14166666666668</v>
      </c>
      <c r="C55" s="21"/>
    </row>
    <row r="56" spans="1:4" x14ac:dyDescent="0.25">
      <c r="A56">
        <v>2001</v>
      </c>
      <c r="B56" s="21">
        <v>142.79999999999998</v>
      </c>
      <c r="C56" s="21"/>
    </row>
    <row r="57" spans="1:4" x14ac:dyDescent="0.25">
      <c r="A57">
        <v>2002</v>
      </c>
      <c r="B57" s="21">
        <v>144.00833333333333</v>
      </c>
      <c r="C57" s="21"/>
    </row>
    <row r="58" spans="1:4" x14ac:dyDescent="0.25">
      <c r="A58">
        <v>2003</v>
      </c>
      <c r="B58" s="21">
        <v>147.10833333333332</v>
      </c>
      <c r="C58" s="21"/>
    </row>
    <row r="59" spans="1:4" x14ac:dyDescent="0.25">
      <c r="A59">
        <v>2004</v>
      </c>
      <c r="B59" s="21">
        <v>161.47500000000002</v>
      </c>
      <c r="C59" s="21"/>
    </row>
    <row r="60" spans="1:4" x14ac:dyDescent="0.25">
      <c r="A60">
        <v>2005</v>
      </c>
      <c r="B60" s="21">
        <v>169.55833333333337</v>
      </c>
      <c r="C60" s="21"/>
    </row>
    <row r="61" spans="1:4" x14ac:dyDescent="0.25">
      <c r="A61">
        <v>2006</v>
      </c>
      <c r="B61" s="21">
        <v>180.24166666666665</v>
      </c>
      <c r="C61" s="21"/>
    </row>
    <row r="62" spans="1:4" x14ac:dyDescent="0.25">
      <c r="A62">
        <v>2007</v>
      </c>
      <c r="B62" s="21">
        <v>183.17500000000004</v>
      </c>
      <c r="C62" s="21"/>
    </row>
    <row r="63" spans="1:4" x14ac:dyDescent="0.25">
      <c r="A63">
        <v>2008</v>
      </c>
      <c r="B63" s="21">
        <v>196.44166666666669</v>
      </c>
      <c r="C63" s="21"/>
    </row>
    <row r="64" spans="1:4" x14ac:dyDescent="0.25">
      <c r="A64">
        <v>2009</v>
      </c>
      <c r="B64" s="21">
        <v>189.17499999999998</v>
      </c>
      <c r="C64" s="21"/>
    </row>
    <row r="65" spans="1:3" x14ac:dyDescent="0.25">
      <c r="A65">
        <v>2010</v>
      </c>
      <c r="B65" s="21">
        <v>194.49999999999997</v>
      </c>
      <c r="C65" s="21"/>
    </row>
    <row r="66" spans="1:3" x14ac:dyDescent="0.25">
      <c r="A66">
        <v>2011</v>
      </c>
      <c r="B66" s="21">
        <v>201.125</v>
      </c>
      <c r="C66" s="21"/>
    </row>
    <row r="67" spans="1:3" x14ac:dyDescent="0.25">
      <c r="A67">
        <v>2012</v>
      </c>
      <c r="B67" s="21">
        <v>205.82499999999996</v>
      </c>
      <c r="C67" s="21"/>
    </row>
    <row r="68" spans="1:3" x14ac:dyDescent="0.25">
      <c r="A68">
        <v>2013</v>
      </c>
      <c r="B68" s="21">
        <v>209.27500000000006</v>
      </c>
      <c r="C68" s="21"/>
    </row>
    <row r="69" spans="1:3" x14ac:dyDescent="0.25">
      <c r="A69">
        <v>2014</v>
      </c>
      <c r="B69" s="21">
        <v>214.45000000000002</v>
      </c>
      <c r="C69" s="21"/>
    </row>
    <row r="70" spans="1:3" x14ac:dyDescent="0.25">
      <c r="A70">
        <v>2015</v>
      </c>
      <c r="B70" s="21">
        <v>213.54166666666666</v>
      </c>
      <c r="C70" s="21"/>
    </row>
    <row r="71" spans="1:3" x14ac:dyDescent="0.25">
      <c r="A71">
        <v>2016</v>
      </c>
      <c r="B71" s="21">
        <v>213.89166666666665</v>
      </c>
      <c r="C71" s="21"/>
    </row>
    <row r="72" spans="1:3" x14ac:dyDescent="0.25">
      <c r="A72">
        <v>2017</v>
      </c>
      <c r="B72" s="21">
        <v>221.64166666666668</v>
      </c>
      <c r="C72" s="21"/>
    </row>
    <row r="73" spans="1:3" x14ac:dyDescent="0.25">
      <c r="A73">
        <v>2018</v>
      </c>
      <c r="B73" s="21">
        <v>235.75</v>
      </c>
      <c r="C73" s="21"/>
    </row>
    <row r="74" spans="1:3" x14ac:dyDescent="0.25">
      <c r="A74">
        <v>2019</v>
      </c>
      <c r="B74" s="21">
        <v>235.72500000000002</v>
      </c>
      <c r="C74" s="21"/>
    </row>
    <row r="75" spans="1:3" x14ac:dyDescent="0.25">
      <c r="A75">
        <v>2020</v>
      </c>
      <c r="B75" s="21">
        <v>234.5</v>
      </c>
      <c r="C75" s="21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CR35"/>
  <sheetViews>
    <sheetView zoomScale="75" zoomScaleNormal="75" workbookViewId="0">
      <selection activeCell="A9" sqref="A9"/>
    </sheetView>
  </sheetViews>
  <sheetFormatPr defaultRowHeight="15" x14ac:dyDescent="0.25"/>
  <cols>
    <col min="1" max="1" width="5.7109375" customWidth="1"/>
    <col min="2" max="2" width="50.7109375" customWidth="1"/>
    <col min="3" max="3" width="10.7109375" customWidth="1"/>
  </cols>
  <sheetData>
    <row r="1" spans="1:96" x14ac:dyDescent="0.25">
      <c r="A1" t="s">
        <v>182</v>
      </c>
    </row>
    <row r="2" spans="1:96" x14ac:dyDescent="0.25">
      <c r="A2" t="s">
        <v>183</v>
      </c>
    </row>
    <row r="3" spans="1:96" x14ac:dyDescent="0.25">
      <c r="A3" t="s">
        <v>501</v>
      </c>
    </row>
    <row r="4" spans="1:96" x14ac:dyDescent="0.25">
      <c r="A4" t="s">
        <v>184</v>
      </c>
    </row>
    <row r="5" spans="1:96" x14ac:dyDescent="0.25">
      <c r="A5" t="s">
        <v>502</v>
      </c>
    </row>
    <row r="6" spans="1:96" x14ac:dyDescent="0.25">
      <c r="A6" t="s">
        <v>503</v>
      </c>
    </row>
    <row r="8" spans="1:96" x14ac:dyDescent="0.25">
      <c r="A8" t="s">
        <v>185</v>
      </c>
      <c r="D8">
        <v>1929</v>
      </c>
      <c r="E8">
        <v>1930</v>
      </c>
      <c r="F8">
        <v>1931</v>
      </c>
      <c r="G8">
        <v>1932</v>
      </c>
      <c r="H8">
        <v>1933</v>
      </c>
      <c r="I8">
        <v>1934</v>
      </c>
      <c r="J8">
        <v>1935</v>
      </c>
      <c r="K8">
        <v>1936</v>
      </c>
      <c r="L8">
        <v>1937</v>
      </c>
      <c r="M8">
        <v>1938</v>
      </c>
      <c r="N8">
        <v>1939</v>
      </c>
      <c r="O8">
        <v>1940</v>
      </c>
      <c r="P8">
        <v>1941</v>
      </c>
      <c r="Q8">
        <v>1942</v>
      </c>
      <c r="R8">
        <v>1943</v>
      </c>
      <c r="S8">
        <v>1944</v>
      </c>
      <c r="T8">
        <v>1945</v>
      </c>
      <c r="U8">
        <v>1946</v>
      </c>
      <c r="V8">
        <v>1947</v>
      </c>
      <c r="W8">
        <v>1948</v>
      </c>
      <c r="X8">
        <v>1949</v>
      </c>
      <c r="Y8">
        <v>1950</v>
      </c>
      <c r="Z8">
        <v>1951</v>
      </c>
      <c r="AA8">
        <v>1952</v>
      </c>
      <c r="AB8">
        <v>1953</v>
      </c>
      <c r="AC8">
        <v>1954</v>
      </c>
      <c r="AD8">
        <v>1955</v>
      </c>
      <c r="AE8">
        <v>1956</v>
      </c>
      <c r="AF8">
        <v>1957</v>
      </c>
      <c r="AG8">
        <v>1958</v>
      </c>
      <c r="AH8">
        <v>1959</v>
      </c>
      <c r="AI8">
        <v>1960</v>
      </c>
      <c r="AJ8">
        <v>1961</v>
      </c>
      <c r="AK8">
        <v>1962</v>
      </c>
      <c r="AL8">
        <v>1963</v>
      </c>
      <c r="AM8">
        <v>1964</v>
      </c>
      <c r="AN8">
        <v>1965</v>
      </c>
      <c r="AO8">
        <v>1966</v>
      </c>
      <c r="AP8">
        <v>1967</v>
      </c>
      <c r="AQ8">
        <v>1968</v>
      </c>
      <c r="AR8">
        <v>1969</v>
      </c>
      <c r="AS8">
        <v>1970</v>
      </c>
      <c r="AT8">
        <v>1971</v>
      </c>
      <c r="AU8">
        <v>1972</v>
      </c>
      <c r="AV8">
        <v>1973</v>
      </c>
      <c r="AW8">
        <v>1974</v>
      </c>
      <c r="AX8">
        <v>1975</v>
      </c>
      <c r="AY8">
        <v>1976</v>
      </c>
      <c r="AZ8">
        <v>1977</v>
      </c>
      <c r="BA8">
        <v>1978</v>
      </c>
      <c r="BB8">
        <v>1979</v>
      </c>
      <c r="BC8">
        <v>1980</v>
      </c>
      <c r="BD8">
        <v>1981</v>
      </c>
      <c r="BE8">
        <v>1982</v>
      </c>
      <c r="BF8">
        <v>1983</v>
      </c>
      <c r="BG8">
        <v>1984</v>
      </c>
      <c r="BH8">
        <v>1985</v>
      </c>
      <c r="BI8">
        <v>1986</v>
      </c>
      <c r="BJ8">
        <v>1987</v>
      </c>
      <c r="BK8">
        <v>1988</v>
      </c>
      <c r="BL8">
        <v>1989</v>
      </c>
      <c r="BM8">
        <v>1990</v>
      </c>
      <c r="BN8">
        <v>1991</v>
      </c>
      <c r="BO8">
        <v>1992</v>
      </c>
      <c r="BP8">
        <v>1993</v>
      </c>
      <c r="BQ8">
        <v>1994</v>
      </c>
      <c r="BR8">
        <v>1995</v>
      </c>
      <c r="BS8">
        <v>1996</v>
      </c>
      <c r="BT8">
        <v>1997</v>
      </c>
      <c r="BU8">
        <v>1998</v>
      </c>
      <c r="BV8">
        <v>1999</v>
      </c>
      <c r="BW8">
        <v>2000</v>
      </c>
      <c r="BX8">
        <v>2001</v>
      </c>
      <c r="BY8">
        <v>2002</v>
      </c>
      <c r="BZ8">
        <v>2003</v>
      </c>
      <c r="CA8">
        <v>2004</v>
      </c>
      <c r="CB8">
        <v>2005</v>
      </c>
      <c r="CC8">
        <v>2006</v>
      </c>
      <c r="CD8">
        <v>2007</v>
      </c>
      <c r="CE8">
        <v>2008</v>
      </c>
      <c r="CF8">
        <v>2009</v>
      </c>
      <c r="CG8">
        <v>2010</v>
      </c>
      <c r="CH8">
        <v>2011</v>
      </c>
      <c r="CI8">
        <v>2012</v>
      </c>
      <c r="CJ8">
        <v>2013</v>
      </c>
      <c r="CK8">
        <v>2014</v>
      </c>
      <c r="CL8">
        <v>2015</v>
      </c>
      <c r="CM8">
        <v>2016</v>
      </c>
      <c r="CN8">
        <v>2017</v>
      </c>
      <c r="CO8">
        <v>2018</v>
      </c>
      <c r="CP8">
        <v>2019</v>
      </c>
      <c r="CQ8">
        <v>2020</v>
      </c>
      <c r="CR8">
        <v>2021</v>
      </c>
    </row>
    <row r="9" spans="1:96" x14ac:dyDescent="0.25">
      <c r="A9" t="s">
        <v>186</v>
      </c>
      <c r="B9" t="s">
        <v>187</v>
      </c>
      <c r="C9" t="s">
        <v>188</v>
      </c>
      <c r="D9" s="22">
        <v>9.3970000000000002</v>
      </c>
      <c r="E9" s="22">
        <v>9.0340000000000007</v>
      </c>
      <c r="F9" s="22">
        <v>8.141</v>
      </c>
      <c r="G9" s="22">
        <v>7.2140000000000004</v>
      </c>
      <c r="H9" s="22">
        <v>7.0190000000000001</v>
      </c>
      <c r="I9" s="22">
        <v>7.36</v>
      </c>
      <c r="J9" s="22">
        <v>7.508</v>
      </c>
      <c r="K9" s="22">
        <v>7.6020000000000003</v>
      </c>
      <c r="L9" s="22">
        <v>7.8789999999999996</v>
      </c>
      <c r="M9" s="22">
        <v>7.734</v>
      </c>
      <c r="N9" s="22">
        <v>7.6369999999999996</v>
      </c>
      <c r="O9" s="22">
        <v>7.7060000000000004</v>
      </c>
      <c r="P9" s="22">
        <v>8.2110000000000003</v>
      </c>
      <c r="Q9" s="22">
        <v>8.8949999999999996</v>
      </c>
      <c r="R9" s="22">
        <v>9.32</v>
      </c>
      <c r="S9" s="22">
        <v>9.5429999999999993</v>
      </c>
      <c r="T9" s="22">
        <v>9.7810000000000006</v>
      </c>
      <c r="U9" s="22">
        <v>11.012</v>
      </c>
      <c r="V9" s="22">
        <v>12.25</v>
      </c>
      <c r="W9" s="22">
        <v>12.946</v>
      </c>
      <c r="X9" s="22">
        <v>12.942</v>
      </c>
      <c r="Y9" s="22">
        <v>13.064</v>
      </c>
      <c r="Z9" s="22">
        <v>13.95</v>
      </c>
      <c r="AA9" s="22">
        <v>14.254</v>
      </c>
      <c r="AB9" s="22">
        <v>14.436</v>
      </c>
      <c r="AC9" s="22">
        <v>14.583</v>
      </c>
      <c r="AD9" s="22">
        <v>14.79</v>
      </c>
      <c r="AE9" s="22">
        <v>15.295999999999999</v>
      </c>
      <c r="AF9" s="22">
        <v>15.831</v>
      </c>
      <c r="AG9" s="22">
        <v>16.199000000000002</v>
      </c>
      <c r="AH9" s="22">
        <v>16.411999999999999</v>
      </c>
      <c r="AI9" s="22">
        <v>16.637</v>
      </c>
      <c r="AJ9" s="22">
        <v>16.814</v>
      </c>
      <c r="AK9" s="22">
        <v>17.018999999999998</v>
      </c>
      <c r="AL9" s="22">
        <v>17.213999999999999</v>
      </c>
      <c r="AM9" s="22">
        <v>17.475999999999999</v>
      </c>
      <c r="AN9" s="22">
        <v>17.795999999999999</v>
      </c>
      <c r="AO9" s="22">
        <v>18.295000000000002</v>
      </c>
      <c r="AP9" s="22">
        <v>18.824999999999999</v>
      </c>
      <c r="AQ9" s="22">
        <v>19.626999999999999</v>
      </c>
      <c r="AR9" s="22">
        <v>20.59</v>
      </c>
      <c r="AS9" s="22">
        <v>21.675999999999998</v>
      </c>
      <c r="AT9" s="22">
        <v>22.776</v>
      </c>
      <c r="AU9" s="22">
        <v>23.76</v>
      </c>
      <c r="AV9" s="22">
        <v>25.061</v>
      </c>
      <c r="AW9" s="22">
        <v>27.309000000000001</v>
      </c>
      <c r="AX9" s="22">
        <v>29.846</v>
      </c>
      <c r="AY9" s="22">
        <v>31.49</v>
      </c>
      <c r="AZ9" s="22">
        <v>33.445</v>
      </c>
      <c r="BA9" s="22">
        <v>35.798000000000002</v>
      </c>
      <c r="BB9" s="22">
        <v>38.765999999999998</v>
      </c>
      <c r="BC9" s="22">
        <v>42.277999999999999</v>
      </c>
      <c r="BD9" s="22">
        <v>46.268999999999998</v>
      </c>
      <c r="BE9" s="22">
        <v>49.13</v>
      </c>
      <c r="BF9" s="22">
        <v>51.051000000000002</v>
      </c>
      <c r="BG9" s="22">
        <v>52.893999999999998</v>
      </c>
      <c r="BH9" s="22">
        <v>54.567999999999998</v>
      </c>
      <c r="BI9" s="22">
        <v>55.673000000000002</v>
      </c>
      <c r="BJ9" s="22">
        <v>57.040999999999997</v>
      </c>
      <c r="BK9" s="22">
        <v>59.055</v>
      </c>
      <c r="BL9" s="22">
        <v>61.37</v>
      </c>
      <c r="BM9" s="22">
        <v>63.676000000000002</v>
      </c>
      <c r="BN9" s="22">
        <v>65.819000000000003</v>
      </c>
      <c r="BO9" s="22">
        <v>67.320999999999998</v>
      </c>
      <c r="BP9" s="22">
        <v>68.917000000000002</v>
      </c>
      <c r="BQ9" s="22">
        <v>70.385999999999996</v>
      </c>
      <c r="BR9" s="22">
        <v>71.864000000000004</v>
      </c>
      <c r="BS9" s="22">
        <v>73.177999999999997</v>
      </c>
      <c r="BT9" s="22">
        <v>74.445999999999998</v>
      </c>
      <c r="BU9" s="22">
        <v>75.266999999999996</v>
      </c>
      <c r="BV9" s="22">
        <v>76.346000000000004</v>
      </c>
      <c r="BW9" s="22">
        <v>78.069000000000003</v>
      </c>
      <c r="BX9" s="22">
        <v>79.822000000000003</v>
      </c>
      <c r="BY9" s="22">
        <v>81.039000000000001</v>
      </c>
      <c r="BZ9" s="22">
        <v>82.566999999999993</v>
      </c>
      <c r="CA9" s="22">
        <v>84.778000000000006</v>
      </c>
      <c r="CB9" s="22">
        <v>87.406999999999996</v>
      </c>
      <c r="CC9" s="22">
        <v>90.073999999999998</v>
      </c>
      <c r="CD9" s="22">
        <v>92.498000000000005</v>
      </c>
      <c r="CE9" s="22">
        <v>94.263999999999996</v>
      </c>
      <c r="CF9" s="22">
        <v>94.998999999999995</v>
      </c>
      <c r="CG9" s="22">
        <v>96.108999999999995</v>
      </c>
      <c r="CH9" s="22">
        <v>98.111999999999995</v>
      </c>
      <c r="CI9" s="22">
        <v>100</v>
      </c>
      <c r="CJ9" s="22">
        <v>101.773</v>
      </c>
      <c r="CK9" s="22">
        <v>103.64700000000001</v>
      </c>
      <c r="CL9" s="22">
        <v>104.639</v>
      </c>
      <c r="CM9" s="22">
        <v>105.736</v>
      </c>
      <c r="CN9" s="22">
        <v>107.751</v>
      </c>
      <c r="CO9" s="22">
        <v>110.322</v>
      </c>
      <c r="CP9" s="22">
        <v>112.318</v>
      </c>
      <c r="CQ9" s="22">
        <v>113.623</v>
      </c>
      <c r="CR9" s="22">
        <v>118.49</v>
      </c>
    </row>
    <row r="10" spans="1:96" x14ac:dyDescent="0.25">
      <c r="D10" s="22"/>
      <c r="E10" s="47">
        <f>E9/D9-1</f>
        <v>-3.8629349792486889E-2</v>
      </c>
      <c r="F10" s="47">
        <f t="shared" ref="F10:BQ10" si="0">F9/E9-1</f>
        <v>-9.8848793446978167E-2</v>
      </c>
      <c r="G10" s="47">
        <f t="shared" si="0"/>
        <v>-0.11386807517503983</v>
      </c>
      <c r="H10" s="47">
        <f t="shared" si="0"/>
        <v>-2.7030773495980043E-2</v>
      </c>
      <c r="I10" s="47">
        <f t="shared" si="0"/>
        <v>4.8582419148026856E-2</v>
      </c>
      <c r="J10" s="47">
        <f t="shared" si="0"/>
        <v>2.010869565217388E-2</v>
      </c>
      <c r="K10" s="47">
        <f t="shared" si="0"/>
        <v>1.2519978689397915E-2</v>
      </c>
      <c r="L10" s="47">
        <f t="shared" si="0"/>
        <v>3.643777953170213E-2</v>
      </c>
      <c r="M10" s="47">
        <f t="shared" si="0"/>
        <v>-1.8403350679020103E-2</v>
      </c>
      <c r="N10" s="47">
        <f t="shared" si="0"/>
        <v>-1.2542022239462214E-2</v>
      </c>
      <c r="O10" s="47">
        <f t="shared" si="0"/>
        <v>9.03496137226667E-3</v>
      </c>
      <c r="P10" s="47">
        <f t="shared" si="0"/>
        <v>6.5533350635868182E-2</v>
      </c>
      <c r="Q10" s="47">
        <f t="shared" si="0"/>
        <v>8.3302886371940055E-2</v>
      </c>
      <c r="R10" s="47">
        <f t="shared" si="0"/>
        <v>4.7779651489600949E-2</v>
      </c>
      <c r="S10" s="47">
        <f t="shared" si="0"/>
        <v>2.3927038626609276E-2</v>
      </c>
      <c r="T10" s="47">
        <f t="shared" si="0"/>
        <v>2.4939746410981956E-2</v>
      </c>
      <c r="U10" s="47">
        <f t="shared" si="0"/>
        <v>0.12585625191698191</v>
      </c>
      <c r="V10" s="47">
        <f t="shared" si="0"/>
        <v>0.11242281147838717</v>
      </c>
      <c r="W10" s="47">
        <f t="shared" si="0"/>
        <v>5.6816326530612304E-2</v>
      </c>
      <c r="X10" s="47">
        <f t="shared" si="0"/>
        <v>-3.0897574540400541E-4</v>
      </c>
      <c r="Y10" s="47">
        <f t="shared" si="0"/>
        <v>9.4266728480913997E-3</v>
      </c>
      <c r="Z10" s="47">
        <f t="shared" si="0"/>
        <v>6.7819963257807592E-2</v>
      </c>
      <c r="AA10" s="47">
        <f t="shared" si="0"/>
        <v>2.1792114695340592E-2</v>
      </c>
      <c r="AB10" s="47">
        <f t="shared" si="0"/>
        <v>1.2768345727515173E-2</v>
      </c>
      <c r="AC10" s="47">
        <f t="shared" si="0"/>
        <v>1.0182876142975861E-2</v>
      </c>
      <c r="AD10" s="47">
        <f t="shared" si="0"/>
        <v>1.4194610162517884E-2</v>
      </c>
      <c r="AE10" s="47">
        <f t="shared" si="0"/>
        <v>3.4212305611899918E-2</v>
      </c>
      <c r="AF10" s="47">
        <f t="shared" si="0"/>
        <v>3.4976464435146459E-2</v>
      </c>
      <c r="AG10" s="47">
        <f t="shared" si="0"/>
        <v>2.3245530920346313E-2</v>
      </c>
      <c r="AH10" s="47">
        <f t="shared" si="0"/>
        <v>1.3148959812333993E-2</v>
      </c>
      <c r="AI10" s="47">
        <f t="shared" si="0"/>
        <v>1.3709480867657886E-2</v>
      </c>
      <c r="AJ10" s="47">
        <f t="shared" si="0"/>
        <v>1.0638937308409036E-2</v>
      </c>
      <c r="AK10" s="47">
        <f t="shared" si="0"/>
        <v>1.2192220768407092E-2</v>
      </c>
      <c r="AL10" s="47">
        <f t="shared" si="0"/>
        <v>1.1457782478406564E-2</v>
      </c>
      <c r="AM10" s="47">
        <f t="shared" si="0"/>
        <v>1.5220169629371449E-2</v>
      </c>
      <c r="AN10" s="47">
        <f t="shared" si="0"/>
        <v>1.8310826276035641E-2</v>
      </c>
      <c r="AO10" s="47">
        <f t="shared" si="0"/>
        <v>2.8040008990784626E-2</v>
      </c>
      <c r="AP10" s="47">
        <f t="shared" si="0"/>
        <v>2.8969663842579818E-2</v>
      </c>
      <c r="AQ10" s="47">
        <f t="shared" si="0"/>
        <v>4.2602921646746283E-2</v>
      </c>
      <c r="AR10" s="47">
        <f t="shared" si="0"/>
        <v>4.9065063433026079E-2</v>
      </c>
      <c r="AS10" s="47">
        <f t="shared" si="0"/>
        <v>5.274405050995612E-2</v>
      </c>
      <c r="AT10" s="47">
        <f t="shared" si="0"/>
        <v>5.0747370363535715E-2</v>
      </c>
      <c r="AU10" s="47">
        <f t="shared" si="0"/>
        <v>4.3203371970495397E-2</v>
      </c>
      <c r="AV10" s="47">
        <f t="shared" si="0"/>
        <v>5.4755892255892169E-2</v>
      </c>
      <c r="AW10" s="47">
        <f t="shared" si="0"/>
        <v>8.9701129244643019E-2</v>
      </c>
      <c r="AX10" s="47">
        <f t="shared" si="0"/>
        <v>9.2899776630414932E-2</v>
      </c>
      <c r="AY10" s="47">
        <f t="shared" si="0"/>
        <v>5.5082758158547129E-2</v>
      </c>
      <c r="AZ10" s="47">
        <f t="shared" si="0"/>
        <v>6.2083201016195577E-2</v>
      </c>
      <c r="BA10" s="47">
        <f t="shared" si="0"/>
        <v>7.0354313051278261E-2</v>
      </c>
      <c r="BB10" s="47">
        <f t="shared" si="0"/>
        <v>8.2909659757528287E-2</v>
      </c>
      <c r="BC10" s="47">
        <f t="shared" si="0"/>
        <v>9.0594851158231515E-2</v>
      </c>
      <c r="BD10" s="47">
        <f t="shared" si="0"/>
        <v>9.4398978191967409E-2</v>
      </c>
      <c r="BE10" s="47">
        <f t="shared" si="0"/>
        <v>6.183405736021963E-2</v>
      </c>
      <c r="BF10" s="47">
        <f t="shared" si="0"/>
        <v>3.910034602076129E-2</v>
      </c>
      <c r="BG10" s="47">
        <f t="shared" si="0"/>
        <v>3.6101153748212544E-2</v>
      </c>
      <c r="BH10" s="47">
        <f t="shared" si="0"/>
        <v>3.1648202064506359E-2</v>
      </c>
      <c r="BI10" s="47">
        <f t="shared" si="0"/>
        <v>2.0249963348482725E-2</v>
      </c>
      <c r="BJ10" s="47">
        <f t="shared" si="0"/>
        <v>2.4572054676413879E-2</v>
      </c>
      <c r="BK10" s="47">
        <f t="shared" si="0"/>
        <v>3.5307936396627104E-2</v>
      </c>
      <c r="BL10" s="47">
        <f t="shared" si="0"/>
        <v>3.920074506815685E-2</v>
      </c>
      <c r="BM10" s="47">
        <f t="shared" si="0"/>
        <v>3.7575362554994385E-2</v>
      </c>
      <c r="BN10" s="47">
        <f t="shared" si="0"/>
        <v>3.3654752182926018E-2</v>
      </c>
      <c r="BO10" s="47">
        <f t="shared" si="0"/>
        <v>2.2820158312949035E-2</v>
      </c>
      <c r="BP10" s="47">
        <f t="shared" si="0"/>
        <v>2.3707312725598229E-2</v>
      </c>
      <c r="BQ10" s="47">
        <f t="shared" si="0"/>
        <v>2.1315495451049715E-2</v>
      </c>
      <c r="BR10" s="47">
        <f t="shared" ref="BR10:CR10" si="1">BR9/BQ9-1</f>
        <v>2.0998494018697134E-2</v>
      </c>
      <c r="BS10" s="47">
        <f t="shared" si="1"/>
        <v>1.8284537459645867E-2</v>
      </c>
      <c r="BT10" s="47">
        <f t="shared" si="1"/>
        <v>1.7327612123862357E-2</v>
      </c>
      <c r="BU10" s="47">
        <f t="shared" si="1"/>
        <v>1.1028127770464469E-2</v>
      </c>
      <c r="BV10" s="47">
        <f t="shared" si="1"/>
        <v>1.4335631817396832E-2</v>
      </c>
      <c r="BW10" s="47">
        <f t="shared" si="1"/>
        <v>2.2568307442433211E-2</v>
      </c>
      <c r="BX10" s="47">
        <f t="shared" si="1"/>
        <v>2.2454495382290052E-2</v>
      </c>
      <c r="BY10" s="47">
        <f t="shared" si="1"/>
        <v>1.5246423291824351E-2</v>
      </c>
      <c r="BZ10" s="47">
        <f t="shared" si="1"/>
        <v>1.8855119140166909E-2</v>
      </c>
      <c r="CA10" s="47">
        <f t="shared" si="1"/>
        <v>2.6778252812867276E-2</v>
      </c>
      <c r="CB10" s="47">
        <f t="shared" si="1"/>
        <v>3.1010403642454332E-2</v>
      </c>
      <c r="CC10" s="47">
        <f t="shared" si="1"/>
        <v>3.0512430354548314E-2</v>
      </c>
      <c r="CD10" s="47">
        <f t="shared" si="1"/>
        <v>2.691120634145272E-2</v>
      </c>
      <c r="CE10" s="47">
        <f t="shared" si="1"/>
        <v>1.9092304698479889E-2</v>
      </c>
      <c r="CF10" s="47">
        <f t="shared" si="1"/>
        <v>7.7972502758210105E-3</v>
      </c>
      <c r="CG10" s="47">
        <f t="shared" si="1"/>
        <v>1.1684333519300205E-2</v>
      </c>
      <c r="CH10" s="47">
        <f t="shared" si="1"/>
        <v>2.0840920205183799E-2</v>
      </c>
      <c r="CI10" s="47">
        <f t="shared" si="1"/>
        <v>1.924331376386168E-2</v>
      </c>
      <c r="CJ10" s="47">
        <f t="shared" si="1"/>
        <v>1.7730000000000024E-2</v>
      </c>
      <c r="CK10" s="47">
        <f t="shared" si="1"/>
        <v>1.841352814597208E-2</v>
      </c>
      <c r="CL10" s="47">
        <f t="shared" si="1"/>
        <v>9.5709475431029478E-3</v>
      </c>
      <c r="CM10" s="47">
        <f t="shared" si="1"/>
        <v>1.0483662879041455E-2</v>
      </c>
      <c r="CN10" s="47">
        <f t="shared" si="1"/>
        <v>1.9056896421275615E-2</v>
      </c>
      <c r="CO10" s="47">
        <f t="shared" si="1"/>
        <v>2.386056741932796E-2</v>
      </c>
      <c r="CP10" s="47">
        <f t="shared" si="1"/>
        <v>1.8092492884465461E-2</v>
      </c>
      <c r="CQ10" s="47">
        <f t="shared" si="1"/>
        <v>1.1618796630994188E-2</v>
      </c>
      <c r="CR10" s="47">
        <f t="shared" si="1"/>
        <v>4.2834637353352578E-2</v>
      </c>
    </row>
    <row r="11" spans="1:96" x14ac:dyDescent="0.25">
      <c r="A11" t="s">
        <v>189</v>
      </c>
      <c r="B11" t="s">
        <v>190</v>
      </c>
      <c r="C11" t="s">
        <v>191</v>
      </c>
      <c r="D11" s="22">
        <v>9.3140000000000001</v>
      </c>
      <c r="E11" s="22">
        <v>8.92</v>
      </c>
      <c r="F11" s="22">
        <v>7.9649999999999999</v>
      </c>
      <c r="G11" s="22">
        <v>7.024</v>
      </c>
      <c r="H11" s="22">
        <v>6.774</v>
      </c>
      <c r="I11" s="22">
        <v>7.0810000000000004</v>
      </c>
      <c r="J11" s="22">
        <v>7.2560000000000002</v>
      </c>
      <c r="K11" s="22">
        <v>7.3230000000000004</v>
      </c>
      <c r="L11" s="22">
        <v>7.59</v>
      </c>
      <c r="M11" s="22">
        <v>7.4169999999999998</v>
      </c>
      <c r="N11" s="22">
        <v>7.3449999999999998</v>
      </c>
      <c r="O11" s="22">
        <v>7.407</v>
      </c>
      <c r="P11" s="22">
        <v>7.8680000000000003</v>
      </c>
      <c r="Q11" s="22">
        <v>8.8469999999999995</v>
      </c>
      <c r="R11" s="22">
        <v>9.6609999999999996</v>
      </c>
      <c r="S11" s="22">
        <v>10.215999999999999</v>
      </c>
      <c r="T11" s="22">
        <v>10.625</v>
      </c>
      <c r="U11" s="22">
        <v>11.364000000000001</v>
      </c>
      <c r="V11" s="22">
        <v>12.516999999999999</v>
      </c>
      <c r="W11" s="22">
        <v>13.225</v>
      </c>
      <c r="X11" s="22">
        <v>13.122</v>
      </c>
      <c r="Y11" s="22">
        <v>13.278</v>
      </c>
      <c r="Z11" s="22">
        <v>14.182</v>
      </c>
      <c r="AA11" s="22">
        <v>14.473000000000001</v>
      </c>
      <c r="AB11" s="22">
        <v>14.663</v>
      </c>
      <c r="AC11" s="22">
        <v>14.787000000000001</v>
      </c>
      <c r="AD11" s="22">
        <v>14.845000000000001</v>
      </c>
      <c r="AE11" s="22">
        <v>15.14</v>
      </c>
      <c r="AF11" s="22">
        <v>15.6</v>
      </c>
      <c r="AG11" s="22">
        <v>15.968999999999999</v>
      </c>
      <c r="AH11" s="22">
        <v>16.207000000000001</v>
      </c>
      <c r="AI11" s="22">
        <v>16.472999999999999</v>
      </c>
      <c r="AJ11" s="22">
        <v>16.643999999999998</v>
      </c>
      <c r="AK11" s="22">
        <v>16.838999999999999</v>
      </c>
      <c r="AL11" s="22">
        <v>17.04</v>
      </c>
      <c r="AM11" s="22">
        <v>17.286999999999999</v>
      </c>
      <c r="AN11" s="22">
        <v>17.536000000000001</v>
      </c>
      <c r="AO11" s="22">
        <v>17.978999999999999</v>
      </c>
      <c r="AP11" s="22">
        <v>18.431000000000001</v>
      </c>
      <c r="AQ11" s="22">
        <v>19.152000000000001</v>
      </c>
      <c r="AR11" s="22">
        <v>20.015000000000001</v>
      </c>
      <c r="AS11" s="22">
        <v>20.951000000000001</v>
      </c>
      <c r="AT11" s="22">
        <v>21.841000000000001</v>
      </c>
      <c r="AU11" s="22">
        <v>22.585999999999999</v>
      </c>
      <c r="AV11" s="22">
        <v>23.802</v>
      </c>
      <c r="AW11" s="22">
        <v>26.28</v>
      </c>
      <c r="AX11" s="22">
        <v>28.47</v>
      </c>
      <c r="AY11" s="22">
        <v>30.032</v>
      </c>
      <c r="AZ11" s="22">
        <v>31.986000000000001</v>
      </c>
      <c r="BA11" s="22">
        <v>34.210999999999999</v>
      </c>
      <c r="BB11" s="22">
        <v>37.250999999999998</v>
      </c>
      <c r="BC11" s="22">
        <v>41.262</v>
      </c>
      <c r="BD11" s="22">
        <v>44.957999999999998</v>
      </c>
      <c r="BE11" s="22">
        <v>47.456000000000003</v>
      </c>
      <c r="BF11" s="22">
        <v>49.473999999999997</v>
      </c>
      <c r="BG11" s="22">
        <v>51.343000000000004</v>
      </c>
      <c r="BH11" s="22">
        <v>53.134</v>
      </c>
      <c r="BI11" s="22">
        <v>54.29</v>
      </c>
      <c r="BJ11" s="22">
        <v>55.963999999999999</v>
      </c>
      <c r="BK11" s="22">
        <v>58.151000000000003</v>
      </c>
      <c r="BL11" s="22">
        <v>60.69</v>
      </c>
      <c r="BM11" s="22">
        <v>63.354999999999997</v>
      </c>
      <c r="BN11" s="22">
        <v>65.472999999999999</v>
      </c>
      <c r="BO11" s="22">
        <v>67.218000000000004</v>
      </c>
      <c r="BP11" s="22">
        <v>68.891999999999996</v>
      </c>
      <c r="BQ11" s="22">
        <v>70.33</v>
      </c>
      <c r="BR11" s="22">
        <v>71.811000000000007</v>
      </c>
      <c r="BS11" s="22">
        <v>73.346000000000004</v>
      </c>
      <c r="BT11" s="22">
        <v>74.623000000000005</v>
      </c>
      <c r="BU11" s="22">
        <v>75.215999999999994</v>
      </c>
      <c r="BV11" s="22">
        <v>76.337999999999994</v>
      </c>
      <c r="BW11" s="22">
        <v>78.234999999999999</v>
      </c>
      <c r="BX11" s="22">
        <v>79.738</v>
      </c>
      <c r="BY11" s="22">
        <v>80.789000000000001</v>
      </c>
      <c r="BZ11" s="22">
        <v>82.358000000000004</v>
      </c>
      <c r="CA11" s="22">
        <v>84.411000000000001</v>
      </c>
      <c r="CB11" s="22">
        <v>86.811999999999998</v>
      </c>
      <c r="CC11" s="22">
        <v>89.174000000000007</v>
      </c>
      <c r="CD11" s="22">
        <v>91.438000000000002</v>
      </c>
      <c r="CE11" s="22">
        <v>94.18</v>
      </c>
      <c r="CF11" s="22">
        <v>94.093999999999994</v>
      </c>
      <c r="CG11" s="22">
        <v>95.704999999999998</v>
      </c>
      <c r="CH11" s="22">
        <v>98.131</v>
      </c>
      <c r="CI11" s="22">
        <v>100</v>
      </c>
      <c r="CJ11" s="22">
        <v>101.346</v>
      </c>
      <c r="CK11" s="22">
        <v>102.83</v>
      </c>
      <c r="CL11" s="22">
        <v>103.04300000000001</v>
      </c>
      <c r="CM11" s="22">
        <v>104.121</v>
      </c>
      <c r="CN11" s="22">
        <v>105.98399999999999</v>
      </c>
      <c r="CO11" s="22">
        <v>108.239</v>
      </c>
      <c r="CP11" s="22">
        <v>109.851</v>
      </c>
      <c r="CQ11" s="22">
        <v>111.146</v>
      </c>
      <c r="CR11" s="22">
        <v>115.53</v>
      </c>
    </row>
    <row r="12" spans="1:96" x14ac:dyDescent="0.25">
      <c r="A12" t="s">
        <v>192</v>
      </c>
      <c r="B12" t="s">
        <v>193</v>
      </c>
      <c r="C12" t="s">
        <v>194</v>
      </c>
      <c r="D12" s="22">
        <v>14.884</v>
      </c>
      <c r="E12" s="22">
        <v>14.092000000000001</v>
      </c>
      <c r="F12" s="22">
        <v>12.148999999999999</v>
      </c>
      <c r="G12" s="22">
        <v>10.467000000000001</v>
      </c>
      <c r="H12" s="22">
        <v>10.38</v>
      </c>
      <c r="I12" s="22">
        <v>11.404</v>
      </c>
      <c r="J12" s="22">
        <v>11.71</v>
      </c>
      <c r="K12" s="22">
        <v>11.756</v>
      </c>
      <c r="L12" s="22">
        <v>12.179</v>
      </c>
      <c r="M12" s="22">
        <v>11.685</v>
      </c>
      <c r="N12" s="22">
        <v>11.507999999999999</v>
      </c>
      <c r="O12" s="22">
        <v>11.611000000000001</v>
      </c>
      <c r="P12" s="22">
        <v>12.565</v>
      </c>
      <c r="Q12" s="22">
        <v>14.643000000000001</v>
      </c>
      <c r="R12" s="22">
        <v>16.327000000000002</v>
      </c>
      <c r="S12" s="22">
        <v>17.414000000000001</v>
      </c>
      <c r="T12" s="22">
        <v>18.21</v>
      </c>
      <c r="U12" s="22">
        <v>19.597999999999999</v>
      </c>
      <c r="V12" s="22">
        <v>21.957000000000001</v>
      </c>
      <c r="W12" s="22">
        <v>23.251999999999999</v>
      </c>
      <c r="X12" s="22">
        <v>22.709</v>
      </c>
      <c r="Y12" s="22">
        <v>22.78</v>
      </c>
      <c r="Z12" s="22">
        <v>24.619</v>
      </c>
      <c r="AA12" s="22">
        <v>24.856000000000002</v>
      </c>
      <c r="AB12" s="22">
        <v>24.742000000000001</v>
      </c>
      <c r="AC12" s="22">
        <v>24.648</v>
      </c>
      <c r="AD12" s="22">
        <v>24.503</v>
      </c>
      <c r="AE12" s="22">
        <v>24.919</v>
      </c>
      <c r="AF12" s="22">
        <v>25.699000000000002</v>
      </c>
      <c r="AG12" s="22">
        <v>26.283999999999999</v>
      </c>
      <c r="AH12" s="22">
        <v>26.417999999999999</v>
      </c>
      <c r="AI12" s="22">
        <v>26.625</v>
      </c>
      <c r="AJ12" s="22">
        <v>26.725000000000001</v>
      </c>
      <c r="AK12" s="22">
        <v>26.863</v>
      </c>
      <c r="AL12" s="22">
        <v>27.085999999999999</v>
      </c>
      <c r="AM12" s="22">
        <v>27.381</v>
      </c>
      <c r="AN12" s="22">
        <v>27.669</v>
      </c>
      <c r="AO12" s="22">
        <v>28.277999999999999</v>
      </c>
      <c r="AP12" s="22">
        <v>28.777000000000001</v>
      </c>
      <c r="AQ12" s="22">
        <v>29.78</v>
      </c>
      <c r="AR12" s="22">
        <v>30.934000000000001</v>
      </c>
      <c r="AS12" s="22">
        <v>32.113999999999997</v>
      </c>
      <c r="AT12" s="22">
        <v>33.079000000000001</v>
      </c>
      <c r="AU12" s="22">
        <v>33.926000000000002</v>
      </c>
      <c r="AV12" s="22">
        <v>35.948999999999998</v>
      </c>
      <c r="AW12" s="22">
        <v>40.436</v>
      </c>
      <c r="AX12" s="22">
        <v>43.703000000000003</v>
      </c>
      <c r="AY12" s="22">
        <v>45.412999999999997</v>
      </c>
      <c r="AZ12" s="22">
        <v>47.837000000000003</v>
      </c>
      <c r="BA12" s="22">
        <v>50.773000000000003</v>
      </c>
      <c r="BB12" s="22">
        <v>55.573999999999998</v>
      </c>
      <c r="BC12" s="22">
        <v>61.796999999999997</v>
      </c>
      <c r="BD12" s="22">
        <v>66.388999999999996</v>
      </c>
      <c r="BE12" s="22">
        <v>68.197999999999993</v>
      </c>
      <c r="BF12" s="22">
        <v>69.429000000000002</v>
      </c>
      <c r="BG12" s="22">
        <v>70.742000000000004</v>
      </c>
      <c r="BH12" s="22">
        <v>71.876999999999995</v>
      </c>
      <c r="BI12" s="22">
        <v>71.540999999999997</v>
      </c>
      <c r="BJ12" s="22">
        <v>73.841999999999999</v>
      </c>
      <c r="BK12" s="22">
        <v>75.787999999999997</v>
      </c>
      <c r="BL12" s="22">
        <v>78.703999999999994</v>
      </c>
      <c r="BM12" s="22">
        <v>81.927000000000007</v>
      </c>
      <c r="BN12" s="22">
        <v>83.93</v>
      </c>
      <c r="BO12" s="22">
        <v>84.942999999999998</v>
      </c>
      <c r="BP12" s="22">
        <v>85.680999999999997</v>
      </c>
      <c r="BQ12" s="22">
        <v>86.552000000000007</v>
      </c>
      <c r="BR12" s="22">
        <v>87.361000000000004</v>
      </c>
      <c r="BS12" s="22">
        <v>88.320999999999998</v>
      </c>
      <c r="BT12" s="22">
        <v>88.218999999999994</v>
      </c>
      <c r="BU12" s="22">
        <v>86.893000000000001</v>
      </c>
      <c r="BV12" s="22">
        <v>87.349000000000004</v>
      </c>
      <c r="BW12" s="22">
        <v>89.081999999999994</v>
      </c>
      <c r="BX12" s="22">
        <v>89.015000000000001</v>
      </c>
      <c r="BY12" s="22">
        <v>88.165999999999997</v>
      </c>
      <c r="BZ12" s="22">
        <v>88.054000000000002</v>
      </c>
      <c r="CA12" s="22">
        <v>89.292000000000002</v>
      </c>
      <c r="CB12" s="22">
        <v>91.084000000000003</v>
      </c>
      <c r="CC12" s="22">
        <v>92.305999999999997</v>
      </c>
      <c r="CD12" s="22">
        <v>93.331000000000003</v>
      </c>
      <c r="CE12" s="22">
        <v>96.122</v>
      </c>
      <c r="CF12" s="22">
        <v>93.811999999999998</v>
      </c>
      <c r="CG12" s="22">
        <v>95.183000000000007</v>
      </c>
      <c r="CH12" s="22">
        <v>98.772999999999996</v>
      </c>
      <c r="CI12" s="22">
        <v>100</v>
      </c>
      <c r="CJ12" s="22">
        <v>99.406999999999996</v>
      </c>
      <c r="CK12" s="22">
        <v>98.92</v>
      </c>
      <c r="CL12" s="22">
        <v>95.896000000000001</v>
      </c>
      <c r="CM12" s="22">
        <v>94.325000000000003</v>
      </c>
      <c r="CN12" s="22">
        <v>94.596999999999994</v>
      </c>
      <c r="CO12" s="22">
        <v>95.244</v>
      </c>
      <c r="CP12" s="22">
        <v>94.784999999999997</v>
      </c>
      <c r="CQ12" s="22">
        <v>94.212000000000003</v>
      </c>
      <c r="CR12" s="22">
        <v>98.89</v>
      </c>
    </row>
    <row r="13" spans="1:96" x14ac:dyDescent="0.25">
      <c r="A13" t="s">
        <v>195</v>
      </c>
      <c r="B13" t="s">
        <v>196</v>
      </c>
      <c r="C13" t="s">
        <v>197</v>
      </c>
      <c r="D13" s="22">
        <v>32.067</v>
      </c>
      <c r="E13" s="22">
        <v>30.19</v>
      </c>
      <c r="F13" s="22">
        <v>26.956</v>
      </c>
      <c r="G13" s="22">
        <v>23.751000000000001</v>
      </c>
      <c r="H13" s="22">
        <v>23.173999999999999</v>
      </c>
      <c r="I13" s="22">
        <v>24.565999999999999</v>
      </c>
      <c r="J13" s="22">
        <v>24.427</v>
      </c>
      <c r="K13" s="22">
        <v>24.567</v>
      </c>
      <c r="L13" s="22">
        <v>25.579000000000001</v>
      </c>
      <c r="M13" s="22">
        <v>25.56</v>
      </c>
      <c r="N13" s="22">
        <v>25.251000000000001</v>
      </c>
      <c r="O13" s="22">
        <v>25.506</v>
      </c>
      <c r="P13" s="22">
        <v>27.393000000000001</v>
      </c>
      <c r="Q13" s="22">
        <v>32.067999999999998</v>
      </c>
      <c r="R13" s="22">
        <v>34.978999999999999</v>
      </c>
      <c r="S13" s="22">
        <v>39.322000000000003</v>
      </c>
      <c r="T13" s="22">
        <v>41.593000000000004</v>
      </c>
      <c r="U13" s="22">
        <v>43.31</v>
      </c>
      <c r="V13" s="22">
        <v>47.106000000000002</v>
      </c>
      <c r="W13" s="22">
        <v>49.515999999999998</v>
      </c>
      <c r="X13" s="22">
        <v>49.854999999999997</v>
      </c>
      <c r="Y13" s="22">
        <v>50.107999999999997</v>
      </c>
      <c r="Z13" s="22">
        <v>53.466000000000001</v>
      </c>
      <c r="AA13" s="22">
        <v>53.798999999999999</v>
      </c>
      <c r="AB13" s="22">
        <v>53.377000000000002</v>
      </c>
      <c r="AC13" s="22">
        <v>52.207000000000001</v>
      </c>
      <c r="AD13" s="22">
        <v>52.005000000000003</v>
      </c>
      <c r="AE13" s="22">
        <v>53.259</v>
      </c>
      <c r="AF13" s="22">
        <v>55.219000000000001</v>
      </c>
      <c r="AG13" s="22">
        <v>56.222000000000001</v>
      </c>
      <c r="AH13" s="22">
        <v>57.115000000000002</v>
      </c>
      <c r="AI13" s="22">
        <v>56.899000000000001</v>
      </c>
      <c r="AJ13" s="22">
        <v>57.042999999999999</v>
      </c>
      <c r="AK13" s="22">
        <v>57.287999999999997</v>
      </c>
      <c r="AL13" s="22">
        <v>57.506999999999998</v>
      </c>
      <c r="AM13" s="22">
        <v>57.767000000000003</v>
      </c>
      <c r="AN13" s="22">
        <v>57.292999999999999</v>
      </c>
      <c r="AO13" s="22">
        <v>57.167999999999999</v>
      </c>
      <c r="AP13" s="22">
        <v>58.085999999999999</v>
      </c>
      <c r="AQ13" s="22">
        <v>59.948</v>
      </c>
      <c r="AR13" s="22">
        <v>61.637999999999998</v>
      </c>
      <c r="AS13" s="22">
        <v>62.966999999999999</v>
      </c>
      <c r="AT13" s="22">
        <v>65.141000000000005</v>
      </c>
      <c r="AU13" s="22">
        <v>65.858999999999995</v>
      </c>
      <c r="AV13" s="22">
        <v>66.834000000000003</v>
      </c>
      <c r="AW13" s="22">
        <v>71.221999999999994</v>
      </c>
      <c r="AX13" s="22">
        <v>77.596000000000004</v>
      </c>
      <c r="AY13" s="22">
        <v>81.84</v>
      </c>
      <c r="AZ13" s="22">
        <v>85.504999999999995</v>
      </c>
      <c r="BA13" s="22">
        <v>90.290999999999997</v>
      </c>
      <c r="BB13" s="22">
        <v>96.275000000000006</v>
      </c>
      <c r="BC13" s="22">
        <v>104.63</v>
      </c>
      <c r="BD13" s="22">
        <v>111.627</v>
      </c>
      <c r="BE13" s="22">
        <v>115.98099999999999</v>
      </c>
      <c r="BF13" s="22">
        <v>118.33199999999999</v>
      </c>
      <c r="BG13" s="22">
        <v>120.08199999999999</v>
      </c>
      <c r="BH13" s="22">
        <v>121.352</v>
      </c>
      <c r="BI13" s="22">
        <v>122.687</v>
      </c>
      <c r="BJ13" s="22">
        <v>126.217</v>
      </c>
      <c r="BK13" s="22">
        <v>128.29900000000001</v>
      </c>
      <c r="BL13" s="22">
        <v>130.637</v>
      </c>
      <c r="BM13" s="22">
        <v>131.935</v>
      </c>
      <c r="BN13" s="22">
        <v>133.86799999999999</v>
      </c>
      <c r="BO13" s="22">
        <v>134.79300000000001</v>
      </c>
      <c r="BP13" s="22">
        <v>136.12</v>
      </c>
      <c r="BQ13" s="22">
        <v>138.78399999999999</v>
      </c>
      <c r="BR13" s="22">
        <v>139.797</v>
      </c>
      <c r="BS13" s="22">
        <v>138.386</v>
      </c>
      <c r="BT13" s="22">
        <v>135.364</v>
      </c>
      <c r="BU13" s="22">
        <v>131.53800000000001</v>
      </c>
      <c r="BV13" s="22">
        <v>127.994</v>
      </c>
      <c r="BW13" s="22">
        <v>125.717</v>
      </c>
      <c r="BX13" s="22">
        <v>123.254</v>
      </c>
      <c r="BY13" s="22">
        <v>120.143</v>
      </c>
      <c r="BZ13" s="22">
        <v>115.752</v>
      </c>
      <c r="CA13" s="22">
        <v>113.488</v>
      </c>
      <c r="CB13" s="22">
        <v>112.309</v>
      </c>
      <c r="CC13" s="22">
        <v>110.38800000000001</v>
      </c>
      <c r="CD13" s="22">
        <v>108.038</v>
      </c>
      <c r="CE13" s="22">
        <v>106.012</v>
      </c>
      <c r="CF13" s="22">
        <v>104.02</v>
      </c>
      <c r="CG13" s="22">
        <v>102.107</v>
      </c>
      <c r="CH13" s="22">
        <v>101.28</v>
      </c>
      <c r="CI13" s="22">
        <v>100</v>
      </c>
      <c r="CJ13" s="22">
        <v>97.968000000000004</v>
      </c>
      <c r="CK13" s="22">
        <v>95.429000000000002</v>
      </c>
      <c r="CL13" s="22">
        <v>93.358000000000004</v>
      </c>
      <c r="CM13" s="22">
        <v>91.117000000000004</v>
      </c>
      <c r="CN13" s="22">
        <v>89.025000000000006</v>
      </c>
      <c r="CO13" s="22">
        <v>87.528999999999996</v>
      </c>
      <c r="CP13" s="22">
        <v>86.462999999999994</v>
      </c>
      <c r="CQ13" s="22">
        <v>85.742000000000004</v>
      </c>
      <c r="CR13" s="22">
        <v>91.186999999999998</v>
      </c>
    </row>
    <row r="14" spans="1:96" x14ac:dyDescent="0.25">
      <c r="A14" t="s">
        <v>198</v>
      </c>
      <c r="B14" t="s">
        <v>199</v>
      </c>
      <c r="C14" t="s">
        <v>200</v>
      </c>
      <c r="D14" s="22">
        <v>10.057</v>
      </c>
      <c r="E14" s="22">
        <v>9.5350000000000001</v>
      </c>
      <c r="F14" s="22">
        <v>8.1519999999999992</v>
      </c>
      <c r="G14" s="22">
        <v>6.9889999999999999</v>
      </c>
      <c r="H14" s="22">
        <v>6.9530000000000003</v>
      </c>
      <c r="I14" s="22">
        <v>7.6909999999999998</v>
      </c>
      <c r="J14" s="22">
        <v>7.9480000000000004</v>
      </c>
      <c r="K14" s="22">
        <v>7.976</v>
      </c>
      <c r="L14" s="22">
        <v>8.2530000000000001</v>
      </c>
      <c r="M14" s="22">
        <v>7.8470000000000004</v>
      </c>
      <c r="N14" s="22">
        <v>7.7229999999999999</v>
      </c>
      <c r="O14" s="22">
        <v>7.79</v>
      </c>
      <c r="P14" s="22">
        <v>8.4469999999999992</v>
      </c>
      <c r="Q14" s="22">
        <v>9.8330000000000002</v>
      </c>
      <c r="R14" s="22">
        <v>11.003</v>
      </c>
      <c r="S14" s="22">
        <v>11.644</v>
      </c>
      <c r="T14" s="22">
        <v>12.154999999999999</v>
      </c>
      <c r="U14" s="22">
        <v>13.169</v>
      </c>
      <c r="V14" s="22">
        <v>14.869</v>
      </c>
      <c r="W14" s="22">
        <v>15.78</v>
      </c>
      <c r="X14" s="22">
        <v>15.266</v>
      </c>
      <c r="Y14" s="22">
        <v>15.304</v>
      </c>
      <c r="Z14" s="22">
        <v>16.614999999999998</v>
      </c>
      <c r="AA14" s="22">
        <v>16.794</v>
      </c>
      <c r="AB14" s="22">
        <v>16.734999999999999</v>
      </c>
      <c r="AC14" s="22">
        <v>16.774999999999999</v>
      </c>
      <c r="AD14" s="22">
        <v>16.666</v>
      </c>
      <c r="AE14" s="22">
        <v>16.905000000000001</v>
      </c>
      <c r="AF14" s="22">
        <v>17.399999999999999</v>
      </c>
      <c r="AG14" s="22">
        <v>17.824000000000002</v>
      </c>
      <c r="AH14" s="22">
        <v>17.850000000000001</v>
      </c>
      <c r="AI14" s="22">
        <v>18.062999999999999</v>
      </c>
      <c r="AJ14" s="22">
        <v>18.138999999999999</v>
      </c>
      <c r="AK14" s="22">
        <v>18.238</v>
      </c>
      <c r="AL14" s="22">
        <v>18.419</v>
      </c>
      <c r="AM14" s="22">
        <v>18.664999999999999</v>
      </c>
      <c r="AN14" s="22">
        <v>19.001999999999999</v>
      </c>
      <c r="AO14" s="22">
        <v>19.61</v>
      </c>
      <c r="AP14" s="22">
        <v>19.968</v>
      </c>
      <c r="AQ14" s="22">
        <v>20.687999999999999</v>
      </c>
      <c r="AR14" s="22">
        <v>21.582999999999998</v>
      </c>
      <c r="AS14" s="22">
        <v>22.553000000000001</v>
      </c>
      <c r="AT14" s="22">
        <v>23.19</v>
      </c>
      <c r="AU14" s="22">
        <v>23.933</v>
      </c>
      <c r="AV14" s="22">
        <v>25.863</v>
      </c>
      <c r="AW14" s="22">
        <v>29.774999999999999</v>
      </c>
      <c r="AX14" s="22">
        <v>32.076000000000001</v>
      </c>
      <c r="AY14" s="22">
        <v>33.119999999999997</v>
      </c>
      <c r="AZ14" s="22">
        <v>35.018000000000001</v>
      </c>
      <c r="BA14" s="22">
        <v>37.256</v>
      </c>
      <c r="BB14" s="22">
        <v>41.271000000000001</v>
      </c>
      <c r="BC14" s="22">
        <v>46.335000000000001</v>
      </c>
      <c r="BD14" s="22">
        <v>49.912999999999997</v>
      </c>
      <c r="BE14" s="22">
        <v>51.045999999999999</v>
      </c>
      <c r="BF14" s="22">
        <v>51.921999999999997</v>
      </c>
      <c r="BG14" s="22">
        <v>53.000999999999998</v>
      </c>
      <c r="BH14" s="22">
        <v>53.993000000000002</v>
      </c>
      <c r="BI14" s="22">
        <v>53.304000000000002</v>
      </c>
      <c r="BJ14" s="22">
        <v>55.116999999999997</v>
      </c>
      <c r="BK14" s="22">
        <v>56.869</v>
      </c>
      <c r="BL14" s="22">
        <v>59.69</v>
      </c>
      <c r="BM14" s="22">
        <v>63.112000000000002</v>
      </c>
      <c r="BN14" s="22">
        <v>64.954999999999998</v>
      </c>
      <c r="BO14" s="22">
        <v>65.897999999999996</v>
      </c>
      <c r="BP14" s="22">
        <v>66.433999999999997</v>
      </c>
      <c r="BQ14" s="22">
        <v>66.787999999999997</v>
      </c>
      <c r="BR14" s="22">
        <v>67.486000000000004</v>
      </c>
      <c r="BS14" s="22">
        <v>69.013999999999996</v>
      </c>
      <c r="BT14" s="22">
        <v>69.734999999999999</v>
      </c>
      <c r="BU14" s="22">
        <v>69.222999999999999</v>
      </c>
      <c r="BV14" s="22">
        <v>70.942999999999998</v>
      </c>
      <c r="BW14" s="22">
        <v>73.989999999999995</v>
      </c>
      <c r="BX14" s="22">
        <v>74.775999999999996</v>
      </c>
      <c r="BY14" s="22">
        <v>74.781000000000006</v>
      </c>
      <c r="BZ14" s="22">
        <v>76.326999999999998</v>
      </c>
      <c r="CA14" s="22">
        <v>78.97</v>
      </c>
      <c r="CB14" s="22">
        <v>81.998000000000005</v>
      </c>
      <c r="CC14" s="22">
        <v>84.552999999999997</v>
      </c>
      <c r="CD14" s="22">
        <v>87.040999999999997</v>
      </c>
      <c r="CE14" s="22">
        <v>91.903999999999996</v>
      </c>
      <c r="CF14" s="22">
        <v>89.466999999999999</v>
      </c>
      <c r="CG14" s="22">
        <v>92.182000000000002</v>
      </c>
      <c r="CH14" s="22">
        <v>97.652000000000001</v>
      </c>
      <c r="CI14" s="22">
        <v>100</v>
      </c>
      <c r="CJ14" s="22">
        <v>100.08199999999999</v>
      </c>
      <c r="CK14" s="22">
        <v>100.599</v>
      </c>
      <c r="CL14" s="22">
        <v>97.091999999999999</v>
      </c>
      <c r="CM14" s="22">
        <v>95.878</v>
      </c>
      <c r="CN14" s="22">
        <v>97.444999999999993</v>
      </c>
      <c r="CO14" s="22">
        <v>99.313000000000002</v>
      </c>
      <c r="CP14" s="22">
        <v>99.212000000000003</v>
      </c>
      <c r="CQ14" s="22">
        <v>98.728999999999999</v>
      </c>
      <c r="CR14" s="22">
        <v>102.839</v>
      </c>
    </row>
    <row r="15" spans="1:96" x14ac:dyDescent="0.25">
      <c r="A15" t="s">
        <v>201</v>
      </c>
      <c r="B15" t="s">
        <v>202</v>
      </c>
      <c r="C15" t="s">
        <v>203</v>
      </c>
      <c r="D15" s="22">
        <v>6.7889999999999997</v>
      </c>
      <c r="E15" s="22">
        <v>6.5940000000000003</v>
      </c>
      <c r="F15" s="22">
        <v>6.13</v>
      </c>
      <c r="G15" s="22">
        <v>5.5380000000000003</v>
      </c>
      <c r="H15" s="22">
        <v>5.19</v>
      </c>
      <c r="I15" s="22">
        <v>5.1239999999999997</v>
      </c>
      <c r="J15" s="22">
        <v>5.2359999999999998</v>
      </c>
      <c r="K15" s="22">
        <v>5.3209999999999997</v>
      </c>
      <c r="L15" s="22">
        <v>5.5190000000000001</v>
      </c>
      <c r="M15" s="22">
        <v>5.524</v>
      </c>
      <c r="N15" s="22">
        <v>5.5090000000000003</v>
      </c>
      <c r="O15" s="22">
        <v>5.5529999999999999</v>
      </c>
      <c r="P15" s="22">
        <v>5.7489999999999997</v>
      </c>
      <c r="Q15" s="22">
        <v>6.1550000000000002</v>
      </c>
      <c r="R15" s="22">
        <v>6.5389999999999997</v>
      </c>
      <c r="S15" s="22">
        <v>6.84</v>
      </c>
      <c r="T15" s="22">
        <v>7.0629999999999997</v>
      </c>
      <c r="U15" s="22">
        <v>7.4909999999999997</v>
      </c>
      <c r="V15" s="22">
        <v>8.0370000000000008</v>
      </c>
      <c r="W15" s="22">
        <v>8.4619999999999997</v>
      </c>
      <c r="X15" s="22">
        <v>8.6050000000000004</v>
      </c>
      <c r="Y15" s="22">
        <v>8.8249999999999993</v>
      </c>
      <c r="Z15" s="22">
        <v>9.26</v>
      </c>
      <c r="AA15" s="22">
        <v>9.5980000000000008</v>
      </c>
      <c r="AB15" s="22">
        <v>9.968</v>
      </c>
      <c r="AC15" s="22">
        <v>10.218</v>
      </c>
      <c r="AD15" s="22">
        <v>10.391</v>
      </c>
      <c r="AE15" s="22">
        <v>10.638</v>
      </c>
      <c r="AF15" s="22">
        <v>10.949</v>
      </c>
      <c r="AG15" s="22">
        <v>11.22</v>
      </c>
      <c r="AH15" s="22">
        <v>11.521000000000001</v>
      </c>
      <c r="AI15" s="22">
        <v>11.826000000000001</v>
      </c>
      <c r="AJ15" s="22">
        <v>12.037000000000001</v>
      </c>
      <c r="AK15" s="22">
        <v>12.265000000000001</v>
      </c>
      <c r="AL15" s="22">
        <v>12.461</v>
      </c>
      <c r="AM15" s="22">
        <v>12.689</v>
      </c>
      <c r="AN15" s="22">
        <v>12.926</v>
      </c>
      <c r="AO15" s="22">
        <v>13.298</v>
      </c>
      <c r="AP15" s="22">
        <v>13.739000000000001</v>
      </c>
      <c r="AQ15" s="22">
        <v>14.337999999999999</v>
      </c>
      <c r="AR15" s="22">
        <v>15.077999999999999</v>
      </c>
      <c r="AS15" s="22">
        <v>15.913</v>
      </c>
      <c r="AT15" s="22">
        <v>16.780999999999999</v>
      </c>
      <c r="AU15" s="22">
        <v>17.491</v>
      </c>
      <c r="AV15" s="22">
        <v>18.335999999999999</v>
      </c>
      <c r="AW15" s="22">
        <v>19.89</v>
      </c>
      <c r="AX15" s="22">
        <v>21.594999999999999</v>
      </c>
      <c r="AY15" s="22">
        <v>23.093</v>
      </c>
      <c r="AZ15" s="22">
        <v>24.841000000000001</v>
      </c>
      <c r="BA15" s="22">
        <v>26.75</v>
      </c>
      <c r="BB15" s="22">
        <v>28.994</v>
      </c>
      <c r="BC15" s="22">
        <v>32.009</v>
      </c>
      <c r="BD15" s="22">
        <v>35.287999999999997</v>
      </c>
      <c r="BE15" s="22">
        <v>38.058</v>
      </c>
      <c r="BF15" s="22">
        <v>40.396000000000001</v>
      </c>
      <c r="BG15" s="22">
        <v>42.497999999999998</v>
      </c>
      <c r="BH15" s="22">
        <v>44.576999999999998</v>
      </c>
      <c r="BI15" s="22">
        <v>46.408000000000001</v>
      </c>
      <c r="BJ15" s="22">
        <v>47.795999999999999</v>
      </c>
      <c r="BK15" s="22">
        <v>50.082000000000001</v>
      </c>
      <c r="BL15" s="22">
        <v>52.442999999999998</v>
      </c>
      <c r="BM15" s="22">
        <v>54.845999999999997</v>
      </c>
      <c r="BN15" s="22">
        <v>56.991999999999997</v>
      </c>
      <c r="BO15" s="22">
        <v>59.018000000000001</v>
      </c>
      <c r="BP15" s="22">
        <v>61.058999999999997</v>
      </c>
      <c r="BQ15" s="22">
        <v>62.719000000000001</v>
      </c>
      <c r="BR15" s="22">
        <v>64.471000000000004</v>
      </c>
      <c r="BS15" s="22">
        <v>66.239999999999995</v>
      </c>
      <c r="BT15" s="22">
        <v>68.106999999999999</v>
      </c>
      <c r="BU15" s="22">
        <v>69.549000000000007</v>
      </c>
      <c r="BV15" s="22">
        <v>70.97</v>
      </c>
      <c r="BW15" s="22">
        <v>72.938000000000002</v>
      </c>
      <c r="BX15" s="22">
        <v>75.171000000000006</v>
      </c>
      <c r="BY15" s="22">
        <v>77.123000000000005</v>
      </c>
      <c r="BZ15" s="22">
        <v>79.506</v>
      </c>
      <c r="CA15" s="22">
        <v>81.965000000000003</v>
      </c>
      <c r="CB15" s="22">
        <v>84.673000000000002</v>
      </c>
      <c r="CC15" s="22">
        <v>87.616</v>
      </c>
      <c r="CD15" s="22">
        <v>90.516000000000005</v>
      </c>
      <c r="CE15" s="22">
        <v>93.234999999999999</v>
      </c>
      <c r="CF15" s="22">
        <v>94.230999999999995</v>
      </c>
      <c r="CG15" s="22">
        <v>95.956999999999994</v>
      </c>
      <c r="CH15" s="22">
        <v>97.813999999999993</v>
      </c>
      <c r="CI15" s="22">
        <v>100</v>
      </c>
      <c r="CJ15" s="22">
        <v>102.316</v>
      </c>
      <c r="CK15" s="22">
        <v>104.804</v>
      </c>
      <c r="CL15" s="22">
        <v>106.694</v>
      </c>
      <c r="CM15" s="22">
        <v>109.16</v>
      </c>
      <c r="CN15" s="22">
        <v>111.86799999999999</v>
      </c>
      <c r="CO15" s="22">
        <v>114.991</v>
      </c>
      <c r="CP15" s="22">
        <v>117.744</v>
      </c>
      <c r="CQ15" s="22">
        <v>120.105</v>
      </c>
      <c r="CR15" s="22">
        <v>124.215</v>
      </c>
    </row>
    <row r="16" spans="1:96" x14ac:dyDescent="0.25">
      <c r="A16" t="s">
        <v>204</v>
      </c>
      <c r="B16" t="s">
        <v>205</v>
      </c>
      <c r="C16" t="s">
        <v>206</v>
      </c>
      <c r="D16" s="22">
        <v>14.006</v>
      </c>
      <c r="E16" s="22">
        <v>13.407999999999999</v>
      </c>
      <c r="F16" s="22">
        <v>12.271000000000001</v>
      </c>
      <c r="G16" s="22">
        <v>10.375</v>
      </c>
      <c r="H16" s="22">
        <v>9.5069999999999997</v>
      </c>
      <c r="I16" s="22">
        <v>9.5310000000000006</v>
      </c>
      <c r="J16" s="22">
        <v>9.4149999999999991</v>
      </c>
      <c r="K16" s="22">
        <v>9.5250000000000004</v>
      </c>
      <c r="L16" s="22">
        <v>10.231</v>
      </c>
      <c r="M16" s="22">
        <v>9.93</v>
      </c>
      <c r="N16" s="22">
        <v>9.8640000000000008</v>
      </c>
      <c r="O16" s="22">
        <v>10.103999999999999</v>
      </c>
      <c r="P16" s="22">
        <v>10.836</v>
      </c>
      <c r="Q16" s="22">
        <v>11.994999999999999</v>
      </c>
      <c r="R16" s="22">
        <v>12.579000000000001</v>
      </c>
      <c r="S16" s="22">
        <v>13.073</v>
      </c>
      <c r="T16" s="22">
        <v>13.428000000000001</v>
      </c>
      <c r="U16" s="22">
        <v>14.651</v>
      </c>
      <c r="V16" s="22">
        <v>17.350000000000001</v>
      </c>
      <c r="W16" s="22">
        <v>18.760000000000002</v>
      </c>
      <c r="X16" s="22">
        <v>18.992999999999999</v>
      </c>
      <c r="Y16" s="22">
        <v>19.384</v>
      </c>
      <c r="Z16" s="22">
        <v>21.111000000000001</v>
      </c>
      <c r="AA16" s="22">
        <v>21.49</v>
      </c>
      <c r="AB16" s="22">
        <v>21.556999999999999</v>
      </c>
      <c r="AC16" s="22">
        <v>21.704000000000001</v>
      </c>
      <c r="AD16" s="22">
        <v>22.024000000000001</v>
      </c>
      <c r="AE16" s="22">
        <v>23.283000000000001</v>
      </c>
      <c r="AF16" s="22">
        <v>24.058</v>
      </c>
      <c r="AG16" s="22">
        <v>24.14</v>
      </c>
      <c r="AH16" s="22">
        <v>24.367999999999999</v>
      </c>
      <c r="AI16" s="22">
        <v>24.509</v>
      </c>
      <c r="AJ16" s="22">
        <v>24.462</v>
      </c>
      <c r="AK16" s="22">
        <v>24.488</v>
      </c>
      <c r="AL16" s="22">
        <v>24.420999999999999</v>
      </c>
      <c r="AM16" s="22">
        <v>24.58</v>
      </c>
      <c r="AN16" s="22">
        <v>24.957999999999998</v>
      </c>
      <c r="AO16" s="22">
        <v>25.469000000000001</v>
      </c>
      <c r="AP16" s="22">
        <v>26.120999999999999</v>
      </c>
      <c r="AQ16" s="22">
        <v>27.103000000000002</v>
      </c>
      <c r="AR16" s="22">
        <v>28.402000000000001</v>
      </c>
      <c r="AS16" s="22">
        <v>29.623999999999999</v>
      </c>
      <c r="AT16" s="22">
        <v>31.091999999999999</v>
      </c>
      <c r="AU16" s="22">
        <v>32.387999999999998</v>
      </c>
      <c r="AV16" s="22">
        <v>34.152999999999999</v>
      </c>
      <c r="AW16" s="22">
        <v>37.558999999999997</v>
      </c>
      <c r="AX16" s="22">
        <v>42.058999999999997</v>
      </c>
      <c r="AY16" s="22">
        <v>44.384</v>
      </c>
      <c r="AZ16" s="22">
        <v>47.655000000000001</v>
      </c>
      <c r="BA16" s="22">
        <v>51.517000000000003</v>
      </c>
      <c r="BB16" s="22">
        <v>56.140999999999998</v>
      </c>
      <c r="BC16" s="22">
        <v>61.395000000000003</v>
      </c>
      <c r="BD16" s="22">
        <v>67.123000000000005</v>
      </c>
      <c r="BE16" s="22">
        <v>70.679000000000002</v>
      </c>
      <c r="BF16" s="22">
        <v>70.896000000000001</v>
      </c>
      <c r="BG16" s="22">
        <v>71.661000000000001</v>
      </c>
      <c r="BH16" s="22">
        <v>72.548000000000002</v>
      </c>
      <c r="BI16" s="22">
        <v>74.177999999999997</v>
      </c>
      <c r="BJ16" s="22">
        <v>75.722999999999999</v>
      </c>
      <c r="BK16" s="22">
        <v>77.626999999999995</v>
      </c>
      <c r="BL16" s="22">
        <v>79.605999999999995</v>
      </c>
      <c r="BM16" s="22">
        <v>81.27</v>
      </c>
      <c r="BN16" s="22">
        <v>82.647999999999996</v>
      </c>
      <c r="BO16" s="22">
        <v>82.647000000000006</v>
      </c>
      <c r="BP16" s="22">
        <v>83.626999999999995</v>
      </c>
      <c r="BQ16" s="22">
        <v>84.875</v>
      </c>
      <c r="BR16" s="22">
        <v>86.24</v>
      </c>
      <c r="BS16" s="22">
        <v>86.191000000000003</v>
      </c>
      <c r="BT16" s="22">
        <v>86.241</v>
      </c>
      <c r="BU16" s="22">
        <v>85.608000000000004</v>
      </c>
      <c r="BV16" s="22">
        <v>85.69</v>
      </c>
      <c r="BW16" s="22">
        <v>86.814999999999998</v>
      </c>
      <c r="BX16" s="22">
        <v>87.555000000000007</v>
      </c>
      <c r="BY16" s="22">
        <v>87.840999999999994</v>
      </c>
      <c r="BZ16" s="22">
        <v>88.561000000000007</v>
      </c>
      <c r="CA16" s="22">
        <v>91.147999999999996</v>
      </c>
      <c r="CB16" s="22">
        <v>94.838999999999999</v>
      </c>
      <c r="CC16" s="22">
        <v>98.176000000000002</v>
      </c>
      <c r="CD16" s="22">
        <v>99.656000000000006</v>
      </c>
      <c r="CE16" s="22">
        <v>100.474</v>
      </c>
      <c r="CF16" s="22">
        <v>99.331000000000003</v>
      </c>
      <c r="CG16" s="22">
        <v>97.686999999999998</v>
      </c>
      <c r="CH16" s="22">
        <v>98.703999999999994</v>
      </c>
      <c r="CI16" s="22">
        <v>100</v>
      </c>
      <c r="CJ16" s="22">
        <v>100.979</v>
      </c>
      <c r="CK16" s="22">
        <v>102.922</v>
      </c>
      <c r="CL16" s="22">
        <v>103.535</v>
      </c>
      <c r="CM16" s="22">
        <v>103.52</v>
      </c>
      <c r="CN16" s="22">
        <v>105.246</v>
      </c>
      <c r="CO16" s="22">
        <v>107.217</v>
      </c>
      <c r="CP16" s="22">
        <v>108.998</v>
      </c>
      <c r="CQ16" s="22">
        <v>110.215</v>
      </c>
      <c r="CR16" s="22">
        <v>113.825</v>
      </c>
    </row>
    <row r="17" spans="1:96" x14ac:dyDescent="0.25">
      <c r="A17" t="s">
        <v>207</v>
      </c>
      <c r="B17" t="s">
        <v>208</v>
      </c>
      <c r="C17" t="s">
        <v>209</v>
      </c>
      <c r="D17" s="22">
        <v>10.412000000000001</v>
      </c>
      <c r="E17" s="22">
        <v>9.9870000000000001</v>
      </c>
      <c r="F17" s="22">
        <v>9.2420000000000009</v>
      </c>
      <c r="G17" s="22">
        <v>8.17</v>
      </c>
      <c r="H17" s="22">
        <v>7.9850000000000003</v>
      </c>
      <c r="I17" s="22">
        <v>8.3689999999999998</v>
      </c>
      <c r="J17" s="22">
        <v>8.4149999999999991</v>
      </c>
      <c r="K17" s="22">
        <v>8.5120000000000005</v>
      </c>
      <c r="L17" s="22">
        <v>9.2219999999999995</v>
      </c>
      <c r="M17" s="22">
        <v>9.3379999999999992</v>
      </c>
      <c r="N17" s="22">
        <v>9.2959999999999994</v>
      </c>
      <c r="O17" s="22">
        <v>9.5250000000000004</v>
      </c>
      <c r="P17" s="22">
        <v>10.218999999999999</v>
      </c>
      <c r="Q17" s="22">
        <v>11.218999999999999</v>
      </c>
      <c r="R17" s="22">
        <v>11.802</v>
      </c>
      <c r="S17" s="22">
        <v>12.29</v>
      </c>
      <c r="T17" s="22">
        <v>12.678000000000001</v>
      </c>
      <c r="U17" s="22">
        <v>13.919</v>
      </c>
      <c r="V17" s="22">
        <v>16.283000000000001</v>
      </c>
      <c r="W17" s="22">
        <v>17.646000000000001</v>
      </c>
      <c r="X17" s="22">
        <v>17.983000000000001</v>
      </c>
      <c r="Y17" s="22">
        <v>18.382999999999999</v>
      </c>
      <c r="Z17" s="22">
        <v>19.948</v>
      </c>
      <c r="AA17" s="22">
        <v>20.422999999999998</v>
      </c>
      <c r="AB17" s="22">
        <v>20.617999999999999</v>
      </c>
      <c r="AC17" s="22">
        <v>20.768000000000001</v>
      </c>
      <c r="AD17" s="22">
        <v>21.11</v>
      </c>
      <c r="AE17" s="22">
        <v>22.318000000000001</v>
      </c>
      <c r="AF17" s="22">
        <v>23.082000000000001</v>
      </c>
      <c r="AG17" s="22">
        <v>23.177</v>
      </c>
      <c r="AH17" s="22">
        <v>23.408000000000001</v>
      </c>
      <c r="AI17" s="22">
        <v>23.553999999999998</v>
      </c>
      <c r="AJ17" s="22">
        <v>23.501000000000001</v>
      </c>
      <c r="AK17" s="22">
        <v>23.527000000000001</v>
      </c>
      <c r="AL17" s="22">
        <v>23.47</v>
      </c>
      <c r="AM17" s="22">
        <v>23.632999999999999</v>
      </c>
      <c r="AN17" s="22">
        <v>24.018999999999998</v>
      </c>
      <c r="AO17" s="22">
        <v>24.523</v>
      </c>
      <c r="AP17" s="22">
        <v>25.184999999999999</v>
      </c>
      <c r="AQ17" s="22">
        <v>26.196000000000002</v>
      </c>
      <c r="AR17" s="22">
        <v>27.498000000000001</v>
      </c>
      <c r="AS17" s="22">
        <v>28.699000000000002</v>
      </c>
      <c r="AT17" s="22">
        <v>30.134</v>
      </c>
      <c r="AU17" s="22">
        <v>31.42</v>
      </c>
      <c r="AV17" s="22">
        <v>33.168999999999997</v>
      </c>
      <c r="AW17" s="22">
        <v>36.448999999999998</v>
      </c>
      <c r="AX17" s="22">
        <v>40.874000000000002</v>
      </c>
      <c r="AY17" s="22">
        <v>43.231999999999999</v>
      </c>
      <c r="AZ17" s="22">
        <v>46.55</v>
      </c>
      <c r="BA17" s="22">
        <v>50.444000000000003</v>
      </c>
      <c r="BB17" s="22">
        <v>54.976999999999997</v>
      </c>
      <c r="BC17" s="22">
        <v>60.104999999999997</v>
      </c>
      <c r="BD17" s="22">
        <v>65.623999999999995</v>
      </c>
      <c r="BE17" s="22">
        <v>69.311000000000007</v>
      </c>
      <c r="BF17" s="22">
        <v>69.575000000000003</v>
      </c>
      <c r="BG17" s="22">
        <v>70.253</v>
      </c>
      <c r="BH17" s="22">
        <v>71.277000000000001</v>
      </c>
      <c r="BI17" s="22">
        <v>73.021000000000001</v>
      </c>
      <c r="BJ17" s="22">
        <v>74.506</v>
      </c>
      <c r="BK17" s="22">
        <v>76.585999999999999</v>
      </c>
      <c r="BL17" s="22">
        <v>78.561000000000007</v>
      </c>
      <c r="BM17" s="22">
        <v>80.278000000000006</v>
      </c>
      <c r="BN17" s="22">
        <v>81.683000000000007</v>
      </c>
      <c r="BO17" s="22">
        <v>81.727999999999994</v>
      </c>
      <c r="BP17" s="22">
        <v>82.710999999999999</v>
      </c>
      <c r="BQ17" s="22">
        <v>83.983000000000004</v>
      </c>
      <c r="BR17" s="22">
        <v>85.378</v>
      </c>
      <c r="BS17" s="22">
        <v>85.45</v>
      </c>
      <c r="BT17" s="22">
        <v>85.599000000000004</v>
      </c>
      <c r="BU17" s="22">
        <v>85.132999999999996</v>
      </c>
      <c r="BV17" s="22">
        <v>85.277000000000001</v>
      </c>
      <c r="BW17" s="22">
        <v>86.486000000000004</v>
      </c>
      <c r="BX17" s="22">
        <v>87.241</v>
      </c>
      <c r="BY17" s="22">
        <v>87.5</v>
      </c>
      <c r="BZ17" s="22">
        <v>88.265000000000001</v>
      </c>
      <c r="CA17" s="22">
        <v>90.843000000000004</v>
      </c>
      <c r="CB17" s="22">
        <v>94.596999999999994</v>
      </c>
      <c r="CC17" s="22">
        <v>97.957999999999998</v>
      </c>
      <c r="CD17" s="22">
        <v>99.456000000000003</v>
      </c>
      <c r="CE17" s="22">
        <v>100.29600000000001</v>
      </c>
      <c r="CF17" s="22">
        <v>99.075999999999993</v>
      </c>
      <c r="CG17" s="22">
        <v>97.567999999999998</v>
      </c>
      <c r="CH17" s="22">
        <v>98.641000000000005</v>
      </c>
      <c r="CI17" s="22">
        <v>100</v>
      </c>
      <c r="CJ17" s="22">
        <v>101.09099999999999</v>
      </c>
      <c r="CK17" s="22">
        <v>103.172</v>
      </c>
      <c r="CL17" s="22">
        <v>104.075</v>
      </c>
      <c r="CM17" s="22">
        <v>104.214</v>
      </c>
      <c r="CN17" s="22">
        <v>105.95399999999999</v>
      </c>
      <c r="CO17" s="22">
        <v>107.998</v>
      </c>
      <c r="CP17" s="22">
        <v>109.79900000000001</v>
      </c>
      <c r="CQ17" s="22">
        <v>111.04900000000001</v>
      </c>
      <c r="CR17" s="22">
        <v>115.387</v>
      </c>
    </row>
    <row r="18" spans="1:96" x14ac:dyDescent="0.25">
      <c r="A18" t="s">
        <v>210</v>
      </c>
      <c r="B18" t="s">
        <v>211</v>
      </c>
      <c r="C18" t="s">
        <v>212</v>
      </c>
      <c r="D18" s="22">
        <v>13.457000000000001</v>
      </c>
      <c r="E18" s="22">
        <v>12.829000000000001</v>
      </c>
      <c r="F18" s="22">
        <v>11.949</v>
      </c>
      <c r="G18" s="22">
        <v>10.821</v>
      </c>
      <c r="H18" s="22">
        <v>10.555</v>
      </c>
      <c r="I18" s="22">
        <v>10.898</v>
      </c>
      <c r="J18" s="22">
        <v>11.018000000000001</v>
      </c>
      <c r="K18" s="22">
        <v>11.031000000000001</v>
      </c>
      <c r="L18" s="22">
        <v>11.907999999999999</v>
      </c>
      <c r="M18" s="22">
        <v>11.986000000000001</v>
      </c>
      <c r="N18" s="22">
        <v>11.88</v>
      </c>
      <c r="O18" s="22">
        <v>12.144</v>
      </c>
      <c r="P18" s="22">
        <v>12.933</v>
      </c>
      <c r="Q18" s="22">
        <v>14.311999999999999</v>
      </c>
      <c r="R18" s="22">
        <v>14.941000000000001</v>
      </c>
      <c r="S18" s="22">
        <v>15.394</v>
      </c>
      <c r="T18" s="22">
        <v>15.792</v>
      </c>
      <c r="U18" s="22">
        <v>17.376000000000001</v>
      </c>
      <c r="V18" s="22">
        <v>20.111000000000001</v>
      </c>
      <c r="W18" s="22">
        <v>21.791</v>
      </c>
      <c r="X18" s="22">
        <v>22.276</v>
      </c>
      <c r="Y18" s="22">
        <v>22.739000000000001</v>
      </c>
      <c r="Z18" s="22">
        <v>24.863</v>
      </c>
      <c r="AA18" s="22">
        <v>25.407</v>
      </c>
      <c r="AB18" s="22">
        <v>25.681000000000001</v>
      </c>
      <c r="AC18" s="22">
        <v>25.911000000000001</v>
      </c>
      <c r="AD18" s="22">
        <v>26.273</v>
      </c>
      <c r="AE18" s="22">
        <v>28.231999999999999</v>
      </c>
      <c r="AF18" s="22">
        <v>29.611000000000001</v>
      </c>
      <c r="AG18" s="22">
        <v>29.82</v>
      </c>
      <c r="AH18" s="22">
        <v>30.222999999999999</v>
      </c>
      <c r="AI18" s="22">
        <v>30.404</v>
      </c>
      <c r="AJ18" s="22">
        <v>30.28</v>
      </c>
      <c r="AK18" s="22">
        <v>30.308</v>
      </c>
      <c r="AL18" s="22">
        <v>30.315000000000001</v>
      </c>
      <c r="AM18" s="22">
        <v>30.513000000000002</v>
      </c>
      <c r="AN18" s="22">
        <v>30.852</v>
      </c>
      <c r="AO18" s="22">
        <v>31.327000000000002</v>
      </c>
      <c r="AP18" s="22">
        <v>32.093000000000004</v>
      </c>
      <c r="AQ18" s="22">
        <v>33.237000000000002</v>
      </c>
      <c r="AR18" s="22">
        <v>34.637999999999998</v>
      </c>
      <c r="AS18" s="22">
        <v>36.295000000000002</v>
      </c>
      <c r="AT18" s="22">
        <v>37.997</v>
      </c>
      <c r="AU18" s="22">
        <v>39.296999999999997</v>
      </c>
      <c r="AV18" s="22">
        <v>40.881999999999998</v>
      </c>
      <c r="AW18" s="22">
        <v>44.856999999999999</v>
      </c>
      <c r="AX18" s="22">
        <v>50.765999999999998</v>
      </c>
      <c r="AY18" s="22">
        <v>53.561999999999998</v>
      </c>
      <c r="AZ18" s="22">
        <v>57.110999999999997</v>
      </c>
      <c r="BA18" s="22">
        <v>60.93</v>
      </c>
      <c r="BB18" s="22">
        <v>65.83</v>
      </c>
      <c r="BC18" s="22">
        <v>71.641000000000005</v>
      </c>
      <c r="BD18" s="22">
        <v>78.453000000000003</v>
      </c>
      <c r="BE18" s="22">
        <v>82.911000000000001</v>
      </c>
      <c r="BF18" s="22">
        <v>82.774000000000001</v>
      </c>
      <c r="BG18" s="22">
        <v>83.036000000000001</v>
      </c>
      <c r="BH18" s="22">
        <v>83.893000000000001</v>
      </c>
      <c r="BI18" s="22">
        <v>85.364999999999995</v>
      </c>
      <c r="BJ18" s="22">
        <v>86.338999999999999</v>
      </c>
      <c r="BK18" s="22">
        <v>88.513999999999996</v>
      </c>
      <c r="BL18" s="22">
        <v>90.572000000000003</v>
      </c>
      <c r="BM18" s="22">
        <v>92.516000000000005</v>
      </c>
      <c r="BN18" s="22">
        <v>94.266999999999996</v>
      </c>
      <c r="BO18" s="22">
        <v>93.96</v>
      </c>
      <c r="BP18" s="22">
        <v>94.161000000000001</v>
      </c>
      <c r="BQ18" s="22">
        <v>94.903999999999996</v>
      </c>
      <c r="BR18" s="22">
        <v>95.849000000000004</v>
      </c>
      <c r="BS18" s="22">
        <v>95.266999999999996</v>
      </c>
      <c r="BT18" s="22">
        <v>94.734999999999999</v>
      </c>
      <c r="BU18" s="22">
        <v>93.248000000000005</v>
      </c>
      <c r="BV18" s="22">
        <v>92.313999999999993</v>
      </c>
      <c r="BW18" s="22">
        <v>92.718000000000004</v>
      </c>
      <c r="BX18" s="22">
        <v>92.346000000000004</v>
      </c>
      <c r="BY18" s="22">
        <v>91.863</v>
      </c>
      <c r="BZ18" s="22">
        <v>91.156000000000006</v>
      </c>
      <c r="CA18" s="22">
        <v>92.055000000000007</v>
      </c>
      <c r="CB18" s="22">
        <v>94.442999999999998</v>
      </c>
      <c r="CC18" s="22">
        <v>96.745000000000005</v>
      </c>
      <c r="CD18" s="22">
        <v>98.31</v>
      </c>
      <c r="CE18" s="22">
        <v>99.831999999999994</v>
      </c>
      <c r="CF18" s="22">
        <v>99.183999999999997</v>
      </c>
      <c r="CG18" s="22">
        <v>97.415999999999997</v>
      </c>
      <c r="CH18" s="22">
        <v>98.558999999999997</v>
      </c>
      <c r="CI18" s="22">
        <v>100</v>
      </c>
      <c r="CJ18" s="22">
        <v>100.251</v>
      </c>
      <c r="CK18" s="22">
        <v>101.46899999999999</v>
      </c>
      <c r="CL18" s="22">
        <v>101.90900000000001</v>
      </c>
      <c r="CM18" s="22">
        <v>101.131</v>
      </c>
      <c r="CN18" s="22">
        <v>101.994</v>
      </c>
      <c r="CO18" s="22">
        <v>102.88200000000001</v>
      </c>
      <c r="CP18" s="22">
        <v>104.256</v>
      </c>
      <c r="CQ18" s="22">
        <v>104.77500000000001</v>
      </c>
      <c r="CR18" s="22">
        <v>106.44</v>
      </c>
    </row>
    <row r="19" spans="1:96" x14ac:dyDescent="0.25">
      <c r="A19" t="s">
        <v>213</v>
      </c>
      <c r="B19" t="s">
        <v>214</v>
      </c>
      <c r="C19" t="s">
        <v>215</v>
      </c>
      <c r="D19" s="22">
        <v>3.5590000000000002</v>
      </c>
      <c r="E19" s="22">
        <v>3.3690000000000002</v>
      </c>
      <c r="F19" s="22">
        <v>3.0819999999999999</v>
      </c>
      <c r="G19" s="22">
        <v>2.6749999999999998</v>
      </c>
      <c r="H19" s="22">
        <v>2.7029999999999998</v>
      </c>
      <c r="I19" s="22">
        <v>2.7109999999999999</v>
      </c>
      <c r="J19" s="22">
        <v>2.8380000000000001</v>
      </c>
      <c r="K19" s="22">
        <v>2.8330000000000002</v>
      </c>
      <c r="L19" s="22">
        <v>3.2189999999999999</v>
      </c>
      <c r="M19" s="22">
        <v>3.1579999999999999</v>
      </c>
      <c r="N19" s="22">
        <v>3.1240000000000001</v>
      </c>
      <c r="O19" s="22">
        <v>3.173</v>
      </c>
      <c r="P19" s="22">
        <v>3.3959999999999999</v>
      </c>
      <c r="Q19" s="22">
        <v>3.7890000000000001</v>
      </c>
      <c r="R19" s="22">
        <v>4.1180000000000003</v>
      </c>
      <c r="S19" s="22">
        <v>4.2089999999999996</v>
      </c>
      <c r="T19" s="22">
        <v>4.3959999999999999</v>
      </c>
      <c r="U19" s="22">
        <v>4.9240000000000004</v>
      </c>
      <c r="V19" s="22">
        <v>5.968</v>
      </c>
      <c r="W19" s="22">
        <v>6.6390000000000002</v>
      </c>
      <c r="X19" s="22">
        <v>6.6159999999999997</v>
      </c>
      <c r="Y19" s="22">
        <v>6.6989999999999998</v>
      </c>
      <c r="Z19" s="22">
        <v>7.4710000000000001</v>
      </c>
      <c r="AA19" s="22">
        <v>7.6689999999999996</v>
      </c>
      <c r="AB19" s="22">
        <v>7.819</v>
      </c>
      <c r="AC19" s="22">
        <v>7.7240000000000002</v>
      </c>
      <c r="AD19" s="22">
        <v>7.8789999999999996</v>
      </c>
      <c r="AE19" s="22">
        <v>8.5530000000000008</v>
      </c>
      <c r="AF19" s="22">
        <v>8.92</v>
      </c>
      <c r="AG19" s="22">
        <v>8.7769999999999992</v>
      </c>
      <c r="AH19" s="22">
        <v>8.8249999999999993</v>
      </c>
      <c r="AI19" s="22">
        <v>8.8140000000000001</v>
      </c>
      <c r="AJ19" s="22">
        <v>8.7609999999999992</v>
      </c>
      <c r="AK19" s="22">
        <v>8.83</v>
      </c>
      <c r="AL19" s="22">
        <v>8.9049999999999994</v>
      </c>
      <c r="AM19" s="22">
        <v>9.032</v>
      </c>
      <c r="AN19" s="22">
        <v>9.2940000000000005</v>
      </c>
      <c r="AO19" s="22">
        <v>9.6289999999999996</v>
      </c>
      <c r="AP19" s="22">
        <v>9.9290000000000003</v>
      </c>
      <c r="AQ19" s="22">
        <v>10.427</v>
      </c>
      <c r="AR19" s="22">
        <v>11.114000000000001</v>
      </c>
      <c r="AS19" s="22">
        <v>11.845000000000001</v>
      </c>
      <c r="AT19" s="22">
        <v>12.757</v>
      </c>
      <c r="AU19" s="22">
        <v>13.673999999999999</v>
      </c>
      <c r="AV19" s="22">
        <v>14.734</v>
      </c>
      <c r="AW19" s="22">
        <v>16.77</v>
      </c>
      <c r="AX19" s="22">
        <v>18.773</v>
      </c>
      <c r="AY19" s="22">
        <v>19.692</v>
      </c>
      <c r="AZ19" s="22">
        <v>21.401</v>
      </c>
      <c r="BA19" s="22">
        <v>23.468</v>
      </c>
      <c r="BB19" s="22">
        <v>26.193999999999999</v>
      </c>
      <c r="BC19" s="22">
        <v>28.629000000000001</v>
      </c>
      <c r="BD19" s="22">
        <v>32.566000000000003</v>
      </c>
      <c r="BE19" s="22">
        <v>35.136000000000003</v>
      </c>
      <c r="BF19" s="22">
        <v>34.241</v>
      </c>
      <c r="BG19" s="22">
        <v>34.54</v>
      </c>
      <c r="BH19" s="22">
        <v>35.360999999999997</v>
      </c>
      <c r="BI19" s="22">
        <v>36.039000000000001</v>
      </c>
      <c r="BJ19" s="22">
        <v>36.618000000000002</v>
      </c>
      <c r="BK19" s="22">
        <v>38.170999999999999</v>
      </c>
      <c r="BL19" s="22">
        <v>39.665999999999997</v>
      </c>
      <c r="BM19" s="22">
        <v>40.948</v>
      </c>
      <c r="BN19" s="22">
        <v>41.689</v>
      </c>
      <c r="BO19" s="22">
        <v>41.698999999999998</v>
      </c>
      <c r="BP19" s="22">
        <v>42.921999999999997</v>
      </c>
      <c r="BQ19" s="22">
        <v>44.436999999999998</v>
      </c>
      <c r="BR19" s="22">
        <v>46.362000000000002</v>
      </c>
      <c r="BS19" s="22">
        <v>47.54</v>
      </c>
      <c r="BT19" s="22">
        <v>49.354999999999997</v>
      </c>
      <c r="BU19" s="22">
        <v>51.612000000000002</v>
      </c>
      <c r="BV19" s="22">
        <v>53.198</v>
      </c>
      <c r="BW19" s="22">
        <v>55.283000000000001</v>
      </c>
      <c r="BX19" s="22">
        <v>58.177999999999997</v>
      </c>
      <c r="BY19" s="22">
        <v>60.603000000000002</v>
      </c>
      <c r="BZ19" s="22">
        <v>62.768999999999998</v>
      </c>
      <c r="CA19" s="22">
        <v>67.415999999999997</v>
      </c>
      <c r="CB19" s="22">
        <v>75.733000000000004</v>
      </c>
      <c r="CC19" s="22">
        <v>84.748999999999995</v>
      </c>
      <c r="CD19" s="22">
        <v>89.748000000000005</v>
      </c>
      <c r="CE19" s="22">
        <v>94.334999999999994</v>
      </c>
      <c r="CF19" s="22">
        <v>92.613</v>
      </c>
      <c r="CG19" s="22">
        <v>92.006</v>
      </c>
      <c r="CH19" s="22">
        <v>95.361999999999995</v>
      </c>
      <c r="CI19" s="22">
        <v>100</v>
      </c>
      <c r="CJ19" s="22">
        <v>101.455</v>
      </c>
      <c r="CK19" s="22">
        <v>107.19799999999999</v>
      </c>
      <c r="CL19" s="22">
        <v>109.40300000000001</v>
      </c>
      <c r="CM19" s="22">
        <v>109.76300000000001</v>
      </c>
      <c r="CN19" s="22">
        <v>112.66800000000001</v>
      </c>
      <c r="CO19" s="22">
        <v>114.563</v>
      </c>
      <c r="CP19" s="22">
        <v>118.709</v>
      </c>
      <c r="CQ19" s="22">
        <v>119.97199999999999</v>
      </c>
      <c r="CR19" s="22">
        <v>127.67400000000001</v>
      </c>
    </row>
    <row r="20" spans="1:96" x14ac:dyDescent="0.25">
      <c r="A20" t="s">
        <v>216</v>
      </c>
      <c r="B20" t="s">
        <v>217</v>
      </c>
      <c r="C20" t="s">
        <v>218</v>
      </c>
      <c r="D20" s="22">
        <v>25.023</v>
      </c>
      <c r="E20" s="22">
        <v>24.021000000000001</v>
      </c>
      <c r="F20" s="22">
        <v>22.768000000000001</v>
      </c>
      <c r="G20" s="22">
        <v>21.474</v>
      </c>
      <c r="H20" s="22">
        <v>20.631</v>
      </c>
      <c r="I20" s="22">
        <v>21.795000000000002</v>
      </c>
      <c r="J20" s="22">
        <v>21.602</v>
      </c>
      <c r="K20" s="22">
        <v>21.568999999999999</v>
      </c>
      <c r="L20" s="22">
        <v>22.803000000000001</v>
      </c>
      <c r="M20" s="22">
        <v>23.352</v>
      </c>
      <c r="N20" s="22">
        <v>23.106000000000002</v>
      </c>
      <c r="O20" s="22">
        <v>23.725000000000001</v>
      </c>
      <c r="P20" s="22">
        <v>25.233000000000001</v>
      </c>
      <c r="Q20" s="22">
        <v>27.751999999999999</v>
      </c>
      <c r="R20" s="22">
        <v>27.896999999999998</v>
      </c>
      <c r="S20" s="22">
        <v>28.433</v>
      </c>
      <c r="T20" s="22">
        <v>28.913</v>
      </c>
      <c r="U20" s="22">
        <v>31.651</v>
      </c>
      <c r="V20" s="22">
        <v>35.856000000000002</v>
      </c>
      <c r="W20" s="22">
        <v>38.442</v>
      </c>
      <c r="X20" s="22">
        <v>39.972000000000001</v>
      </c>
      <c r="Y20" s="22">
        <v>40.978999999999999</v>
      </c>
      <c r="Z20" s="22">
        <v>44.46</v>
      </c>
      <c r="AA20" s="22">
        <v>45.356999999999999</v>
      </c>
      <c r="AB20" s="22">
        <v>45.552</v>
      </c>
      <c r="AC20" s="22">
        <v>46.612000000000002</v>
      </c>
      <c r="AD20" s="22">
        <v>46.997999999999998</v>
      </c>
      <c r="AE20" s="22">
        <v>50.493000000000002</v>
      </c>
      <c r="AF20" s="22">
        <v>53.335999999999999</v>
      </c>
      <c r="AG20" s="22">
        <v>54.375</v>
      </c>
      <c r="AH20" s="22">
        <v>55.371000000000002</v>
      </c>
      <c r="AI20" s="22">
        <v>55.838000000000001</v>
      </c>
      <c r="AJ20" s="22">
        <v>55.534999999999997</v>
      </c>
      <c r="AK20" s="22">
        <v>55.271999999999998</v>
      </c>
      <c r="AL20" s="22">
        <v>54.984999999999999</v>
      </c>
      <c r="AM20" s="22">
        <v>54.954999999999998</v>
      </c>
      <c r="AN20" s="22">
        <v>55.026000000000003</v>
      </c>
      <c r="AO20" s="22">
        <v>55.204000000000001</v>
      </c>
      <c r="AP20" s="22">
        <v>56.466999999999999</v>
      </c>
      <c r="AQ20" s="22">
        <v>58.017000000000003</v>
      </c>
      <c r="AR20" s="22">
        <v>59.656999999999996</v>
      </c>
      <c r="AS20" s="22">
        <v>61.890999999999998</v>
      </c>
      <c r="AT20" s="22">
        <v>63.847999999999999</v>
      </c>
      <c r="AU20" s="22">
        <v>64.686000000000007</v>
      </c>
      <c r="AV20" s="22">
        <v>65.78</v>
      </c>
      <c r="AW20" s="22">
        <v>70.712999999999994</v>
      </c>
      <c r="AX20" s="22">
        <v>81.483999999999995</v>
      </c>
      <c r="AY20" s="22">
        <v>86.486000000000004</v>
      </c>
      <c r="AZ20" s="22">
        <v>91.8</v>
      </c>
      <c r="BA20" s="22">
        <v>96.9</v>
      </c>
      <c r="BB20" s="22">
        <v>103.167</v>
      </c>
      <c r="BC20" s="22">
        <v>112.249</v>
      </c>
      <c r="BD20" s="22">
        <v>120.46299999999999</v>
      </c>
      <c r="BE20" s="22">
        <v>125.41500000000001</v>
      </c>
      <c r="BF20" s="22">
        <v>125.776</v>
      </c>
      <c r="BG20" s="22">
        <v>124.748</v>
      </c>
      <c r="BH20" s="22">
        <v>124.748</v>
      </c>
      <c r="BI20" s="22">
        <v>127.254</v>
      </c>
      <c r="BJ20" s="22">
        <v>128.083</v>
      </c>
      <c r="BK20" s="22">
        <v>129.85400000000001</v>
      </c>
      <c r="BL20" s="22">
        <v>132.33699999999999</v>
      </c>
      <c r="BM20" s="22">
        <v>135.042</v>
      </c>
      <c r="BN20" s="22">
        <v>137.33000000000001</v>
      </c>
      <c r="BO20" s="22">
        <v>137.12100000000001</v>
      </c>
      <c r="BP20" s="22">
        <v>135.518</v>
      </c>
      <c r="BQ20" s="22">
        <v>135.27699999999999</v>
      </c>
      <c r="BR20" s="22">
        <v>133.79599999999999</v>
      </c>
      <c r="BS20" s="22">
        <v>130.762</v>
      </c>
      <c r="BT20" s="22">
        <v>127.15600000000001</v>
      </c>
      <c r="BU20" s="22">
        <v>121.45099999999999</v>
      </c>
      <c r="BV20" s="22">
        <v>116.76300000000001</v>
      </c>
      <c r="BW20" s="22">
        <v>114.224</v>
      </c>
      <c r="BX20" s="22">
        <v>110.858</v>
      </c>
      <c r="BY20" s="22">
        <v>108.53100000000001</v>
      </c>
      <c r="BZ20" s="22">
        <v>105.72499999999999</v>
      </c>
      <c r="CA20" s="22">
        <v>104.84099999999999</v>
      </c>
      <c r="CB20" s="22">
        <v>104.598</v>
      </c>
      <c r="CC20" s="22">
        <v>103.56</v>
      </c>
      <c r="CD20" s="22">
        <v>103.191</v>
      </c>
      <c r="CE20" s="22">
        <v>102.542</v>
      </c>
      <c r="CF20" s="22">
        <v>103.169</v>
      </c>
      <c r="CG20" s="22">
        <v>99.471000000000004</v>
      </c>
      <c r="CH20" s="22">
        <v>99.447000000000003</v>
      </c>
      <c r="CI20" s="22">
        <v>100</v>
      </c>
      <c r="CJ20" s="22">
        <v>99.787000000000006</v>
      </c>
      <c r="CK20" s="22">
        <v>99.168999999999997</v>
      </c>
      <c r="CL20" s="22">
        <v>98.671000000000006</v>
      </c>
      <c r="CM20" s="22">
        <v>97.620999999999995</v>
      </c>
      <c r="CN20" s="22">
        <v>97.564999999999998</v>
      </c>
      <c r="CO20" s="22">
        <v>97.685000000000002</v>
      </c>
      <c r="CP20" s="22">
        <v>97.888000000000005</v>
      </c>
      <c r="CQ20" s="22">
        <v>97.688000000000002</v>
      </c>
      <c r="CR20" s="22">
        <v>97.686999999999998</v>
      </c>
    </row>
    <row r="21" spans="1:96" x14ac:dyDescent="0.25">
      <c r="A21" t="s">
        <v>219</v>
      </c>
      <c r="B21" t="s">
        <v>220</v>
      </c>
      <c r="C21" t="s">
        <v>221</v>
      </c>
      <c r="D21" s="22">
        <v>16.064</v>
      </c>
      <c r="E21" s="22">
        <v>15.378</v>
      </c>
      <c r="F21" s="22">
        <v>14.409000000000001</v>
      </c>
      <c r="G21" s="22">
        <v>13.092000000000001</v>
      </c>
      <c r="H21" s="22">
        <v>12.18</v>
      </c>
      <c r="I21" s="22">
        <v>12.397</v>
      </c>
      <c r="J21" s="22">
        <v>12.598000000000001</v>
      </c>
      <c r="K21" s="22">
        <v>12.9</v>
      </c>
      <c r="L21" s="22">
        <v>13.403</v>
      </c>
      <c r="M21" s="22">
        <v>13.339</v>
      </c>
      <c r="N21" s="22">
        <v>13.411</v>
      </c>
      <c r="O21" s="22">
        <v>13.622</v>
      </c>
      <c r="P21" s="22">
        <v>14.4</v>
      </c>
      <c r="Q21" s="22">
        <v>15.999000000000001</v>
      </c>
      <c r="R21" s="22">
        <v>17.670999999999999</v>
      </c>
      <c r="S21" s="22">
        <v>19.195</v>
      </c>
      <c r="T21" s="22">
        <v>19.722999999999999</v>
      </c>
      <c r="U21" s="22">
        <v>20.773</v>
      </c>
      <c r="V21" s="22">
        <v>22.81</v>
      </c>
      <c r="W21" s="22">
        <v>23.992999999999999</v>
      </c>
      <c r="X21" s="22">
        <v>24.033999999999999</v>
      </c>
      <c r="Y21" s="22">
        <v>24.597000000000001</v>
      </c>
      <c r="Z21" s="22">
        <v>26.109000000000002</v>
      </c>
      <c r="AA21" s="22">
        <v>26.44</v>
      </c>
      <c r="AB21" s="22">
        <v>26.901</v>
      </c>
      <c r="AC21" s="22">
        <v>27.093</v>
      </c>
      <c r="AD21" s="22">
        <v>27.736999999999998</v>
      </c>
      <c r="AE21" s="22">
        <v>28.792000000000002</v>
      </c>
      <c r="AF21" s="22">
        <v>29.706</v>
      </c>
      <c r="AG21" s="22">
        <v>30.425999999999998</v>
      </c>
      <c r="AH21" s="22">
        <v>30.922000000000001</v>
      </c>
      <c r="AI21" s="22">
        <v>31.393000000000001</v>
      </c>
      <c r="AJ21" s="22">
        <v>31.596</v>
      </c>
      <c r="AK21" s="22">
        <v>31.751000000000001</v>
      </c>
      <c r="AL21" s="22">
        <v>31.791</v>
      </c>
      <c r="AM21" s="22">
        <v>32.281999999999996</v>
      </c>
      <c r="AN21" s="22">
        <v>32.509</v>
      </c>
      <c r="AO21" s="22">
        <v>33.002000000000002</v>
      </c>
      <c r="AP21" s="22">
        <v>33.505000000000003</v>
      </c>
      <c r="AQ21" s="22">
        <v>34.676000000000002</v>
      </c>
      <c r="AR21" s="22">
        <v>36.204000000000001</v>
      </c>
      <c r="AS21" s="22">
        <v>37.929000000000002</v>
      </c>
      <c r="AT21" s="22">
        <v>39.317999999999998</v>
      </c>
      <c r="AU21" s="22">
        <v>40.49</v>
      </c>
      <c r="AV21" s="22">
        <v>42.494</v>
      </c>
      <c r="AW21" s="22">
        <v>46.460999999999999</v>
      </c>
      <c r="AX21" s="22">
        <v>50.19</v>
      </c>
      <c r="AY21" s="22">
        <v>52.408000000000001</v>
      </c>
      <c r="AZ21" s="22">
        <v>54.709000000000003</v>
      </c>
      <c r="BA21" s="22">
        <v>57.557000000000002</v>
      </c>
      <c r="BB21" s="22">
        <v>61.381999999999998</v>
      </c>
      <c r="BC21" s="22">
        <v>66.123000000000005</v>
      </c>
      <c r="BD21" s="22">
        <v>71.058000000000007</v>
      </c>
      <c r="BE21" s="22">
        <v>75.093000000000004</v>
      </c>
      <c r="BF21" s="22">
        <v>77.897999999999996</v>
      </c>
      <c r="BG21" s="22">
        <v>80.081000000000003</v>
      </c>
      <c r="BH21" s="22">
        <v>81.412999999999997</v>
      </c>
      <c r="BI21" s="22">
        <v>82.046999999999997</v>
      </c>
      <c r="BJ21" s="22">
        <v>83.518000000000001</v>
      </c>
      <c r="BK21" s="22">
        <v>86.129000000000005</v>
      </c>
      <c r="BL21" s="22">
        <v>87.24</v>
      </c>
      <c r="BM21" s="22">
        <v>88.147000000000006</v>
      </c>
      <c r="BN21" s="22">
        <v>90.271000000000001</v>
      </c>
      <c r="BO21" s="22">
        <v>89.373000000000005</v>
      </c>
      <c r="BP21" s="22">
        <v>89.998000000000005</v>
      </c>
      <c r="BQ21" s="22">
        <v>90.468000000000004</v>
      </c>
      <c r="BR21" s="22">
        <v>93.134</v>
      </c>
      <c r="BS21" s="22">
        <v>93.543999999999997</v>
      </c>
      <c r="BT21" s="22">
        <v>94.052000000000007</v>
      </c>
      <c r="BU21" s="22">
        <v>93.594999999999999</v>
      </c>
      <c r="BV21" s="22">
        <v>95.105000000000004</v>
      </c>
      <c r="BW21" s="22">
        <v>97.813999999999993</v>
      </c>
      <c r="BX21" s="22">
        <v>97.683999999999997</v>
      </c>
      <c r="BY21" s="22">
        <v>96.376000000000005</v>
      </c>
      <c r="BZ21" s="22">
        <v>95.647000000000006</v>
      </c>
      <c r="CA21" s="22">
        <v>95.334999999999994</v>
      </c>
      <c r="CB21" s="22">
        <v>95.951999999999998</v>
      </c>
      <c r="CC21" s="22">
        <v>97.087999999999994</v>
      </c>
      <c r="CD21" s="22">
        <v>98.284000000000006</v>
      </c>
      <c r="CE21" s="22">
        <v>99.834000000000003</v>
      </c>
      <c r="CF21" s="22">
        <v>98.588999999999999</v>
      </c>
      <c r="CG21" s="22">
        <v>98.305999999999997</v>
      </c>
      <c r="CH21" s="22">
        <v>99.516999999999996</v>
      </c>
      <c r="CI21" s="22">
        <v>100</v>
      </c>
      <c r="CJ21" s="22">
        <v>100.081</v>
      </c>
      <c r="CK21" s="22">
        <v>100.791</v>
      </c>
      <c r="CL21" s="22">
        <v>101.374</v>
      </c>
      <c r="CM21" s="22">
        <v>100.232</v>
      </c>
      <c r="CN21" s="22">
        <v>101.065</v>
      </c>
      <c r="CO21" s="22">
        <v>102.372</v>
      </c>
      <c r="CP21" s="22">
        <v>103.68300000000001</v>
      </c>
      <c r="CQ21" s="22">
        <v>104.672</v>
      </c>
      <c r="CR21" s="22">
        <v>105.595</v>
      </c>
    </row>
    <row r="22" spans="1:96" x14ac:dyDescent="0.25">
      <c r="A22" t="s">
        <v>222</v>
      </c>
      <c r="B22" t="s">
        <v>223</v>
      </c>
      <c r="C22" t="s">
        <v>224</v>
      </c>
      <c r="D22" s="22">
        <v>5.0709999999999997</v>
      </c>
      <c r="E22" s="22">
        <v>4.9619999999999997</v>
      </c>
      <c r="F22" s="22">
        <v>4.4930000000000003</v>
      </c>
      <c r="G22" s="22">
        <v>3.6629999999999998</v>
      </c>
      <c r="H22" s="22">
        <v>3.6070000000000002</v>
      </c>
      <c r="I22" s="22">
        <v>4.0060000000000002</v>
      </c>
      <c r="J22" s="22">
        <v>3.95</v>
      </c>
      <c r="K22" s="22">
        <v>4.1420000000000003</v>
      </c>
      <c r="L22" s="22">
        <v>4.5469999999999997</v>
      </c>
      <c r="M22" s="22">
        <v>4.6920000000000002</v>
      </c>
      <c r="N22" s="22">
        <v>4.7220000000000004</v>
      </c>
      <c r="O22" s="22">
        <v>4.8639999999999999</v>
      </c>
      <c r="P22" s="22">
        <v>5.3140000000000001</v>
      </c>
      <c r="Q22" s="22">
        <v>5.7080000000000002</v>
      </c>
      <c r="R22" s="22">
        <v>6.1760000000000002</v>
      </c>
      <c r="S22" s="22">
        <v>6.7750000000000004</v>
      </c>
      <c r="T22" s="22">
        <v>7.2320000000000002</v>
      </c>
      <c r="U22" s="22">
        <v>7.8490000000000002</v>
      </c>
      <c r="V22" s="22">
        <v>9.4019999999999992</v>
      </c>
      <c r="W22" s="22">
        <v>10.192</v>
      </c>
      <c r="X22" s="22">
        <v>10.327</v>
      </c>
      <c r="Y22" s="22">
        <v>10.582000000000001</v>
      </c>
      <c r="Z22" s="22">
        <v>11.34</v>
      </c>
      <c r="AA22" s="22">
        <v>11.651999999999999</v>
      </c>
      <c r="AB22" s="22">
        <v>11.736000000000001</v>
      </c>
      <c r="AC22" s="22">
        <v>11.782999999999999</v>
      </c>
      <c r="AD22" s="22">
        <v>12.028</v>
      </c>
      <c r="AE22" s="22">
        <v>12.335000000000001</v>
      </c>
      <c r="AF22" s="22">
        <v>12.368</v>
      </c>
      <c r="AG22" s="22">
        <v>12.337999999999999</v>
      </c>
      <c r="AH22" s="22">
        <v>12.374000000000001</v>
      </c>
      <c r="AI22" s="22">
        <v>12.458</v>
      </c>
      <c r="AJ22" s="22">
        <v>12.477</v>
      </c>
      <c r="AK22" s="22">
        <v>12.497</v>
      </c>
      <c r="AL22" s="22">
        <v>12.398999999999999</v>
      </c>
      <c r="AM22" s="22">
        <v>12.496</v>
      </c>
      <c r="AN22" s="22">
        <v>12.846</v>
      </c>
      <c r="AO22" s="22">
        <v>13.311999999999999</v>
      </c>
      <c r="AP22" s="22">
        <v>13.77</v>
      </c>
      <c r="AQ22" s="22">
        <v>14.497999999999999</v>
      </c>
      <c r="AR22" s="22">
        <v>15.518000000000001</v>
      </c>
      <c r="AS22" s="22">
        <v>16.015999999999998</v>
      </c>
      <c r="AT22" s="22">
        <v>16.943000000000001</v>
      </c>
      <c r="AU22" s="22">
        <v>17.975000000000001</v>
      </c>
      <c r="AV22" s="22">
        <v>19.571000000000002</v>
      </c>
      <c r="AW22" s="22">
        <v>21.593</v>
      </c>
      <c r="AX22" s="22">
        <v>23.59</v>
      </c>
      <c r="AY22" s="22">
        <v>25.117000000000001</v>
      </c>
      <c r="AZ22" s="22">
        <v>27.683</v>
      </c>
      <c r="BA22" s="22">
        <v>31.082000000000001</v>
      </c>
      <c r="BB22" s="22">
        <v>34.593000000000004</v>
      </c>
      <c r="BC22" s="22">
        <v>38.325000000000003</v>
      </c>
      <c r="BD22" s="22">
        <v>41.424999999999997</v>
      </c>
      <c r="BE22" s="22">
        <v>43.646000000000001</v>
      </c>
      <c r="BF22" s="22">
        <v>44.68</v>
      </c>
      <c r="BG22" s="22">
        <v>46.003</v>
      </c>
      <c r="BH22" s="22">
        <v>47.267000000000003</v>
      </c>
      <c r="BI22" s="22">
        <v>49.350999999999999</v>
      </c>
      <c r="BJ22" s="22">
        <v>51.485999999999997</v>
      </c>
      <c r="BK22" s="22">
        <v>53.277999999999999</v>
      </c>
      <c r="BL22" s="22">
        <v>55.02</v>
      </c>
      <c r="BM22" s="22">
        <v>56.287999999999997</v>
      </c>
      <c r="BN22" s="22">
        <v>57.021000000000001</v>
      </c>
      <c r="BO22" s="22">
        <v>57.722999999999999</v>
      </c>
      <c r="BP22" s="22">
        <v>60.073999999999998</v>
      </c>
      <c r="BQ22" s="22">
        <v>62.247</v>
      </c>
      <c r="BR22" s="22">
        <v>64.472999999999999</v>
      </c>
      <c r="BS22" s="22">
        <v>65.855999999999995</v>
      </c>
      <c r="BT22" s="22">
        <v>67.444000000000003</v>
      </c>
      <c r="BU22" s="22">
        <v>69.222999999999999</v>
      </c>
      <c r="BV22" s="22">
        <v>71.816000000000003</v>
      </c>
      <c r="BW22" s="22">
        <v>75.004000000000005</v>
      </c>
      <c r="BX22" s="22">
        <v>78.563999999999993</v>
      </c>
      <c r="BY22" s="22">
        <v>80.510000000000005</v>
      </c>
      <c r="BZ22" s="22">
        <v>84.325000000000003</v>
      </c>
      <c r="CA22" s="22">
        <v>90.242999999999995</v>
      </c>
      <c r="CB22" s="22">
        <v>96.706000000000003</v>
      </c>
      <c r="CC22" s="22">
        <v>102.355</v>
      </c>
      <c r="CD22" s="22">
        <v>103.708</v>
      </c>
      <c r="CE22" s="22">
        <v>102.249</v>
      </c>
      <c r="CF22" s="22">
        <v>98.671000000000006</v>
      </c>
      <c r="CG22" s="22">
        <v>98.316999999999993</v>
      </c>
      <c r="CH22" s="22">
        <v>99.049000000000007</v>
      </c>
      <c r="CI22" s="22">
        <v>100</v>
      </c>
      <c r="CJ22" s="22">
        <v>105.054</v>
      </c>
      <c r="CK22" s="22">
        <v>111.11799999999999</v>
      </c>
      <c r="CL22" s="22">
        <v>114.114</v>
      </c>
      <c r="CM22" s="22">
        <v>118.134</v>
      </c>
      <c r="CN22" s="22">
        <v>123.497</v>
      </c>
      <c r="CO22" s="22">
        <v>130.47</v>
      </c>
      <c r="CP22" s="22">
        <v>134.18199999999999</v>
      </c>
      <c r="CQ22" s="22">
        <v>138.61799999999999</v>
      </c>
      <c r="CR22" s="22">
        <v>153.74799999999999</v>
      </c>
    </row>
    <row r="23" spans="1:96" x14ac:dyDescent="0.25">
      <c r="A23" t="s">
        <v>225</v>
      </c>
      <c r="B23" t="s">
        <v>226</v>
      </c>
      <c r="C23" t="s">
        <v>227</v>
      </c>
      <c r="D23" s="23" t="s">
        <v>228</v>
      </c>
      <c r="E23" s="23" t="s">
        <v>228</v>
      </c>
      <c r="F23" s="23" t="s">
        <v>228</v>
      </c>
      <c r="G23" s="23" t="s">
        <v>228</v>
      </c>
      <c r="H23" s="23" t="s">
        <v>228</v>
      </c>
      <c r="I23" s="23" t="s">
        <v>228</v>
      </c>
      <c r="J23" s="23" t="s">
        <v>228</v>
      </c>
      <c r="K23" s="23" t="s">
        <v>228</v>
      </c>
      <c r="L23" s="23" t="s">
        <v>228</v>
      </c>
      <c r="M23" s="23" t="s">
        <v>228</v>
      </c>
      <c r="N23" s="23" t="s">
        <v>228</v>
      </c>
      <c r="O23" s="23" t="s">
        <v>228</v>
      </c>
      <c r="P23" s="23" t="s">
        <v>228</v>
      </c>
      <c r="Q23" s="23" t="s">
        <v>228</v>
      </c>
      <c r="R23" s="23" t="s">
        <v>228</v>
      </c>
      <c r="S23" s="23" t="s">
        <v>228</v>
      </c>
      <c r="T23" s="23" t="s">
        <v>228</v>
      </c>
      <c r="U23" s="23" t="s">
        <v>228</v>
      </c>
      <c r="V23" s="23" t="s">
        <v>228</v>
      </c>
      <c r="W23" s="23" t="s">
        <v>228</v>
      </c>
      <c r="X23" s="23" t="s">
        <v>228</v>
      </c>
      <c r="Y23" s="23" t="s">
        <v>228</v>
      </c>
      <c r="Z23" s="23" t="s">
        <v>228</v>
      </c>
      <c r="AA23" s="23" t="s">
        <v>228</v>
      </c>
      <c r="AB23" s="23" t="s">
        <v>228</v>
      </c>
      <c r="AC23" s="23" t="s">
        <v>228</v>
      </c>
      <c r="AD23" s="23" t="s">
        <v>228</v>
      </c>
      <c r="AE23" s="23" t="s">
        <v>228</v>
      </c>
      <c r="AF23" s="23" t="s">
        <v>228</v>
      </c>
      <c r="AG23" s="23" t="s">
        <v>228</v>
      </c>
      <c r="AH23" s="23" t="s">
        <v>228</v>
      </c>
      <c r="AI23" s="23" t="s">
        <v>228</v>
      </c>
      <c r="AJ23" s="23" t="s">
        <v>228</v>
      </c>
      <c r="AK23" s="23" t="s">
        <v>228</v>
      </c>
      <c r="AL23" s="23" t="s">
        <v>228</v>
      </c>
      <c r="AM23" s="23" t="s">
        <v>228</v>
      </c>
      <c r="AN23" s="23" t="s">
        <v>228</v>
      </c>
      <c r="AO23" s="23" t="s">
        <v>228</v>
      </c>
      <c r="AP23" s="23" t="s">
        <v>228</v>
      </c>
      <c r="AQ23" s="23" t="s">
        <v>228</v>
      </c>
      <c r="AR23" s="23" t="s">
        <v>228</v>
      </c>
      <c r="AS23" s="23" t="s">
        <v>228</v>
      </c>
      <c r="AT23" s="23" t="s">
        <v>228</v>
      </c>
      <c r="AU23" s="23" t="s">
        <v>228</v>
      </c>
      <c r="AV23" s="23" t="s">
        <v>228</v>
      </c>
      <c r="AW23" s="23" t="s">
        <v>228</v>
      </c>
      <c r="AX23" s="23" t="s">
        <v>228</v>
      </c>
      <c r="AY23" s="23" t="s">
        <v>228</v>
      </c>
      <c r="AZ23" s="23" t="s">
        <v>228</v>
      </c>
      <c r="BA23" s="23" t="s">
        <v>228</v>
      </c>
      <c r="BB23" s="23" t="s">
        <v>228</v>
      </c>
      <c r="BC23" s="23" t="s">
        <v>228</v>
      </c>
      <c r="BD23" s="23" t="s">
        <v>228</v>
      </c>
      <c r="BE23" s="23" t="s">
        <v>228</v>
      </c>
      <c r="BF23" s="23" t="s">
        <v>228</v>
      </c>
      <c r="BG23" s="23" t="s">
        <v>228</v>
      </c>
      <c r="BH23" s="23" t="s">
        <v>228</v>
      </c>
      <c r="BI23" s="23" t="s">
        <v>228</v>
      </c>
      <c r="BJ23" s="23" t="s">
        <v>228</v>
      </c>
      <c r="BK23" s="23" t="s">
        <v>228</v>
      </c>
      <c r="BL23" s="23" t="s">
        <v>228</v>
      </c>
      <c r="BM23" s="23" t="s">
        <v>228</v>
      </c>
      <c r="BN23" s="23" t="s">
        <v>228</v>
      </c>
      <c r="BO23" s="23" t="s">
        <v>228</v>
      </c>
      <c r="BP23" s="23" t="s">
        <v>228</v>
      </c>
      <c r="BQ23" s="23" t="s">
        <v>228</v>
      </c>
      <c r="BR23" s="23" t="s">
        <v>228</v>
      </c>
      <c r="BS23" s="23" t="s">
        <v>228</v>
      </c>
      <c r="BT23" s="23" t="s">
        <v>228</v>
      </c>
      <c r="BU23" s="23" t="s">
        <v>228</v>
      </c>
      <c r="BV23" s="23" t="s">
        <v>228</v>
      </c>
      <c r="BW23" s="23" t="s">
        <v>228</v>
      </c>
      <c r="BX23" s="23" t="s">
        <v>228</v>
      </c>
      <c r="BY23" s="23" t="s">
        <v>228</v>
      </c>
      <c r="BZ23" s="23" t="s">
        <v>228</v>
      </c>
      <c r="CA23" s="23" t="s">
        <v>228</v>
      </c>
      <c r="CB23" s="23" t="s">
        <v>228</v>
      </c>
      <c r="CC23" s="23" t="s">
        <v>228</v>
      </c>
      <c r="CD23" s="23" t="s">
        <v>228</v>
      </c>
      <c r="CE23" s="23" t="s">
        <v>228</v>
      </c>
      <c r="CF23" s="23" t="s">
        <v>228</v>
      </c>
      <c r="CG23" s="23" t="s">
        <v>228</v>
      </c>
      <c r="CH23" s="23" t="s">
        <v>228</v>
      </c>
      <c r="CI23" s="23" t="s">
        <v>228</v>
      </c>
      <c r="CJ23" s="23" t="s">
        <v>228</v>
      </c>
      <c r="CK23" s="23" t="s">
        <v>228</v>
      </c>
      <c r="CL23" s="23" t="s">
        <v>228</v>
      </c>
      <c r="CM23" s="23" t="s">
        <v>228</v>
      </c>
      <c r="CN23" s="23" t="s">
        <v>228</v>
      </c>
      <c r="CO23" s="23" t="s">
        <v>228</v>
      </c>
      <c r="CP23" s="23" t="s">
        <v>228</v>
      </c>
      <c r="CQ23" s="23" t="s">
        <v>228</v>
      </c>
      <c r="CR23" s="23" t="s">
        <v>228</v>
      </c>
    </row>
    <row r="24" spans="1:96" x14ac:dyDescent="0.25">
      <c r="A24" t="s">
        <v>229</v>
      </c>
      <c r="B24" t="s">
        <v>230</v>
      </c>
      <c r="C24" t="s">
        <v>227</v>
      </c>
      <c r="D24" s="23" t="s">
        <v>228</v>
      </c>
      <c r="E24" s="23" t="s">
        <v>228</v>
      </c>
      <c r="F24" s="23" t="s">
        <v>228</v>
      </c>
      <c r="G24" s="23" t="s">
        <v>228</v>
      </c>
      <c r="H24" s="23" t="s">
        <v>228</v>
      </c>
      <c r="I24" s="23" t="s">
        <v>228</v>
      </c>
      <c r="J24" s="23" t="s">
        <v>228</v>
      </c>
      <c r="K24" s="23" t="s">
        <v>228</v>
      </c>
      <c r="L24" s="23" t="s">
        <v>228</v>
      </c>
      <c r="M24" s="23" t="s">
        <v>228</v>
      </c>
      <c r="N24" s="23" t="s">
        <v>228</v>
      </c>
      <c r="O24" s="23" t="s">
        <v>228</v>
      </c>
      <c r="P24" s="23" t="s">
        <v>228</v>
      </c>
      <c r="Q24" s="23" t="s">
        <v>228</v>
      </c>
      <c r="R24" s="23" t="s">
        <v>228</v>
      </c>
      <c r="S24" s="23" t="s">
        <v>228</v>
      </c>
      <c r="T24" s="23" t="s">
        <v>228</v>
      </c>
      <c r="U24" s="23" t="s">
        <v>228</v>
      </c>
      <c r="V24" s="23" t="s">
        <v>228</v>
      </c>
      <c r="W24" s="23" t="s">
        <v>228</v>
      </c>
      <c r="X24" s="23" t="s">
        <v>228</v>
      </c>
      <c r="Y24" s="23" t="s">
        <v>228</v>
      </c>
      <c r="Z24" s="23" t="s">
        <v>228</v>
      </c>
      <c r="AA24" s="23" t="s">
        <v>228</v>
      </c>
      <c r="AB24" s="23" t="s">
        <v>228</v>
      </c>
      <c r="AC24" s="23" t="s">
        <v>228</v>
      </c>
      <c r="AD24" s="23" t="s">
        <v>228</v>
      </c>
      <c r="AE24" s="23" t="s">
        <v>228</v>
      </c>
      <c r="AF24" s="23" t="s">
        <v>228</v>
      </c>
      <c r="AG24" s="23" t="s">
        <v>228</v>
      </c>
      <c r="AH24" s="23" t="s">
        <v>228</v>
      </c>
      <c r="AI24" s="23" t="s">
        <v>228</v>
      </c>
      <c r="AJ24" s="23" t="s">
        <v>228</v>
      </c>
      <c r="AK24" s="23" t="s">
        <v>228</v>
      </c>
      <c r="AL24" s="23" t="s">
        <v>228</v>
      </c>
      <c r="AM24" s="23" t="s">
        <v>228</v>
      </c>
      <c r="AN24" s="23" t="s">
        <v>228</v>
      </c>
      <c r="AO24" s="23" t="s">
        <v>228</v>
      </c>
      <c r="AP24" s="23" t="s">
        <v>228</v>
      </c>
      <c r="AQ24" s="23" t="s">
        <v>228</v>
      </c>
      <c r="AR24" s="23" t="s">
        <v>228</v>
      </c>
      <c r="AS24" s="23" t="s">
        <v>228</v>
      </c>
      <c r="AT24" s="23" t="s">
        <v>228</v>
      </c>
      <c r="AU24" s="23" t="s">
        <v>228</v>
      </c>
      <c r="AV24" s="23" t="s">
        <v>228</v>
      </c>
      <c r="AW24" s="23" t="s">
        <v>228</v>
      </c>
      <c r="AX24" s="23" t="s">
        <v>228</v>
      </c>
      <c r="AY24" s="23" t="s">
        <v>228</v>
      </c>
      <c r="AZ24" s="23" t="s">
        <v>228</v>
      </c>
      <c r="BA24" s="23" t="s">
        <v>228</v>
      </c>
      <c r="BB24" s="23" t="s">
        <v>228</v>
      </c>
      <c r="BC24" s="23" t="s">
        <v>228</v>
      </c>
      <c r="BD24" s="23" t="s">
        <v>228</v>
      </c>
      <c r="BE24" s="23" t="s">
        <v>228</v>
      </c>
      <c r="BF24" s="23" t="s">
        <v>228</v>
      </c>
      <c r="BG24" s="23" t="s">
        <v>228</v>
      </c>
      <c r="BH24" s="23" t="s">
        <v>228</v>
      </c>
      <c r="BI24" s="23" t="s">
        <v>228</v>
      </c>
      <c r="BJ24" s="23" t="s">
        <v>228</v>
      </c>
      <c r="BK24" s="23" t="s">
        <v>228</v>
      </c>
      <c r="BL24" s="23" t="s">
        <v>228</v>
      </c>
      <c r="BM24" s="23" t="s">
        <v>228</v>
      </c>
      <c r="BN24" s="23" t="s">
        <v>228</v>
      </c>
      <c r="BO24" s="23" t="s">
        <v>228</v>
      </c>
      <c r="BP24" s="23" t="s">
        <v>228</v>
      </c>
      <c r="BQ24" s="23" t="s">
        <v>228</v>
      </c>
      <c r="BR24" s="23" t="s">
        <v>228</v>
      </c>
      <c r="BS24" s="23" t="s">
        <v>228</v>
      </c>
      <c r="BT24" s="23" t="s">
        <v>228</v>
      </c>
      <c r="BU24" s="23" t="s">
        <v>228</v>
      </c>
      <c r="BV24" s="23" t="s">
        <v>228</v>
      </c>
      <c r="BW24" s="23" t="s">
        <v>228</v>
      </c>
      <c r="BX24" s="23" t="s">
        <v>228</v>
      </c>
      <c r="BY24" s="23" t="s">
        <v>228</v>
      </c>
      <c r="BZ24" s="23" t="s">
        <v>228</v>
      </c>
      <c r="CA24" s="23" t="s">
        <v>228</v>
      </c>
      <c r="CB24" s="23" t="s">
        <v>228</v>
      </c>
      <c r="CC24" s="23" t="s">
        <v>228</v>
      </c>
      <c r="CD24" s="23" t="s">
        <v>228</v>
      </c>
      <c r="CE24" s="23" t="s">
        <v>228</v>
      </c>
      <c r="CF24" s="23" t="s">
        <v>228</v>
      </c>
      <c r="CG24" s="23" t="s">
        <v>228</v>
      </c>
      <c r="CH24" s="23" t="s">
        <v>228</v>
      </c>
      <c r="CI24" s="23" t="s">
        <v>228</v>
      </c>
      <c r="CJ24" s="23" t="s">
        <v>228</v>
      </c>
      <c r="CK24" s="23" t="s">
        <v>228</v>
      </c>
      <c r="CL24" s="23" t="s">
        <v>228</v>
      </c>
      <c r="CM24" s="23" t="s">
        <v>228</v>
      </c>
      <c r="CN24" s="23" t="s">
        <v>228</v>
      </c>
      <c r="CO24" s="23" t="s">
        <v>228</v>
      </c>
      <c r="CP24" s="23" t="s">
        <v>228</v>
      </c>
      <c r="CQ24" s="23" t="s">
        <v>228</v>
      </c>
      <c r="CR24" s="23" t="s">
        <v>228</v>
      </c>
    </row>
    <row r="25" spans="1:96" x14ac:dyDescent="0.25">
      <c r="A25" t="s">
        <v>231</v>
      </c>
      <c r="B25" t="s">
        <v>232</v>
      </c>
      <c r="C25" t="s">
        <v>233</v>
      </c>
      <c r="D25" s="22">
        <v>13.651999999999999</v>
      </c>
      <c r="E25" s="22">
        <v>12.36</v>
      </c>
      <c r="F25" s="22">
        <v>9.7260000000000009</v>
      </c>
      <c r="G25" s="22">
        <v>8.4350000000000005</v>
      </c>
      <c r="H25" s="22">
        <v>8.4339999999999993</v>
      </c>
      <c r="I25" s="22">
        <v>9.7799999999999994</v>
      </c>
      <c r="J25" s="22">
        <v>10.028</v>
      </c>
      <c r="K25" s="22">
        <v>10.366</v>
      </c>
      <c r="L25" s="22">
        <v>11.055</v>
      </c>
      <c r="M25" s="22">
        <v>10.547000000000001</v>
      </c>
      <c r="N25" s="22">
        <v>10.404999999999999</v>
      </c>
      <c r="O25" s="22">
        <v>11.285</v>
      </c>
      <c r="P25" s="22">
        <v>12.321999999999999</v>
      </c>
      <c r="Q25" s="22">
        <v>14.894</v>
      </c>
      <c r="R25" s="22">
        <v>16.292999999999999</v>
      </c>
      <c r="S25" s="22">
        <v>18.350000000000001</v>
      </c>
      <c r="T25" s="22">
        <v>18.196000000000002</v>
      </c>
      <c r="U25" s="22">
        <v>17.585000000000001</v>
      </c>
      <c r="V25" s="22">
        <v>20.416</v>
      </c>
      <c r="W25" s="22">
        <v>21.504999999999999</v>
      </c>
      <c r="X25" s="22">
        <v>20.222000000000001</v>
      </c>
      <c r="Y25" s="22">
        <v>19.690999999999999</v>
      </c>
      <c r="Z25" s="22">
        <v>22.248000000000001</v>
      </c>
      <c r="AA25" s="22">
        <v>22.384</v>
      </c>
      <c r="AB25" s="22">
        <v>22.321000000000002</v>
      </c>
      <c r="AC25" s="22">
        <v>22.018000000000001</v>
      </c>
      <c r="AD25" s="22">
        <v>22.206</v>
      </c>
      <c r="AE25" s="22">
        <v>22.948</v>
      </c>
      <c r="AF25" s="22">
        <v>23.818999999999999</v>
      </c>
      <c r="AG25" s="22">
        <v>23.577999999999999</v>
      </c>
      <c r="AH25" s="22">
        <v>23.63</v>
      </c>
      <c r="AI25" s="22">
        <v>23.962</v>
      </c>
      <c r="AJ25" s="22">
        <v>24.324999999999999</v>
      </c>
      <c r="AK25" s="22">
        <v>24.384</v>
      </c>
      <c r="AL25" s="22">
        <v>24.335999999999999</v>
      </c>
      <c r="AM25" s="22">
        <v>24.530999999999999</v>
      </c>
      <c r="AN25" s="22">
        <v>25.312000000000001</v>
      </c>
      <c r="AO25" s="22">
        <v>26.079000000000001</v>
      </c>
      <c r="AP25" s="22">
        <v>27.084</v>
      </c>
      <c r="AQ25" s="22">
        <v>27.664000000000001</v>
      </c>
      <c r="AR25" s="22">
        <v>28.588999999999999</v>
      </c>
      <c r="AS25" s="22">
        <v>29.710999999999999</v>
      </c>
      <c r="AT25" s="22">
        <v>30.795999999999999</v>
      </c>
      <c r="AU25" s="22">
        <v>32.145000000000003</v>
      </c>
      <c r="AV25" s="22">
        <v>36.381999999999998</v>
      </c>
      <c r="AW25" s="22">
        <v>44.807000000000002</v>
      </c>
      <c r="AX25" s="22">
        <v>49.387999999999998</v>
      </c>
      <c r="AY25" s="22">
        <v>51.009</v>
      </c>
      <c r="AZ25" s="22">
        <v>53.088000000000001</v>
      </c>
      <c r="BA25" s="22">
        <v>56.317</v>
      </c>
      <c r="BB25" s="22">
        <v>63.100999999999999</v>
      </c>
      <c r="BC25" s="22">
        <v>69.503</v>
      </c>
      <c r="BD25" s="22">
        <v>74.650000000000006</v>
      </c>
      <c r="BE25" s="22">
        <v>75.006</v>
      </c>
      <c r="BF25" s="22">
        <v>75.311000000000007</v>
      </c>
      <c r="BG25" s="22">
        <v>76.016000000000005</v>
      </c>
      <c r="BH25" s="22">
        <v>73.753</v>
      </c>
      <c r="BI25" s="22">
        <v>72.522999999999996</v>
      </c>
      <c r="BJ25" s="22">
        <v>74.123999999999995</v>
      </c>
      <c r="BK25" s="22">
        <v>77.92</v>
      </c>
      <c r="BL25" s="22">
        <v>79.209999999999994</v>
      </c>
      <c r="BM25" s="22">
        <v>79.656999999999996</v>
      </c>
      <c r="BN25" s="22">
        <v>80.545000000000002</v>
      </c>
      <c r="BO25" s="22">
        <v>80.153000000000006</v>
      </c>
      <c r="BP25" s="22">
        <v>80.277000000000001</v>
      </c>
      <c r="BQ25" s="22">
        <v>81.209999999999994</v>
      </c>
      <c r="BR25" s="22">
        <v>83.025000000000006</v>
      </c>
      <c r="BS25" s="22">
        <v>81.923000000000002</v>
      </c>
      <c r="BT25" s="22">
        <v>80.478999999999999</v>
      </c>
      <c r="BU25" s="22">
        <v>78.573999999999998</v>
      </c>
      <c r="BV25" s="22">
        <v>77.971000000000004</v>
      </c>
      <c r="BW25" s="22">
        <v>79.466999999999999</v>
      </c>
      <c r="BX25" s="22">
        <v>78.835999999999999</v>
      </c>
      <c r="BY25" s="22">
        <v>78.200999999999993</v>
      </c>
      <c r="BZ25" s="22">
        <v>79.400000000000006</v>
      </c>
      <c r="CA25" s="22">
        <v>82.284000000000006</v>
      </c>
      <c r="CB25" s="22">
        <v>85.131</v>
      </c>
      <c r="CC25" s="22">
        <v>87.841999999999999</v>
      </c>
      <c r="CD25" s="22">
        <v>91.138999999999996</v>
      </c>
      <c r="CE25" s="22">
        <v>95.41</v>
      </c>
      <c r="CF25" s="22">
        <v>89.694000000000003</v>
      </c>
      <c r="CG25" s="22">
        <v>93.347999999999999</v>
      </c>
      <c r="CH25" s="22">
        <v>99.242000000000004</v>
      </c>
      <c r="CI25" s="22">
        <v>100</v>
      </c>
      <c r="CJ25" s="22">
        <v>100.16800000000001</v>
      </c>
      <c r="CK25" s="22">
        <v>100.27200000000001</v>
      </c>
      <c r="CL25" s="22">
        <v>95.394999999999996</v>
      </c>
      <c r="CM25" s="22">
        <v>93.49</v>
      </c>
      <c r="CN25" s="22">
        <v>95.921000000000006</v>
      </c>
      <c r="CO25" s="22">
        <v>99.183000000000007</v>
      </c>
      <c r="CP25" s="22">
        <v>98.751000000000005</v>
      </c>
      <c r="CQ25" s="22">
        <v>95.781000000000006</v>
      </c>
      <c r="CR25" s="22">
        <v>107.54900000000001</v>
      </c>
    </row>
    <row r="26" spans="1:96" x14ac:dyDescent="0.25">
      <c r="A26" t="s">
        <v>234</v>
      </c>
      <c r="B26" t="s">
        <v>235</v>
      </c>
      <c r="C26" t="s">
        <v>236</v>
      </c>
      <c r="D26" s="22">
        <v>16.346</v>
      </c>
      <c r="E26" s="22">
        <v>14.622999999999999</v>
      </c>
      <c r="F26" s="22">
        <v>11.224</v>
      </c>
      <c r="G26" s="22">
        <v>9.6760000000000002</v>
      </c>
      <c r="H26" s="22">
        <v>10.122999999999999</v>
      </c>
      <c r="I26" s="22">
        <v>11.843</v>
      </c>
      <c r="J26" s="22">
        <v>12.132999999999999</v>
      </c>
      <c r="K26" s="22">
        <v>12.425000000000001</v>
      </c>
      <c r="L26" s="22">
        <v>13.167999999999999</v>
      </c>
      <c r="M26" s="22">
        <v>12.185</v>
      </c>
      <c r="N26" s="22">
        <v>11.917999999999999</v>
      </c>
      <c r="O26" s="22">
        <v>12.78</v>
      </c>
      <c r="P26" s="22">
        <v>13.698</v>
      </c>
      <c r="Q26" s="22">
        <v>16.681000000000001</v>
      </c>
      <c r="R26" s="22">
        <v>18.390999999999998</v>
      </c>
      <c r="S26" s="22">
        <v>21.06</v>
      </c>
      <c r="T26" s="22">
        <v>20.974</v>
      </c>
      <c r="U26" s="22">
        <v>19.907</v>
      </c>
      <c r="V26" s="22">
        <v>23.684000000000001</v>
      </c>
      <c r="W26" s="22">
        <v>25.21</v>
      </c>
      <c r="X26" s="22">
        <v>23.356000000000002</v>
      </c>
      <c r="Y26" s="22">
        <v>22.579000000000001</v>
      </c>
      <c r="Z26" s="22">
        <v>25.885999999999999</v>
      </c>
      <c r="AA26" s="22">
        <v>25.771999999999998</v>
      </c>
      <c r="AB26" s="22">
        <v>25.510999999999999</v>
      </c>
      <c r="AC26" s="22">
        <v>25.148</v>
      </c>
      <c r="AD26" s="22">
        <v>25.385000000000002</v>
      </c>
      <c r="AE26" s="22">
        <v>26.347999999999999</v>
      </c>
      <c r="AF26" s="22">
        <v>27.206</v>
      </c>
      <c r="AG26" s="22">
        <v>26.908999999999999</v>
      </c>
      <c r="AH26" s="22">
        <v>27.17</v>
      </c>
      <c r="AI26" s="22">
        <v>27.352</v>
      </c>
      <c r="AJ26" s="22">
        <v>27.872</v>
      </c>
      <c r="AK26" s="22">
        <v>27.655000000000001</v>
      </c>
      <c r="AL26" s="22">
        <v>27.565999999999999</v>
      </c>
      <c r="AM26" s="22">
        <v>27.751999999999999</v>
      </c>
      <c r="AN26" s="22">
        <v>28.718</v>
      </c>
      <c r="AO26" s="22">
        <v>29.699000000000002</v>
      </c>
      <c r="AP26" s="22">
        <v>30.943999999999999</v>
      </c>
      <c r="AQ26" s="22">
        <v>31.42</v>
      </c>
      <c r="AR26" s="22">
        <v>32.393999999999998</v>
      </c>
      <c r="AS26" s="22">
        <v>33.86</v>
      </c>
      <c r="AT26" s="22">
        <v>34.765999999999998</v>
      </c>
      <c r="AU26" s="22">
        <v>35.69</v>
      </c>
      <c r="AV26" s="22">
        <v>41.316000000000003</v>
      </c>
      <c r="AW26" s="22">
        <v>51.982999999999997</v>
      </c>
      <c r="AX26" s="22">
        <v>57.701000000000001</v>
      </c>
      <c r="AY26" s="22">
        <v>59.265000000000001</v>
      </c>
      <c r="AZ26" s="22">
        <v>61.468000000000004</v>
      </c>
      <c r="BA26" s="22">
        <v>64.998999999999995</v>
      </c>
      <c r="BB26" s="22">
        <v>73.430999999999997</v>
      </c>
      <c r="BC26" s="22">
        <v>80.463999999999999</v>
      </c>
      <c r="BD26" s="22">
        <v>86.18</v>
      </c>
      <c r="BE26" s="22">
        <v>85.471999999999994</v>
      </c>
      <c r="BF26" s="22">
        <v>84.974999999999994</v>
      </c>
      <c r="BG26" s="22">
        <v>85.741</v>
      </c>
      <c r="BH26" s="22">
        <v>81.463999999999999</v>
      </c>
      <c r="BI26" s="22">
        <v>78.668000000000006</v>
      </c>
      <c r="BJ26" s="22">
        <v>80.426000000000002</v>
      </c>
      <c r="BK26" s="22">
        <v>85.384</v>
      </c>
      <c r="BL26" s="22">
        <v>86.475999999999999</v>
      </c>
      <c r="BM26" s="22">
        <v>85.712999999999994</v>
      </c>
      <c r="BN26" s="22">
        <v>85.674000000000007</v>
      </c>
      <c r="BO26" s="22">
        <v>84.337999999999994</v>
      </c>
      <c r="BP26" s="22">
        <v>83.914000000000001</v>
      </c>
      <c r="BQ26" s="22">
        <v>84.873000000000005</v>
      </c>
      <c r="BR26" s="22">
        <v>86.887</v>
      </c>
      <c r="BS26" s="22">
        <v>84.683999999999997</v>
      </c>
      <c r="BT26" s="22">
        <v>82.335999999999999</v>
      </c>
      <c r="BU26" s="22">
        <v>79.739999999999995</v>
      </c>
      <c r="BV26" s="22">
        <v>78.661000000000001</v>
      </c>
      <c r="BW26" s="22">
        <v>80.024000000000001</v>
      </c>
      <c r="BX26" s="22">
        <v>79.557000000000002</v>
      </c>
      <c r="BY26" s="22">
        <v>78.728999999999999</v>
      </c>
      <c r="BZ26" s="22">
        <v>79.506</v>
      </c>
      <c r="CA26" s="22">
        <v>82.314999999999998</v>
      </c>
      <c r="CB26" s="22">
        <v>84.933999999999997</v>
      </c>
      <c r="CC26" s="22">
        <v>87.585999999999999</v>
      </c>
      <c r="CD26" s="22">
        <v>91.001999999999995</v>
      </c>
      <c r="CE26" s="22">
        <v>95.712999999999994</v>
      </c>
      <c r="CF26" s="22">
        <v>88.921000000000006</v>
      </c>
      <c r="CG26" s="22">
        <v>92.966999999999999</v>
      </c>
      <c r="CH26" s="22">
        <v>99.793000000000006</v>
      </c>
      <c r="CI26" s="22">
        <v>100</v>
      </c>
      <c r="CJ26" s="22">
        <v>99.311999999999998</v>
      </c>
      <c r="CK26" s="22">
        <v>98.308000000000007</v>
      </c>
      <c r="CL26" s="22">
        <v>91.305999999999997</v>
      </c>
      <c r="CM26" s="22">
        <v>87.741</v>
      </c>
      <c r="CN26" s="22">
        <v>90.028000000000006</v>
      </c>
      <c r="CO26" s="22">
        <v>93.251000000000005</v>
      </c>
      <c r="CP26" s="22">
        <v>91.820999999999998</v>
      </c>
      <c r="CQ26" s="22">
        <v>87.638999999999996</v>
      </c>
      <c r="CR26" s="22">
        <v>100.913</v>
      </c>
    </row>
    <row r="27" spans="1:96" x14ac:dyDescent="0.25">
      <c r="A27" t="s">
        <v>237</v>
      </c>
      <c r="B27" t="s">
        <v>238</v>
      </c>
      <c r="C27" t="s">
        <v>239</v>
      </c>
      <c r="D27" s="22">
        <v>6.8090000000000002</v>
      </c>
      <c r="E27" s="22">
        <v>6.81</v>
      </c>
      <c r="F27" s="22">
        <v>6.3419999999999996</v>
      </c>
      <c r="G27" s="22">
        <v>5.6920000000000002</v>
      </c>
      <c r="H27" s="22">
        <v>4.3159999999999998</v>
      </c>
      <c r="I27" s="22">
        <v>4.7069999999999999</v>
      </c>
      <c r="J27" s="22">
        <v>4.8570000000000002</v>
      </c>
      <c r="K27" s="22">
        <v>5.3310000000000004</v>
      </c>
      <c r="L27" s="22">
        <v>5.9020000000000001</v>
      </c>
      <c r="M27" s="22">
        <v>6.7050000000000001</v>
      </c>
      <c r="N27" s="22">
        <v>6.9409999999999998</v>
      </c>
      <c r="O27" s="22">
        <v>7.9989999999999997</v>
      </c>
      <c r="P27" s="22">
        <v>9.5909999999999993</v>
      </c>
      <c r="Q27" s="22">
        <v>11.273</v>
      </c>
      <c r="R27" s="22">
        <v>12.055999999999999</v>
      </c>
      <c r="S27" s="22">
        <v>12.984999999999999</v>
      </c>
      <c r="T27" s="22">
        <v>12.683</v>
      </c>
      <c r="U27" s="22">
        <v>13.19</v>
      </c>
      <c r="V27" s="22">
        <v>13.404</v>
      </c>
      <c r="W27" s="22">
        <v>13.259</v>
      </c>
      <c r="X27" s="22">
        <v>13.551</v>
      </c>
      <c r="Y27" s="22">
        <v>13.685</v>
      </c>
      <c r="Z27" s="22">
        <v>14.404</v>
      </c>
      <c r="AA27" s="22">
        <v>15.227</v>
      </c>
      <c r="AB27" s="22">
        <v>15.680999999999999</v>
      </c>
      <c r="AC27" s="22">
        <v>15.512</v>
      </c>
      <c r="AD27" s="22">
        <v>15.583</v>
      </c>
      <c r="AE27" s="22">
        <v>15.787000000000001</v>
      </c>
      <c r="AF27" s="22">
        <v>16.777999999999999</v>
      </c>
      <c r="AG27" s="22">
        <v>16.664000000000001</v>
      </c>
      <c r="AH27" s="22">
        <v>16.286999999999999</v>
      </c>
      <c r="AI27" s="22">
        <v>16.856999999999999</v>
      </c>
      <c r="AJ27" s="22">
        <v>16.91</v>
      </c>
      <c r="AK27" s="22">
        <v>17.489000000000001</v>
      </c>
      <c r="AL27" s="22">
        <v>17.521000000000001</v>
      </c>
      <c r="AM27" s="22">
        <v>17.727</v>
      </c>
      <c r="AN27" s="22">
        <v>18.128</v>
      </c>
      <c r="AO27" s="22">
        <v>18.463000000000001</v>
      </c>
      <c r="AP27" s="22">
        <v>18.986999999999998</v>
      </c>
      <c r="AQ27" s="22">
        <v>19.734000000000002</v>
      </c>
      <c r="AR27" s="22">
        <v>20.536000000000001</v>
      </c>
      <c r="AS27" s="22">
        <v>20.975000000000001</v>
      </c>
      <c r="AT27" s="22">
        <v>22.347999999999999</v>
      </c>
      <c r="AU27" s="22">
        <v>24.431999999999999</v>
      </c>
      <c r="AV27" s="22">
        <v>25.645</v>
      </c>
      <c r="AW27" s="22">
        <v>28.882999999999999</v>
      </c>
      <c r="AX27" s="22">
        <v>30.878</v>
      </c>
      <c r="AY27" s="22">
        <v>32.664999999999999</v>
      </c>
      <c r="AZ27" s="22">
        <v>34.497999999999998</v>
      </c>
      <c r="BA27" s="22">
        <v>37.076000000000001</v>
      </c>
      <c r="BB27" s="22">
        <v>40.127000000000002</v>
      </c>
      <c r="BC27" s="22">
        <v>45.237000000000002</v>
      </c>
      <c r="BD27" s="22">
        <v>49.182000000000002</v>
      </c>
      <c r="BE27" s="22">
        <v>51.966000000000001</v>
      </c>
      <c r="BF27" s="22">
        <v>54.034999999999997</v>
      </c>
      <c r="BG27" s="22">
        <v>54.6</v>
      </c>
      <c r="BH27" s="22">
        <v>56.564999999999998</v>
      </c>
      <c r="BI27" s="22">
        <v>58.497</v>
      </c>
      <c r="BJ27" s="22">
        <v>59.75</v>
      </c>
      <c r="BK27" s="22">
        <v>61.082000000000001</v>
      </c>
      <c r="BL27" s="22">
        <v>62.774000000000001</v>
      </c>
      <c r="BM27" s="22">
        <v>65.748000000000005</v>
      </c>
      <c r="BN27" s="22">
        <v>68.555000000000007</v>
      </c>
      <c r="BO27" s="22">
        <v>70.165000000000006</v>
      </c>
      <c r="BP27" s="22">
        <v>71.456000000000003</v>
      </c>
      <c r="BQ27" s="22">
        <v>72.322999999999993</v>
      </c>
      <c r="BR27" s="22">
        <v>73.683000000000007</v>
      </c>
      <c r="BS27" s="22">
        <v>75.137</v>
      </c>
      <c r="BT27" s="22">
        <v>75.897999999999996</v>
      </c>
      <c r="BU27" s="22">
        <v>75.739999999999995</v>
      </c>
      <c r="BV27" s="22">
        <v>76.325000000000003</v>
      </c>
      <c r="BW27" s="22">
        <v>78.16</v>
      </c>
      <c r="BX27" s="22">
        <v>77.106999999999999</v>
      </c>
      <c r="BY27" s="22">
        <v>76.951999999999998</v>
      </c>
      <c r="BZ27" s="22">
        <v>79.171999999999997</v>
      </c>
      <c r="CA27" s="22">
        <v>82.236000000000004</v>
      </c>
      <c r="CB27" s="22">
        <v>85.634</v>
      </c>
      <c r="CC27" s="22">
        <v>88.49</v>
      </c>
      <c r="CD27" s="22">
        <v>91.504000000000005</v>
      </c>
      <c r="CE27" s="22">
        <v>94.745999999999995</v>
      </c>
      <c r="CF27" s="22">
        <v>91.385999999999996</v>
      </c>
      <c r="CG27" s="22">
        <v>94.197000000000003</v>
      </c>
      <c r="CH27" s="22">
        <v>97.998999999999995</v>
      </c>
      <c r="CI27" s="22">
        <v>100</v>
      </c>
      <c r="CJ27" s="22">
        <v>102.099</v>
      </c>
      <c r="CK27" s="22">
        <v>104.708</v>
      </c>
      <c r="CL27" s="22">
        <v>104.60599999999999</v>
      </c>
      <c r="CM27" s="22">
        <v>106.4</v>
      </c>
      <c r="CN27" s="22">
        <v>109.155</v>
      </c>
      <c r="CO27" s="22">
        <v>112.495</v>
      </c>
      <c r="CP27" s="22">
        <v>114.38500000000001</v>
      </c>
      <c r="CQ27" s="22">
        <v>114.239</v>
      </c>
      <c r="CR27" s="22">
        <v>121.42</v>
      </c>
    </row>
    <row r="28" spans="1:96" x14ac:dyDescent="0.25">
      <c r="A28" t="s">
        <v>240</v>
      </c>
      <c r="B28" t="s">
        <v>241</v>
      </c>
      <c r="C28" t="s">
        <v>242</v>
      </c>
      <c r="D28" s="22">
        <v>9.5749999999999993</v>
      </c>
      <c r="E28" s="22">
        <v>8.1639999999999997</v>
      </c>
      <c r="F28" s="22">
        <v>6.5979999999999999</v>
      </c>
      <c r="G28" s="22">
        <v>5.2880000000000003</v>
      </c>
      <c r="H28" s="22">
        <v>5.0679999999999996</v>
      </c>
      <c r="I28" s="22">
        <v>5.758</v>
      </c>
      <c r="J28" s="22">
        <v>5.8529999999999998</v>
      </c>
      <c r="K28" s="22">
        <v>6.2629999999999999</v>
      </c>
      <c r="L28" s="22">
        <v>6.99</v>
      </c>
      <c r="M28" s="22">
        <v>6.4589999999999996</v>
      </c>
      <c r="N28" s="22">
        <v>6.78</v>
      </c>
      <c r="O28" s="22">
        <v>7.2320000000000002</v>
      </c>
      <c r="P28" s="22">
        <v>7.6379999999999999</v>
      </c>
      <c r="Q28" s="22">
        <v>8.7479999999999993</v>
      </c>
      <c r="R28" s="22">
        <v>9.4169999999999998</v>
      </c>
      <c r="S28" s="22">
        <v>9.8919999999999995</v>
      </c>
      <c r="T28" s="22">
        <v>10.169</v>
      </c>
      <c r="U28" s="22">
        <v>11.337999999999999</v>
      </c>
      <c r="V28" s="22">
        <v>13.584</v>
      </c>
      <c r="W28" s="22">
        <v>14.763</v>
      </c>
      <c r="X28" s="22">
        <v>14.07</v>
      </c>
      <c r="Y28" s="22">
        <v>14.945</v>
      </c>
      <c r="Z28" s="22">
        <v>18.062999999999999</v>
      </c>
      <c r="AA28" s="22">
        <v>17.408999999999999</v>
      </c>
      <c r="AB28" s="22">
        <v>16.661999999999999</v>
      </c>
      <c r="AC28" s="22">
        <v>16.888999999999999</v>
      </c>
      <c r="AD28" s="22">
        <v>16.797999999999998</v>
      </c>
      <c r="AE28" s="22">
        <v>17.094000000000001</v>
      </c>
      <c r="AF28" s="22">
        <v>17.289000000000001</v>
      </c>
      <c r="AG28" s="22">
        <v>16.571000000000002</v>
      </c>
      <c r="AH28" s="22">
        <v>16.72</v>
      </c>
      <c r="AI28" s="22">
        <v>16.881</v>
      </c>
      <c r="AJ28" s="22">
        <v>16.881</v>
      </c>
      <c r="AK28" s="22">
        <v>16.681999999999999</v>
      </c>
      <c r="AL28" s="22">
        <v>17.006</v>
      </c>
      <c r="AM28" s="22">
        <v>17.364000000000001</v>
      </c>
      <c r="AN28" s="22">
        <v>17.606000000000002</v>
      </c>
      <c r="AO28" s="22">
        <v>18.015999999999998</v>
      </c>
      <c r="AP28" s="22">
        <v>18.085999999999999</v>
      </c>
      <c r="AQ28" s="22">
        <v>18.361000000000001</v>
      </c>
      <c r="AR28" s="22">
        <v>18.838999999999999</v>
      </c>
      <c r="AS28" s="22">
        <v>19.954000000000001</v>
      </c>
      <c r="AT28" s="22">
        <v>21.178999999999998</v>
      </c>
      <c r="AU28" s="22">
        <v>22.661999999999999</v>
      </c>
      <c r="AV28" s="22">
        <v>26.600999999999999</v>
      </c>
      <c r="AW28" s="22">
        <v>38.058</v>
      </c>
      <c r="AX28" s="22">
        <v>41.225999999999999</v>
      </c>
      <c r="AY28" s="22">
        <v>42.466999999999999</v>
      </c>
      <c r="AZ28" s="22">
        <v>46.209000000000003</v>
      </c>
      <c r="BA28" s="22">
        <v>49.466000000000001</v>
      </c>
      <c r="BB28" s="22">
        <v>57.93</v>
      </c>
      <c r="BC28" s="22">
        <v>72.165999999999997</v>
      </c>
      <c r="BD28" s="22">
        <v>76.066000000000003</v>
      </c>
      <c r="BE28" s="22">
        <v>73.506</v>
      </c>
      <c r="BF28" s="22">
        <v>70.751000000000005</v>
      </c>
      <c r="BG28" s="22">
        <v>70.138999999999996</v>
      </c>
      <c r="BH28" s="22">
        <v>67.835999999999999</v>
      </c>
      <c r="BI28" s="22">
        <v>67.834000000000003</v>
      </c>
      <c r="BJ28" s="22">
        <v>71.935000000000002</v>
      </c>
      <c r="BK28" s="22">
        <v>75.376999999999995</v>
      </c>
      <c r="BL28" s="22">
        <v>77.024000000000001</v>
      </c>
      <c r="BM28" s="22">
        <v>79.233000000000004</v>
      </c>
      <c r="BN28" s="22">
        <v>78.572999999999993</v>
      </c>
      <c r="BO28" s="22">
        <v>78.635999999999996</v>
      </c>
      <c r="BP28" s="22">
        <v>78.033000000000001</v>
      </c>
      <c r="BQ28" s="22">
        <v>78.766000000000005</v>
      </c>
      <c r="BR28" s="22">
        <v>80.924000000000007</v>
      </c>
      <c r="BS28" s="22">
        <v>79.513999999999996</v>
      </c>
      <c r="BT28" s="22">
        <v>76.75</v>
      </c>
      <c r="BU28" s="22">
        <v>72.617999999999995</v>
      </c>
      <c r="BV28" s="22">
        <v>73.019000000000005</v>
      </c>
      <c r="BW28" s="22">
        <v>76.221000000000004</v>
      </c>
      <c r="BX28" s="22">
        <v>74.222999999999999</v>
      </c>
      <c r="BY28" s="22">
        <v>73.242000000000004</v>
      </c>
      <c r="BZ28" s="22">
        <v>75.453999999999994</v>
      </c>
      <c r="CA28" s="22">
        <v>79.06</v>
      </c>
      <c r="CB28" s="22">
        <v>83.703000000000003</v>
      </c>
      <c r="CC28" s="22">
        <v>86.909000000000006</v>
      </c>
      <c r="CD28" s="22">
        <v>89.921000000000006</v>
      </c>
      <c r="CE28" s="22">
        <v>98.96</v>
      </c>
      <c r="CF28" s="22">
        <v>87.986999999999995</v>
      </c>
      <c r="CG28" s="22">
        <v>92.783000000000001</v>
      </c>
      <c r="CH28" s="22">
        <v>99.825999999999993</v>
      </c>
      <c r="CI28" s="22">
        <v>100</v>
      </c>
      <c r="CJ28" s="22">
        <v>98.635999999999996</v>
      </c>
      <c r="CK28" s="22">
        <v>97.853999999999999</v>
      </c>
      <c r="CL28" s="22">
        <v>90.001000000000005</v>
      </c>
      <c r="CM28" s="22">
        <v>86.867000000000004</v>
      </c>
      <c r="CN28" s="22">
        <v>88.771000000000001</v>
      </c>
      <c r="CO28" s="22">
        <v>91.334000000000003</v>
      </c>
      <c r="CP28" s="22">
        <v>89.986000000000004</v>
      </c>
      <c r="CQ28" s="22">
        <v>87.891000000000005</v>
      </c>
      <c r="CR28" s="22">
        <v>94.613</v>
      </c>
    </row>
    <row r="29" spans="1:96" x14ac:dyDescent="0.25">
      <c r="A29" t="s">
        <v>243</v>
      </c>
      <c r="B29" t="s">
        <v>235</v>
      </c>
      <c r="C29" t="s">
        <v>244</v>
      </c>
      <c r="D29" s="22">
        <v>9.673</v>
      </c>
      <c r="E29" s="22">
        <v>7.9820000000000002</v>
      </c>
      <c r="F29" s="22">
        <v>6.242</v>
      </c>
      <c r="G29" s="22">
        <v>4.8920000000000003</v>
      </c>
      <c r="H29" s="22">
        <v>4.8949999999999996</v>
      </c>
      <c r="I29" s="22">
        <v>5.5890000000000004</v>
      </c>
      <c r="J29" s="22">
        <v>5.68</v>
      </c>
      <c r="K29" s="22">
        <v>6.0970000000000004</v>
      </c>
      <c r="L29" s="22">
        <v>6.8129999999999997</v>
      </c>
      <c r="M29" s="22">
        <v>6.1070000000000002</v>
      </c>
      <c r="N29" s="22">
        <v>6.218</v>
      </c>
      <c r="O29" s="22">
        <v>6.6369999999999996</v>
      </c>
      <c r="P29" s="22">
        <v>7.1180000000000003</v>
      </c>
      <c r="Q29" s="22">
        <v>8.2460000000000004</v>
      </c>
      <c r="R29" s="22">
        <v>8.9410000000000007</v>
      </c>
      <c r="S29" s="22">
        <v>9.5489999999999995</v>
      </c>
      <c r="T29" s="22">
        <v>9.782</v>
      </c>
      <c r="U29" s="22">
        <v>11.02</v>
      </c>
      <c r="V29" s="22">
        <v>13.532</v>
      </c>
      <c r="W29" s="22">
        <v>14.943</v>
      </c>
      <c r="X29" s="22">
        <v>14.146000000000001</v>
      </c>
      <c r="Y29" s="22">
        <v>15.302</v>
      </c>
      <c r="Z29" s="22">
        <v>19.21</v>
      </c>
      <c r="AA29" s="22">
        <v>18.263000000000002</v>
      </c>
      <c r="AB29" s="22">
        <v>17.48</v>
      </c>
      <c r="AC29" s="22">
        <v>17.856000000000002</v>
      </c>
      <c r="AD29" s="22">
        <v>17.808</v>
      </c>
      <c r="AE29" s="22">
        <v>18.157</v>
      </c>
      <c r="AF29" s="22">
        <v>18.318999999999999</v>
      </c>
      <c r="AG29" s="22">
        <v>17.361999999999998</v>
      </c>
      <c r="AH29" s="22">
        <v>17.488</v>
      </c>
      <c r="AI29" s="22">
        <v>17.675000000000001</v>
      </c>
      <c r="AJ29" s="22">
        <v>17.506</v>
      </c>
      <c r="AK29" s="22">
        <v>17.088000000000001</v>
      </c>
      <c r="AL29" s="22">
        <v>17.245000000000001</v>
      </c>
      <c r="AM29" s="22">
        <v>17.71</v>
      </c>
      <c r="AN29" s="22">
        <v>17.797999999999998</v>
      </c>
      <c r="AO29" s="22">
        <v>18.199000000000002</v>
      </c>
      <c r="AP29" s="22">
        <v>18.225000000000001</v>
      </c>
      <c r="AQ29" s="22">
        <v>18.47</v>
      </c>
      <c r="AR29" s="22">
        <v>18.989999999999998</v>
      </c>
      <c r="AS29" s="22">
        <v>20.280999999999999</v>
      </c>
      <c r="AT29" s="22">
        <v>21.32</v>
      </c>
      <c r="AU29" s="22">
        <v>22.954000000000001</v>
      </c>
      <c r="AV29" s="22">
        <v>27.055</v>
      </c>
      <c r="AW29" s="22">
        <v>40.485999999999997</v>
      </c>
      <c r="AX29" s="22">
        <v>43.878</v>
      </c>
      <c r="AY29" s="22">
        <v>45.051000000000002</v>
      </c>
      <c r="AZ29" s="22">
        <v>49.177999999999997</v>
      </c>
      <c r="BA29" s="22">
        <v>52.45</v>
      </c>
      <c r="BB29" s="22">
        <v>61.853999999999999</v>
      </c>
      <c r="BC29" s="22">
        <v>78.061000000000007</v>
      </c>
      <c r="BD29" s="22">
        <v>82.433000000000007</v>
      </c>
      <c r="BE29" s="22">
        <v>79.108999999999995</v>
      </c>
      <c r="BF29" s="22">
        <v>75.802000000000007</v>
      </c>
      <c r="BG29" s="22">
        <v>75.28</v>
      </c>
      <c r="BH29" s="22">
        <v>72.317999999999998</v>
      </c>
      <c r="BI29" s="22">
        <v>70.697999999999993</v>
      </c>
      <c r="BJ29" s="22">
        <v>75.73</v>
      </c>
      <c r="BK29" s="22">
        <v>79.337999999999994</v>
      </c>
      <c r="BL29" s="22">
        <v>81.558000000000007</v>
      </c>
      <c r="BM29" s="22">
        <v>83.055999999999997</v>
      </c>
      <c r="BN29" s="22">
        <v>81.486000000000004</v>
      </c>
      <c r="BO29" s="22">
        <v>81.040000000000006</v>
      </c>
      <c r="BP29" s="22">
        <v>80.134</v>
      </c>
      <c r="BQ29" s="22">
        <v>80.718000000000004</v>
      </c>
      <c r="BR29" s="22">
        <v>82.87</v>
      </c>
      <c r="BS29" s="22">
        <v>80.77</v>
      </c>
      <c r="BT29" s="22">
        <v>77.433999999999997</v>
      </c>
      <c r="BU29" s="22">
        <v>72.757000000000005</v>
      </c>
      <c r="BV29" s="22">
        <v>72.8</v>
      </c>
      <c r="BW29" s="22">
        <v>76.641000000000005</v>
      </c>
      <c r="BX29" s="22">
        <v>74.463999999999999</v>
      </c>
      <c r="BY29" s="22">
        <v>73.096999999999994</v>
      </c>
      <c r="BZ29" s="22">
        <v>74.686999999999998</v>
      </c>
      <c r="CA29" s="22">
        <v>78.231999999999999</v>
      </c>
      <c r="CB29" s="22">
        <v>83.183000000000007</v>
      </c>
      <c r="CC29" s="22">
        <v>86.528000000000006</v>
      </c>
      <c r="CD29" s="22">
        <v>89.429000000000002</v>
      </c>
      <c r="CE29" s="22">
        <v>99.233999999999995</v>
      </c>
      <c r="CF29" s="22">
        <v>86.628</v>
      </c>
      <c r="CG29" s="22">
        <v>92.052000000000007</v>
      </c>
      <c r="CH29" s="22">
        <v>99.912999999999997</v>
      </c>
      <c r="CI29" s="22">
        <v>100</v>
      </c>
      <c r="CJ29" s="22">
        <v>98.054000000000002</v>
      </c>
      <c r="CK29" s="22">
        <v>96.738</v>
      </c>
      <c r="CL29" s="22">
        <v>87.596999999999994</v>
      </c>
      <c r="CM29" s="22">
        <v>83.888000000000005</v>
      </c>
      <c r="CN29" s="22">
        <v>85.742000000000004</v>
      </c>
      <c r="CO29" s="22">
        <v>88.183000000000007</v>
      </c>
      <c r="CP29" s="22">
        <v>86.393000000000001</v>
      </c>
      <c r="CQ29" s="22">
        <v>83.972999999999999</v>
      </c>
      <c r="CR29" s="22">
        <v>90.536000000000001</v>
      </c>
    </row>
    <row r="30" spans="1:96" x14ac:dyDescent="0.25">
      <c r="A30" t="s">
        <v>245</v>
      </c>
      <c r="B30" t="s">
        <v>238</v>
      </c>
      <c r="C30" t="s">
        <v>246</v>
      </c>
      <c r="D30" s="22">
        <v>8.8559999999999999</v>
      </c>
      <c r="E30" s="22">
        <v>8.4789999999999992</v>
      </c>
      <c r="F30" s="22">
        <v>7.5289999999999999</v>
      </c>
      <c r="G30" s="22">
        <v>6.3810000000000002</v>
      </c>
      <c r="H30" s="22">
        <v>5.4</v>
      </c>
      <c r="I30" s="22">
        <v>6.0250000000000004</v>
      </c>
      <c r="J30" s="22">
        <v>6.1319999999999997</v>
      </c>
      <c r="K30" s="22">
        <v>6.4669999999999996</v>
      </c>
      <c r="L30" s="22">
        <v>7.18</v>
      </c>
      <c r="M30" s="22">
        <v>7.4109999999999996</v>
      </c>
      <c r="N30" s="22">
        <v>8.5939999999999994</v>
      </c>
      <c r="O30" s="22">
        <v>9.1440000000000001</v>
      </c>
      <c r="P30" s="22">
        <v>9.1419999999999995</v>
      </c>
      <c r="Q30" s="22">
        <v>10.220000000000001</v>
      </c>
      <c r="R30" s="22">
        <v>10.896000000000001</v>
      </c>
      <c r="S30" s="22">
        <v>11.215999999999999</v>
      </c>
      <c r="T30" s="22">
        <v>11.577999999999999</v>
      </c>
      <c r="U30" s="22">
        <v>12.646000000000001</v>
      </c>
      <c r="V30" s="22">
        <v>14.128</v>
      </c>
      <c r="W30" s="22">
        <v>14.627000000000001</v>
      </c>
      <c r="X30" s="22">
        <v>14.222</v>
      </c>
      <c r="Y30" s="22">
        <v>14.25</v>
      </c>
      <c r="Z30" s="22">
        <v>15.092000000000001</v>
      </c>
      <c r="AA30" s="22">
        <v>15.124000000000001</v>
      </c>
      <c r="AB30" s="22">
        <v>14.472</v>
      </c>
      <c r="AC30" s="22">
        <v>14.432</v>
      </c>
      <c r="AD30" s="22">
        <v>14.278</v>
      </c>
      <c r="AE30" s="22">
        <v>14.471</v>
      </c>
      <c r="AF30" s="22">
        <v>14.71</v>
      </c>
      <c r="AG30" s="22">
        <v>14.404999999999999</v>
      </c>
      <c r="AH30" s="22">
        <v>14.583</v>
      </c>
      <c r="AI30" s="22">
        <v>14.691000000000001</v>
      </c>
      <c r="AJ30" s="22">
        <v>14.974</v>
      </c>
      <c r="AK30" s="22">
        <v>15.17</v>
      </c>
      <c r="AL30" s="22">
        <v>15.792999999999999</v>
      </c>
      <c r="AM30" s="22">
        <v>15.927</v>
      </c>
      <c r="AN30" s="22">
        <v>16.483000000000001</v>
      </c>
      <c r="AO30" s="22">
        <v>16.896000000000001</v>
      </c>
      <c r="AP30" s="22">
        <v>17.059999999999999</v>
      </c>
      <c r="AQ30" s="22">
        <v>17.393000000000001</v>
      </c>
      <c r="AR30" s="22">
        <v>17.747</v>
      </c>
      <c r="AS30" s="22">
        <v>18.38</v>
      </c>
      <c r="AT30" s="22">
        <v>20.045000000000002</v>
      </c>
      <c r="AU30" s="22">
        <v>21.042999999999999</v>
      </c>
      <c r="AV30" s="22">
        <v>24.341000000000001</v>
      </c>
      <c r="AW30" s="22">
        <v>28.946999999999999</v>
      </c>
      <c r="AX30" s="22">
        <v>31.294</v>
      </c>
      <c r="AY30" s="22">
        <v>32.707999999999998</v>
      </c>
      <c r="AZ30" s="22">
        <v>35.033000000000001</v>
      </c>
      <c r="BA30" s="22">
        <v>38.215000000000003</v>
      </c>
      <c r="BB30" s="22">
        <v>43.156999999999996</v>
      </c>
      <c r="BC30" s="22">
        <v>50.085999999999999</v>
      </c>
      <c r="BD30" s="22">
        <v>52.264000000000003</v>
      </c>
      <c r="BE30" s="22">
        <v>52.302999999999997</v>
      </c>
      <c r="BF30" s="22">
        <v>51.444000000000003</v>
      </c>
      <c r="BG30" s="22">
        <v>50.56</v>
      </c>
      <c r="BH30" s="22">
        <v>50.497999999999998</v>
      </c>
      <c r="BI30" s="22">
        <v>55.969000000000001</v>
      </c>
      <c r="BJ30" s="22">
        <v>56.762999999999998</v>
      </c>
      <c r="BK30" s="22">
        <v>59.533000000000001</v>
      </c>
      <c r="BL30" s="22">
        <v>59.218000000000004</v>
      </c>
      <c r="BM30" s="22">
        <v>63.655000000000001</v>
      </c>
      <c r="BN30" s="22">
        <v>65.983000000000004</v>
      </c>
      <c r="BO30" s="22">
        <v>67.835999999999999</v>
      </c>
      <c r="BP30" s="22">
        <v>68.411000000000001</v>
      </c>
      <c r="BQ30" s="22">
        <v>69.753</v>
      </c>
      <c r="BR30" s="22">
        <v>71.930999999999997</v>
      </c>
      <c r="BS30" s="22">
        <v>73.725999999999999</v>
      </c>
      <c r="BT30" s="22">
        <v>73.724000000000004</v>
      </c>
      <c r="BU30" s="22">
        <v>72.281999999999996</v>
      </c>
      <c r="BV30" s="22">
        <v>74.537000000000006</v>
      </c>
      <c r="BW30" s="22">
        <v>74.259</v>
      </c>
      <c r="BX30" s="22">
        <v>73.213999999999999</v>
      </c>
      <c r="BY30" s="22">
        <v>74.271000000000001</v>
      </c>
      <c r="BZ30" s="22">
        <v>79.866</v>
      </c>
      <c r="CA30" s="22">
        <v>83.817999999999998</v>
      </c>
      <c r="CB30" s="22">
        <v>86.721000000000004</v>
      </c>
      <c r="CC30" s="22">
        <v>89.134</v>
      </c>
      <c r="CD30" s="22">
        <v>92.77</v>
      </c>
      <c r="CE30" s="22">
        <v>97.798000000000002</v>
      </c>
      <c r="CF30" s="22">
        <v>94.510999999999996</v>
      </c>
      <c r="CG30" s="22">
        <v>96.415999999999997</v>
      </c>
      <c r="CH30" s="22">
        <v>99.391999999999996</v>
      </c>
      <c r="CI30" s="22">
        <v>100</v>
      </c>
      <c r="CJ30" s="22">
        <v>101.575</v>
      </c>
      <c r="CK30" s="22">
        <v>103.55800000000001</v>
      </c>
      <c r="CL30" s="22">
        <v>102.45699999999999</v>
      </c>
      <c r="CM30" s="22">
        <v>102.357</v>
      </c>
      <c r="CN30" s="22">
        <v>104.521</v>
      </c>
      <c r="CO30" s="22">
        <v>107.72499999999999</v>
      </c>
      <c r="CP30" s="22">
        <v>108.77</v>
      </c>
      <c r="CQ30" s="22">
        <v>108.47499999999999</v>
      </c>
      <c r="CR30" s="22">
        <v>115.53400000000001</v>
      </c>
    </row>
    <row r="31" spans="1:96" x14ac:dyDescent="0.25">
      <c r="A31" t="s">
        <v>247</v>
      </c>
      <c r="B31" t="s">
        <v>248</v>
      </c>
      <c r="C31" t="s">
        <v>249</v>
      </c>
      <c r="D31" s="22">
        <v>5.3339999999999996</v>
      </c>
      <c r="E31" s="22">
        <v>5.1710000000000003</v>
      </c>
      <c r="F31" s="22">
        <v>4.9160000000000004</v>
      </c>
      <c r="G31" s="22">
        <v>4.468</v>
      </c>
      <c r="H31" s="22">
        <v>4.5789999999999997</v>
      </c>
      <c r="I31" s="22">
        <v>4.923</v>
      </c>
      <c r="J31" s="22">
        <v>4.9660000000000002</v>
      </c>
      <c r="K31" s="22">
        <v>5.1559999999999997</v>
      </c>
      <c r="L31" s="22">
        <v>5.2539999999999996</v>
      </c>
      <c r="M31" s="22">
        <v>5.274</v>
      </c>
      <c r="N31" s="22">
        <v>5.1870000000000003</v>
      </c>
      <c r="O31" s="22">
        <v>5.1379999999999999</v>
      </c>
      <c r="P31" s="22">
        <v>5.4610000000000003</v>
      </c>
      <c r="Q31" s="22">
        <v>5.5270000000000001</v>
      </c>
      <c r="R31" s="22">
        <v>5.5229999999999997</v>
      </c>
      <c r="S31" s="22">
        <v>5.4530000000000003</v>
      </c>
      <c r="T31" s="22">
        <v>5.51</v>
      </c>
      <c r="U31" s="22">
        <v>6.9859999999999998</v>
      </c>
      <c r="V31" s="22">
        <v>7.6210000000000004</v>
      </c>
      <c r="W31" s="22">
        <v>7.93</v>
      </c>
      <c r="X31" s="22">
        <v>8.1509999999999998</v>
      </c>
      <c r="Y31" s="22">
        <v>8.234</v>
      </c>
      <c r="Z31" s="22">
        <v>8.7379999999999995</v>
      </c>
      <c r="AA31" s="22">
        <v>8.9179999999999993</v>
      </c>
      <c r="AB31" s="22">
        <v>9.0169999999999995</v>
      </c>
      <c r="AC31" s="22">
        <v>9.2089999999999996</v>
      </c>
      <c r="AD31" s="22">
        <v>9.5679999999999996</v>
      </c>
      <c r="AE31" s="22">
        <v>10.082000000000001</v>
      </c>
      <c r="AF31" s="22">
        <v>10.52</v>
      </c>
      <c r="AG31" s="22">
        <v>10.840999999999999</v>
      </c>
      <c r="AH31" s="22">
        <v>10.973000000000001</v>
      </c>
      <c r="AI31" s="22">
        <v>11.093999999999999</v>
      </c>
      <c r="AJ31" s="22">
        <v>11.286</v>
      </c>
      <c r="AK31" s="22">
        <v>11.497999999999999</v>
      </c>
      <c r="AL31" s="22">
        <v>11.779</v>
      </c>
      <c r="AM31" s="22">
        <v>12.087999999999999</v>
      </c>
      <c r="AN31" s="22">
        <v>12.417</v>
      </c>
      <c r="AO31" s="22">
        <v>12.911</v>
      </c>
      <c r="AP31" s="22">
        <v>13.353</v>
      </c>
      <c r="AQ31" s="22">
        <v>14.068</v>
      </c>
      <c r="AR31" s="22">
        <v>14.891999999999999</v>
      </c>
      <c r="AS31" s="22">
        <v>16.077999999999999</v>
      </c>
      <c r="AT31" s="22">
        <v>17.352</v>
      </c>
      <c r="AU31" s="22">
        <v>18.661999999999999</v>
      </c>
      <c r="AV31" s="22">
        <v>19.936</v>
      </c>
      <c r="AW31" s="22">
        <v>21.852</v>
      </c>
      <c r="AX31" s="22">
        <v>23.87</v>
      </c>
      <c r="AY31" s="22">
        <v>25.181000000000001</v>
      </c>
      <c r="AZ31" s="22">
        <v>26.739000000000001</v>
      </c>
      <c r="BA31" s="22">
        <v>28.507000000000001</v>
      </c>
      <c r="BB31" s="22">
        <v>30.853000000000002</v>
      </c>
      <c r="BC31" s="22">
        <v>34.045000000000002</v>
      </c>
      <c r="BD31" s="22">
        <v>37.423999999999999</v>
      </c>
      <c r="BE31" s="22">
        <v>39.969000000000001</v>
      </c>
      <c r="BF31" s="22">
        <v>41.515999999999998</v>
      </c>
      <c r="BG31" s="22">
        <v>43.317</v>
      </c>
      <c r="BH31" s="22">
        <v>44.658999999999999</v>
      </c>
      <c r="BI31" s="22">
        <v>45.408999999999999</v>
      </c>
      <c r="BJ31" s="22">
        <v>46.634999999999998</v>
      </c>
      <c r="BK31" s="22">
        <v>48.177</v>
      </c>
      <c r="BL31" s="22">
        <v>50.015999999999998</v>
      </c>
      <c r="BM31" s="22">
        <v>52.113</v>
      </c>
      <c r="BN31" s="22">
        <v>54.005000000000003</v>
      </c>
      <c r="BO31" s="22">
        <v>55.642000000000003</v>
      </c>
      <c r="BP31" s="22">
        <v>56.953000000000003</v>
      </c>
      <c r="BQ31" s="22">
        <v>58.463000000000001</v>
      </c>
      <c r="BR31" s="22">
        <v>60.122999999999998</v>
      </c>
      <c r="BS31" s="22">
        <v>61.354999999999997</v>
      </c>
      <c r="BT31" s="22">
        <v>62.56</v>
      </c>
      <c r="BU31" s="22">
        <v>63.624000000000002</v>
      </c>
      <c r="BV31" s="22">
        <v>65.778000000000006</v>
      </c>
      <c r="BW31" s="22">
        <v>68.600999999999999</v>
      </c>
      <c r="BX31" s="22">
        <v>70.566999999999993</v>
      </c>
      <c r="BY31" s="22">
        <v>72.393000000000001</v>
      </c>
      <c r="BZ31" s="22">
        <v>75.028000000000006</v>
      </c>
      <c r="CA31" s="22">
        <v>78.153000000000006</v>
      </c>
      <c r="CB31" s="22">
        <v>82.11</v>
      </c>
      <c r="CC31" s="22">
        <v>85.661000000000001</v>
      </c>
      <c r="CD31" s="22">
        <v>89.491</v>
      </c>
      <c r="CE31" s="22">
        <v>93.308000000000007</v>
      </c>
      <c r="CF31" s="22">
        <v>92.930999999999997</v>
      </c>
      <c r="CG31" s="22">
        <v>95.385999999999996</v>
      </c>
      <c r="CH31" s="22">
        <v>98.284999999999997</v>
      </c>
      <c r="CI31" s="22">
        <v>100</v>
      </c>
      <c r="CJ31" s="22">
        <v>102.33199999999999</v>
      </c>
      <c r="CK31" s="22">
        <v>104.435</v>
      </c>
      <c r="CL31" s="22">
        <v>104.598</v>
      </c>
      <c r="CM31" s="22">
        <v>104.926</v>
      </c>
      <c r="CN31" s="22">
        <v>107.398</v>
      </c>
      <c r="CO31" s="22">
        <v>111.312</v>
      </c>
      <c r="CP31" s="22">
        <v>113.43899999999999</v>
      </c>
      <c r="CQ31" s="22">
        <v>114.68</v>
      </c>
      <c r="CR31" s="22">
        <v>120.039</v>
      </c>
    </row>
    <row r="32" spans="1:96" x14ac:dyDescent="0.25">
      <c r="A32" t="s">
        <v>250</v>
      </c>
      <c r="B32" t="s">
        <v>251</v>
      </c>
      <c r="C32" t="s">
        <v>252</v>
      </c>
      <c r="D32" s="22">
        <v>6.5620000000000003</v>
      </c>
      <c r="E32" s="22">
        <v>6.27</v>
      </c>
      <c r="F32" s="22">
        <v>6.2290000000000001</v>
      </c>
      <c r="G32" s="22">
        <v>5.9189999999999996</v>
      </c>
      <c r="H32" s="22">
        <v>5.9630000000000001</v>
      </c>
      <c r="I32" s="22">
        <v>6.3620000000000001</v>
      </c>
      <c r="J32" s="22">
        <v>6.4059999999999997</v>
      </c>
      <c r="K32" s="22">
        <v>6.9669999999999996</v>
      </c>
      <c r="L32" s="22">
        <v>7.06</v>
      </c>
      <c r="M32" s="22">
        <v>7.1470000000000002</v>
      </c>
      <c r="N32" s="22">
        <v>7.0250000000000004</v>
      </c>
      <c r="O32" s="22">
        <v>6.8019999999999996</v>
      </c>
      <c r="P32" s="22">
        <v>7.1950000000000003</v>
      </c>
      <c r="Q32" s="22">
        <v>7.1539999999999999</v>
      </c>
      <c r="R32" s="22">
        <v>7.0910000000000002</v>
      </c>
      <c r="S32" s="22">
        <v>6.968</v>
      </c>
      <c r="T32" s="22">
        <v>7.0229999999999997</v>
      </c>
      <c r="U32" s="22">
        <v>9.1950000000000003</v>
      </c>
      <c r="V32" s="22">
        <v>9.8940000000000001</v>
      </c>
      <c r="W32" s="22">
        <v>9.8719999999999999</v>
      </c>
      <c r="X32" s="22">
        <v>10.266</v>
      </c>
      <c r="Y32" s="22">
        <v>10.393000000000001</v>
      </c>
      <c r="Z32" s="22">
        <v>10.811</v>
      </c>
      <c r="AA32" s="22">
        <v>10.93</v>
      </c>
      <c r="AB32" s="22">
        <v>11.016</v>
      </c>
      <c r="AC32" s="22">
        <v>11.279</v>
      </c>
      <c r="AD32" s="22">
        <v>11.823</v>
      </c>
      <c r="AE32" s="22">
        <v>12.396000000000001</v>
      </c>
      <c r="AF32" s="22">
        <v>12.938000000000001</v>
      </c>
      <c r="AG32" s="22">
        <v>13.446</v>
      </c>
      <c r="AH32" s="22">
        <v>13.561</v>
      </c>
      <c r="AI32" s="22">
        <v>13.656000000000001</v>
      </c>
      <c r="AJ32" s="22">
        <v>13.818</v>
      </c>
      <c r="AK32" s="22">
        <v>14.013</v>
      </c>
      <c r="AL32" s="22">
        <v>14.365</v>
      </c>
      <c r="AM32" s="22">
        <v>14.811</v>
      </c>
      <c r="AN32" s="22">
        <v>15.18</v>
      </c>
      <c r="AO32" s="22">
        <v>15.692</v>
      </c>
      <c r="AP32" s="22">
        <v>16.042000000000002</v>
      </c>
      <c r="AQ32" s="22">
        <v>16.849</v>
      </c>
      <c r="AR32" s="22">
        <v>17.715</v>
      </c>
      <c r="AS32" s="22">
        <v>19.109000000000002</v>
      </c>
      <c r="AT32" s="22">
        <v>20.67</v>
      </c>
      <c r="AU32" s="22">
        <v>22.484999999999999</v>
      </c>
      <c r="AV32" s="22">
        <v>24.050999999999998</v>
      </c>
      <c r="AW32" s="22">
        <v>25.971</v>
      </c>
      <c r="AX32" s="22">
        <v>28.254000000000001</v>
      </c>
      <c r="AY32" s="22">
        <v>30.012</v>
      </c>
      <c r="AZ32" s="22">
        <v>31.858000000000001</v>
      </c>
      <c r="BA32" s="22">
        <v>34.008000000000003</v>
      </c>
      <c r="BB32" s="22">
        <v>36.566000000000003</v>
      </c>
      <c r="BC32" s="22">
        <v>40.098999999999997</v>
      </c>
      <c r="BD32" s="22">
        <v>43.843000000000004</v>
      </c>
      <c r="BE32" s="22">
        <v>46.942999999999998</v>
      </c>
      <c r="BF32" s="22">
        <v>48.499000000000002</v>
      </c>
      <c r="BG32" s="22">
        <v>50.637</v>
      </c>
      <c r="BH32" s="22">
        <v>51.712000000000003</v>
      </c>
      <c r="BI32" s="22">
        <v>51.957000000000001</v>
      </c>
      <c r="BJ32" s="22">
        <v>52.317999999999998</v>
      </c>
      <c r="BK32" s="22">
        <v>54.024999999999999</v>
      </c>
      <c r="BL32" s="22">
        <v>55.533999999999999</v>
      </c>
      <c r="BM32" s="22">
        <v>57.25</v>
      </c>
      <c r="BN32" s="22">
        <v>59.308999999999997</v>
      </c>
      <c r="BO32" s="22">
        <v>60.823999999999998</v>
      </c>
      <c r="BP32" s="22">
        <v>62.151000000000003</v>
      </c>
      <c r="BQ32" s="22">
        <v>63.860999999999997</v>
      </c>
      <c r="BR32" s="22">
        <v>65.837999999999994</v>
      </c>
      <c r="BS32" s="22">
        <v>66.936999999999998</v>
      </c>
      <c r="BT32" s="22">
        <v>67.971999999999994</v>
      </c>
      <c r="BU32" s="22">
        <v>68.840999999999994</v>
      </c>
      <c r="BV32" s="22">
        <v>70.519000000000005</v>
      </c>
      <c r="BW32" s="22">
        <v>72.885999999999996</v>
      </c>
      <c r="BX32" s="22">
        <v>74.236000000000004</v>
      </c>
      <c r="BY32" s="22">
        <v>76.631</v>
      </c>
      <c r="BZ32" s="22">
        <v>80.007999999999996</v>
      </c>
      <c r="CA32" s="22">
        <v>82.76</v>
      </c>
      <c r="CB32" s="22">
        <v>86.203999999999994</v>
      </c>
      <c r="CC32" s="22">
        <v>88.948999999999998</v>
      </c>
      <c r="CD32" s="22">
        <v>91.588999999999999</v>
      </c>
      <c r="CE32" s="22">
        <v>94.381</v>
      </c>
      <c r="CF32" s="22">
        <v>94.213999999999999</v>
      </c>
      <c r="CG32" s="22">
        <v>96.421000000000006</v>
      </c>
      <c r="CH32" s="22">
        <v>99.07</v>
      </c>
      <c r="CI32" s="22">
        <v>100</v>
      </c>
      <c r="CJ32" s="22">
        <v>100.931</v>
      </c>
      <c r="CK32" s="22">
        <v>102.63200000000001</v>
      </c>
      <c r="CL32" s="22">
        <v>103.128</v>
      </c>
      <c r="CM32" s="22">
        <v>103.711</v>
      </c>
      <c r="CN32" s="22">
        <v>105.843</v>
      </c>
      <c r="CO32" s="22">
        <v>109.089</v>
      </c>
      <c r="CP32" s="22">
        <v>111.11</v>
      </c>
      <c r="CQ32" s="22">
        <v>111.396</v>
      </c>
      <c r="CR32" s="22">
        <v>116.04900000000001</v>
      </c>
    </row>
    <row r="33" spans="1:96" x14ac:dyDescent="0.25">
      <c r="A33" t="s">
        <v>253</v>
      </c>
      <c r="B33" t="s">
        <v>254</v>
      </c>
      <c r="C33" t="s">
        <v>255</v>
      </c>
      <c r="D33" s="22">
        <v>6.3769999999999998</v>
      </c>
      <c r="E33" s="22">
        <v>6.1790000000000003</v>
      </c>
      <c r="F33" s="22">
        <v>6.1</v>
      </c>
      <c r="G33" s="22">
        <v>5.9489999999999998</v>
      </c>
      <c r="H33" s="22">
        <v>5.91</v>
      </c>
      <c r="I33" s="22">
        <v>6.1760000000000002</v>
      </c>
      <c r="J33" s="22">
        <v>6.383</v>
      </c>
      <c r="K33" s="22">
        <v>6.5309999999999997</v>
      </c>
      <c r="L33" s="22">
        <v>6.6849999999999996</v>
      </c>
      <c r="M33" s="22">
        <v>6.6989999999999998</v>
      </c>
      <c r="N33" s="22">
        <v>6.6959999999999997</v>
      </c>
      <c r="O33" s="22">
        <v>6.4859999999999998</v>
      </c>
      <c r="P33" s="22">
        <v>6.8879999999999999</v>
      </c>
      <c r="Q33" s="22">
        <v>6.7350000000000003</v>
      </c>
      <c r="R33" s="22">
        <v>6.6539999999999999</v>
      </c>
      <c r="S33" s="22">
        <v>6.524</v>
      </c>
      <c r="T33" s="22">
        <v>6.5720000000000001</v>
      </c>
      <c r="U33" s="22">
        <v>8.7449999999999992</v>
      </c>
      <c r="V33" s="22">
        <v>9.5739999999999998</v>
      </c>
      <c r="W33" s="22">
        <v>9.6050000000000004</v>
      </c>
      <c r="X33" s="22">
        <v>9.9250000000000007</v>
      </c>
      <c r="Y33" s="22">
        <v>10.138</v>
      </c>
      <c r="Z33" s="22">
        <v>10.45</v>
      </c>
      <c r="AA33" s="22">
        <v>10.507</v>
      </c>
      <c r="AB33" s="22">
        <v>10.545999999999999</v>
      </c>
      <c r="AC33" s="22">
        <v>10.82</v>
      </c>
      <c r="AD33" s="22">
        <v>11.366</v>
      </c>
      <c r="AE33" s="22">
        <v>11.986000000000001</v>
      </c>
      <c r="AF33" s="22">
        <v>12.512</v>
      </c>
      <c r="AG33" s="22">
        <v>12.981999999999999</v>
      </c>
      <c r="AH33" s="22">
        <v>13.071999999999999</v>
      </c>
      <c r="AI33" s="22">
        <v>13.163</v>
      </c>
      <c r="AJ33" s="22">
        <v>13.276</v>
      </c>
      <c r="AK33" s="22">
        <v>13.438000000000001</v>
      </c>
      <c r="AL33" s="22">
        <v>13.795</v>
      </c>
      <c r="AM33" s="22">
        <v>14.186</v>
      </c>
      <c r="AN33" s="22">
        <v>14.557</v>
      </c>
      <c r="AO33" s="22">
        <v>15.066000000000001</v>
      </c>
      <c r="AP33" s="22">
        <v>15.426</v>
      </c>
      <c r="AQ33" s="22">
        <v>16.196000000000002</v>
      </c>
      <c r="AR33" s="22">
        <v>17.018999999999998</v>
      </c>
      <c r="AS33" s="22">
        <v>18.294</v>
      </c>
      <c r="AT33" s="22">
        <v>19.817</v>
      </c>
      <c r="AU33" s="22">
        <v>21.882999999999999</v>
      </c>
      <c r="AV33" s="22">
        <v>23.484000000000002</v>
      </c>
      <c r="AW33" s="22">
        <v>25.404</v>
      </c>
      <c r="AX33" s="22">
        <v>27.545000000000002</v>
      </c>
      <c r="AY33" s="22">
        <v>29.344999999999999</v>
      </c>
      <c r="AZ33" s="22">
        <v>31.268000000000001</v>
      </c>
      <c r="BA33" s="22">
        <v>33.561</v>
      </c>
      <c r="BB33" s="22">
        <v>36.216000000000001</v>
      </c>
      <c r="BC33" s="22">
        <v>39.918999999999997</v>
      </c>
      <c r="BD33" s="22">
        <v>43.747</v>
      </c>
      <c r="BE33" s="22">
        <v>47.039000000000001</v>
      </c>
      <c r="BF33" s="22">
        <v>48.777999999999999</v>
      </c>
      <c r="BG33" s="22">
        <v>51.012999999999998</v>
      </c>
      <c r="BH33" s="22">
        <v>51.872</v>
      </c>
      <c r="BI33" s="22">
        <v>51.893999999999998</v>
      </c>
      <c r="BJ33" s="22">
        <v>52.267000000000003</v>
      </c>
      <c r="BK33" s="22">
        <v>53.904000000000003</v>
      </c>
      <c r="BL33" s="22">
        <v>55.365000000000002</v>
      </c>
      <c r="BM33" s="22">
        <v>57.161999999999999</v>
      </c>
      <c r="BN33" s="22">
        <v>58.963999999999999</v>
      </c>
      <c r="BO33" s="22">
        <v>60.677999999999997</v>
      </c>
      <c r="BP33" s="22">
        <v>61.615000000000002</v>
      </c>
      <c r="BQ33" s="22">
        <v>63.228999999999999</v>
      </c>
      <c r="BR33" s="22">
        <v>65.027000000000001</v>
      </c>
      <c r="BS33" s="22">
        <v>66.114000000000004</v>
      </c>
      <c r="BT33" s="22">
        <v>67.034999999999997</v>
      </c>
      <c r="BU33" s="22">
        <v>67.870999999999995</v>
      </c>
      <c r="BV33" s="22">
        <v>69.558999999999997</v>
      </c>
      <c r="BW33" s="22">
        <v>71.908000000000001</v>
      </c>
      <c r="BX33" s="22">
        <v>73.27</v>
      </c>
      <c r="BY33" s="22">
        <v>75.713999999999999</v>
      </c>
      <c r="BZ33" s="22">
        <v>79.504999999999995</v>
      </c>
      <c r="CA33" s="22">
        <v>82.263000000000005</v>
      </c>
      <c r="CB33" s="22">
        <v>86.010999999999996</v>
      </c>
      <c r="CC33" s="22">
        <v>89.022000000000006</v>
      </c>
      <c r="CD33" s="22">
        <v>91.75</v>
      </c>
      <c r="CE33" s="22">
        <v>94.801000000000002</v>
      </c>
      <c r="CF33" s="22">
        <v>94.126000000000005</v>
      </c>
      <c r="CG33" s="22">
        <v>96.128</v>
      </c>
      <c r="CH33" s="22">
        <v>98.945999999999998</v>
      </c>
      <c r="CI33" s="22">
        <v>100</v>
      </c>
      <c r="CJ33" s="22">
        <v>100.60899999999999</v>
      </c>
      <c r="CK33" s="22">
        <v>102.056</v>
      </c>
      <c r="CL33" s="22">
        <v>102.334</v>
      </c>
      <c r="CM33" s="22">
        <v>102.696</v>
      </c>
      <c r="CN33" s="22">
        <v>104.449</v>
      </c>
      <c r="CO33" s="22">
        <v>107.477</v>
      </c>
      <c r="CP33" s="22">
        <v>109.256</v>
      </c>
      <c r="CQ33" s="22">
        <v>109.64700000000001</v>
      </c>
      <c r="CR33" s="22">
        <v>114.104</v>
      </c>
    </row>
    <row r="34" spans="1:96" x14ac:dyDescent="0.25">
      <c r="A34" t="s">
        <v>256</v>
      </c>
      <c r="B34" t="s">
        <v>257</v>
      </c>
      <c r="C34" t="s">
        <v>258</v>
      </c>
      <c r="D34" s="22">
        <v>6.4660000000000002</v>
      </c>
      <c r="E34" s="22">
        <v>6.0750000000000002</v>
      </c>
      <c r="F34" s="22">
        <v>6.0789999999999997</v>
      </c>
      <c r="G34" s="22">
        <v>5.6150000000000002</v>
      </c>
      <c r="H34" s="22">
        <v>5.726</v>
      </c>
      <c r="I34" s="22">
        <v>6.1749999999999998</v>
      </c>
      <c r="J34" s="22">
        <v>6.1470000000000002</v>
      </c>
      <c r="K34" s="22">
        <v>6.8449999999999998</v>
      </c>
      <c r="L34" s="22">
        <v>6.9130000000000003</v>
      </c>
      <c r="M34" s="22">
        <v>7.024</v>
      </c>
      <c r="N34" s="22">
        <v>6.8630000000000004</v>
      </c>
      <c r="O34" s="22">
        <v>6.6379999999999999</v>
      </c>
      <c r="P34" s="22">
        <v>6.9429999999999996</v>
      </c>
      <c r="Q34" s="22">
        <v>7.8739999999999997</v>
      </c>
      <c r="R34" s="22">
        <v>8.2360000000000007</v>
      </c>
      <c r="S34" s="22">
        <v>8.6229999999999993</v>
      </c>
      <c r="T34" s="22">
        <v>8.8849999999999998</v>
      </c>
      <c r="U34" s="22">
        <v>10.09</v>
      </c>
      <c r="V34" s="22">
        <v>10.079000000000001</v>
      </c>
      <c r="W34" s="22">
        <v>9.8390000000000004</v>
      </c>
      <c r="X34" s="22">
        <v>10.43</v>
      </c>
      <c r="Y34" s="22">
        <v>10.266999999999999</v>
      </c>
      <c r="Z34" s="22">
        <v>11.129</v>
      </c>
      <c r="AA34" s="22">
        <v>11.718</v>
      </c>
      <c r="AB34" s="22">
        <v>12.164999999999999</v>
      </c>
      <c r="AC34" s="22">
        <v>12.286</v>
      </c>
      <c r="AD34" s="22">
        <v>12.707000000000001</v>
      </c>
      <c r="AE34" s="22">
        <v>12.843999999999999</v>
      </c>
      <c r="AF34" s="22">
        <v>13.391999999999999</v>
      </c>
      <c r="AG34" s="22">
        <v>14.083</v>
      </c>
      <c r="AH34" s="22">
        <v>14.384</v>
      </c>
      <c r="AI34" s="22">
        <v>14.49</v>
      </c>
      <c r="AJ34" s="22">
        <v>14.909000000000001</v>
      </c>
      <c r="AK34" s="22">
        <v>15.247999999999999</v>
      </c>
      <c r="AL34" s="22">
        <v>15.542</v>
      </c>
      <c r="AM34" s="22">
        <v>16.175000000000001</v>
      </c>
      <c r="AN34" s="22">
        <v>16.513999999999999</v>
      </c>
      <c r="AO34" s="22">
        <v>17.004999999999999</v>
      </c>
      <c r="AP34" s="22">
        <v>17.289000000000001</v>
      </c>
      <c r="AQ34" s="22">
        <v>18.18</v>
      </c>
      <c r="AR34" s="22">
        <v>19.154</v>
      </c>
      <c r="AS34" s="22">
        <v>20.905999999999999</v>
      </c>
      <c r="AT34" s="22">
        <v>22.521000000000001</v>
      </c>
      <c r="AU34" s="22">
        <v>23.579000000000001</v>
      </c>
      <c r="AV34" s="22">
        <v>25.018000000000001</v>
      </c>
      <c r="AW34" s="22">
        <v>26.904</v>
      </c>
      <c r="AX34" s="22">
        <v>29.484000000000002</v>
      </c>
      <c r="AY34" s="22">
        <v>31.123999999999999</v>
      </c>
      <c r="AZ34" s="22">
        <v>32.781999999999996</v>
      </c>
      <c r="BA34" s="22">
        <v>34.612000000000002</v>
      </c>
      <c r="BB34" s="22">
        <v>36.951999999999998</v>
      </c>
      <c r="BC34" s="22">
        <v>40.106000000000002</v>
      </c>
      <c r="BD34" s="22">
        <v>43.643000000000001</v>
      </c>
      <c r="BE34" s="22">
        <v>46.289000000000001</v>
      </c>
      <c r="BF34" s="22">
        <v>47.396999999999998</v>
      </c>
      <c r="BG34" s="22">
        <v>49.279000000000003</v>
      </c>
      <c r="BH34" s="22">
        <v>50.906999999999996</v>
      </c>
      <c r="BI34" s="22">
        <v>51.747999999999998</v>
      </c>
      <c r="BJ34" s="22">
        <v>52.076000000000001</v>
      </c>
      <c r="BK34" s="22">
        <v>53.973999999999997</v>
      </c>
      <c r="BL34" s="22">
        <v>55.604999999999997</v>
      </c>
      <c r="BM34" s="22">
        <v>57.093000000000004</v>
      </c>
      <c r="BN34" s="22">
        <v>59.786999999999999</v>
      </c>
      <c r="BO34" s="22">
        <v>60.825000000000003</v>
      </c>
      <c r="BP34" s="22">
        <v>62.994</v>
      </c>
      <c r="BQ34" s="22">
        <v>64.897999999999996</v>
      </c>
      <c r="BR34" s="22">
        <v>67.222999999999999</v>
      </c>
      <c r="BS34" s="22">
        <v>68.343999999999994</v>
      </c>
      <c r="BT34" s="22">
        <v>69.590999999999994</v>
      </c>
      <c r="BU34" s="22">
        <v>70.518000000000001</v>
      </c>
      <c r="BV34" s="22">
        <v>72.177999999999997</v>
      </c>
      <c r="BW34" s="22">
        <v>74.578000000000003</v>
      </c>
      <c r="BX34" s="22">
        <v>75.906000000000006</v>
      </c>
      <c r="BY34" s="22">
        <v>78.221999999999994</v>
      </c>
      <c r="BZ34" s="22">
        <v>80.894999999999996</v>
      </c>
      <c r="CA34" s="22">
        <v>83.637</v>
      </c>
      <c r="CB34" s="22">
        <v>86.531000000000006</v>
      </c>
      <c r="CC34" s="22">
        <v>88.799000000000007</v>
      </c>
      <c r="CD34" s="22">
        <v>91.278999999999996</v>
      </c>
      <c r="CE34" s="22">
        <v>93.596999999999994</v>
      </c>
      <c r="CF34" s="22">
        <v>94.364000000000004</v>
      </c>
      <c r="CG34" s="22">
        <v>96.941999999999993</v>
      </c>
      <c r="CH34" s="22">
        <v>99.289000000000001</v>
      </c>
      <c r="CI34" s="22">
        <v>100</v>
      </c>
      <c r="CJ34" s="22">
        <v>101.47799999999999</v>
      </c>
      <c r="CK34" s="22">
        <v>103.593</v>
      </c>
      <c r="CL34" s="22">
        <v>104.428</v>
      </c>
      <c r="CM34" s="22">
        <v>105.342</v>
      </c>
      <c r="CN34" s="22">
        <v>108.04</v>
      </c>
      <c r="CO34" s="22">
        <v>111.619</v>
      </c>
      <c r="CP34" s="22">
        <v>114.014</v>
      </c>
      <c r="CQ34" s="22">
        <v>114.119</v>
      </c>
      <c r="CR34" s="22">
        <v>119.10599999999999</v>
      </c>
    </row>
    <row r="35" spans="1:96" x14ac:dyDescent="0.25">
      <c r="A35" t="s">
        <v>259</v>
      </c>
      <c r="B35" t="s">
        <v>260</v>
      </c>
      <c r="C35" t="s">
        <v>261</v>
      </c>
      <c r="D35" s="22">
        <v>3.6949999999999998</v>
      </c>
      <c r="E35" s="22">
        <v>3.5939999999999999</v>
      </c>
      <c r="F35" s="22">
        <v>3.38</v>
      </c>
      <c r="G35" s="22">
        <v>3.0350000000000001</v>
      </c>
      <c r="H35" s="22">
        <v>3.129</v>
      </c>
      <c r="I35" s="22">
        <v>3.375</v>
      </c>
      <c r="J35" s="22">
        <v>3.4079999999999999</v>
      </c>
      <c r="K35" s="22">
        <v>3.44</v>
      </c>
      <c r="L35" s="22">
        <v>3.52</v>
      </c>
      <c r="M35" s="22">
        <v>3.5129999999999999</v>
      </c>
      <c r="N35" s="22">
        <v>3.456</v>
      </c>
      <c r="O35" s="22">
        <v>3.4809999999999999</v>
      </c>
      <c r="P35" s="22">
        <v>3.7050000000000001</v>
      </c>
      <c r="Q35" s="22">
        <v>4.069</v>
      </c>
      <c r="R35" s="22">
        <v>4.3499999999999996</v>
      </c>
      <c r="S35" s="22">
        <v>4.5309999999999997</v>
      </c>
      <c r="T35" s="22">
        <v>4.6950000000000003</v>
      </c>
      <c r="U35" s="22">
        <v>5.1429999999999998</v>
      </c>
      <c r="V35" s="22">
        <v>5.7839999999999998</v>
      </c>
      <c r="W35" s="22">
        <v>6.4690000000000003</v>
      </c>
      <c r="X35" s="22">
        <v>6.5279999999999996</v>
      </c>
      <c r="Y35" s="22">
        <v>6.5709999999999997</v>
      </c>
      <c r="Z35" s="22">
        <v>7.2190000000000003</v>
      </c>
      <c r="AA35" s="22">
        <v>7.5339999999999998</v>
      </c>
      <c r="AB35" s="22">
        <v>7.6829999999999998</v>
      </c>
      <c r="AC35" s="22">
        <v>7.798</v>
      </c>
      <c r="AD35" s="22">
        <v>7.9580000000000002</v>
      </c>
      <c r="AE35" s="22">
        <v>8.4629999999999992</v>
      </c>
      <c r="AF35" s="22">
        <v>8.8260000000000005</v>
      </c>
      <c r="AG35" s="22">
        <v>8.9640000000000004</v>
      </c>
      <c r="AH35" s="22">
        <v>9.1270000000000007</v>
      </c>
      <c r="AI35" s="22">
        <v>9.2859999999999996</v>
      </c>
      <c r="AJ35" s="22">
        <v>9.5229999999999997</v>
      </c>
      <c r="AK35" s="22">
        <v>9.7710000000000008</v>
      </c>
      <c r="AL35" s="22">
        <v>9.9990000000000006</v>
      </c>
      <c r="AM35" s="22">
        <v>10.194000000000001</v>
      </c>
      <c r="AN35" s="22">
        <v>10.502000000000001</v>
      </c>
      <c r="AO35" s="22">
        <v>11.006</v>
      </c>
      <c r="AP35" s="22">
        <v>11.564</v>
      </c>
      <c r="AQ35" s="22">
        <v>12.234</v>
      </c>
      <c r="AR35" s="22">
        <v>13.063000000000001</v>
      </c>
      <c r="AS35" s="22">
        <v>14.117000000000001</v>
      </c>
      <c r="AT35" s="22">
        <v>15.198</v>
      </c>
      <c r="AU35" s="22">
        <v>16.163</v>
      </c>
      <c r="AV35" s="22">
        <v>17.245999999999999</v>
      </c>
      <c r="AW35" s="22">
        <v>19.157</v>
      </c>
      <c r="AX35" s="22">
        <v>20.998999999999999</v>
      </c>
      <c r="AY35" s="22">
        <v>22.024000000000001</v>
      </c>
      <c r="AZ35" s="22">
        <v>23.393999999999998</v>
      </c>
      <c r="BA35" s="22">
        <v>24.914000000000001</v>
      </c>
      <c r="BB35" s="22">
        <v>27.114000000000001</v>
      </c>
      <c r="BC35" s="22">
        <v>30.081</v>
      </c>
      <c r="BD35" s="22">
        <v>33.225999999999999</v>
      </c>
      <c r="BE35" s="22">
        <v>35.401000000000003</v>
      </c>
      <c r="BF35" s="22">
        <v>36.963999999999999</v>
      </c>
      <c r="BG35" s="22">
        <v>38.543999999999997</v>
      </c>
      <c r="BH35" s="22">
        <v>40.113</v>
      </c>
      <c r="BI35" s="22">
        <v>41.268999999999998</v>
      </c>
      <c r="BJ35" s="22">
        <v>43.195999999999998</v>
      </c>
      <c r="BK35" s="22">
        <v>44.64</v>
      </c>
      <c r="BL35" s="22">
        <v>46.752000000000002</v>
      </c>
      <c r="BM35" s="22">
        <v>49.152999999999999</v>
      </c>
      <c r="BN35" s="22">
        <v>50.953000000000003</v>
      </c>
      <c r="BO35" s="22">
        <v>52.69</v>
      </c>
      <c r="BP35" s="22">
        <v>54.002000000000002</v>
      </c>
      <c r="BQ35" s="22">
        <v>55.393999999999998</v>
      </c>
      <c r="BR35" s="22">
        <v>56.871000000000002</v>
      </c>
      <c r="BS35" s="22">
        <v>58.177</v>
      </c>
      <c r="BT35" s="22">
        <v>59.470999999999997</v>
      </c>
      <c r="BU35" s="22">
        <v>60.63</v>
      </c>
      <c r="BV35" s="22">
        <v>63.008000000000003</v>
      </c>
      <c r="BW35" s="22">
        <v>66.031999999999996</v>
      </c>
      <c r="BX35" s="22">
        <v>68.281000000000006</v>
      </c>
      <c r="BY35" s="22">
        <v>69.814999999999998</v>
      </c>
      <c r="BZ35" s="22">
        <v>72.05</v>
      </c>
      <c r="CA35" s="22">
        <v>75.369</v>
      </c>
      <c r="CB35" s="22">
        <v>79.608999999999995</v>
      </c>
      <c r="CC35" s="22">
        <v>83.617000000000004</v>
      </c>
      <c r="CD35" s="22">
        <v>88.132999999999996</v>
      </c>
      <c r="CE35" s="22">
        <v>92.558000000000007</v>
      </c>
      <c r="CF35" s="22">
        <v>92.048000000000002</v>
      </c>
      <c r="CG35" s="22">
        <v>94.668999999999997</v>
      </c>
      <c r="CH35" s="22">
        <v>97.739000000000004</v>
      </c>
      <c r="CI35" s="22">
        <v>100</v>
      </c>
      <c r="CJ35" s="22">
        <v>103.279</v>
      </c>
      <c r="CK35" s="22">
        <v>105.645</v>
      </c>
      <c r="CL35" s="22">
        <v>105.598</v>
      </c>
      <c r="CM35" s="22">
        <v>105.77</v>
      </c>
      <c r="CN35" s="22">
        <v>108.45</v>
      </c>
      <c r="CO35" s="22">
        <v>112.77500000000001</v>
      </c>
      <c r="CP35" s="22">
        <v>114.96899999999999</v>
      </c>
      <c r="CQ35" s="22">
        <v>116.818</v>
      </c>
      <c r="CR35" s="22">
        <v>122.672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103"/>
  <sheetViews>
    <sheetView zoomScale="75" zoomScaleNormal="75" workbookViewId="0">
      <pane ySplit="16" topLeftCell="A17" activePane="bottomLeft" state="frozen"/>
      <selection activeCell="E8" sqref="E8"/>
      <selection pane="bottomLeft" activeCell="B15" sqref="B15"/>
    </sheetView>
  </sheetViews>
  <sheetFormatPr defaultRowHeight="15" x14ac:dyDescent="0.25"/>
  <cols>
    <col min="1" max="1" width="25" style="24" customWidth="1"/>
    <col min="2" max="2" width="9" style="24" customWidth="1"/>
    <col min="3" max="4" width="17" style="24" customWidth="1"/>
    <col min="5" max="16384" width="9.140625" style="24"/>
  </cols>
  <sheetData>
    <row r="1" spans="1:8" ht="15.75" x14ac:dyDescent="0.25">
      <c r="A1" s="227" t="s">
        <v>262</v>
      </c>
      <c r="B1" s="226"/>
      <c r="C1" s="226"/>
      <c r="D1" s="226"/>
      <c r="E1" s="226"/>
      <c r="F1" s="226"/>
    </row>
    <row r="2" spans="1:8" ht="15.75" x14ac:dyDescent="0.25">
      <c r="A2" s="227" t="s">
        <v>263</v>
      </c>
      <c r="B2" s="226"/>
      <c r="C2" s="226"/>
      <c r="D2" s="226"/>
      <c r="E2" s="226"/>
      <c r="F2" s="226"/>
    </row>
    <row r="3" spans="1:8" x14ac:dyDescent="0.25">
      <c r="A3" s="226"/>
      <c r="B3" s="226"/>
      <c r="C3" s="226"/>
      <c r="D3" s="226"/>
      <c r="E3" s="226"/>
      <c r="F3" s="226"/>
    </row>
    <row r="4" spans="1:8" x14ac:dyDescent="0.25">
      <c r="A4" s="25" t="s">
        <v>264</v>
      </c>
      <c r="B4" s="225" t="s">
        <v>265</v>
      </c>
      <c r="C4" s="226"/>
      <c r="D4" s="226"/>
      <c r="E4" s="226"/>
      <c r="F4" s="226"/>
    </row>
    <row r="5" spans="1:8" x14ac:dyDescent="0.25">
      <c r="A5" s="228" t="s">
        <v>266</v>
      </c>
      <c r="B5" s="226"/>
      <c r="C5" s="226"/>
      <c r="D5" s="226"/>
      <c r="E5" s="226"/>
      <c r="F5" s="226"/>
    </row>
    <row r="6" spans="1:8" x14ac:dyDescent="0.25">
      <c r="A6" s="25" t="s">
        <v>267</v>
      </c>
      <c r="B6" s="225" t="s">
        <v>268</v>
      </c>
      <c r="C6" s="226"/>
      <c r="D6" s="226"/>
      <c r="E6" s="226"/>
      <c r="F6" s="226"/>
    </row>
    <row r="7" spans="1:8" x14ac:dyDescent="0.25">
      <c r="A7" s="25" t="s">
        <v>269</v>
      </c>
      <c r="B7" s="225" t="s">
        <v>270</v>
      </c>
      <c r="C7" s="226"/>
      <c r="D7" s="226"/>
      <c r="E7" s="226"/>
      <c r="F7" s="226"/>
    </row>
    <row r="8" spans="1:8" x14ac:dyDescent="0.25">
      <c r="A8" s="25" t="s">
        <v>271</v>
      </c>
      <c r="B8" s="225" t="s">
        <v>272</v>
      </c>
      <c r="C8" s="226"/>
      <c r="D8" s="226"/>
      <c r="E8" s="226"/>
      <c r="F8" s="226"/>
    </row>
    <row r="9" spans="1:8" x14ac:dyDescent="0.25">
      <c r="A9" s="25" t="s">
        <v>273</v>
      </c>
      <c r="B9" s="225" t="s">
        <v>274</v>
      </c>
      <c r="C9" s="226"/>
      <c r="D9" s="226"/>
      <c r="E9" s="226"/>
      <c r="F9" s="226"/>
    </row>
    <row r="10" spans="1:8" x14ac:dyDescent="0.25">
      <c r="A10" s="25" t="s">
        <v>275</v>
      </c>
      <c r="B10" s="225" t="s">
        <v>274</v>
      </c>
      <c r="C10" s="226"/>
      <c r="D10" s="226"/>
      <c r="E10" s="226"/>
      <c r="F10" s="226"/>
    </row>
    <row r="11" spans="1:8" x14ac:dyDescent="0.25">
      <c r="A11" s="25" t="s">
        <v>276</v>
      </c>
      <c r="B11" s="225" t="s">
        <v>274</v>
      </c>
      <c r="C11" s="226"/>
      <c r="D11" s="226"/>
      <c r="E11" s="226"/>
      <c r="F11" s="226"/>
    </row>
    <row r="12" spans="1:8" x14ac:dyDescent="0.25">
      <c r="A12" s="25" t="s">
        <v>277</v>
      </c>
      <c r="B12" s="225" t="s">
        <v>278</v>
      </c>
      <c r="C12" s="226"/>
      <c r="D12" s="226"/>
      <c r="E12" s="226"/>
      <c r="F12" s="226"/>
    </row>
    <row r="13" spans="1:8" x14ac:dyDescent="0.25">
      <c r="A13" s="25" t="s">
        <v>279</v>
      </c>
      <c r="B13" s="225" t="s">
        <v>280</v>
      </c>
      <c r="C13" s="226"/>
      <c r="D13" s="226"/>
      <c r="E13" s="226"/>
      <c r="F13" s="226"/>
    </row>
    <row r="14" spans="1:8" x14ac:dyDescent="0.25">
      <c r="A14" s="25" t="s">
        <v>281</v>
      </c>
      <c r="B14" s="229" t="s">
        <v>500</v>
      </c>
      <c r="C14" s="226"/>
      <c r="D14" s="226"/>
      <c r="E14" s="226"/>
      <c r="F14" s="226"/>
    </row>
    <row r="16" spans="1:8" s="28" customFormat="1" ht="15.75" thickBot="1" x14ac:dyDescent="0.3">
      <c r="A16" s="26" t="s">
        <v>127</v>
      </c>
      <c r="B16" s="26" t="s">
        <v>282</v>
      </c>
      <c r="C16" s="27" t="s">
        <v>283</v>
      </c>
      <c r="D16" s="27" t="s">
        <v>284</v>
      </c>
      <c r="F16" s="28" t="s">
        <v>127</v>
      </c>
      <c r="G16" s="28" t="s">
        <v>127</v>
      </c>
      <c r="H16" s="28" t="s">
        <v>285</v>
      </c>
    </row>
    <row r="17" spans="1:9" ht="15.75" thickTop="1" x14ac:dyDescent="0.25">
      <c r="A17" s="29">
        <v>2001</v>
      </c>
      <c r="B17" s="29" t="s">
        <v>286</v>
      </c>
      <c r="C17" s="30">
        <v>85</v>
      </c>
      <c r="D17" s="24" t="s">
        <v>287</v>
      </c>
      <c r="F17" s="9" t="s">
        <v>462</v>
      </c>
      <c r="G17" s="9">
        <v>2021</v>
      </c>
      <c r="H17" s="24">
        <f t="shared" ref="H17:H37" si="0">AVERAGEIF($A$17:$A$102,G17,$C$17:$C$102)</f>
        <v>145.47500000000002</v>
      </c>
      <c r="I17" s="24">
        <f t="shared" ref="I17:I34" si="1">H17/$H$34</f>
        <v>1.51260722641019</v>
      </c>
    </row>
    <row r="18" spans="1:9" x14ac:dyDescent="0.25">
      <c r="A18" s="29">
        <v>2001</v>
      </c>
      <c r="B18" s="29" t="s">
        <v>288</v>
      </c>
      <c r="C18" s="30">
        <v>85.8</v>
      </c>
      <c r="D18" s="24" t="s">
        <v>287</v>
      </c>
      <c r="F18" s="9" t="s">
        <v>26</v>
      </c>
      <c r="G18" s="9">
        <v>2020</v>
      </c>
      <c r="H18" s="24">
        <f t="shared" si="0"/>
        <v>140.44999999999999</v>
      </c>
      <c r="I18" s="24">
        <f t="shared" si="1"/>
        <v>1.460358721081362</v>
      </c>
    </row>
    <row r="19" spans="1:9" x14ac:dyDescent="0.25">
      <c r="A19" s="29">
        <v>2001</v>
      </c>
      <c r="B19" s="29" t="s">
        <v>289</v>
      </c>
      <c r="C19" s="30">
        <v>86.7</v>
      </c>
      <c r="D19" s="24" t="s">
        <v>287</v>
      </c>
      <c r="F19" s="9" t="s">
        <v>25</v>
      </c>
      <c r="G19" s="9">
        <v>2019</v>
      </c>
      <c r="H19" s="24">
        <f t="shared" si="0"/>
        <v>136.85</v>
      </c>
      <c r="I19" s="24">
        <f t="shared" si="1"/>
        <v>1.4229269560696647</v>
      </c>
    </row>
    <row r="20" spans="1:9" x14ac:dyDescent="0.25">
      <c r="A20" s="29">
        <v>2001</v>
      </c>
      <c r="B20" s="29" t="s">
        <v>290</v>
      </c>
      <c r="C20" s="30">
        <v>87.3</v>
      </c>
      <c r="D20" s="24" t="s">
        <v>287</v>
      </c>
      <c r="F20" s="9" t="s">
        <v>24</v>
      </c>
      <c r="G20" s="9">
        <v>2018</v>
      </c>
      <c r="H20" s="24">
        <f t="shared" si="0"/>
        <v>133.25</v>
      </c>
      <c r="I20" s="24">
        <f t="shared" si="1"/>
        <v>1.3854951910579674</v>
      </c>
    </row>
    <row r="21" spans="1:9" x14ac:dyDescent="0.25">
      <c r="A21" s="29">
        <v>2002</v>
      </c>
      <c r="B21" s="29" t="s">
        <v>286</v>
      </c>
      <c r="C21" s="30">
        <v>88.2</v>
      </c>
      <c r="D21" s="24" t="s">
        <v>287</v>
      </c>
      <c r="F21" s="9" t="s">
        <v>23</v>
      </c>
      <c r="G21" s="9">
        <v>2017</v>
      </c>
      <c r="H21" s="24">
        <f t="shared" si="0"/>
        <v>129.5</v>
      </c>
      <c r="I21" s="24">
        <f t="shared" si="1"/>
        <v>1.3465037691707824</v>
      </c>
    </row>
    <row r="22" spans="1:9" x14ac:dyDescent="0.25">
      <c r="A22" s="29">
        <v>2002</v>
      </c>
      <c r="B22" s="29" t="s">
        <v>288</v>
      </c>
      <c r="C22" s="30">
        <v>89.2</v>
      </c>
      <c r="D22" s="24" t="s">
        <v>287</v>
      </c>
      <c r="F22" s="9" t="s">
        <v>22</v>
      </c>
      <c r="G22" s="9">
        <v>2016</v>
      </c>
      <c r="H22" s="24">
        <f t="shared" si="0"/>
        <v>126.4</v>
      </c>
      <c r="I22" s="24">
        <f t="shared" si="1"/>
        <v>1.3142708604107098</v>
      </c>
    </row>
    <row r="23" spans="1:9" x14ac:dyDescent="0.25">
      <c r="A23" s="29">
        <v>2002</v>
      </c>
      <c r="B23" s="29" t="s">
        <v>289</v>
      </c>
      <c r="C23" s="30">
        <v>89.7</v>
      </c>
      <c r="D23" s="24" t="s">
        <v>287</v>
      </c>
      <c r="F23" s="9" t="s">
        <v>21</v>
      </c>
      <c r="G23" s="9">
        <v>2015</v>
      </c>
      <c r="H23" s="24">
        <f t="shared" si="0"/>
        <v>123.75</v>
      </c>
      <c r="I23" s="24">
        <f t="shared" si="1"/>
        <v>1.2867169222770991</v>
      </c>
    </row>
    <row r="24" spans="1:9" x14ac:dyDescent="0.25">
      <c r="A24" s="29">
        <v>2002</v>
      </c>
      <c r="B24" s="29" t="s">
        <v>290</v>
      </c>
      <c r="C24" s="30">
        <v>90</v>
      </c>
      <c r="D24" s="24" t="s">
        <v>287</v>
      </c>
      <c r="F24" s="9" t="s">
        <v>20</v>
      </c>
      <c r="G24" s="9">
        <v>2014</v>
      </c>
      <c r="H24" s="24">
        <f t="shared" si="0"/>
        <v>121.2</v>
      </c>
      <c r="I24" s="24">
        <f t="shared" si="1"/>
        <v>1.2602027553938133</v>
      </c>
    </row>
    <row r="25" spans="1:9" x14ac:dyDescent="0.25">
      <c r="A25" s="29">
        <v>2003</v>
      </c>
      <c r="B25" s="29" t="s">
        <v>286</v>
      </c>
      <c r="C25" s="30">
        <v>91.4</v>
      </c>
      <c r="D25" s="24" t="s">
        <v>287</v>
      </c>
      <c r="F25" s="9" t="s">
        <v>19</v>
      </c>
      <c r="G25" s="9">
        <v>2013</v>
      </c>
      <c r="H25" s="24">
        <f t="shared" si="0"/>
        <v>118.72499999999999</v>
      </c>
      <c r="I25" s="24">
        <f t="shared" si="1"/>
        <v>1.2344684169482714</v>
      </c>
    </row>
    <row r="26" spans="1:9" x14ac:dyDescent="0.25">
      <c r="A26" s="29">
        <v>2003</v>
      </c>
      <c r="B26" s="29" t="s">
        <v>288</v>
      </c>
      <c r="C26" s="30">
        <v>92.3</v>
      </c>
      <c r="D26" s="24" t="s">
        <v>287</v>
      </c>
      <c r="F26" s="9" t="s">
        <v>18</v>
      </c>
      <c r="G26" s="9">
        <v>2012</v>
      </c>
      <c r="H26" s="24">
        <f t="shared" si="0"/>
        <v>116.5</v>
      </c>
      <c r="I26" s="24">
        <f t="shared" si="1"/>
        <v>1.2113335066285418</v>
      </c>
    </row>
    <row r="27" spans="1:9" x14ac:dyDescent="0.25">
      <c r="A27" s="29">
        <v>2003</v>
      </c>
      <c r="B27" s="29" t="s">
        <v>289</v>
      </c>
      <c r="C27" s="30">
        <v>93.2</v>
      </c>
      <c r="D27" s="24" t="s">
        <v>287</v>
      </c>
      <c r="F27" s="9" t="s">
        <v>17</v>
      </c>
      <c r="G27" s="9">
        <v>2011</v>
      </c>
      <c r="H27" s="24">
        <f t="shared" si="0"/>
        <v>114.3</v>
      </c>
      <c r="I27" s="24">
        <f t="shared" si="1"/>
        <v>1.1884585391213933</v>
      </c>
    </row>
    <row r="28" spans="1:9" x14ac:dyDescent="0.25">
      <c r="A28" s="29">
        <v>2003</v>
      </c>
      <c r="B28" s="29" t="s">
        <v>290</v>
      </c>
      <c r="C28" s="30">
        <v>93.6</v>
      </c>
      <c r="D28" s="24" t="s">
        <v>287</v>
      </c>
      <c r="F28" s="9" t="s">
        <v>16</v>
      </c>
      <c r="G28" s="9">
        <v>2010</v>
      </c>
      <c r="H28" s="24">
        <f t="shared" si="0"/>
        <v>111.875</v>
      </c>
      <c r="I28" s="24">
        <f t="shared" si="1"/>
        <v>1.1632440863010138</v>
      </c>
    </row>
    <row r="29" spans="1:9" x14ac:dyDescent="0.25">
      <c r="A29" s="29">
        <v>2004</v>
      </c>
      <c r="B29" s="29" t="s">
        <v>286</v>
      </c>
      <c r="C29" s="30">
        <v>94.9</v>
      </c>
      <c r="D29" s="24" t="s">
        <v>287</v>
      </c>
      <c r="F29" s="9" t="s">
        <v>15</v>
      </c>
      <c r="G29" s="9">
        <v>2009</v>
      </c>
      <c r="H29" s="24">
        <f t="shared" si="0"/>
        <v>109.77499999999999</v>
      </c>
      <c r="I29" s="24">
        <f t="shared" si="1"/>
        <v>1.1414088900441903</v>
      </c>
    </row>
    <row r="30" spans="1:9" x14ac:dyDescent="0.25">
      <c r="A30" s="29">
        <v>2004</v>
      </c>
      <c r="B30" s="29" t="s">
        <v>288</v>
      </c>
      <c r="C30" s="30">
        <v>95.9</v>
      </c>
      <c r="D30" s="24" t="s">
        <v>287</v>
      </c>
      <c r="F30" s="9" t="s">
        <v>14</v>
      </c>
      <c r="G30" s="9">
        <v>2008</v>
      </c>
      <c r="H30" s="24">
        <f t="shared" si="0"/>
        <v>108.22499999999999</v>
      </c>
      <c r="I30" s="24">
        <f t="shared" si="1"/>
        <v>1.1252924356641538</v>
      </c>
    </row>
    <row r="31" spans="1:9" x14ac:dyDescent="0.25">
      <c r="A31" s="29">
        <v>2004</v>
      </c>
      <c r="B31" s="29" t="s">
        <v>289</v>
      </c>
      <c r="C31" s="30">
        <v>96.7</v>
      </c>
      <c r="D31" s="24" t="s">
        <v>287</v>
      </c>
      <c r="F31" s="9" t="s">
        <v>13</v>
      </c>
      <c r="G31" s="9">
        <v>2007</v>
      </c>
      <c r="H31" s="24">
        <f t="shared" si="0"/>
        <v>105.22500000000001</v>
      </c>
      <c r="I31" s="24">
        <f t="shared" si="1"/>
        <v>1.0940992981544062</v>
      </c>
    </row>
    <row r="32" spans="1:9" x14ac:dyDescent="0.25">
      <c r="A32" s="29">
        <v>2004</v>
      </c>
      <c r="B32" s="29" t="s">
        <v>290</v>
      </c>
      <c r="C32" s="30">
        <v>97.2</v>
      </c>
      <c r="D32" s="24" t="s">
        <v>287</v>
      </c>
      <c r="F32" s="9" t="s">
        <v>12</v>
      </c>
      <c r="G32" s="9">
        <v>2006</v>
      </c>
      <c r="H32" s="24">
        <f t="shared" si="0"/>
        <v>102.05</v>
      </c>
      <c r="I32" s="24">
        <f t="shared" si="1"/>
        <v>1.0610865609565896</v>
      </c>
    </row>
    <row r="33" spans="1:9" x14ac:dyDescent="0.25">
      <c r="A33" s="29">
        <v>2005</v>
      </c>
      <c r="B33" s="29" t="s">
        <v>286</v>
      </c>
      <c r="C33" s="30">
        <v>98.2</v>
      </c>
      <c r="D33" s="24" t="s">
        <v>287</v>
      </c>
      <c r="F33" s="9" t="s">
        <v>11</v>
      </c>
      <c r="G33" s="9">
        <v>2005</v>
      </c>
      <c r="H33" s="24">
        <f t="shared" si="0"/>
        <v>99.15</v>
      </c>
      <c r="I33" s="24">
        <f t="shared" si="1"/>
        <v>1.0309331946971667</v>
      </c>
    </row>
    <row r="34" spans="1:9" x14ac:dyDescent="0.25">
      <c r="A34" s="29">
        <v>2005</v>
      </c>
      <c r="B34" s="29" t="s">
        <v>288</v>
      </c>
      <c r="C34" s="30">
        <v>98.9</v>
      </c>
      <c r="D34" s="24" t="s">
        <v>287</v>
      </c>
      <c r="F34" s="9" t="s">
        <v>10</v>
      </c>
      <c r="G34" s="9">
        <v>2004</v>
      </c>
      <c r="H34" s="24">
        <f t="shared" si="0"/>
        <v>96.174999999999997</v>
      </c>
      <c r="I34" s="24">
        <f t="shared" si="1"/>
        <v>1</v>
      </c>
    </row>
    <row r="35" spans="1:9" x14ac:dyDescent="0.25">
      <c r="A35" s="29">
        <v>2005</v>
      </c>
      <c r="B35" s="29" t="s">
        <v>289</v>
      </c>
      <c r="C35" s="30">
        <v>99.5</v>
      </c>
      <c r="D35" s="24" t="s">
        <v>287</v>
      </c>
      <c r="G35" s="24">
        <f>G34-1</f>
        <v>2003</v>
      </c>
      <c r="H35" s="24">
        <f t="shared" si="0"/>
        <v>92.625</v>
      </c>
    </row>
    <row r="36" spans="1:9" x14ac:dyDescent="0.25">
      <c r="A36" s="29">
        <v>2005</v>
      </c>
      <c r="B36" s="29" t="s">
        <v>290</v>
      </c>
      <c r="C36" s="30">
        <v>100</v>
      </c>
      <c r="D36" s="24" t="s">
        <v>287</v>
      </c>
      <c r="G36" s="24">
        <f t="shared" ref="G36:G37" si="2">G35-1</f>
        <v>2002</v>
      </c>
      <c r="H36" s="24">
        <f t="shared" si="0"/>
        <v>89.275000000000006</v>
      </c>
    </row>
    <row r="37" spans="1:9" x14ac:dyDescent="0.25">
      <c r="A37" s="29">
        <v>2006</v>
      </c>
      <c r="B37" s="29" t="s">
        <v>286</v>
      </c>
      <c r="C37" s="30">
        <v>100.8</v>
      </c>
      <c r="D37" s="24" t="s">
        <v>287</v>
      </c>
      <c r="G37" s="24">
        <f t="shared" si="2"/>
        <v>2001</v>
      </c>
      <c r="H37" s="24">
        <f t="shared" si="0"/>
        <v>86.2</v>
      </c>
    </row>
    <row r="38" spans="1:9" x14ac:dyDescent="0.25">
      <c r="A38" s="29">
        <v>2006</v>
      </c>
      <c r="B38" s="29" t="s">
        <v>288</v>
      </c>
      <c r="C38" s="30">
        <v>101.7</v>
      </c>
      <c r="D38" s="24" t="s">
        <v>287</v>
      </c>
    </row>
    <row r="39" spans="1:9" x14ac:dyDescent="0.25">
      <c r="A39" s="29">
        <v>2006</v>
      </c>
      <c r="B39" s="29" t="s">
        <v>289</v>
      </c>
      <c r="C39" s="30">
        <v>102.5</v>
      </c>
      <c r="D39" s="24" t="s">
        <v>287</v>
      </c>
    </row>
    <row r="40" spans="1:9" x14ac:dyDescent="0.25">
      <c r="A40" s="29">
        <v>2006</v>
      </c>
      <c r="B40" s="29" t="s">
        <v>290</v>
      </c>
      <c r="C40" s="30">
        <v>103.2</v>
      </c>
      <c r="D40" s="24" t="s">
        <v>287</v>
      </c>
    </row>
    <row r="41" spans="1:9" x14ac:dyDescent="0.25">
      <c r="A41" s="29">
        <v>2007</v>
      </c>
      <c r="B41" s="29" t="s">
        <v>286</v>
      </c>
      <c r="C41" s="30">
        <v>104</v>
      </c>
      <c r="D41" s="24" t="s">
        <v>287</v>
      </c>
    </row>
    <row r="42" spans="1:9" x14ac:dyDescent="0.25">
      <c r="A42" s="29">
        <v>2007</v>
      </c>
      <c r="B42" s="29" t="s">
        <v>288</v>
      </c>
      <c r="C42" s="30">
        <v>104.9</v>
      </c>
      <c r="D42" s="24" t="s">
        <v>287</v>
      </c>
    </row>
    <row r="43" spans="1:9" x14ac:dyDescent="0.25">
      <c r="A43" s="29">
        <v>2007</v>
      </c>
      <c r="B43" s="29" t="s">
        <v>289</v>
      </c>
      <c r="C43" s="30">
        <v>105.7</v>
      </c>
      <c r="D43" s="24" t="s">
        <v>287</v>
      </c>
    </row>
    <row r="44" spans="1:9" x14ac:dyDescent="0.25">
      <c r="A44" s="29">
        <v>2007</v>
      </c>
      <c r="B44" s="29" t="s">
        <v>290</v>
      </c>
      <c r="C44" s="30">
        <v>106.3</v>
      </c>
      <c r="D44" s="24" t="s">
        <v>287</v>
      </c>
    </row>
    <row r="45" spans="1:9" x14ac:dyDescent="0.25">
      <c r="A45" s="29">
        <v>2008</v>
      </c>
      <c r="B45" s="29" t="s">
        <v>286</v>
      </c>
      <c r="C45" s="30">
        <v>107.3</v>
      </c>
      <c r="D45" s="24" t="s">
        <v>287</v>
      </c>
    </row>
    <row r="46" spans="1:9" x14ac:dyDescent="0.25">
      <c r="A46" s="29">
        <v>2008</v>
      </c>
      <c r="B46" s="29" t="s">
        <v>288</v>
      </c>
      <c r="C46" s="30">
        <v>108</v>
      </c>
      <c r="D46" s="24" t="s">
        <v>287</v>
      </c>
    </row>
    <row r="47" spans="1:9" x14ac:dyDescent="0.25">
      <c r="A47" s="29">
        <v>2008</v>
      </c>
      <c r="B47" s="29" t="s">
        <v>289</v>
      </c>
      <c r="C47" s="30">
        <v>108.7</v>
      </c>
      <c r="D47" s="24" t="s">
        <v>287</v>
      </c>
    </row>
    <row r="48" spans="1:9" x14ac:dyDescent="0.25">
      <c r="A48" s="29">
        <v>2008</v>
      </c>
      <c r="B48" s="29" t="s">
        <v>290</v>
      </c>
      <c r="C48" s="30">
        <v>108.9</v>
      </c>
      <c r="D48" s="24" t="s">
        <v>287</v>
      </c>
    </row>
    <row r="49" spans="1:4" x14ac:dyDescent="0.25">
      <c r="A49" s="29">
        <v>2009</v>
      </c>
      <c r="B49" s="29" t="s">
        <v>286</v>
      </c>
      <c r="C49" s="30">
        <v>109.3</v>
      </c>
      <c r="D49" s="24" t="s">
        <v>287</v>
      </c>
    </row>
    <row r="50" spans="1:4" x14ac:dyDescent="0.25">
      <c r="A50" s="29">
        <v>2009</v>
      </c>
      <c r="B50" s="29" t="s">
        <v>288</v>
      </c>
      <c r="C50" s="30">
        <v>109.6</v>
      </c>
      <c r="D50" s="24" t="s">
        <v>287</v>
      </c>
    </row>
    <row r="51" spans="1:4" x14ac:dyDescent="0.25">
      <c r="A51" s="29">
        <v>2009</v>
      </c>
      <c r="B51" s="29" t="s">
        <v>289</v>
      </c>
      <c r="C51" s="30">
        <v>110</v>
      </c>
      <c r="D51" s="24" t="s">
        <v>287</v>
      </c>
    </row>
    <row r="52" spans="1:4" x14ac:dyDescent="0.25">
      <c r="A52" s="29">
        <v>2009</v>
      </c>
      <c r="B52" s="29" t="s">
        <v>290</v>
      </c>
      <c r="C52" s="30">
        <v>110.2</v>
      </c>
      <c r="D52" s="24" t="s">
        <v>287</v>
      </c>
    </row>
    <row r="53" spans="1:4" x14ac:dyDescent="0.25">
      <c r="A53" s="29">
        <v>2010</v>
      </c>
      <c r="B53" s="29" t="s">
        <v>286</v>
      </c>
      <c r="C53" s="30">
        <v>111.1</v>
      </c>
      <c r="D53" s="24" t="s">
        <v>287</v>
      </c>
    </row>
    <row r="54" spans="1:4" x14ac:dyDescent="0.25">
      <c r="A54" s="29">
        <v>2010</v>
      </c>
      <c r="B54" s="29" t="s">
        <v>288</v>
      </c>
      <c r="C54" s="30">
        <v>111.7</v>
      </c>
      <c r="D54" s="24" t="s">
        <v>287</v>
      </c>
    </row>
    <row r="55" spans="1:4" x14ac:dyDescent="0.25">
      <c r="A55" s="29">
        <v>2010</v>
      </c>
      <c r="B55" s="29" t="s">
        <v>289</v>
      </c>
      <c r="C55" s="30">
        <v>112.2</v>
      </c>
      <c r="D55" s="24" t="s">
        <v>287</v>
      </c>
    </row>
    <row r="56" spans="1:4" x14ac:dyDescent="0.25">
      <c r="A56" s="29">
        <v>2010</v>
      </c>
      <c r="B56" s="29" t="s">
        <v>290</v>
      </c>
      <c r="C56" s="30">
        <v>112.5</v>
      </c>
      <c r="D56" s="24" t="s">
        <v>287</v>
      </c>
    </row>
    <row r="57" spans="1:4" x14ac:dyDescent="0.25">
      <c r="A57" s="29">
        <v>2011</v>
      </c>
      <c r="B57" s="29" t="s">
        <v>286</v>
      </c>
      <c r="C57" s="30">
        <v>113.3</v>
      </c>
      <c r="D57" s="24" t="s">
        <v>287</v>
      </c>
    </row>
    <row r="58" spans="1:4" x14ac:dyDescent="0.25">
      <c r="A58" s="29">
        <v>2011</v>
      </c>
      <c r="B58" s="29" t="s">
        <v>288</v>
      </c>
      <c r="C58" s="30">
        <v>114.3</v>
      </c>
      <c r="D58" s="24" t="s">
        <v>287</v>
      </c>
    </row>
    <row r="59" spans="1:4" x14ac:dyDescent="0.25">
      <c r="A59" s="29">
        <v>2011</v>
      </c>
      <c r="B59" s="29" t="s">
        <v>289</v>
      </c>
      <c r="C59" s="30">
        <v>114.6</v>
      </c>
      <c r="D59" s="24" t="s">
        <v>287</v>
      </c>
    </row>
    <row r="60" spans="1:4" x14ac:dyDescent="0.25">
      <c r="A60" s="29">
        <v>2011</v>
      </c>
      <c r="B60" s="29" t="s">
        <v>290</v>
      </c>
      <c r="C60" s="30">
        <v>115</v>
      </c>
      <c r="D60" s="24" t="s">
        <v>287</v>
      </c>
    </row>
    <row r="61" spans="1:4" x14ac:dyDescent="0.25">
      <c r="A61" s="29">
        <v>2012</v>
      </c>
      <c r="B61" s="29" t="s">
        <v>286</v>
      </c>
      <c r="C61" s="30">
        <v>115.7</v>
      </c>
      <c r="D61" s="24" t="s">
        <v>287</v>
      </c>
    </row>
    <row r="62" spans="1:4" x14ac:dyDescent="0.25">
      <c r="A62" s="29">
        <v>2012</v>
      </c>
      <c r="B62" s="29" t="s">
        <v>288</v>
      </c>
      <c r="C62" s="30">
        <v>116.4</v>
      </c>
      <c r="D62" s="24" t="s">
        <v>287</v>
      </c>
    </row>
    <row r="63" spans="1:4" x14ac:dyDescent="0.25">
      <c r="A63" s="29">
        <v>2012</v>
      </c>
      <c r="B63" s="29" t="s">
        <v>289</v>
      </c>
      <c r="C63" s="30">
        <v>116.8</v>
      </c>
      <c r="D63" s="24" t="s">
        <v>287</v>
      </c>
    </row>
    <row r="64" spans="1:4" x14ac:dyDescent="0.25">
      <c r="A64" s="29">
        <v>2012</v>
      </c>
      <c r="B64" s="29" t="s">
        <v>290</v>
      </c>
      <c r="C64" s="30">
        <v>117.1</v>
      </c>
      <c r="D64" s="24" t="s">
        <v>287</v>
      </c>
    </row>
    <row r="65" spans="1:4" x14ac:dyDescent="0.25">
      <c r="A65" s="29">
        <v>2013</v>
      </c>
      <c r="B65" s="29" t="s">
        <v>286</v>
      </c>
      <c r="C65" s="30">
        <v>117.9</v>
      </c>
      <c r="D65" s="24" t="s">
        <v>287</v>
      </c>
    </row>
    <row r="66" spans="1:4" x14ac:dyDescent="0.25">
      <c r="A66" s="29">
        <v>2013</v>
      </c>
      <c r="B66" s="29" t="s">
        <v>288</v>
      </c>
      <c r="C66" s="30">
        <v>118.6</v>
      </c>
      <c r="D66" s="24" t="s">
        <v>287</v>
      </c>
    </row>
    <row r="67" spans="1:4" x14ac:dyDescent="0.25">
      <c r="A67" s="29">
        <v>2013</v>
      </c>
      <c r="B67" s="29" t="s">
        <v>289</v>
      </c>
      <c r="C67" s="30">
        <v>119</v>
      </c>
      <c r="D67" s="24" t="s">
        <v>287</v>
      </c>
    </row>
    <row r="68" spans="1:4" x14ac:dyDescent="0.25">
      <c r="A68" s="29">
        <v>2013</v>
      </c>
      <c r="B68" s="29" t="s">
        <v>290</v>
      </c>
      <c r="C68" s="30">
        <v>119.4</v>
      </c>
      <c r="D68" s="24" t="s">
        <v>287</v>
      </c>
    </row>
    <row r="69" spans="1:4" x14ac:dyDescent="0.25">
      <c r="A69" s="29">
        <v>2014</v>
      </c>
      <c r="B69" s="29" t="s">
        <v>286</v>
      </c>
      <c r="C69" s="30">
        <v>119.9</v>
      </c>
      <c r="D69" s="24" t="s">
        <v>287</v>
      </c>
    </row>
    <row r="70" spans="1:4" x14ac:dyDescent="0.25">
      <c r="A70" s="29">
        <v>2014</v>
      </c>
      <c r="B70" s="29" t="s">
        <v>288</v>
      </c>
      <c r="C70" s="30">
        <v>121</v>
      </c>
      <c r="D70" s="24" t="s">
        <v>287</v>
      </c>
    </row>
    <row r="71" spans="1:4" x14ac:dyDescent="0.25">
      <c r="A71" s="29">
        <v>2014</v>
      </c>
      <c r="B71" s="29" t="s">
        <v>289</v>
      </c>
      <c r="C71" s="30">
        <v>121.7</v>
      </c>
      <c r="D71" s="24" t="s">
        <v>287</v>
      </c>
    </row>
    <row r="72" spans="1:4" x14ac:dyDescent="0.25">
      <c r="A72" s="29">
        <v>2014</v>
      </c>
      <c r="B72" s="29" t="s">
        <v>290</v>
      </c>
      <c r="C72" s="30">
        <v>122.2</v>
      </c>
      <c r="D72" s="24" t="s">
        <v>287</v>
      </c>
    </row>
    <row r="73" spans="1:4" x14ac:dyDescent="0.25">
      <c r="A73" s="29">
        <v>2015</v>
      </c>
      <c r="B73" s="29" t="s">
        <v>286</v>
      </c>
      <c r="C73" s="30">
        <v>123.2</v>
      </c>
      <c r="D73" s="24" t="s">
        <v>287</v>
      </c>
    </row>
    <row r="74" spans="1:4" x14ac:dyDescent="0.25">
      <c r="A74" s="29">
        <v>2015</v>
      </c>
      <c r="B74" s="29" t="s">
        <v>288</v>
      </c>
      <c r="C74" s="30">
        <v>123.3</v>
      </c>
      <c r="D74" s="24" t="s">
        <v>287</v>
      </c>
    </row>
    <row r="75" spans="1:4" x14ac:dyDescent="0.25">
      <c r="A75" s="29">
        <v>2015</v>
      </c>
      <c r="B75" s="29" t="s">
        <v>289</v>
      </c>
      <c r="C75" s="30">
        <v>124</v>
      </c>
      <c r="D75" s="24" t="s">
        <v>287</v>
      </c>
    </row>
    <row r="76" spans="1:4" x14ac:dyDescent="0.25">
      <c r="A76" s="29">
        <v>2015</v>
      </c>
      <c r="B76" s="29" t="s">
        <v>290</v>
      </c>
      <c r="C76" s="30">
        <v>124.5</v>
      </c>
      <c r="D76" s="24" t="s">
        <v>287</v>
      </c>
    </row>
    <row r="77" spans="1:4" x14ac:dyDescent="0.25">
      <c r="A77" s="29">
        <v>2016</v>
      </c>
      <c r="B77" s="29" t="s">
        <v>286</v>
      </c>
      <c r="C77" s="30">
        <v>125.4</v>
      </c>
      <c r="D77" s="24" t="s">
        <v>287</v>
      </c>
    </row>
    <row r="78" spans="1:4" x14ac:dyDescent="0.25">
      <c r="A78" s="29">
        <v>2016</v>
      </c>
      <c r="B78" s="29" t="s">
        <v>288</v>
      </c>
      <c r="C78" s="30">
        <v>126.2</v>
      </c>
      <c r="D78" s="24" t="s">
        <v>287</v>
      </c>
    </row>
    <row r="79" spans="1:4" x14ac:dyDescent="0.25">
      <c r="A79" s="29">
        <v>2016</v>
      </c>
      <c r="B79" s="29" t="s">
        <v>289</v>
      </c>
      <c r="C79" s="30">
        <v>126.8</v>
      </c>
      <c r="D79" s="24" t="s">
        <v>287</v>
      </c>
    </row>
    <row r="80" spans="1:4" x14ac:dyDescent="0.25">
      <c r="A80" s="29">
        <v>2016</v>
      </c>
      <c r="B80" s="29" t="s">
        <v>290</v>
      </c>
      <c r="C80" s="30">
        <v>127.2</v>
      </c>
      <c r="D80" s="24" t="s">
        <v>287</v>
      </c>
    </row>
    <row r="81" spans="1:4" x14ac:dyDescent="0.25">
      <c r="A81" s="29">
        <v>2017</v>
      </c>
      <c r="B81" s="29" t="s">
        <v>286</v>
      </c>
      <c r="C81" s="30">
        <v>128.30000000000001</v>
      </c>
      <c r="D81" s="24" t="s">
        <v>287</v>
      </c>
    </row>
    <row r="82" spans="1:4" x14ac:dyDescent="0.25">
      <c r="A82" s="29">
        <v>2017</v>
      </c>
      <c r="B82" s="29" t="s">
        <v>288</v>
      </c>
      <c r="C82" s="30">
        <v>129.19999999999999</v>
      </c>
      <c r="D82" s="24" t="s">
        <v>287</v>
      </c>
    </row>
    <row r="83" spans="1:4" x14ac:dyDescent="0.25">
      <c r="A83" s="29">
        <v>2017</v>
      </c>
      <c r="B83" s="29" t="s">
        <v>289</v>
      </c>
      <c r="C83" s="30">
        <v>130</v>
      </c>
      <c r="D83" s="24" t="s">
        <v>287</v>
      </c>
    </row>
    <row r="84" spans="1:4" x14ac:dyDescent="0.25">
      <c r="A84" s="29">
        <v>2017</v>
      </c>
      <c r="B84" s="29" t="s">
        <v>290</v>
      </c>
      <c r="C84" s="30">
        <v>130.5</v>
      </c>
      <c r="D84" s="24" t="s">
        <v>287</v>
      </c>
    </row>
    <row r="85" spans="1:4" x14ac:dyDescent="0.25">
      <c r="A85" s="29">
        <v>2018</v>
      </c>
      <c r="B85" s="29" t="s">
        <v>286</v>
      </c>
      <c r="C85" s="30">
        <v>131.9</v>
      </c>
      <c r="D85" s="24" t="s">
        <v>287</v>
      </c>
    </row>
    <row r="86" spans="1:4" x14ac:dyDescent="0.25">
      <c r="A86" s="29">
        <v>2018</v>
      </c>
      <c r="B86" s="29" t="s">
        <v>288</v>
      </c>
      <c r="C86" s="30">
        <v>132.9</v>
      </c>
      <c r="D86" s="24" t="s">
        <v>287</v>
      </c>
    </row>
    <row r="87" spans="1:4" x14ac:dyDescent="0.25">
      <c r="A87" s="29">
        <v>2018</v>
      </c>
      <c r="B87" s="29" t="s">
        <v>289</v>
      </c>
      <c r="C87" s="30">
        <v>133.80000000000001</v>
      </c>
      <c r="D87" s="24" t="s">
        <v>287</v>
      </c>
    </row>
    <row r="88" spans="1:4" x14ac:dyDescent="0.25">
      <c r="A88" s="29">
        <v>2018</v>
      </c>
      <c r="B88" s="29" t="s">
        <v>290</v>
      </c>
      <c r="C88" s="30">
        <v>134.4</v>
      </c>
      <c r="D88" s="24" t="s">
        <v>287</v>
      </c>
    </row>
    <row r="89" spans="1:4" x14ac:dyDescent="0.25">
      <c r="A89" s="29">
        <v>2019</v>
      </c>
      <c r="B89" s="29" t="s">
        <v>286</v>
      </c>
      <c r="C89" s="30">
        <v>135.6</v>
      </c>
      <c r="D89" s="24" t="s">
        <v>287</v>
      </c>
    </row>
    <row r="90" spans="1:4" x14ac:dyDescent="0.25">
      <c r="A90" s="29">
        <v>2019</v>
      </c>
      <c r="B90" s="29" t="s">
        <v>288</v>
      </c>
      <c r="C90" s="30">
        <v>136.4</v>
      </c>
      <c r="D90" s="24" t="s">
        <v>287</v>
      </c>
    </row>
    <row r="91" spans="1:4" x14ac:dyDescent="0.25">
      <c r="A91" s="29">
        <v>2019</v>
      </c>
      <c r="B91" s="29" t="s">
        <v>289</v>
      </c>
      <c r="C91" s="30">
        <v>137.4</v>
      </c>
      <c r="D91" s="24" t="s">
        <v>287</v>
      </c>
    </row>
    <row r="92" spans="1:4" x14ac:dyDescent="0.25">
      <c r="A92" s="29">
        <v>2019</v>
      </c>
      <c r="B92" s="29" t="s">
        <v>290</v>
      </c>
      <c r="C92" s="30">
        <v>138</v>
      </c>
      <c r="D92" s="24" t="s">
        <v>287</v>
      </c>
    </row>
    <row r="93" spans="1:4" x14ac:dyDescent="0.25">
      <c r="A93" s="29">
        <v>2020</v>
      </c>
      <c r="B93" s="29" t="s">
        <v>286</v>
      </c>
      <c r="C93" s="30">
        <v>139.4</v>
      </c>
      <c r="D93" s="24" t="s">
        <v>287</v>
      </c>
    </row>
    <row r="94" spans="1:4" x14ac:dyDescent="0.25">
      <c r="A94" s="29">
        <v>2020</v>
      </c>
      <c r="B94" s="29" t="s">
        <v>288</v>
      </c>
      <c r="C94" s="30">
        <v>140.1</v>
      </c>
      <c r="D94" s="24" t="s">
        <v>287</v>
      </c>
    </row>
    <row r="95" spans="1:4" x14ac:dyDescent="0.25">
      <c r="A95" s="29">
        <v>2020</v>
      </c>
      <c r="B95" s="29" t="s">
        <v>289</v>
      </c>
      <c r="C95" s="30">
        <v>140.69999999999999</v>
      </c>
      <c r="D95" s="24" t="s">
        <v>287</v>
      </c>
    </row>
    <row r="96" spans="1:4" x14ac:dyDescent="0.25">
      <c r="A96" s="29">
        <v>2020</v>
      </c>
      <c r="B96" s="29" t="s">
        <v>290</v>
      </c>
      <c r="C96" s="30">
        <v>141.6</v>
      </c>
      <c r="D96" s="24" t="s">
        <v>287</v>
      </c>
    </row>
    <row r="97" spans="1:4" x14ac:dyDescent="0.25">
      <c r="A97" s="29">
        <v>2021</v>
      </c>
      <c r="B97" s="29" t="s">
        <v>286</v>
      </c>
      <c r="C97" s="30">
        <v>143.30000000000001</v>
      </c>
      <c r="D97" s="24" t="s">
        <v>287</v>
      </c>
    </row>
    <row r="98" spans="1:4" x14ac:dyDescent="0.25">
      <c r="A98" s="29">
        <v>2021</v>
      </c>
      <c r="B98" s="29" t="s">
        <v>288</v>
      </c>
      <c r="C98" s="30">
        <v>144.4</v>
      </c>
    </row>
    <row r="99" spans="1:4" x14ac:dyDescent="0.25">
      <c r="A99" s="29">
        <v>2021</v>
      </c>
      <c r="B99" s="29" t="s">
        <v>289</v>
      </c>
      <c r="C99" s="30">
        <v>146.4</v>
      </c>
    </row>
    <row r="100" spans="1:4" x14ac:dyDescent="0.25">
      <c r="A100" s="29">
        <v>2021</v>
      </c>
      <c r="B100" s="29" t="s">
        <v>290</v>
      </c>
      <c r="C100" s="30">
        <v>147.80000000000001</v>
      </c>
    </row>
    <row r="101" spans="1:4" x14ac:dyDescent="0.25">
      <c r="A101" s="29">
        <v>2022</v>
      </c>
      <c r="B101" s="29" t="s">
        <v>286</v>
      </c>
      <c r="C101" s="30">
        <v>150.19999999999999</v>
      </c>
    </row>
    <row r="102" spans="1:4" x14ac:dyDescent="0.25">
      <c r="A102" s="29">
        <v>2022</v>
      </c>
      <c r="B102" s="29" t="s">
        <v>288</v>
      </c>
      <c r="C102" s="30">
        <v>152.4</v>
      </c>
    </row>
    <row r="103" spans="1:4" x14ac:dyDescent="0.25">
      <c r="A103" s="29"/>
      <c r="B103" s="29"/>
      <c r="C103" s="30"/>
    </row>
  </sheetData>
  <mergeCells count="14">
    <mergeCell ref="B13:F13"/>
    <mergeCell ref="B14:F14"/>
    <mergeCell ref="B7:F7"/>
    <mergeCell ref="B8:F8"/>
    <mergeCell ref="B9:F9"/>
    <mergeCell ref="B10:F10"/>
    <mergeCell ref="B11:F11"/>
    <mergeCell ref="B12:F12"/>
    <mergeCell ref="B6:F6"/>
    <mergeCell ref="A1:F1"/>
    <mergeCell ref="A2:F2"/>
    <mergeCell ref="A3:F3"/>
    <mergeCell ref="B4:F4"/>
    <mergeCell ref="A5:F5"/>
  </mergeCells>
  <pageMargins left="0.7" right="0.7" top="0.75" bottom="0.75" header="0.3" footer="0.3"/>
  <pageSetup orientation="landscape"/>
  <headerFooter>
    <oddHeader>&amp;CBureau of Labor Statistics</oddHeader>
    <oddFooter>&amp;LSource: Bureau of Labor Statistics&amp;RGenerated on: July 28, 2021 (12:35:54 PM)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D5ED-9F2E-47F0-BFBC-3A0569582E87}">
  <dimension ref="A1:J306"/>
  <sheetViews>
    <sheetView topLeftCell="A5" workbookViewId="0">
      <selection activeCell="F38" sqref="F38"/>
    </sheetView>
  </sheetViews>
  <sheetFormatPr defaultRowHeight="15" x14ac:dyDescent="0.25"/>
  <cols>
    <col min="1" max="5" width="18.140625" customWidth="1"/>
    <col min="6" max="6" width="10.28515625" customWidth="1"/>
    <col min="7" max="255" width="18.140625" customWidth="1"/>
  </cols>
  <sheetData>
    <row r="1" spans="1:10" x14ac:dyDescent="0.25">
      <c r="A1" t="s">
        <v>348</v>
      </c>
    </row>
    <row r="2" spans="1:10" x14ac:dyDescent="0.25">
      <c r="A2" t="s">
        <v>349</v>
      </c>
    </row>
    <row r="3" spans="1:10" x14ac:dyDescent="0.25">
      <c r="A3" t="s">
        <v>350</v>
      </c>
    </row>
    <row r="4" spans="1:10" x14ac:dyDescent="0.25">
      <c r="A4" t="s">
        <v>351</v>
      </c>
    </row>
    <row r="5" spans="1:10" x14ac:dyDescent="0.25">
      <c r="A5" t="s">
        <v>352</v>
      </c>
    </row>
    <row r="6" spans="1:10" x14ac:dyDescent="0.25">
      <c r="A6" t="s">
        <v>353</v>
      </c>
    </row>
    <row r="8" spans="1:10" x14ac:dyDescent="0.25">
      <c r="A8" t="s">
        <v>354</v>
      </c>
      <c r="B8" t="s">
        <v>355</v>
      </c>
    </row>
    <row r="9" spans="1:10" x14ac:dyDescent="0.25">
      <c r="A9" t="s">
        <v>356</v>
      </c>
      <c r="B9" t="s">
        <v>357</v>
      </c>
    </row>
    <row r="11" spans="1:10" x14ac:dyDescent="0.25">
      <c r="A11" t="s">
        <v>358</v>
      </c>
    </row>
    <row r="12" spans="1:10" x14ac:dyDescent="0.25">
      <c r="A12" t="s">
        <v>359</v>
      </c>
      <c r="B12" t="s">
        <v>360</v>
      </c>
      <c r="I12" s="43"/>
      <c r="J12" s="38"/>
    </row>
    <row r="13" spans="1:10" x14ac:dyDescent="0.25">
      <c r="A13" s="43">
        <v>35796</v>
      </c>
      <c r="B13" s="38">
        <v>6.61</v>
      </c>
      <c r="C13">
        <f t="shared" ref="C13" si="0">YEAR(A13)</f>
        <v>1998</v>
      </c>
      <c r="E13">
        <f>E15-1</f>
        <v>1999</v>
      </c>
      <c r="F13" s="31">
        <f t="shared" ref="F13:F36" si="1">AVERAGEIFS($B$13:$B$306,$C$13:$C$306,E13)/100</f>
        <v>7.0416666666666669E-2</v>
      </c>
      <c r="I13" s="43"/>
      <c r="J13" s="38"/>
    </row>
    <row r="14" spans="1:10" x14ac:dyDescent="0.25">
      <c r="A14" s="43">
        <v>35827</v>
      </c>
      <c r="B14" s="38">
        <v>6.67</v>
      </c>
      <c r="C14">
        <f t="shared" ref="C14:C78" si="2">YEAR(A14)</f>
        <v>1998</v>
      </c>
      <c r="E14">
        <f t="shared" ref="E14" si="3">E15-1</f>
        <v>1999</v>
      </c>
      <c r="F14" s="31">
        <f t="shared" si="1"/>
        <v>7.0416666666666669E-2</v>
      </c>
      <c r="I14" s="43"/>
      <c r="J14" s="38"/>
    </row>
    <row r="15" spans="1:10" x14ac:dyDescent="0.25">
      <c r="A15" s="43">
        <v>35855</v>
      </c>
      <c r="B15" s="38">
        <v>6.72</v>
      </c>
      <c r="C15">
        <f t="shared" si="2"/>
        <v>1998</v>
      </c>
      <c r="E15">
        <f>E16-1</f>
        <v>2000</v>
      </c>
      <c r="F15" s="31">
        <f t="shared" si="1"/>
        <v>7.6225000000000001E-2</v>
      </c>
      <c r="I15" s="43"/>
      <c r="J15" s="38"/>
    </row>
    <row r="16" spans="1:10" x14ac:dyDescent="0.25">
      <c r="A16" s="43">
        <v>35886</v>
      </c>
      <c r="B16" s="38">
        <v>6.69</v>
      </c>
      <c r="C16">
        <f t="shared" si="2"/>
        <v>1998</v>
      </c>
      <c r="E16">
        <v>2001</v>
      </c>
      <c r="F16" s="31">
        <f t="shared" si="1"/>
        <v>7.0824999999999999E-2</v>
      </c>
      <c r="I16" s="43"/>
      <c r="J16" s="38"/>
    </row>
    <row r="17" spans="1:10" x14ac:dyDescent="0.25">
      <c r="A17" s="43">
        <v>35916</v>
      </c>
      <c r="B17" s="38">
        <v>6.69</v>
      </c>
      <c r="C17">
        <f t="shared" si="2"/>
        <v>1998</v>
      </c>
      <c r="E17">
        <f>E16+1</f>
        <v>2002</v>
      </c>
      <c r="F17" s="31">
        <f t="shared" si="1"/>
        <v>6.4916666666666664E-2</v>
      </c>
      <c r="I17" s="43"/>
      <c r="J17" s="38"/>
    </row>
    <row r="18" spans="1:10" x14ac:dyDescent="0.25">
      <c r="A18" s="43">
        <v>35947</v>
      </c>
      <c r="B18" s="38">
        <v>6.53</v>
      </c>
      <c r="C18">
        <f t="shared" si="2"/>
        <v>1998</v>
      </c>
      <c r="E18">
        <f t="shared" ref="E18:E30" si="4">E17+1</f>
        <v>2003</v>
      </c>
      <c r="F18" s="31">
        <f t="shared" si="1"/>
        <v>5.6666666666666671E-2</v>
      </c>
      <c r="I18" s="43"/>
      <c r="J18" s="38"/>
    </row>
    <row r="19" spans="1:10" x14ac:dyDescent="0.25">
      <c r="A19" s="43">
        <v>35977</v>
      </c>
      <c r="B19" s="38">
        <v>6.55</v>
      </c>
      <c r="C19">
        <f t="shared" si="2"/>
        <v>1998</v>
      </c>
      <c r="E19">
        <f t="shared" si="4"/>
        <v>2004</v>
      </c>
      <c r="F19" s="31">
        <f t="shared" si="1"/>
        <v>5.6283333333333331E-2</v>
      </c>
      <c r="I19" s="43"/>
      <c r="J19" s="38"/>
    </row>
    <row r="20" spans="1:10" x14ac:dyDescent="0.25">
      <c r="A20" s="43">
        <v>36008</v>
      </c>
      <c r="B20" s="38">
        <v>6.52</v>
      </c>
      <c r="C20">
        <f t="shared" si="2"/>
        <v>1998</v>
      </c>
      <c r="E20">
        <f t="shared" si="4"/>
        <v>2005</v>
      </c>
      <c r="F20" s="31">
        <f t="shared" si="1"/>
        <v>5.2350000000000001E-2</v>
      </c>
      <c r="I20" s="43"/>
      <c r="J20" s="38"/>
    </row>
    <row r="21" spans="1:10" x14ac:dyDescent="0.25">
      <c r="A21" s="43">
        <v>36039</v>
      </c>
      <c r="B21" s="38">
        <v>6.4</v>
      </c>
      <c r="C21">
        <f t="shared" si="2"/>
        <v>1998</v>
      </c>
      <c r="E21">
        <f t="shared" si="4"/>
        <v>2006</v>
      </c>
      <c r="F21" s="31">
        <f t="shared" si="1"/>
        <v>5.5874999999999994E-2</v>
      </c>
      <c r="I21" s="43"/>
      <c r="J21" s="38"/>
    </row>
    <row r="22" spans="1:10" x14ac:dyDescent="0.25">
      <c r="A22" s="43">
        <v>36069</v>
      </c>
      <c r="B22" s="38">
        <v>6.37</v>
      </c>
      <c r="C22">
        <f t="shared" si="2"/>
        <v>1998</v>
      </c>
      <c r="E22">
        <f t="shared" si="4"/>
        <v>2007</v>
      </c>
      <c r="F22" s="31">
        <f t="shared" si="1"/>
        <v>5.5558333333333321E-2</v>
      </c>
      <c r="I22" s="43"/>
      <c r="J22" s="38"/>
    </row>
    <row r="23" spans="1:10" x14ac:dyDescent="0.25">
      <c r="A23" s="43">
        <v>36100</v>
      </c>
      <c r="B23" s="38">
        <v>6.41</v>
      </c>
      <c r="C23">
        <f t="shared" si="2"/>
        <v>1998</v>
      </c>
      <c r="E23">
        <f t="shared" si="4"/>
        <v>2008</v>
      </c>
      <c r="F23" s="31">
        <f t="shared" si="1"/>
        <v>5.6316666666666668E-2</v>
      </c>
      <c r="I23" s="43"/>
      <c r="J23" s="38"/>
    </row>
    <row r="24" spans="1:10" x14ac:dyDescent="0.25">
      <c r="A24" s="43">
        <v>36130</v>
      </c>
      <c r="B24" s="38">
        <v>6.22</v>
      </c>
      <c r="C24">
        <f t="shared" si="2"/>
        <v>1998</v>
      </c>
      <c r="E24">
        <f t="shared" si="4"/>
        <v>2009</v>
      </c>
      <c r="F24" s="31">
        <f t="shared" si="1"/>
        <v>5.3133333333333324E-2</v>
      </c>
      <c r="I24" s="43"/>
      <c r="J24" s="38"/>
    </row>
    <row r="25" spans="1:10" x14ac:dyDescent="0.25">
      <c r="A25" s="43">
        <v>36161</v>
      </c>
      <c r="B25" s="38">
        <v>6.24</v>
      </c>
      <c r="C25">
        <f t="shared" si="2"/>
        <v>1999</v>
      </c>
      <c r="E25">
        <f t="shared" si="4"/>
        <v>2010</v>
      </c>
      <c r="F25" s="31">
        <f t="shared" si="1"/>
        <v>4.9433333333333322E-2</v>
      </c>
      <c r="I25" s="43"/>
      <c r="J25" s="38"/>
    </row>
    <row r="26" spans="1:10" x14ac:dyDescent="0.25">
      <c r="A26" s="43">
        <v>36192</v>
      </c>
      <c r="B26" s="38">
        <v>6.4</v>
      </c>
      <c r="C26">
        <f t="shared" si="2"/>
        <v>1999</v>
      </c>
      <c r="E26">
        <f t="shared" si="4"/>
        <v>2011</v>
      </c>
      <c r="F26" s="31">
        <f t="shared" si="1"/>
        <v>4.6391666666666664E-2</v>
      </c>
      <c r="I26" s="43"/>
      <c r="J26" s="38"/>
    </row>
    <row r="27" spans="1:10" x14ac:dyDescent="0.25">
      <c r="A27" s="43">
        <v>36220</v>
      </c>
      <c r="B27" s="38">
        <v>6.62</v>
      </c>
      <c r="C27">
        <f t="shared" si="2"/>
        <v>1999</v>
      </c>
      <c r="E27">
        <f t="shared" si="4"/>
        <v>2012</v>
      </c>
      <c r="F27" s="31">
        <f t="shared" si="1"/>
        <v>3.6733333333333333E-2</v>
      </c>
      <c r="I27" s="43"/>
      <c r="J27" s="38"/>
    </row>
    <row r="28" spans="1:10" x14ac:dyDescent="0.25">
      <c r="A28" s="43">
        <v>36251</v>
      </c>
      <c r="B28" s="38">
        <v>6.64</v>
      </c>
      <c r="C28">
        <f t="shared" si="2"/>
        <v>1999</v>
      </c>
      <c r="E28">
        <f t="shared" si="4"/>
        <v>2013</v>
      </c>
      <c r="F28" s="31">
        <f t="shared" si="1"/>
        <v>4.2350000000000006E-2</v>
      </c>
      <c r="I28" s="43"/>
      <c r="J28" s="38"/>
    </row>
    <row r="29" spans="1:10" x14ac:dyDescent="0.25">
      <c r="A29" s="43">
        <v>36281</v>
      </c>
      <c r="B29" s="38">
        <v>6.93</v>
      </c>
      <c r="C29">
        <f t="shared" si="2"/>
        <v>1999</v>
      </c>
      <c r="E29">
        <f t="shared" si="4"/>
        <v>2014</v>
      </c>
      <c r="F29" s="31">
        <f t="shared" si="1"/>
        <v>4.1625000000000002E-2</v>
      </c>
      <c r="I29" s="43"/>
      <c r="J29" s="38"/>
    </row>
    <row r="30" spans="1:10" x14ac:dyDescent="0.25">
      <c r="A30" s="43">
        <v>36312</v>
      </c>
      <c r="B30" s="38">
        <v>7.23</v>
      </c>
      <c r="C30">
        <f t="shared" si="2"/>
        <v>1999</v>
      </c>
      <c r="E30">
        <f t="shared" si="4"/>
        <v>2015</v>
      </c>
      <c r="F30" s="31">
        <f t="shared" si="1"/>
        <v>3.8866666666666674E-2</v>
      </c>
      <c r="I30" s="43"/>
      <c r="J30" s="38"/>
    </row>
    <row r="31" spans="1:10" x14ac:dyDescent="0.25">
      <c r="A31" s="43">
        <v>36342</v>
      </c>
      <c r="B31" s="38">
        <v>7.19</v>
      </c>
      <c r="C31">
        <f t="shared" si="2"/>
        <v>1999</v>
      </c>
      <c r="E31">
        <v>2016</v>
      </c>
      <c r="F31" s="31">
        <f t="shared" si="1"/>
        <v>3.6658333333333334E-2</v>
      </c>
      <c r="I31" s="43"/>
      <c r="J31" s="38"/>
    </row>
    <row r="32" spans="1:10" x14ac:dyDescent="0.25">
      <c r="A32" s="43">
        <v>36373</v>
      </c>
      <c r="B32" s="38">
        <v>7.4</v>
      </c>
      <c r="C32">
        <f t="shared" si="2"/>
        <v>1999</v>
      </c>
      <c r="E32">
        <v>2017</v>
      </c>
      <c r="F32" s="31">
        <f t="shared" si="1"/>
        <v>3.7433333333333339E-2</v>
      </c>
      <c r="I32" s="43"/>
      <c r="J32" s="38"/>
    </row>
    <row r="33" spans="1:10" x14ac:dyDescent="0.25">
      <c r="A33" s="43">
        <v>36404</v>
      </c>
      <c r="B33" s="38">
        <v>7.39</v>
      </c>
      <c r="C33">
        <f t="shared" si="2"/>
        <v>1999</v>
      </c>
      <c r="E33">
        <v>2018</v>
      </c>
      <c r="F33" s="31">
        <f t="shared" si="1"/>
        <v>3.9299999999999995E-2</v>
      </c>
      <c r="I33" s="43"/>
      <c r="J33" s="38"/>
    </row>
    <row r="34" spans="1:10" x14ac:dyDescent="0.25">
      <c r="A34" s="43">
        <v>36434</v>
      </c>
      <c r="B34" s="38">
        <v>7.55</v>
      </c>
      <c r="C34">
        <f t="shared" si="2"/>
        <v>1999</v>
      </c>
      <c r="E34">
        <f>E33+1</f>
        <v>2019</v>
      </c>
      <c r="F34" s="31">
        <f t="shared" si="1"/>
        <v>3.3875000000000009E-2</v>
      </c>
      <c r="I34" s="43"/>
      <c r="J34" s="38"/>
    </row>
    <row r="35" spans="1:10" x14ac:dyDescent="0.25">
      <c r="A35" s="43">
        <v>36465</v>
      </c>
      <c r="B35" s="38">
        <v>7.36</v>
      </c>
      <c r="C35">
        <f t="shared" si="2"/>
        <v>1999</v>
      </c>
      <c r="E35">
        <f>E34+1</f>
        <v>2020</v>
      </c>
      <c r="F35" s="31">
        <f t="shared" si="1"/>
        <v>2.4766666666666666E-2</v>
      </c>
      <c r="I35" s="43"/>
      <c r="J35" s="38"/>
    </row>
    <row r="36" spans="1:10" x14ac:dyDescent="0.25">
      <c r="A36" s="43">
        <v>36495</v>
      </c>
      <c r="B36" s="38">
        <v>7.55</v>
      </c>
      <c r="C36">
        <f t="shared" si="2"/>
        <v>1999</v>
      </c>
      <c r="E36">
        <f>E35+1</f>
        <v>2021</v>
      </c>
      <c r="F36" s="31">
        <f t="shared" si="1"/>
        <v>2.7033333333333336E-2</v>
      </c>
      <c r="I36" s="43"/>
      <c r="J36" s="38"/>
    </row>
    <row r="37" spans="1:10" x14ac:dyDescent="0.25">
      <c r="A37" s="43">
        <v>36526</v>
      </c>
      <c r="B37" s="38">
        <v>7.78</v>
      </c>
      <c r="C37">
        <f t="shared" si="2"/>
        <v>2000</v>
      </c>
      <c r="E37" s="44" t="s">
        <v>361</v>
      </c>
      <c r="F37" s="45">
        <f>AVERAGE(F22:F36)</f>
        <v>4.1298333333333333E-2</v>
      </c>
      <c r="G37" s="56" t="s">
        <v>499</v>
      </c>
      <c r="I37" s="43"/>
      <c r="J37" s="38"/>
    </row>
    <row r="38" spans="1:10" x14ac:dyDescent="0.25">
      <c r="A38" s="43">
        <v>36557</v>
      </c>
      <c r="B38" s="38">
        <v>7.68</v>
      </c>
      <c r="C38">
        <f t="shared" si="2"/>
        <v>2000</v>
      </c>
      <c r="I38" s="43"/>
      <c r="J38" s="38"/>
    </row>
    <row r="39" spans="1:10" x14ac:dyDescent="0.25">
      <c r="A39" s="43">
        <v>36586</v>
      </c>
      <c r="B39" s="38">
        <v>7.68</v>
      </c>
      <c r="C39">
        <f t="shared" si="2"/>
        <v>2000</v>
      </c>
      <c r="I39" s="43"/>
      <c r="J39" s="38"/>
    </row>
    <row r="40" spans="1:10" x14ac:dyDescent="0.25">
      <c r="A40" s="43">
        <v>36617</v>
      </c>
      <c r="B40" s="38">
        <v>7.64</v>
      </c>
      <c r="C40">
        <f t="shared" si="2"/>
        <v>2000</v>
      </c>
      <c r="I40" s="43"/>
      <c r="J40" s="38"/>
    </row>
    <row r="41" spans="1:10" x14ac:dyDescent="0.25">
      <c r="A41" s="43">
        <v>36647</v>
      </c>
      <c r="B41" s="38">
        <v>7.99</v>
      </c>
      <c r="C41">
        <f t="shared" si="2"/>
        <v>2000</v>
      </c>
      <c r="I41" s="43"/>
      <c r="J41" s="38"/>
    </row>
    <row r="42" spans="1:10" x14ac:dyDescent="0.25">
      <c r="A42" s="43">
        <v>36678</v>
      </c>
      <c r="B42" s="38">
        <v>7.67</v>
      </c>
      <c r="C42">
        <f t="shared" si="2"/>
        <v>2000</v>
      </c>
      <c r="I42" s="43"/>
      <c r="J42" s="38"/>
    </row>
    <row r="43" spans="1:10" x14ac:dyDescent="0.25">
      <c r="A43" s="43">
        <v>36708</v>
      </c>
      <c r="B43" s="38">
        <v>7.65</v>
      </c>
      <c r="C43">
        <f t="shared" si="2"/>
        <v>2000</v>
      </c>
      <c r="I43" s="43"/>
      <c r="J43" s="38"/>
    </row>
    <row r="44" spans="1:10" x14ac:dyDescent="0.25">
      <c r="A44" s="43">
        <v>36739</v>
      </c>
      <c r="B44" s="38">
        <v>7.55</v>
      </c>
      <c r="C44">
        <f t="shared" si="2"/>
        <v>2000</v>
      </c>
      <c r="I44" s="43"/>
      <c r="J44" s="38"/>
    </row>
    <row r="45" spans="1:10" x14ac:dyDescent="0.25">
      <c r="A45" s="43">
        <v>36770</v>
      </c>
      <c r="B45" s="38">
        <v>7.62</v>
      </c>
      <c r="C45">
        <f t="shared" si="2"/>
        <v>2000</v>
      </c>
      <c r="I45" s="43"/>
      <c r="J45" s="38"/>
    </row>
    <row r="46" spans="1:10" x14ac:dyDescent="0.25">
      <c r="A46" s="43">
        <v>36800</v>
      </c>
      <c r="B46" s="38">
        <v>7.55</v>
      </c>
      <c r="C46">
        <f t="shared" si="2"/>
        <v>2000</v>
      </c>
      <c r="I46" s="43"/>
      <c r="J46" s="38"/>
    </row>
    <row r="47" spans="1:10" x14ac:dyDescent="0.25">
      <c r="A47" s="43">
        <v>36831</v>
      </c>
      <c r="B47" s="38">
        <v>7.45</v>
      </c>
      <c r="C47">
        <f t="shared" si="2"/>
        <v>2000</v>
      </c>
      <c r="I47" s="43"/>
      <c r="J47" s="38"/>
    </row>
    <row r="48" spans="1:10" x14ac:dyDescent="0.25">
      <c r="A48" s="43">
        <v>36861</v>
      </c>
      <c r="B48" s="38">
        <v>7.21</v>
      </c>
      <c r="C48">
        <f t="shared" si="2"/>
        <v>2000</v>
      </c>
      <c r="I48" s="43"/>
      <c r="J48" s="38"/>
    </row>
    <row r="49" spans="1:10" x14ac:dyDescent="0.25">
      <c r="A49" s="43">
        <v>36892</v>
      </c>
      <c r="B49" s="38">
        <v>7.15</v>
      </c>
      <c r="C49">
        <f t="shared" si="2"/>
        <v>2001</v>
      </c>
      <c r="I49" s="43"/>
      <c r="J49" s="38"/>
    </row>
    <row r="50" spans="1:10" x14ac:dyDescent="0.25">
      <c r="A50" s="43">
        <v>36923</v>
      </c>
      <c r="B50" s="38">
        <v>7.1</v>
      </c>
      <c r="C50">
        <f t="shared" si="2"/>
        <v>2001</v>
      </c>
      <c r="I50" s="43"/>
      <c r="J50" s="38"/>
    </row>
    <row r="51" spans="1:10" x14ac:dyDescent="0.25">
      <c r="A51" s="43">
        <v>36951</v>
      </c>
      <c r="B51" s="38">
        <v>6.98</v>
      </c>
      <c r="C51">
        <f t="shared" si="2"/>
        <v>2001</v>
      </c>
      <c r="I51" s="43"/>
      <c r="J51" s="38"/>
    </row>
    <row r="52" spans="1:10" x14ac:dyDescent="0.25">
      <c r="A52" s="43">
        <v>36982</v>
      </c>
      <c r="B52" s="38">
        <v>7.2</v>
      </c>
      <c r="C52">
        <f t="shared" si="2"/>
        <v>2001</v>
      </c>
      <c r="I52" s="43"/>
      <c r="J52" s="38"/>
    </row>
    <row r="53" spans="1:10" x14ac:dyDescent="0.25">
      <c r="A53" s="43">
        <v>37012</v>
      </c>
      <c r="B53" s="38">
        <v>7.29</v>
      </c>
      <c r="C53">
        <f t="shared" si="2"/>
        <v>2001</v>
      </c>
      <c r="I53" s="43"/>
      <c r="J53" s="38"/>
    </row>
    <row r="54" spans="1:10" x14ac:dyDescent="0.25">
      <c r="A54" s="43">
        <v>37043</v>
      </c>
      <c r="B54" s="38">
        <v>7.18</v>
      </c>
      <c r="C54">
        <f t="shared" si="2"/>
        <v>2001</v>
      </c>
      <c r="I54" s="43"/>
      <c r="J54" s="38"/>
    </row>
    <row r="55" spans="1:10" x14ac:dyDescent="0.25">
      <c r="A55" s="43">
        <v>37073</v>
      </c>
      <c r="B55" s="38">
        <v>7.13</v>
      </c>
      <c r="C55">
        <f t="shared" si="2"/>
        <v>2001</v>
      </c>
      <c r="I55" s="43"/>
      <c r="J55" s="38"/>
    </row>
    <row r="56" spans="1:10" x14ac:dyDescent="0.25">
      <c r="A56" s="43">
        <v>37104</v>
      </c>
      <c r="B56" s="38">
        <v>7.02</v>
      </c>
      <c r="C56">
        <f t="shared" si="2"/>
        <v>2001</v>
      </c>
      <c r="I56" s="43"/>
      <c r="J56" s="38"/>
    </row>
    <row r="57" spans="1:10" x14ac:dyDescent="0.25">
      <c r="A57" s="43">
        <v>37135</v>
      </c>
      <c r="B57" s="38">
        <v>7.17</v>
      </c>
      <c r="C57">
        <f t="shared" si="2"/>
        <v>2001</v>
      </c>
      <c r="I57" s="43"/>
      <c r="J57" s="38"/>
    </row>
    <row r="58" spans="1:10" x14ac:dyDescent="0.25">
      <c r="A58" s="43">
        <v>37165</v>
      </c>
      <c r="B58" s="38">
        <v>7.03</v>
      </c>
      <c r="C58">
        <f t="shared" si="2"/>
        <v>2001</v>
      </c>
      <c r="I58" s="43"/>
      <c r="J58" s="38"/>
    </row>
    <row r="59" spans="1:10" x14ac:dyDescent="0.25">
      <c r="A59" s="43">
        <v>37196</v>
      </c>
      <c r="B59" s="38">
        <v>6.97</v>
      </c>
      <c r="C59">
        <f t="shared" si="2"/>
        <v>2001</v>
      </c>
      <c r="I59" s="43"/>
      <c r="J59" s="38"/>
    </row>
    <row r="60" spans="1:10" x14ac:dyDescent="0.25">
      <c r="A60" s="43">
        <v>37226</v>
      </c>
      <c r="B60" s="38">
        <v>6.77</v>
      </c>
      <c r="C60">
        <f t="shared" si="2"/>
        <v>2001</v>
      </c>
      <c r="I60" s="43"/>
      <c r="J60" s="38"/>
    </row>
    <row r="61" spans="1:10" x14ac:dyDescent="0.25">
      <c r="A61" s="43">
        <v>37257</v>
      </c>
      <c r="B61" s="38">
        <v>6.55</v>
      </c>
      <c r="C61">
        <f t="shared" si="2"/>
        <v>2002</v>
      </c>
      <c r="I61" s="43"/>
      <c r="J61" s="38"/>
    </row>
    <row r="62" spans="1:10" x14ac:dyDescent="0.25">
      <c r="A62" s="43">
        <v>37288</v>
      </c>
      <c r="B62" s="38">
        <v>6.51</v>
      </c>
      <c r="C62">
        <f t="shared" si="2"/>
        <v>2002</v>
      </c>
      <c r="I62" s="43"/>
      <c r="J62" s="38"/>
    </row>
    <row r="63" spans="1:10" x14ac:dyDescent="0.25">
      <c r="A63" s="43">
        <v>37316</v>
      </c>
      <c r="B63" s="38">
        <v>6.81</v>
      </c>
      <c r="C63">
        <f t="shared" si="2"/>
        <v>2002</v>
      </c>
      <c r="I63" s="43"/>
      <c r="J63" s="38"/>
    </row>
    <row r="64" spans="1:10" x14ac:dyDescent="0.25">
      <c r="A64" s="43">
        <v>37347</v>
      </c>
      <c r="B64" s="38">
        <v>6.76</v>
      </c>
      <c r="C64">
        <f t="shared" si="2"/>
        <v>2002</v>
      </c>
      <c r="I64" s="43"/>
      <c r="J64" s="38"/>
    </row>
    <row r="65" spans="1:10" x14ac:dyDescent="0.25">
      <c r="A65" s="43">
        <v>37377</v>
      </c>
      <c r="B65" s="38">
        <v>6.75</v>
      </c>
      <c r="C65">
        <f t="shared" si="2"/>
        <v>2002</v>
      </c>
      <c r="I65" s="43"/>
      <c r="J65" s="38"/>
    </row>
    <row r="66" spans="1:10" x14ac:dyDescent="0.25">
      <c r="A66" s="43">
        <v>37408</v>
      </c>
      <c r="B66" s="38">
        <v>6.63</v>
      </c>
      <c r="C66">
        <f t="shared" si="2"/>
        <v>2002</v>
      </c>
      <c r="I66" s="43"/>
      <c r="J66" s="38"/>
    </row>
    <row r="67" spans="1:10" x14ac:dyDescent="0.25">
      <c r="A67" s="43">
        <v>37438</v>
      </c>
      <c r="B67" s="38">
        <v>6.53</v>
      </c>
      <c r="C67">
        <f t="shared" si="2"/>
        <v>2002</v>
      </c>
      <c r="I67" s="43"/>
      <c r="J67" s="38"/>
    </row>
    <row r="68" spans="1:10" x14ac:dyDescent="0.25">
      <c r="A68" s="43">
        <v>37469</v>
      </c>
      <c r="B68" s="38">
        <v>6.37</v>
      </c>
      <c r="C68">
        <f t="shared" si="2"/>
        <v>2002</v>
      </c>
      <c r="I68" s="43"/>
      <c r="J68" s="38"/>
    </row>
    <row r="69" spans="1:10" x14ac:dyDescent="0.25">
      <c r="A69" s="43">
        <v>37500</v>
      </c>
      <c r="B69" s="38">
        <v>6.15</v>
      </c>
      <c r="C69">
        <f t="shared" si="2"/>
        <v>2002</v>
      </c>
      <c r="I69" s="43"/>
      <c r="J69" s="38"/>
    </row>
    <row r="70" spans="1:10" x14ac:dyDescent="0.25">
      <c r="A70" s="43">
        <v>37530</v>
      </c>
      <c r="B70" s="38">
        <v>6.32</v>
      </c>
      <c r="C70">
        <f t="shared" si="2"/>
        <v>2002</v>
      </c>
      <c r="I70" s="43"/>
      <c r="J70" s="38"/>
    </row>
    <row r="71" spans="1:10" x14ac:dyDescent="0.25">
      <c r="A71" s="43">
        <v>37561</v>
      </c>
      <c r="B71" s="38">
        <v>6.31</v>
      </c>
      <c r="C71">
        <f t="shared" si="2"/>
        <v>2002</v>
      </c>
      <c r="I71" s="43"/>
      <c r="J71" s="38"/>
    </row>
    <row r="72" spans="1:10" x14ac:dyDescent="0.25">
      <c r="A72" s="43">
        <v>37591</v>
      </c>
      <c r="B72" s="38">
        <v>6.21</v>
      </c>
      <c r="C72">
        <f t="shared" si="2"/>
        <v>2002</v>
      </c>
      <c r="I72" s="43"/>
      <c r="J72" s="38"/>
    </row>
    <row r="73" spans="1:10" x14ac:dyDescent="0.25">
      <c r="A73" s="43">
        <v>37622</v>
      </c>
      <c r="B73" s="38">
        <v>6.17</v>
      </c>
      <c r="C73">
        <f t="shared" si="2"/>
        <v>2003</v>
      </c>
      <c r="I73" s="43"/>
      <c r="J73" s="38"/>
    </row>
    <row r="74" spans="1:10" x14ac:dyDescent="0.25">
      <c r="A74" s="43">
        <v>37653</v>
      </c>
      <c r="B74" s="38">
        <v>5.95</v>
      </c>
      <c r="C74">
        <f t="shared" si="2"/>
        <v>2003</v>
      </c>
      <c r="I74" s="43"/>
      <c r="J74" s="38"/>
    </row>
    <row r="75" spans="1:10" x14ac:dyDescent="0.25">
      <c r="A75" s="43">
        <v>37681</v>
      </c>
      <c r="B75" s="38">
        <v>5.89</v>
      </c>
      <c r="C75">
        <f t="shared" si="2"/>
        <v>2003</v>
      </c>
      <c r="I75" s="43"/>
      <c r="J75" s="38"/>
    </row>
    <row r="76" spans="1:10" x14ac:dyDescent="0.25">
      <c r="A76" s="43">
        <v>37712</v>
      </c>
      <c r="B76" s="38">
        <v>5.74</v>
      </c>
      <c r="C76">
        <f t="shared" si="2"/>
        <v>2003</v>
      </c>
      <c r="I76" s="43"/>
      <c r="J76" s="38"/>
    </row>
    <row r="77" spans="1:10" x14ac:dyDescent="0.25">
      <c r="A77" s="43">
        <v>37742</v>
      </c>
      <c r="B77" s="38">
        <v>5.22</v>
      </c>
      <c r="C77">
        <f t="shared" si="2"/>
        <v>2003</v>
      </c>
      <c r="I77" s="43"/>
      <c r="J77" s="38"/>
    </row>
    <row r="78" spans="1:10" x14ac:dyDescent="0.25">
      <c r="A78" s="43">
        <v>37773</v>
      </c>
      <c r="B78" s="38">
        <v>4.97</v>
      </c>
      <c r="C78">
        <f t="shared" si="2"/>
        <v>2003</v>
      </c>
      <c r="I78" s="43"/>
      <c r="J78" s="38"/>
    </row>
    <row r="79" spans="1:10" x14ac:dyDescent="0.25">
      <c r="A79" s="43">
        <v>37803</v>
      </c>
      <c r="B79" s="38">
        <v>5.49</v>
      </c>
      <c r="C79">
        <f t="shared" ref="C79:C142" si="5">YEAR(A79)</f>
        <v>2003</v>
      </c>
      <c r="I79" s="43"/>
      <c r="J79" s="38"/>
    </row>
    <row r="80" spans="1:10" x14ac:dyDescent="0.25">
      <c r="A80" s="43">
        <v>37834</v>
      </c>
      <c r="B80" s="38">
        <v>5.88</v>
      </c>
      <c r="C80">
        <f t="shared" si="5"/>
        <v>2003</v>
      </c>
      <c r="I80" s="43"/>
      <c r="J80" s="38"/>
    </row>
    <row r="81" spans="1:10" x14ac:dyDescent="0.25">
      <c r="A81" s="43">
        <v>37865</v>
      </c>
      <c r="B81" s="38">
        <v>5.72</v>
      </c>
      <c r="C81">
        <f t="shared" si="5"/>
        <v>2003</v>
      </c>
      <c r="I81" s="43"/>
      <c r="J81" s="38"/>
    </row>
    <row r="82" spans="1:10" x14ac:dyDescent="0.25">
      <c r="A82" s="43">
        <v>37895</v>
      </c>
      <c r="B82" s="38">
        <v>5.7</v>
      </c>
      <c r="C82">
        <f t="shared" si="5"/>
        <v>2003</v>
      </c>
      <c r="I82" s="43"/>
      <c r="J82" s="38"/>
    </row>
    <row r="83" spans="1:10" x14ac:dyDescent="0.25">
      <c r="A83" s="43">
        <v>37926</v>
      </c>
      <c r="B83" s="38">
        <v>5.65</v>
      </c>
      <c r="C83">
        <f t="shared" si="5"/>
        <v>2003</v>
      </c>
      <c r="I83" s="43"/>
      <c r="J83" s="38"/>
    </row>
    <row r="84" spans="1:10" x14ac:dyDescent="0.25">
      <c r="A84" s="43">
        <v>37956</v>
      </c>
      <c r="B84" s="38">
        <v>5.62</v>
      </c>
      <c r="C84">
        <f t="shared" si="5"/>
        <v>2003</v>
      </c>
      <c r="I84" s="43"/>
      <c r="J84" s="38"/>
    </row>
    <row r="85" spans="1:10" x14ac:dyDescent="0.25">
      <c r="A85" s="43">
        <v>37987</v>
      </c>
      <c r="B85" s="38">
        <v>5.54</v>
      </c>
      <c r="C85">
        <f t="shared" si="5"/>
        <v>2004</v>
      </c>
      <c r="I85" s="43"/>
      <c r="J85" s="38"/>
    </row>
    <row r="86" spans="1:10" x14ac:dyDescent="0.25">
      <c r="A86" s="43">
        <v>38018</v>
      </c>
      <c r="B86" s="38">
        <v>5.5</v>
      </c>
      <c r="C86">
        <f t="shared" si="5"/>
        <v>2004</v>
      </c>
      <c r="I86" s="43"/>
      <c r="J86" s="38"/>
    </row>
    <row r="87" spans="1:10" x14ac:dyDescent="0.25">
      <c r="A87" s="43">
        <v>38047</v>
      </c>
      <c r="B87" s="38">
        <v>5.33</v>
      </c>
      <c r="C87">
        <f t="shared" si="5"/>
        <v>2004</v>
      </c>
      <c r="I87" s="43"/>
      <c r="J87" s="38"/>
    </row>
    <row r="88" spans="1:10" x14ac:dyDescent="0.25">
      <c r="A88" s="43">
        <v>38078</v>
      </c>
      <c r="B88" s="38">
        <v>5.73</v>
      </c>
      <c r="C88">
        <f t="shared" si="5"/>
        <v>2004</v>
      </c>
      <c r="I88" s="43"/>
      <c r="J88" s="38"/>
    </row>
    <row r="89" spans="1:10" x14ac:dyDescent="0.25">
      <c r="A89" s="43">
        <v>38108</v>
      </c>
      <c r="B89" s="38">
        <v>6.04</v>
      </c>
      <c r="C89">
        <f t="shared" si="5"/>
        <v>2004</v>
      </c>
      <c r="I89" s="43"/>
      <c r="J89" s="38"/>
    </row>
    <row r="90" spans="1:10" x14ac:dyDescent="0.25">
      <c r="A90" s="43">
        <v>38139</v>
      </c>
      <c r="B90" s="38">
        <v>6.01</v>
      </c>
      <c r="C90">
        <f t="shared" si="5"/>
        <v>2004</v>
      </c>
      <c r="I90" s="43"/>
      <c r="J90" s="38"/>
    </row>
    <row r="91" spans="1:10" x14ac:dyDescent="0.25">
      <c r="A91" s="43">
        <v>38169</v>
      </c>
      <c r="B91" s="38">
        <v>5.82</v>
      </c>
      <c r="C91">
        <f t="shared" si="5"/>
        <v>2004</v>
      </c>
      <c r="I91" s="43"/>
      <c r="J91" s="38"/>
    </row>
    <row r="92" spans="1:10" x14ac:dyDescent="0.25">
      <c r="A92" s="43">
        <v>38200</v>
      </c>
      <c r="B92" s="38">
        <v>5.65</v>
      </c>
      <c r="C92">
        <f t="shared" si="5"/>
        <v>2004</v>
      </c>
      <c r="I92" s="43"/>
      <c r="J92" s="38"/>
    </row>
    <row r="93" spans="1:10" x14ac:dyDescent="0.25">
      <c r="A93" s="43">
        <v>38231</v>
      </c>
      <c r="B93" s="38">
        <v>5.46</v>
      </c>
      <c r="C93">
        <f t="shared" si="5"/>
        <v>2004</v>
      </c>
      <c r="I93" s="43"/>
      <c r="J93" s="38"/>
    </row>
    <row r="94" spans="1:10" x14ac:dyDescent="0.25">
      <c r="A94" s="43">
        <v>38261</v>
      </c>
      <c r="B94" s="38">
        <v>5.47</v>
      </c>
      <c r="C94">
        <f t="shared" si="5"/>
        <v>2004</v>
      </c>
      <c r="I94" s="43"/>
      <c r="J94" s="38"/>
    </row>
    <row r="95" spans="1:10" x14ac:dyDescent="0.25">
      <c r="A95" s="43">
        <v>38292</v>
      </c>
      <c r="B95" s="38">
        <v>5.52</v>
      </c>
      <c r="C95">
        <f t="shared" si="5"/>
        <v>2004</v>
      </c>
      <c r="I95" s="43"/>
      <c r="J95" s="38"/>
    </row>
    <row r="96" spans="1:10" x14ac:dyDescent="0.25">
      <c r="A96" s="43">
        <v>38322</v>
      </c>
      <c r="B96" s="38">
        <v>5.47</v>
      </c>
      <c r="C96">
        <f t="shared" si="5"/>
        <v>2004</v>
      </c>
      <c r="I96" s="43"/>
      <c r="J96" s="38"/>
    </row>
    <row r="97" spans="1:10" x14ac:dyDescent="0.25">
      <c r="A97" s="43">
        <v>38353</v>
      </c>
      <c r="B97" s="38">
        <v>5.36</v>
      </c>
      <c r="C97">
        <f t="shared" si="5"/>
        <v>2005</v>
      </c>
      <c r="I97" s="43"/>
      <c r="J97" s="38"/>
    </row>
    <row r="98" spans="1:10" x14ac:dyDescent="0.25">
      <c r="A98" s="43">
        <v>38384</v>
      </c>
      <c r="B98" s="38">
        <v>5.2</v>
      </c>
      <c r="C98">
        <f t="shared" si="5"/>
        <v>2005</v>
      </c>
      <c r="I98" s="43"/>
      <c r="J98" s="38"/>
    </row>
    <row r="99" spans="1:10" x14ac:dyDescent="0.25">
      <c r="A99" s="43">
        <v>38412</v>
      </c>
      <c r="B99" s="38">
        <v>5.4</v>
      </c>
      <c r="C99">
        <f t="shared" si="5"/>
        <v>2005</v>
      </c>
      <c r="I99" s="43"/>
      <c r="J99" s="38"/>
    </row>
    <row r="100" spans="1:10" x14ac:dyDescent="0.25">
      <c r="A100" s="43">
        <v>38443</v>
      </c>
      <c r="B100" s="38">
        <v>5.33</v>
      </c>
      <c r="C100">
        <f t="shared" si="5"/>
        <v>2005</v>
      </c>
      <c r="I100" s="43"/>
      <c r="J100" s="38"/>
    </row>
    <row r="101" spans="1:10" x14ac:dyDescent="0.25">
      <c r="A101" s="43">
        <v>38473</v>
      </c>
      <c r="B101" s="38">
        <v>5.15</v>
      </c>
      <c r="C101">
        <f t="shared" si="5"/>
        <v>2005</v>
      </c>
      <c r="I101" s="43"/>
      <c r="J101" s="38"/>
    </row>
    <row r="102" spans="1:10" x14ac:dyDescent="0.25">
      <c r="A102" s="43">
        <v>38504</v>
      </c>
      <c r="B102" s="38">
        <v>4.96</v>
      </c>
      <c r="C102">
        <f t="shared" si="5"/>
        <v>2005</v>
      </c>
      <c r="I102" s="43"/>
      <c r="J102" s="38"/>
    </row>
    <row r="103" spans="1:10" x14ac:dyDescent="0.25">
      <c r="A103" s="43">
        <v>38534</v>
      </c>
      <c r="B103" s="38">
        <v>5.0599999999999996</v>
      </c>
      <c r="C103">
        <f t="shared" si="5"/>
        <v>2005</v>
      </c>
      <c r="I103" s="43"/>
      <c r="J103" s="38"/>
    </row>
    <row r="104" spans="1:10" x14ac:dyDescent="0.25">
      <c r="A104" s="43">
        <v>38565</v>
      </c>
      <c r="B104" s="38">
        <v>5.09</v>
      </c>
      <c r="C104">
        <f t="shared" si="5"/>
        <v>2005</v>
      </c>
      <c r="I104" s="43"/>
      <c r="J104" s="38"/>
    </row>
    <row r="105" spans="1:10" x14ac:dyDescent="0.25">
      <c r="A105" s="43">
        <v>38596</v>
      </c>
      <c r="B105" s="38">
        <v>5.13</v>
      </c>
      <c r="C105">
        <f t="shared" si="5"/>
        <v>2005</v>
      </c>
      <c r="I105" s="43"/>
      <c r="J105" s="38"/>
    </row>
    <row r="106" spans="1:10" x14ac:dyDescent="0.25">
      <c r="A106" s="43">
        <v>38626</v>
      </c>
      <c r="B106" s="38">
        <v>5.35</v>
      </c>
      <c r="C106">
        <f t="shared" si="5"/>
        <v>2005</v>
      </c>
      <c r="I106" s="43"/>
      <c r="J106" s="38"/>
    </row>
    <row r="107" spans="1:10" x14ac:dyDescent="0.25">
      <c r="A107" s="43">
        <v>38657</v>
      </c>
      <c r="B107" s="38">
        <v>5.42</v>
      </c>
      <c r="C107">
        <f t="shared" si="5"/>
        <v>2005</v>
      </c>
      <c r="I107" s="43"/>
      <c r="J107" s="38"/>
    </row>
    <row r="108" spans="1:10" x14ac:dyDescent="0.25">
      <c r="A108" s="43">
        <v>38687</v>
      </c>
      <c r="B108" s="38">
        <v>5.37</v>
      </c>
      <c r="C108">
        <f t="shared" si="5"/>
        <v>2005</v>
      </c>
      <c r="I108" s="43"/>
      <c r="J108" s="38"/>
    </row>
    <row r="109" spans="1:10" x14ac:dyDescent="0.25">
      <c r="A109" s="43">
        <v>38718</v>
      </c>
      <c r="B109" s="38">
        <v>5.29</v>
      </c>
      <c r="C109">
        <f t="shared" si="5"/>
        <v>2006</v>
      </c>
      <c r="I109" s="43"/>
      <c r="J109" s="38"/>
    </row>
    <row r="110" spans="1:10" x14ac:dyDescent="0.25">
      <c r="A110" s="43">
        <v>38749</v>
      </c>
      <c r="B110" s="38">
        <v>5.35</v>
      </c>
      <c r="C110">
        <f t="shared" si="5"/>
        <v>2006</v>
      </c>
      <c r="I110" s="43"/>
      <c r="J110" s="38"/>
    </row>
    <row r="111" spans="1:10" x14ac:dyDescent="0.25">
      <c r="A111" s="43">
        <v>38777</v>
      </c>
      <c r="B111" s="38">
        <v>5.53</v>
      </c>
      <c r="C111">
        <f t="shared" si="5"/>
        <v>2006</v>
      </c>
      <c r="I111" s="43"/>
      <c r="J111" s="38"/>
    </row>
    <row r="112" spans="1:10" x14ac:dyDescent="0.25">
      <c r="A112" s="43">
        <v>38808</v>
      </c>
      <c r="B112" s="38">
        <v>5.84</v>
      </c>
      <c r="C112">
        <f t="shared" si="5"/>
        <v>2006</v>
      </c>
      <c r="I112" s="43"/>
      <c r="J112" s="38"/>
    </row>
    <row r="113" spans="1:10" x14ac:dyDescent="0.25">
      <c r="A113" s="43">
        <v>38838</v>
      </c>
      <c r="B113" s="38">
        <v>5.95</v>
      </c>
      <c r="C113">
        <f t="shared" si="5"/>
        <v>2006</v>
      </c>
      <c r="I113" s="43"/>
      <c r="J113" s="38"/>
    </row>
    <row r="114" spans="1:10" x14ac:dyDescent="0.25">
      <c r="A114" s="43">
        <v>38869</v>
      </c>
      <c r="B114" s="38">
        <v>5.89</v>
      </c>
      <c r="C114">
        <f t="shared" si="5"/>
        <v>2006</v>
      </c>
      <c r="I114" s="43"/>
      <c r="J114" s="38"/>
    </row>
    <row r="115" spans="1:10" x14ac:dyDescent="0.25">
      <c r="A115" s="43">
        <v>38899</v>
      </c>
      <c r="B115" s="38">
        <v>5.85</v>
      </c>
      <c r="C115">
        <f t="shared" si="5"/>
        <v>2006</v>
      </c>
      <c r="I115" s="43"/>
      <c r="J115" s="38"/>
    </row>
    <row r="116" spans="1:10" x14ac:dyDescent="0.25">
      <c r="A116" s="43">
        <v>38930</v>
      </c>
      <c r="B116" s="38">
        <v>5.68</v>
      </c>
      <c r="C116">
        <f t="shared" si="5"/>
        <v>2006</v>
      </c>
      <c r="I116" s="43"/>
      <c r="J116" s="38"/>
    </row>
    <row r="117" spans="1:10" x14ac:dyDescent="0.25">
      <c r="A117" s="43">
        <v>38961</v>
      </c>
      <c r="B117" s="38">
        <v>5.51</v>
      </c>
      <c r="C117">
        <f t="shared" si="5"/>
        <v>2006</v>
      </c>
      <c r="I117" s="43"/>
      <c r="J117" s="38"/>
    </row>
    <row r="118" spans="1:10" x14ac:dyDescent="0.25">
      <c r="A118" s="43">
        <v>38991</v>
      </c>
      <c r="B118" s="38">
        <v>5.51</v>
      </c>
      <c r="C118">
        <f t="shared" si="5"/>
        <v>2006</v>
      </c>
      <c r="I118" s="43"/>
      <c r="J118" s="38"/>
    </row>
    <row r="119" spans="1:10" x14ac:dyDescent="0.25">
      <c r="A119" s="43">
        <v>39022</v>
      </c>
      <c r="B119" s="38">
        <v>5.33</v>
      </c>
      <c r="C119">
        <f t="shared" si="5"/>
        <v>2006</v>
      </c>
      <c r="I119" s="43"/>
      <c r="J119" s="38"/>
    </row>
    <row r="120" spans="1:10" x14ac:dyDescent="0.25">
      <c r="A120" s="43">
        <v>39052</v>
      </c>
      <c r="B120" s="38">
        <v>5.32</v>
      </c>
      <c r="C120">
        <f t="shared" si="5"/>
        <v>2006</v>
      </c>
      <c r="I120" s="43"/>
      <c r="J120" s="38"/>
    </row>
    <row r="121" spans="1:10" x14ac:dyDescent="0.25">
      <c r="A121" s="43">
        <v>39083</v>
      </c>
      <c r="B121" s="38">
        <v>5.4</v>
      </c>
      <c r="C121">
        <f t="shared" si="5"/>
        <v>2007</v>
      </c>
      <c r="I121" s="43"/>
      <c r="J121" s="38"/>
    </row>
    <row r="122" spans="1:10" x14ac:dyDescent="0.25">
      <c r="A122" s="43">
        <v>39114</v>
      </c>
      <c r="B122" s="38">
        <v>5.39</v>
      </c>
      <c r="C122">
        <f t="shared" si="5"/>
        <v>2007</v>
      </c>
      <c r="I122" s="43"/>
      <c r="J122" s="38"/>
    </row>
    <row r="123" spans="1:10" x14ac:dyDescent="0.25">
      <c r="A123" s="43">
        <v>39142</v>
      </c>
      <c r="B123" s="38">
        <v>5.3</v>
      </c>
      <c r="C123">
        <f t="shared" si="5"/>
        <v>2007</v>
      </c>
      <c r="I123" s="43"/>
      <c r="J123" s="38"/>
    </row>
    <row r="124" spans="1:10" x14ac:dyDescent="0.25">
      <c r="A124" s="43">
        <v>39173</v>
      </c>
      <c r="B124" s="38">
        <v>5.47</v>
      </c>
      <c r="C124">
        <f t="shared" si="5"/>
        <v>2007</v>
      </c>
      <c r="I124" s="43"/>
      <c r="J124" s="38"/>
    </row>
    <row r="125" spans="1:10" x14ac:dyDescent="0.25">
      <c r="A125" s="43">
        <v>39203</v>
      </c>
      <c r="B125" s="38">
        <v>5.47</v>
      </c>
      <c r="C125">
        <f t="shared" si="5"/>
        <v>2007</v>
      </c>
      <c r="I125" s="43"/>
      <c r="J125" s="38"/>
    </row>
    <row r="126" spans="1:10" x14ac:dyDescent="0.25">
      <c r="A126" s="43">
        <v>39234</v>
      </c>
      <c r="B126" s="38">
        <v>5.79</v>
      </c>
      <c r="C126">
        <f t="shared" si="5"/>
        <v>2007</v>
      </c>
      <c r="I126" s="43"/>
      <c r="J126" s="38"/>
    </row>
    <row r="127" spans="1:10" x14ac:dyDescent="0.25">
      <c r="A127" s="43">
        <v>39264</v>
      </c>
      <c r="B127" s="38">
        <v>5.73</v>
      </c>
      <c r="C127">
        <f t="shared" si="5"/>
        <v>2007</v>
      </c>
      <c r="I127" s="43"/>
      <c r="J127" s="38"/>
    </row>
    <row r="128" spans="1:10" x14ac:dyDescent="0.25">
      <c r="A128" s="43">
        <v>39295</v>
      </c>
      <c r="B128" s="38">
        <v>5.79</v>
      </c>
      <c r="C128">
        <f t="shared" si="5"/>
        <v>2007</v>
      </c>
      <c r="I128" s="43"/>
      <c r="J128" s="38"/>
    </row>
    <row r="129" spans="1:10" x14ac:dyDescent="0.25">
      <c r="A129" s="43">
        <v>39326</v>
      </c>
      <c r="B129" s="38">
        <v>5.74</v>
      </c>
      <c r="C129">
        <f t="shared" si="5"/>
        <v>2007</v>
      </c>
      <c r="I129" s="43"/>
      <c r="J129" s="38"/>
    </row>
    <row r="130" spans="1:10" x14ac:dyDescent="0.25">
      <c r="A130" s="43">
        <v>39356</v>
      </c>
      <c r="B130" s="38">
        <v>5.66</v>
      </c>
      <c r="C130">
        <f t="shared" si="5"/>
        <v>2007</v>
      </c>
      <c r="I130" s="43"/>
      <c r="J130" s="38"/>
    </row>
    <row r="131" spans="1:10" x14ac:dyDescent="0.25">
      <c r="A131" s="43">
        <v>39387</v>
      </c>
      <c r="B131" s="38">
        <v>5.44</v>
      </c>
      <c r="C131">
        <f t="shared" si="5"/>
        <v>2007</v>
      </c>
      <c r="I131" s="43"/>
      <c r="J131" s="38"/>
    </row>
    <row r="132" spans="1:10" x14ac:dyDescent="0.25">
      <c r="A132" s="43">
        <v>39417</v>
      </c>
      <c r="B132" s="38">
        <v>5.49</v>
      </c>
      <c r="C132">
        <f t="shared" si="5"/>
        <v>2007</v>
      </c>
      <c r="I132" s="43"/>
      <c r="J132" s="38"/>
    </row>
    <row r="133" spans="1:10" x14ac:dyDescent="0.25">
      <c r="A133" s="43">
        <v>39448</v>
      </c>
      <c r="B133" s="38">
        <v>5.33</v>
      </c>
      <c r="C133">
        <f t="shared" si="5"/>
        <v>2008</v>
      </c>
      <c r="I133" s="43"/>
      <c r="J133" s="38"/>
    </row>
    <row r="134" spans="1:10" x14ac:dyDescent="0.25">
      <c r="A134" s="43">
        <v>39479</v>
      </c>
      <c r="B134" s="38">
        <v>5.53</v>
      </c>
      <c r="C134">
        <f t="shared" si="5"/>
        <v>2008</v>
      </c>
      <c r="I134" s="43"/>
      <c r="J134" s="38"/>
    </row>
    <row r="135" spans="1:10" x14ac:dyDescent="0.25">
      <c r="A135" s="43">
        <v>39508</v>
      </c>
      <c r="B135" s="38">
        <v>5.51</v>
      </c>
      <c r="C135">
        <f t="shared" si="5"/>
        <v>2008</v>
      </c>
      <c r="I135" s="43"/>
      <c r="J135" s="38"/>
    </row>
    <row r="136" spans="1:10" x14ac:dyDescent="0.25">
      <c r="A136" s="43">
        <v>39539</v>
      </c>
      <c r="B136" s="38">
        <v>5.55</v>
      </c>
      <c r="C136">
        <f t="shared" si="5"/>
        <v>2008</v>
      </c>
      <c r="I136" s="43"/>
      <c r="J136" s="38"/>
    </row>
    <row r="137" spans="1:10" x14ac:dyDescent="0.25">
      <c r="A137" s="43">
        <v>39569</v>
      </c>
      <c r="B137" s="38">
        <v>5.57</v>
      </c>
      <c r="C137">
        <f t="shared" si="5"/>
        <v>2008</v>
      </c>
      <c r="I137" s="43"/>
      <c r="J137" s="38"/>
    </row>
    <row r="138" spans="1:10" x14ac:dyDescent="0.25">
      <c r="A138" s="43">
        <v>39600</v>
      </c>
      <c r="B138" s="38">
        <v>5.68</v>
      </c>
      <c r="C138">
        <f t="shared" si="5"/>
        <v>2008</v>
      </c>
      <c r="I138" s="43"/>
      <c r="J138" s="38"/>
    </row>
    <row r="139" spans="1:10" x14ac:dyDescent="0.25">
      <c r="A139" s="43">
        <v>39630</v>
      </c>
      <c r="B139" s="38">
        <v>5.67</v>
      </c>
      <c r="C139">
        <f t="shared" si="5"/>
        <v>2008</v>
      </c>
      <c r="I139" s="43"/>
      <c r="J139" s="38"/>
    </row>
    <row r="140" spans="1:10" x14ac:dyDescent="0.25">
      <c r="A140" s="43">
        <v>39661</v>
      </c>
      <c r="B140" s="38">
        <v>5.64</v>
      </c>
      <c r="C140">
        <f t="shared" si="5"/>
        <v>2008</v>
      </c>
      <c r="I140" s="43"/>
      <c r="J140" s="38"/>
    </row>
    <row r="141" spans="1:10" x14ac:dyDescent="0.25">
      <c r="A141" s="43">
        <v>39692</v>
      </c>
      <c r="B141" s="38">
        <v>5.65</v>
      </c>
      <c r="C141">
        <f t="shared" si="5"/>
        <v>2008</v>
      </c>
      <c r="I141" s="43"/>
      <c r="J141" s="38"/>
    </row>
    <row r="142" spans="1:10" x14ac:dyDescent="0.25">
      <c r="A142" s="43">
        <v>39722</v>
      </c>
      <c r="B142" s="38">
        <v>6.28</v>
      </c>
      <c r="C142">
        <f t="shared" si="5"/>
        <v>2008</v>
      </c>
      <c r="I142" s="43"/>
      <c r="J142" s="38"/>
    </row>
    <row r="143" spans="1:10" x14ac:dyDescent="0.25">
      <c r="A143" s="43">
        <v>39753</v>
      </c>
      <c r="B143" s="38">
        <v>6.12</v>
      </c>
      <c r="C143">
        <f t="shared" ref="C143:C206" si="6">YEAR(A143)</f>
        <v>2008</v>
      </c>
      <c r="I143" s="43"/>
      <c r="J143" s="38"/>
    </row>
    <row r="144" spans="1:10" x14ac:dyDescent="0.25">
      <c r="A144" s="43">
        <v>39783</v>
      </c>
      <c r="B144" s="38">
        <v>5.05</v>
      </c>
      <c r="C144">
        <f t="shared" si="6"/>
        <v>2008</v>
      </c>
      <c r="I144" s="43"/>
      <c r="J144" s="38"/>
    </row>
    <row r="145" spans="1:10" x14ac:dyDescent="0.25">
      <c r="A145" s="43">
        <v>39814</v>
      </c>
      <c r="B145" s="38">
        <v>5.05</v>
      </c>
      <c r="C145">
        <f t="shared" si="6"/>
        <v>2009</v>
      </c>
      <c r="I145" s="43"/>
      <c r="J145" s="38"/>
    </row>
    <row r="146" spans="1:10" x14ac:dyDescent="0.25">
      <c r="A146" s="43">
        <v>39845</v>
      </c>
      <c r="B146" s="38">
        <v>5.27</v>
      </c>
      <c r="C146">
        <f t="shared" si="6"/>
        <v>2009</v>
      </c>
      <c r="I146" s="43"/>
      <c r="J146" s="38"/>
    </row>
    <row r="147" spans="1:10" x14ac:dyDescent="0.25">
      <c r="A147" s="43">
        <v>39873</v>
      </c>
      <c r="B147" s="38">
        <v>5.5</v>
      </c>
      <c r="C147">
        <f t="shared" si="6"/>
        <v>2009</v>
      </c>
      <c r="I147" s="43"/>
      <c r="J147" s="38"/>
    </row>
    <row r="148" spans="1:10" x14ac:dyDescent="0.25">
      <c r="A148" s="43">
        <v>39904</v>
      </c>
      <c r="B148" s="38">
        <v>5.39</v>
      </c>
      <c r="C148">
        <f t="shared" si="6"/>
        <v>2009</v>
      </c>
      <c r="I148" s="43"/>
      <c r="J148" s="38"/>
    </row>
    <row r="149" spans="1:10" x14ac:dyDescent="0.25">
      <c r="A149" s="43">
        <v>39934</v>
      </c>
      <c r="B149" s="38">
        <v>5.54</v>
      </c>
      <c r="C149">
        <f t="shared" si="6"/>
        <v>2009</v>
      </c>
      <c r="I149" s="43"/>
      <c r="J149" s="38"/>
    </row>
    <row r="150" spans="1:10" x14ac:dyDescent="0.25">
      <c r="A150" s="43">
        <v>39965</v>
      </c>
      <c r="B150" s="38">
        <v>5.61</v>
      </c>
      <c r="C150">
        <f t="shared" si="6"/>
        <v>2009</v>
      </c>
      <c r="I150" s="43"/>
      <c r="J150" s="38"/>
    </row>
    <row r="151" spans="1:10" x14ac:dyDescent="0.25">
      <c r="A151" s="43">
        <v>39995</v>
      </c>
      <c r="B151" s="38">
        <v>5.41</v>
      </c>
      <c r="C151">
        <f t="shared" si="6"/>
        <v>2009</v>
      </c>
      <c r="I151" s="43"/>
      <c r="J151" s="38"/>
    </row>
    <row r="152" spans="1:10" x14ac:dyDescent="0.25">
      <c r="A152" s="43">
        <v>40026</v>
      </c>
      <c r="B152" s="38">
        <v>5.26</v>
      </c>
      <c r="C152">
        <f t="shared" si="6"/>
        <v>2009</v>
      </c>
      <c r="I152" s="43"/>
      <c r="J152" s="38"/>
    </row>
    <row r="153" spans="1:10" x14ac:dyDescent="0.25">
      <c r="A153" s="43">
        <v>40057</v>
      </c>
      <c r="B153" s="38">
        <v>5.13</v>
      </c>
      <c r="C153">
        <f t="shared" si="6"/>
        <v>2009</v>
      </c>
      <c r="I153" s="43"/>
      <c r="J153" s="38"/>
    </row>
    <row r="154" spans="1:10" x14ac:dyDescent="0.25">
      <c r="A154" s="43">
        <v>40087</v>
      </c>
      <c r="B154" s="38">
        <v>5.15</v>
      </c>
      <c r="C154">
        <f t="shared" si="6"/>
        <v>2009</v>
      </c>
      <c r="I154" s="43"/>
      <c r="J154" s="38"/>
    </row>
    <row r="155" spans="1:10" x14ac:dyDescent="0.25">
      <c r="A155" s="43">
        <v>40118</v>
      </c>
      <c r="B155" s="38">
        <v>5.19</v>
      </c>
      <c r="C155">
        <f t="shared" si="6"/>
        <v>2009</v>
      </c>
      <c r="I155" s="43"/>
      <c r="J155" s="38"/>
    </row>
    <row r="156" spans="1:10" x14ac:dyDescent="0.25">
      <c r="A156" s="43">
        <v>40148</v>
      </c>
      <c r="B156" s="38">
        <v>5.26</v>
      </c>
      <c r="C156">
        <f t="shared" si="6"/>
        <v>2009</v>
      </c>
      <c r="I156" s="43"/>
      <c r="J156" s="38"/>
    </row>
    <row r="157" spans="1:10" x14ac:dyDescent="0.25">
      <c r="A157" s="43">
        <v>40179</v>
      </c>
      <c r="B157" s="38">
        <v>5.26</v>
      </c>
      <c r="C157">
        <f t="shared" si="6"/>
        <v>2010</v>
      </c>
      <c r="I157" s="43"/>
      <c r="J157" s="38"/>
    </row>
    <row r="158" spans="1:10" x14ac:dyDescent="0.25">
      <c r="A158" s="43">
        <v>40210</v>
      </c>
      <c r="B158" s="38">
        <v>5.35</v>
      </c>
      <c r="C158">
        <f t="shared" si="6"/>
        <v>2010</v>
      </c>
      <c r="I158" s="43"/>
      <c r="J158" s="38"/>
    </row>
    <row r="159" spans="1:10" x14ac:dyDescent="0.25">
      <c r="A159" s="43">
        <v>40238</v>
      </c>
      <c r="B159" s="38">
        <v>5.27</v>
      </c>
      <c r="C159">
        <f t="shared" si="6"/>
        <v>2010</v>
      </c>
      <c r="I159" s="43"/>
      <c r="J159" s="38"/>
    </row>
    <row r="160" spans="1:10" x14ac:dyDescent="0.25">
      <c r="A160" s="43">
        <v>40269</v>
      </c>
      <c r="B160" s="38">
        <v>5.29</v>
      </c>
      <c r="C160">
        <f t="shared" si="6"/>
        <v>2010</v>
      </c>
      <c r="I160" s="43"/>
      <c r="J160" s="38"/>
    </row>
    <row r="161" spans="1:10" x14ac:dyDescent="0.25">
      <c r="A161" s="43">
        <v>40299</v>
      </c>
      <c r="B161" s="38">
        <v>4.96</v>
      </c>
      <c r="C161">
        <f t="shared" si="6"/>
        <v>2010</v>
      </c>
      <c r="I161" s="43"/>
      <c r="J161" s="38"/>
    </row>
    <row r="162" spans="1:10" x14ac:dyDescent="0.25">
      <c r="A162" s="43">
        <v>40330</v>
      </c>
      <c r="B162" s="38">
        <v>4.88</v>
      </c>
      <c r="C162">
        <f t="shared" si="6"/>
        <v>2010</v>
      </c>
      <c r="I162" s="43"/>
      <c r="J162" s="38"/>
    </row>
    <row r="163" spans="1:10" x14ac:dyDescent="0.25">
      <c r="A163" s="43">
        <v>40360</v>
      </c>
      <c r="B163" s="38">
        <v>4.72</v>
      </c>
      <c r="C163">
        <f t="shared" si="6"/>
        <v>2010</v>
      </c>
      <c r="I163" s="43"/>
      <c r="J163" s="38"/>
    </row>
    <row r="164" spans="1:10" x14ac:dyDescent="0.25">
      <c r="A164" s="43">
        <v>40391</v>
      </c>
      <c r="B164" s="38">
        <v>4.49</v>
      </c>
      <c r="C164">
        <f t="shared" si="6"/>
        <v>2010</v>
      </c>
      <c r="I164" s="43"/>
      <c r="J164" s="38"/>
    </row>
    <row r="165" spans="1:10" x14ac:dyDescent="0.25">
      <c r="A165" s="43">
        <v>40422</v>
      </c>
      <c r="B165" s="38">
        <v>4.53</v>
      </c>
      <c r="C165">
        <f t="shared" si="6"/>
        <v>2010</v>
      </c>
      <c r="I165" s="43"/>
      <c r="J165" s="38"/>
    </row>
    <row r="166" spans="1:10" x14ac:dyDescent="0.25">
      <c r="A166" s="43">
        <v>40452</v>
      </c>
      <c r="B166" s="38">
        <v>4.68</v>
      </c>
      <c r="C166">
        <f t="shared" si="6"/>
        <v>2010</v>
      </c>
      <c r="I166" s="43"/>
      <c r="J166" s="38"/>
    </row>
    <row r="167" spans="1:10" x14ac:dyDescent="0.25">
      <c r="A167" s="43">
        <v>40483</v>
      </c>
      <c r="B167" s="38">
        <v>4.87</v>
      </c>
      <c r="C167">
        <f t="shared" si="6"/>
        <v>2010</v>
      </c>
      <c r="I167" s="43"/>
      <c r="J167" s="38"/>
    </row>
    <row r="168" spans="1:10" x14ac:dyDescent="0.25">
      <c r="A168" s="43">
        <v>40513</v>
      </c>
      <c r="B168" s="38">
        <v>5.0199999999999996</v>
      </c>
      <c r="C168">
        <f t="shared" si="6"/>
        <v>2010</v>
      </c>
      <c r="I168" s="43"/>
      <c r="J168" s="38"/>
    </row>
    <row r="169" spans="1:10" x14ac:dyDescent="0.25">
      <c r="A169" s="43">
        <v>40544</v>
      </c>
      <c r="B169" s="38">
        <v>5.04</v>
      </c>
      <c r="C169">
        <f t="shared" si="6"/>
        <v>2011</v>
      </c>
      <c r="I169" s="43"/>
      <c r="J169" s="38"/>
    </row>
    <row r="170" spans="1:10" x14ac:dyDescent="0.25">
      <c r="A170" s="43">
        <v>40575</v>
      </c>
      <c r="B170" s="38">
        <v>5.22</v>
      </c>
      <c r="C170">
        <f t="shared" si="6"/>
        <v>2011</v>
      </c>
      <c r="I170" s="43"/>
      <c r="J170" s="38"/>
    </row>
    <row r="171" spans="1:10" x14ac:dyDescent="0.25">
      <c r="A171" s="43">
        <v>40603</v>
      </c>
      <c r="B171" s="38">
        <v>5.13</v>
      </c>
      <c r="C171">
        <f t="shared" si="6"/>
        <v>2011</v>
      </c>
      <c r="I171" s="43"/>
      <c r="J171" s="38"/>
    </row>
    <row r="172" spans="1:10" x14ac:dyDescent="0.25">
      <c r="A172" s="43">
        <v>40634</v>
      </c>
      <c r="B172" s="38">
        <v>5.16</v>
      </c>
      <c r="C172">
        <f t="shared" si="6"/>
        <v>2011</v>
      </c>
      <c r="I172" s="43"/>
      <c r="J172" s="38"/>
    </row>
    <row r="173" spans="1:10" x14ac:dyDescent="0.25">
      <c r="A173" s="43">
        <v>40664</v>
      </c>
      <c r="B173" s="38">
        <v>4.96</v>
      </c>
      <c r="C173">
        <f t="shared" si="6"/>
        <v>2011</v>
      </c>
      <c r="I173" s="43"/>
      <c r="J173" s="38"/>
    </row>
    <row r="174" spans="1:10" x14ac:dyDescent="0.25">
      <c r="A174" s="43">
        <v>40695</v>
      </c>
      <c r="B174" s="38">
        <v>4.99</v>
      </c>
      <c r="C174">
        <f t="shared" si="6"/>
        <v>2011</v>
      </c>
      <c r="I174" s="43"/>
      <c r="J174" s="38"/>
    </row>
    <row r="175" spans="1:10" x14ac:dyDescent="0.25">
      <c r="A175" s="43">
        <v>40725</v>
      </c>
      <c r="B175" s="38">
        <v>4.93</v>
      </c>
      <c r="C175">
        <f t="shared" si="6"/>
        <v>2011</v>
      </c>
      <c r="I175" s="43"/>
      <c r="J175" s="38"/>
    </row>
    <row r="176" spans="1:10" x14ac:dyDescent="0.25">
      <c r="A176" s="43">
        <v>40756</v>
      </c>
      <c r="B176" s="38">
        <v>4.37</v>
      </c>
      <c r="C176">
        <f t="shared" si="6"/>
        <v>2011</v>
      </c>
      <c r="I176" s="43"/>
      <c r="J176" s="38"/>
    </row>
    <row r="177" spans="1:10" x14ac:dyDescent="0.25">
      <c r="A177" s="43">
        <v>40787</v>
      </c>
      <c r="B177" s="38">
        <v>4.09</v>
      </c>
      <c r="C177">
        <f t="shared" si="6"/>
        <v>2011</v>
      </c>
      <c r="I177" s="43"/>
      <c r="J177" s="38"/>
    </row>
    <row r="178" spans="1:10" x14ac:dyDescent="0.25">
      <c r="A178" s="43">
        <v>40817</v>
      </c>
      <c r="B178" s="38">
        <v>3.98</v>
      </c>
      <c r="C178">
        <f t="shared" si="6"/>
        <v>2011</v>
      </c>
      <c r="I178" s="43"/>
      <c r="J178" s="38"/>
    </row>
    <row r="179" spans="1:10" x14ac:dyDescent="0.25">
      <c r="A179" s="43">
        <v>40848</v>
      </c>
      <c r="B179" s="38">
        <v>3.87</v>
      </c>
      <c r="C179">
        <f t="shared" si="6"/>
        <v>2011</v>
      </c>
      <c r="I179" s="43"/>
      <c r="J179" s="38"/>
    </row>
    <row r="180" spans="1:10" x14ac:dyDescent="0.25">
      <c r="A180" s="43">
        <v>40878</v>
      </c>
      <c r="B180" s="38">
        <v>3.93</v>
      </c>
      <c r="C180">
        <f t="shared" si="6"/>
        <v>2011</v>
      </c>
      <c r="I180" s="43"/>
      <c r="J180" s="38"/>
    </row>
    <row r="181" spans="1:10" x14ac:dyDescent="0.25">
      <c r="A181" s="43">
        <v>40909</v>
      </c>
      <c r="B181" s="38">
        <v>3.85</v>
      </c>
      <c r="C181">
        <f t="shared" si="6"/>
        <v>2012</v>
      </c>
      <c r="I181" s="43"/>
      <c r="J181" s="38"/>
    </row>
    <row r="182" spans="1:10" x14ac:dyDescent="0.25">
      <c r="A182" s="43">
        <v>40940</v>
      </c>
      <c r="B182" s="38">
        <v>3.85</v>
      </c>
      <c r="C182">
        <f t="shared" si="6"/>
        <v>2012</v>
      </c>
      <c r="I182" s="43"/>
      <c r="J182" s="38"/>
    </row>
    <row r="183" spans="1:10" x14ac:dyDescent="0.25">
      <c r="A183" s="43">
        <v>40969</v>
      </c>
      <c r="B183" s="38">
        <v>3.99</v>
      </c>
      <c r="C183">
        <f t="shared" si="6"/>
        <v>2012</v>
      </c>
      <c r="I183" s="43"/>
      <c r="J183" s="38"/>
    </row>
    <row r="184" spans="1:10" x14ac:dyDescent="0.25">
      <c r="A184" s="43">
        <v>41000</v>
      </c>
      <c r="B184" s="38">
        <v>3.96</v>
      </c>
      <c r="C184">
        <f t="shared" si="6"/>
        <v>2012</v>
      </c>
      <c r="I184" s="43"/>
      <c r="J184" s="38"/>
    </row>
    <row r="185" spans="1:10" x14ac:dyDescent="0.25">
      <c r="A185" s="43">
        <v>41030</v>
      </c>
      <c r="B185" s="38">
        <v>3.8</v>
      </c>
      <c r="C185">
        <f t="shared" si="6"/>
        <v>2012</v>
      </c>
      <c r="I185" s="43"/>
      <c r="J185" s="38"/>
    </row>
    <row r="186" spans="1:10" x14ac:dyDescent="0.25">
      <c r="A186" s="43">
        <v>41061</v>
      </c>
      <c r="B186" s="38">
        <v>3.64</v>
      </c>
      <c r="C186">
        <f t="shared" si="6"/>
        <v>2012</v>
      </c>
      <c r="I186" s="43"/>
      <c r="J186" s="38"/>
    </row>
    <row r="187" spans="1:10" x14ac:dyDescent="0.25">
      <c r="A187" s="43">
        <v>41091</v>
      </c>
      <c r="B187" s="38">
        <v>3.4</v>
      </c>
      <c r="C187">
        <f t="shared" si="6"/>
        <v>2012</v>
      </c>
      <c r="I187" s="43"/>
      <c r="J187" s="38"/>
    </row>
    <row r="188" spans="1:10" x14ac:dyDescent="0.25">
      <c r="A188" s="43">
        <v>41122</v>
      </c>
      <c r="B188" s="38">
        <v>3.48</v>
      </c>
      <c r="C188">
        <f t="shared" si="6"/>
        <v>2012</v>
      </c>
      <c r="I188" s="43"/>
      <c r="J188" s="38"/>
    </row>
    <row r="189" spans="1:10" x14ac:dyDescent="0.25">
      <c r="A189" s="43">
        <v>41153</v>
      </c>
      <c r="B189" s="38">
        <v>3.49</v>
      </c>
      <c r="C189">
        <f t="shared" si="6"/>
        <v>2012</v>
      </c>
      <c r="I189" s="43"/>
      <c r="J189" s="38"/>
    </row>
    <row r="190" spans="1:10" x14ac:dyDescent="0.25">
      <c r="A190" s="43">
        <v>41183</v>
      </c>
      <c r="B190" s="38">
        <v>3.47</v>
      </c>
      <c r="C190">
        <f t="shared" si="6"/>
        <v>2012</v>
      </c>
      <c r="I190" s="43"/>
      <c r="J190" s="38"/>
    </row>
    <row r="191" spans="1:10" x14ac:dyDescent="0.25">
      <c r="A191" s="43">
        <v>41214</v>
      </c>
      <c r="B191" s="38">
        <v>3.5</v>
      </c>
      <c r="C191">
        <f t="shared" si="6"/>
        <v>2012</v>
      </c>
      <c r="I191" s="43"/>
      <c r="J191" s="38"/>
    </row>
    <row r="192" spans="1:10" x14ac:dyDescent="0.25">
      <c r="A192" s="43">
        <v>41244</v>
      </c>
      <c r="B192" s="38">
        <v>3.65</v>
      </c>
      <c r="C192">
        <f t="shared" si="6"/>
        <v>2012</v>
      </c>
      <c r="I192" s="43"/>
      <c r="J192" s="38"/>
    </row>
    <row r="193" spans="1:10" x14ac:dyDescent="0.25">
      <c r="A193" s="43">
        <v>41275</v>
      </c>
      <c r="B193" s="38">
        <v>3.8</v>
      </c>
      <c r="C193">
        <f t="shared" si="6"/>
        <v>2013</v>
      </c>
      <c r="I193" s="43"/>
      <c r="J193" s="38"/>
    </row>
    <row r="194" spans="1:10" x14ac:dyDescent="0.25">
      <c r="A194" s="43">
        <v>41306</v>
      </c>
      <c r="B194" s="38">
        <v>3.9</v>
      </c>
      <c r="C194">
        <f t="shared" si="6"/>
        <v>2013</v>
      </c>
      <c r="I194" s="43"/>
      <c r="J194" s="38"/>
    </row>
    <row r="195" spans="1:10" x14ac:dyDescent="0.25">
      <c r="A195" s="43">
        <v>41334</v>
      </c>
      <c r="B195" s="38">
        <v>3.93</v>
      </c>
      <c r="C195">
        <f t="shared" si="6"/>
        <v>2013</v>
      </c>
      <c r="I195" s="43"/>
      <c r="J195" s="38"/>
    </row>
    <row r="196" spans="1:10" x14ac:dyDescent="0.25">
      <c r="A196" s="43">
        <v>41365</v>
      </c>
      <c r="B196" s="38">
        <v>3.73</v>
      </c>
      <c r="C196">
        <f t="shared" si="6"/>
        <v>2013</v>
      </c>
      <c r="I196" s="43"/>
      <c r="J196" s="38"/>
    </row>
    <row r="197" spans="1:10" x14ac:dyDescent="0.25">
      <c r="A197" s="43">
        <v>41395</v>
      </c>
      <c r="B197" s="38">
        <v>3.89</v>
      </c>
      <c r="C197">
        <f t="shared" si="6"/>
        <v>2013</v>
      </c>
      <c r="I197" s="43"/>
      <c r="J197" s="38"/>
    </row>
    <row r="198" spans="1:10" x14ac:dyDescent="0.25">
      <c r="A198" s="43">
        <v>41426</v>
      </c>
      <c r="B198" s="38">
        <v>4.2699999999999996</v>
      </c>
      <c r="C198">
        <f t="shared" si="6"/>
        <v>2013</v>
      </c>
      <c r="I198" s="43"/>
      <c r="J198" s="38"/>
    </row>
    <row r="199" spans="1:10" x14ac:dyDescent="0.25">
      <c r="A199" s="43">
        <v>41456</v>
      </c>
      <c r="B199" s="38">
        <v>4.34</v>
      </c>
      <c r="C199">
        <f t="shared" si="6"/>
        <v>2013</v>
      </c>
      <c r="I199" s="43"/>
      <c r="J199" s="38"/>
    </row>
    <row r="200" spans="1:10" x14ac:dyDescent="0.25">
      <c r="A200" s="43">
        <v>41487</v>
      </c>
      <c r="B200" s="38">
        <v>4.54</v>
      </c>
      <c r="C200">
        <f t="shared" si="6"/>
        <v>2013</v>
      </c>
      <c r="I200" s="43"/>
      <c r="J200" s="38"/>
    </row>
    <row r="201" spans="1:10" x14ac:dyDescent="0.25">
      <c r="A201" s="43">
        <v>41518</v>
      </c>
      <c r="B201" s="38">
        <v>4.6399999999999997</v>
      </c>
      <c r="C201">
        <f t="shared" si="6"/>
        <v>2013</v>
      </c>
      <c r="I201" s="43"/>
      <c r="J201" s="38"/>
    </row>
    <row r="202" spans="1:10" x14ac:dyDescent="0.25">
      <c r="A202" s="43">
        <v>41548</v>
      </c>
      <c r="B202" s="38">
        <v>4.53</v>
      </c>
      <c r="C202">
        <f t="shared" si="6"/>
        <v>2013</v>
      </c>
      <c r="I202" s="43"/>
      <c r="J202" s="38"/>
    </row>
    <row r="203" spans="1:10" x14ac:dyDescent="0.25">
      <c r="A203" s="43">
        <v>41579</v>
      </c>
      <c r="B203" s="38">
        <v>4.63</v>
      </c>
      <c r="C203">
        <f t="shared" si="6"/>
        <v>2013</v>
      </c>
      <c r="I203" s="43"/>
      <c r="J203" s="38"/>
    </row>
    <row r="204" spans="1:10" x14ac:dyDescent="0.25">
      <c r="A204" s="43">
        <v>41609</v>
      </c>
      <c r="B204" s="38">
        <v>4.62</v>
      </c>
      <c r="C204">
        <f t="shared" si="6"/>
        <v>2013</v>
      </c>
      <c r="I204" s="43"/>
      <c r="J204" s="38"/>
    </row>
    <row r="205" spans="1:10" x14ac:dyDescent="0.25">
      <c r="A205" s="43">
        <v>41640</v>
      </c>
      <c r="B205" s="38">
        <v>4.49</v>
      </c>
      <c r="C205">
        <f t="shared" si="6"/>
        <v>2014</v>
      </c>
      <c r="I205" s="43"/>
      <c r="J205" s="38"/>
    </row>
    <row r="206" spans="1:10" x14ac:dyDescent="0.25">
      <c r="A206" s="43">
        <v>41671</v>
      </c>
      <c r="B206" s="38">
        <v>4.45</v>
      </c>
      <c r="C206">
        <f t="shared" si="6"/>
        <v>2014</v>
      </c>
      <c r="I206" s="43"/>
      <c r="J206" s="38"/>
    </row>
    <row r="207" spans="1:10" x14ac:dyDescent="0.25">
      <c r="A207" s="43">
        <v>41699</v>
      </c>
      <c r="B207" s="38">
        <v>4.38</v>
      </c>
      <c r="C207">
        <f t="shared" ref="C207:C270" si="7">YEAR(A207)</f>
        <v>2014</v>
      </c>
      <c r="I207" s="43"/>
      <c r="J207" s="38"/>
    </row>
    <row r="208" spans="1:10" x14ac:dyDescent="0.25">
      <c r="A208" s="43">
        <v>41730</v>
      </c>
      <c r="B208" s="38">
        <v>4.24</v>
      </c>
      <c r="C208">
        <f t="shared" si="7"/>
        <v>2014</v>
      </c>
      <c r="I208" s="43"/>
      <c r="J208" s="38"/>
    </row>
    <row r="209" spans="1:10" x14ac:dyDescent="0.25">
      <c r="A209" s="43">
        <v>41760</v>
      </c>
      <c r="B209" s="38">
        <v>4.16</v>
      </c>
      <c r="C209">
        <f t="shared" si="7"/>
        <v>2014</v>
      </c>
      <c r="I209" s="43"/>
      <c r="J209" s="38"/>
    </row>
    <row r="210" spans="1:10" x14ac:dyDescent="0.25">
      <c r="A210" s="43">
        <v>41791</v>
      </c>
      <c r="B210" s="38">
        <v>4.25</v>
      </c>
      <c r="C210">
        <f t="shared" si="7"/>
        <v>2014</v>
      </c>
      <c r="I210" s="43"/>
      <c r="J210" s="38"/>
    </row>
    <row r="211" spans="1:10" x14ac:dyDescent="0.25">
      <c r="A211" s="43">
        <v>41821</v>
      </c>
      <c r="B211" s="38">
        <v>4.16</v>
      </c>
      <c r="C211">
        <f t="shared" si="7"/>
        <v>2014</v>
      </c>
      <c r="I211" s="43"/>
      <c r="J211" s="38"/>
    </row>
    <row r="212" spans="1:10" x14ac:dyDescent="0.25">
      <c r="A212" s="43">
        <v>41852</v>
      </c>
      <c r="B212" s="38">
        <v>4.08</v>
      </c>
      <c r="C212">
        <f t="shared" si="7"/>
        <v>2014</v>
      </c>
      <c r="I212" s="43"/>
      <c r="J212" s="38"/>
    </row>
    <row r="213" spans="1:10" x14ac:dyDescent="0.25">
      <c r="A213" s="43">
        <v>41883</v>
      </c>
      <c r="B213" s="38">
        <v>4.1100000000000003</v>
      </c>
      <c r="C213">
        <f t="shared" si="7"/>
        <v>2014</v>
      </c>
      <c r="I213" s="43"/>
      <c r="J213" s="38"/>
    </row>
    <row r="214" spans="1:10" x14ac:dyDescent="0.25">
      <c r="A214" s="43">
        <v>41913</v>
      </c>
      <c r="B214" s="38">
        <v>3.92</v>
      </c>
      <c r="C214">
        <f t="shared" si="7"/>
        <v>2014</v>
      </c>
      <c r="I214" s="43"/>
      <c r="J214" s="38"/>
    </row>
    <row r="215" spans="1:10" x14ac:dyDescent="0.25">
      <c r="A215" s="43">
        <v>41944</v>
      </c>
      <c r="B215" s="38">
        <v>3.92</v>
      </c>
      <c r="C215">
        <f t="shared" si="7"/>
        <v>2014</v>
      </c>
      <c r="I215" s="43"/>
      <c r="J215" s="38"/>
    </row>
    <row r="216" spans="1:10" x14ac:dyDescent="0.25">
      <c r="A216" s="43">
        <v>41974</v>
      </c>
      <c r="B216" s="38">
        <v>3.79</v>
      </c>
      <c r="C216">
        <f t="shared" si="7"/>
        <v>2014</v>
      </c>
      <c r="I216" s="43"/>
      <c r="J216" s="38"/>
    </row>
    <row r="217" spans="1:10" x14ac:dyDescent="0.25">
      <c r="A217" s="43">
        <v>42005</v>
      </c>
      <c r="B217" s="38">
        <v>3.46</v>
      </c>
      <c r="C217">
        <f t="shared" si="7"/>
        <v>2015</v>
      </c>
      <c r="I217" s="43"/>
      <c r="J217" s="38"/>
    </row>
    <row r="218" spans="1:10" x14ac:dyDescent="0.25">
      <c r="A218" s="43">
        <v>42036</v>
      </c>
      <c r="B218" s="38">
        <v>3.61</v>
      </c>
      <c r="C218">
        <f t="shared" si="7"/>
        <v>2015</v>
      </c>
      <c r="I218" s="43"/>
      <c r="J218" s="38"/>
    </row>
    <row r="219" spans="1:10" x14ac:dyDescent="0.25">
      <c r="A219" s="43">
        <v>42064</v>
      </c>
      <c r="B219" s="38">
        <v>3.64</v>
      </c>
      <c r="C219">
        <f t="shared" si="7"/>
        <v>2015</v>
      </c>
      <c r="I219" s="43"/>
      <c r="J219" s="38"/>
    </row>
    <row r="220" spans="1:10" x14ac:dyDescent="0.25">
      <c r="A220" s="43">
        <v>42095</v>
      </c>
      <c r="B220" s="38">
        <v>3.52</v>
      </c>
      <c r="C220">
        <f t="shared" si="7"/>
        <v>2015</v>
      </c>
      <c r="I220" s="43"/>
      <c r="J220" s="38"/>
    </row>
    <row r="221" spans="1:10" x14ac:dyDescent="0.25">
      <c r="A221" s="43">
        <v>42125</v>
      </c>
      <c r="B221" s="38">
        <v>3.98</v>
      </c>
      <c r="C221">
        <f t="shared" si="7"/>
        <v>2015</v>
      </c>
      <c r="I221" s="43"/>
      <c r="J221" s="38"/>
    </row>
    <row r="222" spans="1:10" x14ac:dyDescent="0.25">
      <c r="A222" s="43">
        <v>42156</v>
      </c>
      <c r="B222" s="38">
        <v>4.1900000000000004</v>
      </c>
      <c r="C222">
        <f t="shared" si="7"/>
        <v>2015</v>
      </c>
      <c r="I222" s="43"/>
      <c r="J222" s="38"/>
    </row>
    <row r="223" spans="1:10" x14ac:dyDescent="0.25">
      <c r="A223" s="43">
        <v>42186</v>
      </c>
      <c r="B223" s="38">
        <v>4.1500000000000004</v>
      </c>
      <c r="C223">
        <f t="shared" si="7"/>
        <v>2015</v>
      </c>
      <c r="I223" s="43"/>
      <c r="J223" s="38"/>
    </row>
    <row r="224" spans="1:10" x14ac:dyDescent="0.25">
      <c r="A224" s="43">
        <v>42217</v>
      </c>
      <c r="B224" s="38">
        <v>4.04</v>
      </c>
      <c r="C224">
        <f t="shared" si="7"/>
        <v>2015</v>
      </c>
      <c r="I224" s="43"/>
      <c r="J224" s="38"/>
    </row>
    <row r="225" spans="1:10" x14ac:dyDescent="0.25">
      <c r="A225" s="43">
        <v>42248</v>
      </c>
      <c r="B225" s="38">
        <v>4.07</v>
      </c>
      <c r="C225">
        <f t="shared" si="7"/>
        <v>2015</v>
      </c>
      <c r="I225" s="43"/>
      <c r="J225" s="38"/>
    </row>
    <row r="226" spans="1:10" x14ac:dyDescent="0.25">
      <c r="A226" s="43">
        <v>42278</v>
      </c>
      <c r="B226" s="38">
        <v>3.95</v>
      </c>
      <c r="C226">
        <f t="shared" si="7"/>
        <v>2015</v>
      </c>
      <c r="I226" s="43"/>
      <c r="J226" s="38"/>
    </row>
    <row r="227" spans="1:10" x14ac:dyDescent="0.25">
      <c r="A227" s="43">
        <v>42309</v>
      </c>
      <c r="B227" s="38">
        <v>4.0599999999999996</v>
      </c>
      <c r="C227">
        <f t="shared" si="7"/>
        <v>2015</v>
      </c>
      <c r="I227" s="43"/>
      <c r="J227" s="38"/>
    </row>
    <row r="228" spans="1:10" x14ac:dyDescent="0.25">
      <c r="A228" s="43">
        <v>42339</v>
      </c>
      <c r="B228" s="38">
        <v>3.97</v>
      </c>
      <c r="C228">
        <f t="shared" si="7"/>
        <v>2015</v>
      </c>
      <c r="I228" s="43"/>
      <c r="J228" s="38"/>
    </row>
    <row r="229" spans="1:10" x14ac:dyDescent="0.25">
      <c r="A229" s="43">
        <v>42370</v>
      </c>
      <c r="B229" s="38">
        <v>4</v>
      </c>
      <c r="C229">
        <f t="shared" si="7"/>
        <v>2016</v>
      </c>
      <c r="I229" s="43"/>
      <c r="J229" s="38"/>
    </row>
    <row r="230" spans="1:10" x14ac:dyDescent="0.25">
      <c r="A230" s="43">
        <v>42401</v>
      </c>
      <c r="B230" s="38">
        <v>3.96</v>
      </c>
      <c r="C230">
        <f t="shared" si="7"/>
        <v>2016</v>
      </c>
      <c r="I230" s="43"/>
      <c r="J230" s="38"/>
    </row>
    <row r="231" spans="1:10" x14ac:dyDescent="0.25">
      <c r="A231" s="43">
        <v>42430</v>
      </c>
      <c r="B231" s="38">
        <v>3.82</v>
      </c>
      <c r="C231">
        <f t="shared" si="7"/>
        <v>2016</v>
      </c>
      <c r="I231" s="43"/>
      <c r="J231" s="38"/>
    </row>
    <row r="232" spans="1:10" x14ac:dyDescent="0.25">
      <c r="A232" s="43">
        <v>42461</v>
      </c>
      <c r="B232" s="38">
        <v>3.62</v>
      </c>
      <c r="C232">
        <f t="shared" si="7"/>
        <v>2016</v>
      </c>
      <c r="I232" s="43"/>
      <c r="J232" s="38"/>
    </row>
    <row r="233" spans="1:10" x14ac:dyDescent="0.25">
      <c r="A233" s="43">
        <v>42491</v>
      </c>
      <c r="B233" s="38">
        <v>3.65</v>
      </c>
      <c r="C233">
        <f t="shared" si="7"/>
        <v>2016</v>
      </c>
      <c r="I233" s="43"/>
      <c r="J233" s="38"/>
    </row>
    <row r="234" spans="1:10" x14ac:dyDescent="0.25">
      <c r="A234" s="43">
        <v>42522</v>
      </c>
      <c r="B234" s="38">
        <v>3.5</v>
      </c>
      <c r="C234">
        <f t="shared" si="7"/>
        <v>2016</v>
      </c>
      <c r="I234" s="43"/>
      <c r="J234" s="38"/>
    </row>
    <row r="235" spans="1:10" x14ac:dyDescent="0.25">
      <c r="A235" s="43">
        <v>42552</v>
      </c>
      <c r="B235" s="38">
        <v>3.28</v>
      </c>
      <c r="C235">
        <f t="shared" si="7"/>
        <v>2016</v>
      </c>
      <c r="I235" s="43"/>
      <c r="J235" s="38"/>
    </row>
    <row r="236" spans="1:10" x14ac:dyDescent="0.25">
      <c r="A236" s="43">
        <v>42583</v>
      </c>
      <c r="B236" s="38">
        <v>3.32</v>
      </c>
      <c r="C236">
        <f t="shared" si="7"/>
        <v>2016</v>
      </c>
      <c r="I236" s="43"/>
      <c r="J236" s="38"/>
    </row>
    <row r="237" spans="1:10" x14ac:dyDescent="0.25">
      <c r="A237" s="43">
        <v>42614</v>
      </c>
      <c r="B237" s="38">
        <v>3.41</v>
      </c>
      <c r="C237">
        <f t="shared" si="7"/>
        <v>2016</v>
      </c>
      <c r="I237" s="43"/>
      <c r="J237" s="38"/>
    </row>
    <row r="238" spans="1:10" x14ac:dyDescent="0.25">
      <c r="A238" s="43">
        <v>42644</v>
      </c>
      <c r="B238" s="38">
        <v>3.51</v>
      </c>
      <c r="C238">
        <f t="shared" si="7"/>
        <v>2016</v>
      </c>
      <c r="I238" s="43"/>
      <c r="J238" s="38"/>
    </row>
    <row r="239" spans="1:10" x14ac:dyDescent="0.25">
      <c r="A239" s="43">
        <v>42675</v>
      </c>
      <c r="B239" s="38">
        <v>3.86</v>
      </c>
      <c r="C239">
        <f t="shared" si="7"/>
        <v>2016</v>
      </c>
      <c r="I239" s="43"/>
      <c r="J239" s="38"/>
    </row>
    <row r="240" spans="1:10" x14ac:dyDescent="0.25">
      <c r="A240" s="43">
        <v>42705</v>
      </c>
      <c r="B240" s="38">
        <v>4.0599999999999996</v>
      </c>
      <c r="C240">
        <f t="shared" si="7"/>
        <v>2016</v>
      </c>
      <c r="I240" s="43"/>
      <c r="J240" s="38"/>
    </row>
    <row r="241" spans="1:10" x14ac:dyDescent="0.25">
      <c r="A241" s="43">
        <v>42736</v>
      </c>
      <c r="B241" s="38">
        <v>3.92</v>
      </c>
      <c r="C241">
        <f t="shared" si="7"/>
        <v>2017</v>
      </c>
      <c r="I241" s="43"/>
      <c r="J241" s="38"/>
    </row>
    <row r="242" spans="1:10" x14ac:dyDescent="0.25">
      <c r="A242" s="43">
        <v>42767</v>
      </c>
      <c r="B242" s="38">
        <v>3.95</v>
      </c>
      <c r="C242">
        <f t="shared" si="7"/>
        <v>2017</v>
      </c>
      <c r="I242" s="43"/>
      <c r="J242" s="38"/>
    </row>
    <row r="243" spans="1:10" x14ac:dyDescent="0.25">
      <c r="A243" s="43">
        <v>42795</v>
      </c>
      <c r="B243" s="38">
        <v>4.01</v>
      </c>
      <c r="C243">
        <f t="shared" si="7"/>
        <v>2017</v>
      </c>
      <c r="I243" s="43"/>
      <c r="J243" s="38"/>
    </row>
    <row r="244" spans="1:10" x14ac:dyDescent="0.25">
      <c r="A244" s="43">
        <v>42826</v>
      </c>
      <c r="B244" s="38">
        <v>3.87</v>
      </c>
      <c r="C244">
        <f t="shared" si="7"/>
        <v>2017</v>
      </c>
      <c r="I244" s="43"/>
      <c r="J244" s="38"/>
    </row>
    <row r="245" spans="1:10" x14ac:dyDescent="0.25">
      <c r="A245" s="43">
        <v>42856</v>
      </c>
      <c r="B245" s="38">
        <v>3.85</v>
      </c>
      <c r="C245">
        <f t="shared" si="7"/>
        <v>2017</v>
      </c>
      <c r="I245" s="43"/>
      <c r="J245" s="38"/>
    </row>
    <row r="246" spans="1:10" x14ac:dyDescent="0.25">
      <c r="A246" s="43">
        <v>42887</v>
      </c>
      <c r="B246" s="38">
        <v>3.68</v>
      </c>
      <c r="C246">
        <f t="shared" si="7"/>
        <v>2017</v>
      </c>
      <c r="I246" s="43"/>
      <c r="J246" s="38"/>
    </row>
    <row r="247" spans="1:10" x14ac:dyDescent="0.25">
      <c r="A247" s="43">
        <v>42917</v>
      </c>
      <c r="B247" s="38">
        <v>3.7</v>
      </c>
      <c r="C247">
        <f t="shared" si="7"/>
        <v>2017</v>
      </c>
    </row>
    <row r="248" spans="1:10" x14ac:dyDescent="0.25">
      <c r="A248" s="43">
        <v>42948</v>
      </c>
      <c r="B248" s="38">
        <v>3.63</v>
      </c>
      <c r="C248">
        <f t="shared" si="7"/>
        <v>2017</v>
      </c>
    </row>
    <row r="249" spans="1:10" x14ac:dyDescent="0.25">
      <c r="A249" s="43">
        <v>42979</v>
      </c>
      <c r="B249" s="38">
        <v>3.63</v>
      </c>
      <c r="C249">
        <f t="shared" si="7"/>
        <v>2017</v>
      </c>
    </row>
    <row r="250" spans="1:10" x14ac:dyDescent="0.25">
      <c r="A250" s="43">
        <v>43009</v>
      </c>
      <c r="B250" s="38">
        <v>3.6</v>
      </c>
      <c r="C250">
        <f t="shared" si="7"/>
        <v>2017</v>
      </c>
    </row>
    <row r="251" spans="1:10" x14ac:dyDescent="0.25">
      <c r="A251" s="43">
        <v>43040</v>
      </c>
      <c r="B251" s="38">
        <v>3.57</v>
      </c>
      <c r="C251">
        <f t="shared" si="7"/>
        <v>2017</v>
      </c>
    </row>
    <row r="252" spans="1:10" x14ac:dyDescent="0.25">
      <c r="A252" s="43">
        <v>43070</v>
      </c>
      <c r="B252" s="38">
        <v>3.51</v>
      </c>
      <c r="C252">
        <f t="shared" si="7"/>
        <v>2017</v>
      </c>
    </row>
    <row r="253" spans="1:10" x14ac:dyDescent="0.25">
      <c r="A253" s="43">
        <v>43101</v>
      </c>
      <c r="B253" s="38">
        <v>3.55</v>
      </c>
      <c r="C253">
        <f t="shared" si="7"/>
        <v>2018</v>
      </c>
    </row>
    <row r="254" spans="1:10" x14ac:dyDescent="0.25">
      <c r="A254" s="43">
        <v>43132</v>
      </c>
      <c r="B254" s="38">
        <v>3.82</v>
      </c>
      <c r="C254">
        <f t="shared" si="7"/>
        <v>2018</v>
      </c>
    </row>
    <row r="255" spans="1:10" x14ac:dyDescent="0.25">
      <c r="A255" s="43">
        <v>43160</v>
      </c>
      <c r="B255" s="38">
        <v>3.87</v>
      </c>
      <c r="C255">
        <f t="shared" si="7"/>
        <v>2018</v>
      </c>
    </row>
    <row r="256" spans="1:10" x14ac:dyDescent="0.25">
      <c r="A256" s="43">
        <v>43191</v>
      </c>
      <c r="B256" s="38">
        <v>3.85</v>
      </c>
      <c r="C256">
        <f t="shared" si="7"/>
        <v>2018</v>
      </c>
    </row>
    <row r="257" spans="1:3" x14ac:dyDescent="0.25">
      <c r="A257" s="43">
        <v>43221</v>
      </c>
      <c r="B257" s="38">
        <v>4</v>
      </c>
      <c r="C257">
        <f t="shared" si="7"/>
        <v>2018</v>
      </c>
    </row>
    <row r="258" spans="1:3" x14ac:dyDescent="0.25">
      <c r="A258" s="43">
        <v>43252</v>
      </c>
      <c r="B258" s="38">
        <v>3.96</v>
      </c>
      <c r="C258">
        <f t="shared" si="7"/>
        <v>2018</v>
      </c>
    </row>
    <row r="259" spans="1:3" x14ac:dyDescent="0.25">
      <c r="A259" s="43">
        <v>43282</v>
      </c>
      <c r="B259" s="38">
        <v>3.87</v>
      </c>
      <c r="C259">
        <f t="shared" si="7"/>
        <v>2018</v>
      </c>
    </row>
    <row r="260" spans="1:3" x14ac:dyDescent="0.25">
      <c r="A260" s="43">
        <v>43313</v>
      </c>
      <c r="B260" s="38">
        <v>3.88</v>
      </c>
      <c r="C260">
        <f t="shared" si="7"/>
        <v>2018</v>
      </c>
    </row>
    <row r="261" spans="1:3" x14ac:dyDescent="0.25">
      <c r="A261" s="43">
        <v>43344</v>
      </c>
      <c r="B261" s="38">
        <v>3.98</v>
      </c>
      <c r="C261">
        <f t="shared" si="7"/>
        <v>2018</v>
      </c>
    </row>
    <row r="262" spans="1:3" x14ac:dyDescent="0.25">
      <c r="A262" s="43">
        <v>43374</v>
      </c>
      <c r="B262" s="38">
        <v>4.1399999999999997</v>
      </c>
      <c r="C262">
        <f t="shared" si="7"/>
        <v>2018</v>
      </c>
    </row>
    <row r="263" spans="1:3" x14ac:dyDescent="0.25">
      <c r="A263" s="43">
        <v>43405</v>
      </c>
      <c r="B263" s="38">
        <v>4.22</v>
      </c>
      <c r="C263">
        <f t="shared" si="7"/>
        <v>2018</v>
      </c>
    </row>
    <row r="264" spans="1:3" x14ac:dyDescent="0.25">
      <c r="A264" s="43">
        <v>43435</v>
      </c>
      <c r="B264" s="38">
        <v>4.0199999999999996</v>
      </c>
      <c r="C264">
        <f t="shared" si="7"/>
        <v>2018</v>
      </c>
    </row>
    <row r="265" spans="1:3" x14ac:dyDescent="0.25">
      <c r="A265" s="43">
        <v>43466</v>
      </c>
      <c r="B265" s="38">
        <v>3.93</v>
      </c>
      <c r="C265">
        <f t="shared" si="7"/>
        <v>2019</v>
      </c>
    </row>
    <row r="266" spans="1:3" x14ac:dyDescent="0.25">
      <c r="A266" s="43">
        <v>43497</v>
      </c>
      <c r="B266" s="38">
        <v>3.79</v>
      </c>
      <c r="C266">
        <f t="shared" si="7"/>
        <v>2019</v>
      </c>
    </row>
    <row r="267" spans="1:3" x14ac:dyDescent="0.25">
      <c r="A267" s="43">
        <v>43525</v>
      </c>
      <c r="B267" s="38">
        <v>3.77</v>
      </c>
      <c r="C267">
        <f t="shared" si="7"/>
        <v>2019</v>
      </c>
    </row>
    <row r="268" spans="1:3" x14ac:dyDescent="0.25">
      <c r="A268" s="43">
        <v>43556</v>
      </c>
      <c r="B268" s="38">
        <v>3.69</v>
      </c>
      <c r="C268">
        <f t="shared" si="7"/>
        <v>2019</v>
      </c>
    </row>
    <row r="269" spans="1:3" x14ac:dyDescent="0.25">
      <c r="A269" s="43">
        <v>43586</v>
      </c>
      <c r="B269" s="38">
        <v>3.67</v>
      </c>
      <c r="C269">
        <f t="shared" si="7"/>
        <v>2019</v>
      </c>
    </row>
    <row r="270" spans="1:3" x14ac:dyDescent="0.25">
      <c r="A270" s="43">
        <v>43617</v>
      </c>
      <c r="B270" s="38">
        <v>3.42</v>
      </c>
      <c r="C270">
        <f t="shared" si="7"/>
        <v>2019</v>
      </c>
    </row>
    <row r="271" spans="1:3" x14ac:dyDescent="0.25">
      <c r="A271" s="43">
        <v>43647</v>
      </c>
      <c r="B271" s="38">
        <v>3.29</v>
      </c>
      <c r="C271">
        <f t="shared" ref="C271:C288" si="8">YEAR(A271)</f>
        <v>2019</v>
      </c>
    </row>
    <row r="272" spans="1:3" x14ac:dyDescent="0.25">
      <c r="A272" s="43">
        <v>43678</v>
      </c>
      <c r="B272" s="38">
        <v>2.98</v>
      </c>
      <c r="C272">
        <f t="shared" si="8"/>
        <v>2019</v>
      </c>
    </row>
    <row r="273" spans="1:3" x14ac:dyDescent="0.25">
      <c r="A273" s="43">
        <v>43709</v>
      </c>
      <c r="B273" s="38">
        <v>3.03</v>
      </c>
      <c r="C273">
        <f t="shared" si="8"/>
        <v>2019</v>
      </c>
    </row>
    <row r="274" spans="1:3" x14ac:dyDescent="0.25">
      <c r="A274" s="43">
        <v>43739</v>
      </c>
      <c r="B274" s="38">
        <v>3.01</v>
      </c>
      <c r="C274">
        <f t="shared" si="8"/>
        <v>2019</v>
      </c>
    </row>
    <row r="275" spans="1:3" x14ac:dyDescent="0.25">
      <c r="A275" s="43">
        <v>43770</v>
      </c>
      <c r="B275" s="38">
        <v>3.06</v>
      </c>
      <c r="C275">
        <f t="shared" si="8"/>
        <v>2019</v>
      </c>
    </row>
    <row r="276" spans="1:3" x14ac:dyDescent="0.25">
      <c r="A276" s="43">
        <v>43800</v>
      </c>
      <c r="B276" s="38">
        <v>3.01</v>
      </c>
      <c r="C276">
        <f t="shared" si="8"/>
        <v>2019</v>
      </c>
    </row>
    <row r="277" spans="1:3" x14ac:dyDescent="0.25">
      <c r="A277" s="43">
        <v>43831</v>
      </c>
      <c r="B277" s="38">
        <v>2.94</v>
      </c>
      <c r="C277">
        <f t="shared" si="8"/>
        <v>2020</v>
      </c>
    </row>
    <row r="278" spans="1:3" x14ac:dyDescent="0.25">
      <c r="A278" s="43">
        <v>43862</v>
      </c>
      <c r="B278" s="38">
        <v>2.78</v>
      </c>
      <c r="C278">
        <f t="shared" si="8"/>
        <v>2020</v>
      </c>
    </row>
    <row r="279" spans="1:3" x14ac:dyDescent="0.25">
      <c r="A279" s="43">
        <v>43891</v>
      </c>
      <c r="B279" s="38">
        <v>3.02</v>
      </c>
      <c r="C279">
        <f t="shared" si="8"/>
        <v>2020</v>
      </c>
    </row>
    <row r="280" spans="1:3" x14ac:dyDescent="0.25">
      <c r="A280" s="43">
        <v>43922</v>
      </c>
      <c r="B280" s="38">
        <v>2.4300000000000002</v>
      </c>
      <c r="C280">
        <f t="shared" si="8"/>
        <v>2020</v>
      </c>
    </row>
    <row r="281" spans="1:3" x14ac:dyDescent="0.25">
      <c r="A281" s="43">
        <v>43952</v>
      </c>
      <c r="B281" s="38">
        <v>2.5</v>
      </c>
      <c r="C281">
        <f t="shared" si="8"/>
        <v>2020</v>
      </c>
    </row>
    <row r="282" spans="1:3" x14ac:dyDescent="0.25">
      <c r="A282" s="43">
        <v>43983</v>
      </c>
      <c r="B282" s="38">
        <v>2.44</v>
      </c>
      <c r="C282">
        <f t="shared" si="8"/>
        <v>2020</v>
      </c>
    </row>
    <row r="283" spans="1:3" x14ac:dyDescent="0.25">
      <c r="A283" s="43">
        <v>44013</v>
      </c>
      <c r="B283" s="38">
        <v>2.14</v>
      </c>
      <c r="C283">
        <f t="shared" si="8"/>
        <v>2020</v>
      </c>
    </row>
    <row r="284" spans="1:3" x14ac:dyDescent="0.25">
      <c r="A284" s="43">
        <v>44044</v>
      </c>
      <c r="B284" s="38">
        <v>2.25</v>
      </c>
      <c r="C284">
        <f t="shared" si="8"/>
        <v>2020</v>
      </c>
    </row>
    <row r="285" spans="1:3" x14ac:dyDescent="0.25">
      <c r="A285" s="43">
        <v>44075</v>
      </c>
      <c r="B285" s="38">
        <v>2.31</v>
      </c>
      <c r="C285">
        <f t="shared" si="8"/>
        <v>2020</v>
      </c>
    </row>
    <row r="286" spans="1:3" x14ac:dyDescent="0.25">
      <c r="A286" s="43">
        <v>44105</v>
      </c>
      <c r="B286" s="38">
        <v>2.35</v>
      </c>
      <c r="C286">
        <f t="shared" si="8"/>
        <v>2020</v>
      </c>
    </row>
    <row r="287" spans="1:3" x14ac:dyDescent="0.25">
      <c r="A287" s="43">
        <v>44136</v>
      </c>
      <c r="B287" s="38">
        <v>2.2999999999999998</v>
      </c>
      <c r="C287">
        <f t="shared" si="8"/>
        <v>2020</v>
      </c>
    </row>
    <row r="288" spans="1:3" x14ac:dyDescent="0.25">
      <c r="A288" s="43">
        <v>44166</v>
      </c>
      <c r="B288" s="38">
        <v>2.2599999999999998</v>
      </c>
      <c r="C288">
        <f t="shared" si="8"/>
        <v>2020</v>
      </c>
    </row>
    <row r="289" spans="1:3" x14ac:dyDescent="0.25">
      <c r="A289" s="43">
        <v>44197</v>
      </c>
      <c r="B289" s="38">
        <v>2.4500000000000002</v>
      </c>
      <c r="C289">
        <v>2021</v>
      </c>
    </row>
    <row r="290" spans="1:3" x14ac:dyDescent="0.25">
      <c r="A290" s="43">
        <v>44228</v>
      </c>
      <c r="B290" s="38">
        <v>2.7</v>
      </c>
      <c r="C290">
        <v>2021</v>
      </c>
    </row>
    <row r="291" spans="1:3" x14ac:dyDescent="0.25">
      <c r="A291" s="43">
        <v>44256</v>
      </c>
      <c r="B291" s="38">
        <v>3.04</v>
      </c>
      <c r="C291">
        <v>2021</v>
      </c>
    </row>
    <row r="292" spans="1:3" x14ac:dyDescent="0.25">
      <c r="A292" s="43">
        <v>44287</v>
      </c>
      <c r="B292" s="38">
        <v>2.9</v>
      </c>
      <c r="C292">
        <v>2021</v>
      </c>
    </row>
    <row r="293" spans="1:3" x14ac:dyDescent="0.25">
      <c r="A293" s="43">
        <v>44317</v>
      </c>
      <c r="B293" s="38">
        <v>2.96</v>
      </c>
      <c r="C293">
        <v>2021</v>
      </c>
    </row>
    <row r="294" spans="1:3" x14ac:dyDescent="0.25">
      <c r="A294" s="43">
        <v>44348</v>
      </c>
      <c r="B294" s="38">
        <v>2.79</v>
      </c>
      <c r="C294">
        <v>2021</v>
      </c>
    </row>
    <row r="295" spans="1:3" x14ac:dyDescent="0.25">
      <c r="A295" s="43">
        <v>44378</v>
      </c>
      <c r="B295" s="38">
        <v>2.57</v>
      </c>
      <c r="C295">
        <v>2021</v>
      </c>
    </row>
    <row r="296" spans="1:3" x14ac:dyDescent="0.25">
      <c r="A296" s="43">
        <v>44409</v>
      </c>
      <c r="B296" s="38">
        <v>2.5499999999999998</v>
      </c>
      <c r="C296">
        <v>2021</v>
      </c>
    </row>
    <row r="297" spans="1:3" x14ac:dyDescent="0.25">
      <c r="A297" s="43">
        <v>44440</v>
      </c>
      <c r="B297" s="38">
        <v>2.5299999999999998</v>
      </c>
      <c r="C297">
        <v>2021</v>
      </c>
    </row>
    <row r="298" spans="1:3" x14ac:dyDescent="0.25">
      <c r="A298" s="43">
        <v>44470</v>
      </c>
      <c r="B298" s="38">
        <v>2.68</v>
      </c>
      <c r="C298">
        <v>2021</v>
      </c>
    </row>
    <row r="299" spans="1:3" x14ac:dyDescent="0.25">
      <c r="A299" s="43">
        <v>44501</v>
      </c>
      <c r="B299" s="38">
        <v>2.62</v>
      </c>
      <c r="C299">
        <v>2021</v>
      </c>
    </row>
    <row r="300" spans="1:3" x14ac:dyDescent="0.25">
      <c r="A300" s="43">
        <v>44531</v>
      </c>
      <c r="B300" s="38">
        <v>2.65</v>
      </c>
      <c r="C300">
        <v>2021</v>
      </c>
    </row>
    <row r="301" spans="1:3" x14ac:dyDescent="0.25">
      <c r="A301" s="43">
        <v>44562</v>
      </c>
      <c r="B301" s="38">
        <v>2.93</v>
      </c>
      <c r="C301">
        <v>2022</v>
      </c>
    </row>
    <row r="302" spans="1:3" x14ac:dyDescent="0.25">
      <c r="A302" s="43">
        <v>44593</v>
      </c>
      <c r="B302" s="38">
        <v>3.25</v>
      </c>
      <c r="C302">
        <v>2022</v>
      </c>
    </row>
    <row r="303" spans="1:3" x14ac:dyDescent="0.25">
      <c r="A303" s="43">
        <v>44621</v>
      </c>
      <c r="B303" s="38">
        <v>3.43</v>
      </c>
      <c r="C303">
        <v>2022</v>
      </c>
    </row>
    <row r="304" spans="1:3" x14ac:dyDescent="0.25">
      <c r="A304" s="43">
        <v>44652</v>
      </c>
      <c r="B304" s="38">
        <v>3.76</v>
      </c>
      <c r="C304">
        <v>2022</v>
      </c>
    </row>
    <row r="305" spans="1:3" x14ac:dyDescent="0.25">
      <c r="A305" s="43">
        <v>44682</v>
      </c>
      <c r="B305" s="38">
        <v>4.13</v>
      </c>
      <c r="C305">
        <v>2022</v>
      </c>
    </row>
    <row r="306" spans="1:3" x14ac:dyDescent="0.25">
      <c r="A306" s="43">
        <v>44713</v>
      </c>
      <c r="B306" s="38">
        <v>4.24</v>
      </c>
      <c r="C306">
        <v>2022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3F0E-BBE2-4024-8F48-850BBBA09B66}">
  <dimension ref="A1:DC111"/>
  <sheetViews>
    <sheetView workbookViewId="0"/>
  </sheetViews>
  <sheetFormatPr defaultRowHeight="15" x14ac:dyDescent="0.25"/>
  <sheetData>
    <row r="1" spans="1:107" x14ac:dyDescent="0.25">
      <c r="F1" t="s">
        <v>504</v>
      </c>
    </row>
    <row r="2" spans="1:107" x14ac:dyDescent="0.25">
      <c r="H2">
        <v>1930</v>
      </c>
      <c r="I2">
        <v>1931</v>
      </c>
      <c r="J2">
        <v>1932</v>
      </c>
      <c r="K2">
        <v>1933</v>
      </c>
      <c r="L2">
        <v>1934</v>
      </c>
      <c r="M2">
        <v>1935</v>
      </c>
      <c r="N2">
        <v>1936</v>
      </c>
      <c r="O2">
        <v>1937</v>
      </c>
      <c r="P2">
        <v>1938</v>
      </c>
      <c r="Q2">
        <v>1939</v>
      </c>
      <c r="R2">
        <v>1940</v>
      </c>
      <c r="S2">
        <v>1941</v>
      </c>
      <c r="T2">
        <v>1942</v>
      </c>
      <c r="U2">
        <v>1943</v>
      </c>
      <c r="V2">
        <v>1944</v>
      </c>
      <c r="W2">
        <v>1945</v>
      </c>
      <c r="X2">
        <v>1946</v>
      </c>
      <c r="Y2">
        <v>1947</v>
      </c>
      <c r="Z2">
        <v>1948</v>
      </c>
      <c r="AA2">
        <v>1949</v>
      </c>
      <c r="AB2">
        <v>1950</v>
      </c>
      <c r="AC2">
        <v>1951</v>
      </c>
      <c r="AD2">
        <v>1952</v>
      </c>
      <c r="AE2">
        <v>1953</v>
      </c>
      <c r="AF2">
        <v>1954</v>
      </c>
      <c r="AG2">
        <v>1955</v>
      </c>
      <c r="AH2">
        <v>1956</v>
      </c>
      <c r="AI2">
        <v>1957</v>
      </c>
      <c r="AJ2">
        <v>1958</v>
      </c>
      <c r="AK2">
        <v>1959</v>
      </c>
      <c r="AL2">
        <v>1960</v>
      </c>
      <c r="AM2">
        <v>1961</v>
      </c>
      <c r="AN2">
        <v>1962</v>
      </c>
      <c r="AO2">
        <v>1963</v>
      </c>
      <c r="AP2">
        <v>1964</v>
      </c>
      <c r="AQ2">
        <v>1965</v>
      </c>
      <c r="AR2">
        <v>1966</v>
      </c>
      <c r="AS2">
        <v>1967</v>
      </c>
      <c r="AT2">
        <v>1968</v>
      </c>
      <c r="AU2">
        <v>1969</v>
      </c>
      <c r="AV2">
        <v>1970</v>
      </c>
      <c r="AW2">
        <v>1971</v>
      </c>
      <c r="AX2">
        <v>1972</v>
      </c>
      <c r="AY2">
        <v>1973</v>
      </c>
      <c r="AZ2">
        <v>1974</v>
      </c>
      <c r="BA2">
        <v>1975</v>
      </c>
      <c r="BB2">
        <v>1976</v>
      </c>
      <c r="BC2">
        <v>1977</v>
      </c>
      <c r="BD2">
        <v>1978</v>
      </c>
      <c r="BE2">
        <v>1979</v>
      </c>
      <c r="BF2">
        <v>1980</v>
      </c>
      <c r="BG2">
        <v>1981</v>
      </c>
      <c r="BH2">
        <v>1982</v>
      </c>
      <c r="BI2">
        <v>1983</v>
      </c>
      <c r="BJ2">
        <v>1984</v>
      </c>
      <c r="BK2">
        <v>1985</v>
      </c>
      <c r="BL2">
        <v>1986</v>
      </c>
      <c r="BM2">
        <v>1987</v>
      </c>
      <c r="BN2">
        <v>1988</v>
      </c>
      <c r="BO2">
        <v>1989</v>
      </c>
      <c r="BP2">
        <v>1990</v>
      </c>
      <c r="BQ2">
        <v>1991</v>
      </c>
      <c r="BR2">
        <v>1992</v>
      </c>
      <c r="BS2">
        <v>1993</v>
      </c>
      <c r="BT2">
        <v>1994</v>
      </c>
      <c r="BU2">
        <v>1995</v>
      </c>
      <c r="BV2">
        <v>1996</v>
      </c>
      <c r="BW2">
        <v>1997</v>
      </c>
      <c r="BX2">
        <v>1998</v>
      </c>
      <c r="BY2">
        <v>1999</v>
      </c>
      <c r="BZ2">
        <v>2000</v>
      </c>
      <c r="CA2">
        <v>2001</v>
      </c>
      <c r="CB2">
        <v>2002</v>
      </c>
      <c r="CC2">
        <v>2003</v>
      </c>
      <c r="CD2">
        <v>2004</v>
      </c>
      <c r="CE2">
        <v>2005</v>
      </c>
      <c r="CF2">
        <v>2006</v>
      </c>
      <c r="CG2">
        <v>2007</v>
      </c>
      <c r="CH2">
        <v>2008</v>
      </c>
      <c r="CI2">
        <v>2009</v>
      </c>
      <c r="CJ2">
        <v>2010</v>
      </c>
      <c r="CK2">
        <v>2011</v>
      </c>
      <c r="CL2">
        <v>2012</v>
      </c>
      <c r="CM2">
        <v>2013</v>
      </c>
      <c r="CN2">
        <v>2014</v>
      </c>
      <c r="CO2">
        <v>2015</v>
      </c>
      <c r="CP2">
        <v>2016</v>
      </c>
      <c r="CQ2">
        <v>2017</v>
      </c>
      <c r="CR2">
        <v>2018</v>
      </c>
      <c r="CS2">
        <v>2019</v>
      </c>
      <c r="CT2">
        <v>2020</v>
      </c>
      <c r="CU2">
        <v>2021</v>
      </c>
      <c r="DC2" t="s">
        <v>505</v>
      </c>
    </row>
    <row r="4" spans="1:107" x14ac:dyDescent="0.25">
      <c r="A4" t="s">
        <v>506</v>
      </c>
      <c r="F4" t="s">
        <v>507</v>
      </c>
      <c r="H4">
        <v>17.95213556634625</v>
      </c>
      <c r="I4">
        <v>17.449608562085025</v>
      </c>
      <c r="J4">
        <v>16.231295213556635</v>
      </c>
      <c r="K4">
        <v>15.546625706074719</v>
      </c>
      <c r="L4">
        <v>16.312159349915763</v>
      </c>
      <c r="M4">
        <v>16.571895748686948</v>
      </c>
      <c r="N4">
        <v>16.810920622336734</v>
      </c>
      <c r="O4">
        <v>17.854325636705976</v>
      </c>
      <c r="P4">
        <v>18.141115845803192</v>
      </c>
      <c r="Q4">
        <v>18.49281538004162</v>
      </c>
      <c r="R4">
        <v>19.530670894856804</v>
      </c>
      <c r="S4">
        <v>19.863442671687643</v>
      </c>
      <c r="T4">
        <v>20.531067287682092</v>
      </c>
      <c r="U4">
        <v>20.685858685957783</v>
      </c>
      <c r="V4">
        <v>20.685858685957783</v>
      </c>
      <c r="W4">
        <v>21.028044792389259</v>
      </c>
      <c r="X4">
        <v>23.699336042017642</v>
      </c>
      <c r="Y4">
        <v>27.305618868298485</v>
      </c>
      <c r="Z4">
        <v>30.171043504112575</v>
      </c>
      <c r="AA4">
        <v>32.062828262808445</v>
      </c>
      <c r="AB4">
        <v>33.189376672282229</v>
      </c>
      <c r="AC4">
        <v>35.617877316420575</v>
      </c>
      <c r="AD4">
        <v>36.317510653057177</v>
      </c>
      <c r="AE4">
        <v>40.401149539193334</v>
      </c>
      <c r="AF4">
        <v>42.135764542661775</v>
      </c>
      <c r="AG4">
        <v>43.60311168367852</v>
      </c>
      <c r="AH4">
        <v>47.094341492418991</v>
      </c>
      <c r="AI4">
        <v>50.028936676246175</v>
      </c>
      <c r="AJ4">
        <v>52.541274402933297</v>
      </c>
      <c r="AK4">
        <v>54.297096422554752</v>
      </c>
      <c r="AL4">
        <v>55.504905361212955</v>
      </c>
      <c r="AM4">
        <v>56.567931820434055</v>
      </c>
      <c r="AN4">
        <v>62.036666336339323</v>
      </c>
      <c r="AO4">
        <v>62.83668615598058</v>
      </c>
      <c r="AP4">
        <v>64.145872559706689</v>
      </c>
      <c r="AQ4">
        <v>65.585868595778408</v>
      </c>
      <c r="AR4">
        <v>67.671390347834702</v>
      </c>
      <c r="AS4">
        <v>69.87414527797047</v>
      </c>
      <c r="AT4">
        <v>72.049350906748586</v>
      </c>
      <c r="AU4">
        <v>75.714498067584969</v>
      </c>
      <c r="AV4">
        <v>81.56743632940244</v>
      </c>
      <c r="AW4">
        <v>90.282826280844318</v>
      </c>
      <c r="AX4">
        <v>97.101872956099484</v>
      </c>
      <c r="AY4">
        <v>100</v>
      </c>
      <c r="AZ4">
        <v>115.45476166881377</v>
      </c>
      <c r="BA4">
        <v>129.27489842433852</v>
      </c>
      <c r="BB4">
        <v>137.90952333762758</v>
      </c>
      <c r="BC4">
        <v>146.91368546229316</v>
      </c>
      <c r="BD4">
        <v>157.81230799722525</v>
      </c>
      <c r="BE4">
        <v>170.38747398672083</v>
      </c>
      <c r="BF4">
        <v>185.66633633931227</v>
      </c>
      <c r="BG4">
        <v>202.92934297889207</v>
      </c>
      <c r="BH4">
        <v>217.65860667921908</v>
      </c>
      <c r="BI4">
        <v>224.92646913090877</v>
      </c>
      <c r="BJ4">
        <v>233.10781884847887</v>
      </c>
      <c r="BK4">
        <v>238.48558121098011</v>
      </c>
      <c r="BL4">
        <v>237.23010603508075</v>
      </c>
      <c r="BM4">
        <v>244.30175403825191</v>
      </c>
      <c r="BN4">
        <v>260.52301555841848</v>
      </c>
      <c r="BO4">
        <v>275.9057576057873</v>
      </c>
      <c r="BP4">
        <v>282.436081656922</v>
      </c>
      <c r="BQ4">
        <v>290.7689525319592</v>
      </c>
      <c r="BR4">
        <v>299.76382419978199</v>
      </c>
      <c r="BS4">
        <v>308.65957288673076</v>
      </c>
      <c r="BT4">
        <v>321.01595481121791</v>
      </c>
      <c r="BU4">
        <v>327.58606679219105</v>
      </c>
      <c r="BV4">
        <v>332.61292240610447</v>
      </c>
      <c r="BW4">
        <v>341.10667921910613</v>
      </c>
      <c r="BX4">
        <v>347.36765434545634</v>
      </c>
      <c r="BY4">
        <v>354.5019076404717</v>
      </c>
      <c r="BZ4">
        <v>367.40657516598947</v>
      </c>
      <c r="CA4">
        <v>376.62196511743139</v>
      </c>
      <c r="CB4">
        <v>384.80685759587755</v>
      </c>
      <c r="CC4">
        <v>392.97819839460908</v>
      </c>
      <c r="CD4">
        <v>439.44807253988705</v>
      </c>
      <c r="CE4">
        <v>489.94896442374392</v>
      </c>
      <c r="CF4">
        <v>519.60152611237731</v>
      </c>
      <c r="CG4">
        <v>523.56773354951429</v>
      </c>
      <c r="CH4">
        <v>597.40580715489045</v>
      </c>
      <c r="CI4">
        <v>586.04251313051225</v>
      </c>
      <c r="CJ4">
        <v>601.99187394708144</v>
      </c>
      <c r="CK4">
        <v>646.50768011099012</v>
      </c>
      <c r="CL4">
        <v>699.425329501536</v>
      </c>
      <c r="CM4">
        <v>694.30908730551982</v>
      </c>
      <c r="CN4">
        <v>718.75780398374786</v>
      </c>
      <c r="CO4">
        <v>714.33326726786242</v>
      </c>
      <c r="CP4">
        <v>714.30363690417209</v>
      </c>
      <c r="CQ4">
        <v>751.66812010702608</v>
      </c>
      <c r="CR4">
        <v>794.06926964621948</v>
      </c>
      <c r="CS4">
        <v>811.83956000396381</v>
      </c>
      <c r="CT4">
        <v>846.56149043702305</v>
      </c>
      <c r="CU4">
        <v>952.86681201070246</v>
      </c>
    </row>
    <row r="6" spans="1:107" x14ac:dyDescent="0.25">
      <c r="F6" t="s">
        <v>508</v>
      </c>
      <c r="H6">
        <v>17.694124107633169</v>
      </c>
      <c r="I6">
        <v>17.381987918725976</v>
      </c>
      <c r="J6">
        <v>16.538165842943439</v>
      </c>
      <c r="K6">
        <v>15.902251510159253</v>
      </c>
      <c r="L6">
        <v>16.575837451949479</v>
      </c>
      <c r="M6">
        <v>16.598023064250413</v>
      </c>
      <c r="N6">
        <v>16.633498077979134</v>
      </c>
      <c r="O6">
        <v>17.754640307523339</v>
      </c>
      <c r="P6">
        <v>18.035584843492583</v>
      </c>
      <c r="Q6">
        <v>18.315980230642502</v>
      </c>
      <c r="R6">
        <v>18.884129599121358</v>
      </c>
      <c r="S6">
        <v>20.06875343218012</v>
      </c>
      <c r="T6">
        <v>21.004832509610104</v>
      </c>
      <c r="U6">
        <v>21.178034047226795</v>
      </c>
      <c r="V6">
        <v>21.516639209225698</v>
      </c>
      <c r="W6">
        <v>21.867984623833056</v>
      </c>
      <c r="X6">
        <v>24.628995057660624</v>
      </c>
      <c r="Y6">
        <v>28.433607907742999</v>
      </c>
      <c r="Z6">
        <v>31.603404722679841</v>
      </c>
      <c r="AA6">
        <v>33.427567270730364</v>
      </c>
      <c r="AB6">
        <v>34.302580999450846</v>
      </c>
      <c r="AC6">
        <v>36.715540911587041</v>
      </c>
      <c r="AD6">
        <v>37.68555738605162</v>
      </c>
      <c r="AE6">
        <v>41.630422844590889</v>
      </c>
      <c r="AF6">
        <v>43.088852278967607</v>
      </c>
      <c r="AG6">
        <v>44.54080175727622</v>
      </c>
      <c r="AH6">
        <v>48.129599121361885</v>
      </c>
      <c r="AI6">
        <v>51.148819330038435</v>
      </c>
      <c r="AJ6">
        <v>53.599670510708407</v>
      </c>
      <c r="AK6">
        <v>55.441735310269081</v>
      </c>
      <c r="AL6">
        <v>56.696540362438228</v>
      </c>
      <c r="AM6">
        <v>57.802526084568925</v>
      </c>
      <c r="AN6">
        <v>63.259417902251514</v>
      </c>
      <c r="AO6">
        <v>64.542449203734222</v>
      </c>
      <c r="AP6">
        <v>65.392531576057124</v>
      </c>
      <c r="AQ6">
        <v>66.674354750137297</v>
      </c>
      <c r="AR6">
        <v>68.678308621636461</v>
      </c>
      <c r="AS6">
        <v>70.371004942339368</v>
      </c>
      <c r="AT6">
        <v>72.633827567270728</v>
      </c>
      <c r="AU6">
        <v>76.696650192202085</v>
      </c>
      <c r="AV6">
        <v>82.550466776496435</v>
      </c>
      <c r="AW6">
        <v>89.780450302031852</v>
      </c>
      <c r="AX6">
        <v>96.103789126853357</v>
      </c>
      <c r="AY6">
        <v>99.999999999999986</v>
      </c>
      <c r="AZ6">
        <v>116.47248764415157</v>
      </c>
      <c r="BA6">
        <v>132.30675453047778</v>
      </c>
      <c r="BB6">
        <v>140.69028006589787</v>
      </c>
      <c r="BC6">
        <v>149.58099945085115</v>
      </c>
      <c r="BD6">
        <v>162.04239428885228</v>
      </c>
      <c r="BE6">
        <v>174.93629873695775</v>
      </c>
      <c r="BF6">
        <v>190.70752333882481</v>
      </c>
      <c r="BG6">
        <v>210.03404722679846</v>
      </c>
      <c r="BH6">
        <v>220.81021416803952</v>
      </c>
      <c r="BI6">
        <v>225.72421746293242</v>
      </c>
      <c r="BJ6">
        <v>230.07479406919276</v>
      </c>
      <c r="BK6">
        <v>231.67830862163646</v>
      </c>
      <c r="BL6">
        <v>226.82449203734211</v>
      </c>
      <c r="BM6">
        <v>231.35354200988471</v>
      </c>
      <c r="BN6">
        <v>245.54785831960461</v>
      </c>
      <c r="BO6">
        <v>257.4119439868204</v>
      </c>
      <c r="BP6">
        <v>261.7685886875343</v>
      </c>
      <c r="BQ6">
        <v>265.99582646897306</v>
      </c>
      <c r="BR6">
        <v>271.37564524986271</v>
      </c>
      <c r="BS6">
        <v>278.08429434376711</v>
      </c>
      <c r="BT6">
        <v>290.82182866556838</v>
      </c>
      <c r="BU6">
        <v>294.76301482701814</v>
      </c>
      <c r="BV6">
        <v>297.99085667215815</v>
      </c>
      <c r="BW6">
        <v>304.8665842943438</v>
      </c>
      <c r="BX6">
        <v>310.41177924217465</v>
      </c>
      <c r="BY6">
        <v>316.7927237781438</v>
      </c>
      <c r="BZ6">
        <v>327.90826468973091</v>
      </c>
      <c r="CA6">
        <v>333.96507413509062</v>
      </c>
      <c r="CB6">
        <v>340.52990115321251</v>
      </c>
      <c r="CC6">
        <v>346.75291048874249</v>
      </c>
      <c r="CD6">
        <v>393.84305326743549</v>
      </c>
      <c r="CE6">
        <v>446.69291598023062</v>
      </c>
      <c r="CF6">
        <v>476.62174629324545</v>
      </c>
      <c r="CG6">
        <v>479.08937773699267</v>
      </c>
      <c r="CH6">
        <v>545.09994508511807</v>
      </c>
      <c r="CI6">
        <v>525.14629324546945</v>
      </c>
      <c r="CJ6">
        <v>540.29181768259195</v>
      </c>
      <c r="CK6">
        <v>577.98418451400323</v>
      </c>
      <c r="CL6">
        <v>638.18780889621075</v>
      </c>
      <c r="CM6">
        <v>630.2460186710598</v>
      </c>
      <c r="CN6">
        <v>649.93234486545862</v>
      </c>
      <c r="CO6">
        <v>636.58528281164195</v>
      </c>
      <c r="CP6">
        <v>629.31532125205922</v>
      </c>
      <c r="CQ6">
        <v>672.31707852828117</v>
      </c>
      <c r="CR6">
        <v>718.30697419000535</v>
      </c>
      <c r="CS6">
        <v>739.58714991762781</v>
      </c>
      <c r="CT6">
        <v>790.94157056562324</v>
      </c>
      <c r="CU6">
        <v>911.70752333882479</v>
      </c>
      <c r="DC6">
        <v>1.9422619243152</v>
      </c>
    </row>
    <row r="8" spans="1:107" x14ac:dyDescent="0.25">
      <c r="A8" t="s">
        <v>509</v>
      </c>
      <c r="F8" t="s">
        <v>510</v>
      </c>
      <c r="H8">
        <v>18.427205653122723</v>
      </c>
      <c r="I8">
        <v>18.259482489868027</v>
      </c>
      <c r="J8">
        <v>17.042918008936923</v>
      </c>
      <c r="K8">
        <v>16.68772731996259</v>
      </c>
      <c r="L8">
        <v>16.845370466590463</v>
      </c>
      <c r="M8">
        <v>17.01870518549309</v>
      </c>
      <c r="N8">
        <v>17.369531331185701</v>
      </c>
      <c r="O8">
        <v>18.886417956978075</v>
      </c>
      <c r="P8">
        <v>19.097474799958434</v>
      </c>
      <c r="Q8">
        <v>19.17063285877585</v>
      </c>
      <c r="R8">
        <v>19.942741348851712</v>
      </c>
      <c r="S8">
        <v>20.176244414423778</v>
      </c>
      <c r="T8">
        <v>20.761924555751847</v>
      </c>
      <c r="U8">
        <v>20.958952509612384</v>
      </c>
      <c r="V8">
        <v>21.093733762859813</v>
      </c>
      <c r="W8">
        <v>21.4954795801725</v>
      </c>
      <c r="X8">
        <v>23.907928920295127</v>
      </c>
      <c r="Y8">
        <v>28.052166683986286</v>
      </c>
      <c r="Z8">
        <v>30.900550763795071</v>
      </c>
      <c r="AA8">
        <v>32.865010911358205</v>
      </c>
      <c r="AB8">
        <v>33.984931933908342</v>
      </c>
      <c r="AC8">
        <v>36.599605112750702</v>
      </c>
      <c r="AD8">
        <v>37.631196092694587</v>
      </c>
      <c r="AE8">
        <v>41.675153278603339</v>
      </c>
      <c r="AF8">
        <v>43.325781980671309</v>
      </c>
      <c r="AG8">
        <v>44.704561986906377</v>
      </c>
      <c r="AH8">
        <v>48.313519692403617</v>
      </c>
      <c r="AI8">
        <v>51.397069520939425</v>
      </c>
      <c r="AJ8">
        <v>53.52925283175724</v>
      </c>
      <c r="AK8">
        <v>55.359035643770135</v>
      </c>
      <c r="AL8">
        <v>56.558661540060271</v>
      </c>
      <c r="AM8">
        <v>57.534448716616438</v>
      </c>
      <c r="AN8">
        <v>62.854930894731368</v>
      </c>
      <c r="AO8">
        <v>63.929439883612176</v>
      </c>
      <c r="AP8">
        <v>65.23506183102981</v>
      </c>
      <c r="AQ8">
        <v>66.448924451834159</v>
      </c>
      <c r="AR8">
        <v>68.266341057882158</v>
      </c>
      <c r="AS8">
        <v>70.36786864803075</v>
      </c>
      <c r="AT8">
        <v>72.789254910111183</v>
      </c>
      <c r="AU8">
        <v>77.483840798087911</v>
      </c>
      <c r="AV8">
        <v>83.948768575288369</v>
      </c>
      <c r="AW8">
        <v>91.145380858360184</v>
      </c>
      <c r="AX8">
        <v>95.991478748830929</v>
      </c>
      <c r="AY8">
        <v>100.00000000000001</v>
      </c>
      <c r="AZ8">
        <v>115.80598565935777</v>
      </c>
      <c r="BA8">
        <v>130.05341369635246</v>
      </c>
      <c r="BB8">
        <v>138.02327756416918</v>
      </c>
      <c r="BC8">
        <v>146.23433440714953</v>
      </c>
      <c r="BD8">
        <v>159.07741868440192</v>
      </c>
      <c r="BE8">
        <v>172.46596695417227</v>
      </c>
      <c r="BF8">
        <v>187.34033045827704</v>
      </c>
      <c r="BG8">
        <v>204.93214174373898</v>
      </c>
      <c r="BH8">
        <v>220.25605320586095</v>
      </c>
      <c r="BI8">
        <v>225.91645017146419</v>
      </c>
      <c r="BJ8">
        <v>232.12283071807127</v>
      </c>
      <c r="BK8">
        <v>235.93900031175309</v>
      </c>
      <c r="BL8">
        <v>233.59804634729295</v>
      </c>
      <c r="BM8">
        <v>241.30302400498806</v>
      </c>
      <c r="BN8">
        <v>256.3142211368596</v>
      </c>
      <c r="BO8">
        <v>267.84789047074725</v>
      </c>
      <c r="BP8">
        <v>273.3386937545464</v>
      </c>
      <c r="BQ8">
        <v>278.57105372544942</v>
      </c>
      <c r="BR8">
        <v>285.56128546191417</v>
      </c>
      <c r="BS8">
        <v>292.56679309986487</v>
      </c>
      <c r="BT8">
        <v>307.38652187467522</v>
      </c>
      <c r="BU8">
        <v>313.63179361945345</v>
      </c>
      <c r="BV8">
        <v>318.59474696040735</v>
      </c>
      <c r="BW8">
        <v>327.29650316948982</v>
      </c>
      <c r="BX8">
        <v>334.23248986802452</v>
      </c>
      <c r="BY8">
        <v>340.48124285565831</v>
      </c>
      <c r="BZ8">
        <v>352.75218227164083</v>
      </c>
      <c r="CA8">
        <v>360.84417541307289</v>
      </c>
      <c r="CB8">
        <v>369.33323807544417</v>
      </c>
      <c r="CC8">
        <v>379.01867920606878</v>
      </c>
      <c r="CD8">
        <v>423.45419827496619</v>
      </c>
      <c r="CE8">
        <v>475.93900031175309</v>
      </c>
      <c r="CF8">
        <v>507.78800789774488</v>
      </c>
      <c r="CG8">
        <v>509.59186854518509</v>
      </c>
      <c r="CH8">
        <v>578.57248259378571</v>
      </c>
      <c r="CI8">
        <v>557.63878208458902</v>
      </c>
      <c r="CJ8">
        <v>577.34853995635456</v>
      </c>
      <c r="CK8">
        <v>618.61176348332117</v>
      </c>
      <c r="CL8">
        <v>674.14558869375458</v>
      </c>
      <c r="CM8">
        <v>670.132287228515</v>
      </c>
      <c r="CN8">
        <v>690.69354671100484</v>
      </c>
      <c r="CO8">
        <v>681.84942325678071</v>
      </c>
      <c r="CP8">
        <v>677.59139561467316</v>
      </c>
      <c r="CQ8">
        <v>715.78634521459014</v>
      </c>
      <c r="CR8">
        <v>755.47033149745403</v>
      </c>
      <c r="CS8">
        <v>774.99688246908454</v>
      </c>
      <c r="CT8">
        <v>811.53974851917292</v>
      </c>
      <c r="CU8">
        <v>923.41276109321416</v>
      </c>
    </row>
    <row r="9" spans="1:107" x14ac:dyDescent="0.25">
      <c r="A9" t="s">
        <v>511</v>
      </c>
    </row>
    <row r="10" spans="1:107" x14ac:dyDescent="0.25">
      <c r="A10" t="s">
        <v>512</v>
      </c>
      <c r="F10" t="s">
        <v>513</v>
      </c>
      <c r="H10">
        <v>19.27450544565459</v>
      </c>
      <c r="I10">
        <v>18.673927539453214</v>
      </c>
      <c r="J10">
        <v>17.735719048677481</v>
      </c>
      <c r="K10">
        <v>17.156256945987998</v>
      </c>
      <c r="L10">
        <v>17.680484552122692</v>
      </c>
      <c r="M10">
        <v>17.848966436985993</v>
      </c>
      <c r="N10">
        <v>18.393087352745056</v>
      </c>
      <c r="O10">
        <v>19.184818848633029</v>
      </c>
      <c r="P10">
        <v>19.239942209379862</v>
      </c>
      <c r="Q10">
        <v>19.325739053122916</v>
      </c>
      <c r="R10">
        <v>20.238719715492337</v>
      </c>
      <c r="S10">
        <v>21.123249611024676</v>
      </c>
      <c r="T10">
        <v>22.082462769504335</v>
      </c>
      <c r="U10">
        <v>22.325405645699046</v>
      </c>
      <c r="V10">
        <v>22.59302067126028</v>
      </c>
      <c r="W10">
        <v>22.677150477883977</v>
      </c>
      <c r="X10">
        <v>25.66325850188931</v>
      </c>
      <c r="Y10">
        <v>30.106023560791286</v>
      </c>
      <c r="Z10">
        <v>32.577128250722382</v>
      </c>
      <c r="AA10">
        <v>34.921204712158257</v>
      </c>
      <c r="AB10">
        <v>36.265170037786177</v>
      </c>
      <c r="AC10">
        <v>38.704045343409653</v>
      </c>
      <c r="AD10">
        <v>39.565570126694823</v>
      </c>
      <c r="AE10">
        <v>43.491998221827075</v>
      </c>
      <c r="AF10">
        <v>45.128361858190715</v>
      </c>
      <c r="AG10">
        <v>46.703600800177817</v>
      </c>
      <c r="AH10">
        <v>50.345187819515445</v>
      </c>
      <c r="AI10">
        <v>53.64603245165592</v>
      </c>
      <c r="AJ10">
        <v>56.088241831518118</v>
      </c>
      <c r="AK10">
        <v>57.808735274505452</v>
      </c>
      <c r="AL10">
        <v>59.138475216714824</v>
      </c>
      <c r="AM10">
        <v>60.174038675261173</v>
      </c>
      <c r="AN10">
        <v>65.48810846854856</v>
      </c>
      <c r="AO10">
        <v>66.687152700600123</v>
      </c>
      <c r="AP10">
        <v>67.932540564569891</v>
      </c>
      <c r="AQ10">
        <v>69.012002667259395</v>
      </c>
      <c r="AR10">
        <v>70.860080017781726</v>
      </c>
      <c r="AS10">
        <v>73.048121804845522</v>
      </c>
      <c r="AT10">
        <v>75.396421426983778</v>
      </c>
      <c r="AU10">
        <v>78.6575905756835</v>
      </c>
      <c r="AV10">
        <v>84.982218270726847</v>
      </c>
      <c r="AW10">
        <v>91.297066014669923</v>
      </c>
      <c r="AX10">
        <v>96.627583907534998</v>
      </c>
      <c r="AY10">
        <v>100</v>
      </c>
      <c r="AZ10">
        <v>117.62058235163371</v>
      </c>
      <c r="BA10">
        <v>132.89353189597688</v>
      </c>
      <c r="BB10">
        <v>142.84496554789953</v>
      </c>
      <c r="BC10">
        <v>151.89075350077795</v>
      </c>
      <c r="BD10">
        <v>165.55623471882643</v>
      </c>
      <c r="BE10">
        <v>179.32129362080465</v>
      </c>
      <c r="BF10">
        <v>195.47666148032894</v>
      </c>
      <c r="BG10">
        <v>216.09124249833295</v>
      </c>
      <c r="BH10">
        <v>228.11435874638804</v>
      </c>
      <c r="BI10">
        <v>234.69737719493219</v>
      </c>
      <c r="BJ10">
        <v>237.76961547010444</v>
      </c>
      <c r="BK10">
        <v>236.66225827961776</v>
      </c>
      <c r="BL10">
        <v>231.37386085796845</v>
      </c>
      <c r="BM10">
        <v>237.36630362302733</v>
      </c>
      <c r="BN10">
        <v>250.77400533451879</v>
      </c>
      <c r="BO10">
        <v>262.47249388753062</v>
      </c>
      <c r="BP10">
        <v>266.90686819293177</v>
      </c>
      <c r="BQ10">
        <v>270.51614247610581</v>
      </c>
      <c r="BR10">
        <v>274.80981884863303</v>
      </c>
      <c r="BS10">
        <v>280.27895087797287</v>
      </c>
      <c r="BT10">
        <v>291.65547899533232</v>
      </c>
      <c r="BU10">
        <v>296.61199711046902</v>
      </c>
      <c r="BV10">
        <v>301.03000666814847</v>
      </c>
      <c r="BW10">
        <v>307.2891753723049</v>
      </c>
      <c r="BX10">
        <v>311.47260502333847</v>
      </c>
      <c r="BY10">
        <v>316.68279062013778</v>
      </c>
      <c r="BZ10">
        <v>327.1109135363414</v>
      </c>
      <c r="CA10">
        <v>333.51742053789735</v>
      </c>
      <c r="CB10">
        <v>341.20257279395429</v>
      </c>
      <c r="CC10">
        <v>348.33946432540569</v>
      </c>
      <c r="CD10">
        <v>393.72705045565681</v>
      </c>
      <c r="CE10">
        <v>450.10068904200926</v>
      </c>
      <c r="CF10">
        <v>250.77400533451879</v>
      </c>
      <c r="CG10">
        <v>472.39216230084583</v>
      </c>
      <c r="CH10">
        <v>541.73860857968441</v>
      </c>
      <c r="CI10">
        <v>521.02633918648587</v>
      </c>
      <c r="CJ10">
        <v>537.99344298733047</v>
      </c>
      <c r="CK10">
        <v>579.87952878417434</v>
      </c>
      <c r="CL10">
        <v>636.06512558346299</v>
      </c>
      <c r="CM10">
        <v>631.45554567681711</v>
      </c>
      <c r="CN10">
        <v>649.83151811513676</v>
      </c>
      <c r="CO10">
        <v>641.97266059124252</v>
      </c>
      <c r="CP10">
        <v>633.77950655701272</v>
      </c>
      <c r="CQ10">
        <v>677.30695710157818</v>
      </c>
      <c r="CR10">
        <v>719.32418315181144</v>
      </c>
      <c r="CS10">
        <v>734.05378973105121</v>
      </c>
      <c r="CT10">
        <v>769.84863302956217</v>
      </c>
      <c r="CU10">
        <v>892.8191820404536</v>
      </c>
    </row>
    <row r="11" spans="1:107" x14ac:dyDescent="0.25">
      <c r="A11" t="s">
        <v>514</v>
      </c>
    </row>
    <row r="12" spans="1:107" x14ac:dyDescent="0.25">
      <c r="A12" t="s">
        <v>515</v>
      </c>
      <c r="F12" t="s">
        <v>516</v>
      </c>
      <c r="H12">
        <v>20.017806731813245</v>
      </c>
      <c r="I12">
        <v>19.34842562432139</v>
      </c>
      <c r="J12">
        <v>18.859174809989142</v>
      </c>
      <c r="K12">
        <v>18.473072747014115</v>
      </c>
      <c r="L12">
        <v>18.944842562432136</v>
      </c>
      <c r="M12">
        <v>18.981650380021716</v>
      </c>
      <c r="N12">
        <v>19.110749185667753</v>
      </c>
      <c r="O12">
        <v>20.483061889250813</v>
      </c>
      <c r="P12">
        <v>20.790336590662324</v>
      </c>
      <c r="Q12">
        <v>20.870575461454941</v>
      </c>
      <c r="R12">
        <v>21.773398479913141</v>
      </c>
      <c r="S12">
        <v>22.13669923995657</v>
      </c>
      <c r="T12">
        <v>22.611943539630836</v>
      </c>
      <c r="U12">
        <v>22.611943539630836</v>
      </c>
      <c r="V12">
        <v>22.797502714440824</v>
      </c>
      <c r="W12">
        <v>23.173181324647125</v>
      </c>
      <c r="X12">
        <v>26.063952225841476</v>
      </c>
      <c r="Y12">
        <v>30.389142236699243</v>
      </c>
      <c r="Z12">
        <v>33.279370249728558</v>
      </c>
      <c r="AA12">
        <v>35.23311617806732</v>
      </c>
      <c r="AB12">
        <v>36.418458197611294</v>
      </c>
      <c r="AC12">
        <v>39.184364820846909</v>
      </c>
      <c r="AD12">
        <v>40.272855591748097</v>
      </c>
      <c r="AE12">
        <v>43.972855591748107</v>
      </c>
      <c r="AF12">
        <v>45.808360477741587</v>
      </c>
      <c r="AG12">
        <v>47.190553745928341</v>
      </c>
      <c r="AH12">
        <v>51.052442996742677</v>
      </c>
      <c r="AI12">
        <v>54.306840390879479</v>
      </c>
      <c r="AJ12">
        <v>56.894353963083603</v>
      </c>
      <c r="AK12">
        <v>58.866449511400646</v>
      </c>
      <c r="AL12">
        <v>60.084473398479915</v>
      </c>
      <c r="AM12">
        <v>61.37307274701412</v>
      </c>
      <c r="AN12">
        <v>66.975787187839302</v>
      </c>
      <c r="AO12">
        <v>67.78534201954399</v>
      </c>
      <c r="AP12">
        <v>69.286319218241061</v>
      </c>
      <c r="AQ12">
        <v>70.135613463626498</v>
      </c>
      <c r="AR12">
        <v>71.990662323561338</v>
      </c>
      <c r="AS12">
        <v>74.217372421281226</v>
      </c>
      <c r="AT12">
        <v>76.249619978284471</v>
      </c>
      <c r="AU12">
        <v>79.783604777415846</v>
      </c>
      <c r="AV12">
        <v>85.717263843648226</v>
      </c>
      <c r="AW12">
        <v>91.309229098805659</v>
      </c>
      <c r="AX12">
        <v>96.492182410423453</v>
      </c>
      <c r="AY12">
        <v>100</v>
      </c>
      <c r="AZ12">
        <v>118.05342019543976</v>
      </c>
      <c r="BA12">
        <v>135.08143322475573</v>
      </c>
      <c r="BB12">
        <v>143.61194353963086</v>
      </c>
      <c r="BC12">
        <v>153.46872964169378</v>
      </c>
      <c r="BD12">
        <v>167.10586319218243</v>
      </c>
      <c r="BE12">
        <v>182.1627578718784</v>
      </c>
      <c r="BF12">
        <v>197.2562432138979</v>
      </c>
      <c r="BG12">
        <v>214.74766558089036</v>
      </c>
      <c r="BH12">
        <v>230.7989142236699</v>
      </c>
      <c r="BI12">
        <v>236.70673181324642</v>
      </c>
      <c r="BJ12">
        <v>240.64733984799133</v>
      </c>
      <c r="BK12">
        <v>238.67915309446255</v>
      </c>
      <c r="BL12">
        <v>234.24353963083604</v>
      </c>
      <c r="BM12">
        <v>240.69630836047776</v>
      </c>
      <c r="BN12">
        <v>254.35757328990232</v>
      </c>
      <c r="BO12">
        <v>265.91818675352874</v>
      </c>
      <c r="BP12">
        <v>270.91636807817594</v>
      </c>
      <c r="BQ12">
        <v>276.52193268186755</v>
      </c>
      <c r="BR12">
        <v>281.66368078175896</v>
      </c>
      <c r="BS12">
        <v>288.80589033659061</v>
      </c>
      <c r="BT12">
        <v>302.22475570032572</v>
      </c>
      <c r="BU12">
        <v>303.5164766558089</v>
      </c>
      <c r="BV12">
        <v>308.54451682953317</v>
      </c>
      <c r="BW12">
        <v>315.88262757871883</v>
      </c>
      <c r="BX12">
        <v>319.16332790445171</v>
      </c>
      <c r="BY12">
        <v>325.10200868621064</v>
      </c>
      <c r="BZ12">
        <v>336.16083061889248</v>
      </c>
      <c r="CA12">
        <v>342.67144408251903</v>
      </c>
      <c r="CB12">
        <v>350.24869706840383</v>
      </c>
      <c r="CC12">
        <v>357.4947339847991</v>
      </c>
      <c r="CD12">
        <v>401.99364820846904</v>
      </c>
      <c r="CE12">
        <v>459.03507057546148</v>
      </c>
      <c r="CF12">
        <v>486.23854505971775</v>
      </c>
      <c r="CG12">
        <v>481.77923060886735</v>
      </c>
      <c r="CH12">
        <v>555.03854505971765</v>
      </c>
      <c r="CI12">
        <v>534.65580890336594</v>
      </c>
      <c r="CJ12">
        <v>552.18979370249724</v>
      </c>
      <c r="CK12">
        <v>596.94071661237786</v>
      </c>
      <c r="CL12">
        <v>655.69413680781759</v>
      </c>
      <c r="CM12">
        <v>647.19891422366982</v>
      </c>
      <c r="CN12">
        <v>667.68935939196524</v>
      </c>
      <c r="CO12">
        <v>656.53355048859942</v>
      </c>
      <c r="CP12">
        <v>651.94321389793708</v>
      </c>
      <c r="CQ12">
        <v>691.20054288816505</v>
      </c>
      <c r="CR12">
        <v>736.23767643865358</v>
      </c>
      <c r="CS12">
        <v>751.50532030401746</v>
      </c>
      <c r="CT12">
        <v>791.4661237785017</v>
      </c>
      <c r="CU12">
        <v>918.37719869706848</v>
      </c>
    </row>
    <row r="13" spans="1:107" x14ac:dyDescent="0.25">
      <c r="A13" t="s">
        <v>517</v>
      </c>
    </row>
    <row r="14" spans="1:107" x14ac:dyDescent="0.25">
      <c r="A14" t="s">
        <v>518</v>
      </c>
      <c r="F14" t="s">
        <v>519</v>
      </c>
      <c r="H14">
        <v>18.481880509304602</v>
      </c>
      <c r="I14">
        <v>18.067776689520077</v>
      </c>
      <c r="J14">
        <v>17.105876591576887</v>
      </c>
      <c r="K14">
        <v>16.653868756121447</v>
      </c>
      <c r="L14">
        <v>17.057002938295788</v>
      </c>
      <c r="M14">
        <v>17.057002938295788</v>
      </c>
      <c r="N14">
        <v>17.600783545543585</v>
      </c>
      <c r="O14">
        <v>18.73917727717923</v>
      </c>
      <c r="P14">
        <v>19.276003917727721</v>
      </c>
      <c r="Q14">
        <v>19.442017629774732</v>
      </c>
      <c r="R14">
        <v>20.027130264446619</v>
      </c>
      <c r="S14">
        <v>20.883937316356509</v>
      </c>
      <c r="T14">
        <v>21.608227228207639</v>
      </c>
      <c r="U14">
        <v>21.903819784524977</v>
      </c>
      <c r="V14">
        <v>21.965230166503424</v>
      </c>
      <c r="W14">
        <v>22.227032321253674</v>
      </c>
      <c r="X14">
        <v>25.004113614103822</v>
      </c>
      <c r="Y14">
        <v>29.223702252693442</v>
      </c>
      <c r="Z14">
        <v>32.096865817825659</v>
      </c>
      <c r="AA14">
        <v>33.957688540646423</v>
      </c>
      <c r="AB14">
        <v>35.036826640548483</v>
      </c>
      <c r="AC14">
        <v>37.782859941234086</v>
      </c>
      <c r="AD14">
        <v>38.542605288932421</v>
      </c>
      <c r="AE14">
        <v>42.584524975514192</v>
      </c>
      <c r="AF14">
        <v>44.686973555337907</v>
      </c>
      <c r="AG14">
        <v>46.439373163565136</v>
      </c>
      <c r="AH14">
        <v>50.146523016650342</v>
      </c>
      <c r="AI14">
        <v>53.43800195886385</v>
      </c>
      <c r="AJ14">
        <v>56.160626836434865</v>
      </c>
      <c r="AK14">
        <v>57.894025465230172</v>
      </c>
      <c r="AL14">
        <v>60.077179236043101</v>
      </c>
      <c r="AM14">
        <v>61.264152791380994</v>
      </c>
      <c r="AN14">
        <v>66.355631733594521</v>
      </c>
      <c r="AO14">
        <v>67.394417238001949</v>
      </c>
      <c r="AP14">
        <v>68.797747306562201</v>
      </c>
      <c r="AQ14">
        <v>70.281684622918704</v>
      </c>
      <c r="AR14">
        <v>72.501371204701258</v>
      </c>
      <c r="AS14">
        <v>74.807933398628791</v>
      </c>
      <c r="AT14">
        <v>77.140548481880501</v>
      </c>
      <c r="AU14">
        <v>80.611459353574915</v>
      </c>
      <c r="AV14">
        <v>86.192458374142973</v>
      </c>
      <c r="AW14">
        <v>91.667580803134172</v>
      </c>
      <c r="AX14">
        <v>96.480607247796286</v>
      </c>
      <c r="AY14">
        <v>99.999999999999986</v>
      </c>
      <c r="AZ14">
        <v>117.32174338883445</v>
      </c>
      <c r="BA14">
        <v>136.13300685602351</v>
      </c>
      <c r="BB14">
        <v>145.86474045053868</v>
      </c>
      <c r="BC14">
        <v>155.1655239960823</v>
      </c>
      <c r="BD14">
        <v>169.37727717923602</v>
      </c>
      <c r="BE14">
        <v>182.95484818805093</v>
      </c>
      <c r="BF14">
        <v>201.19461312438787</v>
      </c>
      <c r="BG14">
        <v>224.83379040156709</v>
      </c>
      <c r="BH14">
        <v>241.32556317335951</v>
      </c>
      <c r="BI14">
        <v>247.96914789422135</v>
      </c>
      <c r="BJ14">
        <v>255.79480901077372</v>
      </c>
      <c r="BK14">
        <v>259.48991185112635</v>
      </c>
      <c r="BL14">
        <v>255.50989226248777</v>
      </c>
      <c r="BM14">
        <v>262.73046033300687</v>
      </c>
      <c r="BN14">
        <v>276.90323212536731</v>
      </c>
      <c r="BO14">
        <v>290.03271302644458</v>
      </c>
      <c r="BP14">
        <v>292.42605288932418</v>
      </c>
      <c r="BQ14">
        <v>303.25142017629776</v>
      </c>
      <c r="BR14">
        <v>305.11968658178262</v>
      </c>
      <c r="BS14">
        <v>312.24211557296769</v>
      </c>
      <c r="BT14">
        <v>325.70871694417241</v>
      </c>
      <c r="BU14">
        <v>338.44593535749266</v>
      </c>
      <c r="BV14">
        <v>342.14750244857981</v>
      </c>
      <c r="BW14">
        <v>348.80702742409403</v>
      </c>
      <c r="BX14">
        <v>352.82602840352592</v>
      </c>
      <c r="BY14">
        <v>358.38927522037216</v>
      </c>
      <c r="BZ14">
        <v>367.86354064642512</v>
      </c>
      <c r="CA14">
        <v>373.06420176297746</v>
      </c>
      <c r="CB14">
        <v>381.96772771792365</v>
      </c>
      <c r="CC14">
        <v>390.81407933398629</v>
      </c>
      <c r="CD14">
        <v>436.85712536728698</v>
      </c>
      <c r="CE14">
        <v>493.51420176297745</v>
      </c>
      <c r="CF14">
        <v>525.49020568070523</v>
      </c>
      <c r="CG14">
        <v>521.71352012217699</v>
      </c>
      <c r="CH14">
        <v>601.43183153770815</v>
      </c>
      <c r="CI14">
        <v>581.13408423114595</v>
      </c>
      <c r="CJ14">
        <v>604.12154750244861</v>
      </c>
      <c r="CK14">
        <v>649.74270323212534</v>
      </c>
      <c r="CL14">
        <v>709.99794319294801</v>
      </c>
      <c r="CM14">
        <v>706.14857982370222</v>
      </c>
      <c r="CN14">
        <v>729.91028403525956</v>
      </c>
      <c r="CO14">
        <v>722.41361410381978</v>
      </c>
      <c r="CP14">
        <v>721.80528893241922</v>
      </c>
      <c r="CQ14">
        <v>766.29245837414305</v>
      </c>
      <c r="CR14">
        <v>807.41185112634685</v>
      </c>
      <c r="CS14">
        <v>829.25308521057786</v>
      </c>
      <c r="CT14">
        <v>868.1234084231146</v>
      </c>
      <c r="CU14">
        <v>998.95151811949086</v>
      </c>
    </row>
    <row r="15" spans="1:107" x14ac:dyDescent="0.25">
      <c r="A15" t="s">
        <v>520</v>
      </c>
    </row>
    <row r="16" spans="1:107" x14ac:dyDescent="0.25">
      <c r="A16" t="s">
        <v>521</v>
      </c>
      <c r="F16" t="s">
        <v>522</v>
      </c>
      <c r="H16" s="38">
        <f>AVERAGE(H4,H6,H8,H10,H12,H14)</f>
        <v>18.64127633564576</v>
      </c>
      <c r="I16" s="38">
        <f t="shared" ref="I16:BT16" si="0">AVERAGE(I4,I6,I8,I10,I12,I14)</f>
        <v>18.196868137328952</v>
      </c>
      <c r="J16" s="38">
        <f t="shared" si="0"/>
        <v>17.252191585946751</v>
      </c>
      <c r="K16" s="38">
        <f t="shared" si="0"/>
        <v>16.736633830886689</v>
      </c>
      <c r="L16" s="38">
        <f t="shared" si="0"/>
        <v>17.235949553551055</v>
      </c>
      <c r="M16" s="38">
        <f t="shared" si="0"/>
        <v>17.346040625622326</v>
      </c>
      <c r="N16" s="38">
        <f t="shared" si="0"/>
        <v>17.653095019242993</v>
      </c>
      <c r="O16" s="38">
        <f t="shared" si="0"/>
        <v>18.817073652711745</v>
      </c>
      <c r="P16" s="38">
        <f t="shared" si="0"/>
        <v>19.096743034504019</v>
      </c>
      <c r="Q16" s="38">
        <f t="shared" si="0"/>
        <v>19.269626768968763</v>
      </c>
      <c r="R16" s="38">
        <f t="shared" si="0"/>
        <v>20.066131717113663</v>
      </c>
      <c r="S16" s="38">
        <f t="shared" si="0"/>
        <v>20.708721114271551</v>
      </c>
      <c r="T16" s="38">
        <f t="shared" si="0"/>
        <v>21.433409648397809</v>
      </c>
      <c r="U16" s="38">
        <f t="shared" si="0"/>
        <v>21.610669035441973</v>
      </c>
      <c r="V16" s="38">
        <f t="shared" si="0"/>
        <v>21.775330868374638</v>
      </c>
      <c r="W16" s="38">
        <f t="shared" si="0"/>
        <v>22.078145520029931</v>
      </c>
      <c r="X16" s="38">
        <f t="shared" si="0"/>
        <v>24.827930726968003</v>
      </c>
      <c r="Y16" s="38">
        <f t="shared" si="0"/>
        <v>28.918376918368622</v>
      </c>
      <c r="Z16" s="38">
        <f t="shared" si="0"/>
        <v>31.771393884810678</v>
      </c>
      <c r="AA16" s="38">
        <f t="shared" si="0"/>
        <v>33.744569312628172</v>
      </c>
      <c r="AB16" s="38">
        <f t="shared" si="0"/>
        <v>34.866224080264566</v>
      </c>
      <c r="AC16" s="38">
        <f t="shared" si="0"/>
        <v>37.434048907708167</v>
      </c>
      <c r="AD16" s="38">
        <f t="shared" si="0"/>
        <v>38.335882523196453</v>
      </c>
      <c r="AE16" s="38">
        <f t="shared" si="0"/>
        <v>42.292684075246157</v>
      </c>
      <c r="AF16" s="38">
        <f t="shared" si="0"/>
        <v>44.029015782261816</v>
      </c>
      <c r="AG16" s="38">
        <f t="shared" si="0"/>
        <v>45.530333856255403</v>
      </c>
      <c r="AH16" s="38">
        <f t="shared" si="0"/>
        <v>49.180269023182156</v>
      </c>
      <c r="AI16" s="38">
        <f t="shared" si="0"/>
        <v>52.327616721437209</v>
      </c>
      <c r="AJ16" s="38">
        <f t="shared" si="0"/>
        <v>54.802236729405912</v>
      </c>
      <c r="AK16" s="38">
        <f t="shared" si="0"/>
        <v>56.611179604621718</v>
      </c>
      <c r="AL16" s="38">
        <f t="shared" si="0"/>
        <v>58.010039185824887</v>
      </c>
      <c r="AM16" s="38">
        <f t="shared" si="0"/>
        <v>59.119361805879286</v>
      </c>
      <c r="AN16" s="38">
        <f t="shared" si="0"/>
        <v>64.495090420550767</v>
      </c>
      <c r="AO16" s="38">
        <f t="shared" si="0"/>
        <v>65.529247866912172</v>
      </c>
      <c r="AP16" s="38">
        <f t="shared" si="0"/>
        <v>66.798345509361127</v>
      </c>
      <c r="AQ16" s="38">
        <f t="shared" si="0"/>
        <v>68.023074758592415</v>
      </c>
      <c r="AR16" s="38">
        <f t="shared" si="0"/>
        <v>69.994692262232945</v>
      </c>
      <c r="AS16" s="38">
        <f t="shared" si="0"/>
        <v>72.114407748849345</v>
      </c>
      <c r="AT16" s="38">
        <f t="shared" si="0"/>
        <v>74.376503878546544</v>
      </c>
      <c r="AU16" s="38">
        <f t="shared" si="0"/>
        <v>78.157940627424878</v>
      </c>
      <c r="AV16" s="38">
        <f t="shared" si="0"/>
        <v>84.159768694950884</v>
      </c>
      <c r="AW16" s="38">
        <f t="shared" si="0"/>
        <v>90.913755559641004</v>
      </c>
      <c r="AX16" s="38">
        <f t="shared" si="0"/>
        <v>96.466252399589735</v>
      </c>
      <c r="AY16" s="38">
        <f t="shared" si="0"/>
        <v>100</v>
      </c>
      <c r="AZ16" s="38">
        <f t="shared" si="0"/>
        <v>116.78816348470518</v>
      </c>
      <c r="BA16" s="38">
        <f t="shared" si="0"/>
        <v>132.6238397713208</v>
      </c>
      <c r="BB16" s="38">
        <f t="shared" si="0"/>
        <v>141.49078841762727</v>
      </c>
      <c r="BC16" s="38">
        <f t="shared" si="0"/>
        <v>150.5423377431413</v>
      </c>
      <c r="BD16" s="38">
        <f t="shared" si="0"/>
        <v>163.49524934345405</v>
      </c>
      <c r="BE16" s="38">
        <f t="shared" si="0"/>
        <v>177.03810655976415</v>
      </c>
      <c r="BF16" s="38">
        <f t="shared" si="0"/>
        <v>192.94028465917145</v>
      </c>
      <c r="BG16" s="38">
        <f t="shared" si="0"/>
        <v>212.26137173836995</v>
      </c>
      <c r="BH16" s="38">
        <f t="shared" si="0"/>
        <v>226.49395169942284</v>
      </c>
      <c r="BI16" s="38">
        <f t="shared" si="0"/>
        <v>232.65673227795091</v>
      </c>
      <c r="BJ16" s="38">
        <f t="shared" si="0"/>
        <v>238.25286799410205</v>
      </c>
      <c r="BK16" s="38">
        <f t="shared" si="0"/>
        <v>240.15570222826273</v>
      </c>
      <c r="BL16" s="38">
        <f t="shared" si="0"/>
        <v>236.46332286183471</v>
      </c>
      <c r="BM16" s="38">
        <f t="shared" si="0"/>
        <v>242.95856539493946</v>
      </c>
      <c r="BN16" s="38">
        <f t="shared" si="0"/>
        <v>257.40331762744523</v>
      </c>
      <c r="BO16" s="38">
        <f t="shared" si="0"/>
        <v>269.9314976218098</v>
      </c>
      <c r="BP16" s="38">
        <f t="shared" si="0"/>
        <v>274.63210887657243</v>
      </c>
      <c r="BQ16" s="38">
        <f t="shared" si="0"/>
        <v>280.93755467677551</v>
      </c>
      <c r="BR16" s="38">
        <f t="shared" si="0"/>
        <v>286.38232352062226</v>
      </c>
      <c r="BS16" s="38">
        <f t="shared" si="0"/>
        <v>293.43960285298232</v>
      </c>
      <c r="BT16" s="38">
        <f t="shared" si="0"/>
        <v>306.46887616521531</v>
      </c>
      <c r="BU16" s="38">
        <f t="shared" ref="BU16:CU16" si="1">AVERAGE(BU4,BU6,BU8,BU10,BU12,BU14)</f>
        <v>312.42588072707218</v>
      </c>
      <c r="BV16" s="38">
        <f t="shared" si="1"/>
        <v>316.82009199748859</v>
      </c>
      <c r="BW16" s="38">
        <f t="shared" si="1"/>
        <v>324.20809950967623</v>
      </c>
      <c r="BX16" s="38">
        <f t="shared" si="1"/>
        <v>329.24564746449528</v>
      </c>
      <c r="BY16" s="38">
        <f t="shared" si="1"/>
        <v>335.32499146683239</v>
      </c>
      <c r="BZ16" s="38">
        <f t="shared" si="1"/>
        <v>346.53371782150339</v>
      </c>
      <c r="CA16" s="38">
        <f t="shared" si="1"/>
        <v>353.44738017483138</v>
      </c>
      <c r="CB16" s="38">
        <f t="shared" si="1"/>
        <v>361.34816573413599</v>
      </c>
      <c r="CC16" s="38">
        <f t="shared" si="1"/>
        <v>369.23301095560191</v>
      </c>
      <c r="CD16" s="38">
        <f t="shared" si="1"/>
        <v>414.88719135228365</v>
      </c>
      <c r="CE16" s="38">
        <f t="shared" si="1"/>
        <v>469.20514034936258</v>
      </c>
      <c r="CF16" s="38">
        <f t="shared" si="1"/>
        <v>461.08567272971823</v>
      </c>
      <c r="CG16" s="38">
        <f t="shared" si="1"/>
        <v>498.0223154772637</v>
      </c>
      <c r="CH16" s="38">
        <f t="shared" si="1"/>
        <v>569.88120333515076</v>
      </c>
      <c r="CI16" s="38">
        <f t="shared" si="1"/>
        <v>550.94063679692806</v>
      </c>
      <c r="CJ16" s="38">
        <f t="shared" si="1"/>
        <v>568.98950262971744</v>
      </c>
      <c r="CK16" s="38">
        <f t="shared" si="1"/>
        <v>611.61109612283201</v>
      </c>
      <c r="CL16" s="38">
        <f t="shared" si="1"/>
        <v>668.91932211262167</v>
      </c>
      <c r="CM16" s="38">
        <f t="shared" si="1"/>
        <v>663.24840548821396</v>
      </c>
      <c r="CN16" s="38">
        <f t="shared" si="1"/>
        <v>684.46914285042885</v>
      </c>
      <c r="CO16" s="38">
        <f t="shared" si="1"/>
        <v>675.61463308665782</v>
      </c>
      <c r="CP16" s="38">
        <f t="shared" si="1"/>
        <v>671.45639385971219</v>
      </c>
      <c r="CQ16" s="38">
        <f t="shared" si="1"/>
        <v>712.42858370229726</v>
      </c>
      <c r="CR16" s="38">
        <f t="shared" si="1"/>
        <v>755.13671434174842</v>
      </c>
      <c r="CS16" s="38">
        <f t="shared" si="1"/>
        <v>773.53929793938721</v>
      </c>
      <c r="CT16" s="38">
        <f t="shared" si="1"/>
        <v>813.080162458833</v>
      </c>
      <c r="CU16" s="38">
        <f t="shared" si="1"/>
        <v>933.02249921662576</v>
      </c>
    </row>
    <row r="17" spans="1:99" x14ac:dyDescent="0.25">
      <c r="A17" t="s">
        <v>523</v>
      </c>
    </row>
    <row r="18" spans="1:99" x14ac:dyDescent="0.25">
      <c r="H18" s="38">
        <v>18.64127633564576</v>
      </c>
      <c r="I18" s="38">
        <v>18.196868137328952</v>
      </c>
      <c r="J18" s="38">
        <v>17.252191585946751</v>
      </c>
      <c r="K18" s="38">
        <v>16.736633830886689</v>
      </c>
      <c r="L18" s="38">
        <v>17.235949553551055</v>
      </c>
      <c r="M18" s="38">
        <v>17.346040625622326</v>
      </c>
      <c r="N18" s="38">
        <v>17.653095019242993</v>
      </c>
      <c r="O18" s="38">
        <v>18.817073652711745</v>
      </c>
      <c r="P18" s="38">
        <v>19.096743034504019</v>
      </c>
      <c r="Q18" s="38">
        <v>19.269626768968763</v>
      </c>
      <c r="R18" s="38">
        <v>20.066131717113663</v>
      </c>
      <c r="S18" s="38">
        <v>20.708721114271551</v>
      </c>
      <c r="T18" s="38">
        <v>21.433409648397809</v>
      </c>
      <c r="U18" s="38">
        <v>21.610669035441973</v>
      </c>
      <c r="V18" s="38">
        <v>21.775330868374638</v>
      </c>
      <c r="W18" s="38">
        <v>22.078145520029931</v>
      </c>
      <c r="X18" s="38">
        <v>24.827930726968003</v>
      </c>
      <c r="Y18" s="38">
        <v>28.918376918368622</v>
      </c>
      <c r="Z18" s="38">
        <v>31.771393884810678</v>
      </c>
      <c r="AA18" s="38">
        <v>33.744569312628172</v>
      </c>
      <c r="AB18" s="38">
        <v>34.866224080264566</v>
      </c>
      <c r="AC18" s="38">
        <v>37.434048907708167</v>
      </c>
      <c r="AD18" s="38">
        <v>38.335882523196453</v>
      </c>
      <c r="AE18" s="38">
        <v>42.292684075246157</v>
      </c>
      <c r="AF18" s="38">
        <v>44.029015782261816</v>
      </c>
      <c r="AG18" s="38">
        <v>45.530333856255403</v>
      </c>
      <c r="AH18" s="38">
        <v>49.180269023182156</v>
      </c>
      <c r="AI18" s="38">
        <v>52.327616721437209</v>
      </c>
      <c r="AJ18" s="38">
        <v>54.802236729405912</v>
      </c>
      <c r="AK18" s="38">
        <v>56.611179604621718</v>
      </c>
      <c r="AL18" s="38">
        <v>58.010039185824887</v>
      </c>
      <c r="AM18" s="38">
        <v>59.119361805879286</v>
      </c>
      <c r="AN18" s="38">
        <v>64.495090420550767</v>
      </c>
      <c r="AO18" s="38">
        <v>65.529247866912172</v>
      </c>
      <c r="AP18" s="38">
        <v>66.798345509361127</v>
      </c>
      <c r="AQ18" s="38">
        <v>68.023074758592415</v>
      </c>
      <c r="AR18" s="38">
        <v>69.994692262232945</v>
      </c>
      <c r="AS18" s="38">
        <v>72.114407748849345</v>
      </c>
      <c r="AT18" s="38">
        <v>74.376503878546544</v>
      </c>
      <c r="AU18" s="38">
        <v>78.157940627424878</v>
      </c>
      <c r="AV18" s="38">
        <v>84.159768694950884</v>
      </c>
      <c r="AW18" s="38">
        <v>90.913755559641004</v>
      </c>
      <c r="AX18" s="38">
        <v>96.466252399589735</v>
      </c>
      <c r="AY18" s="38">
        <v>100</v>
      </c>
      <c r="AZ18" s="38">
        <v>116.78816348470518</v>
      </c>
      <c r="BA18" s="38">
        <v>132.6238397713208</v>
      </c>
      <c r="BB18" s="38">
        <v>141.49078841762727</v>
      </c>
      <c r="BC18" s="38">
        <v>150.5423377431413</v>
      </c>
      <c r="BD18" s="38">
        <v>163.49524934345405</v>
      </c>
      <c r="BE18" s="38">
        <v>177.03810655976415</v>
      </c>
      <c r="BF18" s="38">
        <v>192.94028465917145</v>
      </c>
      <c r="BG18" s="38">
        <v>212.26137173836995</v>
      </c>
      <c r="BH18" s="38">
        <v>226.49395169942284</v>
      </c>
      <c r="BI18" s="38">
        <v>232.65673227795091</v>
      </c>
      <c r="BJ18" s="38">
        <v>238.25286799410205</v>
      </c>
      <c r="BK18" s="38">
        <v>240.15570222826273</v>
      </c>
      <c r="BL18" s="38">
        <v>236.46332286183471</v>
      </c>
      <c r="BM18" s="38">
        <v>242.95856539493946</v>
      </c>
      <c r="BN18" s="38">
        <v>257.40331762744523</v>
      </c>
      <c r="BO18" s="38">
        <v>269.9314976218098</v>
      </c>
      <c r="BP18" s="38">
        <v>274.63210887657243</v>
      </c>
      <c r="BQ18" s="38">
        <v>280.93755467677551</v>
      </c>
      <c r="BR18" s="38">
        <v>286.38232352062226</v>
      </c>
      <c r="BS18" s="38">
        <v>293.43960285298232</v>
      </c>
      <c r="BT18" s="38">
        <v>306.46887616521531</v>
      </c>
      <c r="BU18" s="38">
        <v>312.42588072707218</v>
      </c>
      <c r="BV18" s="38">
        <v>316.82009199748859</v>
      </c>
      <c r="BW18" s="38">
        <v>324.20809950967623</v>
      </c>
      <c r="BX18" s="38">
        <v>329.24564746449528</v>
      </c>
      <c r="BY18" s="38">
        <v>335.32499146683239</v>
      </c>
      <c r="BZ18" s="38">
        <v>346.53371782150339</v>
      </c>
      <c r="CA18" s="38">
        <v>353.44738017483138</v>
      </c>
      <c r="CB18" s="38">
        <v>361.34816573413599</v>
      </c>
      <c r="CC18" s="38">
        <v>369.23301095560191</v>
      </c>
      <c r="CD18" s="38">
        <v>414.88719135228365</v>
      </c>
      <c r="CE18" s="38">
        <v>469.20514034936258</v>
      </c>
      <c r="CF18" s="38">
        <v>461.08567272971823</v>
      </c>
      <c r="CG18" s="38">
        <v>498.0223154772637</v>
      </c>
      <c r="CH18" s="38">
        <v>569.88120333515076</v>
      </c>
      <c r="CI18" s="38">
        <v>550.94063679692806</v>
      </c>
      <c r="CJ18" s="38">
        <v>568.98950262971744</v>
      </c>
      <c r="CK18" s="38">
        <v>611.61109612283201</v>
      </c>
      <c r="CL18" s="38">
        <v>668.91932211262167</v>
      </c>
      <c r="CM18" s="38">
        <v>663.24840548821396</v>
      </c>
      <c r="CN18" s="38">
        <v>684.46914285042885</v>
      </c>
      <c r="CO18" s="38">
        <v>675.61463308665782</v>
      </c>
      <c r="CP18" s="38">
        <v>671.45639385971219</v>
      </c>
      <c r="CQ18" s="38">
        <v>712.42858370229726</v>
      </c>
      <c r="CR18" s="38">
        <v>755.13671434174842</v>
      </c>
      <c r="CS18" s="38">
        <v>773.53929793938721</v>
      </c>
      <c r="CT18" s="38">
        <v>813.080162458833</v>
      </c>
      <c r="CU18">
        <v>933.02249921662576</v>
      </c>
    </row>
    <row r="19" spans="1:99" x14ac:dyDescent="0.25">
      <c r="E19" t="s">
        <v>127</v>
      </c>
      <c r="F19" t="s">
        <v>524</v>
      </c>
    </row>
    <row r="20" spans="1:99" x14ac:dyDescent="0.25">
      <c r="E20">
        <v>1930</v>
      </c>
      <c r="F20" s="38">
        <v>18.64127633564576</v>
      </c>
      <c r="H20" s="38"/>
    </row>
    <row r="21" spans="1:99" x14ac:dyDescent="0.25">
      <c r="E21">
        <v>1931</v>
      </c>
      <c r="F21" s="38">
        <v>18.196868137328952</v>
      </c>
      <c r="H21" s="38"/>
    </row>
    <row r="22" spans="1:99" x14ac:dyDescent="0.25">
      <c r="E22">
        <v>1932</v>
      </c>
      <c r="F22" s="38">
        <v>17.252191585946751</v>
      </c>
      <c r="H22" s="38"/>
    </row>
    <row r="23" spans="1:99" x14ac:dyDescent="0.25">
      <c r="E23">
        <v>1933</v>
      </c>
      <c r="F23" s="38">
        <v>16.736633830886689</v>
      </c>
      <c r="H23" s="38"/>
    </row>
    <row r="24" spans="1:99" x14ac:dyDescent="0.25">
      <c r="E24">
        <v>1934</v>
      </c>
      <c r="F24" s="38">
        <v>17.235949553551055</v>
      </c>
      <c r="H24" s="38"/>
    </row>
    <row r="25" spans="1:99" x14ac:dyDescent="0.25">
      <c r="E25">
        <v>1935</v>
      </c>
      <c r="F25" s="38">
        <v>17.346040625622326</v>
      </c>
      <c r="H25" s="38"/>
    </row>
    <row r="26" spans="1:99" x14ac:dyDescent="0.25">
      <c r="E26">
        <v>1936</v>
      </c>
      <c r="F26" s="38">
        <v>17.653095019242993</v>
      </c>
      <c r="H26" s="38"/>
    </row>
    <row r="27" spans="1:99" x14ac:dyDescent="0.25">
      <c r="E27">
        <v>1937</v>
      </c>
      <c r="F27" s="38">
        <v>18.817073652711745</v>
      </c>
      <c r="H27" s="38"/>
    </row>
    <row r="28" spans="1:99" x14ac:dyDescent="0.25">
      <c r="E28">
        <v>1938</v>
      </c>
      <c r="F28" s="38">
        <v>19.096743034504019</v>
      </c>
      <c r="H28" s="38"/>
    </row>
    <row r="29" spans="1:99" x14ac:dyDescent="0.25">
      <c r="E29">
        <v>1939</v>
      </c>
      <c r="F29" s="38">
        <v>19.269626768968763</v>
      </c>
      <c r="H29" s="38"/>
    </row>
    <row r="30" spans="1:99" x14ac:dyDescent="0.25">
      <c r="E30">
        <v>1940</v>
      </c>
      <c r="F30" s="38">
        <v>20.066131717113663</v>
      </c>
      <c r="H30" s="38"/>
    </row>
    <row r="31" spans="1:99" x14ac:dyDescent="0.25">
      <c r="E31">
        <v>1941</v>
      </c>
      <c r="F31" s="38">
        <v>20.708721114271551</v>
      </c>
      <c r="H31" s="38"/>
    </row>
    <row r="32" spans="1:99" x14ac:dyDescent="0.25">
      <c r="E32">
        <v>1942</v>
      </c>
      <c r="F32" s="38">
        <v>21.433409648397809</v>
      </c>
      <c r="H32" s="38"/>
    </row>
    <row r="33" spans="5:8" x14ac:dyDescent="0.25">
      <c r="E33">
        <v>1943</v>
      </c>
      <c r="F33" s="38">
        <v>21.610669035441973</v>
      </c>
      <c r="H33" s="38"/>
    </row>
    <row r="34" spans="5:8" x14ac:dyDescent="0.25">
      <c r="E34">
        <v>1944</v>
      </c>
      <c r="F34" s="38">
        <v>21.775330868374638</v>
      </c>
      <c r="H34" s="38"/>
    </row>
    <row r="35" spans="5:8" x14ac:dyDescent="0.25">
      <c r="E35">
        <v>1945</v>
      </c>
      <c r="F35" s="38">
        <v>22.078145520029931</v>
      </c>
      <c r="H35" s="38"/>
    </row>
    <row r="36" spans="5:8" x14ac:dyDescent="0.25">
      <c r="E36">
        <v>1946</v>
      </c>
      <c r="F36" s="38">
        <v>24.827930726968003</v>
      </c>
      <c r="H36" s="38"/>
    </row>
    <row r="37" spans="5:8" x14ac:dyDescent="0.25">
      <c r="E37">
        <v>1947</v>
      </c>
      <c r="F37" s="38">
        <v>28.918376918368622</v>
      </c>
      <c r="H37" s="38"/>
    </row>
    <row r="38" spans="5:8" x14ac:dyDescent="0.25">
      <c r="E38">
        <v>1948</v>
      </c>
      <c r="F38" s="38">
        <v>31.771393884810678</v>
      </c>
      <c r="H38" s="38"/>
    </row>
    <row r="39" spans="5:8" x14ac:dyDescent="0.25">
      <c r="E39">
        <v>1949</v>
      </c>
      <c r="F39" s="38">
        <v>33.744569312628172</v>
      </c>
      <c r="H39" s="38"/>
    </row>
    <row r="40" spans="5:8" x14ac:dyDescent="0.25">
      <c r="E40">
        <v>1950</v>
      </c>
      <c r="F40" s="38">
        <v>34.866224080264566</v>
      </c>
      <c r="H40" s="38"/>
    </row>
    <row r="41" spans="5:8" x14ac:dyDescent="0.25">
      <c r="E41">
        <v>1951</v>
      </c>
      <c r="F41" s="38">
        <v>37.434048907708167</v>
      </c>
      <c r="H41" s="38"/>
    </row>
    <row r="42" spans="5:8" x14ac:dyDescent="0.25">
      <c r="E42">
        <v>1952</v>
      </c>
      <c r="F42" s="38">
        <v>38.335882523196453</v>
      </c>
      <c r="H42" s="38"/>
    </row>
    <row r="43" spans="5:8" x14ac:dyDescent="0.25">
      <c r="E43">
        <v>1953</v>
      </c>
      <c r="F43" s="38">
        <v>42.292684075246157</v>
      </c>
      <c r="H43" s="38"/>
    </row>
    <row r="44" spans="5:8" x14ac:dyDescent="0.25">
      <c r="E44">
        <v>1954</v>
      </c>
      <c r="F44" s="38">
        <v>44.029015782261816</v>
      </c>
      <c r="H44" s="38"/>
    </row>
    <row r="45" spans="5:8" x14ac:dyDescent="0.25">
      <c r="E45">
        <v>1955</v>
      </c>
      <c r="F45" s="38">
        <v>45.530333856255403</v>
      </c>
      <c r="H45" s="38"/>
    </row>
    <row r="46" spans="5:8" x14ac:dyDescent="0.25">
      <c r="E46">
        <v>1956</v>
      </c>
      <c r="F46" s="38">
        <v>49.180269023182156</v>
      </c>
      <c r="H46" s="38"/>
    </row>
    <row r="47" spans="5:8" x14ac:dyDescent="0.25">
      <c r="E47">
        <v>1957</v>
      </c>
      <c r="F47" s="38">
        <v>52.327616721437209</v>
      </c>
      <c r="H47" s="38"/>
    </row>
    <row r="48" spans="5:8" x14ac:dyDescent="0.25">
      <c r="E48">
        <v>1958</v>
      </c>
      <c r="F48" s="38">
        <v>54.802236729405912</v>
      </c>
      <c r="H48" s="38"/>
    </row>
    <row r="49" spans="5:8" x14ac:dyDescent="0.25">
      <c r="E49">
        <v>1959</v>
      </c>
      <c r="F49" s="38">
        <v>56.611179604621718</v>
      </c>
      <c r="H49" s="38"/>
    </row>
    <row r="50" spans="5:8" x14ac:dyDescent="0.25">
      <c r="E50">
        <v>1960</v>
      </c>
      <c r="F50" s="38">
        <v>58.010039185824887</v>
      </c>
      <c r="H50" s="38"/>
    </row>
    <row r="51" spans="5:8" x14ac:dyDescent="0.25">
      <c r="E51">
        <v>1961</v>
      </c>
      <c r="F51" s="38">
        <v>59.119361805879286</v>
      </c>
      <c r="H51" s="38"/>
    </row>
    <row r="52" spans="5:8" x14ac:dyDescent="0.25">
      <c r="E52">
        <v>1962</v>
      </c>
      <c r="F52" s="38">
        <v>64.495090420550767</v>
      </c>
      <c r="H52" s="38"/>
    </row>
    <row r="53" spans="5:8" x14ac:dyDescent="0.25">
      <c r="E53">
        <v>1963</v>
      </c>
      <c r="F53" s="38">
        <v>65.529247866912172</v>
      </c>
      <c r="H53" s="38"/>
    </row>
    <row r="54" spans="5:8" x14ac:dyDescent="0.25">
      <c r="E54">
        <v>1964</v>
      </c>
      <c r="F54" s="38">
        <v>66.798345509361127</v>
      </c>
      <c r="H54" s="38"/>
    </row>
    <row r="55" spans="5:8" x14ac:dyDescent="0.25">
      <c r="E55">
        <v>1965</v>
      </c>
      <c r="F55" s="38">
        <v>68.023074758592415</v>
      </c>
      <c r="H55" s="38"/>
    </row>
    <row r="56" spans="5:8" x14ac:dyDescent="0.25">
      <c r="E56">
        <v>1966</v>
      </c>
      <c r="F56" s="38">
        <v>69.994692262232945</v>
      </c>
      <c r="H56" s="38"/>
    </row>
    <row r="57" spans="5:8" x14ac:dyDescent="0.25">
      <c r="E57">
        <v>1967</v>
      </c>
      <c r="F57" s="38">
        <v>72.114407748849345</v>
      </c>
      <c r="H57" s="38"/>
    </row>
    <row r="58" spans="5:8" x14ac:dyDescent="0.25">
      <c r="E58">
        <v>1968</v>
      </c>
      <c r="F58" s="38">
        <v>74.376503878546544</v>
      </c>
      <c r="H58" s="38"/>
    </row>
    <row r="59" spans="5:8" x14ac:dyDescent="0.25">
      <c r="E59">
        <v>1969</v>
      </c>
      <c r="F59" s="38">
        <v>78.157940627424878</v>
      </c>
      <c r="H59" s="38"/>
    </row>
    <row r="60" spans="5:8" x14ac:dyDescent="0.25">
      <c r="E60">
        <v>1970</v>
      </c>
      <c r="F60" s="38">
        <v>84.159768694950884</v>
      </c>
      <c r="H60" s="38"/>
    </row>
    <row r="61" spans="5:8" x14ac:dyDescent="0.25">
      <c r="E61">
        <v>1971</v>
      </c>
      <c r="F61" s="38">
        <v>90.913755559641004</v>
      </c>
      <c r="H61" s="38"/>
    </row>
    <row r="62" spans="5:8" x14ac:dyDescent="0.25">
      <c r="E62">
        <v>1972</v>
      </c>
      <c r="F62" s="38">
        <v>96.466252399589735</v>
      </c>
      <c r="H62" s="38"/>
    </row>
    <row r="63" spans="5:8" x14ac:dyDescent="0.25">
      <c r="E63">
        <v>1973</v>
      </c>
      <c r="F63" s="38">
        <v>100</v>
      </c>
      <c r="H63" s="38"/>
    </row>
    <row r="64" spans="5:8" x14ac:dyDescent="0.25">
      <c r="E64">
        <v>1974</v>
      </c>
      <c r="F64" s="38">
        <v>116.78816348470518</v>
      </c>
      <c r="H64" s="38"/>
    </row>
    <row r="65" spans="5:8" x14ac:dyDescent="0.25">
      <c r="E65">
        <v>1975</v>
      </c>
      <c r="F65" s="38">
        <v>132.6238397713208</v>
      </c>
      <c r="H65" s="38"/>
    </row>
    <row r="66" spans="5:8" x14ac:dyDescent="0.25">
      <c r="E66">
        <v>1976</v>
      </c>
      <c r="F66" s="38">
        <v>141.49078841762727</v>
      </c>
      <c r="H66" s="38"/>
    </row>
    <row r="67" spans="5:8" x14ac:dyDescent="0.25">
      <c r="E67">
        <v>1977</v>
      </c>
      <c r="F67" s="38">
        <v>150.5423377431413</v>
      </c>
      <c r="H67" s="38"/>
    </row>
    <row r="68" spans="5:8" x14ac:dyDescent="0.25">
      <c r="E68">
        <v>1978</v>
      </c>
      <c r="F68" s="38">
        <v>163.49524934345405</v>
      </c>
      <c r="H68" s="38"/>
    </row>
    <row r="69" spans="5:8" x14ac:dyDescent="0.25">
      <c r="E69">
        <v>1979</v>
      </c>
      <c r="F69" s="38">
        <v>177.03810655976415</v>
      </c>
      <c r="H69" s="38"/>
    </row>
    <row r="70" spans="5:8" x14ac:dyDescent="0.25">
      <c r="E70">
        <v>1980</v>
      </c>
      <c r="F70" s="38">
        <v>192.94028465917145</v>
      </c>
      <c r="H70" s="38"/>
    </row>
    <row r="71" spans="5:8" x14ac:dyDescent="0.25">
      <c r="E71">
        <v>1981</v>
      </c>
      <c r="F71" s="38">
        <v>212.26137173836995</v>
      </c>
      <c r="H71" s="38"/>
    </row>
    <row r="72" spans="5:8" x14ac:dyDescent="0.25">
      <c r="E72">
        <v>1982</v>
      </c>
      <c r="F72" s="38">
        <v>226.49395169942284</v>
      </c>
      <c r="H72" s="38"/>
    </row>
    <row r="73" spans="5:8" x14ac:dyDescent="0.25">
      <c r="E73">
        <v>1983</v>
      </c>
      <c r="F73" s="38">
        <v>232.65673227795091</v>
      </c>
      <c r="H73" s="38"/>
    </row>
    <row r="74" spans="5:8" x14ac:dyDescent="0.25">
      <c r="E74">
        <v>1984</v>
      </c>
      <c r="F74" s="38">
        <v>238.25286799410205</v>
      </c>
      <c r="H74" s="38"/>
    </row>
    <row r="75" spans="5:8" x14ac:dyDescent="0.25">
      <c r="E75">
        <v>1985</v>
      </c>
      <c r="F75" s="38">
        <v>240.15570222826273</v>
      </c>
      <c r="H75" s="38"/>
    </row>
    <row r="76" spans="5:8" x14ac:dyDescent="0.25">
      <c r="E76">
        <v>1986</v>
      </c>
      <c r="F76" s="38">
        <v>236.46332286183471</v>
      </c>
      <c r="H76" s="38"/>
    </row>
    <row r="77" spans="5:8" x14ac:dyDescent="0.25">
      <c r="E77">
        <v>1987</v>
      </c>
      <c r="F77" s="38">
        <v>242.95856539493946</v>
      </c>
      <c r="H77" s="38"/>
    </row>
    <row r="78" spans="5:8" x14ac:dyDescent="0.25">
      <c r="E78">
        <v>1988</v>
      </c>
      <c r="F78" s="38">
        <v>257.40331762744523</v>
      </c>
      <c r="H78" s="38"/>
    </row>
    <row r="79" spans="5:8" x14ac:dyDescent="0.25">
      <c r="E79">
        <v>1989</v>
      </c>
      <c r="F79" s="38">
        <v>269.9314976218098</v>
      </c>
      <c r="H79" s="38"/>
    </row>
    <row r="80" spans="5:8" x14ac:dyDescent="0.25">
      <c r="E80">
        <v>1990</v>
      </c>
      <c r="F80" s="38">
        <v>274.63210887657243</v>
      </c>
      <c r="H80" s="38"/>
    </row>
    <row r="81" spans="5:8" x14ac:dyDescent="0.25">
      <c r="E81">
        <v>1991</v>
      </c>
      <c r="F81" s="38">
        <v>280.93755467677551</v>
      </c>
      <c r="H81" s="38"/>
    </row>
    <row r="82" spans="5:8" x14ac:dyDescent="0.25">
      <c r="E82">
        <v>1992</v>
      </c>
      <c r="F82" s="38">
        <v>286.38232352062226</v>
      </c>
      <c r="H82" s="38"/>
    </row>
    <row r="83" spans="5:8" x14ac:dyDescent="0.25">
      <c r="E83">
        <v>1993</v>
      </c>
      <c r="F83" s="38">
        <v>293.43960285298232</v>
      </c>
      <c r="H83" s="38"/>
    </row>
    <row r="84" spans="5:8" x14ac:dyDescent="0.25">
      <c r="E84">
        <v>1994</v>
      </c>
      <c r="F84" s="38">
        <v>306.46887616521531</v>
      </c>
      <c r="H84" s="38"/>
    </row>
    <row r="85" spans="5:8" x14ac:dyDescent="0.25">
      <c r="E85">
        <v>1995</v>
      </c>
      <c r="F85" s="38">
        <v>312.42588072707218</v>
      </c>
      <c r="H85" s="38"/>
    </row>
    <row r="86" spans="5:8" x14ac:dyDescent="0.25">
      <c r="E86">
        <v>1996</v>
      </c>
      <c r="F86" s="38">
        <v>316.82009199748859</v>
      </c>
      <c r="H86" s="38"/>
    </row>
    <row r="87" spans="5:8" x14ac:dyDescent="0.25">
      <c r="E87">
        <v>1997</v>
      </c>
      <c r="F87" s="38">
        <v>324.20809950967623</v>
      </c>
      <c r="H87" s="38"/>
    </row>
    <row r="88" spans="5:8" x14ac:dyDescent="0.25">
      <c r="E88">
        <v>1998</v>
      </c>
      <c r="F88" s="38">
        <v>329.24564746449528</v>
      </c>
      <c r="H88" s="38"/>
    </row>
    <row r="89" spans="5:8" x14ac:dyDescent="0.25">
      <c r="E89">
        <v>1999</v>
      </c>
      <c r="F89" s="38">
        <v>335.32499146683239</v>
      </c>
      <c r="H89" s="38"/>
    </row>
    <row r="90" spans="5:8" x14ac:dyDescent="0.25">
      <c r="E90">
        <v>2000</v>
      </c>
      <c r="F90" s="38">
        <v>346.53371782150339</v>
      </c>
      <c r="H90" s="38"/>
    </row>
    <row r="91" spans="5:8" x14ac:dyDescent="0.25">
      <c r="E91">
        <v>2001</v>
      </c>
      <c r="F91" s="38">
        <v>353.44738017483138</v>
      </c>
      <c r="H91" s="38"/>
    </row>
    <row r="92" spans="5:8" x14ac:dyDescent="0.25">
      <c r="E92">
        <v>2002</v>
      </c>
      <c r="F92" s="38">
        <v>361.34816573413599</v>
      </c>
      <c r="H92" s="38"/>
    </row>
    <row r="93" spans="5:8" x14ac:dyDescent="0.25">
      <c r="E93">
        <v>2003</v>
      </c>
      <c r="F93" s="38">
        <v>369.23301095560191</v>
      </c>
      <c r="H93" s="38"/>
    </row>
    <row r="94" spans="5:8" x14ac:dyDescent="0.25">
      <c r="E94">
        <v>2004</v>
      </c>
      <c r="F94" s="38">
        <v>414.88719135228365</v>
      </c>
      <c r="H94" s="38"/>
    </row>
    <row r="95" spans="5:8" x14ac:dyDescent="0.25">
      <c r="E95">
        <v>2005</v>
      </c>
      <c r="F95" s="38">
        <v>469.20514034936258</v>
      </c>
      <c r="H95" s="38"/>
    </row>
    <row r="96" spans="5:8" x14ac:dyDescent="0.25">
      <c r="E96">
        <v>2006</v>
      </c>
      <c r="F96" s="38">
        <v>461.08567272971823</v>
      </c>
      <c r="H96" s="38"/>
    </row>
    <row r="97" spans="5:8" x14ac:dyDescent="0.25">
      <c r="E97">
        <v>2007</v>
      </c>
      <c r="F97" s="38">
        <v>498.0223154772637</v>
      </c>
      <c r="H97" s="38"/>
    </row>
    <row r="98" spans="5:8" x14ac:dyDescent="0.25">
      <c r="E98">
        <v>2008</v>
      </c>
      <c r="F98" s="38">
        <v>569.88120333515076</v>
      </c>
      <c r="H98" s="38"/>
    </row>
    <row r="99" spans="5:8" x14ac:dyDescent="0.25">
      <c r="E99">
        <v>2009</v>
      </c>
      <c r="F99" s="38">
        <v>550.94063679692806</v>
      </c>
      <c r="H99" s="38"/>
    </row>
    <row r="100" spans="5:8" x14ac:dyDescent="0.25">
      <c r="E100">
        <v>2010</v>
      </c>
      <c r="F100" s="38">
        <v>568.98950262971744</v>
      </c>
      <c r="H100" s="38"/>
    </row>
    <row r="101" spans="5:8" x14ac:dyDescent="0.25">
      <c r="E101">
        <v>2011</v>
      </c>
      <c r="F101" s="38">
        <v>611.61109612283201</v>
      </c>
      <c r="H101" s="38"/>
    </row>
    <row r="102" spans="5:8" x14ac:dyDescent="0.25">
      <c r="E102">
        <v>2012</v>
      </c>
      <c r="F102" s="38">
        <v>668.91932211262167</v>
      </c>
      <c r="H102" s="38"/>
    </row>
    <row r="103" spans="5:8" x14ac:dyDescent="0.25">
      <c r="E103">
        <v>2013</v>
      </c>
      <c r="F103" s="38">
        <v>663.24840548821396</v>
      </c>
      <c r="H103" s="38"/>
    </row>
    <row r="104" spans="5:8" x14ac:dyDescent="0.25">
      <c r="E104">
        <v>2014</v>
      </c>
      <c r="F104" s="38">
        <v>684.46914285042885</v>
      </c>
      <c r="H104" s="38"/>
    </row>
    <row r="105" spans="5:8" x14ac:dyDescent="0.25">
      <c r="E105">
        <v>2015</v>
      </c>
      <c r="F105" s="38">
        <v>675.61463308665782</v>
      </c>
      <c r="H105" s="38"/>
    </row>
    <row r="106" spans="5:8" x14ac:dyDescent="0.25">
      <c r="E106">
        <v>2016</v>
      </c>
      <c r="F106" s="38">
        <v>671.45639385971219</v>
      </c>
      <c r="H106" s="38"/>
    </row>
    <row r="107" spans="5:8" x14ac:dyDescent="0.25">
      <c r="E107">
        <v>2017</v>
      </c>
      <c r="F107" s="38">
        <v>712.42858370229726</v>
      </c>
      <c r="H107" s="38"/>
    </row>
    <row r="108" spans="5:8" x14ac:dyDescent="0.25">
      <c r="E108">
        <v>2018</v>
      </c>
      <c r="F108" s="38">
        <v>755.13671434174842</v>
      </c>
      <c r="H108" s="38"/>
    </row>
    <row r="109" spans="5:8" x14ac:dyDescent="0.25">
      <c r="E109">
        <v>2019</v>
      </c>
      <c r="F109" s="38">
        <v>773.53929793938721</v>
      </c>
      <c r="H109" s="38"/>
    </row>
    <row r="110" spans="5:8" x14ac:dyDescent="0.25">
      <c r="E110">
        <v>2020</v>
      </c>
      <c r="F110" s="38">
        <v>813.080162458833</v>
      </c>
      <c r="H110" s="38"/>
    </row>
    <row r="111" spans="5:8" x14ac:dyDescent="0.25">
      <c r="E111">
        <v>2021</v>
      </c>
      <c r="F111" s="38">
        <v>933.02249921662576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F8AA-7438-49A0-8BAC-7BD4D327B328}">
  <dimension ref="A3:Z91"/>
  <sheetViews>
    <sheetView topLeftCell="B1" zoomScaleNormal="100" workbookViewId="0">
      <selection activeCell="Y6" sqref="Y6"/>
    </sheetView>
  </sheetViews>
  <sheetFormatPr defaultRowHeight="12.75" x14ac:dyDescent="0.2"/>
  <cols>
    <col min="1" max="1" width="48.5703125" style="1" customWidth="1"/>
    <col min="2" max="2" width="16.28515625" style="1" customWidth="1"/>
    <col min="3" max="3" width="17.5703125" style="1" customWidth="1"/>
    <col min="4" max="256" width="9.140625" style="1"/>
    <col min="257" max="257" width="48.5703125" style="1" customWidth="1"/>
    <col min="258" max="258" width="16.28515625" style="1" customWidth="1"/>
    <col min="259" max="259" width="17.5703125" style="1" customWidth="1"/>
    <col min="260" max="512" width="9.140625" style="1"/>
    <col min="513" max="513" width="48.5703125" style="1" customWidth="1"/>
    <col min="514" max="514" width="16.28515625" style="1" customWidth="1"/>
    <col min="515" max="515" width="17.5703125" style="1" customWidth="1"/>
    <col min="516" max="768" width="9.140625" style="1"/>
    <col min="769" max="769" width="48.5703125" style="1" customWidth="1"/>
    <col min="770" max="770" width="16.28515625" style="1" customWidth="1"/>
    <col min="771" max="771" width="17.5703125" style="1" customWidth="1"/>
    <col min="772" max="1024" width="9.140625" style="1"/>
    <col min="1025" max="1025" width="48.5703125" style="1" customWidth="1"/>
    <col min="1026" max="1026" width="16.28515625" style="1" customWidth="1"/>
    <col min="1027" max="1027" width="17.5703125" style="1" customWidth="1"/>
    <col min="1028" max="1280" width="9.140625" style="1"/>
    <col min="1281" max="1281" width="48.5703125" style="1" customWidth="1"/>
    <col min="1282" max="1282" width="16.28515625" style="1" customWidth="1"/>
    <col min="1283" max="1283" width="17.5703125" style="1" customWidth="1"/>
    <col min="1284" max="1536" width="9.140625" style="1"/>
    <col min="1537" max="1537" width="48.5703125" style="1" customWidth="1"/>
    <col min="1538" max="1538" width="16.28515625" style="1" customWidth="1"/>
    <col min="1539" max="1539" width="17.5703125" style="1" customWidth="1"/>
    <col min="1540" max="1792" width="9.140625" style="1"/>
    <col min="1793" max="1793" width="48.5703125" style="1" customWidth="1"/>
    <col min="1794" max="1794" width="16.28515625" style="1" customWidth="1"/>
    <col min="1795" max="1795" width="17.5703125" style="1" customWidth="1"/>
    <col min="1796" max="2048" width="9.140625" style="1"/>
    <col min="2049" max="2049" width="48.5703125" style="1" customWidth="1"/>
    <col min="2050" max="2050" width="16.28515625" style="1" customWidth="1"/>
    <col min="2051" max="2051" width="17.5703125" style="1" customWidth="1"/>
    <col min="2052" max="2304" width="9.140625" style="1"/>
    <col min="2305" max="2305" width="48.5703125" style="1" customWidth="1"/>
    <col min="2306" max="2306" width="16.28515625" style="1" customWidth="1"/>
    <col min="2307" max="2307" width="17.5703125" style="1" customWidth="1"/>
    <col min="2308" max="2560" width="9.140625" style="1"/>
    <col min="2561" max="2561" width="48.5703125" style="1" customWidth="1"/>
    <col min="2562" max="2562" width="16.28515625" style="1" customWidth="1"/>
    <col min="2563" max="2563" width="17.5703125" style="1" customWidth="1"/>
    <col min="2564" max="2816" width="9.140625" style="1"/>
    <col min="2817" max="2817" width="48.5703125" style="1" customWidth="1"/>
    <col min="2818" max="2818" width="16.28515625" style="1" customWidth="1"/>
    <col min="2819" max="2819" width="17.5703125" style="1" customWidth="1"/>
    <col min="2820" max="3072" width="9.140625" style="1"/>
    <col min="3073" max="3073" width="48.5703125" style="1" customWidth="1"/>
    <col min="3074" max="3074" width="16.28515625" style="1" customWidth="1"/>
    <col min="3075" max="3075" width="17.5703125" style="1" customWidth="1"/>
    <col min="3076" max="3328" width="9.140625" style="1"/>
    <col min="3329" max="3329" width="48.5703125" style="1" customWidth="1"/>
    <col min="3330" max="3330" width="16.28515625" style="1" customWidth="1"/>
    <col min="3331" max="3331" width="17.5703125" style="1" customWidth="1"/>
    <col min="3332" max="3584" width="9.140625" style="1"/>
    <col min="3585" max="3585" width="48.5703125" style="1" customWidth="1"/>
    <col min="3586" max="3586" width="16.28515625" style="1" customWidth="1"/>
    <col min="3587" max="3587" width="17.5703125" style="1" customWidth="1"/>
    <col min="3588" max="3840" width="9.140625" style="1"/>
    <col min="3841" max="3841" width="48.5703125" style="1" customWidth="1"/>
    <col min="3842" max="3842" width="16.28515625" style="1" customWidth="1"/>
    <col min="3843" max="3843" width="17.5703125" style="1" customWidth="1"/>
    <col min="3844" max="4096" width="9.140625" style="1"/>
    <col min="4097" max="4097" width="48.5703125" style="1" customWidth="1"/>
    <col min="4098" max="4098" width="16.28515625" style="1" customWidth="1"/>
    <col min="4099" max="4099" width="17.5703125" style="1" customWidth="1"/>
    <col min="4100" max="4352" width="9.140625" style="1"/>
    <col min="4353" max="4353" width="48.5703125" style="1" customWidth="1"/>
    <col min="4354" max="4354" width="16.28515625" style="1" customWidth="1"/>
    <col min="4355" max="4355" width="17.5703125" style="1" customWidth="1"/>
    <col min="4356" max="4608" width="9.140625" style="1"/>
    <col min="4609" max="4609" width="48.5703125" style="1" customWidth="1"/>
    <col min="4610" max="4610" width="16.28515625" style="1" customWidth="1"/>
    <col min="4611" max="4611" width="17.5703125" style="1" customWidth="1"/>
    <col min="4612" max="4864" width="9.140625" style="1"/>
    <col min="4865" max="4865" width="48.5703125" style="1" customWidth="1"/>
    <col min="4866" max="4866" width="16.28515625" style="1" customWidth="1"/>
    <col min="4867" max="4867" width="17.5703125" style="1" customWidth="1"/>
    <col min="4868" max="5120" width="9.140625" style="1"/>
    <col min="5121" max="5121" width="48.5703125" style="1" customWidth="1"/>
    <col min="5122" max="5122" width="16.28515625" style="1" customWidth="1"/>
    <col min="5123" max="5123" width="17.5703125" style="1" customWidth="1"/>
    <col min="5124" max="5376" width="9.140625" style="1"/>
    <col min="5377" max="5377" width="48.5703125" style="1" customWidth="1"/>
    <col min="5378" max="5378" width="16.28515625" style="1" customWidth="1"/>
    <col min="5379" max="5379" width="17.5703125" style="1" customWidth="1"/>
    <col min="5380" max="5632" width="9.140625" style="1"/>
    <col min="5633" max="5633" width="48.5703125" style="1" customWidth="1"/>
    <col min="5634" max="5634" width="16.28515625" style="1" customWidth="1"/>
    <col min="5635" max="5635" width="17.5703125" style="1" customWidth="1"/>
    <col min="5636" max="5888" width="9.140625" style="1"/>
    <col min="5889" max="5889" width="48.5703125" style="1" customWidth="1"/>
    <col min="5890" max="5890" width="16.28515625" style="1" customWidth="1"/>
    <col min="5891" max="5891" width="17.5703125" style="1" customWidth="1"/>
    <col min="5892" max="6144" width="9.140625" style="1"/>
    <col min="6145" max="6145" width="48.5703125" style="1" customWidth="1"/>
    <col min="6146" max="6146" width="16.28515625" style="1" customWidth="1"/>
    <col min="6147" max="6147" width="17.5703125" style="1" customWidth="1"/>
    <col min="6148" max="6400" width="9.140625" style="1"/>
    <col min="6401" max="6401" width="48.5703125" style="1" customWidth="1"/>
    <col min="6402" max="6402" width="16.28515625" style="1" customWidth="1"/>
    <col min="6403" max="6403" width="17.5703125" style="1" customWidth="1"/>
    <col min="6404" max="6656" width="9.140625" style="1"/>
    <col min="6657" max="6657" width="48.5703125" style="1" customWidth="1"/>
    <col min="6658" max="6658" width="16.28515625" style="1" customWidth="1"/>
    <col min="6659" max="6659" width="17.5703125" style="1" customWidth="1"/>
    <col min="6660" max="6912" width="9.140625" style="1"/>
    <col min="6913" max="6913" width="48.5703125" style="1" customWidth="1"/>
    <col min="6914" max="6914" width="16.28515625" style="1" customWidth="1"/>
    <col min="6915" max="6915" width="17.5703125" style="1" customWidth="1"/>
    <col min="6916" max="7168" width="9.140625" style="1"/>
    <col min="7169" max="7169" width="48.5703125" style="1" customWidth="1"/>
    <col min="7170" max="7170" width="16.28515625" style="1" customWidth="1"/>
    <col min="7171" max="7171" width="17.5703125" style="1" customWidth="1"/>
    <col min="7172" max="7424" width="9.140625" style="1"/>
    <col min="7425" max="7425" width="48.5703125" style="1" customWidth="1"/>
    <col min="7426" max="7426" width="16.28515625" style="1" customWidth="1"/>
    <col min="7427" max="7427" width="17.5703125" style="1" customWidth="1"/>
    <col min="7428" max="7680" width="9.140625" style="1"/>
    <col min="7681" max="7681" width="48.5703125" style="1" customWidth="1"/>
    <col min="7682" max="7682" width="16.28515625" style="1" customWidth="1"/>
    <col min="7683" max="7683" width="17.5703125" style="1" customWidth="1"/>
    <col min="7684" max="7936" width="9.140625" style="1"/>
    <col min="7937" max="7937" width="48.5703125" style="1" customWidth="1"/>
    <col min="7938" max="7938" width="16.28515625" style="1" customWidth="1"/>
    <col min="7939" max="7939" width="17.5703125" style="1" customWidth="1"/>
    <col min="7940" max="8192" width="9.140625" style="1"/>
    <col min="8193" max="8193" width="48.5703125" style="1" customWidth="1"/>
    <col min="8194" max="8194" width="16.28515625" style="1" customWidth="1"/>
    <col min="8195" max="8195" width="17.5703125" style="1" customWidth="1"/>
    <col min="8196" max="8448" width="9.140625" style="1"/>
    <col min="8449" max="8449" width="48.5703125" style="1" customWidth="1"/>
    <col min="8450" max="8450" width="16.28515625" style="1" customWidth="1"/>
    <col min="8451" max="8451" width="17.5703125" style="1" customWidth="1"/>
    <col min="8452" max="8704" width="9.140625" style="1"/>
    <col min="8705" max="8705" width="48.5703125" style="1" customWidth="1"/>
    <col min="8706" max="8706" width="16.28515625" style="1" customWidth="1"/>
    <col min="8707" max="8707" width="17.5703125" style="1" customWidth="1"/>
    <col min="8708" max="8960" width="9.140625" style="1"/>
    <col min="8961" max="8961" width="48.5703125" style="1" customWidth="1"/>
    <col min="8962" max="8962" width="16.28515625" style="1" customWidth="1"/>
    <col min="8963" max="8963" width="17.5703125" style="1" customWidth="1"/>
    <col min="8964" max="9216" width="9.140625" style="1"/>
    <col min="9217" max="9217" width="48.5703125" style="1" customWidth="1"/>
    <col min="9218" max="9218" width="16.28515625" style="1" customWidth="1"/>
    <col min="9219" max="9219" width="17.5703125" style="1" customWidth="1"/>
    <col min="9220" max="9472" width="9.140625" style="1"/>
    <col min="9473" max="9473" width="48.5703125" style="1" customWidth="1"/>
    <col min="9474" max="9474" width="16.28515625" style="1" customWidth="1"/>
    <col min="9475" max="9475" width="17.5703125" style="1" customWidth="1"/>
    <col min="9476" max="9728" width="9.140625" style="1"/>
    <col min="9729" max="9729" width="48.5703125" style="1" customWidth="1"/>
    <col min="9730" max="9730" width="16.28515625" style="1" customWidth="1"/>
    <col min="9731" max="9731" width="17.5703125" style="1" customWidth="1"/>
    <col min="9732" max="9984" width="9.140625" style="1"/>
    <col min="9985" max="9985" width="48.5703125" style="1" customWidth="1"/>
    <col min="9986" max="9986" width="16.28515625" style="1" customWidth="1"/>
    <col min="9987" max="9987" width="17.5703125" style="1" customWidth="1"/>
    <col min="9988" max="10240" width="9.140625" style="1"/>
    <col min="10241" max="10241" width="48.5703125" style="1" customWidth="1"/>
    <col min="10242" max="10242" width="16.28515625" style="1" customWidth="1"/>
    <col min="10243" max="10243" width="17.5703125" style="1" customWidth="1"/>
    <col min="10244" max="10496" width="9.140625" style="1"/>
    <col min="10497" max="10497" width="48.5703125" style="1" customWidth="1"/>
    <col min="10498" max="10498" width="16.28515625" style="1" customWidth="1"/>
    <col min="10499" max="10499" width="17.5703125" style="1" customWidth="1"/>
    <col min="10500" max="10752" width="9.140625" style="1"/>
    <col min="10753" max="10753" width="48.5703125" style="1" customWidth="1"/>
    <col min="10754" max="10754" width="16.28515625" style="1" customWidth="1"/>
    <col min="10755" max="10755" width="17.5703125" style="1" customWidth="1"/>
    <col min="10756" max="11008" width="9.140625" style="1"/>
    <col min="11009" max="11009" width="48.5703125" style="1" customWidth="1"/>
    <col min="11010" max="11010" width="16.28515625" style="1" customWidth="1"/>
    <col min="11011" max="11011" width="17.5703125" style="1" customWidth="1"/>
    <col min="11012" max="11264" width="9.140625" style="1"/>
    <col min="11265" max="11265" width="48.5703125" style="1" customWidth="1"/>
    <col min="11266" max="11266" width="16.28515625" style="1" customWidth="1"/>
    <col min="11267" max="11267" width="17.5703125" style="1" customWidth="1"/>
    <col min="11268" max="11520" width="9.140625" style="1"/>
    <col min="11521" max="11521" width="48.5703125" style="1" customWidth="1"/>
    <col min="11522" max="11522" width="16.28515625" style="1" customWidth="1"/>
    <col min="11523" max="11523" width="17.5703125" style="1" customWidth="1"/>
    <col min="11524" max="11776" width="9.140625" style="1"/>
    <col min="11777" max="11777" width="48.5703125" style="1" customWidth="1"/>
    <col min="11778" max="11778" width="16.28515625" style="1" customWidth="1"/>
    <col min="11779" max="11779" width="17.5703125" style="1" customWidth="1"/>
    <col min="11780" max="12032" width="9.140625" style="1"/>
    <col min="12033" max="12033" width="48.5703125" style="1" customWidth="1"/>
    <col min="12034" max="12034" width="16.28515625" style="1" customWidth="1"/>
    <col min="12035" max="12035" width="17.5703125" style="1" customWidth="1"/>
    <col min="12036" max="12288" width="9.140625" style="1"/>
    <col min="12289" max="12289" width="48.5703125" style="1" customWidth="1"/>
    <col min="12290" max="12290" width="16.28515625" style="1" customWidth="1"/>
    <col min="12291" max="12291" width="17.5703125" style="1" customWidth="1"/>
    <col min="12292" max="12544" width="9.140625" style="1"/>
    <col min="12545" max="12545" width="48.5703125" style="1" customWidth="1"/>
    <col min="12546" max="12546" width="16.28515625" style="1" customWidth="1"/>
    <col min="12547" max="12547" width="17.5703125" style="1" customWidth="1"/>
    <col min="12548" max="12800" width="9.140625" style="1"/>
    <col min="12801" max="12801" width="48.5703125" style="1" customWidth="1"/>
    <col min="12802" max="12802" width="16.28515625" style="1" customWidth="1"/>
    <col min="12803" max="12803" width="17.5703125" style="1" customWidth="1"/>
    <col min="12804" max="13056" width="9.140625" style="1"/>
    <col min="13057" max="13057" width="48.5703125" style="1" customWidth="1"/>
    <col min="13058" max="13058" width="16.28515625" style="1" customWidth="1"/>
    <col min="13059" max="13059" width="17.5703125" style="1" customWidth="1"/>
    <col min="13060" max="13312" width="9.140625" style="1"/>
    <col min="13313" max="13313" width="48.5703125" style="1" customWidth="1"/>
    <col min="13314" max="13314" width="16.28515625" style="1" customWidth="1"/>
    <col min="13315" max="13315" width="17.5703125" style="1" customWidth="1"/>
    <col min="13316" max="13568" width="9.140625" style="1"/>
    <col min="13569" max="13569" width="48.5703125" style="1" customWidth="1"/>
    <col min="13570" max="13570" width="16.28515625" style="1" customWidth="1"/>
    <col min="13571" max="13571" width="17.5703125" style="1" customWidth="1"/>
    <col min="13572" max="13824" width="9.140625" style="1"/>
    <col min="13825" max="13825" width="48.5703125" style="1" customWidth="1"/>
    <col min="13826" max="13826" width="16.28515625" style="1" customWidth="1"/>
    <col min="13827" max="13827" width="17.5703125" style="1" customWidth="1"/>
    <col min="13828" max="14080" width="9.140625" style="1"/>
    <col min="14081" max="14081" width="48.5703125" style="1" customWidth="1"/>
    <col min="14082" max="14082" width="16.28515625" style="1" customWidth="1"/>
    <col min="14083" max="14083" width="17.5703125" style="1" customWidth="1"/>
    <col min="14084" max="14336" width="9.140625" style="1"/>
    <col min="14337" max="14337" width="48.5703125" style="1" customWidth="1"/>
    <col min="14338" max="14338" width="16.28515625" style="1" customWidth="1"/>
    <col min="14339" max="14339" width="17.5703125" style="1" customWidth="1"/>
    <col min="14340" max="14592" width="9.140625" style="1"/>
    <col min="14593" max="14593" width="48.5703125" style="1" customWidth="1"/>
    <col min="14594" max="14594" width="16.28515625" style="1" customWidth="1"/>
    <col min="14595" max="14595" width="17.5703125" style="1" customWidth="1"/>
    <col min="14596" max="14848" width="9.140625" style="1"/>
    <col min="14849" max="14849" width="48.5703125" style="1" customWidth="1"/>
    <col min="14850" max="14850" width="16.28515625" style="1" customWidth="1"/>
    <col min="14851" max="14851" width="17.5703125" style="1" customWidth="1"/>
    <col min="14852" max="15104" width="9.140625" style="1"/>
    <col min="15105" max="15105" width="48.5703125" style="1" customWidth="1"/>
    <col min="15106" max="15106" width="16.28515625" style="1" customWidth="1"/>
    <col min="15107" max="15107" width="17.5703125" style="1" customWidth="1"/>
    <col min="15108" max="15360" width="9.140625" style="1"/>
    <col min="15361" max="15361" width="48.5703125" style="1" customWidth="1"/>
    <col min="15362" max="15362" width="16.28515625" style="1" customWidth="1"/>
    <col min="15363" max="15363" width="17.5703125" style="1" customWidth="1"/>
    <col min="15364" max="15616" width="9.140625" style="1"/>
    <col min="15617" max="15617" width="48.5703125" style="1" customWidth="1"/>
    <col min="15618" max="15618" width="16.28515625" style="1" customWidth="1"/>
    <col min="15619" max="15619" width="17.5703125" style="1" customWidth="1"/>
    <col min="15620" max="15872" width="9.140625" style="1"/>
    <col min="15873" max="15873" width="48.5703125" style="1" customWidth="1"/>
    <col min="15874" max="15874" width="16.28515625" style="1" customWidth="1"/>
    <col min="15875" max="15875" width="17.5703125" style="1" customWidth="1"/>
    <col min="15876" max="16128" width="9.140625" style="1"/>
    <col min="16129" max="16129" width="48.5703125" style="1" customWidth="1"/>
    <col min="16130" max="16130" width="16.28515625" style="1" customWidth="1"/>
    <col min="16131" max="16131" width="17.5703125" style="1" customWidth="1"/>
    <col min="16132" max="16384" width="9.140625" style="1"/>
  </cols>
  <sheetData>
    <row r="3" spans="1:26" ht="25.5" x14ac:dyDescent="0.2">
      <c r="A3" s="2" t="s">
        <v>124</v>
      </c>
      <c r="B3" s="2" t="s">
        <v>3</v>
      </c>
      <c r="C3" s="2" t="s">
        <v>125</v>
      </c>
    </row>
    <row r="4" spans="1:26" x14ac:dyDescent="0.2">
      <c r="A4" s="2" t="s">
        <v>371</v>
      </c>
      <c r="B4" s="2" t="s">
        <v>372</v>
      </c>
      <c r="C4" s="2" t="s">
        <v>373</v>
      </c>
    </row>
    <row r="5" spans="1:26" x14ac:dyDescent="0.2">
      <c r="A5" s="2"/>
      <c r="B5" s="2"/>
      <c r="C5" s="2"/>
    </row>
    <row r="6" spans="1:26" x14ac:dyDescent="0.2">
      <c r="A6" s="2"/>
      <c r="B6" s="2"/>
      <c r="C6" s="2"/>
      <c r="D6" s="3">
        <v>1998</v>
      </c>
      <c r="E6" s="3">
        <v>1999</v>
      </c>
      <c r="F6" s="3">
        <v>2000</v>
      </c>
      <c r="G6" s="3">
        <v>2001</v>
      </c>
      <c r="H6" s="3">
        <v>2002</v>
      </c>
      <c r="I6" s="3">
        <v>2003</v>
      </c>
      <c r="J6" s="3">
        <v>2004</v>
      </c>
      <c r="K6" s="3">
        <v>2005</v>
      </c>
      <c r="L6" s="3">
        <v>2006</v>
      </c>
      <c r="M6" s="3">
        <v>2007</v>
      </c>
      <c r="N6" s="3">
        <v>2008</v>
      </c>
      <c r="O6" s="3">
        <v>2009</v>
      </c>
      <c r="P6" s="3">
        <v>2010</v>
      </c>
      <c r="Q6" s="3">
        <v>2011</v>
      </c>
      <c r="R6" s="3">
        <v>2012</v>
      </c>
      <c r="S6" s="3">
        <v>2013</v>
      </c>
      <c r="T6" s="3">
        <v>2014</v>
      </c>
      <c r="U6" s="3">
        <v>2015</v>
      </c>
      <c r="V6" s="3">
        <v>2016</v>
      </c>
      <c r="W6" s="3">
        <v>2017</v>
      </c>
      <c r="X6" s="3">
        <v>2018</v>
      </c>
      <c r="Y6" s="3">
        <v>2019</v>
      </c>
      <c r="Z6" s="3">
        <v>2020</v>
      </c>
    </row>
    <row r="7" spans="1:26" x14ac:dyDescent="0.2">
      <c r="A7" s="6" t="s">
        <v>374</v>
      </c>
      <c r="B7" s="7">
        <v>4058513</v>
      </c>
      <c r="C7" s="6" t="s">
        <v>131</v>
      </c>
      <c r="D7" s="46">
        <v>0.39224999999999999</v>
      </c>
      <c r="E7" s="46">
        <v>0.39224999999999999</v>
      </c>
      <c r="F7" s="46">
        <v>0.39224999999999999</v>
      </c>
      <c r="G7" s="46">
        <v>0.39224999999999999</v>
      </c>
      <c r="H7" s="46">
        <v>0.39224999999999999</v>
      </c>
      <c r="I7" s="46">
        <v>0.39224999999999999</v>
      </c>
      <c r="J7" s="46">
        <v>0.39224999999999999</v>
      </c>
      <c r="K7" s="46">
        <v>0.39224999999999999</v>
      </c>
      <c r="L7" s="46">
        <v>0.39224999999999999</v>
      </c>
      <c r="M7" s="46">
        <v>0.39224999999999999</v>
      </c>
      <c r="N7" s="46">
        <v>0.39224999999999999</v>
      </c>
      <c r="O7" s="46">
        <v>0.39224999999999999</v>
      </c>
      <c r="P7" s="46">
        <v>0.39224999999999999</v>
      </c>
      <c r="Q7" s="46">
        <v>0.39224999999999999</v>
      </c>
      <c r="R7" s="46">
        <v>0.39224999999999999</v>
      </c>
      <c r="S7" s="46">
        <v>0.39224999999999999</v>
      </c>
      <c r="T7" s="46">
        <v>0.39224999999999999</v>
      </c>
      <c r="U7" s="46">
        <v>0.39224999999999999</v>
      </c>
      <c r="V7" s="46">
        <v>0.39224999999999999</v>
      </c>
      <c r="W7" s="46">
        <v>0.25224999999999997</v>
      </c>
      <c r="X7" s="46">
        <v>0.25224999999999997</v>
      </c>
      <c r="Y7" s="46">
        <v>0.25224999999999997</v>
      </c>
      <c r="Z7" s="46">
        <v>0.25224999999999997</v>
      </c>
    </row>
    <row r="8" spans="1:26" x14ac:dyDescent="0.2">
      <c r="A8" s="6" t="s">
        <v>375</v>
      </c>
      <c r="B8" s="7">
        <v>4054707</v>
      </c>
      <c r="C8" s="6" t="s">
        <v>132</v>
      </c>
      <c r="D8" s="46">
        <v>0.35</v>
      </c>
      <c r="E8" s="46">
        <v>0.35</v>
      </c>
      <c r="F8" s="46">
        <v>0.35</v>
      </c>
      <c r="G8" s="46">
        <v>0.35</v>
      </c>
      <c r="H8" s="46">
        <v>0.35</v>
      </c>
      <c r="I8" s="46">
        <v>0.35</v>
      </c>
      <c r="J8" s="46">
        <v>0.35</v>
      </c>
      <c r="K8" s="46">
        <v>0.35</v>
      </c>
      <c r="L8" s="46">
        <v>0.35</v>
      </c>
      <c r="M8" s="46">
        <v>0.35</v>
      </c>
      <c r="N8" s="46">
        <v>0.35</v>
      </c>
      <c r="O8" s="46">
        <v>0.35</v>
      </c>
      <c r="P8" s="46">
        <v>0.35</v>
      </c>
      <c r="Q8" s="46">
        <v>0.35</v>
      </c>
      <c r="R8" s="46">
        <v>0.35</v>
      </c>
      <c r="S8" s="46">
        <v>0.35</v>
      </c>
      <c r="T8" s="46">
        <v>0.35</v>
      </c>
      <c r="U8" s="46">
        <v>0.35</v>
      </c>
      <c r="V8" s="46">
        <v>0.35</v>
      </c>
      <c r="W8" s="46">
        <v>0.20999999999999996</v>
      </c>
      <c r="X8" s="46">
        <v>0.20999999999999996</v>
      </c>
      <c r="Y8" s="46">
        <v>0.20999999999999996</v>
      </c>
      <c r="Z8" s="46">
        <v>0.20999999999999996</v>
      </c>
    </row>
    <row r="9" spans="1:26" x14ac:dyDescent="0.2">
      <c r="A9" s="6" t="s">
        <v>376</v>
      </c>
      <c r="B9" s="7">
        <v>4057075</v>
      </c>
      <c r="C9" s="6" t="s">
        <v>133</v>
      </c>
      <c r="D9" s="46">
        <v>0.35</v>
      </c>
      <c r="E9" s="46">
        <v>0.35</v>
      </c>
      <c r="F9" s="46">
        <v>0.35</v>
      </c>
      <c r="G9" s="46">
        <v>0.35</v>
      </c>
      <c r="H9" s="46">
        <v>0.35</v>
      </c>
      <c r="I9" s="46">
        <v>0.35</v>
      </c>
      <c r="J9" s="46">
        <v>0.35</v>
      </c>
      <c r="K9" s="46">
        <v>0.35</v>
      </c>
      <c r="L9" s="46">
        <v>0.35</v>
      </c>
      <c r="M9" s="46">
        <v>0.35</v>
      </c>
      <c r="N9" s="46">
        <v>0.35</v>
      </c>
      <c r="O9" s="46">
        <v>0.35</v>
      </c>
      <c r="P9" s="46">
        <v>0.35</v>
      </c>
      <c r="Q9" s="46">
        <v>0.35</v>
      </c>
      <c r="R9" s="46">
        <v>0.35</v>
      </c>
      <c r="S9" s="46">
        <v>0.35</v>
      </c>
      <c r="T9" s="46">
        <v>0.35</v>
      </c>
      <c r="U9" s="46">
        <v>0.35</v>
      </c>
      <c r="V9" s="46">
        <v>0.35</v>
      </c>
      <c r="W9" s="46">
        <v>0.20999999999999996</v>
      </c>
      <c r="X9" s="46">
        <v>0.20999999999999996</v>
      </c>
      <c r="Y9" s="46">
        <v>0.20999999999999996</v>
      </c>
      <c r="Z9" s="46">
        <v>0.20999999999999996</v>
      </c>
    </row>
    <row r="10" spans="1:26" x14ac:dyDescent="0.2">
      <c r="A10" s="6" t="s">
        <v>377</v>
      </c>
      <c r="B10" s="7">
        <v>4007784</v>
      </c>
      <c r="C10" s="6" t="s">
        <v>134</v>
      </c>
      <c r="D10" s="46">
        <v>0.40091666999999998</v>
      </c>
      <c r="E10" s="46">
        <v>0.40091666999999998</v>
      </c>
      <c r="F10" s="46">
        <v>0.40091666999999998</v>
      </c>
      <c r="G10" s="46">
        <v>0.40091666999999998</v>
      </c>
      <c r="H10" s="46">
        <v>0.40091666999999998</v>
      </c>
      <c r="I10" s="46">
        <v>0.40091666999999998</v>
      </c>
      <c r="J10" s="46">
        <v>0.40091666999999998</v>
      </c>
      <c r="K10" s="46">
        <v>0.40091666999999998</v>
      </c>
      <c r="L10" s="46">
        <v>0.40091666999999998</v>
      </c>
      <c r="M10" s="46">
        <v>0.40091666999999998</v>
      </c>
      <c r="N10" s="46">
        <v>0.40091666999999998</v>
      </c>
      <c r="O10" s="46">
        <v>0.40091666999999998</v>
      </c>
      <c r="P10" s="46">
        <v>0.40091666999999998</v>
      </c>
      <c r="Q10" s="46">
        <v>0.40091666999999998</v>
      </c>
      <c r="R10" s="46">
        <v>0.40091666999999998</v>
      </c>
      <c r="S10" s="46">
        <v>0.40091666999999998</v>
      </c>
      <c r="T10" s="46">
        <v>0.40091666999999998</v>
      </c>
      <c r="U10" s="46">
        <v>0.40091666999999998</v>
      </c>
      <c r="V10" s="46">
        <v>0.40091666999999998</v>
      </c>
      <c r="W10" s="46">
        <v>0.26091666999999996</v>
      </c>
      <c r="X10" s="46">
        <v>0.26091666999999996</v>
      </c>
      <c r="Y10" s="46">
        <v>0.26091666999999996</v>
      </c>
      <c r="Z10" s="46">
        <v>0.26091666999999996</v>
      </c>
    </row>
    <row r="11" spans="1:26" x14ac:dyDescent="0.2">
      <c r="A11" s="6" t="s">
        <v>378</v>
      </c>
      <c r="B11" s="7">
        <v>4058516</v>
      </c>
      <c r="C11" s="6" t="s">
        <v>131</v>
      </c>
      <c r="D11" s="46">
        <v>0.39224999999999999</v>
      </c>
      <c r="E11" s="46">
        <v>0.39224999999999999</v>
      </c>
      <c r="F11" s="46">
        <v>0.39224999999999999</v>
      </c>
      <c r="G11" s="46">
        <v>0.39224999999999999</v>
      </c>
      <c r="H11" s="46">
        <v>0.39224999999999999</v>
      </c>
      <c r="I11" s="46">
        <v>0.39224999999999999</v>
      </c>
      <c r="J11" s="46">
        <v>0.39224999999999999</v>
      </c>
      <c r="K11" s="46">
        <v>0.39224999999999999</v>
      </c>
      <c r="L11" s="46">
        <v>0.39224999999999999</v>
      </c>
      <c r="M11" s="46">
        <v>0.39224999999999999</v>
      </c>
      <c r="N11" s="46">
        <v>0.39224999999999999</v>
      </c>
      <c r="O11" s="46">
        <v>0.39224999999999999</v>
      </c>
      <c r="P11" s="46">
        <v>0.39224999999999999</v>
      </c>
      <c r="Q11" s="46">
        <v>0.39224999999999999</v>
      </c>
      <c r="R11" s="46">
        <v>0.39224999999999999</v>
      </c>
      <c r="S11" s="46">
        <v>0.39224999999999999</v>
      </c>
      <c r="T11" s="46">
        <v>0.39224999999999999</v>
      </c>
      <c r="U11" s="46">
        <v>0.39224999999999999</v>
      </c>
      <c r="V11" s="46">
        <v>0.39224999999999999</v>
      </c>
      <c r="W11" s="46">
        <v>0.25224999999999997</v>
      </c>
      <c r="X11" s="46">
        <v>0.25224999999999997</v>
      </c>
      <c r="Y11" s="46">
        <v>0.25224999999999997</v>
      </c>
      <c r="Z11" s="46">
        <v>0.25224999999999997</v>
      </c>
    </row>
    <row r="12" spans="1:26" x14ac:dyDescent="0.2">
      <c r="A12" s="6" t="s">
        <v>379</v>
      </c>
      <c r="B12" s="7">
        <v>4058793</v>
      </c>
      <c r="C12" s="6" t="s">
        <v>135</v>
      </c>
      <c r="D12" s="46">
        <v>0.40200000000000002</v>
      </c>
      <c r="E12" s="46">
        <v>0.40200000000000002</v>
      </c>
      <c r="F12" s="46">
        <v>0.40200000000000002</v>
      </c>
      <c r="G12" s="46">
        <v>0.40200000000000002</v>
      </c>
      <c r="H12" s="46">
        <v>0.40200000000000002</v>
      </c>
      <c r="I12" s="46">
        <v>0.40200000000000002</v>
      </c>
      <c r="J12" s="46">
        <v>0.40200000000000002</v>
      </c>
      <c r="K12" s="46">
        <v>0.40200000000000002</v>
      </c>
      <c r="L12" s="46">
        <v>0.40200000000000002</v>
      </c>
      <c r="M12" s="46">
        <v>0.40200000000000002</v>
      </c>
      <c r="N12" s="46">
        <v>0.40200000000000002</v>
      </c>
      <c r="O12" s="46">
        <v>0.40200000000000002</v>
      </c>
      <c r="P12" s="46">
        <v>0.40200000000000002</v>
      </c>
      <c r="Q12" s="46">
        <v>0.40200000000000002</v>
      </c>
      <c r="R12" s="46">
        <v>0.40200000000000002</v>
      </c>
      <c r="S12" s="46">
        <v>0.40200000000000002</v>
      </c>
      <c r="T12" s="46">
        <v>0.40200000000000002</v>
      </c>
      <c r="U12" s="46">
        <v>0.40200000000000002</v>
      </c>
      <c r="V12" s="46">
        <v>0.40200000000000002</v>
      </c>
      <c r="W12" s="46">
        <v>0.26200000000000001</v>
      </c>
      <c r="X12" s="46">
        <v>0.26200000000000001</v>
      </c>
      <c r="Y12" s="46">
        <v>0.26200000000000001</v>
      </c>
      <c r="Z12" s="46">
        <v>0.26200000000000001</v>
      </c>
    </row>
    <row r="13" spans="1:26" x14ac:dyDescent="0.2">
      <c r="A13" s="6" t="s">
        <v>380</v>
      </c>
      <c r="B13" s="7">
        <v>4057111</v>
      </c>
      <c r="C13" s="6" t="s">
        <v>333</v>
      </c>
      <c r="D13" s="46">
        <v>0.40700500000000001</v>
      </c>
      <c r="E13" s="46">
        <v>0.40700500000000001</v>
      </c>
      <c r="F13" s="46">
        <v>0.40700500000000001</v>
      </c>
      <c r="G13" s="46">
        <v>0.40700500000000001</v>
      </c>
      <c r="H13" s="46">
        <v>0.40700500000000001</v>
      </c>
      <c r="I13" s="46">
        <v>0.40700500000000001</v>
      </c>
      <c r="J13" s="46">
        <v>0.40700500000000001</v>
      </c>
      <c r="K13" s="46">
        <v>0.40700500000000001</v>
      </c>
      <c r="L13" s="46">
        <v>0.40700500000000001</v>
      </c>
      <c r="M13" s="46">
        <v>0.40700500000000001</v>
      </c>
      <c r="N13" s="46">
        <v>0.40700500000000001</v>
      </c>
      <c r="O13" s="46">
        <v>0.40700500000000001</v>
      </c>
      <c r="P13" s="46">
        <v>0.40700500000000001</v>
      </c>
      <c r="Q13" s="46">
        <v>0.40700500000000001</v>
      </c>
      <c r="R13" s="46">
        <v>0.40700500000000001</v>
      </c>
      <c r="S13" s="46">
        <v>0.40700500000000001</v>
      </c>
      <c r="T13" s="46">
        <v>0.40700500000000001</v>
      </c>
      <c r="U13" s="46">
        <v>0.40700500000000001</v>
      </c>
      <c r="V13" s="46">
        <v>0.40700500000000001</v>
      </c>
      <c r="W13" s="46">
        <v>0.26700499999999999</v>
      </c>
      <c r="X13" s="46">
        <v>0.26700499999999999</v>
      </c>
      <c r="Y13" s="46">
        <v>0.26700499999999999</v>
      </c>
      <c r="Z13" s="46">
        <v>0.26700499999999999</v>
      </c>
    </row>
    <row r="14" spans="1:26" x14ac:dyDescent="0.2">
      <c r="A14" s="6" t="s">
        <v>381</v>
      </c>
      <c r="B14" s="7">
        <v>4018679</v>
      </c>
      <c r="C14" s="6" t="s">
        <v>136</v>
      </c>
      <c r="D14" s="46">
        <v>0.39649667</v>
      </c>
      <c r="E14" s="46">
        <v>0.39649667</v>
      </c>
      <c r="F14" s="46">
        <v>0.39649667</v>
      </c>
      <c r="G14" s="46">
        <v>0.39649667</v>
      </c>
      <c r="H14" s="46">
        <v>0.39649667</v>
      </c>
      <c r="I14" s="46">
        <v>0.39649667</v>
      </c>
      <c r="J14" s="46">
        <v>0.39649667</v>
      </c>
      <c r="K14" s="46">
        <v>0.39649667</v>
      </c>
      <c r="L14" s="46">
        <v>0.39649667</v>
      </c>
      <c r="M14" s="46">
        <v>0.39649667</v>
      </c>
      <c r="N14" s="46">
        <v>0.39649667</v>
      </c>
      <c r="O14" s="46">
        <v>0.39649667</v>
      </c>
      <c r="P14" s="46">
        <v>0.39649667</v>
      </c>
      <c r="Q14" s="46">
        <v>0.39649667</v>
      </c>
      <c r="R14" s="46">
        <v>0.39649667</v>
      </c>
      <c r="S14" s="46">
        <v>0.39649667</v>
      </c>
      <c r="T14" s="46">
        <v>0.39649667</v>
      </c>
      <c r="U14" s="46">
        <v>0.39649667</v>
      </c>
      <c r="V14" s="46">
        <v>0.39649667</v>
      </c>
      <c r="W14" s="46">
        <v>0.25649666999999998</v>
      </c>
      <c r="X14" s="46">
        <v>0.25649666999999998</v>
      </c>
      <c r="Y14" s="46">
        <v>0.25649666999999998</v>
      </c>
      <c r="Z14" s="46">
        <v>0.25649666999999998</v>
      </c>
    </row>
    <row r="15" spans="1:26" x14ac:dyDescent="0.2">
      <c r="A15" s="6" t="s">
        <v>382</v>
      </c>
      <c r="B15" s="7">
        <v>4057112</v>
      </c>
      <c r="C15" s="6" t="s">
        <v>133</v>
      </c>
      <c r="D15" s="46">
        <v>0.35</v>
      </c>
      <c r="E15" s="46">
        <v>0.35</v>
      </c>
      <c r="F15" s="46">
        <v>0.35</v>
      </c>
      <c r="G15" s="46">
        <v>0.35</v>
      </c>
      <c r="H15" s="46">
        <v>0.35</v>
      </c>
      <c r="I15" s="46">
        <v>0.35</v>
      </c>
      <c r="J15" s="46">
        <v>0.35</v>
      </c>
      <c r="K15" s="46">
        <v>0.35</v>
      </c>
      <c r="L15" s="46">
        <v>0.35</v>
      </c>
      <c r="M15" s="46">
        <v>0.35</v>
      </c>
      <c r="N15" s="46">
        <v>0.35</v>
      </c>
      <c r="O15" s="46">
        <v>0.35</v>
      </c>
      <c r="P15" s="46">
        <v>0.35</v>
      </c>
      <c r="Q15" s="46">
        <v>0.35</v>
      </c>
      <c r="R15" s="46">
        <v>0.35</v>
      </c>
      <c r="S15" s="46">
        <v>0.35</v>
      </c>
      <c r="T15" s="46">
        <v>0.35</v>
      </c>
      <c r="U15" s="46">
        <v>0.35</v>
      </c>
      <c r="V15" s="46">
        <v>0.35</v>
      </c>
      <c r="W15" s="46">
        <v>0.20999999999999996</v>
      </c>
      <c r="X15" s="46">
        <v>0.20999999999999996</v>
      </c>
      <c r="Y15" s="46">
        <v>0.20999999999999996</v>
      </c>
      <c r="Z15" s="46">
        <v>0.20999999999999996</v>
      </c>
    </row>
    <row r="16" spans="1:26" x14ac:dyDescent="0.2">
      <c r="A16" s="6" t="s">
        <v>383</v>
      </c>
      <c r="B16" s="7">
        <v>4057076</v>
      </c>
      <c r="C16" s="6" t="s">
        <v>136</v>
      </c>
      <c r="D16" s="46">
        <v>0.39649667</v>
      </c>
      <c r="E16" s="46">
        <v>0.39649667</v>
      </c>
      <c r="F16" s="46">
        <v>0.39649667</v>
      </c>
      <c r="G16" s="46">
        <v>0.39649667</v>
      </c>
      <c r="H16" s="46">
        <v>0.39649667</v>
      </c>
      <c r="I16" s="46">
        <v>0.39649667</v>
      </c>
      <c r="J16" s="46">
        <v>0.39649667</v>
      </c>
      <c r="K16" s="46">
        <v>0.39649667</v>
      </c>
      <c r="L16" s="46">
        <v>0.39649667</v>
      </c>
      <c r="M16" s="46">
        <v>0.39649667</v>
      </c>
      <c r="N16" s="46">
        <v>0.39649667</v>
      </c>
      <c r="O16" s="46">
        <v>0.39649667</v>
      </c>
      <c r="P16" s="46">
        <v>0.39649667</v>
      </c>
      <c r="Q16" s="46">
        <v>0.39649667</v>
      </c>
      <c r="R16" s="46">
        <v>0.39649667</v>
      </c>
      <c r="S16" s="46">
        <v>0.39649667</v>
      </c>
      <c r="T16" s="46">
        <v>0.39649667</v>
      </c>
      <c r="U16" s="46">
        <v>0.39649667</v>
      </c>
      <c r="V16" s="46">
        <v>0.39649667</v>
      </c>
      <c r="W16" s="46">
        <v>0.25649666999999998</v>
      </c>
      <c r="X16" s="46">
        <v>0.25649666999999998</v>
      </c>
      <c r="Y16" s="46">
        <v>0.25649666999999998</v>
      </c>
      <c r="Z16" s="46">
        <v>0.25649666999999998</v>
      </c>
    </row>
    <row r="17" spans="1:26" x14ac:dyDescent="0.2">
      <c r="A17" s="6" t="s">
        <v>384</v>
      </c>
      <c r="B17" s="7">
        <v>4059166</v>
      </c>
      <c r="C17" s="6" t="s">
        <v>370</v>
      </c>
      <c r="D17" s="46">
        <v>0.35</v>
      </c>
      <c r="E17" s="46">
        <v>0.35</v>
      </c>
      <c r="F17" s="46">
        <v>0.35</v>
      </c>
      <c r="G17" s="46">
        <v>0.35</v>
      </c>
      <c r="H17" s="46">
        <v>0.35</v>
      </c>
      <c r="I17" s="46">
        <v>0.35</v>
      </c>
      <c r="J17" s="46">
        <v>0.35</v>
      </c>
      <c r="K17" s="46">
        <v>0.35</v>
      </c>
      <c r="L17" s="46">
        <v>0.35</v>
      </c>
      <c r="M17" s="46">
        <v>0.35</v>
      </c>
      <c r="N17" s="46">
        <v>0.35</v>
      </c>
      <c r="O17" s="46">
        <v>0.35</v>
      </c>
      <c r="P17" s="46">
        <v>0.35</v>
      </c>
      <c r="Q17" s="46">
        <v>0.35</v>
      </c>
      <c r="R17" s="46">
        <v>0.35</v>
      </c>
      <c r="S17" s="46">
        <v>0.35</v>
      </c>
      <c r="T17" s="46">
        <v>0.35</v>
      </c>
      <c r="U17" s="46">
        <v>0.35</v>
      </c>
      <c r="V17" s="46">
        <v>0.35</v>
      </c>
      <c r="W17" s="46">
        <v>0.20999999999999996</v>
      </c>
      <c r="X17" s="46">
        <v>0.20999999999999996</v>
      </c>
      <c r="Y17" s="46">
        <v>0.20999999999999996</v>
      </c>
      <c r="Z17" s="46">
        <v>0.20999999999999996</v>
      </c>
    </row>
    <row r="18" spans="1:26" x14ac:dyDescent="0.2">
      <c r="A18" s="6" t="s">
        <v>385</v>
      </c>
      <c r="B18" s="7">
        <v>4059227</v>
      </c>
      <c r="C18" s="6" t="s">
        <v>137</v>
      </c>
      <c r="D18" s="46">
        <v>0.35</v>
      </c>
      <c r="E18" s="46">
        <v>0.35</v>
      </c>
      <c r="F18" s="46">
        <v>0.35</v>
      </c>
      <c r="G18" s="46">
        <v>0.35</v>
      </c>
      <c r="H18" s="46">
        <v>0.35</v>
      </c>
      <c r="I18" s="46">
        <v>0.35</v>
      </c>
      <c r="J18" s="46">
        <v>0.35</v>
      </c>
      <c r="K18" s="46">
        <v>0.35</v>
      </c>
      <c r="L18" s="46">
        <v>0.35</v>
      </c>
      <c r="M18" s="46">
        <v>0.35</v>
      </c>
      <c r="N18" s="46">
        <v>0.35</v>
      </c>
      <c r="O18" s="46">
        <v>0.35</v>
      </c>
      <c r="P18" s="46">
        <v>0.35</v>
      </c>
      <c r="Q18" s="46">
        <v>0.35</v>
      </c>
      <c r="R18" s="46">
        <v>0.35</v>
      </c>
      <c r="S18" s="46">
        <v>0.35</v>
      </c>
      <c r="T18" s="46">
        <v>0.35</v>
      </c>
      <c r="U18" s="46">
        <v>0.35</v>
      </c>
      <c r="V18" s="46">
        <v>0.35</v>
      </c>
      <c r="W18" s="46">
        <v>0.20999999999999996</v>
      </c>
      <c r="X18" s="46">
        <v>0.20999999999999996</v>
      </c>
      <c r="Y18" s="46">
        <v>0.20999999999999996</v>
      </c>
      <c r="Z18" s="46">
        <v>0.20999999999999996</v>
      </c>
    </row>
    <row r="19" spans="1:26" x14ac:dyDescent="0.2">
      <c r="A19" s="6" t="s">
        <v>386</v>
      </c>
      <c r="B19" s="7">
        <v>4057114</v>
      </c>
      <c r="C19" s="6" t="s">
        <v>333</v>
      </c>
      <c r="D19" s="46">
        <v>0.40700500000000001</v>
      </c>
      <c r="E19" s="46">
        <v>0.40700500000000001</v>
      </c>
      <c r="F19" s="46">
        <v>0.40700500000000001</v>
      </c>
      <c r="G19" s="46">
        <v>0.40700500000000001</v>
      </c>
      <c r="H19" s="46">
        <v>0.40700500000000001</v>
      </c>
      <c r="I19" s="46">
        <v>0.40700500000000001</v>
      </c>
      <c r="J19" s="46">
        <v>0.40700500000000001</v>
      </c>
      <c r="K19" s="46">
        <v>0.40700500000000001</v>
      </c>
      <c r="L19" s="46">
        <v>0.40700500000000001</v>
      </c>
      <c r="M19" s="46">
        <v>0.40700500000000001</v>
      </c>
      <c r="N19" s="46">
        <v>0.40700500000000001</v>
      </c>
      <c r="O19" s="46">
        <v>0.40700500000000001</v>
      </c>
      <c r="P19" s="46">
        <v>0.40700500000000001</v>
      </c>
      <c r="Q19" s="46">
        <v>0.40700500000000001</v>
      </c>
      <c r="R19" s="46">
        <v>0.40700500000000001</v>
      </c>
      <c r="S19" s="46">
        <v>0.40700500000000001</v>
      </c>
      <c r="T19" s="46">
        <v>0.40700500000000001</v>
      </c>
      <c r="U19" s="46">
        <v>0.40700500000000001</v>
      </c>
      <c r="V19" s="46">
        <v>0.40700500000000001</v>
      </c>
      <c r="W19" s="46">
        <v>0.26700499999999999</v>
      </c>
      <c r="X19" s="46">
        <v>0.26700499999999999</v>
      </c>
      <c r="Y19" s="46">
        <v>0.26700499999999999</v>
      </c>
      <c r="Z19" s="46">
        <v>0.26700499999999999</v>
      </c>
    </row>
    <row r="20" spans="1:26" x14ac:dyDescent="0.2">
      <c r="A20" s="6" t="s">
        <v>387</v>
      </c>
      <c r="B20" s="7">
        <v>4059355</v>
      </c>
      <c r="C20" s="6" t="s">
        <v>138</v>
      </c>
      <c r="D20" s="46">
        <v>0.35</v>
      </c>
      <c r="E20" s="46">
        <v>0.35</v>
      </c>
      <c r="F20" s="46">
        <v>0.35</v>
      </c>
      <c r="G20" s="46">
        <v>0.35</v>
      </c>
      <c r="H20" s="46">
        <v>0.35</v>
      </c>
      <c r="I20" s="46">
        <v>0.35</v>
      </c>
      <c r="J20" s="46">
        <v>0.35</v>
      </c>
      <c r="K20" s="46">
        <v>0.35</v>
      </c>
      <c r="L20" s="46">
        <v>0.35</v>
      </c>
      <c r="M20" s="46">
        <v>0.35</v>
      </c>
      <c r="N20" s="46">
        <v>0.35</v>
      </c>
      <c r="O20" s="46">
        <v>0.35</v>
      </c>
      <c r="P20" s="46">
        <v>0.35</v>
      </c>
      <c r="Q20" s="46">
        <v>0.35</v>
      </c>
      <c r="R20" s="46">
        <v>0.35</v>
      </c>
      <c r="S20" s="46">
        <v>0.35</v>
      </c>
      <c r="T20" s="46">
        <v>0.35</v>
      </c>
      <c r="U20" s="46">
        <v>0.35</v>
      </c>
      <c r="V20" s="46">
        <v>0.35</v>
      </c>
      <c r="W20" s="46">
        <v>0.20999999999999996</v>
      </c>
      <c r="X20" s="46">
        <v>0.20999999999999996</v>
      </c>
      <c r="Y20" s="46">
        <v>0.20999999999999996</v>
      </c>
      <c r="Z20" s="46">
        <v>0.20999999999999996</v>
      </c>
    </row>
    <row r="21" spans="1:26" x14ac:dyDescent="0.2">
      <c r="A21" s="6" t="s">
        <v>388</v>
      </c>
      <c r="B21" s="7">
        <v>4088325</v>
      </c>
      <c r="C21" s="6" t="s">
        <v>334</v>
      </c>
      <c r="D21" s="46">
        <v>0.414935</v>
      </c>
      <c r="E21" s="46">
        <v>0.414935</v>
      </c>
      <c r="F21" s="46">
        <v>0.414935</v>
      </c>
      <c r="G21" s="46">
        <v>0.414935</v>
      </c>
      <c r="H21" s="46">
        <v>0.414935</v>
      </c>
      <c r="I21" s="46">
        <v>0.414935</v>
      </c>
      <c r="J21" s="46">
        <v>0.414935</v>
      </c>
      <c r="K21" s="46">
        <v>0.414935</v>
      </c>
      <c r="L21" s="46">
        <v>0.414935</v>
      </c>
      <c r="M21" s="46">
        <v>0.414935</v>
      </c>
      <c r="N21" s="46">
        <v>0.414935</v>
      </c>
      <c r="O21" s="46">
        <v>0.414935</v>
      </c>
      <c r="P21" s="46">
        <v>0.414935</v>
      </c>
      <c r="Q21" s="46">
        <v>0.414935</v>
      </c>
      <c r="R21" s="46">
        <v>0.414935</v>
      </c>
      <c r="S21" s="46">
        <v>0.414935</v>
      </c>
      <c r="T21" s="46">
        <v>0.414935</v>
      </c>
      <c r="U21" s="46">
        <v>0.414935</v>
      </c>
      <c r="V21" s="46">
        <v>0.414935</v>
      </c>
      <c r="W21" s="46">
        <v>0.27493499999999998</v>
      </c>
      <c r="X21" s="46">
        <v>0.27493499999999998</v>
      </c>
      <c r="Y21" s="46">
        <v>0.27493499999999998</v>
      </c>
      <c r="Z21" s="46">
        <v>0.27493499999999998</v>
      </c>
    </row>
    <row r="22" spans="1:26" x14ac:dyDescent="0.2">
      <c r="A22" s="6" t="s">
        <v>389</v>
      </c>
      <c r="B22" s="7">
        <v>4088326</v>
      </c>
      <c r="C22" s="6" t="s">
        <v>138</v>
      </c>
      <c r="D22" s="46">
        <v>0.35</v>
      </c>
      <c r="E22" s="46">
        <v>0.35</v>
      </c>
      <c r="F22" s="46">
        <v>0.35</v>
      </c>
      <c r="G22" s="46">
        <v>0.35</v>
      </c>
      <c r="H22" s="46">
        <v>0.35</v>
      </c>
      <c r="I22" s="46">
        <v>0.35</v>
      </c>
      <c r="J22" s="46">
        <v>0.35</v>
      </c>
      <c r="K22" s="46">
        <v>0.35</v>
      </c>
      <c r="L22" s="46">
        <v>0.35</v>
      </c>
      <c r="M22" s="46">
        <v>0.35</v>
      </c>
      <c r="N22" s="46">
        <v>0.35</v>
      </c>
      <c r="O22" s="46">
        <v>0.35</v>
      </c>
      <c r="P22" s="46">
        <v>0.35</v>
      </c>
      <c r="Q22" s="46">
        <v>0.35</v>
      </c>
      <c r="R22" s="46">
        <v>0.35</v>
      </c>
      <c r="S22" s="46">
        <v>0.35</v>
      </c>
      <c r="T22" s="46">
        <v>0.35</v>
      </c>
      <c r="U22" s="46">
        <v>0.35</v>
      </c>
      <c r="V22" s="46">
        <v>0.35</v>
      </c>
      <c r="W22" s="46">
        <v>0.20999999999999996</v>
      </c>
      <c r="X22" s="46">
        <v>0.20999999999999996</v>
      </c>
      <c r="Y22" s="46">
        <v>0.20999999999999996</v>
      </c>
      <c r="Z22" s="46">
        <v>0.20999999999999996</v>
      </c>
    </row>
    <row r="23" spans="1:26" x14ac:dyDescent="0.2">
      <c r="A23" s="6" t="s">
        <v>390</v>
      </c>
      <c r="B23" s="7">
        <v>4059358</v>
      </c>
      <c r="C23" s="6" t="s">
        <v>334</v>
      </c>
      <c r="D23" s="46">
        <v>0.414935</v>
      </c>
      <c r="E23" s="46">
        <v>0.414935</v>
      </c>
      <c r="F23" s="46">
        <v>0.414935</v>
      </c>
      <c r="G23" s="46">
        <v>0.414935</v>
      </c>
      <c r="H23" s="46">
        <v>0.414935</v>
      </c>
      <c r="I23" s="46">
        <v>0.414935</v>
      </c>
      <c r="J23" s="46">
        <v>0.414935</v>
      </c>
      <c r="K23" s="46">
        <v>0.414935</v>
      </c>
      <c r="L23" s="46">
        <v>0.414935</v>
      </c>
      <c r="M23" s="46">
        <v>0.414935</v>
      </c>
      <c r="N23" s="46">
        <v>0.414935</v>
      </c>
      <c r="O23" s="46">
        <v>0.414935</v>
      </c>
      <c r="P23" s="46">
        <v>0.414935</v>
      </c>
      <c r="Q23" s="46">
        <v>0.414935</v>
      </c>
      <c r="R23" s="46">
        <v>0.414935</v>
      </c>
      <c r="S23" s="46">
        <v>0.414935</v>
      </c>
      <c r="T23" s="46">
        <v>0.414935</v>
      </c>
      <c r="U23" s="46">
        <v>0.414935</v>
      </c>
      <c r="V23" s="46">
        <v>0.414935</v>
      </c>
      <c r="W23" s="46">
        <v>0.27493499999999998</v>
      </c>
      <c r="X23" s="46">
        <v>0.27493499999999998</v>
      </c>
      <c r="Y23" s="46">
        <v>0.27493499999999998</v>
      </c>
      <c r="Z23" s="46">
        <v>0.27493499999999998</v>
      </c>
    </row>
    <row r="24" spans="1:26" x14ac:dyDescent="0.2">
      <c r="A24" s="6" t="s">
        <v>391</v>
      </c>
      <c r="B24" s="7">
        <v>4059359</v>
      </c>
      <c r="C24" s="6" t="s">
        <v>139</v>
      </c>
      <c r="D24" s="46">
        <v>0.38900000000000001</v>
      </c>
      <c r="E24" s="46">
        <v>0.38900000000000001</v>
      </c>
      <c r="F24" s="46">
        <v>0.38900000000000001</v>
      </c>
      <c r="G24" s="46">
        <v>0.38900000000000001</v>
      </c>
      <c r="H24" s="46">
        <v>0.38900000000000001</v>
      </c>
      <c r="I24" s="46">
        <v>0.38900000000000001</v>
      </c>
      <c r="J24" s="46">
        <v>0.38900000000000001</v>
      </c>
      <c r="K24" s="46">
        <v>0.38900000000000001</v>
      </c>
      <c r="L24" s="46">
        <v>0.38900000000000001</v>
      </c>
      <c r="M24" s="46">
        <v>0.38900000000000001</v>
      </c>
      <c r="N24" s="46">
        <v>0.38900000000000001</v>
      </c>
      <c r="O24" s="46">
        <v>0.38900000000000001</v>
      </c>
      <c r="P24" s="46">
        <v>0.38900000000000001</v>
      </c>
      <c r="Q24" s="46">
        <v>0.38900000000000001</v>
      </c>
      <c r="R24" s="46">
        <v>0.38900000000000001</v>
      </c>
      <c r="S24" s="46">
        <v>0.38900000000000001</v>
      </c>
      <c r="T24" s="46">
        <v>0.38900000000000001</v>
      </c>
      <c r="U24" s="46">
        <v>0.38900000000000001</v>
      </c>
      <c r="V24" s="46">
        <v>0.38900000000000001</v>
      </c>
      <c r="W24" s="46">
        <v>0.249</v>
      </c>
      <c r="X24" s="46">
        <v>0.249</v>
      </c>
      <c r="Y24" s="46">
        <v>0.249</v>
      </c>
      <c r="Z24" s="46">
        <v>0.249</v>
      </c>
    </row>
    <row r="25" spans="1:26" x14ac:dyDescent="0.2">
      <c r="A25" s="6" t="s">
        <v>392</v>
      </c>
      <c r="B25" s="7">
        <v>4059402</v>
      </c>
      <c r="C25" s="6" t="s">
        <v>140</v>
      </c>
      <c r="D25" s="46">
        <v>0.40200000000000002</v>
      </c>
      <c r="E25" s="46">
        <v>0.40200000000000002</v>
      </c>
      <c r="F25" s="46">
        <v>0.40200000000000002</v>
      </c>
      <c r="G25" s="46">
        <v>0.40200000000000002</v>
      </c>
      <c r="H25" s="46">
        <v>0.40200000000000002</v>
      </c>
      <c r="I25" s="46">
        <v>0.40200000000000002</v>
      </c>
      <c r="J25" s="46">
        <v>0.40200000000000002</v>
      </c>
      <c r="K25" s="46">
        <v>0.40200000000000002</v>
      </c>
      <c r="L25" s="46">
        <v>0.40200000000000002</v>
      </c>
      <c r="M25" s="46">
        <v>0.40200000000000002</v>
      </c>
      <c r="N25" s="46">
        <v>0.40200000000000002</v>
      </c>
      <c r="O25" s="46">
        <v>0.40200000000000002</v>
      </c>
      <c r="P25" s="46">
        <v>0.40200000000000002</v>
      </c>
      <c r="Q25" s="46">
        <v>0.40200000000000002</v>
      </c>
      <c r="R25" s="46">
        <v>0.40200000000000002</v>
      </c>
      <c r="S25" s="46">
        <v>0.40200000000000002</v>
      </c>
      <c r="T25" s="46">
        <v>0.40200000000000002</v>
      </c>
      <c r="U25" s="46">
        <v>0.40200000000000002</v>
      </c>
      <c r="V25" s="46">
        <v>0.40200000000000002</v>
      </c>
      <c r="W25" s="46">
        <v>0.26200000000000001</v>
      </c>
      <c r="X25" s="46">
        <v>0.26200000000000001</v>
      </c>
      <c r="Y25" s="46">
        <v>0.26200000000000001</v>
      </c>
      <c r="Z25" s="46">
        <v>0.26200000000000001</v>
      </c>
    </row>
    <row r="26" spans="1:26" x14ac:dyDescent="0.2">
      <c r="A26" s="6" t="s">
        <v>393</v>
      </c>
      <c r="B26" s="7">
        <v>4057080</v>
      </c>
      <c r="C26" s="6" t="s">
        <v>136</v>
      </c>
      <c r="D26" s="46">
        <v>0.39649667</v>
      </c>
      <c r="E26" s="46">
        <v>0.39649667</v>
      </c>
      <c r="F26" s="46">
        <v>0.39649667</v>
      </c>
      <c r="G26" s="46">
        <v>0.39649667</v>
      </c>
      <c r="H26" s="46">
        <v>0.39649667</v>
      </c>
      <c r="I26" s="46">
        <v>0.39649667</v>
      </c>
      <c r="J26" s="46">
        <v>0.39649667</v>
      </c>
      <c r="K26" s="46">
        <v>0.39649667</v>
      </c>
      <c r="L26" s="46">
        <v>0.39649667</v>
      </c>
      <c r="M26" s="46">
        <v>0.39649667</v>
      </c>
      <c r="N26" s="46">
        <v>0.39649667</v>
      </c>
      <c r="O26" s="46">
        <v>0.39649667</v>
      </c>
      <c r="P26" s="46">
        <v>0.39649667</v>
      </c>
      <c r="Q26" s="46">
        <v>0.39649667</v>
      </c>
      <c r="R26" s="46">
        <v>0.39649667</v>
      </c>
      <c r="S26" s="46">
        <v>0.39649667</v>
      </c>
      <c r="T26" s="46">
        <v>0.39649667</v>
      </c>
      <c r="U26" s="46">
        <v>0.39649667</v>
      </c>
      <c r="V26" s="46">
        <v>0.39649667</v>
      </c>
      <c r="W26" s="46">
        <v>0.25649666999999998</v>
      </c>
      <c r="X26" s="46">
        <v>0.25649666999999998</v>
      </c>
      <c r="Y26" s="46">
        <v>0.25649666999999998</v>
      </c>
      <c r="Z26" s="46">
        <v>0.25649666999999998</v>
      </c>
    </row>
    <row r="27" spans="1:26" x14ac:dyDescent="0.2">
      <c r="A27" s="6" t="s">
        <v>394</v>
      </c>
      <c r="B27" s="7">
        <v>4057081</v>
      </c>
      <c r="C27" s="6" t="s">
        <v>137</v>
      </c>
      <c r="D27" s="46">
        <v>0.35</v>
      </c>
      <c r="E27" s="46">
        <v>0.35</v>
      </c>
      <c r="F27" s="46">
        <v>0.35</v>
      </c>
      <c r="G27" s="46">
        <v>0.35</v>
      </c>
      <c r="H27" s="46">
        <v>0.35</v>
      </c>
      <c r="I27" s="46">
        <v>0.35</v>
      </c>
      <c r="J27" s="46">
        <v>0.35</v>
      </c>
      <c r="K27" s="46">
        <v>0.35</v>
      </c>
      <c r="L27" s="46">
        <v>0.35</v>
      </c>
      <c r="M27" s="46">
        <v>0.35</v>
      </c>
      <c r="N27" s="46">
        <v>0.35</v>
      </c>
      <c r="O27" s="46">
        <v>0.35</v>
      </c>
      <c r="P27" s="46">
        <v>0.35</v>
      </c>
      <c r="Q27" s="46">
        <v>0.35</v>
      </c>
      <c r="R27" s="46">
        <v>0.35</v>
      </c>
      <c r="S27" s="46">
        <v>0.35</v>
      </c>
      <c r="T27" s="46">
        <v>0.35</v>
      </c>
      <c r="U27" s="46">
        <v>0.35</v>
      </c>
      <c r="V27" s="46">
        <v>0.35</v>
      </c>
      <c r="W27" s="46">
        <v>0.20999999999999996</v>
      </c>
      <c r="X27" s="46">
        <v>0.20999999999999996</v>
      </c>
      <c r="Y27" s="46">
        <v>0.20999999999999996</v>
      </c>
      <c r="Z27" s="46">
        <v>0.20999999999999996</v>
      </c>
    </row>
    <row r="28" spans="1:26" x14ac:dyDescent="0.2">
      <c r="A28" s="6" t="s">
        <v>395</v>
      </c>
      <c r="B28" s="7">
        <v>4059459</v>
      </c>
      <c r="C28" s="6" t="s">
        <v>136</v>
      </c>
      <c r="D28" s="46">
        <v>0.39649667</v>
      </c>
      <c r="E28" s="46">
        <v>0.39649667</v>
      </c>
      <c r="F28" s="46">
        <v>0.39649667</v>
      </c>
      <c r="G28" s="46">
        <v>0.39649667</v>
      </c>
      <c r="H28" s="46">
        <v>0.39649667</v>
      </c>
      <c r="I28" s="46">
        <v>0.39649667</v>
      </c>
      <c r="J28" s="46">
        <v>0.39649667</v>
      </c>
      <c r="K28" s="46">
        <v>0.39649667</v>
      </c>
      <c r="L28" s="46">
        <v>0.39649667</v>
      </c>
      <c r="M28" s="46">
        <v>0.39649667</v>
      </c>
      <c r="N28" s="46">
        <v>0.39649667</v>
      </c>
      <c r="O28" s="46">
        <v>0.39649667</v>
      </c>
      <c r="P28" s="46">
        <v>0.39649667</v>
      </c>
      <c r="Q28" s="46">
        <v>0.39649667</v>
      </c>
      <c r="R28" s="46">
        <v>0.39649667</v>
      </c>
      <c r="S28" s="46">
        <v>0.39649667</v>
      </c>
      <c r="T28" s="46">
        <v>0.39649667</v>
      </c>
      <c r="U28" s="46">
        <v>0.39649667</v>
      </c>
      <c r="V28" s="46">
        <v>0.39649667</v>
      </c>
      <c r="W28" s="46">
        <v>0.25649666999999998</v>
      </c>
      <c r="X28" s="46">
        <v>0.25649666999999998</v>
      </c>
      <c r="Y28" s="46">
        <v>0.25649666999999998</v>
      </c>
      <c r="Z28" s="46">
        <v>0.25649666999999998</v>
      </c>
    </row>
    <row r="29" spans="1:26" x14ac:dyDescent="0.2">
      <c r="A29" s="6" t="s">
        <v>396</v>
      </c>
      <c r="B29" s="7">
        <v>4057118</v>
      </c>
      <c r="C29" s="6" t="s">
        <v>141</v>
      </c>
      <c r="D29" s="46">
        <v>0.39279166999999998</v>
      </c>
      <c r="E29" s="46">
        <v>0.39279166999999998</v>
      </c>
      <c r="F29" s="46">
        <v>0.39279166999999998</v>
      </c>
      <c r="G29" s="46">
        <v>0.39279166999999998</v>
      </c>
      <c r="H29" s="46">
        <v>0.39279166999999998</v>
      </c>
      <c r="I29" s="46">
        <v>0.39279166999999998</v>
      </c>
      <c r="J29" s="46">
        <v>0.39279166999999998</v>
      </c>
      <c r="K29" s="46">
        <v>0.39279166999999998</v>
      </c>
      <c r="L29" s="46">
        <v>0.39279166999999998</v>
      </c>
      <c r="M29" s="46">
        <v>0.39279166999999998</v>
      </c>
      <c r="N29" s="46">
        <v>0.39279166999999998</v>
      </c>
      <c r="O29" s="46">
        <v>0.39279166999999998</v>
      </c>
      <c r="P29" s="46">
        <v>0.39279166999999998</v>
      </c>
      <c r="Q29" s="46">
        <v>0.39279166999999998</v>
      </c>
      <c r="R29" s="46">
        <v>0.39279166999999998</v>
      </c>
      <c r="S29" s="46">
        <v>0.39279166999999998</v>
      </c>
      <c r="T29" s="46">
        <v>0.39279166999999998</v>
      </c>
      <c r="U29" s="46">
        <v>0.39279166999999998</v>
      </c>
      <c r="V29" s="46">
        <v>0.39279166999999998</v>
      </c>
      <c r="W29" s="46">
        <v>0.25279166999999997</v>
      </c>
      <c r="X29" s="46">
        <v>0.25279166999999997</v>
      </c>
      <c r="Y29" s="46">
        <v>0.25279166999999997</v>
      </c>
      <c r="Z29" s="46">
        <v>0.25279166999999997</v>
      </c>
    </row>
    <row r="30" spans="1:26" x14ac:dyDescent="0.2">
      <c r="A30" s="6" t="s">
        <v>397</v>
      </c>
      <c r="B30" s="7">
        <v>4057126</v>
      </c>
      <c r="C30" s="6" t="s">
        <v>137</v>
      </c>
      <c r="D30" s="46">
        <v>0.35</v>
      </c>
      <c r="E30" s="46">
        <v>0.35</v>
      </c>
      <c r="F30" s="46">
        <v>0.35</v>
      </c>
      <c r="G30" s="46">
        <v>0.35</v>
      </c>
      <c r="H30" s="46">
        <v>0.35</v>
      </c>
      <c r="I30" s="46">
        <v>0.35</v>
      </c>
      <c r="J30" s="46">
        <v>0.35</v>
      </c>
      <c r="K30" s="46">
        <v>0.35</v>
      </c>
      <c r="L30" s="46">
        <v>0.35</v>
      </c>
      <c r="M30" s="46">
        <v>0.35</v>
      </c>
      <c r="N30" s="46">
        <v>0.35</v>
      </c>
      <c r="O30" s="46">
        <v>0.35</v>
      </c>
      <c r="P30" s="46">
        <v>0.35</v>
      </c>
      <c r="Q30" s="46">
        <v>0.35</v>
      </c>
      <c r="R30" s="46">
        <v>0.35</v>
      </c>
      <c r="S30" s="46">
        <v>0.35</v>
      </c>
      <c r="T30" s="46">
        <v>0.35</v>
      </c>
      <c r="U30" s="46">
        <v>0.35</v>
      </c>
      <c r="V30" s="46">
        <v>0.35</v>
      </c>
      <c r="W30" s="46">
        <v>0.20999999999999996</v>
      </c>
      <c r="X30" s="46">
        <v>0.20999999999999996</v>
      </c>
      <c r="Y30" s="46">
        <v>0.20999999999999996</v>
      </c>
      <c r="Z30" s="46">
        <v>0.20999999999999996</v>
      </c>
    </row>
    <row r="31" spans="1:26" x14ac:dyDescent="0.2">
      <c r="A31" s="6" t="s">
        <v>398</v>
      </c>
      <c r="B31" s="7">
        <v>4057103</v>
      </c>
      <c r="C31" s="6" t="s">
        <v>138</v>
      </c>
      <c r="D31" s="46">
        <v>0.35</v>
      </c>
      <c r="E31" s="46">
        <v>0.35</v>
      </c>
      <c r="F31" s="46">
        <v>0.35</v>
      </c>
      <c r="G31" s="46">
        <v>0.35</v>
      </c>
      <c r="H31" s="46">
        <v>0.35</v>
      </c>
      <c r="I31" s="46">
        <v>0.35</v>
      </c>
      <c r="J31" s="46">
        <v>0.35</v>
      </c>
      <c r="K31" s="46">
        <v>0.35</v>
      </c>
      <c r="L31" s="46">
        <v>0.35</v>
      </c>
      <c r="M31" s="46">
        <v>0.35</v>
      </c>
      <c r="N31" s="46">
        <v>0.35</v>
      </c>
      <c r="O31" s="46">
        <v>0.35</v>
      </c>
      <c r="P31" s="46">
        <v>0.35</v>
      </c>
      <c r="Q31" s="46">
        <v>0.35</v>
      </c>
      <c r="R31" s="46">
        <v>0.35</v>
      </c>
      <c r="S31" s="46">
        <v>0.35</v>
      </c>
      <c r="T31" s="46">
        <v>0.35</v>
      </c>
      <c r="U31" s="46">
        <v>0.35</v>
      </c>
      <c r="V31" s="46">
        <v>0.35</v>
      </c>
      <c r="W31" s="46">
        <v>0.20999999999999996</v>
      </c>
      <c r="X31" s="46">
        <v>0.20999999999999996</v>
      </c>
      <c r="Y31" s="46">
        <v>0.20999999999999996</v>
      </c>
      <c r="Z31" s="46">
        <v>0.20999999999999996</v>
      </c>
    </row>
    <row r="32" spans="1:26" x14ac:dyDescent="0.2">
      <c r="A32" s="6" t="s">
        <v>399</v>
      </c>
      <c r="B32" s="7">
        <v>4057079</v>
      </c>
      <c r="C32" s="6" t="s">
        <v>138</v>
      </c>
      <c r="D32" s="46">
        <v>0.35</v>
      </c>
      <c r="E32" s="46">
        <v>0.35</v>
      </c>
      <c r="F32" s="46">
        <v>0.35</v>
      </c>
      <c r="G32" s="46">
        <v>0.35</v>
      </c>
      <c r="H32" s="46">
        <v>0.35</v>
      </c>
      <c r="I32" s="46">
        <v>0.35</v>
      </c>
      <c r="J32" s="46">
        <v>0.35</v>
      </c>
      <c r="K32" s="46">
        <v>0.35</v>
      </c>
      <c r="L32" s="46">
        <v>0.35</v>
      </c>
      <c r="M32" s="46">
        <v>0.35</v>
      </c>
      <c r="N32" s="46">
        <v>0.35</v>
      </c>
      <c r="O32" s="46">
        <v>0.35</v>
      </c>
      <c r="P32" s="46">
        <v>0.35</v>
      </c>
      <c r="Q32" s="46">
        <v>0.35</v>
      </c>
      <c r="R32" s="46">
        <v>0.35</v>
      </c>
      <c r="S32" s="46">
        <v>0.35</v>
      </c>
      <c r="T32" s="46">
        <v>0.35</v>
      </c>
      <c r="U32" s="46">
        <v>0.35</v>
      </c>
      <c r="V32" s="46">
        <v>0.35</v>
      </c>
      <c r="W32" s="46">
        <v>0.20999999999999996</v>
      </c>
      <c r="X32" s="46">
        <v>0.20999999999999996</v>
      </c>
      <c r="Y32" s="46">
        <v>0.20999999999999996</v>
      </c>
      <c r="Z32" s="46">
        <v>0.20999999999999996</v>
      </c>
    </row>
    <row r="33" spans="1:26" x14ac:dyDescent="0.2">
      <c r="A33" s="6" t="s">
        <v>33</v>
      </c>
      <c r="B33" s="7">
        <v>4058656</v>
      </c>
      <c r="C33" s="6" t="s">
        <v>333</v>
      </c>
      <c r="D33" s="46">
        <v>0.40700500000000001</v>
      </c>
      <c r="E33" s="46">
        <v>0.40700500000000001</v>
      </c>
      <c r="F33" s="46">
        <v>0.40700500000000001</v>
      </c>
      <c r="G33" s="46">
        <v>0.40700500000000001</v>
      </c>
      <c r="H33" s="46">
        <v>0.40700500000000001</v>
      </c>
      <c r="I33" s="46">
        <v>0.40700500000000001</v>
      </c>
      <c r="J33" s="46">
        <v>0.40700500000000001</v>
      </c>
      <c r="K33" s="46">
        <v>0.40700500000000001</v>
      </c>
      <c r="L33" s="46">
        <v>0.40700500000000001</v>
      </c>
      <c r="M33" s="46">
        <v>0.40700500000000001</v>
      </c>
      <c r="N33" s="46">
        <v>0.40700500000000001</v>
      </c>
      <c r="O33" s="46">
        <v>0.40700500000000001</v>
      </c>
      <c r="P33" s="46">
        <v>0.40700500000000001</v>
      </c>
      <c r="Q33" s="46">
        <v>0.40700500000000001</v>
      </c>
      <c r="R33" s="46">
        <v>0.40700500000000001</v>
      </c>
      <c r="S33" s="46">
        <v>0.40700500000000001</v>
      </c>
      <c r="T33" s="46">
        <v>0.40700500000000001</v>
      </c>
      <c r="U33" s="46">
        <v>0.40700500000000001</v>
      </c>
      <c r="V33" s="46">
        <v>0.40700500000000001</v>
      </c>
      <c r="W33" s="46">
        <v>0.26700499999999999</v>
      </c>
      <c r="X33" s="46">
        <v>0.26700499999999999</v>
      </c>
      <c r="Y33" s="46">
        <v>0.26700499999999999</v>
      </c>
      <c r="Z33" s="46">
        <v>0.26700499999999999</v>
      </c>
    </row>
    <row r="34" spans="1:26" x14ac:dyDescent="0.2">
      <c r="A34" s="6" t="s">
        <v>59</v>
      </c>
      <c r="B34" s="7">
        <v>4081251</v>
      </c>
      <c r="C34" s="6" t="s">
        <v>136</v>
      </c>
      <c r="D34" s="46">
        <v>0.39649667</v>
      </c>
      <c r="E34" s="46">
        <v>0.39649667</v>
      </c>
      <c r="F34" s="46">
        <v>0.39649667</v>
      </c>
      <c r="G34" s="46">
        <v>0.39649667</v>
      </c>
      <c r="H34" s="46">
        <v>0.39649667</v>
      </c>
      <c r="I34" s="46">
        <v>0.39649667</v>
      </c>
      <c r="J34" s="46">
        <v>0.39649667</v>
      </c>
      <c r="K34" s="46">
        <v>0.39649667</v>
      </c>
      <c r="L34" s="46">
        <v>0.39649667</v>
      </c>
      <c r="M34" s="46">
        <v>0.39649667</v>
      </c>
      <c r="N34" s="46">
        <v>0.39649667</v>
      </c>
      <c r="O34" s="46">
        <v>0.39649667</v>
      </c>
      <c r="P34" s="46">
        <v>0.39649667</v>
      </c>
      <c r="Q34" s="46">
        <v>0.39649667</v>
      </c>
      <c r="R34" s="46">
        <v>0.39649667</v>
      </c>
      <c r="S34" s="46">
        <v>0.39649667</v>
      </c>
      <c r="T34" s="46">
        <v>0.39649667</v>
      </c>
      <c r="U34" s="46">
        <v>0.39649667</v>
      </c>
      <c r="V34" s="46">
        <v>0.39649667</v>
      </c>
      <c r="W34" s="46">
        <v>0.25649666999999998</v>
      </c>
      <c r="X34" s="46">
        <v>0.25649666999999998</v>
      </c>
      <c r="Y34" s="46">
        <v>0.25649666999999998</v>
      </c>
      <c r="Z34" s="46">
        <v>0.25649666999999998</v>
      </c>
    </row>
    <row r="35" spans="1:26" x14ac:dyDescent="0.2">
      <c r="A35" s="6" t="s">
        <v>400</v>
      </c>
      <c r="B35" s="7">
        <v>4060572</v>
      </c>
      <c r="C35" s="6" t="s">
        <v>135</v>
      </c>
      <c r="D35" s="46">
        <v>0.40200000000000002</v>
      </c>
      <c r="E35" s="46">
        <v>0.40200000000000002</v>
      </c>
      <c r="F35" s="46">
        <v>0.40200000000000002</v>
      </c>
      <c r="G35" s="46">
        <v>0.40200000000000002</v>
      </c>
      <c r="H35" s="46">
        <v>0.40200000000000002</v>
      </c>
      <c r="I35" s="46">
        <v>0.40200000000000002</v>
      </c>
      <c r="J35" s="46">
        <v>0.40200000000000002</v>
      </c>
      <c r="K35" s="46">
        <v>0.40200000000000002</v>
      </c>
      <c r="L35" s="46">
        <v>0.40200000000000002</v>
      </c>
      <c r="M35" s="46">
        <v>0.40200000000000002</v>
      </c>
      <c r="N35" s="46">
        <v>0.40200000000000002</v>
      </c>
      <c r="O35" s="46">
        <v>0.40200000000000002</v>
      </c>
      <c r="P35" s="46">
        <v>0.40200000000000002</v>
      </c>
      <c r="Q35" s="46">
        <v>0.40200000000000002</v>
      </c>
      <c r="R35" s="46">
        <v>0.40200000000000002</v>
      </c>
      <c r="S35" s="46">
        <v>0.40200000000000002</v>
      </c>
      <c r="T35" s="46">
        <v>0.40200000000000002</v>
      </c>
      <c r="U35" s="46">
        <v>0.40200000000000002</v>
      </c>
      <c r="V35" s="46">
        <v>0.40200000000000002</v>
      </c>
      <c r="W35" s="46">
        <v>0.26200000000000001</v>
      </c>
      <c r="X35" s="46">
        <v>0.26200000000000001</v>
      </c>
      <c r="Y35" s="46">
        <v>0.26200000000000001</v>
      </c>
      <c r="Z35" s="46">
        <v>0.26200000000000001</v>
      </c>
    </row>
    <row r="36" spans="1:26" x14ac:dyDescent="0.2">
      <c r="A36" s="6" t="s">
        <v>401</v>
      </c>
      <c r="B36" s="7">
        <v>4083318</v>
      </c>
      <c r="C36" s="6" t="s">
        <v>142</v>
      </c>
      <c r="D36" s="46">
        <v>0.40076499999999998</v>
      </c>
      <c r="E36" s="46">
        <v>0.40076499999999998</v>
      </c>
      <c r="F36" s="46">
        <v>0.40076499999999998</v>
      </c>
      <c r="G36" s="46">
        <v>0.40076499999999998</v>
      </c>
      <c r="H36" s="46">
        <v>0.40076499999999998</v>
      </c>
      <c r="I36" s="46">
        <v>0.40076499999999998</v>
      </c>
      <c r="J36" s="46">
        <v>0.40076499999999998</v>
      </c>
      <c r="K36" s="46">
        <v>0.40076499999999998</v>
      </c>
      <c r="L36" s="46">
        <v>0.40076499999999998</v>
      </c>
      <c r="M36" s="46">
        <v>0.40076499999999998</v>
      </c>
      <c r="N36" s="46">
        <v>0.40076499999999998</v>
      </c>
      <c r="O36" s="46">
        <v>0.40076499999999998</v>
      </c>
      <c r="P36" s="46">
        <v>0.40076499999999998</v>
      </c>
      <c r="Q36" s="46">
        <v>0.40076499999999998</v>
      </c>
      <c r="R36" s="46">
        <v>0.40076499999999998</v>
      </c>
      <c r="S36" s="46">
        <v>0.40076499999999998</v>
      </c>
      <c r="T36" s="46">
        <v>0.40076499999999998</v>
      </c>
      <c r="U36" s="46">
        <v>0.40076499999999998</v>
      </c>
      <c r="V36" s="46">
        <v>0.40076499999999998</v>
      </c>
      <c r="W36" s="46">
        <v>0.26076499999999997</v>
      </c>
      <c r="X36" s="46">
        <v>0.26076499999999997</v>
      </c>
      <c r="Y36" s="46">
        <v>0.26076499999999997</v>
      </c>
      <c r="Z36" s="46">
        <v>0.26076499999999997</v>
      </c>
    </row>
    <row r="37" spans="1:26" x14ac:dyDescent="0.2">
      <c r="A37" s="6" t="s">
        <v>402</v>
      </c>
      <c r="B37" s="7">
        <v>4057125</v>
      </c>
      <c r="C37" s="6" t="s">
        <v>143</v>
      </c>
      <c r="D37" s="46">
        <v>0.39989833000000002</v>
      </c>
      <c r="E37" s="46">
        <v>0.39989833000000002</v>
      </c>
      <c r="F37" s="46">
        <v>0.39989833000000002</v>
      </c>
      <c r="G37" s="46">
        <v>0.39989833000000002</v>
      </c>
      <c r="H37" s="46">
        <v>0.39989833000000002</v>
      </c>
      <c r="I37" s="46">
        <v>0.39989833000000002</v>
      </c>
      <c r="J37" s="46">
        <v>0.39989833000000002</v>
      </c>
      <c r="K37" s="46">
        <v>0.39989833000000002</v>
      </c>
      <c r="L37" s="46">
        <v>0.39989833000000002</v>
      </c>
      <c r="M37" s="46">
        <v>0.39989833000000002</v>
      </c>
      <c r="N37" s="46">
        <v>0.39989833000000002</v>
      </c>
      <c r="O37" s="46">
        <v>0.39989833000000002</v>
      </c>
      <c r="P37" s="46">
        <v>0.39989833000000002</v>
      </c>
      <c r="Q37" s="46">
        <v>0.39989833000000002</v>
      </c>
      <c r="R37" s="46">
        <v>0.39989833000000002</v>
      </c>
      <c r="S37" s="46">
        <v>0.39989833000000002</v>
      </c>
      <c r="T37" s="46">
        <v>0.39989833000000002</v>
      </c>
      <c r="U37" s="46">
        <v>0.39989833000000002</v>
      </c>
      <c r="V37" s="46">
        <v>0.39989833000000002</v>
      </c>
      <c r="W37" s="46">
        <v>0.25989833000000001</v>
      </c>
      <c r="X37" s="46">
        <v>0.25989833000000001</v>
      </c>
      <c r="Y37" s="46">
        <v>0.25989833000000001</v>
      </c>
      <c r="Z37" s="46">
        <v>0.25989833000000001</v>
      </c>
    </row>
    <row r="38" spans="1:26" x14ac:dyDescent="0.2">
      <c r="A38" s="6" t="s">
        <v>403</v>
      </c>
      <c r="B38" s="7">
        <v>4087741</v>
      </c>
      <c r="C38" s="6" t="s">
        <v>363</v>
      </c>
      <c r="D38" s="46">
        <v>0.39209832999999999</v>
      </c>
      <c r="E38" s="46">
        <v>0.39209832999999999</v>
      </c>
      <c r="F38" s="46">
        <v>0.39209832999999999</v>
      </c>
      <c r="G38" s="46">
        <v>0.39209832999999999</v>
      </c>
      <c r="H38" s="46">
        <v>0.39209832999999999</v>
      </c>
      <c r="I38" s="46">
        <v>0.39209832999999999</v>
      </c>
      <c r="J38" s="46">
        <v>0.39209832999999999</v>
      </c>
      <c r="K38" s="46">
        <v>0.39209832999999999</v>
      </c>
      <c r="L38" s="46">
        <v>0.39209832999999999</v>
      </c>
      <c r="M38" s="46">
        <v>0.39209832999999999</v>
      </c>
      <c r="N38" s="46">
        <v>0.39209832999999999</v>
      </c>
      <c r="O38" s="46">
        <v>0.39209832999999999</v>
      </c>
      <c r="P38" s="46">
        <v>0.39209832999999999</v>
      </c>
      <c r="Q38" s="46">
        <v>0.39209832999999999</v>
      </c>
      <c r="R38" s="46">
        <v>0.39209832999999999</v>
      </c>
      <c r="S38" s="46">
        <v>0.39209832999999999</v>
      </c>
      <c r="T38" s="46">
        <v>0.39209832999999999</v>
      </c>
      <c r="U38" s="46">
        <v>0.39209832999999999</v>
      </c>
      <c r="V38" s="46">
        <v>0.39209832999999999</v>
      </c>
      <c r="W38" s="46">
        <v>0.25209832999999998</v>
      </c>
      <c r="X38" s="46">
        <v>0.25209832999999998</v>
      </c>
      <c r="Y38" s="46">
        <v>0.25209832999999998</v>
      </c>
      <c r="Z38" s="46">
        <v>0.25209832999999998</v>
      </c>
    </row>
    <row r="39" spans="1:26" x14ac:dyDescent="0.2">
      <c r="A39" s="6" t="s">
        <v>404</v>
      </c>
      <c r="B39" s="7">
        <v>4059875</v>
      </c>
      <c r="C39" s="6" t="s">
        <v>364</v>
      </c>
      <c r="D39" s="46">
        <v>0.40674500000000002</v>
      </c>
      <c r="E39" s="46">
        <v>0.40674500000000002</v>
      </c>
      <c r="F39" s="46">
        <v>0.40674500000000002</v>
      </c>
      <c r="G39" s="46">
        <v>0.40674500000000002</v>
      </c>
      <c r="H39" s="46">
        <v>0.40674500000000002</v>
      </c>
      <c r="I39" s="46">
        <v>0.40674500000000002</v>
      </c>
      <c r="J39" s="46">
        <v>0.40674500000000002</v>
      </c>
      <c r="K39" s="46">
        <v>0.40674500000000002</v>
      </c>
      <c r="L39" s="46">
        <v>0.40674500000000002</v>
      </c>
      <c r="M39" s="46">
        <v>0.40674500000000002</v>
      </c>
      <c r="N39" s="46">
        <v>0.40674500000000002</v>
      </c>
      <c r="O39" s="46">
        <v>0.40674500000000002</v>
      </c>
      <c r="P39" s="46">
        <v>0.40674500000000002</v>
      </c>
      <c r="Q39" s="46">
        <v>0.40674500000000002</v>
      </c>
      <c r="R39" s="46">
        <v>0.40674500000000002</v>
      </c>
      <c r="S39" s="46">
        <v>0.40674500000000002</v>
      </c>
      <c r="T39" s="46">
        <v>0.40674500000000002</v>
      </c>
      <c r="U39" s="46">
        <v>0.40674500000000002</v>
      </c>
      <c r="V39" s="46">
        <v>0.40674500000000002</v>
      </c>
      <c r="W39" s="46">
        <v>0.26674500000000001</v>
      </c>
      <c r="X39" s="46">
        <v>0.26674500000000001</v>
      </c>
      <c r="Y39" s="46">
        <v>0.26674500000000001</v>
      </c>
      <c r="Z39" s="46">
        <v>0.26674500000000001</v>
      </c>
    </row>
    <row r="40" spans="1:26" x14ac:dyDescent="0.2">
      <c r="A40" s="6" t="s">
        <v>405</v>
      </c>
      <c r="B40" s="7">
        <v>4057090</v>
      </c>
      <c r="C40" s="6" t="s">
        <v>141</v>
      </c>
      <c r="D40" s="46">
        <v>0.39279166999999998</v>
      </c>
      <c r="E40" s="46">
        <v>0.39279166999999998</v>
      </c>
      <c r="F40" s="46">
        <v>0.39279166999999998</v>
      </c>
      <c r="G40" s="46">
        <v>0.39279166999999998</v>
      </c>
      <c r="H40" s="46">
        <v>0.39279166999999998</v>
      </c>
      <c r="I40" s="46">
        <v>0.39279166999999998</v>
      </c>
      <c r="J40" s="46">
        <v>0.39279166999999998</v>
      </c>
      <c r="K40" s="46">
        <v>0.39279166999999998</v>
      </c>
      <c r="L40" s="46">
        <v>0.39279166999999998</v>
      </c>
      <c r="M40" s="46">
        <v>0.39279166999999998</v>
      </c>
      <c r="N40" s="46">
        <v>0.39279166999999998</v>
      </c>
      <c r="O40" s="46">
        <v>0.39279166999999998</v>
      </c>
      <c r="P40" s="46">
        <v>0.39279166999999998</v>
      </c>
      <c r="Q40" s="46">
        <v>0.39279166999999998</v>
      </c>
      <c r="R40" s="46">
        <v>0.39279166999999998</v>
      </c>
      <c r="S40" s="46">
        <v>0.39279166999999998</v>
      </c>
      <c r="T40" s="46">
        <v>0.39279166999999998</v>
      </c>
      <c r="U40" s="46">
        <v>0.39279166999999998</v>
      </c>
      <c r="V40" s="46">
        <v>0.39279166999999998</v>
      </c>
      <c r="W40" s="46">
        <v>0.25279166999999997</v>
      </c>
      <c r="X40" s="46">
        <v>0.25279166999999997</v>
      </c>
      <c r="Y40" s="46">
        <v>0.25279166999999997</v>
      </c>
      <c r="Z40" s="46">
        <v>0.25279166999999997</v>
      </c>
    </row>
    <row r="41" spans="1:26" x14ac:dyDescent="0.2">
      <c r="A41" s="6" t="s">
        <v>406</v>
      </c>
      <c r="B41" s="7">
        <v>4008754</v>
      </c>
      <c r="C41" s="6" t="s">
        <v>144</v>
      </c>
      <c r="D41" s="46">
        <v>0.40134999999999998</v>
      </c>
      <c r="E41" s="46">
        <v>0.40134999999999998</v>
      </c>
      <c r="F41" s="46">
        <v>0.40134999999999998</v>
      </c>
      <c r="G41" s="46">
        <v>0.40134999999999998</v>
      </c>
      <c r="H41" s="46">
        <v>0.40134999999999998</v>
      </c>
      <c r="I41" s="46">
        <v>0.40134999999999998</v>
      </c>
      <c r="J41" s="46">
        <v>0.40134999999999998</v>
      </c>
      <c r="K41" s="46">
        <v>0.40134999999999998</v>
      </c>
      <c r="L41" s="46">
        <v>0.40134999999999998</v>
      </c>
      <c r="M41" s="46">
        <v>0.40134999999999998</v>
      </c>
      <c r="N41" s="46">
        <v>0.40134999999999998</v>
      </c>
      <c r="O41" s="46">
        <v>0.40134999999999998</v>
      </c>
      <c r="P41" s="46">
        <v>0.40134999999999998</v>
      </c>
      <c r="Q41" s="46">
        <v>0.40134999999999998</v>
      </c>
      <c r="R41" s="46">
        <v>0.40134999999999998</v>
      </c>
      <c r="S41" s="46">
        <v>0.40134999999999998</v>
      </c>
      <c r="T41" s="46">
        <v>0.40134999999999998</v>
      </c>
      <c r="U41" s="46">
        <v>0.40134999999999998</v>
      </c>
      <c r="V41" s="46">
        <v>0.40134999999999998</v>
      </c>
      <c r="W41" s="46">
        <v>0.26134999999999997</v>
      </c>
      <c r="X41" s="46">
        <v>0.26134999999999997</v>
      </c>
      <c r="Y41" s="46">
        <v>0.26134999999999997</v>
      </c>
      <c r="Z41" s="46">
        <v>0.26134999999999997</v>
      </c>
    </row>
    <row r="42" spans="1:26" x14ac:dyDescent="0.2">
      <c r="A42" s="6" t="s">
        <v>407</v>
      </c>
      <c r="B42" s="7">
        <v>4061474</v>
      </c>
      <c r="C42" s="6" t="s">
        <v>143</v>
      </c>
      <c r="D42" s="46">
        <v>0.39989833000000002</v>
      </c>
      <c r="E42" s="46">
        <v>0.39989833000000002</v>
      </c>
      <c r="F42" s="46">
        <v>0.39989833000000002</v>
      </c>
      <c r="G42" s="46">
        <v>0.39989833000000002</v>
      </c>
      <c r="H42" s="46">
        <v>0.39989833000000002</v>
      </c>
      <c r="I42" s="46">
        <v>0.39989833000000002</v>
      </c>
      <c r="J42" s="46">
        <v>0.39989833000000002</v>
      </c>
      <c r="K42" s="46">
        <v>0.39989833000000002</v>
      </c>
      <c r="L42" s="46">
        <v>0.39989833000000002</v>
      </c>
      <c r="M42" s="46">
        <v>0.39989833000000002</v>
      </c>
      <c r="N42" s="46">
        <v>0.39989833000000002</v>
      </c>
      <c r="O42" s="46">
        <v>0.39989833000000002</v>
      </c>
      <c r="P42" s="46">
        <v>0.39989833000000002</v>
      </c>
      <c r="Q42" s="46">
        <v>0.39989833000000002</v>
      </c>
      <c r="R42" s="46">
        <v>0.39989833000000002</v>
      </c>
      <c r="S42" s="46">
        <v>0.39989833000000002</v>
      </c>
      <c r="T42" s="46">
        <v>0.39989833000000002</v>
      </c>
      <c r="U42" s="46">
        <v>0.39989833000000002</v>
      </c>
      <c r="V42" s="46">
        <v>0.39989833000000002</v>
      </c>
      <c r="W42" s="46">
        <v>0.25989833000000001</v>
      </c>
      <c r="X42" s="46">
        <v>0.25989833000000001</v>
      </c>
      <c r="Y42" s="46">
        <v>0.25989833000000001</v>
      </c>
      <c r="Z42" s="46">
        <v>0.25989833000000001</v>
      </c>
    </row>
    <row r="43" spans="1:26" x14ac:dyDescent="0.2">
      <c r="A43" s="6" t="s">
        <v>408</v>
      </c>
      <c r="B43" s="7">
        <v>4076679</v>
      </c>
      <c r="C43" s="6" t="s">
        <v>144</v>
      </c>
      <c r="D43" s="46">
        <v>0.40134999999999998</v>
      </c>
      <c r="E43" s="46">
        <v>0.40134999999999998</v>
      </c>
      <c r="F43" s="46">
        <v>0.40134999999999998</v>
      </c>
      <c r="G43" s="46">
        <v>0.40134999999999998</v>
      </c>
      <c r="H43" s="46">
        <v>0.40134999999999998</v>
      </c>
      <c r="I43" s="46">
        <v>0.40134999999999998</v>
      </c>
      <c r="J43" s="46">
        <v>0.40134999999999998</v>
      </c>
      <c r="K43" s="46">
        <v>0.40134999999999998</v>
      </c>
      <c r="L43" s="46">
        <v>0.40134999999999998</v>
      </c>
      <c r="M43" s="46">
        <v>0.40134999999999998</v>
      </c>
      <c r="N43" s="46">
        <v>0.40134999999999998</v>
      </c>
      <c r="O43" s="46">
        <v>0.40134999999999998</v>
      </c>
      <c r="P43" s="46">
        <v>0.40134999999999998</v>
      </c>
      <c r="Q43" s="46">
        <v>0.40134999999999998</v>
      </c>
      <c r="R43" s="46">
        <v>0.40134999999999998</v>
      </c>
      <c r="S43" s="46">
        <v>0.40134999999999998</v>
      </c>
      <c r="T43" s="46">
        <v>0.40134999999999998</v>
      </c>
      <c r="U43" s="46">
        <v>0.40134999999999998</v>
      </c>
      <c r="V43" s="46">
        <v>0.40134999999999998</v>
      </c>
      <c r="W43" s="46">
        <v>0.26134999999999997</v>
      </c>
      <c r="X43" s="46">
        <v>0.26134999999999997</v>
      </c>
      <c r="Y43" s="46">
        <v>0.26134999999999997</v>
      </c>
      <c r="Z43" s="46">
        <v>0.26134999999999997</v>
      </c>
    </row>
    <row r="44" spans="1:26" x14ac:dyDescent="0.2">
      <c r="A44" s="6" t="s">
        <v>409</v>
      </c>
      <c r="B44" s="7">
        <v>4061634</v>
      </c>
      <c r="C44" s="6" t="s">
        <v>135</v>
      </c>
      <c r="D44" s="46">
        <v>0.40200000000000002</v>
      </c>
      <c r="E44" s="46">
        <v>0.40200000000000002</v>
      </c>
      <c r="F44" s="46">
        <v>0.40200000000000002</v>
      </c>
      <c r="G44" s="46">
        <v>0.40200000000000002</v>
      </c>
      <c r="H44" s="46">
        <v>0.40200000000000002</v>
      </c>
      <c r="I44" s="46">
        <v>0.40200000000000002</v>
      </c>
      <c r="J44" s="46">
        <v>0.40200000000000002</v>
      </c>
      <c r="K44" s="46">
        <v>0.40200000000000002</v>
      </c>
      <c r="L44" s="46">
        <v>0.40200000000000002</v>
      </c>
      <c r="M44" s="46">
        <v>0.40200000000000002</v>
      </c>
      <c r="N44" s="46">
        <v>0.40200000000000002</v>
      </c>
      <c r="O44" s="46">
        <v>0.40200000000000002</v>
      </c>
      <c r="P44" s="46">
        <v>0.40200000000000002</v>
      </c>
      <c r="Q44" s="46">
        <v>0.40200000000000002</v>
      </c>
      <c r="R44" s="46">
        <v>0.40200000000000002</v>
      </c>
      <c r="S44" s="46">
        <v>0.40200000000000002</v>
      </c>
      <c r="T44" s="46">
        <v>0.40200000000000002</v>
      </c>
      <c r="U44" s="46">
        <v>0.40200000000000002</v>
      </c>
      <c r="V44" s="46">
        <v>0.40200000000000002</v>
      </c>
      <c r="W44" s="46">
        <v>0.26200000000000001</v>
      </c>
      <c r="X44" s="46">
        <v>0.26200000000000001</v>
      </c>
      <c r="Y44" s="46">
        <v>0.26200000000000001</v>
      </c>
      <c r="Z44" s="46">
        <v>0.26200000000000001</v>
      </c>
    </row>
    <row r="45" spans="1:26" x14ac:dyDescent="0.2">
      <c r="A45" s="6" t="s">
        <v>410</v>
      </c>
      <c r="B45" s="7">
        <v>4061687</v>
      </c>
      <c r="C45" s="6" t="s">
        <v>136</v>
      </c>
      <c r="D45" s="46">
        <v>0.39649667</v>
      </c>
      <c r="E45" s="46">
        <v>0.39649667</v>
      </c>
      <c r="F45" s="46">
        <v>0.39649667</v>
      </c>
      <c r="G45" s="46">
        <v>0.39649667</v>
      </c>
      <c r="H45" s="46">
        <v>0.39649667</v>
      </c>
      <c r="I45" s="46">
        <v>0.39649667</v>
      </c>
      <c r="J45" s="46">
        <v>0.39649667</v>
      </c>
      <c r="K45" s="46">
        <v>0.39649667</v>
      </c>
      <c r="L45" s="46">
        <v>0.39649667</v>
      </c>
      <c r="M45" s="46">
        <v>0.39649667</v>
      </c>
      <c r="N45" s="46">
        <v>0.39649667</v>
      </c>
      <c r="O45" s="46">
        <v>0.39649667</v>
      </c>
      <c r="P45" s="46">
        <v>0.39649667</v>
      </c>
      <c r="Q45" s="46">
        <v>0.39649667</v>
      </c>
      <c r="R45" s="46">
        <v>0.39649667</v>
      </c>
      <c r="S45" s="46">
        <v>0.39649667</v>
      </c>
      <c r="T45" s="46">
        <v>0.39649667</v>
      </c>
      <c r="U45" s="46">
        <v>0.39649667</v>
      </c>
      <c r="V45" s="46">
        <v>0.39649667</v>
      </c>
      <c r="W45" s="46">
        <v>0.25649666999999998</v>
      </c>
      <c r="X45" s="46">
        <v>0.25649666999999998</v>
      </c>
      <c r="Y45" s="46">
        <v>0.25649666999999998</v>
      </c>
      <c r="Z45" s="46">
        <v>0.25649666999999998</v>
      </c>
    </row>
    <row r="46" spans="1:26" x14ac:dyDescent="0.2">
      <c r="A46" s="6" t="s">
        <v>411</v>
      </c>
      <c r="B46" s="7">
        <v>4061755</v>
      </c>
      <c r="C46" s="6" t="s">
        <v>145</v>
      </c>
      <c r="D46" s="46">
        <v>0.40849999999999997</v>
      </c>
      <c r="E46" s="46">
        <v>0.40849999999999997</v>
      </c>
      <c r="F46" s="46">
        <v>0.40849999999999997</v>
      </c>
      <c r="G46" s="46">
        <v>0.40849999999999997</v>
      </c>
      <c r="H46" s="46">
        <v>0.40849999999999997</v>
      </c>
      <c r="I46" s="46">
        <v>0.40849999999999997</v>
      </c>
      <c r="J46" s="46">
        <v>0.40849999999999997</v>
      </c>
      <c r="K46" s="46">
        <v>0.40849999999999997</v>
      </c>
      <c r="L46" s="46">
        <v>0.40849999999999997</v>
      </c>
      <c r="M46" s="46">
        <v>0.40849999999999997</v>
      </c>
      <c r="N46" s="46">
        <v>0.40849999999999997</v>
      </c>
      <c r="O46" s="46">
        <v>0.40849999999999997</v>
      </c>
      <c r="P46" s="46">
        <v>0.40849999999999997</v>
      </c>
      <c r="Q46" s="46">
        <v>0.40849999999999997</v>
      </c>
      <c r="R46" s="46">
        <v>0.40849999999999997</v>
      </c>
      <c r="S46" s="46">
        <v>0.40849999999999997</v>
      </c>
      <c r="T46" s="46">
        <v>0.40849999999999997</v>
      </c>
      <c r="U46" s="46">
        <v>0.40849999999999997</v>
      </c>
      <c r="V46" s="46">
        <v>0.40849999999999997</v>
      </c>
      <c r="W46" s="46">
        <v>0.26849999999999996</v>
      </c>
      <c r="X46" s="46">
        <v>0.26849999999999996</v>
      </c>
      <c r="Y46" s="46">
        <v>0.26849999999999996</v>
      </c>
      <c r="Z46" s="46">
        <v>0.26849999999999996</v>
      </c>
    </row>
    <row r="47" spans="1:26" x14ac:dyDescent="0.2">
      <c r="A47" s="6" t="s">
        <v>412</v>
      </c>
      <c r="B47" s="7">
        <v>4004389</v>
      </c>
      <c r="C47" s="6" t="s">
        <v>136</v>
      </c>
      <c r="D47" s="46">
        <v>0.39649667</v>
      </c>
      <c r="E47" s="46">
        <v>0.39649667</v>
      </c>
      <c r="F47" s="46">
        <v>0.39649667</v>
      </c>
      <c r="G47" s="46">
        <v>0.39649667</v>
      </c>
      <c r="H47" s="46">
        <v>0.39649667</v>
      </c>
      <c r="I47" s="46">
        <v>0.39649667</v>
      </c>
      <c r="J47" s="46">
        <v>0.39649667</v>
      </c>
      <c r="K47" s="46">
        <v>0.39649667</v>
      </c>
      <c r="L47" s="46">
        <v>0.39649667</v>
      </c>
      <c r="M47" s="46">
        <v>0.39649667</v>
      </c>
      <c r="N47" s="46">
        <v>0.39649667</v>
      </c>
      <c r="O47" s="46">
        <v>0.39649667</v>
      </c>
      <c r="P47" s="46">
        <v>0.39649667</v>
      </c>
      <c r="Q47" s="46">
        <v>0.39649667</v>
      </c>
      <c r="R47" s="46">
        <v>0.39649667</v>
      </c>
      <c r="S47" s="46">
        <v>0.39649667</v>
      </c>
      <c r="T47" s="46">
        <v>0.39649667</v>
      </c>
      <c r="U47" s="46">
        <v>0.39649667</v>
      </c>
      <c r="V47" s="46">
        <v>0.39649667</v>
      </c>
      <c r="W47" s="46">
        <v>0.25649666999999998</v>
      </c>
      <c r="X47" s="46">
        <v>0.25649666999999998</v>
      </c>
      <c r="Y47" s="46">
        <v>0.25649666999999998</v>
      </c>
      <c r="Z47" s="46">
        <v>0.25649666999999998</v>
      </c>
    </row>
    <row r="48" spans="1:26" x14ac:dyDescent="0.2">
      <c r="A48" s="6" t="s">
        <v>413</v>
      </c>
      <c r="B48" s="7">
        <v>4057014</v>
      </c>
      <c r="C48" s="6" t="s">
        <v>136</v>
      </c>
      <c r="D48" s="46">
        <v>0.39649667</v>
      </c>
      <c r="E48" s="46">
        <v>0.39649667</v>
      </c>
      <c r="F48" s="46">
        <v>0.39649667</v>
      </c>
      <c r="G48" s="46">
        <v>0.39649667</v>
      </c>
      <c r="H48" s="46">
        <v>0.39649667</v>
      </c>
      <c r="I48" s="46">
        <v>0.39649667</v>
      </c>
      <c r="J48" s="46">
        <v>0.39649667</v>
      </c>
      <c r="K48" s="46">
        <v>0.39649667</v>
      </c>
      <c r="L48" s="46">
        <v>0.39649667</v>
      </c>
      <c r="M48" s="46">
        <v>0.39649667</v>
      </c>
      <c r="N48" s="46">
        <v>0.39649667</v>
      </c>
      <c r="O48" s="46">
        <v>0.39649667</v>
      </c>
      <c r="P48" s="46">
        <v>0.39649667</v>
      </c>
      <c r="Q48" s="46">
        <v>0.39649667</v>
      </c>
      <c r="R48" s="46">
        <v>0.39649667</v>
      </c>
      <c r="S48" s="46">
        <v>0.39649667</v>
      </c>
      <c r="T48" s="46">
        <v>0.39649667</v>
      </c>
      <c r="U48" s="46">
        <v>0.39649667</v>
      </c>
      <c r="V48" s="46">
        <v>0.39649667</v>
      </c>
      <c r="W48" s="46">
        <v>0.25649666999999998</v>
      </c>
      <c r="X48" s="46">
        <v>0.25649666999999998</v>
      </c>
      <c r="Y48" s="46">
        <v>0.25649666999999998</v>
      </c>
      <c r="Z48" s="46">
        <v>0.25649666999999998</v>
      </c>
    </row>
    <row r="49" spans="1:26" x14ac:dyDescent="0.2">
      <c r="A49" s="6" t="s">
        <v>414</v>
      </c>
      <c r="B49" s="7">
        <v>4057130</v>
      </c>
      <c r="C49" s="6" t="s">
        <v>142</v>
      </c>
      <c r="D49" s="46">
        <v>0.40076499999999998</v>
      </c>
      <c r="E49" s="46">
        <v>0.40076499999999998</v>
      </c>
      <c r="F49" s="46">
        <v>0.40076499999999998</v>
      </c>
      <c r="G49" s="46">
        <v>0.40076499999999998</v>
      </c>
      <c r="H49" s="46">
        <v>0.40076499999999998</v>
      </c>
      <c r="I49" s="46">
        <v>0.40076499999999998</v>
      </c>
      <c r="J49" s="46">
        <v>0.40076499999999998</v>
      </c>
      <c r="K49" s="46">
        <v>0.40076499999999998</v>
      </c>
      <c r="L49" s="46">
        <v>0.40076499999999998</v>
      </c>
      <c r="M49" s="46">
        <v>0.40076499999999998</v>
      </c>
      <c r="N49" s="46">
        <v>0.40076499999999998</v>
      </c>
      <c r="O49" s="46">
        <v>0.40076499999999998</v>
      </c>
      <c r="P49" s="46">
        <v>0.40076499999999998</v>
      </c>
      <c r="Q49" s="46">
        <v>0.40076499999999998</v>
      </c>
      <c r="R49" s="46">
        <v>0.40076499999999998</v>
      </c>
      <c r="S49" s="46">
        <v>0.40076499999999998</v>
      </c>
      <c r="T49" s="46">
        <v>0.40076499999999998</v>
      </c>
      <c r="U49" s="46">
        <v>0.40076499999999998</v>
      </c>
      <c r="V49" s="46">
        <v>0.40076499999999998</v>
      </c>
      <c r="W49" s="46">
        <v>0.26076499999999997</v>
      </c>
      <c r="X49" s="46">
        <v>0.26076499999999997</v>
      </c>
      <c r="Y49" s="46">
        <v>0.26076499999999997</v>
      </c>
      <c r="Z49" s="46">
        <v>0.26076499999999997</v>
      </c>
    </row>
    <row r="50" spans="1:26" x14ac:dyDescent="0.2">
      <c r="A50" s="6" t="s">
        <v>415</v>
      </c>
      <c r="B50" s="7">
        <v>4057131</v>
      </c>
      <c r="C50" s="6" t="s">
        <v>142</v>
      </c>
      <c r="D50" s="46">
        <v>0.40076499999999998</v>
      </c>
      <c r="E50" s="46">
        <v>0.40076499999999998</v>
      </c>
      <c r="F50" s="46">
        <v>0.40076499999999998</v>
      </c>
      <c r="G50" s="46">
        <v>0.40076499999999998</v>
      </c>
      <c r="H50" s="46">
        <v>0.40076499999999998</v>
      </c>
      <c r="I50" s="46">
        <v>0.40076499999999998</v>
      </c>
      <c r="J50" s="46">
        <v>0.40076499999999998</v>
      </c>
      <c r="K50" s="46">
        <v>0.40076499999999998</v>
      </c>
      <c r="L50" s="46">
        <v>0.40076499999999998</v>
      </c>
      <c r="M50" s="46">
        <v>0.40076499999999998</v>
      </c>
      <c r="N50" s="46">
        <v>0.40076499999999998</v>
      </c>
      <c r="O50" s="46">
        <v>0.40076499999999998</v>
      </c>
      <c r="P50" s="46">
        <v>0.40076499999999998</v>
      </c>
      <c r="Q50" s="46">
        <v>0.40076499999999998</v>
      </c>
      <c r="R50" s="46">
        <v>0.40076499999999998</v>
      </c>
      <c r="S50" s="46">
        <v>0.40076499999999998</v>
      </c>
      <c r="T50" s="46">
        <v>0.40076499999999998</v>
      </c>
      <c r="U50" s="46">
        <v>0.40076499999999998</v>
      </c>
      <c r="V50" s="46">
        <v>0.40076499999999998</v>
      </c>
      <c r="W50" s="46">
        <v>0.26076499999999997</v>
      </c>
      <c r="X50" s="46">
        <v>0.26076499999999997</v>
      </c>
      <c r="Y50" s="46">
        <v>0.26076499999999997</v>
      </c>
      <c r="Z50" s="46">
        <v>0.26076499999999997</v>
      </c>
    </row>
    <row r="51" spans="1:26" x14ac:dyDescent="0.2">
      <c r="A51" s="6" t="s">
        <v>416</v>
      </c>
      <c r="B51" s="7">
        <v>4012860</v>
      </c>
      <c r="C51" s="6" t="s">
        <v>143</v>
      </c>
      <c r="D51" s="46">
        <v>0.39989833000000002</v>
      </c>
      <c r="E51" s="46">
        <v>0.39989833000000002</v>
      </c>
      <c r="F51" s="46">
        <v>0.39989833000000002</v>
      </c>
      <c r="G51" s="46">
        <v>0.39989833000000002</v>
      </c>
      <c r="H51" s="46">
        <v>0.39989833000000002</v>
      </c>
      <c r="I51" s="46">
        <v>0.39989833000000002</v>
      </c>
      <c r="J51" s="46">
        <v>0.39989833000000002</v>
      </c>
      <c r="K51" s="46">
        <v>0.39989833000000002</v>
      </c>
      <c r="L51" s="46">
        <v>0.39989833000000002</v>
      </c>
      <c r="M51" s="46">
        <v>0.39989833000000002</v>
      </c>
      <c r="N51" s="46">
        <v>0.39989833000000002</v>
      </c>
      <c r="O51" s="46">
        <v>0.39989833000000002</v>
      </c>
      <c r="P51" s="46">
        <v>0.39989833000000002</v>
      </c>
      <c r="Q51" s="46">
        <v>0.39989833000000002</v>
      </c>
      <c r="R51" s="46">
        <v>0.39989833000000002</v>
      </c>
      <c r="S51" s="46">
        <v>0.39989833000000002</v>
      </c>
      <c r="T51" s="46">
        <v>0.39989833000000002</v>
      </c>
      <c r="U51" s="46">
        <v>0.39989833000000002</v>
      </c>
      <c r="V51" s="46">
        <v>0.39989833000000002</v>
      </c>
      <c r="W51" s="46">
        <v>0.25989833000000001</v>
      </c>
      <c r="X51" s="46">
        <v>0.25989833000000001</v>
      </c>
      <c r="Y51" s="46">
        <v>0.25989833000000001</v>
      </c>
      <c r="Z51" s="46">
        <v>0.25989833000000001</v>
      </c>
    </row>
    <row r="52" spans="1:26" x14ac:dyDescent="0.2">
      <c r="A52" s="6" t="s">
        <v>78</v>
      </c>
      <c r="B52" s="7">
        <v>4061925</v>
      </c>
      <c r="C52" s="6" t="s">
        <v>144</v>
      </c>
      <c r="D52" s="46">
        <v>0.40134999999999998</v>
      </c>
      <c r="E52" s="46">
        <v>0.40134999999999998</v>
      </c>
      <c r="F52" s="46">
        <v>0.40134999999999998</v>
      </c>
      <c r="G52" s="46">
        <v>0.40134999999999998</v>
      </c>
      <c r="H52" s="46">
        <v>0.40134999999999998</v>
      </c>
      <c r="I52" s="46">
        <v>0.40134999999999998</v>
      </c>
      <c r="J52" s="46">
        <v>0.40134999999999998</v>
      </c>
      <c r="K52" s="46">
        <v>0.40134999999999998</v>
      </c>
      <c r="L52" s="46">
        <v>0.40134999999999998</v>
      </c>
      <c r="M52" s="46">
        <v>0.40134999999999998</v>
      </c>
      <c r="N52" s="46">
        <v>0.40134999999999998</v>
      </c>
      <c r="O52" s="46">
        <v>0.40134999999999998</v>
      </c>
      <c r="P52" s="46">
        <v>0.40134999999999998</v>
      </c>
      <c r="Q52" s="46">
        <v>0.40134999999999998</v>
      </c>
      <c r="R52" s="46">
        <v>0.40134999999999998</v>
      </c>
      <c r="S52" s="46">
        <v>0.40134999999999998</v>
      </c>
      <c r="T52" s="46">
        <v>0.40134999999999998</v>
      </c>
      <c r="U52" s="46">
        <v>0.40134999999999998</v>
      </c>
      <c r="V52" s="46">
        <v>0.40134999999999998</v>
      </c>
      <c r="W52" s="46">
        <v>0.26134999999999997</v>
      </c>
      <c r="X52" s="46">
        <v>0.26134999999999997</v>
      </c>
      <c r="Y52" s="46">
        <v>0.26134999999999997</v>
      </c>
      <c r="Z52" s="46">
        <v>0.26134999999999997</v>
      </c>
    </row>
    <row r="53" spans="1:26" x14ac:dyDescent="0.2">
      <c r="A53" s="6" t="s">
        <v>417</v>
      </c>
      <c r="B53" s="7">
        <v>4057132</v>
      </c>
      <c r="C53" s="6" t="s">
        <v>369</v>
      </c>
      <c r="D53" s="46">
        <v>0.42</v>
      </c>
      <c r="E53" s="46">
        <v>0.42</v>
      </c>
      <c r="F53" s="46">
        <v>0.42</v>
      </c>
      <c r="G53" s="46">
        <v>0.42</v>
      </c>
      <c r="H53" s="46">
        <v>0.42</v>
      </c>
      <c r="I53" s="46">
        <v>0.42</v>
      </c>
      <c r="J53" s="46">
        <v>0.42</v>
      </c>
      <c r="K53" s="46">
        <v>0.42</v>
      </c>
      <c r="L53" s="46">
        <v>0.42</v>
      </c>
      <c r="M53" s="46">
        <v>0.42</v>
      </c>
      <c r="N53" s="46">
        <v>0.42</v>
      </c>
      <c r="O53" s="46">
        <v>0.42</v>
      </c>
      <c r="P53" s="46">
        <v>0.42</v>
      </c>
      <c r="Q53" s="46">
        <v>0.42</v>
      </c>
      <c r="R53" s="46">
        <v>0.42</v>
      </c>
      <c r="S53" s="46">
        <v>0.42</v>
      </c>
      <c r="T53" s="46">
        <v>0.42</v>
      </c>
      <c r="U53" s="46">
        <v>0.42</v>
      </c>
      <c r="V53" s="46">
        <v>0.42</v>
      </c>
      <c r="W53" s="46">
        <v>0.27999999999999997</v>
      </c>
      <c r="X53" s="46">
        <v>0.27999999999999997</v>
      </c>
      <c r="Y53" s="46">
        <v>0.27999999999999997</v>
      </c>
      <c r="Z53" s="46">
        <v>0.27999999999999997</v>
      </c>
    </row>
    <row r="54" spans="1:26" x14ac:dyDescent="0.2">
      <c r="A54" s="6" t="s">
        <v>418</v>
      </c>
      <c r="B54" s="7">
        <v>4057115</v>
      </c>
      <c r="C54" s="6" t="s">
        <v>333</v>
      </c>
      <c r="D54" s="46">
        <v>0.40700500000000001</v>
      </c>
      <c r="E54" s="46">
        <v>0.40700500000000001</v>
      </c>
      <c r="F54" s="46">
        <v>0.40700500000000001</v>
      </c>
      <c r="G54" s="46">
        <v>0.40700500000000001</v>
      </c>
      <c r="H54" s="46">
        <v>0.40700500000000001</v>
      </c>
      <c r="I54" s="46">
        <v>0.40700500000000001</v>
      </c>
      <c r="J54" s="46">
        <v>0.40700500000000001</v>
      </c>
      <c r="K54" s="46">
        <v>0.40700500000000001</v>
      </c>
      <c r="L54" s="46">
        <v>0.40700500000000001</v>
      </c>
      <c r="M54" s="46">
        <v>0.40700500000000001</v>
      </c>
      <c r="N54" s="46">
        <v>0.40700500000000001</v>
      </c>
      <c r="O54" s="46">
        <v>0.40700500000000001</v>
      </c>
      <c r="P54" s="46">
        <v>0.40700500000000001</v>
      </c>
      <c r="Q54" s="46">
        <v>0.40700500000000001</v>
      </c>
      <c r="R54" s="46">
        <v>0.40700500000000001</v>
      </c>
      <c r="S54" s="46">
        <v>0.40700500000000001</v>
      </c>
      <c r="T54" s="46">
        <v>0.40700500000000001</v>
      </c>
      <c r="U54" s="46">
        <v>0.40700500000000001</v>
      </c>
      <c r="V54" s="46">
        <v>0.40700500000000001</v>
      </c>
      <c r="W54" s="46">
        <v>0.26700499999999999</v>
      </c>
      <c r="X54" s="46">
        <v>0.26700499999999999</v>
      </c>
      <c r="Y54" s="46">
        <v>0.26700499999999999</v>
      </c>
      <c r="Z54" s="46">
        <v>0.26700499999999999</v>
      </c>
    </row>
    <row r="55" spans="1:26" x14ac:dyDescent="0.2">
      <c r="A55" s="6" t="s">
        <v>419</v>
      </c>
      <c r="B55" s="7">
        <v>4064479</v>
      </c>
      <c r="C55" s="6" t="s">
        <v>138</v>
      </c>
      <c r="D55" s="46">
        <v>0.35</v>
      </c>
      <c r="E55" s="46">
        <v>0.35</v>
      </c>
      <c r="F55" s="46">
        <v>0.35</v>
      </c>
      <c r="G55" s="46">
        <v>0.35</v>
      </c>
      <c r="H55" s="46">
        <v>0.35</v>
      </c>
      <c r="I55" s="46">
        <v>0.35</v>
      </c>
      <c r="J55" s="46">
        <v>0.35</v>
      </c>
      <c r="K55" s="46">
        <v>0.35</v>
      </c>
      <c r="L55" s="46">
        <v>0.35</v>
      </c>
      <c r="M55" s="46">
        <v>0.35</v>
      </c>
      <c r="N55" s="46">
        <v>0.35</v>
      </c>
      <c r="O55" s="46">
        <v>0.35</v>
      </c>
      <c r="P55" s="46">
        <v>0.35</v>
      </c>
      <c r="Q55" s="46">
        <v>0.35</v>
      </c>
      <c r="R55" s="46">
        <v>0.35</v>
      </c>
      <c r="S55" s="46">
        <v>0.35</v>
      </c>
      <c r="T55" s="46">
        <v>0.35</v>
      </c>
      <c r="U55" s="46">
        <v>0.35</v>
      </c>
      <c r="V55" s="46">
        <v>0.35</v>
      </c>
      <c r="W55" s="46">
        <v>0.20999999999999996</v>
      </c>
      <c r="X55" s="46">
        <v>0.20999999999999996</v>
      </c>
      <c r="Y55" s="46">
        <v>0.20999999999999996</v>
      </c>
      <c r="Z55" s="46">
        <v>0.20999999999999996</v>
      </c>
    </row>
    <row r="56" spans="1:26" x14ac:dyDescent="0.2">
      <c r="A56" s="6" t="s">
        <v>420</v>
      </c>
      <c r="B56" s="7">
        <v>4062025</v>
      </c>
      <c r="C56" s="6" t="s">
        <v>143</v>
      </c>
      <c r="D56" s="46">
        <v>0.39989833000000002</v>
      </c>
      <c r="E56" s="46">
        <v>0.39989833000000002</v>
      </c>
      <c r="F56" s="46">
        <v>0.39989833000000002</v>
      </c>
      <c r="G56" s="46">
        <v>0.39989833000000002</v>
      </c>
      <c r="H56" s="46">
        <v>0.39989833000000002</v>
      </c>
      <c r="I56" s="46">
        <v>0.39989833000000002</v>
      </c>
      <c r="J56" s="46">
        <v>0.39989833000000002</v>
      </c>
      <c r="K56" s="46">
        <v>0.39989833000000002</v>
      </c>
      <c r="L56" s="46">
        <v>0.39989833000000002</v>
      </c>
      <c r="M56" s="46">
        <v>0.39989833000000002</v>
      </c>
      <c r="N56" s="46">
        <v>0.39989833000000002</v>
      </c>
      <c r="O56" s="46">
        <v>0.39989833000000002</v>
      </c>
      <c r="P56" s="46">
        <v>0.39989833000000002</v>
      </c>
      <c r="Q56" s="46">
        <v>0.39989833000000002</v>
      </c>
      <c r="R56" s="46">
        <v>0.39989833000000002</v>
      </c>
      <c r="S56" s="46">
        <v>0.39989833000000002</v>
      </c>
      <c r="T56" s="46">
        <v>0.39989833000000002</v>
      </c>
      <c r="U56" s="46">
        <v>0.39989833000000002</v>
      </c>
      <c r="V56" s="46">
        <v>0.39989833000000002</v>
      </c>
      <c r="W56" s="46">
        <v>0.25989833000000001</v>
      </c>
      <c r="X56" s="46">
        <v>0.25989833000000001</v>
      </c>
      <c r="Y56" s="46">
        <v>0.25989833000000001</v>
      </c>
      <c r="Z56" s="46">
        <v>0.25989833000000001</v>
      </c>
    </row>
    <row r="57" spans="1:26" x14ac:dyDescent="0.2">
      <c r="A57" s="6" t="s">
        <v>421</v>
      </c>
      <c r="B57" s="7">
        <v>4064481</v>
      </c>
      <c r="C57" s="6" t="s">
        <v>368</v>
      </c>
      <c r="D57" s="46">
        <v>0.41</v>
      </c>
      <c r="E57" s="46">
        <v>0.41</v>
      </c>
      <c r="F57" s="46">
        <v>0.41</v>
      </c>
      <c r="G57" s="46">
        <v>0.41</v>
      </c>
      <c r="H57" s="46">
        <v>0.41</v>
      </c>
      <c r="I57" s="46">
        <v>0.41</v>
      </c>
      <c r="J57" s="46">
        <v>0.41</v>
      </c>
      <c r="K57" s="46">
        <v>0.41</v>
      </c>
      <c r="L57" s="46">
        <v>0.41</v>
      </c>
      <c r="M57" s="46">
        <v>0.41</v>
      </c>
      <c r="N57" s="46">
        <v>0.41</v>
      </c>
      <c r="O57" s="46">
        <v>0.41</v>
      </c>
      <c r="P57" s="46">
        <v>0.41</v>
      </c>
      <c r="Q57" s="46">
        <v>0.41</v>
      </c>
      <c r="R57" s="46">
        <v>0.41</v>
      </c>
      <c r="S57" s="46">
        <v>0.41</v>
      </c>
      <c r="T57" s="46">
        <v>0.41</v>
      </c>
      <c r="U57" s="46">
        <v>0.41</v>
      </c>
      <c r="V57" s="46">
        <v>0.41</v>
      </c>
      <c r="W57" s="46">
        <v>0.26999999999999996</v>
      </c>
      <c r="X57" s="46">
        <v>0.26999999999999996</v>
      </c>
      <c r="Y57" s="46">
        <v>0.26999999999999996</v>
      </c>
      <c r="Z57" s="46">
        <v>0.26999999999999996</v>
      </c>
    </row>
    <row r="58" spans="1:26" x14ac:dyDescent="0.2">
      <c r="A58" s="6" t="s">
        <v>422</v>
      </c>
      <c r="B58" s="7">
        <v>4057093</v>
      </c>
      <c r="C58" s="6" t="s">
        <v>136</v>
      </c>
      <c r="D58" s="46">
        <v>0.39649667</v>
      </c>
      <c r="E58" s="46">
        <v>0.39649667</v>
      </c>
      <c r="F58" s="46">
        <v>0.39649667</v>
      </c>
      <c r="G58" s="46">
        <v>0.39649667</v>
      </c>
      <c r="H58" s="46">
        <v>0.39649667</v>
      </c>
      <c r="I58" s="46">
        <v>0.39649667</v>
      </c>
      <c r="J58" s="46">
        <v>0.39649667</v>
      </c>
      <c r="K58" s="46">
        <v>0.39649667</v>
      </c>
      <c r="L58" s="46">
        <v>0.39649667</v>
      </c>
      <c r="M58" s="46">
        <v>0.39649667</v>
      </c>
      <c r="N58" s="46">
        <v>0.39649667</v>
      </c>
      <c r="O58" s="46">
        <v>0.39649667</v>
      </c>
      <c r="P58" s="46">
        <v>0.39649667</v>
      </c>
      <c r="Q58" s="46">
        <v>0.39649667</v>
      </c>
      <c r="R58" s="46">
        <v>0.39649667</v>
      </c>
      <c r="S58" s="46">
        <v>0.39649667</v>
      </c>
      <c r="T58" s="46">
        <v>0.39649667</v>
      </c>
      <c r="U58" s="46">
        <v>0.39649667</v>
      </c>
      <c r="V58" s="46">
        <v>0.39649667</v>
      </c>
      <c r="W58" s="46">
        <v>0.25649666999999998</v>
      </c>
      <c r="X58" s="46">
        <v>0.25649666999999998</v>
      </c>
      <c r="Y58" s="46">
        <v>0.25649666999999998</v>
      </c>
      <c r="Z58" s="46">
        <v>0.25649666999999998</v>
      </c>
    </row>
    <row r="59" spans="1:26" x14ac:dyDescent="0.2">
      <c r="A59" s="6" t="s">
        <v>423</v>
      </c>
      <c r="B59" s="7">
        <v>4004218</v>
      </c>
      <c r="C59" s="6" t="s">
        <v>146</v>
      </c>
      <c r="D59" s="46">
        <v>0.40745999999999999</v>
      </c>
      <c r="E59" s="46">
        <v>0.40745999999999999</v>
      </c>
      <c r="F59" s="46">
        <v>0.40745999999999999</v>
      </c>
      <c r="G59" s="46">
        <v>0.40745999999999999</v>
      </c>
      <c r="H59" s="46">
        <v>0.40745999999999999</v>
      </c>
      <c r="I59" s="46">
        <v>0.40745999999999999</v>
      </c>
      <c r="J59" s="46">
        <v>0.40745999999999999</v>
      </c>
      <c r="K59" s="46">
        <v>0.40745999999999999</v>
      </c>
      <c r="L59" s="46">
        <v>0.40745999999999999</v>
      </c>
      <c r="M59" s="46">
        <v>0.40745999999999999</v>
      </c>
      <c r="N59" s="46">
        <v>0.40745999999999999</v>
      </c>
      <c r="O59" s="46">
        <v>0.40745999999999999</v>
      </c>
      <c r="P59" s="46">
        <v>0.40745999999999999</v>
      </c>
      <c r="Q59" s="46">
        <v>0.40745999999999999</v>
      </c>
      <c r="R59" s="46">
        <v>0.40745999999999999</v>
      </c>
      <c r="S59" s="46">
        <v>0.40745999999999999</v>
      </c>
      <c r="T59" s="46">
        <v>0.40745999999999999</v>
      </c>
      <c r="U59" s="46">
        <v>0.40745999999999999</v>
      </c>
      <c r="V59" s="46">
        <v>0.40745999999999999</v>
      </c>
      <c r="W59" s="46">
        <v>0.26745999999999998</v>
      </c>
      <c r="X59" s="46">
        <v>0.26745999999999998</v>
      </c>
      <c r="Y59" s="46">
        <v>0.26745999999999998</v>
      </c>
      <c r="Z59" s="46">
        <v>0.26745999999999998</v>
      </c>
    </row>
    <row r="60" spans="1:26" x14ac:dyDescent="0.2">
      <c r="A60" s="6" t="s">
        <v>87</v>
      </c>
      <c r="B60" s="7">
        <v>4062222</v>
      </c>
      <c r="C60" s="6" t="s">
        <v>334</v>
      </c>
      <c r="D60" s="46">
        <v>0.414935</v>
      </c>
      <c r="E60" s="46">
        <v>0.414935</v>
      </c>
      <c r="F60" s="46">
        <v>0.414935</v>
      </c>
      <c r="G60" s="46">
        <v>0.414935</v>
      </c>
      <c r="H60" s="46">
        <v>0.414935</v>
      </c>
      <c r="I60" s="46">
        <v>0.414935</v>
      </c>
      <c r="J60" s="46">
        <v>0.414935</v>
      </c>
      <c r="K60" s="46">
        <v>0.414935</v>
      </c>
      <c r="L60" s="46">
        <v>0.414935</v>
      </c>
      <c r="M60" s="46">
        <v>0.414935</v>
      </c>
      <c r="N60" s="46">
        <v>0.414935</v>
      </c>
      <c r="O60" s="46">
        <v>0.414935</v>
      </c>
      <c r="P60" s="46">
        <v>0.414935</v>
      </c>
      <c r="Q60" s="46">
        <v>0.414935</v>
      </c>
      <c r="R60" s="46">
        <v>0.414935</v>
      </c>
      <c r="S60" s="46">
        <v>0.414935</v>
      </c>
      <c r="T60" s="46">
        <v>0.414935</v>
      </c>
      <c r="U60" s="46">
        <v>0.414935</v>
      </c>
      <c r="V60" s="46">
        <v>0.414935</v>
      </c>
      <c r="W60" s="46">
        <v>0.27493499999999998</v>
      </c>
      <c r="X60" s="46">
        <v>0.27493499999999998</v>
      </c>
      <c r="Y60" s="46">
        <v>0.27493499999999998</v>
      </c>
      <c r="Z60" s="46">
        <v>0.27493499999999998</v>
      </c>
    </row>
    <row r="61" spans="1:26" x14ac:dyDescent="0.2">
      <c r="A61" s="6" t="s">
        <v>424</v>
      </c>
      <c r="B61" s="7">
        <v>4063341</v>
      </c>
      <c r="C61" s="6" t="s">
        <v>147</v>
      </c>
      <c r="D61" s="46">
        <v>0.38574999999999998</v>
      </c>
      <c r="E61" s="46">
        <v>0.38574999999999998</v>
      </c>
      <c r="F61" s="46">
        <v>0.38574999999999998</v>
      </c>
      <c r="G61" s="46">
        <v>0.38574999999999998</v>
      </c>
      <c r="H61" s="46">
        <v>0.38574999999999998</v>
      </c>
      <c r="I61" s="46">
        <v>0.38574999999999998</v>
      </c>
      <c r="J61" s="46">
        <v>0.38574999999999998</v>
      </c>
      <c r="K61" s="46">
        <v>0.38574999999999998</v>
      </c>
      <c r="L61" s="46">
        <v>0.38574999999999998</v>
      </c>
      <c r="M61" s="46">
        <v>0.38574999999999998</v>
      </c>
      <c r="N61" s="46">
        <v>0.38574999999999998</v>
      </c>
      <c r="O61" s="46">
        <v>0.38574999999999998</v>
      </c>
      <c r="P61" s="46">
        <v>0.38574999999999998</v>
      </c>
      <c r="Q61" s="46">
        <v>0.38574999999999998</v>
      </c>
      <c r="R61" s="46">
        <v>0.38574999999999998</v>
      </c>
      <c r="S61" s="46">
        <v>0.38574999999999998</v>
      </c>
      <c r="T61" s="46">
        <v>0.38574999999999998</v>
      </c>
      <c r="U61" s="46">
        <v>0.38574999999999998</v>
      </c>
      <c r="V61" s="46">
        <v>0.38574999999999998</v>
      </c>
      <c r="W61" s="46">
        <v>0.24574999999999997</v>
      </c>
      <c r="X61" s="46">
        <v>0.24574999999999997</v>
      </c>
      <c r="Y61" s="46">
        <v>0.24574999999999997</v>
      </c>
      <c r="Z61" s="46">
        <v>0.24574999999999997</v>
      </c>
    </row>
    <row r="62" spans="1:26" x14ac:dyDescent="0.2">
      <c r="A62" s="6" t="s">
        <v>425</v>
      </c>
      <c r="B62" s="7">
        <v>4083575</v>
      </c>
      <c r="C62" s="6" t="s">
        <v>334</v>
      </c>
      <c r="D62" s="46">
        <v>0.414935</v>
      </c>
      <c r="E62" s="46">
        <v>0.414935</v>
      </c>
      <c r="F62" s="46">
        <v>0.414935</v>
      </c>
      <c r="G62" s="46">
        <v>0.414935</v>
      </c>
      <c r="H62" s="46">
        <v>0.414935</v>
      </c>
      <c r="I62" s="46">
        <v>0.414935</v>
      </c>
      <c r="J62" s="46">
        <v>0.414935</v>
      </c>
      <c r="K62" s="46">
        <v>0.414935</v>
      </c>
      <c r="L62" s="46">
        <v>0.414935</v>
      </c>
      <c r="M62" s="46">
        <v>0.414935</v>
      </c>
      <c r="N62" s="46">
        <v>0.414935</v>
      </c>
      <c r="O62" s="46">
        <v>0.414935</v>
      </c>
      <c r="P62" s="46">
        <v>0.414935</v>
      </c>
      <c r="Q62" s="46">
        <v>0.414935</v>
      </c>
      <c r="R62" s="46">
        <v>0.414935</v>
      </c>
      <c r="S62" s="46">
        <v>0.414935</v>
      </c>
      <c r="T62" s="46">
        <v>0.414935</v>
      </c>
      <c r="U62" s="46">
        <v>0.414935</v>
      </c>
      <c r="V62" s="46">
        <v>0.414935</v>
      </c>
      <c r="W62" s="46">
        <v>0.27493499999999998</v>
      </c>
      <c r="X62" s="46">
        <v>0.27493499999999998</v>
      </c>
      <c r="Y62" s="46">
        <v>0.27493499999999998</v>
      </c>
      <c r="Z62" s="46">
        <v>0.27493499999999998</v>
      </c>
    </row>
    <row r="63" spans="1:26" x14ac:dyDescent="0.2">
      <c r="A63" s="6" t="s">
        <v>426</v>
      </c>
      <c r="B63" s="7">
        <v>4062303</v>
      </c>
      <c r="C63" s="6" t="s">
        <v>136</v>
      </c>
      <c r="D63" s="46">
        <v>0.39649667</v>
      </c>
      <c r="E63" s="46">
        <v>0.39649667</v>
      </c>
      <c r="F63" s="46">
        <v>0.39649667</v>
      </c>
      <c r="G63" s="46">
        <v>0.39649667</v>
      </c>
      <c r="H63" s="46">
        <v>0.39649667</v>
      </c>
      <c r="I63" s="46">
        <v>0.39649667</v>
      </c>
      <c r="J63" s="46">
        <v>0.39649667</v>
      </c>
      <c r="K63" s="46">
        <v>0.39649667</v>
      </c>
      <c r="L63" s="46">
        <v>0.39649667</v>
      </c>
      <c r="M63" s="46">
        <v>0.39649667</v>
      </c>
      <c r="N63" s="46">
        <v>0.39649667</v>
      </c>
      <c r="O63" s="46">
        <v>0.39649667</v>
      </c>
      <c r="P63" s="46">
        <v>0.39649667</v>
      </c>
      <c r="Q63" s="46">
        <v>0.39649667</v>
      </c>
      <c r="R63" s="46">
        <v>0.39649667</v>
      </c>
      <c r="S63" s="46">
        <v>0.39649667</v>
      </c>
      <c r="T63" s="46">
        <v>0.39649667</v>
      </c>
      <c r="U63" s="46">
        <v>0.39649667</v>
      </c>
      <c r="V63" s="46">
        <v>0.39649667</v>
      </c>
      <c r="W63" s="46">
        <v>0.25649666999999998</v>
      </c>
      <c r="X63" s="46">
        <v>0.25649666999999998</v>
      </c>
      <c r="Y63" s="46">
        <v>0.25649666999999998</v>
      </c>
      <c r="Z63" s="46">
        <v>0.25649666999999998</v>
      </c>
    </row>
    <row r="64" spans="1:26" x14ac:dyDescent="0.2">
      <c r="A64" s="6" t="s">
        <v>427</v>
      </c>
      <c r="B64" s="7">
        <v>4083581</v>
      </c>
      <c r="C64" s="6" t="s">
        <v>138</v>
      </c>
      <c r="D64" s="46">
        <v>0.35</v>
      </c>
      <c r="E64" s="46">
        <v>0.35</v>
      </c>
      <c r="F64" s="46">
        <v>0.35</v>
      </c>
      <c r="G64" s="46">
        <v>0.35</v>
      </c>
      <c r="H64" s="46">
        <v>0.35</v>
      </c>
      <c r="I64" s="46">
        <v>0.35</v>
      </c>
      <c r="J64" s="46">
        <v>0.35</v>
      </c>
      <c r="K64" s="46">
        <v>0.35</v>
      </c>
      <c r="L64" s="46">
        <v>0.35</v>
      </c>
      <c r="M64" s="46">
        <v>0.35</v>
      </c>
      <c r="N64" s="46">
        <v>0.35</v>
      </c>
      <c r="O64" s="46">
        <v>0.35</v>
      </c>
      <c r="P64" s="46">
        <v>0.35</v>
      </c>
      <c r="Q64" s="46">
        <v>0.35</v>
      </c>
      <c r="R64" s="46">
        <v>0.35</v>
      </c>
      <c r="S64" s="46">
        <v>0.35</v>
      </c>
      <c r="T64" s="46">
        <v>0.35</v>
      </c>
      <c r="U64" s="46">
        <v>0.35</v>
      </c>
      <c r="V64" s="46">
        <v>0.35</v>
      </c>
      <c r="W64" s="46">
        <v>0.20999999999999996</v>
      </c>
      <c r="X64" s="46">
        <v>0.20999999999999996</v>
      </c>
      <c r="Y64" s="46">
        <v>0.20999999999999996</v>
      </c>
      <c r="Z64" s="46">
        <v>0.20999999999999996</v>
      </c>
    </row>
    <row r="65" spans="1:26" x14ac:dyDescent="0.2">
      <c r="A65" s="6" t="s">
        <v>428</v>
      </c>
      <c r="B65" s="7">
        <v>4057139</v>
      </c>
      <c r="C65" s="6" t="s">
        <v>148</v>
      </c>
      <c r="D65" s="46">
        <v>0.35</v>
      </c>
      <c r="E65" s="46">
        <v>0.35</v>
      </c>
      <c r="F65" s="46">
        <v>0.35</v>
      </c>
      <c r="G65" s="46">
        <v>0.35</v>
      </c>
      <c r="H65" s="46">
        <v>0.35</v>
      </c>
      <c r="I65" s="46">
        <v>0.35</v>
      </c>
      <c r="J65" s="46">
        <v>0.35</v>
      </c>
      <c r="K65" s="46">
        <v>0.35</v>
      </c>
      <c r="L65" s="46">
        <v>0.35</v>
      </c>
      <c r="M65" s="46">
        <v>0.35</v>
      </c>
      <c r="N65" s="46">
        <v>0.35</v>
      </c>
      <c r="O65" s="46">
        <v>0.35</v>
      </c>
      <c r="P65" s="46">
        <v>0.35</v>
      </c>
      <c r="Q65" s="46">
        <v>0.35</v>
      </c>
      <c r="R65" s="46">
        <v>0.35</v>
      </c>
      <c r="S65" s="46">
        <v>0.35</v>
      </c>
      <c r="T65" s="46">
        <v>0.35</v>
      </c>
      <c r="U65" s="46">
        <v>0.35</v>
      </c>
      <c r="V65" s="46">
        <v>0.35</v>
      </c>
      <c r="W65" s="46">
        <v>0.23499999999999999</v>
      </c>
      <c r="X65" s="46">
        <v>0.23499999999999999</v>
      </c>
      <c r="Y65" s="46">
        <v>0.23499999999999999</v>
      </c>
      <c r="Z65" s="46">
        <v>0.23499999999999999</v>
      </c>
    </row>
    <row r="66" spans="1:26" x14ac:dyDescent="0.2">
      <c r="A66" s="6" t="s">
        <v>429</v>
      </c>
      <c r="B66" s="7">
        <v>4057095</v>
      </c>
      <c r="C66" s="6" t="s">
        <v>145</v>
      </c>
      <c r="D66" s="46">
        <v>0.40849999999999997</v>
      </c>
      <c r="E66" s="46">
        <v>0.40849999999999997</v>
      </c>
      <c r="F66" s="46">
        <v>0.40849999999999997</v>
      </c>
      <c r="G66" s="46">
        <v>0.40849999999999997</v>
      </c>
      <c r="H66" s="46">
        <v>0.40849999999999997</v>
      </c>
      <c r="I66" s="46">
        <v>0.40849999999999997</v>
      </c>
      <c r="J66" s="46">
        <v>0.40849999999999997</v>
      </c>
      <c r="K66" s="46">
        <v>0.40849999999999997</v>
      </c>
      <c r="L66" s="46">
        <v>0.40849999999999997</v>
      </c>
      <c r="M66" s="46">
        <v>0.40849999999999997</v>
      </c>
      <c r="N66" s="46">
        <v>0.40849999999999997</v>
      </c>
      <c r="O66" s="46">
        <v>0.40849999999999997</v>
      </c>
      <c r="P66" s="46">
        <v>0.40849999999999997</v>
      </c>
      <c r="Q66" s="46">
        <v>0.40849999999999997</v>
      </c>
      <c r="R66" s="46">
        <v>0.40849999999999997</v>
      </c>
      <c r="S66" s="46">
        <v>0.40849999999999997</v>
      </c>
      <c r="T66" s="46">
        <v>0.40849999999999997</v>
      </c>
      <c r="U66" s="46">
        <v>0.40849999999999997</v>
      </c>
      <c r="V66" s="46">
        <v>0.40849999999999997</v>
      </c>
      <c r="W66" s="46">
        <v>0.26849999999999996</v>
      </c>
      <c r="X66" s="46">
        <v>0.26849999999999996</v>
      </c>
      <c r="Y66" s="46">
        <v>0.26849999999999996</v>
      </c>
      <c r="Z66" s="46">
        <v>0.26849999999999996</v>
      </c>
    </row>
    <row r="67" spans="1:26" x14ac:dyDescent="0.2">
      <c r="A67" s="6" t="s">
        <v>430</v>
      </c>
      <c r="B67" s="7">
        <v>4062485</v>
      </c>
      <c r="C67" s="6" t="s">
        <v>133</v>
      </c>
      <c r="D67" s="46">
        <v>0.35</v>
      </c>
      <c r="E67" s="46">
        <v>0.35</v>
      </c>
      <c r="F67" s="46">
        <v>0.35</v>
      </c>
      <c r="G67" s="46">
        <v>0.35</v>
      </c>
      <c r="H67" s="46">
        <v>0.35</v>
      </c>
      <c r="I67" s="46">
        <v>0.35</v>
      </c>
      <c r="J67" s="46">
        <v>0.35</v>
      </c>
      <c r="K67" s="46">
        <v>0.35</v>
      </c>
      <c r="L67" s="46">
        <v>0.35</v>
      </c>
      <c r="M67" s="46">
        <v>0.35</v>
      </c>
      <c r="N67" s="46">
        <v>0.35</v>
      </c>
      <c r="O67" s="46">
        <v>0.35</v>
      </c>
      <c r="P67" s="46">
        <v>0.35</v>
      </c>
      <c r="Q67" s="46">
        <v>0.35</v>
      </c>
      <c r="R67" s="46">
        <v>0.35</v>
      </c>
      <c r="S67" s="46">
        <v>0.35</v>
      </c>
      <c r="T67" s="46">
        <v>0.35</v>
      </c>
      <c r="U67" s="46">
        <v>0.35</v>
      </c>
      <c r="V67" s="46">
        <v>0.35</v>
      </c>
      <c r="W67" s="46">
        <v>0.20999999999999996</v>
      </c>
      <c r="X67" s="46">
        <v>0.20999999999999996</v>
      </c>
      <c r="Y67" s="46">
        <v>0.20999999999999996</v>
      </c>
      <c r="Z67" s="46">
        <v>0.20999999999999996</v>
      </c>
    </row>
    <row r="68" spans="1:26" x14ac:dyDescent="0.2">
      <c r="A68" s="6" t="s">
        <v>431</v>
      </c>
      <c r="B68" s="7">
        <v>4057140</v>
      </c>
      <c r="C68" s="6" t="s">
        <v>149</v>
      </c>
      <c r="D68" s="46">
        <v>0.35</v>
      </c>
      <c r="E68" s="46">
        <v>0.35</v>
      </c>
      <c r="F68" s="46">
        <v>0.35</v>
      </c>
      <c r="G68" s="46">
        <v>0.35</v>
      </c>
      <c r="H68" s="46">
        <v>0.35</v>
      </c>
      <c r="I68" s="46">
        <v>0.35</v>
      </c>
      <c r="J68" s="46">
        <v>0.35</v>
      </c>
      <c r="K68" s="46">
        <v>0.35</v>
      </c>
      <c r="L68" s="46">
        <v>0.35</v>
      </c>
      <c r="M68" s="46">
        <v>0.35</v>
      </c>
      <c r="N68" s="46">
        <v>0.35</v>
      </c>
      <c r="O68" s="46">
        <v>0.35</v>
      </c>
      <c r="P68" s="46">
        <v>0.35</v>
      </c>
      <c r="Q68" s="46">
        <v>0.35</v>
      </c>
      <c r="R68" s="46">
        <v>0.35</v>
      </c>
      <c r="S68" s="46">
        <v>0.35</v>
      </c>
      <c r="T68" s="46">
        <v>0.35</v>
      </c>
      <c r="U68" s="46">
        <v>0.35</v>
      </c>
      <c r="V68" s="46">
        <v>0.35</v>
      </c>
      <c r="W68" s="46">
        <v>0.25950000000000001</v>
      </c>
      <c r="X68" s="46">
        <v>0.25950000000000001</v>
      </c>
      <c r="Y68" s="46">
        <v>0.25950000000000001</v>
      </c>
      <c r="Z68" s="46">
        <v>0.25950000000000001</v>
      </c>
    </row>
    <row r="69" spans="1:26" x14ac:dyDescent="0.2">
      <c r="A69" s="6" t="s">
        <v>99</v>
      </c>
      <c r="B69" s="7">
        <v>4057096</v>
      </c>
      <c r="C69" s="6" t="s">
        <v>136</v>
      </c>
      <c r="D69" s="46">
        <v>0.39649667</v>
      </c>
      <c r="E69" s="46">
        <v>0.39649667</v>
      </c>
      <c r="F69" s="46">
        <v>0.39649667</v>
      </c>
      <c r="G69" s="46">
        <v>0.39649667</v>
      </c>
      <c r="H69" s="46">
        <v>0.39649667</v>
      </c>
      <c r="I69" s="46">
        <v>0.39649667</v>
      </c>
      <c r="J69" s="46">
        <v>0.39649667</v>
      </c>
      <c r="K69" s="46">
        <v>0.39649667</v>
      </c>
      <c r="L69" s="46">
        <v>0.39649667</v>
      </c>
      <c r="M69" s="46">
        <v>0.39649667</v>
      </c>
      <c r="N69" s="46">
        <v>0.39649667</v>
      </c>
      <c r="O69" s="46">
        <v>0.39649667</v>
      </c>
      <c r="P69" s="46">
        <v>0.39649667</v>
      </c>
      <c r="Q69" s="46">
        <v>0.39649667</v>
      </c>
      <c r="R69" s="46">
        <v>0.39649667</v>
      </c>
      <c r="S69" s="46">
        <v>0.39649667</v>
      </c>
      <c r="T69" s="46">
        <v>0.39649667</v>
      </c>
      <c r="U69" s="46">
        <v>0.39649667</v>
      </c>
      <c r="V69" s="46">
        <v>0.39649667</v>
      </c>
      <c r="W69" s="46">
        <v>0.25649666999999998</v>
      </c>
      <c r="X69" s="46">
        <v>0.25649666999999998</v>
      </c>
      <c r="Y69" s="46">
        <v>0.25649666999999998</v>
      </c>
      <c r="Z69" s="46">
        <v>0.25649666999999998</v>
      </c>
    </row>
    <row r="70" spans="1:26" x14ac:dyDescent="0.2">
      <c r="A70" s="6" t="s">
        <v>432</v>
      </c>
      <c r="B70" s="7">
        <v>4057097</v>
      </c>
      <c r="C70" s="6" t="s">
        <v>146</v>
      </c>
      <c r="D70" s="46">
        <v>0.40745999999999999</v>
      </c>
      <c r="E70" s="46">
        <v>0.40745999999999999</v>
      </c>
      <c r="F70" s="46">
        <v>0.40745999999999999</v>
      </c>
      <c r="G70" s="46">
        <v>0.40745999999999999</v>
      </c>
      <c r="H70" s="46">
        <v>0.40745999999999999</v>
      </c>
      <c r="I70" s="46">
        <v>0.40745999999999999</v>
      </c>
      <c r="J70" s="46">
        <v>0.40745999999999999</v>
      </c>
      <c r="K70" s="46">
        <v>0.40745999999999999</v>
      </c>
      <c r="L70" s="46">
        <v>0.40745999999999999</v>
      </c>
      <c r="M70" s="46">
        <v>0.40745999999999999</v>
      </c>
      <c r="N70" s="46">
        <v>0.40745999999999999</v>
      </c>
      <c r="O70" s="46">
        <v>0.40745999999999999</v>
      </c>
      <c r="P70" s="46">
        <v>0.40745999999999999</v>
      </c>
      <c r="Q70" s="46">
        <v>0.40745999999999999</v>
      </c>
      <c r="R70" s="46">
        <v>0.40745999999999999</v>
      </c>
      <c r="S70" s="46">
        <v>0.40745999999999999</v>
      </c>
      <c r="T70" s="46">
        <v>0.40745999999999999</v>
      </c>
      <c r="U70" s="46">
        <v>0.40745999999999999</v>
      </c>
      <c r="V70" s="46">
        <v>0.40745999999999999</v>
      </c>
      <c r="W70" s="46">
        <v>0.26745999999999998</v>
      </c>
      <c r="X70" s="46">
        <v>0.26745999999999998</v>
      </c>
      <c r="Y70" s="46">
        <v>0.26745999999999998</v>
      </c>
      <c r="Z70" s="46">
        <v>0.26745999999999998</v>
      </c>
    </row>
    <row r="71" spans="1:26" x14ac:dyDescent="0.2">
      <c r="A71" s="6" t="s">
        <v>433</v>
      </c>
      <c r="B71" s="7">
        <v>4057098</v>
      </c>
      <c r="C71" s="6" t="s">
        <v>365</v>
      </c>
      <c r="D71" s="46">
        <v>0.35</v>
      </c>
      <c r="E71" s="46">
        <v>0.35</v>
      </c>
      <c r="F71" s="46">
        <v>0.35</v>
      </c>
      <c r="G71" s="46">
        <v>0.35</v>
      </c>
      <c r="H71" s="46">
        <v>0.35</v>
      </c>
      <c r="I71" s="46">
        <v>0.35</v>
      </c>
      <c r="J71" s="46">
        <v>0.35</v>
      </c>
      <c r="K71" s="46">
        <v>0.35</v>
      </c>
      <c r="L71" s="46">
        <v>0.35</v>
      </c>
      <c r="M71" s="46">
        <v>0.35</v>
      </c>
      <c r="N71" s="46">
        <v>0.35</v>
      </c>
      <c r="O71" s="46">
        <v>0.35</v>
      </c>
      <c r="P71" s="46">
        <v>0.35</v>
      </c>
      <c r="Q71" s="46">
        <v>0.35</v>
      </c>
      <c r="R71" s="46">
        <v>0.35</v>
      </c>
      <c r="S71" s="46">
        <v>0.35</v>
      </c>
      <c r="T71" s="46">
        <v>0.35</v>
      </c>
      <c r="U71" s="46">
        <v>0.35</v>
      </c>
      <c r="V71" s="46">
        <v>0.35</v>
      </c>
      <c r="W71" s="46">
        <v>0.22475000000000001</v>
      </c>
      <c r="X71" s="46">
        <v>0.22475000000000001</v>
      </c>
      <c r="Y71" s="46">
        <v>0.22475000000000001</v>
      </c>
      <c r="Z71" s="46">
        <v>0.22475000000000001</v>
      </c>
    </row>
    <row r="72" spans="1:26" x14ac:dyDescent="0.2">
      <c r="A72" s="6" t="s">
        <v>434</v>
      </c>
      <c r="B72" s="7">
        <v>4063023</v>
      </c>
      <c r="C72" s="6" t="s">
        <v>145</v>
      </c>
      <c r="D72" s="46">
        <v>0.40849999999999997</v>
      </c>
      <c r="E72" s="46">
        <v>0.40849999999999997</v>
      </c>
      <c r="F72" s="46">
        <v>0.40849999999999997</v>
      </c>
      <c r="G72" s="46">
        <v>0.40849999999999997</v>
      </c>
      <c r="H72" s="46">
        <v>0.40849999999999997</v>
      </c>
      <c r="I72" s="46">
        <v>0.40849999999999997</v>
      </c>
      <c r="J72" s="46">
        <v>0.40849999999999997</v>
      </c>
      <c r="K72" s="46">
        <v>0.40849999999999997</v>
      </c>
      <c r="L72" s="46">
        <v>0.40849999999999997</v>
      </c>
      <c r="M72" s="46">
        <v>0.40849999999999997</v>
      </c>
      <c r="N72" s="46">
        <v>0.40849999999999997</v>
      </c>
      <c r="O72" s="46">
        <v>0.40849999999999997</v>
      </c>
      <c r="P72" s="46">
        <v>0.40849999999999997</v>
      </c>
      <c r="Q72" s="46">
        <v>0.40849999999999997</v>
      </c>
      <c r="R72" s="46">
        <v>0.40849999999999997</v>
      </c>
      <c r="S72" s="46">
        <v>0.40849999999999997</v>
      </c>
      <c r="T72" s="46">
        <v>0.40849999999999997</v>
      </c>
      <c r="U72" s="46">
        <v>0.40849999999999997</v>
      </c>
      <c r="V72" s="46">
        <v>0.40849999999999997</v>
      </c>
      <c r="W72" s="46">
        <v>0.26849999999999996</v>
      </c>
      <c r="X72" s="46">
        <v>0.26849999999999996</v>
      </c>
      <c r="Y72" s="46">
        <v>0.26849999999999996</v>
      </c>
      <c r="Z72" s="46">
        <v>0.26849999999999996</v>
      </c>
    </row>
    <row r="73" spans="1:26" x14ac:dyDescent="0.2">
      <c r="A73" s="6" t="s">
        <v>435</v>
      </c>
      <c r="B73" s="7">
        <v>4057146</v>
      </c>
      <c r="C73" s="6" t="s">
        <v>146</v>
      </c>
      <c r="D73" s="46">
        <v>0.40745999999999999</v>
      </c>
      <c r="E73" s="46">
        <v>0.40745999999999999</v>
      </c>
      <c r="F73" s="46">
        <v>0.40745999999999999</v>
      </c>
      <c r="G73" s="46">
        <v>0.40745999999999999</v>
      </c>
      <c r="H73" s="46">
        <v>0.40745999999999999</v>
      </c>
      <c r="I73" s="46">
        <v>0.40745999999999999</v>
      </c>
      <c r="J73" s="46">
        <v>0.40745999999999999</v>
      </c>
      <c r="K73" s="46">
        <v>0.40745999999999999</v>
      </c>
      <c r="L73" s="46">
        <v>0.40745999999999999</v>
      </c>
      <c r="M73" s="46">
        <v>0.40745999999999999</v>
      </c>
      <c r="N73" s="46">
        <v>0.40745999999999999</v>
      </c>
      <c r="O73" s="46">
        <v>0.40745999999999999</v>
      </c>
      <c r="P73" s="46">
        <v>0.40745999999999999</v>
      </c>
      <c r="Q73" s="46">
        <v>0.40745999999999999</v>
      </c>
      <c r="R73" s="46">
        <v>0.40745999999999999</v>
      </c>
      <c r="S73" s="46">
        <v>0.40745999999999999</v>
      </c>
      <c r="T73" s="46">
        <v>0.40745999999999999</v>
      </c>
      <c r="U73" s="46">
        <v>0.40745999999999999</v>
      </c>
      <c r="V73" s="46">
        <v>0.40745999999999999</v>
      </c>
      <c r="W73" s="46">
        <v>0.26745999999999998</v>
      </c>
      <c r="X73" s="46">
        <v>0.26745999999999998</v>
      </c>
      <c r="Y73" s="46">
        <v>0.26745999999999998</v>
      </c>
      <c r="Z73" s="46">
        <v>0.26745999999999998</v>
      </c>
    </row>
    <row r="74" spans="1:26" x14ac:dyDescent="0.2">
      <c r="A74" s="6" t="s">
        <v>436</v>
      </c>
      <c r="B74" s="7">
        <v>4057100</v>
      </c>
      <c r="C74" s="6" t="s">
        <v>150</v>
      </c>
      <c r="D74" s="46">
        <v>0.35</v>
      </c>
      <c r="E74" s="46">
        <v>0.35</v>
      </c>
      <c r="F74" s="46">
        <v>0.35</v>
      </c>
      <c r="G74" s="46">
        <v>0.35</v>
      </c>
      <c r="H74" s="46">
        <v>0.35</v>
      </c>
      <c r="I74" s="46">
        <v>0.35</v>
      </c>
      <c r="J74" s="46">
        <v>0.35</v>
      </c>
      <c r="K74" s="46">
        <v>0.35</v>
      </c>
      <c r="L74" s="46">
        <v>0.35</v>
      </c>
      <c r="M74" s="46">
        <v>0.35</v>
      </c>
      <c r="N74" s="46">
        <v>0.35</v>
      </c>
      <c r="O74" s="46">
        <v>0.35</v>
      </c>
      <c r="P74" s="46">
        <v>0.35</v>
      </c>
      <c r="Q74" s="46">
        <v>0.35</v>
      </c>
      <c r="R74" s="46">
        <v>0.35</v>
      </c>
      <c r="S74" s="46">
        <v>0.35</v>
      </c>
      <c r="T74" s="46">
        <v>0.35</v>
      </c>
      <c r="U74" s="46">
        <v>0.35</v>
      </c>
      <c r="V74" s="46">
        <v>0.35</v>
      </c>
      <c r="W74" s="46">
        <v>0.20999999999999996</v>
      </c>
      <c r="X74" s="46">
        <v>0.20999999999999996</v>
      </c>
      <c r="Y74" s="46">
        <v>0.20999999999999996</v>
      </c>
      <c r="Z74" s="46">
        <v>0.20999999999999996</v>
      </c>
    </row>
    <row r="75" spans="1:26" x14ac:dyDescent="0.2">
      <c r="A75" s="6" t="s">
        <v>437</v>
      </c>
      <c r="B75" s="7">
        <v>4064035</v>
      </c>
      <c r="C75" s="6" t="s">
        <v>367</v>
      </c>
      <c r="D75" s="46">
        <v>0.4</v>
      </c>
      <c r="E75" s="46">
        <v>0.4</v>
      </c>
      <c r="F75" s="46">
        <v>0.4</v>
      </c>
      <c r="G75" s="46">
        <v>0.4</v>
      </c>
      <c r="H75" s="46">
        <v>0.4</v>
      </c>
      <c r="I75" s="46">
        <v>0.4</v>
      </c>
      <c r="J75" s="46">
        <v>0.4</v>
      </c>
      <c r="K75" s="46">
        <v>0.4</v>
      </c>
      <c r="L75" s="46">
        <v>0.4</v>
      </c>
      <c r="M75" s="46">
        <v>0.4</v>
      </c>
      <c r="N75" s="46">
        <v>0.4</v>
      </c>
      <c r="O75" s="46">
        <v>0.4</v>
      </c>
      <c r="P75" s="46">
        <v>0.4</v>
      </c>
      <c r="Q75" s="46">
        <v>0.4</v>
      </c>
      <c r="R75" s="46">
        <v>0.4</v>
      </c>
      <c r="S75" s="46">
        <v>0.4</v>
      </c>
      <c r="T75" s="46">
        <v>0.4</v>
      </c>
      <c r="U75" s="46">
        <v>0.4</v>
      </c>
      <c r="V75" s="46">
        <v>0.4</v>
      </c>
      <c r="W75" s="46">
        <v>0.26</v>
      </c>
      <c r="X75" s="46">
        <v>0.26</v>
      </c>
      <c r="Y75" s="46">
        <v>0.26</v>
      </c>
      <c r="Z75" s="46">
        <v>0.26</v>
      </c>
    </row>
    <row r="76" spans="1:26" x14ac:dyDescent="0.2">
      <c r="A76" s="6" t="s">
        <v>438</v>
      </c>
      <c r="B76" s="7">
        <v>4060957</v>
      </c>
      <c r="C76" s="6" t="s">
        <v>151</v>
      </c>
      <c r="D76" s="46">
        <v>0.35</v>
      </c>
      <c r="E76" s="46">
        <v>0.35</v>
      </c>
      <c r="F76" s="46">
        <v>0.35</v>
      </c>
      <c r="G76" s="46">
        <v>0.35</v>
      </c>
      <c r="H76" s="46">
        <v>0.35</v>
      </c>
      <c r="I76" s="46">
        <v>0.35</v>
      </c>
      <c r="J76" s="46">
        <v>0.35</v>
      </c>
      <c r="K76" s="46">
        <v>0.35</v>
      </c>
      <c r="L76" s="46">
        <v>0.35</v>
      </c>
      <c r="M76" s="46">
        <v>0.35</v>
      </c>
      <c r="N76" s="46">
        <v>0.35</v>
      </c>
      <c r="O76" s="46">
        <v>0.35</v>
      </c>
      <c r="P76" s="46">
        <v>0.35</v>
      </c>
      <c r="Q76" s="46">
        <v>0.35</v>
      </c>
      <c r="R76" s="46">
        <v>0.35</v>
      </c>
      <c r="S76" s="46">
        <v>0.35</v>
      </c>
      <c r="T76" s="46">
        <v>0.35</v>
      </c>
      <c r="U76" s="46">
        <v>0.35</v>
      </c>
      <c r="V76" s="46">
        <v>0.35</v>
      </c>
      <c r="W76" s="46">
        <v>0.25</v>
      </c>
      <c r="X76" s="46">
        <v>0.25</v>
      </c>
      <c r="Y76" s="46">
        <v>0.25</v>
      </c>
      <c r="Z76" s="46">
        <v>0.25</v>
      </c>
    </row>
    <row r="77" spans="1:26" x14ac:dyDescent="0.2">
      <c r="A77" s="6" t="s">
        <v>439</v>
      </c>
      <c r="B77" s="7">
        <v>4063179</v>
      </c>
      <c r="C77" s="6" t="s">
        <v>147</v>
      </c>
      <c r="D77" s="46">
        <v>0.38574999999999998</v>
      </c>
      <c r="E77" s="46">
        <v>0.38574999999999998</v>
      </c>
      <c r="F77" s="46">
        <v>0.38574999999999998</v>
      </c>
      <c r="G77" s="46">
        <v>0.38574999999999998</v>
      </c>
      <c r="H77" s="46">
        <v>0.38574999999999998</v>
      </c>
      <c r="I77" s="46">
        <v>0.38574999999999998</v>
      </c>
      <c r="J77" s="46">
        <v>0.38574999999999998</v>
      </c>
      <c r="K77" s="46">
        <v>0.38574999999999998</v>
      </c>
      <c r="L77" s="46">
        <v>0.38574999999999998</v>
      </c>
      <c r="M77" s="46">
        <v>0.38574999999999998</v>
      </c>
      <c r="N77" s="46">
        <v>0.38574999999999998</v>
      </c>
      <c r="O77" s="46">
        <v>0.38574999999999998</v>
      </c>
      <c r="P77" s="46">
        <v>0.38574999999999998</v>
      </c>
      <c r="Q77" s="46">
        <v>0.38574999999999998</v>
      </c>
      <c r="R77" s="46">
        <v>0.38574999999999998</v>
      </c>
      <c r="S77" s="46">
        <v>0.38574999999999998</v>
      </c>
      <c r="T77" s="46">
        <v>0.38574999999999998</v>
      </c>
      <c r="U77" s="46">
        <v>0.38574999999999998</v>
      </c>
      <c r="V77" s="46">
        <v>0.38574999999999998</v>
      </c>
      <c r="W77" s="46">
        <v>0.24574999999999997</v>
      </c>
      <c r="X77" s="46">
        <v>0.24574999999999997</v>
      </c>
      <c r="Y77" s="46">
        <v>0.24574999999999997</v>
      </c>
      <c r="Z77" s="46">
        <v>0.24574999999999997</v>
      </c>
    </row>
    <row r="78" spans="1:26" x14ac:dyDescent="0.2">
      <c r="A78" s="6" t="s">
        <v>440</v>
      </c>
      <c r="B78" s="7">
        <v>4063183</v>
      </c>
      <c r="C78" s="6" t="s">
        <v>136</v>
      </c>
      <c r="D78" s="46">
        <v>0.39649667</v>
      </c>
      <c r="E78" s="46">
        <v>0.39649667</v>
      </c>
      <c r="F78" s="46">
        <v>0.39649667</v>
      </c>
      <c r="G78" s="46">
        <v>0.39649667</v>
      </c>
      <c r="H78" s="46">
        <v>0.39649667</v>
      </c>
      <c r="I78" s="46">
        <v>0.39649667</v>
      </c>
      <c r="J78" s="46">
        <v>0.39649667</v>
      </c>
      <c r="K78" s="46">
        <v>0.39649667</v>
      </c>
      <c r="L78" s="46">
        <v>0.39649667</v>
      </c>
      <c r="M78" s="46">
        <v>0.39649667</v>
      </c>
      <c r="N78" s="46">
        <v>0.39649667</v>
      </c>
      <c r="O78" s="46">
        <v>0.39649667</v>
      </c>
      <c r="P78" s="46">
        <v>0.39649667</v>
      </c>
      <c r="Q78" s="46">
        <v>0.39649667</v>
      </c>
      <c r="R78" s="46">
        <v>0.39649667</v>
      </c>
      <c r="S78" s="46">
        <v>0.39649667</v>
      </c>
      <c r="T78" s="46">
        <v>0.39649667</v>
      </c>
      <c r="U78" s="46">
        <v>0.39649667</v>
      </c>
      <c r="V78" s="46">
        <v>0.39649667</v>
      </c>
      <c r="W78" s="46">
        <v>0.25649666999999998</v>
      </c>
      <c r="X78" s="46">
        <v>0.25649666999999998</v>
      </c>
      <c r="Y78" s="46">
        <v>0.25649666999999998</v>
      </c>
      <c r="Z78" s="46">
        <v>0.25649666999999998</v>
      </c>
    </row>
    <row r="79" spans="1:26" x14ac:dyDescent="0.2">
      <c r="A79" s="6" t="s">
        <v>441</v>
      </c>
      <c r="B79" s="7">
        <v>4063281</v>
      </c>
      <c r="C79" s="6" t="s">
        <v>144</v>
      </c>
      <c r="D79" s="46">
        <v>0.40134999999999998</v>
      </c>
      <c r="E79" s="46">
        <v>0.40134999999999998</v>
      </c>
      <c r="F79" s="46">
        <v>0.40134999999999998</v>
      </c>
      <c r="G79" s="46">
        <v>0.40134999999999998</v>
      </c>
      <c r="H79" s="46">
        <v>0.40134999999999998</v>
      </c>
      <c r="I79" s="46">
        <v>0.40134999999999998</v>
      </c>
      <c r="J79" s="46">
        <v>0.40134999999999998</v>
      </c>
      <c r="K79" s="46">
        <v>0.40134999999999998</v>
      </c>
      <c r="L79" s="46">
        <v>0.40134999999999998</v>
      </c>
      <c r="M79" s="46">
        <v>0.40134999999999998</v>
      </c>
      <c r="N79" s="46">
        <v>0.40134999999999998</v>
      </c>
      <c r="O79" s="46">
        <v>0.40134999999999998</v>
      </c>
      <c r="P79" s="46">
        <v>0.40134999999999998</v>
      </c>
      <c r="Q79" s="46">
        <v>0.40134999999999998</v>
      </c>
      <c r="R79" s="46">
        <v>0.40134999999999998</v>
      </c>
      <c r="S79" s="46">
        <v>0.40134999999999998</v>
      </c>
      <c r="T79" s="46">
        <v>0.40134999999999998</v>
      </c>
      <c r="U79" s="46">
        <v>0.40134999999999998</v>
      </c>
      <c r="V79" s="46">
        <v>0.40134999999999998</v>
      </c>
      <c r="W79" s="46">
        <v>0.26134999999999997</v>
      </c>
      <c r="X79" s="46">
        <v>0.26134999999999997</v>
      </c>
      <c r="Y79" s="46">
        <v>0.26134999999999997</v>
      </c>
      <c r="Z79" s="46">
        <v>0.26134999999999997</v>
      </c>
    </row>
    <row r="80" spans="1:26" x14ac:dyDescent="0.2">
      <c r="A80" s="6" t="s">
        <v>35</v>
      </c>
      <c r="B80" s="7">
        <v>4057110</v>
      </c>
      <c r="C80" s="6" t="s">
        <v>333</v>
      </c>
      <c r="D80" s="46">
        <v>0.40700500000000001</v>
      </c>
      <c r="E80" s="46">
        <v>0.40700500000000001</v>
      </c>
      <c r="F80" s="46">
        <v>0.40700500000000001</v>
      </c>
      <c r="G80" s="46">
        <v>0.40700500000000001</v>
      </c>
      <c r="H80" s="46">
        <v>0.40700500000000001</v>
      </c>
      <c r="I80" s="46">
        <v>0.40700500000000001</v>
      </c>
      <c r="J80" s="46">
        <v>0.40700500000000001</v>
      </c>
      <c r="K80" s="46">
        <v>0.40700500000000001</v>
      </c>
      <c r="L80" s="46">
        <v>0.40700500000000001</v>
      </c>
      <c r="M80" s="46">
        <v>0.40700500000000001</v>
      </c>
      <c r="N80" s="46">
        <v>0.40700500000000001</v>
      </c>
      <c r="O80" s="46">
        <v>0.40700500000000001</v>
      </c>
      <c r="P80" s="46">
        <v>0.40700500000000001</v>
      </c>
      <c r="Q80" s="46">
        <v>0.40700500000000001</v>
      </c>
      <c r="R80" s="46">
        <v>0.40700500000000001</v>
      </c>
      <c r="S80" s="46">
        <v>0.40700500000000001</v>
      </c>
      <c r="T80" s="46">
        <v>0.40700500000000001</v>
      </c>
      <c r="U80" s="46">
        <v>0.40700500000000001</v>
      </c>
      <c r="V80" s="46">
        <v>0.40700500000000001</v>
      </c>
      <c r="W80" s="46">
        <v>0.26700499999999999</v>
      </c>
      <c r="X80" s="46">
        <v>0.26700499999999999</v>
      </c>
      <c r="Y80" s="46">
        <v>0.26700499999999999</v>
      </c>
      <c r="Z80" s="46">
        <v>0.26700499999999999</v>
      </c>
    </row>
    <row r="81" spans="1:26" x14ac:dyDescent="0.2">
      <c r="A81" s="6" t="s">
        <v>442</v>
      </c>
      <c r="B81" s="7">
        <v>4059746</v>
      </c>
      <c r="C81" s="6" t="s">
        <v>138</v>
      </c>
      <c r="D81" s="46">
        <v>0.35</v>
      </c>
      <c r="E81" s="46">
        <v>0.35</v>
      </c>
      <c r="F81" s="46">
        <v>0.35</v>
      </c>
      <c r="G81" s="46">
        <v>0.35</v>
      </c>
      <c r="H81" s="46">
        <v>0.35</v>
      </c>
      <c r="I81" s="46">
        <v>0.35</v>
      </c>
      <c r="J81" s="46">
        <v>0.35</v>
      </c>
      <c r="K81" s="46">
        <v>0.35</v>
      </c>
      <c r="L81" s="46">
        <v>0.35</v>
      </c>
      <c r="M81" s="46">
        <v>0.35</v>
      </c>
      <c r="N81" s="46">
        <v>0.35</v>
      </c>
      <c r="O81" s="46">
        <v>0.35</v>
      </c>
      <c r="P81" s="46">
        <v>0.35</v>
      </c>
      <c r="Q81" s="46">
        <v>0.35</v>
      </c>
      <c r="R81" s="46">
        <v>0.35</v>
      </c>
      <c r="S81" s="46">
        <v>0.35</v>
      </c>
      <c r="T81" s="46">
        <v>0.35</v>
      </c>
      <c r="U81" s="46">
        <v>0.35</v>
      </c>
      <c r="V81" s="46">
        <v>0.35</v>
      </c>
      <c r="W81" s="46">
        <v>0.20999999999999996</v>
      </c>
      <c r="X81" s="46">
        <v>0.20999999999999996</v>
      </c>
      <c r="Y81" s="46">
        <v>0.20999999999999996</v>
      </c>
      <c r="Z81" s="46">
        <v>0.20999999999999996</v>
      </c>
    </row>
    <row r="82" spans="1:26" x14ac:dyDescent="0.2">
      <c r="A82" s="6" t="s">
        <v>89</v>
      </c>
      <c r="B82" s="7">
        <v>4057135</v>
      </c>
      <c r="C82" s="6" t="s">
        <v>144</v>
      </c>
      <c r="D82" s="46">
        <v>0.40134999999999998</v>
      </c>
      <c r="E82" s="46">
        <v>0.40134999999999998</v>
      </c>
      <c r="F82" s="46">
        <v>0.40134999999999998</v>
      </c>
      <c r="G82" s="46">
        <v>0.40134999999999998</v>
      </c>
      <c r="H82" s="46">
        <v>0.40134999999999998</v>
      </c>
      <c r="I82" s="46">
        <v>0.40134999999999998</v>
      </c>
      <c r="J82" s="46">
        <v>0.40134999999999998</v>
      </c>
      <c r="K82" s="46">
        <v>0.40134999999999998</v>
      </c>
      <c r="L82" s="46">
        <v>0.40134999999999998</v>
      </c>
      <c r="M82" s="46">
        <v>0.40134999999999998</v>
      </c>
      <c r="N82" s="46">
        <v>0.40134999999999998</v>
      </c>
      <c r="O82" s="46">
        <v>0.40134999999999998</v>
      </c>
      <c r="P82" s="46">
        <v>0.40134999999999998</v>
      </c>
      <c r="Q82" s="46">
        <v>0.40134999999999998</v>
      </c>
      <c r="R82" s="46">
        <v>0.40134999999999998</v>
      </c>
      <c r="S82" s="46">
        <v>0.40134999999999998</v>
      </c>
      <c r="T82" s="46">
        <v>0.40134999999999998</v>
      </c>
      <c r="U82" s="46">
        <v>0.40134999999999998</v>
      </c>
      <c r="V82" s="46">
        <v>0.40134999999999998</v>
      </c>
      <c r="W82" s="46">
        <v>0.26134999999999997</v>
      </c>
      <c r="X82" s="46">
        <v>0.26134999999999997</v>
      </c>
      <c r="Y82" s="46">
        <v>0.26134999999999997</v>
      </c>
      <c r="Z82" s="46">
        <v>0.26134999999999997</v>
      </c>
    </row>
    <row r="83" spans="1:26" x14ac:dyDescent="0.2">
      <c r="A83" s="6" t="s">
        <v>105</v>
      </c>
      <c r="B83" s="7">
        <v>4063060</v>
      </c>
      <c r="C83" s="6" t="s">
        <v>140</v>
      </c>
      <c r="D83" s="46">
        <v>0.40200000000000002</v>
      </c>
      <c r="E83" s="46">
        <v>0.40200000000000002</v>
      </c>
      <c r="F83" s="46">
        <v>0.40200000000000002</v>
      </c>
      <c r="G83" s="46">
        <v>0.40200000000000002</v>
      </c>
      <c r="H83" s="46">
        <v>0.40200000000000002</v>
      </c>
      <c r="I83" s="46">
        <v>0.40200000000000002</v>
      </c>
      <c r="J83" s="46">
        <v>0.40200000000000002</v>
      </c>
      <c r="K83" s="46">
        <v>0.40200000000000002</v>
      </c>
      <c r="L83" s="46">
        <v>0.40200000000000002</v>
      </c>
      <c r="M83" s="46">
        <v>0.40200000000000002</v>
      </c>
      <c r="N83" s="46">
        <v>0.40200000000000002</v>
      </c>
      <c r="O83" s="46">
        <v>0.40200000000000002</v>
      </c>
      <c r="P83" s="46">
        <v>0.40200000000000002</v>
      </c>
      <c r="Q83" s="46">
        <v>0.40200000000000002</v>
      </c>
      <c r="R83" s="46">
        <v>0.40200000000000002</v>
      </c>
      <c r="S83" s="46">
        <v>0.40200000000000002</v>
      </c>
      <c r="T83" s="46">
        <v>0.40200000000000002</v>
      </c>
      <c r="U83" s="46">
        <v>0.40200000000000002</v>
      </c>
      <c r="V83" s="46">
        <v>0.40200000000000002</v>
      </c>
      <c r="W83" s="46">
        <v>0.26200000000000001</v>
      </c>
      <c r="X83" s="46">
        <v>0.26200000000000001</v>
      </c>
      <c r="Y83" s="46">
        <v>0.26200000000000001</v>
      </c>
      <c r="Z83" s="46">
        <v>0.26200000000000001</v>
      </c>
    </row>
    <row r="84" spans="1:26" x14ac:dyDescent="0.2">
      <c r="A84" s="6" t="s">
        <v>443</v>
      </c>
      <c r="B84" s="7">
        <v>4062279</v>
      </c>
      <c r="C84" s="6" t="s">
        <v>334</v>
      </c>
      <c r="D84" s="46">
        <v>0.414935</v>
      </c>
      <c r="E84" s="46">
        <v>0.414935</v>
      </c>
      <c r="F84" s="46">
        <v>0.414935</v>
      </c>
      <c r="G84" s="46">
        <v>0.414935</v>
      </c>
      <c r="H84" s="46">
        <v>0.414935</v>
      </c>
      <c r="I84" s="46">
        <v>0.414935</v>
      </c>
      <c r="J84" s="46">
        <v>0.414935</v>
      </c>
      <c r="K84" s="46">
        <v>0.414935</v>
      </c>
      <c r="L84" s="46">
        <v>0.414935</v>
      </c>
      <c r="M84" s="46">
        <v>0.414935</v>
      </c>
      <c r="N84" s="46">
        <v>0.414935</v>
      </c>
      <c r="O84" s="46">
        <v>0.414935</v>
      </c>
      <c r="P84" s="46">
        <v>0.414935</v>
      </c>
      <c r="Q84" s="46">
        <v>0.414935</v>
      </c>
      <c r="R84" s="46">
        <v>0.414935</v>
      </c>
      <c r="S84" s="46">
        <v>0.414935</v>
      </c>
      <c r="T84" s="46">
        <v>0.414935</v>
      </c>
      <c r="U84" s="46">
        <v>0.414935</v>
      </c>
      <c r="V84" s="46">
        <v>0.414935</v>
      </c>
      <c r="W84" s="46">
        <v>0.27493499999999998</v>
      </c>
      <c r="X84" s="46">
        <v>0.27493499999999998</v>
      </c>
      <c r="Y84" s="46">
        <v>0.27493499999999998</v>
      </c>
      <c r="Z84" s="46">
        <v>0.27493499999999998</v>
      </c>
    </row>
    <row r="85" spans="1:26" x14ac:dyDescent="0.2">
      <c r="A85" s="6" t="s">
        <v>444</v>
      </c>
      <c r="B85" s="7">
        <v>4063729</v>
      </c>
      <c r="C85" s="6" t="s">
        <v>366</v>
      </c>
      <c r="D85" s="46">
        <v>0.35</v>
      </c>
      <c r="E85" s="46">
        <v>0.35</v>
      </c>
      <c r="F85" s="46">
        <v>0.35</v>
      </c>
      <c r="G85" s="46">
        <v>0.35</v>
      </c>
      <c r="H85" s="46">
        <v>0.35</v>
      </c>
      <c r="I85" s="46">
        <v>0.35</v>
      </c>
      <c r="J85" s="46">
        <v>0.35</v>
      </c>
      <c r="K85" s="46">
        <v>0.35</v>
      </c>
      <c r="L85" s="46">
        <v>0.35</v>
      </c>
      <c r="M85" s="46">
        <v>0.35</v>
      </c>
      <c r="N85" s="46">
        <v>0.35</v>
      </c>
      <c r="O85" s="46">
        <v>0.35</v>
      </c>
      <c r="P85" s="46">
        <v>0.35</v>
      </c>
      <c r="Q85" s="46">
        <v>0.35</v>
      </c>
      <c r="R85" s="46">
        <v>0.35</v>
      </c>
      <c r="S85" s="46">
        <v>0.35</v>
      </c>
      <c r="T85" s="46">
        <v>0.35</v>
      </c>
      <c r="U85" s="46">
        <v>0.35</v>
      </c>
      <c r="V85" s="46">
        <v>0.35</v>
      </c>
      <c r="W85" s="46">
        <v>0.26999999999999996</v>
      </c>
      <c r="X85" s="46">
        <v>0.26999999999999996</v>
      </c>
      <c r="Y85" s="46">
        <v>0.26999999999999996</v>
      </c>
      <c r="Z85" s="46">
        <v>0.26999999999999996</v>
      </c>
    </row>
    <row r="86" spans="1:26" x14ac:dyDescent="0.2">
      <c r="A86" s="6" t="s">
        <v>445</v>
      </c>
      <c r="B86" s="7">
        <v>4063762</v>
      </c>
      <c r="C86" s="6" t="s">
        <v>139</v>
      </c>
      <c r="D86" s="46">
        <v>0.38900000000000001</v>
      </c>
      <c r="E86" s="46">
        <v>0.38900000000000001</v>
      </c>
      <c r="F86" s="46">
        <v>0.38900000000000001</v>
      </c>
      <c r="G86" s="46">
        <v>0.38900000000000001</v>
      </c>
      <c r="H86" s="46">
        <v>0.38900000000000001</v>
      </c>
      <c r="I86" s="46">
        <v>0.38900000000000001</v>
      </c>
      <c r="J86" s="46">
        <v>0.38900000000000001</v>
      </c>
      <c r="K86" s="46">
        <v>0.38900000000000001</v>
      </c>
      <c r="L86" s="46">
        <v>0.38900000000000001</v>
      </c>
      <c r="M86" s="46">
        <v>0.38900000000000001</v>
      </c>
      <c r="N86" s="46">
        <v>0.38900000000000001</v>
      </c>
      <c r="O86" s="46">
        <v>0.38900000000000001</v>
      </c>
      <c r="P86" s="46">
        <v>0.38900000000000001</v>
      </c>
      <c r="Q86" s="46">
        <v>0.38900000000000001</v>
      </c>
      <c r="R86" s="46">
        <v>0.38900000000000001</v>
      </c>
      <c r="S86" s="46">
        <v>0.38900000000000001</v>
      </c>
      <c r="T86" s="46">
        <v>0.38900000000000001</v>
      </c>
      <c r="U86" s="46">
        <v>0.38900000000000001</v>
      </c>
      <c r="V86" s="46">
        <v>0.38900000000000001</v>
      </c>
      <c r="W86" s="46">
        <v>0.249</v>
      </c>
      <c r="X86" s="46">
        <v>0.249</v>
      </c>
      <c r="Y86" s="46">
        <v>0.249</v>
      </c>
      <c r="Z86" s="46">
        <v>0.249</v>
      </c>
    </row>
    <row r="87" spans="1:26" x14ac:dyDescent="0.2">
      <c r="A87" s="6" t="s">
        <v>446</v>
      </c>
      <c r="B87" s="7">
        <v>4058284</v>
      </c>
      <c r="C87" s="6" t="s">
        <v>152</v>
      </c>
      <c r="D87" s="46">
        <v>0.43</v>
      </c>
      <c r="E87" s="46">
        <v>0.43</v>
      </c>
      <c r="F87" s="46">
        <v>0.43</v>
      </c>
      <c r="G87" s="46">
        <v>0.43</v>
      </c>
      <c r="H87" s="46">
        <v>0.43</v>
      </c>
      <c r="I87" s="46">
        <v>0.43</v>
      </c>
      <c r="J87" s="46">
        <v>0.43</v>
      </c>
      <c r="K87" s="46">
        <v>0.43</v>
      </c>
      <c r="L87" s="46">
        <v>0.43</v>
      </c>
      <c r="M87" s="46">
        <v>0.43</v>
      </c>
      <c r="N87" s="46">
        <v>0.43</v>
      </c>
      <c r="O87" s="46">
        <v>0.43</v>
      </c>
      <c r="P87" s="46">
        <v>0.43</v>
      </c>
      <c r="Q87" s="46">
        <v>0.43</v>
      </c>
      <c r="R87" s="46">
        <v>0.43</v>
      </c>
      <c r="S87" s="46">
        <v>0.43</v>
      </c>
      <c r="T87" s="46">
        <v>0.43</v>
      </c>
      <c r="U87" s="46">
        <v>0.43</v>
      </c>
      <c r="V87" s="46">
        <v>0.43</v>
      </c>
      <c r="W87" s="46">
        <v>0.28999999999999998</v>
      </c>
      <c r="X87" s="46">
        <v>0.28999999999999998</v>
      </c>
      <c r="Y87" s="46">
        <v>0.28999999999999998</v>
      </c>
      <c r="Z87" s="46">
        <v>0.28999999999999998</v>
      </c>
    </row>
    <row r="88" spans="1:26" x14ac:dyDescent="0.2">
      <c r="A88" s="6" t="s">
        <v>447</v>
      </c>
      <c r="B88" s="7">
        <v>4008752</v>
      </c>
      <c r="C88" s="6" t="s">
        <v>144</v>
      </c>
      <c r="D88" s="46">
        <v>0.40134999999999998</v>
      </c>
      <c r="E88" s="46">
        <v>0.40134999999999998</v>
      </c>
      <c r="F88" s="46">
        <v>0.40134999999999998</v>
      </c>
      <c r="G88" s="46">
        <v>0.40134999999999998</v>
      </c>
      <c r="H88" s="46">
        <v>0.40134999999999998</v>
      </c>
      <c r="I88" s="46">
        <v>0.40134999999999998</v>
      </c>
      <c r="J88" s="46">
        <v>0.40134999999999998</v>
      </c>
      <c r="K88" s="46">
        <v>0.40134999999999998</v>
      </c>
      <c r="L88" s="46">
        <v>0.40134999999999998</v>
      </c>
      <c r="M88" s="46">
        <v>0.40134999999999998</v>
      </c>
      <c r="N88" s="46">
        <v>0.40134999999999998</v>
      </c>
      <c r="O88" s="46">
        <v>0.40134999999999998</v>
      </c>
      <c r="P88" s="46">
        <v>0.40134999999999998</v>
      </c>
      <c r="Q88" s="46">
        <v>0.40134999999999998</v>
      </c>
      <c r="R88" s="46">
        <v>0.40134999999999998</v>
      </c>
      <c r="S88" s="46">
        <v>0.40134999999999998</v>
      </c>
      <c r="T88" s="46">
        <v>0.40134999999999998</v>
      </c>
      <c r="U88" s="46">
        <v>0.40134999999999998</v>
      </c>
      <c r="V88" s="46">
        <v>0.40134999999999998</v>
      </c>
      <c r="W88" s="46">
        <v>0.26134999999999997</v>
      </c>
      <c r="X88" s="46">
        <v>0.26134999999999997</v>
      </c>
      <c r="Y88" s="46">
        <v>0.26134999999999997</v>
      </c>
      <c r="Z88" s="46">
        <v>0.26134999999999997</v>
      </c>
    </row>
    <row r="89" spans="1:26" x14ac:dyDescent="0.2">
      <c r="A89" s="6" t="s">
        <v>448</v>
      </c>
      <c r="B89" s="7">
        <v>4008669</v>
      </c>
      <c r="C89" s="6" t="s">
        <v>144</v>
      </c>
      <c r="D89" s="46">
        <v>0.40134999999999998</v>
      </c>
      <c r="E89" s="46">
        <v>0.40134999999999998</v>
      </c>
      <c r="F89" s="46">
        <v>0.40134999999999998</v>
      </c>
      <c r="G89" s="46">
        <v>0.40134999999999998</v>
      </c>
      <c r="H89" s="46">
        <v>0.40134999999999998</v>
      </c>
      <c r="I89" s="46">
        <v>0.40134999999999998</v>
      </c>
      <c r="J89" s="46">
        <v>0.40134999999999998</v>
      </c>
      <c r="K89" s="46">
        <v>0.40134999999999998</v>
      </c>
      <c r="L89" s="46">
        <v>0.40134999999999998</v>
      </c>
      <c r="M89" s="46">
        <v>0.40134999999999998</v>
      </c>
      <c r="N89" s="46">
        <v>0.40134999999999998</v>
      </c>
      <c r="O89" s="46">
        <v>0.40134999999999998</v>
      </c>
      <c r="P89" s="46">
        <v>0.40134999999999998</v>
      </c>
      <c r="Q89" s="46">
        <v>0.40134999999999998</v>
      </c>
      <c r="R89" s="46">
        <v>0.40134999999999998</v>
      </c>
      <c r="S89" s="46">
        <v>0.40134999999999998</v>
      </c>
      <c r="T89" s="46">
        <v>0.40134999999999998</v>
      </c>
      <c r="U89" s="46">
        <v>0.40134999999999998</v>
      </c>
      <c r="V89" s="46">
        <v>0.40134999999999998</v>
      </c>
      <c r="W89" s="46">
        <v>0.26134999999999997</v>
      </c>
      <c r="X89" s="46">
        <v>0.26134999999999997</v>
      </c>
      <c r="Y89" s="46">
        <v>0.26134999999999997</v>
      </c>
      <c r="Z89" s="46">
        <v>0.26134999999999997</v>
      </c>
    </row>
    <row r="90" spans="1:26" x14ac:dyDescent="0.2">
      <c r="A90" s="6" t="s">
        <v>120</v>
      </c>
      <c r="B90" s="7">
        <v>4076892</v>
      </c>
      <c r="C90" s="6" t="s">
        <v>362</v>
      </c>
      <c r="D90" s="46">
        <v>0.35</v>
      </c>
      <c r="E90" s="46">
        <v>0.35</v>
      </c>
      <c r="F90" s="46">
        <v>0.35</v>
      </c>
      <c r="G90" s="46">
        <v>0.35</v>
      </c>
      <c r="H90" s="46">
        <v>0.35</v>
      </c>
      <c r="I90" s="46">
        <v>0.35</v>
      </c>
      <c r="J90" s="46">
        <v>0.35</v>
      </c>
      <c r="K90" s="46">
        <v>0.35</v>
      </c>
      <c r="L90" s="46">
        <v>0.35</v>
      </c>
      <c r="M90" s="46">
        <v>0.35</v>
      </c>
      <c r="N90" s="46">
        <v>0.35</v>
      </c>
      <c r="O90" s="46">
        <v>0.35</v>
      </c>
      <c r="P90" s="46">
        <v>0.35</v>
      </c>
      <c r="Q90" s="46">
        <v>0.35</v>
      </c>
      <c r="R90" s="46">
        <v>0.35</v>
      </c>
      <c r="S90" s="46">
        <v>0.35</v>
      </c>
      <c r="T90" s="46">
        <v>0.35</v>
      </c>
      <c r="U90" s="46">
        <v>0.35</v>
      </c>
      <c r="V90" s="46">
        <v>0.35</v>
      </c>
      <c r="W90" s="46">
        <v>0.20999999999999996</v>
      </c>
      <c r="X90" s="46">
        <v>0.20999999999999996</v>
      </c>
      <c r="Y90" s="46">
        <v>0.20999999999999996</v>
      </c>
      <c r="Z90" s="46">
        <v>0.20999999999999996</v>
      </c>
    </row>
    <row r="91" spans="1:26" x14ac:dyDescent="0.2">
      <c r="A91" s="6" t="s">
        <v>122</v>
      </c>
      <c r="B91" s="7">
        <v>4064141</v>
      </c>
      <c r="C91" s="6" t="s">
        <v>140</v>
      </c>
      <c r="D91" s="46">
        <v>0.40200000000000002</v>
      </c>
      <c r="E91" s="46">
        <v>0.40200000000000002</v>
      </c>
      <c r="F91" s="46">
        <v>0.40200000000000002</v>
      </c>
      <c r="G91" s="46">
        <v>0.40200000000000002</v>
      </c>
      <c r="H91" s="46">
        <v>0.40200000000000002</v>
      </c>
      <c r="I91" s="46">
        <v>0.40200000000000002</v>
      </c>
      <c r="J91" s="46">
        <v>0.40200000000000002</v>
      </c>
      <c r="K91" s="46">
        <v>0.40200000000000002</v>
      </c>
      <c r="L91" s="46">
        <v>0.40200000000000002</v>
      </c>
      <c r="M91" s="46">
        <v>0.40200000000000002</v>
      </c>
      <c r="N91" s="46">
        <v>0.40200000000000002</v>
      </c>
      <c r="O91" s="46">
        <v>0.40200000000000002</v>
      </c>
      <c r="P91" s="46">
        <v>0.40200000000000002</v>
      </c>
      <c r="Q91" s="46">
        <v>0.40200000000000002</v>
      </c>
      <c r="R91" s="46">
        <v>0.40200000000000002</v>
      </c>
      <c r="S91" s="46">
        <v>0.40200000000000002</v>
      </c>
      <c r="T91" s="46">
        <v>0.40200000000000002</v>
      </c>
      <c r="U91" s="46">
        <v>0.40200000000000002</v>
      </c>
      <c r="V91" s="46">
        <v>0.40200000000000002</v>
      </c>
      <c r="W91" s="46">
        <v>0.26200000000000001</v>
      </c>
      <c r="X91" s="46">
        <v>0.26200000000000001</v>
      </c>
      <c r="Y91" s="46">
        <v>0.26200000000000001</v>
      </c>
      <c r="Z91" s="46">
        <v>0.26200000000000001</v>
      </c>
    </row>
  </sheetData>
  <autoFilter ref="A6:Z91" xr:uid="{D759599E-B6A6-4189-9350-AED6BADDCD55}"/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D850-DA81-44F9-ACFA-90C91B7175B9}">
  <dimension ref="A4:D90"/>
  <sheetViews>
    <sheetView workbookViewId="0"/>
  </sheetViews>
  <sheetFormatPr defaultRowHeight="15" x14ac:dyDescent="0.25"/>
  <cols>
    <col min="1" max="1" width="14.28515625" style="1" bestFit="1" customWidth="1"/>
    <col min="2" max="3" width="63.7109375" style="1" bestFit="1" customWidth="1"/>
    <col min="4" max="4" width="22" style="1" bestFit="1" customWidth="1"/>
  </cols>
  <sheetData>
    <row r="4" spans="1:4" x14ac:dyDescent="0.25">
      <c r="A4" s="3" t="s">
        <v>0</v>
      </c>
      <c r="B4" s="4" t="s">
        <v>1</v>
      </c>
      <c r="C4" s="4" t="s">
        <v>2</v>
      </c>
      <c r="D4" s="5" t="s">
        <v>3</v>
      </c>
    </row>
    <row r="5" spans="1:4" x14ac:dyDescent="0.25">
      <c r="B5" s="1" t="s">
        <v>27</v>
      </c>
      <c r="C5" s="1" t="s">
        <v>27</v>
      </c>
      <c r="D5" s="1">
        <v>4058513</v>
      </c>
    </row>
    <row r="6" spans="1:4" x14ac:dyDescent="0.25">
      <c r="B6" s="1" t="s">
        <v>42</v>
      </c>
      <c r="C6" s="1" t="s">
        <v>42</v>
      </c>
      <c r="D6" s="1">
        <v>4059166</v>
      </c>
    </row>
    <row r="7" spans="1:4" x14ac:dyDescent="0.25">
      <c r="B7" s="1" t="s">
        <v>43</v>
      </c>
      <c r="C7" s="1" t="s">
        <v>43</v>
      </c>
      <c r="D7" s="1">
        <v>4059227</v>
      </c>
    </row>
    <row r="8" spans="1:4" x14ac:dyDescent="0.25">
      <c r="B8" s="1" t="s">
        <v>47</v>
      </c>
      <c r="C8" s="1" t="s">
        <v>47</v>
      </c>
      <c r="D8" s="1">
        <v>4088326</v>
      </c>
    </row>
    <row r="9" spans="1:4" x14ac:dyDescent="0.25">
      <c r="B9" s="1" t="s">
        <v>49</v>
      </c>
      <c r="C9" s="1" t="s">
        <v>49</v>
      </c>
      <c r="D9" s="1">
        <v>4059359</v>
      </c>
    </row>
    <row r="10" spans="1:4" x14ac:dyDescent="0.25">
      <c r="B10" s="1" t="s">
        <v>56</v>
      </c>
      <c r="C10" s="1" t="s">
        <v>56</v>
      </c>
      <c r="D10" s="1">
        <v>4057103</v>
      </c>
    </row>
    <row r="11" spans="1:4" x14ac:dyDescent="0.25">
      <c r="B11" s="1" t="s">
        <v>58</v>
      </c>
      <c r="C11" s="1" t="s">
        <v>59</v>
      </c>
      <c r="D11" s="1">
        <v>4081251</v>
      </c>
    </row>
    <row r="12" spans="1:4" x14ac:dyDescent="0.25">
      <c r="B12" s="1" t="s">
        <v>60</v>
      </c>
      <c r="C12" s="1" t="s">
        <v>60</v>
      </c>
      <c r="D12" s="1">
        <v>4060572</v>
      </c>
    </row>
    <row r="13" spans="1:4" x14ac:dyDescent="0.25">
      <c r="B13" s="1" t="s">
        <v>61</v>
      </c>
      <c r="C13" s="1" t="s">
        <v>61</v>
      </c>
      <c r="D13" s="1">
        <v>4083318</v>
      </c>
    </row>
    <row r="14" spans="1:4" x14ac:dyDescent="0.25">
      <c r="B14" s="1" t="s">
        <v>63</v>
      </c>
      <c r="C14" s="1" t="s">
        <v>63</v>
      </c>
      <c r="D14" s="1">
        <v>4087741</v>
      </c>
    </row>
    <row r="15" spans="1:4" x14ac:dyDescent="0.25">
      <c r="B15" s="1" t="s">
        <v>64</v>
      </c>
      <c r="C15" s="1" t="s">
        <v>64</v>
      </c>
      <c r="D15" s="1">
        <v>4059875</v>
      </c>
    </row>
    <row r="16" spans="1:4" x14ac:dyDescent="0.25">
      <c r="B16" s="1" t="s">
        <v>67</v>
      </c>
      <c r="C16" s="1" t="s">
        <v>67</v>
      </c>
      <c r="D16" s="1">
        <v>4061474</v>
      </c>
    </row>
    <row r="17" spans="1:4" x14ac:dyDescent="0.25">
      <c r="B17" s="1" t="s">
        <v>68</v>
      </c>
      <c r="C17" s="1" t="s">
        <v>68</v>
      </c>
      <c r="D17" s="1">
        <v>4076679</v>
      </c>
    </row>
    <row r="18" spans="1:4" x14ac:dyDescent="0.25">
      <c r="B18" s="1" t="s">
        <v>79</v>
      </c>
      <c r="C18" s="1" t="s">
        <v>79</v>
      </c>
      <c r="D18" s="1">
        <v>4057132</v>
      </c>
    </row>
    <row r="19" spans="1:4" x14ac:dyDescent="0.25">
      <c r="A19" s="1" t="s">
        <v>30</v>
      </c>
      <c r="B19" s="1" t="s">
        <v>80</v>
      </c>
      <c r="C19" s="1" t="s">
        <v>80</v>
      </c>
      <c r="D19" s="1">
        <v>4057115</v>
      </c>
    </row>
    <row r="20" spans="1:4" x14ac:dyDescent="0.25">
      <c r="B20" s="1" t="s">
        <v>83</v>
      </c>
      <c r="C20" s="1" t="s">
        <v>83</v>
      </c>
      <c r="D20" s="1">
        <v>4064481</v>
      </c>
    </row>
    <row r="21" spans="1:4" x14ac:dyDescent="0.25">
      <c r="A21" s="1" t="s">
        <v>30</v>
      </c>
      <c r="B21" s="1" t="s">
        <v>91</v>
      </c>
      <c r="C21" s="1" t="s">
        <v>91</v>
      </c>
      <c r="D21" s="1">
        <v>4083575</v>
      </c>
    </row>
    <row r="22" spans="1:4" x14ac:dyDescent="0.25">
      <c r="B22" s="1" t="s">
        <v>92</v>
      </c>
      <c r="C22" s="1" t="s">
        <v>92</v>
      </c>
      <c r="D22" s="1">
        <v>4062303</v>
      </c>
    </row>
    <row r="23" spans="1:4" x14ac:dyDescent="0.25">
      <c r="B23" s="1" t="s">
        <v>93</v>
      </c>
      <c r="C23" s="1" t="s">
        <v>93</v>
      </c>
      <c r="D23" s="1">
        <v>4083581</v>
      </c>
    </row>
    <row r="24" spans="1:4" x14ac:dyDescent="0.25">
      <c r="B24" s="1" t="s">
        <v>100</v>
      </c>
      <c r="C24" s="1" t="s">
        <v>100</v>
      </c>
      <c r="D24" s="1">
        <v>4057097</v>
      </c>
    </row>
    <row r="25" spans="1:4" x14ac:dyDescent="0.25">
      <c r="B25" s="1" t="s">
        <v>101</v>
      </c>
      <c r="C25" s="1" t="s">
        <v>101</v>
      </c>
      <c r="D25" s="1">
        <v>4057098</v>
      </c>
    </row>
    <row r="26" spans="1:4" x14ac:dyDescent="0.25">
      <c r="B26" s="1" t="s">
        <v>107</v>
      </c>
      <c r="C26" s="1" t="s">
        <v>107</v>
      </c>
      <c r="D26" s="1">
        <v>4064035</v>
      </c>
    </row>
    <row r="27" spans="1:4" x14ac:dyDescent="0.25">
      <c r="A27" s="1" t="s">
        <v>30</v>
      </c>
      <c r="B27" s="1" t="s">
        <v>113</v>
      </c>
      <c r="C27" s="1" t="s">
        <v>113</v>
      </c>
      <c r="D27" s="1">
        <v>4062279</v>
      </c>
    </row>
    <row r="28" spans="1:4" x14ac:dyDescent="0.25">
      <c r="A28" s="1" t="s">
        <v>30</v>
      </c>
      <c r="B28" s="1" t="s">
        <v>114</v>
      </c>
      <c r="C28" s="1" t="s">
        <v>114</v>
      </c>
      <c r="D28" s="1">
        <v>4063729</v>
      </c>
    </row>
    <row r="29" spans="1:4" x14ac:dyDescent="0.25">
      <c r="B29" s="1" t="s">
        <v>119</v>
      </c>
      <c r="C29" s="1" t="s">
        <v>120</v>
      </c>
      <c r="D29" s="1">
        <v>4076892</v>
      </c>
    </row>
    <row r="30" spans="1:4" x14ac:dyDescent="0.25">
      <c r="A30"/>
      <c r="B30"/>
      <c r="C30"/>
      <c r="D30"/>
    </row>
    <row r="31" spans="1:4" x14ac:dyDescent="0.25">
      <c r="A31"/>
      <c r="B31"/>
      <c r="C31"/>
      <c r="D31"/>
    </row>
    <row r="32" spans="1:4" x14ac:dyDescent="0.25">
      <c r="A32"/>
      <c r="B32"/>
      <c r="C32"/>
      <c r="D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</sheetData>
  <autoFilter ref="A4:D29" xr:uid="{03BD4888-977C-426B-95DB-F5C73EFCEC11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3:W204"/>
  <sheetViews>
    <sheetView zoomScale="75" zoomScaleNormal="75" workbookViewId="0">
      <selection activeCell="B30" sqref="B30"/>
    </sheetView>
  </sheetViews>
  <sheetFormatPr defaultRowHeight="12.75" x14ac:dyDescent="0.2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5" width="22" style="1" customWidth="1"/>
    <col min="6" max="6" width="17.5703125" style="1" customWidth="1"/>
    <col min="7" max="7" width="17.85546875" style="1" customWidth="1"/>
    <col min="8" max="23" width="17.5703125" style="1" customWidth="1"/>
    <col min="24" max="16384" width="9.140625" style="1"/>
  </cols>
  <sheetData>
    <row r="3" spans="1:23" ht="38.25" x14ac:dyDescent="0.2">
      <c r="E3" s="9" t="s">
        <v>300</v>
      </c>
      <c r="F3" s="9" t="s">
        <v>300</v>
      </c>
      <c r="G3" s="9" t="s">
        <v>300</v>
      </c>
      <c r="H3" s="9" t="s">
        <v>300</v>
      </c>
      <c r="I3" s="9" t="s">
        <v>300</v>
      </c>
      <c r="J3" s="9" t="s">
        <v>300</v>
      </c>
      <c r="K3" s="9" t="s">
        <v>300</v>
      </c>
      <c r="L3" s="9" t="s">
        <v>300</v>
      </c>
      <c r="M3" s="9" t="s">
        <v>300</v>
      </c>
      <c r="N3" s="9" t="s">
        <v>300</v>
      </c>
      <c r="O3" s="9" t="s">
        <v>300</v>
      </c>
      <c r="P3" s="9" t="s">
        <v>300</v>
      </c>
      <c r="Q3" s="9" t="s">
        <v>300</v>
      </c>
      <c r="R3" s="9" t="s">
        <v>300</v>
      </c>
      <c r="S3" s="9" t="s">
        <v>300</v>
      </c>
      <c r="T3" s="9" t="s">
        <v>300</v>
      </c>
      <c r="U3" s="9" t="s">
        <v>300</v>
      </c>
      <c r="V3" s="9" t="s">
        <v>300</v>
      </c>
      <c r="W3" s="9" t="s">
        <v>300</v>
      </c>
    </row>
    <row r="4" spans="1:23" x14ac:dyDescent="0.2">
      <c r="B4" s="2"/>
      <c r="C4" s="2"/>
      <c r="D4" s="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23" x14ac:dyDescent="0.2">
      <c r="A5" s="3" t="s">
        <v>0</v>
      </c>
      <c r="B5" s="4" t="s">
        <v>1</v>
      </c>
      <c r="C5" s="4" t="s">
        <v>2</v>
      </c>
      <c r="D5" s="5" t="s">
        <v>3</v>
      </c>
      <c r="E5" s="10" t="s">
        <v>462</v>
      </c>
      <c r="F5" s="10" t="s">
        <v>26</v>
      </c>
      <c r="G5" s="10" t="s">
        <v>25</v>
      </c>
      <c r="H5" s="10" t="s">
        <v>24</v>
      </c>
      <c r="I5" s="10" t="s">
        <v>23</v>
      </c>
      <c r="J5" s="10" t="s">
        <v>22</v>
      </c>
      <c r="K5" s="10" t="s">
        <v>21</v>
      </c>
      <c r="L5" s="10" t="s">
        <v>20</v>
      </c>
      <c r="M5" s="10" t="s">
        <v>19</v>
      </c>
      <c r="N5" s="10" t="s">
        <v>18</v>
      </c>
      <c r="O5" s="10" t="s">
        <v>17</v>
      </c>
      <c r="P5" s="10" t="s">
        <v>16</v>
      </c>
      <c r="Q5" s="10" t="s">
        <v>15</v>
      </c>
      <c r="R5" s="10" t="s">
        <v>14</v>
      </c>
      <c r="S5" s="10" t="s">
        <v>13</v>
      </c>
      <c r="T5" s="10" t="s">
        <v>12</v>
      </c>
      <c r="U5" s="10" t="s">
        <v>11</v>
      </c>
      <c r="V5" s="10" t="s">
        <v>10</v>
      </c>
      <c r="W5" s="10" t="s">
        <v>9</v>
      </c>
    </row>
    <row r="6" spans="1:23" x14ac:dyDescent="0.2"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 x14ac:dyDescent="0.2">
      <c r="B7" s="6" t="s">
        <v>27</v>
      </c>
      <c r="C7" s="6" t="s">
        <v>27</v>
      </c>
      <c r="D7" s="7">
        <v>4058513</v>
      </c>
      <c r="E7" s="8" t="s">
        <v>123</v>
      </c>
      <c r="F7" s="8" t="s">
        <v>123</v>
      </c>
      <c r="G7" s="8" t="s">
        <v>123</v>
      </c>
      <c r="H7" s="8" t="s">
        <v>123</v>
      </c>
      <c r="I7" s="8">
        <v>5788.5391492541639</v>
      </c>
      <c r="J7" s="8">
        <v>6180.502694283271</v>
      </c>
      <c r="K7" s="8">
        <v>6052.0821283570458</v>
      </c>
      <c r="L7" s="8">
        <v>5998.7213535615956</v>
      </c>
      <c r="M7" s="8">
        <v>5813.3183420667365</v>
      </c>
      <c r="N7" s="8">
        <v>5639.3911542192964</v>
      </c>
      <c r="O7" s="8">
        <v>5449.7771623321778</v>
      </c>
      <c r="P7" s="8">
        <v>5207.0864079998419</v>
      </c>
      <c r="Q7" s="8">
        <v>4853.6640271800379</v>
      </c>
      <c r="R7" s="8">
        <v>4819.7039229200454</v>
      </c>
      <c r="S7" s="8">
        <v>4575.0476060272913</v>
      </c>
      <c r="T7" s="8">
        <v>4384.80843761093</v>
      </c>
      <c r="U7" s="8">
        <v>4346.4356228584402</v>
      </c>
      <c r="V7" s="8">
        <v>4502.7157139084738</v>
      </c>
      <c r="W7" s="8">
        <v>3644.3162486936203</v>
      </c>
    </row>
    <row r="8" spans="1:23" x14ac:dyDescent="0.2">
      <c r="B8" s="6" t="s">
        <v>28</v>
      </c>
      <c r="C8" s="6" t="s">
        <v>28</v>
      </c>
      <c r="D8" s="7">
        <v>4054707</v>
      </c>
      <c r="E8" s="8">
        <v>82311.656882204843</v>
      </c>
      <c r="F8" s="8">
        <v>77621.683353847358</v>
      </c>
      <c r="G8" s="8">
        <v>71549.79422868455</v>
      </c>
      <c r="H8" s="8">
        <v>68571.037389188976</v>
      </c>
      <c r="I8" s="8">
        <v>66250.575188707677</v>
      </c>
      <c r="J8" s="8">
        <v>65194.362989429668</v>
      </c>
      <c r="K8" s="8">
        <v>59681.009160966263</v>
      </c>
      <c r="L8" s="8">
        <v>58448.356257342151</v>
      </c>
      <c r="M8" s="8">
        <v>61019.268278164054</v>
      </c>
      <c r="N8" s="8">
        <v>57144.011407196085</v>
      </c>
      <c r="O8" s="8">
        <v>58525.836594776476</v>
      </c>
      <c r="P8" s="8">
        <v>61005.110244989701</v>
      </c>
      <c r="Q8" s="8">
        <v>59435.214788812809</v>
      </c>
      <c r="R8" s="8">
        <v>54610.978620473994</v>
      </c>
      <c r="S8" s="8">
        <v>56282.414463482943</v>
      </c>
      <c r="T8" s="8">
        <v>65146.641191404371</v>
      </c>
      <c r="U8" s="8">
        <v>69488.661869120464</v>
      </c>
      <c r="V8" s="8">
        <v>71776.325745732305</v>
      </c>
      <c r="W8" s="8">
        <v>67793.800102712397</v>
      </c>
    </row>
    <row r="9" spans="1:23" x14ac:dyDescent="0.2">
      <c r="B9" s="6" t="s">
        <v>29</v>
      </c>
      <c r="C9" s="6" t="s">
        <v>29</v>
      </c>
      <c r="D9" s="7">
        <v>4057075</v>
      </c>
      <c r="E9" s="8">
        <v>27974.960463701049</v>
      </c>
      <c r="F9" s="8">
        <v>28665.853369891134</v>
      </c>
      <c r="G9" s="8">
        <v>28425.392228873563</v>
      </c>
      <c r="H9" s="8">
        <v>26872.00507433536</v>
      </c>
      <c r="I9" s="8">
        <v>25770.019486053014</v>
      </c>
      <c r="J9" s="8">
        <v>25904.354962581656</v>
      </c>
      <c r="K9" s="8">
        <v>24501.992278303231</v>
      </c>
      <c r="L9" s="8">
        <v>23318.097564163283</v>
      </c>
      <c r="M9" s="8">
        <v>22783.294618705757</v>
      </c>
      <c r="N9" s="8">
        <v>22717.156668028249</v>
      </c>
      <c r="O9" s="8">
        <v>20699.183593636113</v>
      </c>
      <c r="P9" s="8">
        <v>20202.713299159044</v>
      </c>
      <c r="Q9" s="8">
        <v>18782.995856106085</v>
      </c>
      <c r="R9" s="8">
        <v>17331.203797770282</v>
      </c>
      <c r="S9" s="8">
        <v>16673.67666870388</v>
      </c>
      <c r="T9" s="8">
        <v>15636.189322591681</v>
      </c>
      <c r="U9" s="8">
        <v>16200.970301581736</v>
      </c>
      <c r="V9" s="8">
        <v>16894.96793159896</v>
      </c>
      <c r="W9" s="8">
        <v>15826.632302827655</v>
      </c>
    </row>
    <row r="10" spans="1:23" x14ac:dyDescent="0.2">
      <c r="A10" s="1" t="s">
        <v>30</v>
      </c>
      <c r="B10" s="6" t="s">
        <v>31</v>
      </c>
      <c r="C10" s="6" t="s">
        <v>31</v>
      </c>
      <c r="D10" s="7">
        <v>4007784</v>
      </c>
      <c r="E10" s="8">
        <v>97613.497409951407</v>
      </c>
      <c r="F10" s="8">
        <v>91499.463972828875</v>
      </c>
      <c r="G10" s="8">
        <v>92559.102092208152</v>
      </c>
      <c r="H10" s="8">
        <v>89958.634166663251</v>
      </c>
      <c r="I10" s="8">
        <v>81993.977569285445</v>
      </c>
      <c r="J10" s="8">
        <v>82583.869731804851</v>
      </c>
      <c r="K10" s="8">
        <v>74971.414300718054</v>
      </c>
      <c r="L10" s="8">
        <v>70741.963792666967</v>
      </c>
      <c r="M10" s="8">
        <v>63893.299510141856</v>
      </c>
      <c r="N10" s="8">
        <v>62189.538251120946</v>
      </c>
      <c r="O10" s="8">
        <v>55770.300548758933</v>
      </c>
      <c r="P10" s="8">
        <v>55068.902293098516</v>
      </c>
      <c r="Q10" s="8">
        <v>52919.823410469005</v>
      </c>
      <c r="R10" s="8">
        <v>53553.805704717786</v>
      </c>
      <c r="S10" s="8">
        <v>54499.533796756485</v>
      </c>
      <c r="T10" s="8">
        <v>49841.86531905859</v>
      </c>
      <c r="U10" s="8">
        <v>46839.927463550332</v>
      </c>
      <c r="V10" s="8">
        <v>43201.859225662985</v>
      </c>
      <c r="W10" s="8">
        <v>36822.846217273691</v>
      </c>
    </row>
    <row r="11" spans="1:23" x14ac:dyDescent="0.2">
      <c r="A11" s="1" t="s">
        <v>30</v>
      </c>
      <c r="B11" s="6" t="s">
        <v>32</v>
      </c>
      <c r="C11" s="6" t="s">
        <v>33</v>
      </c>
      <c r="D11" s="7">
        <v>4058656</v>
      </c>
      <c r="E11" s="8" t="s">
        <v>123</v>
      </c>
      <c r="F11" s="8" t="s">
        <v>123</v>
      </c>
      <c r="G11" s="8">
        <v>-68912.953395502511</v>
      </c>
      <c r="H11" s="8">
        <v>394115.66802899091</v>
      </c>
      <c r="I11" s="8">
        <v>41493.096558094789</v>
      </c>
      <c r="J11" s="8">
        <v>36808.18148743581</v>
      </c>
      <c r="K11" s="8">
        <v>38455.821953417086</v>
      </c>
      <c r="L11" s="8">
        <v>37500.612272639002</v>
      </c>
      <c r="M11" s="8">
        <v>35580.748394652939</v>
      </c>
      <c r="N11" s="8">
        <v>37650.359818657838</v>
      </c>
      <c r="O11" s="8">
        <v>36043.234684307812</v>
      </c>
      <c r="P11" s="8">
        <v>34915.437069681946</v>
      </c>
      <c r="Q11" s="8">
        <v>31970.225425485034</v>
      </c>
      <c r="R11" s="8">
        <v>29724.150730033394</v>
      </c>
      <c r="S11" s="8">
        <v>27366.256704427775</v>
      </c>
      <c r="T11" s="8">
        <v>25207.825564029034</v>
      </c>
      <c r="U11" s="8">
        <v>25345.561160100748</v>
      </c>
      <c r="V11" s="8">
        <v>18192.628559065175</v>
      </c>
      <c r="W11" s="8">
        <v>17014.945123298708</v>
      </c>
    </row>
    <row r="12" spans="1:23" x14ac:dyDescent="0.2">
      <c r="A12" s="1" t="s">
        <v>30</v>
      </c>
      <c r="B12" s="6" t="s">
        <v>34</v>
      </c>
      <c r="C12" s="6" t="s">
        <v>35</v>
      </c>
      <c r="D12" s="7">
        <v>4057110</v>
      </c>
      <c r="E12" s="8">
        <v>6316.4267603490844</v>
      </c>
      <c r="F12" s="8">
        <v>5550.8039337216997</v>
      </c>
      <c r="G12" s="8">
        <v>5169.9679584946898</v>
      </c>
      <c r="H12" s="8">
        <v>5275.506860945422</v>
      </c>
      <c r="I12" s="8">
        <v>5336.991271977362</v>
      </c>
      <c r="J12" s="8">
        <v>4974.0093831415288</v>
      </c>
      <c r="K12" s="8">
        <v>5705.7942234833481</v>
      </c>
      <c r="L12" s="8">
        <v>4825.9965335007028</v>
      </c>
      <c r="M12" s="8">
        <v>3713.808881639</v>
      </c>
      <c r="N12" s="8">
        <v>3689.6609006826088</v>
      </c>
      <c r="O12" s="8">
        <v>3632.8982756353257</v>
      </c>
      <c r="P12" s="8">
        <v>3281.6767716305308</v>
      </c>
      <c r="Q12" s="8">
        <v>3456.5619686629871</v>
      </c>
      <c r="R12" s="8">
        <v>3246.3019385040448</v>
      </c>
      <c r="S12" s="8">
        <v>3097.5659466271604</v>
      </c>
      <c r="T12" s="8">
        <v>3041.058535493924</v>
      </c>
      <c r="U12" s="8">
        <v>3042.3379951114734</v>
      </c>
      <c r="V12" s="8">
        <v>3071.7901839654742</v>
      </c>
      <c r="W12" s="8">
        <v>3109.1114184763969</v>
      </c>
    </row>
    <row r="13" spans="1:23" x14ac:dyDescent="0.2">
      <c r="B13" s="6" t="s">
        <v>36</v>
      </c>
      <c r="C13" s="6" t="s">
        <v>36</v>
      </c>
      <c r="D13" s="7">
        <v>4058516</v>
      </c>
      <c r="E13" s="8">
        <v>14319.025296046017</v>
      </c>
      <c r="F13" s="8">
        <v>13876.030263034538</v>
      </c>
      <c r="G13" s="8">
        <v>13706.657012895954</v>
      </c>
      <c r="H13" s="8">
        <v>14418.510979358207</v>
      </c>
      <c r="I13" s="8">
        <v>11987.861328271578</v>
      </c>
      <c r="J13" s="8">
        <v>10902.244467678827</v>
      </c>
      <c r="K13" s="8">
        <v>9892.2026216182639</v>
      </c>
      <c r="L13" s="8">
        <v>10681.722252101341</v>
      </c>
      <c r="M13" s="8">
        <v>10265.820404773485</v>
      </c>
      <c r="N13" s="8">
        <v>9569.287539562838</v>
      </c>
      <c r="O13" s="8">
        <v>8739.1160143126126</v>
      </c>
      <c r="P13" s="8">
        <v>8981.9195396377472</v>
      </c>
      <c r="Q13" s="8">
        <v>8610.090797554356</v>
      </c>
      <c r="R13" s="8">
        <v>9465.3921147019773</v>
      </c>
      <c r="S13" s="8">
        <v>9781.1791531573144</v>
      </c>
      <c r="T13" s="8">
        <v>9770.3134732770995</v>
      </c>
      <c r="U13" s="8">
        <v>8779.939894970048</v>
      </c>
      <c r="V13" s="8">
        <v>7779.1706362206651</v>
      </c>
      <c r="W13" s="8">
        <v>7907.7270228073367</v>
      </c>
    </row>
    <row r="14" spans="1:23" x14ac:dyDescent="0.2">
      <c r="B14" s="6" t="s">
        <v>37</v>
      </c>
      <c r="C14" s="6" t="s">
        <v>37</v>
      </c>
      <c r="D14" s="7">
        <v>4058793</v>
      </c>
      <c r="E14" s="8">
        <v>369.55714928415188</v>
      </c>
      <c r="F14" s="8" t="s">
        <v>123</v>
      </c>
      <c r="G14" s="8">
        <v>388.22007731561581</v>
      </c>
      <c r="H14" s="8">
        <v>336.69365941473939</v>
      </c>
      <c r="I14" s="8">
        <v>335.69612530334604</v>
      </c>
      <c r="J14" s="8">
        <v>379.30064563295048</v>
      </c>
      <c r="K14" s="8">
        <v>310.39871495196576</v>
      </c>
      <c r="L14" s="8">
        <v>319.63122605974127</v>
      </c>
      <c r="M14" s="8">
        <v>349.83340447168922</v>
      </c>
      <c r="N14" s="8">
        <v>371.48257582712938</v>
      </c>
      <c r="O14" s="8">
        <v>356.69351114804113</v>
      </c>
      <c r="P14" s="8">
        <v>343.59380139919244</v>
      </c>
      <c r="Q14" s="8">
        <v>324.0143888387704</v>
      </c>
      <c r="R14" s="8">
        <v>314.41990659111622</v>
      </c>
      <c r="S14" s="8">
        <v>391.40797931382116</v>
      </c>
      <c r="T14" s="8">
        <v>391.12473505935804</v>
      </c>
      <c r="U14" s="8">
        <v>362.92232194645453</v>
      </c>
      <c r="V14" s="8">
        <v>389.36101945422627</v>
      </c>
      <c r="W14" s="8">
        <v>322.39391666592877</v>
      </c>
    </row>
    <row r="15" spans="1:23" x14ac:dyDescent="0.2">
      <c r="A15" s="1" t="s">
        <v>30</v>
      </c>
      <c r="B15" s="6" t="s">
        <v>38</v>
      </c>
      <c r="C15" s="6" t="s">
        <v>38</v>
      </c>
      <c r="D15" s="7">
        <v>4057111</v>
      </c>
      <c r="E15" s="8">
        <v>93296.329716244523</v>
      </c>
      <c r="F15" s="8">
        <v>76508.145246526648</v>
      </c>
      <c r="G15" s="8">
        <v>106975.1197434819</v>
      </c>
      <c r="H15" s="8">
        <v>182044.14521314992</v>
      </c>
      <c r="I15" s="8">
        <v>74726.142015534642</v>
      </c>
      <c r="J15" s="8">
        <v>73469.788829246812</v>
      </c>
      <c r="K15" s="8">
        <v>63080.933254042786</v>
      </c>
      <c r="L15" s="8">
        <v>69294.100166773147</v>
      </c>
      <c r="M15" s="8">
        <v>68025.816273212113</v>
      </c>
      <c r="N15" s="8">
        <v>55368.13265334582</v>
      </c>
      <c r="O15" s="8">
        <v>63731.618385797934</v>
      </c>
      <c r="P15" s="8">
        <v>60317.766891114254</v>
      </c>
      <c r="Q15" s="8">
        <v>62815.012135447134</v>
      </c>
      <c r="R15" s="8">
        <v>61066.144356486991</v>
      </c>
      <c r="S15" s="8">
        <v>51194.205229452702</v>
      </c>
      <c r="T15" s="8">
        <v>47097.487617277686</v>
      </c>
      <c r="U15" s="8">
        <v>48453.794659181673</v>
      </c>
      <c r="V15" s="8">
        <v>45264.797693218294</v>
      </c>
      <c r="W15" s="8">
        <v>40824.852168058707</v>
      </c>
    </row>
    <row r="16" spans="1:23" x14ac:dyDescent="0.2">
      <c r="A16" s="1" t="s">
        <v>30</v>
      </c>
      <c r="B16" s="6" t="s">
        <v>39</v>
      </c>
      <c r="C16" s="6" t="s">
        <v>39</v>
      </c>
      <c r="D16" s="7">
        <v>4018679</v>
      </c>
      <c r="E16" s="8">
        <v>190626.12035171376</v>
      </c>
      <c r="F16" s="8">
        <v>190825.51746889242</v>
      </c>
      <c r="G16" s="8">
        <v>213371.62226758851</v>
      </c>
      <c r="H16" s="8">
        <v>214774.65654699094</v>
      </c>
      <c r="I16" s="8">
        <v>192392.50797218413</v>
      </c>
      <c r="J16" s="8">
        <v>151716.460721329</v>
      </c>
      <c r="K16" s="8">
        <v>132682.29468839936</v>
      </c>
      <c r="L16" s="8">
        <v>143030.64439020155</v>
      </c>
      <c r="M16" s="8">
        <v>124359.05136076805</v>
      </c>
      <c r="N16" s="8">
        <v>121442.44215790022</v>
      </c>
      <c r="O16" s="8">
        <v>119796.28094493873</v>
      </c>
      <c r="P16" s="8">
        <v>119787.65350599085</v>
      </c>
      <c r="Q16" s="8">
        <v>113271.99019170445</v>
      </c>
      <c r="R16" s="8">
        <v>111753.58962826726</v>
      </c>
      <c r="S16" s="8">
        <v>97995.693608426343</v>
      </c>
      <c r="T16" s="8">
        <v>103240.59698508766</v>
      </c>
      <c r="U16" s="8">
        <v>107316.34059753396</v>
      </c>
      <c r="V16" s="8">
        <v>102600.76066327511</v>
      </c>
      <c r="W16" s="8">
        <v>106693.82261261409</v>
      </c>
    </row>
    <row r="17" spans="1:23" x14ac:dyDescent="0.2">
      <c r="B17" s="6" t="s">
        <v>40</v>
      </c>
      <c r="C17" s="6" t="s">
        <v>40</v>
      </c>
      <c r="D17" s="7">
        <v>4057112</v>
      </c>
      <c r="E17" s="8">
        <v>24247.879940624462</v>
      </c>
      <c r="F17" s="8">
        <v>22975.710343798259</v>
      </c>
      <c r="G17" s="8">
        <v>22926.441436848672</v>
      </c>
      <c r="H17" s="8">
        <v>21690.932886911934</v>
      </c>
      <c r="I17" s="8">
        <v>21516.265551134897</v>
      </c>
      <c r="J17" s="8">
        <v>19967.978313702592</v>
      </c>
      <c r="K17" s="8">
        <v>18946.90271693371</v>
      </c>
      <c r="L17" s="8">
        <v>19174.89792721784</v>
      </c>
      <c r="M17" s="8">
        <v>17583.084935264596</v>
      </c>
      <c r="N17" s="8">
        <v>17140.97371521889</v>
      </c>
      <c r="O17" s="8">
        <v>16336.902951387066</v>
      </c>
      <c r="P17" s="8">
        <v>16441.375957097538</v>
      </c>
      <c r="Q17" s="8">
        <v>14905.646992074699</v>
      </c>
      <c r="R17" s="8">
        <v>14292.48753196144</v>
      </c>
      <c r="S17" s="8">
        <v>15327.093637510823</v>
      </c>
      <c r="T17" s="8">
        <v>16145.720866568639</v>
      </c>
      <c r="U17" s="8">
        <v>14720.760992803727</v>
      </c>
      <c r="V17" s="8">
        <v>13843.805791863038</v>
      </c>
      <c r="W17" s="8">
        <v>15335.717558184726</v>
      </c>
    </row>
    <row r="18" spans="1:23" x14ac:dyDescent="0.2">
      <c r="A18" s="1" t="s">
        <v>30</v>
      </c>
      <c r="B18" s="6" t="s">
        <v>41</v>
      </c>
      <c r="C18" s="6" t="s">
        <v>41</v>
      </c>
      <c r="D18" s="7">
        <v>4057076</v>
      </c>
      <c r="E18" s="8">
        <v>17039.617857770394</v>
      </c>
      <c r="F18" s="8" t="s">
        <v>123</v>
      </c>
      <c r="G18" s="8">
        <v>15791.30565927831</v>
      </c>
      <c r="H18" s="8">
        <v>14215.607213268248</v>
      </c>
      <c r="I18" s="8">
        <v>14763.719502983</v>
      </c>
      <c r="J18" s="8">
        <v>13486.558108553112</v>
      </c>
      <c r="K18" s="8">
        <v>14166.783364681485</v>
      </c>
      <c r="L18" s="8">
        <v>14691.301987625618</v>
      </c>
      <c r="M18" s="8">
        <v>14451.438658423232</v>
      </c>
      <c r="N18" s="8">
        <v>13681.900192801932</v>
      </c>
      <c r="O18" s="8">
        <v>13750.100596054281</v>
      </c>
      <c r="P18" s="8">
        <v>12820.685218056511</v>
      </c>
      <c r="Q18" s="8">
        <v>10880.157355897276</v>
      </c>
      <c r="R18" s="8">
        <v>9822.3257407589626</v>
      </c>
      <c r="S18" s="8">
        <v>8715.5998550258519</v>
      </c>
      <c r="T18" s="8">
        <v>6216.7600738173915</v>
      </c>
      <c r="U18" s="8">
        <v>5599.9993822991601</v>
      </c>
      <c r="V18" s="8">
        <v>4965.684114743367</v>
      </c>
      <c r="W18" s="8">
        <v>4380.6216469587262</v>
      </c>
    </row>
    <row r="19" spans="1:23" x14ac:dyDescent="0.2">
      <c r="B19" s="6" t="s">
        <v>42</v>
      </c>
      <c r="C19" s="6" t="s">
        <v>42</v>
      </c>
      <c r="D19" s="7">
        <v>4059166</v>
      </c>
      <c r="E19" s="8" t="s">
        <v>123</v>
      </c>
      <c r="F19" s="8">
        <v>6160.9226637514294</v>
      </c>
      <c r="G19" s="8">
        <v>5620.2312550295437</v>
      </c>
      <c r="H19" s="8">
        <v>4603.1413206605757</v>
      </c>
      <c r="I19" s="8">
        <v>4067.5852153764654</v>
      </c>
      <c r="J19" s="8">
        <v>4120.8006058482779</v>
      </c>
      <c r="K19" s="8">
        <v>4273.0174301285233</v>
      </c>
      <c r="L19" s="8">
        <v>4136.1639936824495</v>
      </c>
      <c r="M19" s="8">
        <v>4316.1062467503743</v>
      </c>
      <c r="N19" s="8">
        <v>4279.346904533737</v>
      </c>
      <c r="O19" s="8">
        <v>3798.2735102937927</v>
      </c>
      <c r="P19" s="8">
        <v>3762.2426148491227</v>
      </c>
      <c r="Q19" s="8">
        <v>3860.5803600584259</v>
      </c>
      <c r="R19" s="8">
        <v>3547.3136556763034</v>
      </c>
      <c r="S19" s="8">
        <v>3616.0284534002981</v>
      </c>
      <c r="T19" s="8">
        <v>3742.2877833572002</v>
      </c>
      <c r="U19" s="8">
        <v>4185.0770764483059</v>
      </c>
      <c r="V19" s="8">
        <v>4352.0559288218101</v>
      </c>
      <c r="W19" s="8">
        <v>3964.4179792799591</v>
      </c>
    </row>
    <row r="20" spans="1:23" x14ac:dyDescent="0.2">
      <c r="B20" s="6" t="s">
        <v>43</v>
      </c>
      <c r="C20" s="6" t="s">
        <v>43</v>
      </c>
      <c r="D20" s="7">
        <v>4059227</v>
      </c>
      <c r="E20" s="8" t="s">
        <v>123</v>
      </c>
      <c r="F20" s="8">
        <v>1586.19361656811</v>
      </c>
      <c r="G20" s="8">
        <v>2268.3715205180902</v>
      </c>
      <c r="H20" s="8">
        <v>1889.0411644067083</v>
      </c>
      <c r="I20" s="8">
        <v>1798.8896092399875</v>
      </c>
      <c r="J20" s="8">
        <v>1679.3687253827441</v>
      </c>
      <c r="K20" s="8">
        <v>1691.9781321765211</v>
      </c>
      <c r="L20" s="8">
        <v>1661.208196993073</v>
      </c>
      <c r="M20" s="8">
        <v>1551.3114419592525</v>
      </c>
      <c r="N20" s="8">
        <v>1381.5339455946612</v>
      </c>
      <c r="O20" s="8">
        <v>1512.4504321847073</v>
      </c>
      <c r="P20" s="8">
        <v>1553.8299970329306</v>
      </c>
      <c r="Q20" s="8">
        <v>1450.7652343268335</v>
      </c>
      <c r="R20" s="8">
        <v>1486.8089960207637</v>
      </c>
      <c r="S20" s="8">
        <v>1447.616315107743</v>
      </c>
      <c r="T20" s="8">
        <v>1357.8788592046269</v>
      </c>
      <c r="U20" s="8">
        <v>1258.2032077315384</v>
      </c>
      <c r="V20" s="8" t="s">
        <v>123</v>
      </c>
      <c r="W20" s="8">
        <v>1156.4513782382612</v>
      </c>
    </row>
    <row r="21" spans="1:23" x14ac:dyDescent="0.2">
      <c r="A21" s="1" t="s">
        <v>30</v>
      </c>
      <c r="B21" s="6" t="s">
        <v>44</v>
      </c>
      <c r="C21" s="6" t="s">
        <v>44</v>
      </c>
      <c r="D21" s="7">
        <v>4057114</v>
      </c>
      <c r="E21" s="8" t="s">
        <v>123</v>
      </c>
      <c r="F21" s="8">
        <v>11301.535771974532</v>
      </c>
      <c r="G21" s="8">
        <v>19236.025816726495</v>
      </c>
      <c r="H21" s="8">
        <v>38409.184834861066</v>
      </c>
      <c r="I21" s="8">
        <v>11882.023200725536</v>
      </c>
      <c r="J21" s="8">
        <v>11487.015952919062</v>
      </c>
      <c r="K21" s="8">
        <v>10744.200366256906</v>
      </c>
      <c r="L21" s="8">
        <v>10814.407376252071</v>
      </c>
      <c r="M21" s="8">
        <v>10460.506545021377</v>
      </c>
      <c r="N21" s="8">
        <v>8384.0890162192154</v>
      </c>
      <c r="O21" s="8">
        <v>10654.301479713831</v>
      </c>
      <c r="P21" s="8">
        <v>10761.044173848548</v>
      </c>
      <c r="Q21" s="8">
        <v>11162.441092217234</v>
      </c>
      <c r="R21" s="8">
        <v>9942.8555052792763</v>
      </c>
      <c r="S21" s="8">
        <v>8659.7867179072291</v>
      </c>
      <c r="T21" s="8">
        <v>8812.1784266913746</v>
      </c>
      <c r="U21" s="8">
        <v>7994.33991280585</v>
      </c>
      <c r="V21" s="8">
        <v>9633.9267908357033</v>
      </c>
      <c r="W21" s="8">
        <v>9124.1491081380955</v>
      </c>
    </row>
    <row r="22" spans="1:23" x14ac:dyDescent="0.2">
      <c r="B22" s="6" t="s">
        <v>45</v>
      </c>
      <c r="C22" s="6" t="s">
        <v>45</v>
      </c>
      <c r="D22" s="7">
        <v>4059355</v>
      </c>
      <c r="E22" s="8">
        <v>20535.01216012827</v>
      </c>
      <c r="F22" s="8">
        <v>18565.88580238758</v>
      </c>
      <c r="G22" s="8">
        <v>19082.827967727819</v>
      </c>
      <c r="H22" s="8">
        <v>16461.631404846739</v>
      </c>
      <c r="I22" s="8">
        <v>17908.976896463082</v>
      </c>
      <c r="J22" s="8">
        <v>15091.395736535351</v>
      </c>
      <c r="K22" s="8">
        <v>13488.956706700192</v>
      </c>
      <c r="L22" s="8">
        <v>13275.035210369491</v>
      </c>
      <c r="M22" s="8">
        <v>12830.418791516619</v>
      </c>
      <c r="N22" s="8">
        <v>12374.56672014634</v>
      </c>
      <c r="O22" s="8">
        <v>11846.609034720803</v>
      </c>
      <c r="P22" s="8">
        <v>12082.387581424464</v>
      </c>
      <c r="Q22" s="8">
        <v>11701.246745093305</v>
      </c>
      <c r="R22" s="8">
        <v>10229.445274352172</v>
      </c>
      <c r="S22" s="8">
        <v>9162.5988619010477</v>
      </c>
      <c r="T22" s="8">
        <v>9924.2400097521058</v>
      </c>
      <c r="U22" s="8">
        <v>10683.830243822675</v>
      </c>
      <c r="V22" s="8">
        <v>9890.8518779825426</v>
      </c>
      <c r="W22" s="8">
        <v>9565.2658576273097</v>
      </c>
    </row>
    <row r="23" spans="1:23" x14ac:dyDescent="0.2">
      <c r="B23" s="6" t="s">
        <v>46</v>
      </c>
      <c r="C23" s="6" t="s">
        <v>46</v>
      </c>
      <c r="D23" s="7">
        <v>4088325</v>
      </c>
      <c r="E23" s="8">
        <v>18714.971467142848</v>
      </c>
      <c r="F23" s="8">
        <v>4734.0903339342522</v>
      </c>
      <c r="G23" s="8">
        <v>4247.7567483600315</v>
      </c>
      <c r="H23" s="8">
        <v>5458.8267704417294</v>
      </c>
      <c r="I23" s="8">
        <v>5856.3101794986287</v>
      </c>
      <c r="J23" s="8">
        <v>5347.0945751826512</v>
      </c>
      <c r="K23" s="8">
        <v>4786.9114993028243</v>
      </c>
      <c r="L23" s="8">
        <v>4582.3217983813502</v>
      </c>
      <c r="M23" s="8">
        <v>6743.2155906801063</v>
      </c>
      <c r="N23" s="8">
        <v>3801.358971622321</v>
      </c>
      <c r="O23" s="8">
        <v>3739.2431116265225</v>
      </c>
      <c r="P23" s="8">
        <v>3640.6603340527267</v>
      </c>
      <c r="Q23" s="8">
        <v>3641.5845614927307</v>
      </c>
      <c r="R23" s="8">
        <v>3296.1447671949059</v>
      </c>
      <c r="S23" s="8">
        <v>3080.2837756403401</v>
      </c>
      <c r="T23" s="8">
        <v>3157.6096215471598</v>
      </c>
      <c r="U23" s="8">
        <v>3099.5316322556978</v>
      </c>
      <c r="V23" s="8">
        <v>2834.6657903603973</v>
      </c>
      <c r="W23" s="8">
        <v>2504.0832677629037</v>
      </c>
    </row>
    <row r="24" spans="1:23" x14ac:dyDescent="0.2">
      <c r="B24" s="6" t="s">
        <v>47</v>
      </c>
      <c r="C24" s="6" t="s">
        <v>47</v>
      </c>
      <c r="D24" s="7">
        <v>4088326</v>
      </c>
      <c r="E24" s="8" t="s">
        <v>123</v>
      </c>
      <c r="F24" s="8">
        <v>111746.04510556188</v>
      </c>
      <c r="G24" s="8">
        <v>112759.89839455052</v>
      </c>
      <c r="H24" s="8">
        <v>105521.73982836951</v>
      </c>
      <c r="I24" s="8">
        <v>116928.7846151376</v>
      </c>
      <c r="J24" s="8">
        <v>99213.333220233792</v>
      </c>
      <c r="K24" s="8">
        <v>95430.912215290373</v>
      </c>
      <c r="L24" s="8">
        <v>93591.00324091065</v>
      </c>
      <c r="M24" s="8">
        <v>87418.094901473058</v>
      </c>
      <c r="N24" s="8">
        <v>84538.11413485698</v>
      </c>
      <c r="O24" s="8">
        <v>82485.395465911919</v>
      </c>
      <c r="P24" s="8">
        <v>83541.750748643972</v>
      </c>
      <c r="Q24" s="8">
        <v>81822.849920530716</v>
      </c>
      <c r="R24" s="8">
        <v>82368.070967827356</v>
      </c>
      <c r="S24" s="8">
        <v>76275.195710382555</v>
      </c>
      <c r="T24" s="8">
        <v>69014.67574565929</v>
      </c>
      <c r="U24" s="8">
        <v>75719.674643034377</v>
      </c>
      <c r="V24" s="8">
        <v>65201.170067297913</v>
      </c>
      <c r="W24" s="8">
        <v>66173.664292655754</v>
      </c>
    </row>
    <row r="25" spans="1:23" x14ac:dyDescent="0.2">
      <c r="A25" s="1" t="s">
        <v>30</v>
      </c>
      <c r="B25" s="6" t="s">
        <v>48</v>
      </c>
      <c r="C25" s="6" t="s">
        <v>48</v>
      </c>
      <c r="D25" s="7">
        <v>4059358</v>
      </c>
      <c r="E25" s="8" t="s">
        <v>123</v>
      </c>
      <c r="F25" s="8">
        <v>63664.537888363258</v>
      </c>
      <c r="G25" s="8">
        <v>62813.969167172865</v>
      </c>
      <c r="H25" s="8">
        <v>54931.821195497803</v>
      </c>
      <c r="I25" s="8">
        <v>67555.289331251261</v>
      </c>
      <c r="J25" s="8">
        <v>56483.94824461337</v>
      </c>
      <c r="K25" s="8">
        <v>52794.27576277007</v>
      </c>
      <c r="L25" s="8">
        <v>50519.7831899148</v>
      </c>
      <c r="M25" s="8">
        <v>44556.20402769983</v>
      </c>
      <c r="N25" s="8">
        <v>40072.391081958034</v>
      </c>
      <c r="O25" s="8">
        <v>44206.778314120529</v>
      </c>
      <c r="P25" s="8">
        <v>42598.281591184612</v>
      </c>
      <c r="Q25" s="8">
        <v>38701.887149596521</v>
      </c>
      <c r="R25" s="8">
        <v>36578.102811325858</v>
      </c>
      <c r="S25" s="8">
        <v>35770.221545336266</v>
      </c>
      <c r="T25" s="8">
        <v>31859.388937346219</v>
      </c>
      <c r="U25" s="8">
        <v>33229.816503901529</v>
      </c>
      <c r="V25" s="8">
        <v>29986.6918777385</v>
      </c>
      <c r="W25" s="8">
        <v>28617.864331582743</v>
      </c>
    </row>
    <row r="26" spans="1:23" x14ac:dyDescent="0.2">
      <c r="B26" s="6" t="s">
        <v>49</v>
      </c>
      <c r="C26" s="6" t="s">
        <v>49</v>
      </c>
      <c r="D26" s="7">
        <v>4059359</v>
      </c>
      <c r="E26" s="8" t="s">
        <v>123</v>
      </c>
      <c r="F26" s="8">
        <v>36494.358135151779</v>
      </c>
      <c r="G26" s="8">
        <v>39666.024729817946</v>
      </c>
      <c r="H26" s="8">
        <v>37469.395020073862</v>
      </c>
      <c r="I26" s="8">
        <v>38475.961422145338</v>
      </c>
      <c r="J26" s="8">
        <v>32242.636110287545</v>
      </c>
      <c r="K26" s="8">
        <v>30769.357909328064</v>
      </c>
      <c r="L26" s="8">
        <v>27348.822507100602</v>
      </c>
      <c r="M26" s="8">
        <v>24659.330239445164</v>
      </c>
      <c r="N26" s="8">
        <v>21516.205310237568</v>
      </c>
      <c r="O26" s="8">
        <v>21663.089377429638</v>
      </c>
      <c r="P26" s="8">
        <v>20162.700659833972</v>
      </c>
      <c r="Q26" s="8">
        <v>19512.57202675577</v>
      </c>
      <c r="R26" s="8">
        <v>18601.987773646735</v>
      </c>
      <c r="S26" s="8">
        <v>21462.456052960824</v>
      </c>
      <c r="T26" s="8">
        <v>19045.637393829504</v>
      </c>
      <c r="U26" s="8">
        <v>19240.583463655817</v>
      </c>
      <c r="V26" s="8">
        <v>16455.579427835295</v>
      </c>
      <c r="W26" s="8">
        <v>16060.25115488848</v>
      </c>
    </row>
    <row r="27" spans="1:23" x14ac:dyDescent="0.2">
      <c r="A27" s="1" t="s">
        <v>30</v>
      </c>
      <c r="B27" s="6" t="s">
        <v>50</v>
      </c>
      <c r="C27" s="6" t="s">
        <v>50</v>
      </c>
      <c r="D27" s="7">
        <v>4059402</v>
      </c>
      <c r="E27" s="8">
        <v>28913.812754069393</v>
      </c>
      <c r="F27" s="8" t="s">
        <v>123</v>
      </c>
      <c r="G27" s="8">
        <v>6631801.9749223841</v>
      </c>
      <c r="H27" s="8">
        <v>25752.298428012698</v>
      </c>
      <c r="I27" s="8">
        <v>30113.503213589251</v>
      </c>
      <c r="J27" s="8">
        <v>24408.390786746953</v>
      </c>
      <c r="K27" s="8">
        <v>24707.796273217318</v>
      </c>
      <c r="L27" s="8">
        <v>21883.939382583692</v>
      </c>
      <c r="M27" s="8">
        <v>21397.565465530948</v>
      </c>
      <c r="N27" s="8">
        <v>18266.561074802838</v>
      </c>
      <c r="O27" s="8">
        <v>19156.283756168454</v>
      </c>
      <c r="P27" s="8">
        <v>17808.42383381008</v>
      </c>
      <c r="Q27" s="8">
        <v>25356.899063755111</v>
      </c>
      <c r="R27" s="8">
        <v>18730.648159127104</v>
      </c>
      <c r="S27" s="8">
        <v>17669.463235382074</v>
      </c>
      <c r="T27" s="8">
        <v>16681.487311645436</v>
      </c>
      <c r="U27" s="8">
        <v>16398.18378990272</v>
      </c>
      <c r="V27" s="8">
        <v>16434.491736383858</v>
      </c>
      <c r="W27" s="8">
        <v>14970.361216145189</v>
      </c>
    </row>
    <row r="28" spans="1:23" x14ac:dyDescent="0.2">
      <c r="A28" s="1" t="s">
        <v>30</v>
      </c>
      <c r="B28" s="6" t="s">
        <v>51</v>
      </c>
      <c r="C28" s="6" t="s">
        <v>51</v>
      </c>
      <c r="D28" s="7">
        <v>4057080</v>
      </c>
      <c r="E28" s="8">
        <v>132600.11101561776</v>
      </c>
      <c r="F28" s="8">
        <v>132051.58497180408</v>
      </c>
      <c r="G28" s="8">
        <v>139778.84443068921</v>
      </c>
      <c r="H28" s="8">
        <v>151597.08864638535</v>
      </c>
      <c r="I28" s="8">
        <v>149376.08595545925</v>
      </c>
      <c r="J28" s="8">
        <v>139222.50442893512</v>
      </c>
      <c r="K28" s="8">
        <v>146038.09545015765</v>
      </c>
      <c r="L28" s="8">
        <v>135183.09782483571</v>
      </c>
      <c r="M28" s="8">
        <v>113890.16012322962</v>
      </c>
      <c r="N28" s="8">
        <v>109599.99298994782</v>
      </c>
      <c r="O28" s="8">
        <v>117334.51076646303</v>
      </c>
      <c r="P28" s="8">
        <v>109839.17599763915</v>
      </c>
      <c r="Q28" s="8">
        <v>97782.663292966579</v>
      </c>
      <c r="R28" s="8">
        <v>90665.546732827643</v>
      </c>
      <c r="S28" s="8">
        <v>78490.775650091135</v>
      </c>
      <c r="T28" s="8">
        <v>73972.106776327477</v>
      </c>
      <c r="U28" s="8">
        <v>68711.047060469995</v>
      </c>
      <c r="V28" s="8">
        <v>61522.071778329351</v>
      </c>
      <c r="W28" s="8">
        <v>58078.936935953541</v>
      </c>
    </row>
    <row r="29" spans="1:23" x14ac:dyDescent="0.2">
      <c r="B29" s="6" t="s">
        <v>52</v>
      </c>
      <c r="C29" s="6" t="s">
        <v>52</v>
      </c>
      <c r="D29" s="7">
        <v>4057081</v>
      </c>
      <c r="E29" s="8">
        <v>108824.34945213952</v>
      </c>
      <c r="F29" s="8">
        <v>104019.6138718424</v>
      </c>
      <c r="G29" s="8">
        <v>114700.57730108232</v>
      </c>
      <c r="H29" s="8">
        <v>114322.44571808956</v>
      </c>
      <c r="I29" s="8">
        <v>106858.4565753466</v>
      </c>
      <c r="J29" s="8">
        <v>111819.22825536168</v>
      </c>
      <c r="K29" s="8">
        <v>113048.56167988709</v>
      </c>
      <c r="L29" s="8">
        <v>109347.33676154299</v>
      </c>
      <c r="M29" s="8">
        <v>110877.57693443171</v>
      </c>
      <c r="N29" s="8">
        <v>110647.19852325744</v>
      </c>
      <c r="O29" s="8">
        <v>107757.50586358148</v>
      </c>
      <c r="P29" s="8">
        <v>106779.14164816841</v>
      </c>
      <c r="Q29" s="8">
        <v>110453.24097685704</v>
      </c>
      <c r="R29" s="8">
        <v>109238.41661394139</v>
      </c>
      <c r="S29" s="8">
        <v>101899.5695421228</v>
      </c>
      <c r="T29" s="8">
        <v>101324.71397236465</v>
      </c>
      <c r="U29" s="8">
        <v>105575.7339739138</v>
      </c>
      <c r="V29" s="8">
        <v>91667.35283122379</v>
      </c>
      <c r="W29" s="8">
        <v>91564.583108391074</v>
      </c>
    </row>
    <row r="30" spans="1:23" x14ac:dyDescent="0.2">
      <c r="A30" s="1" t="s">
        <v>30</v>
      </c>
      <c r="B30" s="6" t="s">
        <v>53</v>
      </c>
      <c r="C30" s="6" t="s">
        <v>53</v>
      </c>
      <c r="D30" s="7">
        <v>4059459</v>
      </c>
      <c r="E30" s="8">
        <v>3382.7416396897574</v>
      </c>
      <c r="F30" s="8">
        <v>2816.0264601751242</v>
      </c>
      <c r="G30" s="8">
        <v>2862.2052792562249</v>
      </c>
      <c r="H30" s="8">
        <v>2843.0428550716942</v>
      </c>
      <c r="I30" s="8">
        <v>2819.7500745346247</v>
      </c>
      <c r="J30" s="8">
        <v>2515.3910202612187</v>
      </c>
      <c r="K30" s="8">
        <v>2625.6756584550667</v>
      </c>
      <c r="L30" s="8">
        <v>2560.0428994144359</v>
      </c>
      <c r="M30" s="8">
        <v>2219.9375483313474</v>
      </c>
      <c r="N30" s="8">
        <v>2278.6274292024723</v>
      </c>
      <c r="O30" s="8">
        <v>2118.6355273628774</v>
      </c>
      <c r="P30" s="8">
        <v>2127.5832288076867</v>
      </c>
      <c r="Q30" s="8">
        <v>2019.4924785226083</v>
      </c>
      <c r="R30" s="8">
        <v>1841.0861245779301</v>
      </c>
      <c r="S30" s="8">
        <v>1713.6087540880446</v>
      </c>
      <c r="T30" s="8">
        <v>1621.0375810447977</v>
      </c>
      <c r="U30" s="8">
        <v>1111.6450131313147</v>
      </c>
      <c r="V30" s="8">
        <v>1077.7043382577167</v>
      </c>
      <c r="W30" s="8">
        <v>1141.4071479749086</v>
      </c>
    </row>
    <row r="31" spans="1:23" x14ac:dyDescent="0.2">
      <c r="B31" s="6" t="s">
        <v>54</v>
      </c>
      <c r="C31" s="6" t="s">
        <v>54</v>
      </c>
      <c r="D31" s="7">
        <v>4057118</v>
      </c>
      <c r="E31" s="8">
        <v>3577.1665484297696</v>
      </c>
      <c r="F31" s="8">
        <v>2504.2658081777927</v>
      </c>
      <c r="G31" s="8">
        <v>2530.9203422545406</v>
      </c>
      <c r="H31" s="8">
        <v>3803.3084572968282</v>
      </c>
      <c r="I31" s="8">
        <v>3761.7955584156584</v>
      </c>
      <c r="J31" s="8">
        <v>3835.420392129357</v>
      </c>
      <c r="K31" s="8">
        <v>3850.7580208572981</v>
      </c>
      <c r="L31" s="8">
        <v>3699.6541205845365</v>
      </c>
      <c r="M31" s="8">
        <v>3639.1716092944903</v>
      </c>
      <c r="N31" s="8">
        <v>3593.3008416124089</v>
      </c>
      <c r="O31" s="8">
        <v>3452.4116378390017</v>
      </c>
      <c r="P31" s="8">
        <v>3706.0702635766138</v>
      </c>
      <c r="Q31" s="8">
        <v>3948.8017119965525</v>
      </c>
      <c r="R31" s="8">
        <v>3716.8762775798655</v>
      </c>
      <c r="S31" s="8">
        <v>3421.642050850312</v>
      </c>
      <c r="T31" s="8">
        <v>3241.831597828033</v>
      </c>
      <c r="U31" s="8">
        <v>3189.0305908644023</v>
      </c>
      <c r="V31" s="8">
        <v>3050.8507059750482</v>
      </c>
      <c r="W31" s="8">
        <v>2961.0836139029711</v>
      </c>
    </row>
    <row r="32" spans="1:23" x14ac:dyDescent="0.2">
      <c r="B32" s="6" t="s">
        <v>55</v>
      </c>
      <c r="C32" s="6" t="s">
        <v>55</v>
      </c>
      <c r="D32" s="7">
        <v>4057126</v>
      </c>
      <c r="E32" s="8">
        <v>152313.30507658049</v>
      </c>
      <c r="F32" s="8">
        <v>138859.76142642426</v>
      </c>
      <c r="G32" s="8">
        <v>142058.0451875625</v>
      </c>
      <c r="H32" s="8">
        <v>135833.4358846673</v>
      </c>
      <c r="I32" s="8">
        <v>134306.38591823226</v>
      </c>
      <c r="J32" s="8">
        <v>119612.89137064264</v>
      </c>
      <c r="K32" s="8">
        <v>119838.09021499062</v>
      </c>
      <c r="L32" s="8">
        <v>125970.19649661025</v>
      </c>
      <c r="M32" s="8">
        <v>118720.24703085063</v>
      </c>
      <c r="N32" s="8">
        <v>108349.33947576159</v>
      </c>
      <c r="O32" s="8">
        <v>106893.42240257739</v>
      </c>
      <c r="P32" s="8">
        <v>104694.38790479938</v>
      </c>
      <c r="Q32" s="8">
        <v>97983.402139575235</v>
      </c>
      <c r="R32" s="8">
        <v>101662.61973125041</v>
      </c>
      <c r="S32" s="8">
        <v>105347.80068459222</v>
      </c>
      <c r="T32" s="8">
        <v>100515.0921945108</v>
      </c>
      <c r="U32" s="8">
        <v>108802.75649349975</v>
      </c>
      <c r="V32" s="8">
        <v>98067.10555946338</v>
      </c>
      <c r="W32" s="8">
        <v>92822.642859697648</v>
      </c>
    </row>
    <row r="33" spans="1:23" x14ac:dyDescent="0.2">
      <c r="B33" s="6" t="s">
        <v>56</v>
      </c>
      <c r="C33" s="6" t="s">
        <v>56</v>
      </c>
      <c r="D33" s="7">
        <v>4057103</v>
      </c>
      <c r="E33" s="8" t="s">
        <v>123</v>
      </c>
      <c r="F33" s="8" t="s">
        <v>123</v>
      </c>
      <c r="G33" s="8">
        <v>8307.0387687740968</v>
      </c>
      <c r="H33" s="8">
        <v>9183.6822280463803</v>
      </c>
      <c r="I33" s="8">
        <v>8855.0692277668732</v>
      </c>
      <c r="J33" s="8" t="s">
        <v>123</v>
      </c>
      <c r="K33" s="8">
        <v>8183.8058701351765</v>
      </c>
      <c r="L33" s="8">
        <v>8387.6115035938001</v>
      </c>
      <c r="M33" s="8">
        <v>7949.5922812763529</v>
      </c>
      <c r="N33" s="8">
        <v>8725.1870113893074</v>
      </c>
      <c r="O33" s="8">
        <v>8044.7412150773516</v>
      </c>
      <c r="P33" s="8">
        <v>7986.2800905253989</v>
      </c>
      <c r="Q33" s="8">
        <v>7547.8049282529673</v>
      </c>
      <c r="R33" s="8">
        <v>7620.0668604947632</v>
      </c>
      <c r="S33" s="8">
        <v>9566.8102821247903</v>
      </c>
      <c r="T33" s="8">
        <v>8024.5921760518086</v>
      </c>
      <c r="U33" s="8">
        <v>7586.4925903982639</v>
      </c>
      <c r="V33" s="8">
        <v>5877.0044689373726</v>
      </c>
      <c r="W33" s="8">
        <v>5833.3296309643556</v>
      </c>
    </row>
    <row r="34" spans="1:23" x14ac:dyDescent="0.2">
      <c r="B34" s="6" t="s">
        <v>57</v>
      </c>
      <c r="C34" s="6" t="s">
        <v>57</v>
      </c>
      <c r="D34" s="7">
        <v>4057079</v>
      </c>
      <c r="E34" s="8">
        <v>35560.634030984511</v>
      </c>
      <c r="F34" s="8">
        <v>28927.718020136715</v>
      </c>
      <c r="G34" s="8">
        <v>32104.16031100625</v>
      </c>
      <c r="H34" s="8">
        <v>33767.489722012659</v>
      </c>
      <c r="I34" s="8">
        <v>31218.589340158771</v>
      </c>
      <c r="J34" s="8">
        <v>30968.328792320583</v>
      </c>
      <c r="K34" s="8">
        <v>33254.784623951644</v>
      </c>
      <c r="L34" s="8">
        <v>31611.211887846977</v>
      </c>
      <c r="M34" s="8">
        <v>35622.457004582269</v>
      </c>
      <c r="N34" s="8">
        <v>34291.315462757273</v>
      </c>
      <c r="O34" s="8">
        <v>35680.335704280871</v>
      </c>
      <c r="P34" s="8">
        <v>35034.066735605171</v>
      </c>
      <c r="Q34" s="8">
        <v>26932.066112140848</v>
      </c>
      <c r="R34" s="8">
        <v>27790.953446091095</v>
      </c>
      <c r="S34" s="8">
        <v>33427.237756925402</v>
      </c>
      <c r="T34" s="8">
        <v>33833.204842769846</v>
      </c>
      <c r="U34" s="8">
        <v>31194.887542907843</v>
      </c>
      <c r="V34" s="8">
        <v>28828.133765959861</v>
      </c>
      <c r="W34" s="8">
        <v>25734.36956371761</v>
      </c>
    </row>
    <row r="35" spans="1:23" x14ac:dyDescent="0.2">
      <c r="B35" s="6" t="s">
        <v>58</v>
      </c>
      <c r="C35" s="6" t="s">
        <v>59</v>
      </c>
      <c r="D35" s="7">
        <v>4081251</v>
      </c>
      <c r="E35" s="8" t="s">
        <v>123</v>
      </c>
      <c r="F35" s="8" t="s">
        <v>123</v>
      </c>
      <c r="G35" s="8">
        <v>236.07193674014283</v>
      </c>
      <c r="H35" s="8">
        <v>248.54376085933623</v>
      </c>
      <c r="I35" s="8">
        <v>221.11993932483773</v>
      </c>
      <c r="J35" s="8">
        <v>228.43600207135302</v>
      </c>
      <c r="K35" s="8" t="s">
        <v>123</v>
      </c>
      <c r="L35" s="8">
        <v>200.57640963900042</v>
      </c>
      <c r="M35" s="8">
        <v>174.72799393821128</v>
      </c>
      <c r="N35" s="8">
        <v>186.37196213241052</v>
      </c>
      <c r="O35" s="8">
        <v>174.85626009365384</v>
      </c>
      <c r="P35" s="8">
        <v>182.54685783901485</v>
      </c>
      <c r="Q35" s="8">
        <v>159.82179431750367</v>
      </c>
      <c r="R35" s="8">
        <v>157.97632747043059</v>
      </c>
      <c r="S35" s="8">
        <v>153.77632063216711</v>
      </c>
      <c r="T35" s="8">
        <v>155.92770325463752</v>
      </c>
      <c r="U35" s="8">
        <v>154.66193524630785</v>
      </c>
      <c r="V35" s="8">
        <v>155.79325753683727</v>
      </c>
      <c r="W35" s="8" t="s">
        <v>123</v>
      </c>
    </row>
    <row r="36" spans="1:23" x14ac:dyDescent="0.2">
      <c r="B36" s="6" t="s">
        <v>60</v>
      </c>
      <c r="C36" s="6" t="s">
        <v>60</v>
      </c>
      <c r="D36" s="7">
        <v>4060572</v>
      </c>
      <c r="E36" s="8" t="s">
        <v>123</v>
      </c>
      <c r="F36" s="8">
        <v>11382.775210630596</v>
      </c>
      <c r="G36" s="8">
        <v>13833.168847827665</v>
      </c>
      <c r="H36" s="8">
        <v>10825.671564843353</v>
      </c>
      <c r="I36" s="8">
        <v>11611.590075494936</v>
      </c>
      <c r="J36" s="8">
        <v>11529.178241884896</v>
      </c>
      <c r="K36" s="8">
        <v>11545.82811562558</v>
      </c>
      <c r="L36" s="8">
        <v>12024.175129968595</v>
      </c>
      <c r="M36" s="8">
        <v>9732.767400680008</v>
      </c>
      <c r="N36" s="8">
        <v>9293.1610006920982</v>
      </c>
      <c r="O36" s="8">
        <v>9146.50427068522</v>
      </c>
      <c r="P36" s="8">
        <v>10370.171852248352</v>
      </c>
      <c r="Q36" s="8">
        <v>9458.0738949193073</v>
      </c>
      <c r="R36" s="8">
        <v>10778.72793930009</v>
      </c>
      <c r="S36" s="8">
        <v>9297.8310457947355</v>
      </c>
      <c r="T36" s="8">
        <v>9658.8733673461338</v>
      </c>
      <c r="U36" s="8">
        <v>12065.428212778965</v>
      </c>
      <c r="V36" s="8">
        <v>10250.6411226696</v>
      </c>
      <c r="W36" s="8">
        <v>8773.3933220564231</v>
      </c>
    </row>
    <row r="37" spans="1:23" x14ac:dyDescent="0.2">
      <c r="B37" s="6" t="s">
        <v>61</v>
      </c>
      <c r="C37" s="6" t="s">
        <v>61</v>
      </c>
      <c r="D37" s="7">
        <v>4083318</v>
      </c>
      <c r="E37" s="8" t="s">
        <v>123</v>
      </c>
      <c r="F37" s="8">
        <v>643.16399750056564</v>
      </c>
      <c r="G37" s="8">
        <v>653.00291960517927</v>
      </c>
      <c r="H37" s="8">
        <v>519.17736362867629</v>
      </c>
      <c r="I37" s="8">
        <v>463.40890154979962</v>
      </c>
      <c r="J37" s="8">
        <v>549.34374921421079</v>
      </c>
      <c r="K37" s="8">
        <v>482.36912829491558</v>
      </c>
      <c r="L37" s="8">
        <v>522.15709610186138</v>
      </c>
      <c r="M37" s="8">
        <v>608.19425148753066</v>
      </c>
      <c r="N37" s="8">
        <v>592.79385995014707</v>
      </c>
      <c r="O37" s="8">
        <v>614.3095431931348</v>
      </c>
      <c r="P37" s="8">
        <v>656.78022299064889</v>
      </c>
      <c r="Q37" s="8">
        <v>611.91966682415148</v>
      </c>
      <c r="R37" s="8">
        <v>685.53347649894249</v>
      </c>
      <c r="S37" s="8">
        <v>579.75916026482992</v>
      </c>
      <c r="T37" s="8">
        <v>560.09101064612685</v>
      </c>
      <c r="U37" s="8">
        <v>556.64890528211595</v>
      </c>
      <c r="V37" s="8">
        <v>545.17877744413329</v>
      </c>
      <c r="W37" s="8">
        <v>545.2890562653206</v>
      </c>
    </row>
    <row r="38" spans="1:23" x14ac:dyDescent="0.2">
      <c r="B38" s="6" t="s">
        <v>62</v>
      </c>
      <c r="C38" s="6" t="s">
        <v>62</v>
      </c>
      <c r="D38" s="7">
        <v>4057125</v>
      </c>
      <c r="E38" s="8" t="s">
        <v>123</v>
      </c>
      <c r="F38" s="8">
        <v>45305.659034454002</v>
      </c>
      <c r="G38" s="8">
        <v>54655.40925110122</v>
      </c>
      <c r="H38" s="8">
        <v>45605.514572439868</v>
      </c>
      <c r="I38" s="8">
        <v>44354.215833440445</v>
      </c>
      <c r="J38" s="8">
        <v>41010.639643182789</v>
      </c>
      <c r="K38" s="8">
        <v>41299.678901160005</v>
      </c>
      <c r="L38" s="8">
        <v>42321.690182520819</v>
      </c>
      <c r="M38" s="8">
        <v>40290.811660603526</v>
      </c>
      <c r="N38" s="8">
        <v>36942.307063257991</v>
      </c>
      <c r="O38" s="8">
        <v>37226.140581690335</v>
      </c>
      <c r="P38" s="8">
        <v>36066.984513698197</v>
      </c>
      <c r="Q38" s="8">
        <v>36658.926777326284</v>
      </c>
      <c r="R38" s="8">
        <v>36149.465397046006</v>
      </c>
      <c r="S38" s="8">
        <v>35359.484739821011</v>
      </c>
      <c r="T38" s="8">
        <v>32373.14562977913</v>
      </c>
      <c r="U38" s="8">
        <v>33149.696554499773</v>
      </c>
      <c r="V38" s="8">
        <v>32275.504326638653</v>
      </c>
      <c r="W38" s="8">
        <v>30592.284679917371</v>
      </c>
    </row>
    <row r="39" spans="1:23" x14ac:dyDescent="0.2">
      <c r="B39" s="6" t="s">
        <v>63</v>
      </c>
      <c r="C39" s="6" t="s">
        <v>63</v>
      </c>
      <c r="D39" s="7">
        <v>4087741</v>
      </c>
      <c r="E39" s="8" t="s">
        <v>123</v>
      </c>
      <c r="F39" s="8" t="s">
        <v>123</v>
      </c>
      <c r="G39" s="8" t="s">
        <v>123</v>
      </c>
      <c r="H39" s="8">
        <v>53544.742016824195</v>
      </c>
      <c r="I39" s="8">
        <v>50233.459357645697</v>
      </c>
      <c r="J39" s="8">
        <v>55052.484858405005</v>
      </c>
      <c r="K39" s="8">
        <v>53371.073737599734</v>
      </c>
      <c r="L39" s="8">
        <v>54572.468049816889</v>
      </c>
      <c r="M39" s="8">
        <v>51584.265947661741</v>
      </c>
      <c r="N39" s="8">
        <v>48014.887983225919</v>
      </c>
      <c r="O39" s="8">
        <v>47185.16866867616</v>
      </c>
      <c r="P39" s="8">
        <v>45476.467975307001</v>
      </c>
      <c r="Q39" s="8">
        <v>46667.247750902505</v>
      </c>
      <c r="R39" s="8">
        <v>45842.820977477735</v>
      </c>
      <c r="S39" s="8">
        <v>43860.667985862056</v>
      </c>
      <c r="T39" s="8">
        <v>43944.023269855272</v>
      </c>
      <c r="U39" s="8">
        <v>42918.364724045707</v>
      </c>
      <c r="V39" s="8">
        <v>39264.296497959076</v>
      </c>
      <c r="W39" s="8">
        <v>35775.114098231301</v>
      </c>
    </row>
    <row r="40" spans="1:23" x14ac:dyDescent="0.2">
      <c r="B40" s="6" t="s">
        <v>64</v>
      </c>
      <c r="C40" s="6" t="s">
        <v>64</v>
      </c>
      <c r="D40" s="7">
        <v>4059875</v>
      </c>
      <c r="E40" s="8" t="s">
        <v>123</v>
      </c>
      <c r="F40" s="8">
        <v>10675.948226066368</v>
      </c>
      <c r="G40" s="8">
        <v>10551.819863030662</v>
      </c>
      <c r="H40" s="8">
        <v>11691.408334274731</v>
      </c>
      <c r="I40" s="8">
        <v>11215.426713835104</v>
      </c>
      <c r="J40" s="8">
        <v>10943.063297124267</v>
      </c>
      <c r="K40" s="8">
        <v>11654.535338997852</v>
      </c>
      <c r="L40" s="8">
        <v>11576.783635673664</v>
      </c>
      <c r="M40" s="8">
        <v>7211.053939310651</v>
      </c>
      <c r="N40" s="8">
        <v>6550.1811337779118</v>
      </c>
      <c r="O40" s="8">
        <v>9201.3544638591538</v>
      </c>
      <c r="P40" s="8">
        <v>9607.336213965782</v>
      </c>
      <c r="Q40" s="8">
        <v>8412.8231104241058</v>
      </c>
      <c r="R40" s="8">
        <v>7830.0588793265151</v>
      </c>
      <c r="S40" s="8">
        <v>6879.6189054078932</v>
      </c>
      <c r="T40" s="8">
        <v>6633.6686605831746</v>
      </c>
      <c r="U40" s="8">
        <v>5669.60209451639</v>
      </c>
      <c r="V40" s="8">
        <v>5789.8040741773993</v>
      </c>
      <c r="W40" s="8">
        <v>5232.5583501454803</v>
      </c>
    </row>
    <row r="41" spans="1:23" x14ac:dyDescent="0.2">
      <c r="B41" s="6" t="s">
        <v>65</v>
      </c>
      <c r="C41" s="6" t="s">
        <v>65</v>
      </c>
      <c r="D41" s="7">
        <v>4057090</v>
      </c>
      <c r="E41" s="8">
        <v>29404.177856915558</v>
      </c>
      <c r="F41" s="8">
        <v>30270.858614376044</v>
      </c>
      <c r="G41" s="8">
        <v>30095.559873891547</v>
      </c>
      <c r="H41" s="8">
        <v>27867.457434070646</v>
      </c>
      <c r="I41" s="8">
        <v>25321.460239262091</v>
      </c>
      <c r="J41" s="8">
        <v>24034.199941655468</v>
      </c>
      <c r="K41" s="8">
        <v>25045.778547787264</v>
      </c>
      <c r="L41" s="8">
        <v>23148.112502807264</v>
      </c>
      <c r="M41" s="8">
        <v>22338.644698979504</v>
      </c>
      <c r="N41" s="8">
        <v>20593.252658355923</v>
      </c>
      <c r="O41" s="8">
        <v>21335.238953880023</v>
      </c>
      <c r="P41" s="8">
        <v>19817.252089175588</v>
      </c>
      <c r="Q41" s="8">
        <v>20766.496132246513</v>
      </c>
      <c r="R41" s="8">
        <v>19467.730833496753</v>
      </c>
      <c r="S41" s="8">
        <v>17677.630636025351</v>
      </c>
      <c r="T41" s="8">
        <v>17238.250345341658</v>
      </c>
      <c r="U41" s="8">
        <v>17986.637902296035</v>
      </c>
      <c r="V41" s="8">
        <v>17341.361836883279</v>
      </c>
      <c r="W41" s="8">
        <v>16215.576749478581</v>
      </c>
    </row>
    <row r="42" spans="1:23" x14ac:dyDescent="0.2">
      <c r="B42" s="6" t="s">
        <v>66</v>
      </c>
      <c r="C42" s="6" t="s">
        <v>66</v>
      </c>
      <c r="D42" s="7">
        <v>4008754</v>
      </c>
      <c r="E42" s="8">
        <v>17923.407695417431</v>
      </c>
      <c r="F42" s="8">
        <v>16863.034662261791</v>
      </c>
      <c r="G42" s="8">
        <v>16335.394915648687</v>
      </c>
      <c r="H42" s="8">
        <v>14706.131845461503</v>
      </c>
      <c r="I42" s="8">
        <v>14769.824568999353</v>
      </c>
      <c r="J42" s="8">
        <v>14360.171588439667</v>
      </c>
      <c r="K42" s="8">
        <v>14005.674182040924</v>
      </c>
      <c r="L42" s="8">
        <v>13887.749478179361</v>
      </c>
      <c r="M42" s="8">
        <v>14221.391040906536</v>
      </c>
      <c r="N42" s="8">
        <v>14773.152873564637</v>
      </c>
      <c r="O42" s="8">
        <v>13984.036121772966</v>
      </c>
      <c r="P42" s="8">
        <v>13584.779786399962</v>
      </c>
      <c r="Q42" s="8">
        <v>12072.858683316259</v>
      </c>
      <c r="R42" s="8">
        <v>12371.819194316275</v>
      </c>
      <c r="S42" s="8">
        <v>11656.771732028126</v>
      </c>
      <c r="T42" s="8">
        <v>11360.205791449089</v>
      </c>
      <c r="U42" s="8">
        <v>10422.09279407416</v>
      </c>
      <c r="V42" s="8">
        <v>10815.879678416652</v>
      </c>
      <c r="W42" s="8">
        <v>9928.5577776570917</v>
      </c>
    </row>
    <row r="43" spans="1:23" x14ac:dyDescent="0.2">
      <c r="B43" s="6" t="s">
        <v>67</v>
      </c>
      <c r="C43" s="6" t="s">
        <v>67</v>
      </c>
      <c r="D43" s="7">
        <v>4061474</v>
      </c>
      <c r="E43" s="8" t="s">
        <v>123</v>
      </c>
      <c r="F43" s="8">
        <v>1600.5527182579851</v>
      </c>
      <c r="G43" s="8">
        <v>1567.6245492402909</v>
      </c>
      <c r="H43" s="8">
        <v>1544.5674079960829</v>
      </c>
      <c r="I43" s="8">
        <v>1474.9629787166923</v>
      </c>
      <c r="J43" s="8">
        <v>1491.1346407350366</v>
      </c>
      <c r="K43" s="8">
        <v>1441.737594506496</v>
      </c>
      <c r="L43" s="8">
        <v>1452.9481485464898</v>
      </c>
      <c r="M43" s="8">
        <v>1459.9350713353379</v>
      </c>
      <c r="N43" s="8">
        <v>1375.7408179055117</v>
      </c>
      <c r="O43" s="8">
        <v>1290.5497400188667</v>
      </c>
      <c r="P43" s="8">
        <v>1243.7144301419892</v>
      </c>
      <c r="Q43" s="8">
        <v>1204.6365838362099</v>
      </c>
      <c r="R43" s="8">
        <v>1184.8191001935179</v>
      </c>
      <c r="S43" s="8">
        <v>1161.2373426280774</v>
      </c>
      <c r="T43" s="8">
        <v>1071.1079432603019</v>
      </c>
      <c r="U43" s="8">
        <v>999.40201637621055</v>
      </c>
      <c r="V43" s="8">
        <v>968.81354744833448</v>
      </c>
      <c r="W43" s="8">
        <v>1121.0274761510807</v>
      </c>
    </row>
    <row r="44" spans="1:23" x14ac:dyDescent="0.2">
      <c r="B44" s="6" t="s">
        <v>68</v>
      </c>
      <c r="C44" s="6" t="s">
        <v>68</v>
      </c>
      <c r="D44" s="7">
        <v>4076679</v>
      </c>
      <c r="E44" s="8" t="s">
        <v>123</v>
      </c>
      <c r="F44" s="8">
        <v>1150.1362182062107</v>
      </c>
      <c r="G44" s="8">
        <v>1123.5744757401271</v>
      </c>
      <c r="H44" s="8">
        <v>1065.3331937534128</v>
      </c>
      <c r="I44" s="8">
        <v>987.68698309989566</v>
      </c>
      <c r="J44" s="8">
        <v>960.04232567005636</v>
      </c>
      <c r="K44" s="8">
        <v>1002.7764055706177</v>
      </c>
      <c r="L44" s="8">
        <v>961.97040795152066</v>
      </c>
      <c r="M44" s="8">
        <v>940.9312313201973</v>
      </c>
      <c r="N44" s="8">
        <v>923.44697480853426</v>
      </c>
      <c r="O44" s="8">
        <v>906.70475250805941</v>
      </c>
      <c r="P44" s="8">
        <v>876.90549340339282</v>
      </c>
      <c r="Q44" s="8">
        <v>905.63657989048352</v>
      </c>
      <c r="R44" s="8">
        <v>692.91884832255084</v>
      </c>
      <c r="S44" s="8">
        <v>571.00094446620017</v>
      </c>
      <c r="T44" s="8">
        <v>559.12896011781038</v>
      </c>
      <c r="U44" s="8">
        <v>570.73868509652027</v>
      </c>
      <c r="V44" s="8">
        <v>493.9516414483403</v>
      </c>
      <c r="W44" s="8">
        <v>502.95232310874093</v>
      </c>
    </row>
    <row r="45" spans="1:23" x14ac:dyDescent="0.2">
      <c r="B45" s="6" t="s">
        <v>69</v>
      </c>
      <c r="C45" s="6" t="s">
        <v>69</v>
      </c>
      <c r="D45" s="7">
        <v>4061634</v>
      </c>
      <c r="E45" s="8">
        <v>22612.428286168732</v>
      </c>
      <c r="F45" s="8">
        <v>28622.795985642188</v>
      </c>
      <c r="G45" s="8">
        <v>28404.912946926677</v>
      </c>
      <c r="H45" s="8">
        <v>28321.855585047429</v>
      </c>
      <c r="I45" s="8">
        <v>25427.765915720975</v>
      </c>
      <c r="J45" s="8">
        <v>24930.057352994634</v>
      </c>
      <c r="K45" s="8">
        <v>26525.671827148006</v>
      </c>
      <c r="L45" s="8">
        <v>24070.297402937969</v>
      </c>
      <c r="M45" s="8">
        <v>24167.487427380493</v>
      </c>
      <c r="N45" s="8">
        <v>23333.752708710697</v>
      </c>
      <c r="O45" s="8">
        <v>23572.922745313786</v>
      </c>
      <c r="P45" s="8">
        <v>22388.331472164828</v>
      </c>
      <c r="Q45" s="8">
        <v>21723.059065277001</v>
      </c>
      <c r="R45" s="8">
        <v>21696.453749073775</v>
      </c>
      <c r="S45" s="8">
        <v>21279.504651490384</v>
      </c>
      <c r="T45" s="8">
        <v>19578.568464778393</v>
      </c>
      <c r="U45" s="8">
        <v>18769.828791956479</v>
      </c>
      <c r="V45" s="8">
        <v>18736.705090680451</v>
      </c>
      <c r="W45" s="8">
        <v>19782.970747107356</v>
      </c>
    </row>
    <row r="46" spans="1:23" x14ac:dyDescent="0.2">
      <c r="B46" s="6" t="s">
        <v>70</v>
      </c>
      <c r="C46" s="6" t="s">
        <v>70</v>
      </c>
      <c r="D46" s="7">
        <v>4061687</v>
      </c>
      <c r="E46" s="8">
        <v>70848.419922666741</v>
      </c>
      <c r="F46" s="8">
        <v>85772.629881233472</v>
      </c>
      <c r="G46" s="8">
        <v>81778.789440765991</v>
      </c>
      <c r="H46" s="8">
        <v>82065.946569371619</v>
      </c>
      <c r="I46" s="8">
        <v>82918.365639424243</v>
      </c>
      <c r="J46" s="8">
        <v>81311.941241804627</v>
      </c>
      <c r="K46" s="8">
        <v>83719.991389992079</v>
      </c>
      <c r="L46" s="8">
        <v>82248.839151750057</v>
      </c>
      <c r="M46" s="8">
        <v>78873.083559726889</v>
      </c>
      <c r="N46" s="8">
        <v>75270.925039561829</v>
      </c>
      <c r="O46" s="8">
        <v>75160.351402953835</v>
      </c>
      <c r="P46" s="8">
        <v>74609.391093335405</v>
      </c>
      <c r="Q46" s="8">
        <v>73179.388002868116</v>
      </c>
      <c r="R46" s="8">
        <v>78282.179322125361</v>
      </c>
      <c r="S46" s="8">
        <v>79049.444214847972</v>
      </c>
      <c r="T46" s="8">
        <v>79587.267063006031</v>
      </c>
      <c r="U46" s="8">
        <v>81900.523692741204</v>
      </c>
      <c r="V46" s="8">
        <v>78635.857707008021</v>
      </c>
      <c r="W46" s="8">
        <v>77457.268242950027</v>
      </c>
    </row>
    <row r="47" spans="1:23" x14ac:dyDescent="0.2">
      <c r="A47" s="1" t="s">
        <v>30</v>
      </c>
      <c r="B47" s="6" t="s">
        <v>71</v>
      </c>
      <c r="C47" s="6" t="s">
        <v>71</v>
      </c>
      <c r="D47" s="7">
        <v>4061755</v>
      </c>
      <c r="E47" s="8">
        <v>44702.96625875427</v>
      </c>
      <c r="F47" s="8">
        <v>56772.532396469564</v>
      </c>
      <c r="G47" s="8">
        <v>59035.025587897428</v>
      </c>
      <c r="H47" s="8">
        <v>64369.223821553016</v>
      </c>
      <c r="I47" s="8">
        <v>57278.321985684808</v>
      </c>
      <c r="J47" s="8">
        <v>53805.595754100235</v>
      </c>
      <c r="K47" s="8">
        <v>54056.383793694418</v>
      </c>
      <c r="L47" s="8">
        <v>53782.709430029819</v>
      </c>
      <c r="M47" s="8">
        <v>46363.346695503147</v>
      </c>
      <c r="N47" s="8">
        <v>42477.713210836744</v>
      </c>
      <c r="O47" s="8">
        <v>43145.493623284121</v>
      </c>
      <c r="P47" s="8">
        <v>42327.98517830253</v>
      </c>
      <c r="Q47" s="8">
        <v>42409.044467067964</v>
      </c>
      <c r="R47" s="8">
        <v>39111.738669383827</v>
      </c>
      <c r="S47" s="8">
        <v>40731.88348343064</v>
      </c>
      <c r="T47" s="8">
        <v>33465.531109782722</v>
      </c>
      <c r="U47" s="8">
        <v>30125.502698628941</v>
      </c>
      <c r="V47" s="8">
        <v>29959.626555087398</v>
      </c>
      <c r="W47" s="8">
        <v>28723.935319972839</v>
      </c>
    </row>
    <row r="48" spans="1:23" x14ac:dyDescent="0.2">
      <c r="A48" s="1" t="s">
        <v>30</v>
      </c>
      <c r="B48" s="6" t="s">
        <v>72</v>
      </c>
      <c r="C48" s="6" t="s">
        <v>72</v>
      </c>
      <c r="D48" s="7">
        <v>4004389</v>
      </c>
      <c r="E48" s="8">
        <v>37450.337729208717</v>
      </c>
      <c r="F48" s="8">
        <v>35353.425080059547</v>
      </c>
      <c r="G48" s="8">
        <v>35900.768473504344</v>
      </c>
      <c r="H48" s="8">
        <v>38116.509935167553</v>
      </c>
      <c r="I48" s="8">
        <v>34157.610818352863</v>
      </c>
      <c r="J48" s="8">
        <v>36901.742106000733</v>
      </c>
      <c r="K48" s="8">
        <v>32941.724118960781</v>
      </c>
      <c r="L48" s="8">
        <v>32932.47249775564</v>
      </c>
      <c r="M48" s="8">
        <v>34781.393269766566</v>
      </c>
      <c r="N48" s="8">
        <v>33777.018674359446</v>
      </c>
      <c r="O48" s="8">
        <v>35834.166209675255</v>
      </c>
      <c r="P48" s="8">
        <v>27798.46521047701</v>
      </c>
      <c r="Q48" s="8">
        <v>24106.468372736996</v>
      </c>
      <c r="R48" s="8">
        <v>18461.18990733126</v>
      </c>
      <c r="S48" s="8">
        <v>18562.49925443601</v>
      </c>
      <c r="T48" s="8">
        <v>17794.728842877343</v>
      </c>
      <c r="U48" s="8">
        <v>19297.46800562353</v>
      </c>
      <c r="V48" s="8">
        <v>19608.150257914411</v>
      </c>
      <c r="W48" s="8">
        <v>16584.750485671466</v>
      </c>
    </row>
    <row r="49" spans="1:23" x14ac:dyDescent="0.2">
      <c r="A49" s="1" t="s">
        <v>30</v>
      </c>
      <c r="B49" s="6" t="s">
        <v>73</v>
      </c>
      <c r="C49" s="6" t="s">
        <v>73</v>
      </c>
      <c r="D49" s="7">
        <v>4057014</v>
      </c>
      <c r="E49" s="8">
        <v>68012.028024318875</v>
      </c>
      <c r="F49" s="8">
        <v>58929.906502001904</v>
      </c>
      <c r="G49" s="8">
        <v>57214.058242494357</v>
      </c>
      <c r="H49" s="8">
        <v>56815.364485002305</v>
      </c>
      <c r="I49" s="8">
        <v>58972.61271110837</v>
      </c>
      <c r="J49" s="8">
        <v>57585.141320553004</v>
      </c>
      <c r="K49" s="8">
        <v>53265.028989085979</v>
      </c>
      <c r="L49" s="8">
        <v>58852.195422929566</v>
      </c>
      <c r="M49" s="8">
        <v>56187.921364873182</v>
      </c>
      <c r="N49" s="8">
        <v>62205.307567235352</v>
      </c>
      <c r="O49" s="8">
        <v>61126.427342686664</v>
      </c>
      <c r="P49" s="8">
        <v>61082.737792133747</v>
      </c>
      <c r="Q49" s="8">
        <v>49328.988182943453</v>
      </c>
      <c r="R49" s="8">
        <v>41060.856287976232</v>
      </c>
      <c r="S49" s="8">
        <v>37162.287193302844</v>
      </c>
      <c r="T49" s="8">
        <v>38953.903642193036</v>
      </c>
      <c r="U49" s="8">
        <v>36445.944642605893</v>
      </c>
      <c r="V49" s="8">
        <v>39789.832194550661</v>
      </c>
      <c r="W49" s="8">
        <v>48212.980793537972</v>
      </c>
    </row>
    <row r="50" spans="1:23" x14ac:dyDescent="0.2">
      <c r="B50" s="6" t="s">
        <v>74</v>
      </c>
      <c r="C50" s="6" t="s">
        <v>74</v>
      </c>
      <c r="D50" s="7">
        <v>4057130</v>
      </c>
      <c r="E50" s="8">
        <v>16104.580314140641</v>
      </c>
      <c r="F50" s="8">
        <v>14566.847653664079</v>
      </c>
      <c r="G50" s="8">
        <v>15728.230746896625</v>
      </c>
      <c r="H50" s="8">
        <v>17033.83902273218</v>
      </c>
      <c r="I50" s="8">
        <v>16619.858035695579</v>
      </c>
      <c r="J50" s="8">
        <v>18325.01919332103</v>
      </c>
      <c r="K50" s="8">
        <v>22061.793265834429</v>
      </c>
      <c r="L50" s="8">
        <v>24911.709117123566</v>
      </c>
      <c r="M50" s="8">
        <v>18781.019658696114</v>
      </c>
      <c r="N50" s="8">
        <v>16891.467955283602</v>
      </c>
      <c r="O50" s="8">
        <v>18074.186524216544</v>
      </c>
      <c r="P50" s="8">
        <v>19317.156288614809</v>
      </c>
      <c r="Q50" s="8">
        <v>17094.090313365698</v>
      </c>
      <c r="R50" s="8">
        <v>16162.11949267045</v>
      </c>
      <c r="S50" s="8">
        <v>13715.707748635125</v>
      </c>
      <c r="T50" s="8">
        <v>8158.5105712471286</v>
      </c>
      <c r="U50" s="8">
        <v>17887.113512207841</v>
      </c>
      <c r="V50" s="8">
        <v>11761.704547543502</v>
      </c>
      <c r="W50" s="8">
        <v>10825.348222134584</v>
      </c>
    </row>
    <row r="51" spans="1:23" x14ac:dyDescent="0.2">
      <c r="B51" s="6" t="s">
        <v>75</v>
      </c>
      <c r="C51" s="6" t="s">
        <v>75</v>
      </c>
      <c r="D51" s="7">
        <v>4057131</v>
      </c>
      <c r="E51" s="8">
        <v>139113.88806601489</v>
      </c>
      <c r="F51" s="8">
        <v>114243.80814133145</v>
      </c>
      <c r="G51" s="8">
        <v>108080.99902040682</v>
      </c>
      <c r="H51" s="8">
        <v>89526.937494975733</v>
      </c>
      <c r="I51" s="8">
        <v>89915.426275135251</v>
      </c>
      <c r="J51" s="8">
        <v>90403.351230088912</v>
      </c>
      <c r="K51" s="8">
        <v>91111.757839461323</v>
      </c>
      <c r="L51" s="8">
        <v>88050.747616550449</v>
      </c>
      <c r="M51" s="8">
        <v>91947.353295889945</v>
      </c>
      <c r="N51" s="8">
        <v>84205.961880325092</v>
      </c>
      <c r="O51" s="8">
        <v>84659.048029339086</v>
      </c>
      <c r="P51" s="8">
        <v>85135.003723387475</v>
      </c>
      <c r="Q51" s="8">
        <v>77318.023482481367</v>
      </c>
      <c r="R51" s="8">
        <v>72149.571579223761</v>
      </c>
      <c r="S51" s="8">
        <v>67648.578433905044</v>
      </c>
      <c r="T51" s="8">
        <v>72860.734558007287</v>
      </c>
      <c r="U51" s="8">
        <v>68307.586646397118</v>
      </c>
      <c r="V51" s="8">
        <v>64527.2722849407</v>
      </c>
      <c r="W51" s="8">
        <v>55341.321921270886</v>
      </c>
    </row>
    <row r="52" spans="1:23" x14ac:dyDescent="0.2">
      <c r="B52" s="6" t="s">
        <v>76</v>
      </c>
      <c r="C52" s="6" t="s">
        <v>76</v>
      </c>
      <c r="D52" s="7">
        <v>4012860</v>
      </c>
      <c r="E52" s="8">
        <v>73969.422788119467</v>
      </c>
      <c r="F52" s="8">
        <v>71808.601458848716</v>
      </c>
      <c r="G52" s="8">
        <v>75638.079796177262</v>
      </c>
      <c r="H52" s="8">
        <v>62540.781337337976</v>
      </c>
      <c r="I52" s="8">
        <v>68576.73338614589</v>
      </c>
      <c r="J52" s="8">
        <v>60165.521599705586</v>
      </c>
      <c r="K52" s="8">
        <v>57577.594027725972</v>
      </c>
      <c r="L52" s="8">
        <v>67458.197059734492</v>
      </c>
      <c r="M52" s="8">
        <v>68476.141857405091</v>
      </c>
      <c r="N52" s="8">
        <v>67311.612741434088</v>
      </c>
      <c r="O52" s="8">
        <v>79700.076581267931</v>
      </c>
      <c r="P52" s="8">
        <v>69623.825830962989</v>
      </c>
      <c r="Q52" s="8">
        <v>65460.433223629181</v>
      </c>
      <c r="R52" s="8">
        <v>58336.005173820064</v>
      </c>
      <c r="S52" s="8">
        <v>57300.331631253488</v>
      </c>
      <c r="T52" s="8">
        <v>55777.59994864391</v>
      </c>
      <c r="U52" s="8">
        <v>57117.807367375484</v>
      </c>
      <c r="V52" s="8">
        <v>55225.789681167189</v>
      </c>
      <c r="W52" s="8">
        <v>49556.899901528697</v>
      </c>
    </row>
    <row r="53" spans="1:23" x14ac:dyDescent="0.2">
      <c r="B53" s="6" t="s">
        <v>77</v>
      </c>
      <c r="C53" s="6" t="s">
        <v>78</v>
      </c>
      <c r="D53" s="7">
        <v>4061925</v>
      </c>
      <c r="E53" s="8">
        <v>7598.5709439966058</v>
      </c>
      <c r="F53" s="8">
        <v>7525.8301536081408</v>
      </c>
      <c r="G53" s="8">
        <v>7797.4245513948399</v>
      </c>
      <c r="H53" s="8">
        <v>7357.6494811998728</v>
      </c>
      <c r="I53" s="8">
        <v>7311.955921537975</v>
      </c>
      <c r="J53" s="8">
        <v>7865.1831091705653</v>
      </c>
      <c r="K53" s="8">
        <v>8107.1662210837012</v>
      </c>
      <c r="L53" s="8">
        <v>7839.9174294723143</v>
      </c>
      <c r="M53" s="8">
        <v>7479.0731696101775</v>
      </c>
      <c r="N53" s="8">
        <v>7214.0322747699292</v>
      </c>
      <c r="O53" s="8">
        <v>6862.3872328165926</v>
      </c>
      <c r="P53" s="8">
        <v>6506.5934302235391</v>
      </c>
      <c r="Q53" s="8">
        <v>6074.3033029610115</v>
      </c>
      <c r="R53" s="8">
        <v>5524.1275789528063</v>
      </c>
      <c r="S53" s="8">
        <v>5312.4845523249087</v>
      </c>
      <c r="T53" s="8">
        <v>4900.6011282137024</v>
      </c>
      <c r="U53" s="8">
        <v>5019.49758134064</v>
      </c>
      <c r="V53" s="8">
        <v>5054.4588218450399</v>
      </c>
      <c r="W53" s="8">
        <v>4773.6729135680307</v>
      </c>
    </row>
    <row r="54" spans="1:23" x14ac:dyDescent="0.2">
      <c r="B54" s="6" t="s">
        <v>79</v>
      </c>
      <c r="C54" s="6" t="s">
        <v>79</v>
      </c>
      <c r="D54" s="7">
        <v>4057132</v>
      </c>
      <c r="E54" s="8" t="s">
        <v>123</v>
      </c>
      <c r="F54" s="8" t="s">
        <v>123</v>
      </c>
      <c r="G54" s="8" t="s">
        <v>123</v>
      </c>
      <c r="H54" s="8" t="s">
        <v>123</v>
      </c>
      <c r="I54" s="8">
        <v>49126.786866331895</v>
      </c>
      <c r="J54" s="8">
        <v>45558.118937225219</v>
      </c>
      <c r="K54" s="8">
        <v>47542.554805620181</v>
      </c>
      <c r="L54" s="8">
        <v>41443.161322070453</v>
      </c>
      <c r="M54" s="8">
        <v>41773.035093288672</v>
      </c>
      <c r="N54" s="8">
        <v>38943.076159816395</v>
      </c>
      <c r="O54" s="8">
        <v>37587.092586342391</v>
      </c>
      <c r="P54" s="8">
        <v>37452.917478508432</v>
      </c>
      <c r="Q54" s="8">
        <v>40232.78346666888</v>
      </c>
      <c r="R54" s="8">
        <v>35880.016230463909</v>
      </c>
      <c r="S54" s="8">
        <v>37802.217475574995</v>
      </c>
      <c r="T54" s="8">
        <v>35890.053426425322</v>
      </c>
      <c r="U54" s="8">
        <v>35201.976482072219</v>
      </c>
      <c r="V54" s="8">
        <v>32003.999238875163</v>
      </c>
      <c r="W54" s="8" t="s">
        <v>123</v>
      </c>
    </row>
    <row r="55" spans="1:23" x14ac:dyDescent="0.2">
      <c r="A55" s="1" t="s">
        <v>30</v>
      </c>
      <c r="B55" s="6" t="s">
        <v>80</v>
      </c>
      <c r="C55" s="6" t="s">
        <v>80</v>
      </c>
      <c r="D55" s="7">
        <v>4057115</v>
      </c>
      <c r="E55" s="8" t="s">
        <v>123</v>
      </c>
      <c r="F55" s="8">
        <v>17901.230534103983</v>
      </c>
      <c r="G55" s="8">
        <v>17994.514335114422</v>
      </c>
      <c r="H55" s="8">
        <v>16731.106331329003</v>
      </c>
      <c r="I55" s="8">
        <v>15953.529120459283</v>
      </c>
      <c r="J55" s="8">
        <v>16996.101127728558</v>
      </c>
      <c r="K55" s="8">
        <v>19600.649368380971</v>
      </c>
      <c r="L55" s="8">
        <v>21702.741381567761</v>
      </c>
      <c r="M55" s="8">
        <v>22040.046172173541</v>
      </c>
      <c r="N55" s="8">
        <v>20296.827988698322</v>
      </c>
      <c r="O55" s="8">
        <v>20207.940905481588</v>
      </c>
      <c r="P55" s="8">
        <v>18780.685077643982</v>
      </c>
      <c r="Q55" s="8">
        <v>14647.002569497547</v>
      </c>
      <c r="R55" s="8">
        <v>15563.230165774146</v>
      </c>
      <c r="S55" s="8">
        <v>16366.249591655987</v>
      </c>
      <c r="T55" s="8">
        <v>16348.132792417127</v>
      </c>
      <c r="U55" s="8">
        <v>16537.788888113661</v>
      </c>
      <c r="V55" s="8">
        <v>15616.67773711775</v>
      </c>
      <c r="W55" s="8">
        <v>17109.402436472046</v>
      </c>
    </row>
    <row r="56" spans="1:23" x14ac:dyDescent="0.2">
      <c r="B56" s="6" t="s">
        <v>81</v>
      </c>
      <c r="C56" s="6" t="s">
        <v>81</v>
      </c>
      <c r="D56" s="7">
        <v>4064479</v>
      </c>
      <c r="E56" s="8">
        <v>2968.2976580963509</v>
      </c>
      <c r="F56" s="8">
        <v>2736.6087986368393</v>
      </c>
      <c r="G56" s="8">
        <v>3121.4905335265867</v>
      </c>
      <c r="H56" s="8">
        <v>2862.0642531867579</v>
      </c>
      <c r="I56" s="8">
        <v>2866.6461369921954</v>
      </c>
      <c r="J56" s="8">
        <v>2722.0352833311454</v>
      </c>
      <c r="K56" s="8">
        <v>2581.6172103352251</v>
      </c>
      <c r="L56" s="8">
        <v>2504.3902594031438</v>
      </c>
      <c r="M56" s="8">
        <v>2433.7929033673936</v>
      </c>
      <c r="N56" s="8">
        <v>2499.4769650877074</v>
      </c>
      <c r="O56" s="8">
        <v>2493.6866904985886</v>
      </c>
      <c r="P56" s="8">
        <v>2535.7097869551044</v>
      </c>
      <c r="Q56" s="8">
        <v>2638.3753376151399</v>
      </c>
      <c r="R56" s="8">
        <v>2459.3484700560334</v>
      </c>
      <c r="S56" s="8">
        <v>2391.9366242890437</v>
      </c>
      <c r="T56" s="8">
        <v>2404.1167453138851</v>
      </c>
      <c r="U56" s="8">
        <v>2287.8651870755562</v>
      </c>
      <c r="V56" s="8">
        <v>2352.5789273083901</v>
      </c>
      <c r="W56" s="8">
        <v>2306.3834881960743</v>
      </c>
    </row>
    <row r="57" spans="1:23" x14ac:dyDescent="0.2">
      <c r="B57" s="6" t="s">
        <v>82</v>
      </c>
      <c r="C57" s="6" t="s">
        <v>82</v>
      </c>
      <c r="D57" s="7">
        <v>4062025</v>
      </c>
      <c r="E57" s="8" t="s">
        <v>123</v>
      </c>
      <c r="F57" s="8">
        <v>3861.5084286041506</v>
      </c>
      <c r="G57" s="8">
        <v>3939.2119455110133</v>
      </c>
      <c r="H57" s="8">
        <v>2999.4525185563125</v>
      </c>
      <c r="I57" s="8">
        <v>3120.8197202009692</v>
      </c>
      <c r="J57" s="8">
        <v>3175.5307135734438</v>
      </c>
      <c r="K57" s="8">
        <v>2580.1597531445009</v>
      </c>
      <c r="L57" s="8">
        <v>2610.6835430121978</v>
      </c>
      <c r="M57" s="8">
        <v>2607.1679940245244</v>
      </c>
      <c r="N57" s="8">
        <v>2654.2867044077989</v>
      </c>
      <c r="O57" s="8">
        <v>2513.1545114989995</v>
      </c>
      <c r="P57" s="8">
        <v>2254.7193331867979</v>
      </c>
      <c r="Q57" s="8">
        <v>2345.251179423105</v>
      </c>
      <c r="R57" s="8">
        <v>2207.8779067504565</v>
      </c>
      <c r="S57" s="8">
        <v>2174.3372323202152</v>
      </c>
      <c r="T57" s="8">
        <v>2061.4433300320761</v>
      </c>
      <c r="U57" s="8">
        <v>2052.5992763881841</v>
      </c>
      <c r="V57" s="8">
        <v>2023.9119987822019</v>
      </c>
      <c r="W57" s="8">
        <v>1958.05761907333</v>
      </c>
    </row>
    <row r="58" spans="1:23" x14ac:dyDescent="0.2">
      <c r="B58" s="6" t="s">
        <v>83</v>
      </c>
      <c r="C58" s="6" t="s">
        <v>83</v>
      </c>
      <c r="D58" s="7">
        <v>4064481</v>
      </c>
      <c r="E58" s="8" t="s">
        <v>123</v>
      </c>
      <c r="F58" s="8" t="s">
        <v>123</v>
      </c>
      <c r="G58" s="8" t="s">
        <v>123</v>
      </c>
      <c r="H58" s="8">
        <v>59521.223176468819</v>
      </c>
      <c r="I58" s="8">
        <v>61764.564413127082</v>
      </c>
      <c r="J58" s="8">
        <v>62898.558120891917</v>
      </c>
      <c r="K58" s="8">
        <v>64845.686609072451</v>
      </c>
      <c r="L58" s="8">
        <v>63681.796884337818</v>
      </c>
      <c r="M58" s="8">
        <v>61438.612979751808</v>
      </c>
      <c r="N58" s="8">
        <v>57154.266792759954</v>
      </c>
      <c r="O58" s="8">
        <v>61551.753565405998</v>
      </c>
      <c r="P58" s="8">
        <v>58262.05992273266</v>
      </c>
      <c r="Q58" s="8">
        <v>58042.636141902789</v>
      </c>
      <c r="R58" s="8">
        <v>53264.537271105888</v>
      </c>
      <c r="S58" s="8">
        <v>54637.395669303834</v>
      </c>
      <c r="T58" s="8">
        <v>54596.54917240471</v>
      </c>
      <c r="U58" s="8">
        <v>50816.220701447564</v>
      </c>
      <c r="V58" s="8">
        <v>47639.285317626069</v>
      </c>
      <c r="W58" s="8">
        <v>39339.490897684176</v>
      </c>
    </row>
    <row r="59" spans="1:23" x14ac:dyDescent="0.2">
      <c r="A59" s="1" t="s">
        <v>30</v>
      </c>
      <c r="B59" s="6" t="s">
        <v>84</v>
      </c>
      <c r="C59" s="6" t="s">
        <v>84</v>
      </c>
      <c r="D59" s="7">
        <v>4057093</v>
      </c>
      <c r="E59" s="8">
        <v>25743.716423818496</v>
      </c>
      <c r="F59" s="8">
        <v>26644.044325130879</v>
      </c>
      <c r="G59" s="8">
        <v>28289.400041649918</v>
      </c>
      <c r="H59" s="8">
        <v>27804.851620678553</v>
      </c>
      <c r="I59" s="8">
        <v>25457.337846467075</v>
      </c>
      <c r="J59" s="8">
        <v>20598.545051648096</v>
      </c>
      <c r="K59" s="8">
        <v>22408.090118226301</v>
      </c>
      <c r="L59" s="8">
        <v>23446.334188854056</v>
      </c>
      <c r="M59" s="8">
        <v>23476.236138471206</v>
      </c>
      <c r="N59" s="8">
        <v>23662.631386722103</v>
      </c>
      <c r="O59" s="8">
        <v>23367.041227479305</v>
      </c>
      <c r="P59" s="8">
        <v>21971.480532592574</v>
      </c>
      <c r="Q59" s="8">
        <v>20132.788260648049</v>
      </c>
      <c r="R59" s="8">
        <v>18943.461785304688</v>
      </c>
      <c r="S59" s="8">
        <v>18938.125283413814</v>
      </c>
      <c r="T59" s="8">
        <v>16486.183717010565</v>
      </c>
      <c r="U59" s="8">
        <v>16115.466828067429</v>
      </c>
      <c r="V59" s="8">
        <v>16803.610059825973</v>
      </c>
      <c r="W59" s="8">
        <v>12072.763748503467</v>
      </c>
    </row>
    <row r="60" spans="1:23" x14ac:dyDescent="0.2">
      <c r="B60" s="6" t="s">
        <v>85</v>
      </c>
      <c r="C60" s="6" t="s">
        <v>85</v>
      </c>
      <c r="D60" s="7">
        <v>4004218</v>
      </c>
      <c r="E60" s="8">
        <v>476245.32590278739</v>
      </c>
      <c r="F60" s="8">
        <v>421550.71411270759</v>
      </c>
      <c r="G60" s="8">
        <v>422458.99195655232</v>
      </c>
      <c r="H60" s="8">
        <v>345557.33900176245</v>
      </c>
      <c r="I60" s="8">
        <v>330916.043893828</v>
      </c>
      <c r="J60" s="8">
        <v>335216.14992524328</v>
      </c>
      <c r="K60" s="8">
        <v>294789.49262681877</v>
      </c>
      <c r="L60" s="8">
        <v>262813.24157941324</v>
      </c>
      <c r="M60" s="8">
        <v>300043.673205734</v>
      </c>
      <c r="N60" s="8">
        <v>270546.26669629122</v>
      </c>
      <c r="O60" s="8">
        <v>245175.33098587193</v>
      </c>
      <c r="P60" s="8">
        <v>248399.20723831697</v>
      </c>
      <c r="Q60" s="8">
        <v>238093.55942394232</v>
      </c>
      <c r="R60" s="8">
        <v>199324.87270142633</v>
      </c>
      <c r="S60" s="8">
        <v>196476.84044190843</v>
      </c>
      <c r="T60" s="8">
        <v>195708.5494301529</v>
      </c>
      <c r="U60" s="8">
        <v>215708.0005698051</v>
      </c>
      <c r="V60" s="8">
        <v>172696.34960420371</v>
      </c>
      <c r="W60" s="8">
        <v>173877.15618745427</v>
      </c>
    </row>
    <row r="61" spans="1:23" x14ac:dyDescent="0.2">
      <c r="A61" s="1" t="s">
        <v>30</v>
      </c>
      <c r="B61" s="6" t="s">
        <v>86</v>
      </c>
      <c r="C61" s="6" t="s">
        <v>87</v>
      </c>
      <c r="D61" s="7">
        <v>4062222</v>
      </c>
      <c r="E61" s="8" t="s">
        <v>123</v>
      </c>
      <c r="F61" s="8">
        <v>48491.927155280486</v>
      </c>
      <c r="G61" s="8">
        <v>47108.544366276787</v>
      </c>
      <c r="H61" s="8">
        <v>48010.510198660151</v>
      </c>
      <c r="I61" s="8">
        <v>47171.685205167014</v>
      </c>
      <c r="J61" s="8">
        <v>45614.229529781333</v>
      </c>
      <c r="K61" s="8">
        <v>44127.762201698824</v>
      </c>
      <c r="L61" s="8">
        <v>43046.151355032285</v>
      </c>
      <c r="M61" s="8">
        <v>40058.284908905451</v>
      </c>
      <c r="N61" s="8">
        <v>39491.006583722155</v>
      </c>
      <c r="O61" s="8">
        <v>38992.261648231724</v>
      </c>
      <c r="P61" s="8">
        <v>39249.312059544995</v>
      </c>
      <c r="Q61" s="8">
        <v>38060.993820590185</v>
      </c>
      <c r="R61" s="8">
        <v>37373.427628583719</v>
      </c>
      <c r="S61" s="8">
        <v>37448.241248289647</v>
      </c>
      <c r="T61" s="8">
        <v>35619.669329851989</v>
      </c>
      <c r="U61" s="8">
        <v>34668.815003688956</v>
      </c>
      <c r="V61" s="8">
        <v>33461.129595896607</v>
      </c>
      <c r="W61" s="8">
        <v>34196.462912836272</v>
      </c>
    </row>
    <row r="62" spans="1:23" x14ac:dyDescent="0.2">
      <c r="B62" s="6" t="s">
        <v>88</v>
      </c>
      <c r="C62" s="6" t="s">
        <v>89</v>
      </c>
      <c r="D62" s="7">
        <v>4057135</v>
      </c>
      <c r="E62" s="8">
        <v>127782.05061886803</v>
      </c>
      <c r="F62" s="8">
        <v>108314.16272068916</v>
      </c>
      <c r="G62" s="8">
        <v>128836.84035805496</v>
      </c>
      <c r="H62" s="8">
        <v>137354.20216691581</v>
      </c>
      <c r="I62" s="8">
        <v>124827.45666933454</v>
      </c>
      <c r="J62" s="8">
        <v>153902.12940365064</v>
      </c>
      <c r="K62" s="8">
        <v>133235.14975086332</v>
      </c>
      <c r="L62" s="8">
        <v>160921.62275994557</v>
      </c>
      <c r="M62" s="8">
        <v>138974.0076375358</v>
      </c>
      <c r="N62" s="8">
        <v>111863.37422452439</v>
      </c>
      <c r="O62" s="8">
        <v>103349.14587868258</v>
      </c>
      <c r="P62" s="8">
        <v>109369.67656118533</v>
      </c>
      <c r="Q62" s="8">
        <v>106341.60850569638</v>
      </c>
      <c r="R62" s="8">
        <v>106917.00431375243</v>
      </c>
      <c r="S62" s="8">
        <v>111088.57815179335</v>
      </c>
      <c r="T62" s="8">
        <v>93063.124150521369</v>
      </c>
      <c r="U62" s="8">
        <v>102825.17628040782</v>
      </c>
      <c r="V62" s="8">
        <v>82432.621796345367</v>
      </c>
      <c r="W62" s="8">
        <v>72488.925776643897</v>
      </c>
    </row>
    <row r="63" spans="1:23" x14ac:dyDescent="0.2">
      <c r="B63" s="6" t="s">
        <v>90</v>
      </c>
      <c r="C63" s="6" t="s">
        <v>90</v>
      </c>
      <c r="D63" s="7">
        <v>4063341</v>
      </c>
      <c r="E63" s="8">
        <v>45991.431038048526</v>
      </c>
      <c r="F63" s="8">
        <v>42445.656639748879</v>
      </c>
      <c r="G63" s="8">
        <v>42221.048351104422</v>
      </c>
      <c r="H63" s="8">
        <v>39082.779872590072</v>
      </c>
      <c r="I63" s="8">
        <v>35069.038711156834</v>
      </c>
      <c r="J63" s="8">
        <v>35605.765951955444</v>
      </c>
      <c r="K63" s="8">
        <v>32988.470061060958</v>
      </c>
      <c r="L63" s="8">
        <v>31734.670799491338</v>
      </c>
      <c r="M63" s="8">
        <v>31498.845400426508</v>
      </c>
      <c r="N63" s="8">
        <v>28996.13897955589</v>
      </c>
      <c r="O63" s="8">
        <v>30267.994801800101</v>
      </c>
      <c r="P63" s="8">
        <v>30317.849999375052</v>
      </c>
      <c r="Q63" s="8">
        <v>29007.987022348712</v>
      </c>
      <c r="R63" s="8">
        <v>25222.138380751185</v>
      </c>
      <c r="S63" s="8">
        <v>25713.725465201464</v>
      </c>
      <c r="T63" s="8">
        <v>25572.637831802076</v>
      </c>
      <c r="U63" s="8">
        <v>24466.010083575813</v>
      </c>
      <c r="V63" s="8">
        <v>23530.377459861564</v>
      </c>
      <c r="W63" s="8">
        <v>23916.968463817149</v>
      </c>
    </row>
    <row r="64" spans="1:23" x14ac:dyDescent="0.2">
      <c r="A64" s="1" t="s">
        <v>30</v>
      </c>
      <c r="B64" s="6" t="s">
        <v>91</v>
      </c>
      <c r="C64" s="6" t="s">
        <v>91</v>
      </c>
      <c r="D64" s="7">
        <v>4083575</v>
      </c>
      <c r="E64" s="8" t="s">
        <v>123</v>
      </c>
      <c r="F64" s="8">
        <v>77258.946719434141</v>
      </c>
      <c r="G64" s="8">
        <v>87116.12728898885</v>
      </c>
      <c r="H64" s="8">
        <v>93198.522816407305</v>
      </c>
      <c r="I64" s="8">
        <v>92525.077495472709</v>
      </c>
      <c r="J64" s="8">
        <v>100204.00603433576</v>
      </c>
      <c r="K64" s="8">
        <v>92550.723969412284</v>
      </c>
      <c r="L64" s="8">
        <v>81081.525968652859</v>
      </c>
      <c r="M64" s="8">
        <v>73977.785782717008</v>
      </c>
      <c r="N64" s="8">
        <v>78358.159717923263</v>
      </c>
      <c r="O64" s="8">
        <v>73615.040728478431</v>
      </c>
      <c r="P64" s="8">
        <v>76908.267059591642</v>
      </c>
      <c r="Q64" s="8">
        <v>71078.467469871277</v>
      </c>
      <c r="R64" s="8">
        <v>68754.500213424151</v>
      </c>
      <c r="S64" s="8">
        <v>68279.303419862903</v>
      </c>
      <c r="T64" s="8">
        <v>57719.807898377716</v>
      </c>
      <c r="U64" s="8">
        <v>56789.969818210193</v>
      </c>
      <c r="V64" s="8">
        <v>58641.321214880503</v>
      </c>
      <c r="W64" s="8">
        <v>56128.984438837426</v>
      </c>
    </row>
    <row r="65" spans="1:23" x14ac:dyDescent="0.2">
      <c r="B65" s="6" t="s">
        <v>92</v>
      </c>
      <c r="C65" s="6" t="s">
        <v>92</v>
      </c>
      <c r="D65" s="7">
        <v>4062303</v>
      </c>
      <c r="E65" s="8" t="s">
        <v>123</v>
      </c>
      <c r="F65" s="8">
        <v>163.09147551715211</v>
      </c>
      <c r="G65" s="8">
        <v>132.51177643580147</v>
      </c>
      <c r="H65" s="8">
        <v>125.57482653582163</v>
      </c>
      <c r="I65" s="8">
        <v>126.18870137261837</v>
      </c>
      <c r="J65" s="8" t="s">
        <v>123</v>
      </c>
      <c r="K65" s="8">
        <v>216.0782851892439</v>
      </c>
      <c r="L65" s="8">
        <v>287.15129392823906</v>
      </c>
      <c r="M65" s="8">
        <v>198.92273135569334</v>
      </c>
      <c r="N65" s="8">
        <v>147.86453542250717</v>
      </c>
      <c r="O65" s="8">
        <v>130.30051602149112</v>
      </c>
      <c r="P65" s="8">
        <v>100.48252959651039</v>
      </c>
      <c r="Q65" s="8">
        <v>86.186234735218264</v>
      </c>
      <c r="R65" s="8">
        <v>140.51215520812835</v>
      </c>
      <c r="S65" s="8">
        <v>149.90686325983461</v>
      </c>
      <c r="T65" s="8">
        <v>120.90580796978486</v>
      </c>
      <c r="U65" s="8">
        <v>110.28570321568213</v>
      </c>
      <c r="V65" s="8">
        <v>90.270890409873161</v>
      </c>
      <c r="W65" s="8">
        <v>77.413985483346707</v>
      </c>
    </row>
    <row r="66" spans="1:23" x14ac:dyDescent="0.2">
      <c r="B66" s="6" t="s">
        <v>93</v>
      </c>
      <c r="C66" s="6" t="s">
        <v>93</v>
      </c>
      <c r="D66" s="7">
        <v>4083581</v>
      </c>
      <c r="E66" s="8" t="s">
        <v>123</v>
      </c>
      <c r="F66" s="8">
        <v>947.19770244376798</v>
      </c>
      <c r="G66" s="8">
        <v>953.46333814677678</v>
      </c>
      <c r="H66" s="8">
        <v>945.90150722516137</v>
      </c>
      <c r="I66" s="8">
        <v>901.05427239323569</v>
      </c>
      <c r="J66" s="8">
        <v>878.54852883956892</v>
      </c>
      <c r="K66" s="8">
        <v>921.32809250915318</v>
      </c>
      <c r="L66" s="8">
        <v>686.76643982167082</v>
      </c>
      <c r="M66" s="8">
        <v>722.06771846916149</v>
      </c>
      <c r="N66" s="8">
        <v>473.9036692875876</v>
      </c>
      <c r="O66" s="8">
        <v>683.91732114353943</v>
      </c>
      <c r="P66" s="8">
        <v>656.30739475502207</v>
      </c>
      <c r="Q66" s="8">
        <v>656.43005242123854</v>
      </c>
      <c r="R66" s="8">
        <v>648.79009836038574</v>
      </c>
      <c r="S66" s="8">
        <v>645.53165550936887</v>
      </c>
      <c r="T66" s="8">
        <v>720.72805957284447</v>
      </c>
      <c r="U66" s="8">
        <v>716.20894988103248</v>
      </c>
      <c r="V66" s="8">
        <v>717.80172700157914</v>
      </c>
      <c r="W66" s="8">
        <v>562.96374511703266</v>
      </c>
    </row>
    <row r="67" spans="1:23" x14ac:dyDescent="0.2">
      <c r="B67" s="6" t="s">
        <v>94</v>
      </c>
      <c r="C67" s="6" t="s">
        <v>94</v>
      </c>
      <c r="D67" s="7">
        <v>4057139</v>
      </c>
      <c r="E67" s="8">
        <v>37372.865186583505</v>
      </c>
      <c r="F67" s="8">
        <v>32569.617479102817</v>
      </c>
      <c r="G67" s="8">
        <v>31776.752368060166</v>
      </c>
      <c r="H67" s="8">
        <v>30775.87661577035</v>
      </c>
      <c r="I67" s="8">
        <v>29703.456950388951</v>
      </c>
      <c r="J67" s="8">
        <v>32440.106448677569</v>
      </c>
      <c r="K67" s="8">
        <v>30986.344948207829</v>
      </c>
      <c r="L67" s="8">
        <v>29456.292253012794</v>
      </c>
      <c r="M67" s="8">
        <v>29259.49249169325</v>
      </c>
      <c r="N67" s="8">
        <v>28991.516246552466</v>
      </c>
      <c r="O67" s="8">
        <v>27594.905154207478</v>
      </c>
      <c r="P67" s="8">
        <v>28207.661375676704</v>
      </c>
      <c r="Q67" s="8">
        <v>27946.350497040828</v>
      </c>
      <c r="R67" s="8">
        <v>29738.445051089788</v>
      </c>
      <c r="S67" s="8">
        <v>28293.976870594048</v>
      </c>
      <c r="T67" s="8">
        <v>26900.303399489418</v>
      </c>
      <c r="U67" s="8">
        <v>27097.323287755265</v>
      </c>
      <c r="V67" s="8">
        <v>26675.655261990243</v>
      </c>
      <c r="W67" s="8">
        <v>24472.760877185789</v>
      </c>
    </row>
    <row r="68" spans="1:23" x14ac:dyDescent="0.2">
      <c r="A68" s="1" t="s">
        <v>30</v>
      </c>
      <c r="B68" s="6" t="s">
        <v>95</v>
      </c>
      <c r="C68" s="6" t="s">
        <v>95</v>
      </c>
      <c r="D68" s="7">
        <v>4057095</v>
      </c>
      <c r="E68" s="8">
        <v>78732.083915932992</v>
      </c>
      <c r="F68" s="8" t="s">
        <v>123</v>
      </c>
      <c r="G68" s="8">
        <v>100280.91321692055</v>
      </c>
      <c r="H68" s="8">
        <v>112702.82116461902</v>
      </c>
      <c r="I68" s="8">
        <v>110377.920821899</v>
      </c>
      <c r="J68" s="8">
        <v>110569.86613627597</v>
      </c>
      <c r="K68" s="8">
        <v>107183.36932932511</v>
      </c>
      <c r="L68" s="8">
        <v>105362.98046965661</v>
      </c>
      <c r="M68" s="8">
        <v>123190.98794614014</v>
      </c>
      <c r="N68" s="8">
        <v>120409.38801234731</v>
      </c>
      <c r="O68" s="8">
        <v>112022.20995702814</v>
      </c>
      <c r="P68" s="8">
        <v>114778.31352530076</v>
      </c>
      <c r="Q68" s="8">
        <v>115867.49645117712</v>
      </c>
      <c r="R68" s="8">
        <v>102521.00475926603</v>
      </c>
      <c r="S68" s="8">
        <v>107569.43884202618</v>
      </c>
      <c r="T68" s="8">
        <v>106786.7688979649</v>
      </c>
      <c r="U68" s="8">
        <v>118419.82794573229</v>
      </c>
      <c r="V68" s="8">
        <v>115582.20476454418</v>
      </c>
      <c r="W68" s="8">
        <v>112933.41418052034</v>
      </c>
    </row>
    <row r="69" spans="1:23" x14ac:dyDescent="0.2">
      <c r="B69" s="6" t="s">
        <v>96</v>
      </c>
      <c r="C69" s="6" t="s">
        <v>96</v>
      </c>
      <c r="D69" s="7">
        <v>4062485</v>
      </c>
      <c r="E69" s="8">
        <v>56521.185671384694</v>
      </c>
      <c r="F69" s="8">
        <v>55415.354671556692</v>
      </c>
      <c r="G69" s="8">
        <v>55165.422305825727</v>
      </c>
      <c r="H69" s="8">
        <v>56161.598646500046</v>
      </c>
      <c r="I69" s="8">
        <v>57034.913531540733</v>
      </c>
      <c r="J69" s="8">
        <v>52118.769135927461</v>
      </c>
      <c r="K69" s="8">
        <v>47658.008707612207</v>
      </c>
      <c r="L69" s="8">
        <v>50041.924708629333</v>
      </c>
      <c r="M69" s="8">
        <v>49499.123490012826</v>
      </c>
      <c r="N69" s="8">
        <v>49455.197310477233</v>
      </c>
      <c r="O69" s="8">
        <v>49530.455168260625</v>
      </c>
      <c r="P69" s="8">
        <v>48293.572472294953</v>
      </c>
      <c r="Q69" s="8">
        <v>50419.576170937267</v>
      </c>
      <c r="R69" s="8">
        <v>47580.387288703183</v>
      </c>
      <c r="S69" s="8">
        <v>41983.390814877821</v>
      </c>
      <c r="T69" s="8">
        <v>38645.970497647279</v>
      </c>
      <c r="U69" s="8">
        <v>36812.328311604149</v>
      </c>
      <c r="V69" s="8">
        <v>29285.790448583073</v>
      </c>
      <c r="W69" s="8">
        <v>27426.594718679469</v>
      </c>
    </row>
    <row r="70" spans="1:23" x14ac:dyDescent="0.2">
      <c r="B70" s="6" t="s">
        <v>97</v>
      </c>
      <c r="C70" s="6" t="s">
        <v>97</v>
      </c>
      <c r="D70" s="7">
        <v>4057140</v>
      </c>
      <c r="E70" s="8">
        <v>46318.310113393214</v>
      </c>
      <c r="F70" s="8">
        <v>42555.324452538393</v>
      </c>
      <c r="G70" s="8">
        <v>49969.194560959957</v>
      </c>
      <c r="H70" s="8">
        <v>44495.271406249842</v>
      </c>
      <c r="I70" s="8">
        <v>44155.087796901942</v>
      </c>
      <c r="J70" s="8">
        <v>49842.600182397393</v>
      </c>
      <c r="K70" s="8">
        <v>51846.644693590046</v>
      </c>
      <c r="L70" s="8">
        <v>51640.880172767131</v>
      </c>
      <c r="M70" s="8">
        <v>51306.774178427455</v>
      </c>
      <c r="N70" s="8">
        <v>50686.796149408685</v>
      </c>
      <c r="O70" s="8">
        <v>47705.903929846296</v>
      </c>
      <c r="P70" s="8">
        <v>46723.778410027815</v>
      </c>
      <c r="Q70" s="8">
        <v>44753.948582870224</v>
      </c>
      <c r="R70" s="8">
        <v>43050.29255494431</v>
      </c>
      <c r="S70" s="8">
        <v>44663.039698294117</v>
      </c>
      <c r="T70" s="8">
        <v>42436.26928527133</v>
      </c>
      <c r="U70" s="8">
        <v>39519.039650879458</v>
      </c>
      <c r="V70" s="8">
        <v>38594.186062693007</v>
      </c>
      <c r="W70" s="8">
        <v>45353.597419136539</v>
      </c>
    </row>
    <row r="71" spans="1:23" x14ac:dyDescent="0.2">
      <c r="A71" s="1" t="s">
        <v>30</v>
      </c>
      <c r="B71" s="6" t="s">
        <v>98</v>
      </c>
      <c r="C71" s="6" t="s">
        <v>99</v>
      </c>
      <c r="D71" s="7">
        <v>4057096</v>
      </c>
      <c r="E71" s="8">
        <v>30836.281825580678</v>
      </c>
      <c r="F71" s="8">
        <v>30594.627489133334</v>
      </c>
      <c r="G71" s="8">
        <v>29157.391305276218</v>
      </c>
      <c r="H71" s="8">
        <v>31606.737606217204</v>
      </c>
      <c r="I71" s="8">
        <v>29187.325427550655</v>
      </c>
      <c r="J71" s="8">
        <v>29351.934835500797</v>
      </c>
      <c r="K71" s="8">
        <v>29570.99715815932</v>
      </c>
      <c r="L71" s="8">
        <v>26923.615199322128</v>
      </c>
      <c r="M71" s="8">
        <v>26490.933150494533</v>
      </c>
      <c r="N71" s="8">
        <v>25582.794746891821</v>
      </c>
      <c r="O71" s="8">
        <v>25506.533852812139</v>
      </c>
      <c r="P71" s="8">
        <v>22827.250276313236</v>
      </c>
      <c r="Q71" s="8">
        <v>22462.096371369928</v>
      </c>
      <c r="R71" s="8">
        <v>18161.188678995128</v>
      </c>
      <c r="S71" s="8">
        <v>19355.042196651841</v>
      </c>
      <c r="T71" s="8">
        <v>18823.587771424191</v>
      </c>
      <c r="U71" s="8">
        <v>21875.042092597625</v>
      </c>
      <c r="V71" s="8">
        <v>21414.38729345335</v>
      </c>
      <c r="W71" s="8" t="s">
        <v>123</v>
      </c>
    </row>
    <row r="72" spans="1:23" x14ac:dyDescent="0.2">
      <c r="B72" s="6" t="s">
        <v>100</v>
      </c>
      <c r="C72" s="6" t="s">
        <v>100</v>
      </c>
      <c r="D72" s="7">
        <v>4057097</v>
      </c>
      <c r="E72" s="8" t="s">
        <v>123</v>
      </c>
      <c r="F72" s="8" t="s">
        <v>123</v>
      </c>
      <c r="G72" s="8" t="s">
        <v>123</v>
      </c>
      <c r="H72" s="8">
        <v>58867.080534861765</v>
      </c>
      <c r="I72" s="8">
        <v>57268.845180088974</v>
      </c>
      <c r="J72" s="8">
        <v>51270.051506212571</v>
      </c>
      <c r="K72" s="8">
        <v>50762.042668799259</v>
      </c>
      <c r="L72" s="8">
        <v>50133.768199695522</v>
      </c>
      <c r="M72" s="8">
        <v>54814.708239021966</v>
      </c>
      <c r="N72" s="8">
        <v>56691.683520193634</v>
      </c>
      <c r="O72" s="8">
        <v>54483.399070651205</v>
      </c>
      <c r="P72" s="8">
        <v>49472.391434869875</v>
      </c>
      <c r="Q72" s="8">
        <v>57229.966083312996</v>
      </c>
      <c r="R72" s="8">
        <v>44700.954192390513</v>
      </c>
      <c r="S72" s="8">
        <v>49792.037085190888</v>
      </c>
      <c r="T72" s="8">
        <v>45435.933817665806</v>
      </c>
      <c r="U72" s="8">
        <v>38191.987426139363</v>
      </c>
      <c r="V72" s="8">
        <v>36348.217839364523</v>
      </c>
      <c r="W72" s="8">
        <v>40714.570127818202</v>
      </c>
    </row>
    <row r="73" spans="1:23" x14ac:dyDescent="0.2">
      <c r="B73" s="6" t="s">
        <v>101</v>
      </c>
      <c r="C73" s="6" t="s">
        <v>101</v>
      </c>
      <c r="D73" s="7">
        <v>4057098</v>
      </c>
      <c r="E73" s="8" t="s">
        <v>123</v>
      </c>
      <c r="F73" s="8" t="s">
        <v>123</v>
      </c>
      <c r="G73" s="8">
        <v>6963.1095094730899</v>
      </c>
      <c r="H73" s="8">
        <v>6728.3083081110653</v>
      </c>
      <c r="I73" s="8">
        <v>6641.8119555726262</v>
      </c>
      <c r="J73" s="8">
        <v>6728.1945580937763</v>
      </c>
      <c r="K73" s="8">
        <v>6832.5358340489283</v>
      </c>
      <c r="L73" s="8">
        <v>7132.1759473139091</v>
      </c>
      <c r="M73" s="8">
        <v>7681.9570367555507</v>
      </c>
      <c r="N73" s="8">
        <v>7985.3307683775229</v>
      </c>
      <c r="O73" s="8">
        <v>8324.2659838597465</v>
      </c>
      <c r="P73" s="8">
        <v>8200.4649175680734</v>
      </c>
      <c r="Q73" s="8">
        <v>8089.0543055076178</v>
      </c>
      <c r="R73" s="8">
        <v>7313.16963337379</v>
      </c>
      <c r="S73" s="8">
        <v>7733.2924296438978</v>
      </c>
      <c r="T73" s="8">
        <v>7042.8649368737779</v>
      </c>
      <c r="U73" s="8">
        <v>6770.1072313172253</v>
      </c>
      <c r="V73" s="8">
        <v>6570.6077621992854</v>
      </c>
      <c r="W73" s="8">
        <v>6306.8936536536121</v>
      </c>
    </row>
    <row r="74" spans="1:23" x14ac:dyDescent="0.2">
      <c r="A74" s="1" t="s">
        <v>30</v>
      </c>
      <c r="B74" s="6" t="s">
        <v>102</v>
      </c>
      <c r="C74" s="6" t="s">
        <v>102</v>
      </c>
      <c r="D74" s="7">
        <v>4063023</v>
      </c>
      <c r="E74" s="8">
        <v>34574.510450574562</v>
      </c>
      <c r="F74" s="8" t="s">
        <v>123</v>
      </c>
      <c r="G74" s="8">
        <v>32510.614303611354</v>
      </c>
      <c r="H74" s="8">
        <v>34009.76470657553</v>
      </c>
      <c r="I74" s="8">
        <v>31446.956585819382</v>
      </c>
      <c r="J74" s="8">
        <v>29360.481672562935</v>
      </c>
      <c r="K74" s="8">
        <v>26551.324088750946</v>
      </c>
      <c r="L74" s="8">
        <v>25078.813155402575</v>
      </c>
      <c r="M74" s="8">
        <v>24119.711213013023</v>
      </c>
      <c r="N74" s="8">
        <v>23749.22718317786</v>
      </c>
      <c r="O74" s="8">
        <v>22054.841254643583</v>
      </c>
      <c r="P74" s="8">
        <v>20706.557306919542</v>
      </c>
      <c r="Q74" s="8">
        <v>19278.155667304527</v>
      </c>
      <c r="R74" s="8">
        <v>17334.708784259605</v>
      </c>
      <c r="S74" s="8">
        <v>16840.51978834199</v>
      </c>
      <c r="T74" s="8">
        <v>15718.729242144082</v>
      </c>
      <c r="U74" s="8">
        <v>16913.703072802837</v>
      </c>
      <c r="V74" s="8">
        <v>16394.03843593394</v>
      </c>
      <c r="W74" s="8">
        <v>16207.042841773762</v>
      </c>
    </row>
    <row r="75" spans="1:23" x14ac:dyDescent="0.2">
      <c r="B75" s="6" t="s">
        <v>103</v>
      </c>
      <c r="C75" s="6" t="s">
        <v>103</v>
      </c>
      <c r="D75" s="7">
        <v>4057146</v>
      </c>
      <c r="E75" s="8">
        <v>842491.74473216664</v>
      </c>
      <c r="F75" s="8" t="s">
        <v>123</v>
      </c>
      <c r="G75" s="8">
        <v>390454.18876962253</v>
      </c>
      <c r="H75" s="8">
        <v>365021.44782177889</v>
      </c>
      <c r="I75" s="8">
        <v>353436.48538048775</v>
      </c>
      <c r="J75" s="8">
        <v>333336.84980707971</v>
      </c>
      <c r="K75" s="8">
        <v>329477.68537948874</v>
      </c>
      <c r="L75" s="8">
        <v>325151.92945943767</v>
      </c>
      <c r="M75" s="8">
        <v>342855.63172203489</v>
      </c>
      <c r="N75" s="8">
        <v>332448.70543668472</v>
      </c>
      <c r="O75" s="8">
        <v>340529.74706638954</v>
      </c>
      <c r="P75" s="8">
        <v>319774.51322437549</v>
      </c>
      <c r="Q75" s="8">
        <v>339606.26198429655</v>
      </c>
      <c r="R75" s="8">
        <v>283641.88649414602</v>
      </c>
      <c r="S75" s="8">
        <v>305008.39263993909</v>
      </c>
      <c r="T75" s="8">
        <v>291385.33278508368</v>
      </c>
      <c r="U75" s="8">
        <v>280114.03470691532</v>
      </c>
      <c r="V75" s="8">
        <v>272951.65671141096</v>
      </c>
      <c r="W75" s="8">
        <v>270865.7879340318</v>
      </c>
    </row>
    <row r="76" spans="1:23" x14ac:dyDescent="0.2">
      <c r="A76" s="1" t="s">
        <v>30</v>
      </c>
      <c r="B76" s="6" t="s">
        <v>104</v>
      </c>
      <c r="C76" s="6" t="s">
        <v>105</v>
      </c>
      <c r="D76" s="7">
        <v>4063060</v>
      </c>
      <c r="E76" s="8">
        <v>23349.998241640002</v>
      </c>
      <c r="F76" s="8" t="s">
        <v>123</v>
      </c>
      <c r="G76" s="8">
        <v>22004.515553041456</v>
      </c>
      <c r="H76" s="8">
        <v>24724.924755787975</v>
      </c>
      <c r="I76" s="8">
        <v>26472.130414093761</v>
      </c>
      <c r="J76" s="8">
        <v>22670.999405857019</v>
      </c>
      <c r="K76" s="8">
        <v>24327.971143364772</v>
      </c>
      <c r="L76" s="8">
        <v>24481.773885588635</v>
      </c>
      <c r="M76" s="8">
        <v>22354.797738245295</v>
      </c>
      <c r="N76" s="8">
        <v>22392.395419090866</v>
      </c>
      <c r="O76" s="8">
        <v>20628.136247997336</v>
      </c>
      <c r="P76" s="8">
        <v>19376.118294045609</v>
      </c>
      <c r="Q76" s="8">
        <v>21985.0094955288</v>
      </c>
      <c r="R76" s="8">
        <v>18740.557178305695</v>
      </c>
      <c r="S76" s="8">
        <v>18421.396064993696</v>
      </c>
      <c r="T76" s="8">
        <v>17332.909498127203</v>
      </c>
      <c r="U76" s="8">
        <v>16966.167671511615</v>
      </c>
      <c r="V76" s="8">
        <v>16337.957017161254</v>
      </c>
      <c r="W76" s="8">
        <v>16132.660314715411</v>
      </c>
    </row>
    <row r="77" spans="1:23" x14ac:dyDescent="0.2">
      <c r="B77" s="6" t="s">
        <v>106</v>
      </c>
      <c r="C77" s="6" t="s">
        <v>106</v>
      </c>
      <c r="D77" s="7">
        <v>4057100</v>
      </c>
      <c r="E77" s="8">
        <v>10132.577223992314</v>
      </c>
      <c r="F77" s="8">
        <v>11627.627009256586</v>
      </c>
      <c r="G77" s="8">
        <v>13990.307944488486</v>
      </c>
      <c r="H77" s="8">
        <v>10548.48795955728</v>
      </c>
      <c r="I77" s="8">
        <v>9966.6128451146342</v>
      </c>
      <c r="J77" s="8">
        <v>8743.9487194526482</v>
      </c>
      <c r="K77" s="8">
        <v>8668.5818518813721</v>
      </c>
      <c r="L77" s="8">
        <v>9078.7539370913564</v>
      </c>
      <c r="M77" s="8">
        <v>9730.2025496140704</v>
      </c>
      <c r="N77" s="8">
        <v>7910.6379025588967</v>
      </c>
      <c r="O77" s="8">
        <v>8582.8965210708011</v>
      </c>
      <c r="P77" s="8">
        <v>8900.7405034214189</v>
      </c>
      <c r="Q77" s="8">
        <v>7588.0488369707928</v>
      </c>
      <c r="R77" s="8">
        <v>7048.922127048053</v>
      </c>
      <c r="S77" s="8">
        <v>6706.5096520008301</v>
      </c>
      <c r="T77" s="8">
        <v>5964.5204064844684</v>
      </c>
      <c r="U77" s="8">
        <v>6525.1436522031454</v>
      </c>
      <c r="V77" s="8">
        <v>5881.2659814697126</v>
      </c>
      <c r="W77" s="8">
        <v>5372.8985408134558</v>
      </c>
    </row>
    <row r="78" spans="1:23" x14ac:dyDescent="0.2">
      <c r="B78" s="6" t="s">
        <v>107</v>
      </c>
      <c r="C78" s="6" t="s">
        <v>107</v>
      </c>
      <c r="D78" s="7">
        <v>4064035</v>
      </c>
      <c r="E78" s="8" t="s">
        <v>123</v>
      </c>
      <c r="F78" s="8" t="s">
        <v>123</v>
      </c>
      <c r="G78" s="8">
        <v>2251.989177013284</v>
      </c>
      <c r="H78" s="8">
        <v>2261.3874189103117</v>
      </c>
      <c r="I78" s="8">
        <v>2105.5465987403959</v>
      </c>
      <c r="J78" s="8">
        <v>2059.7643274044785</v>
      </c>
      <c r="K78" s="8">
        <v>2090.8668497408053</v>
      </c>
      <c r="L78" s="8">
        <v>2076.7968431607492</v>
      </c>
      <c r="M78" s="8">
        <v>1840.5951469074278</v>
      </c>
      <c r="N78" s="8">
        <v>1670.2170549756918</v>
      </c>
      <c r="O78" s="8">
        <v>1680.364173376601</v>
      </c>
      <c r="P78" s="8">
        <v>1646.5708619391021</v>
      </c>
      <c r="Q78" s="8">
        <v>1577.0619937455035</v>
      </c>
      <c r="R78" s="8">
        <v>1487.111786798268</v>
      </c>
      <c r="S78" s="8">
        <v>1410.2277036673559</v>
      </c>
      <c r="T78" s="8">
        <v>1403.6741284573325</v>
      </c>
      <c r="U78" s="8">
        <v>1397.8406341242614</v>
      </c>
      <c r="V78" s="8">
        <v>1287.7504490045342</v>
      </c>
      <c r="W78" s="8">
        <v>1222.8481940826427</v>
      </c>
    </row>
    <row r="79" spans="1:23" x14ac:dyDescent="0.2">
      <c r="B79" s="6" t="s">
        <v>108</v>
      </c>
      <c r="C79" s="6" t="s">
        <v>108</v>
      </c>
      <c r="D79" s="7">
        <v>4060957</v>
      </c>
      <c r="E79" s="8" t="s">
        <v>123</v>
      </c>
      <c r="F79" s="8">
        <v>58423.298700807332</v>
      </c>
      <c r="G79" s="8">
        <v>61036.419423646359</v>
      </c>
      <c r="H79" s="8">
        <v>70124.512329238962</v>
      </c>
      <c r="I79" s="8">
        <v>55587.44239465284</v>
      </c>
      <c r="J79" s="8">
        <v>56117.694386849289</v>
      </c>
      <c r="K79" s="8">
        <v>55511.095013083286</v>
      </c>
      <c r="L79" s="8">
        <v>61233.616881613474</v>
      </c>
      <c r="M79" s="8">
        <v>66211.321465802874</v>
      </c>
      <c r="N79" s="8">
        <v>61708.16328317509</v>
      </c>
      <c r="O79" s="8">
        <v>63556.347316832216</v>
      </c>
      <c r="P79" s="8">
        <v>62028.909327072004</v>
      </c>
      <c r="Q79" s="8">
        <v>62517.803964547114</v>
      </c>
      <c r="R79" s="8">
        <v>60410.364958182618</v>
      </c>
      <c r="S79" s="8">
        <v>57201.018717718216</v>
      </c>
      <c r="T79" s="8">
        <v>54377.245356056133</v>
      </c>
      <c r="U79" s="8">
        <v>51273.000458044517</v>
      </c>
      <c r="V79" s="8">
        <v>49368.011299512953</v>
      </c>
      <c r="W79" s="8">
        <v>48825.269899530271</v>
      </c>
    </row>
    <row r="80" spans="1:23" x14ac:dyDescent="0.2">
      <c r="B80" s="6" t="s">
        <v>109</v>
      </c>
      <c r="C80" s="6" t="s">
        <v>109</v>
      </c>
      <c r="D80" s="7">
        <v>4063179</v>
      </c>
      <c r="E80" s="8">
        <v>442.96540952827968</v>
      </c>
      <c r="F80" s="8">
        <v>404.65343708141523</v>
      </c>
      <c r="G80" s="8">
        <v>427.26194463761101</v>
      </c>
      <c r="H80" s="8">
        <v>464.25302302415827</v>
      </c>
      <c r="I80" s="8">
        <v>340.91464113955521</v>
      </c>
      <c r="J80" s="8">
        <v>352.54891182243318</v>
      </c>
      <c r="K80" s="8">
        <v>374.38762073845709</v>
      </c>
      <c r="L80" s="8">
        <v>316.35515587842258</v>
      </c>
      <c r="M80" s="8">
        <v>301.07589240416377</v>
      </c>
      <c r="N80" s="8">
        <v>297.50942790862143</v>
      </c>
      <c r="O80" s="8">
        <v>274.50565264834597</v>
      </c>
      <c r="P80" s="8">
        <v>299.83456977406388</v>
      </c>
      <c r="Q80" s="8">
        <v>303.30976820238368</v>
      </c>
      <c r="R80" s="8">
        <v>313.2776739860077</v>
      </c>
      <c r="S80" s="8">
        <v>314.50094467618726</v>
      </c>
      <c r="T80" s="8">
        <v>294.08100107715359</v>
      </c>
      <c r="U80" s="8">
        <v>263.08957716416728</v>
      </c>
      <c r="V80" s="8">
        <v>283.92807354755394</v>
      </c>
      <c r="W80" s="8">
        <v>297.72266244837522</v>
      </c>
    </row>
    <row r="81" spans="1:23" x14ac:dyDescent="0.2">
      <c r="A81" s="1" t="s">
        <v>30</v>
      </c>
      <c r="B81" s="6" t="s">
        <v>110</v>
      </c>
      <c r="C81" s="6" t="s">
        <v>110</v>
      </c>
      <c r="D81" s="7">
        <v>4063183</v>
      </c>
      <c r="E81" s="8">
        <v>3578.194154465094</v>
      </c>
      <c r="F81" s="8">
        <v>3625.2895969231431</v>
      </c>
      <c r="G81" s="8">
        <v>4021.7937134548392</v>
      </c>
      <c r="H81" s="8">
        <v>3450.2757797063036</v>
      </c>
      <c r="I81" s="8">
        <v>3451.6752516023721</v>
      </c>
      <c r="J81" s="8">
        <v>2884.9848998582529</v>
      </c>
      <c r="K81" s="8">
        <v>2935.5606901592691</v>
      </c>
      <c r="L81" s="8">
        <v>2731.1089743870057</v>
      </c>
      <c r="M81" s="8">
        <v>2641.0400699098532</v>
      </c>
      <c r="N81" s="8">
        <v>2625.7623630045978</v>
      </c>
      <c r="O81" s="8">
        <v>2902.5576366865143</v>
      </c>
      <c r="P81" s="8">
        <v>3042.3826098550239</v>
      </c>
      <c r="Q81" s="8">
        <v>2844.0477732678492</v>
      </c>
      <c r="R81" s="8">
        <v>2364.537472897724</v>
      </c>
      <c r="S81" s="8">
        <v>2220.3464244936977</v>
      </c>
      <c r="T81" s="8">
        <v>1831.3221798897846</v>
      </c>
      <c r="U81" s="8">
        <v>1902.9459375134886</v>
      </c>
      <c r="V81" s="8">
        <v>1883.1984048662632</v>
      </c>
      <c r="W81" s="8">
        <v>1758.0052516021694</v>
      </c>
    </row>
    <row r="82" spans="1:23" x14ac:dyDescent="0.2">
      <c r="B82" s="6" t="s">
        <v>111</v>
      </c>
      <c r="C82" s="6" t="s">
        <v>111</v>
      </c>
      <c r="D82" s="7">
        <v>4063281</v>
      </c>
      <c r="E82" s="8">
        <v>1627.5865850867478</v>
      </c>
      <c r="F82" s="8">
        <v>1485.6332152052296</v>
      </c>
      <c r="G82" s="8">
        <v>1452.8549370943911</v>
      </c>
      <c r="H82" s="8">
        <v>1439.1617637630518</v>
      </c>
      <c r="I82" s="8">
        <v>1383.0778572526083</v>
      </c>
      <c r="J82" s="8">
        <v>1400.6314451372921</v>
      </c>
      <c r="K82" s="8">
        <v>1605.1418520042516</v>
      </c>
      <c r="L82" s="8">
        <v>1464.4265597298224</v>
      </c>
      <c r="M82" s="8">
        <v>1547.7991506599569</v>
      </c>
      <c r="N82" s="8">
        <v>1598.5986349579066</v>
      </c>
      <c r="O82" s="8">
        <v>1619.2926589918366</v>
      </c>
      <c r="P82" s="8">
        <v>1568.1777202576584</v>
      </c>
      <c r="Q82" s="8">
        <v>1550.9284016796626</v>
      </c>
      <c r="R82" s="8">
        <v>1615.5188599493317</v>
      </c>
      <c r="S82" s="8">
        <v>1591.4363480371192</v>
      </c>
      <c r="T82" s="8">
        <v>1621.2258941285252</v>
      </c>
      <c r="U82" s="8">
        <v>1537.4452186554706</v>
      </c>
      <c r="V82" s="8">
        <v>1387.230690759362</v>
      </c>
      <c r="W82" s="8">
        <v>1291.8816417845337</v>
      </c>
    </row>
    <row r="83" spans="1:23" x14ac:dyDescent="0.2">
      <c r="B83" s="6" t="s">
        <v>112</v>
      </c>
      <c r="C83" s="6" t="s">
        <v>112</v>
      </c>
      <c r="D83" s="7">
        <v>4059746</v>
      </c>
      <c r="E83" s="8">
        <v>39674.062971542</v>
      </c>
      <c r="F83" s="8">
        <v>44123.555517447683</v>
      </c>
      <c r="G83" s="8">
        <v>61020.989286347278</v>
      </c>
      <c r="H83" s="8">
        <v>49433.836429002302</v>
      </c>
      <c r="I83" s="8">
        <v>52483.983598102386</v>
      </c>
      <c r="J83" s="8">
        <v>52139.14993054614</v>
      </c>
      <c r="K83" s="8">
        <v>51575.147147367468</v>
      </c>
      <c r="L83" s="8">
        <v>54232.6483570071</v>
      </c>
      <c r="M83" s="8">
        <v>53787.378632157721</v>
      </c>
      <c r="N83" s="8">
        <v>57417.203838511479</v>
      </c>
      <c r="O83" s="8">
        <v>56965.937046217638</v>
      </c>
      <c r="P83" s="8">
        <v>63587.528138708694</v>
      </c>
      <c r="Q83" s="8">
        <v>62209.956168217257</v>
      </c>
      <c r="R83" s="8">
        <v>65992.14568423164</v>
      </c>
      <c r="S83" s="8">
        <v>60021.416821556013</v>
      </c>
      <c r="T83" s="8">
        <v>58497.879170367589</v>
      </c>
      <c r="U83" s="8">
        <v>55033.466797274566</v>
      </c>
      <c r="V83" s="8">
        <v>48343.436546285091</v>
      </c>
      <c r="W83" s="8">
        <v>47635.324250655103</v>
      </c>
    </row>
    <row r="84" spans="1:23" x14ac:dyDescent="0.2">
      <c r="A84" s="1" t="s">
        <v>30</v>
      </c>
      <c r="B84" s="6" t="s">
        <v>113</v>
      </c>
      <c r="C84" s="6" t="s">
        <v>113</v>
      </c>
      <c r="D84" s="7">
        <v>4062279</v>
      </c>
      <c r="E84" s="8" t="s">
        <v>123</v>
      </c>
      <c r="F84" s="8" t="s">
        <v>123</v>
      </c>
      <c r="G84" s="8" t="s">
        <v>123</v>
      </c>
      <c r="H84" s="8" t="s">
        <v>123</v>
      </c>
      <c r="I84" s="8">
        <v>21876.578430608402</v>
      </c>
      <c r="J84" s="8">
        <v>19879.401269356509</v>
      </c>
      <c r="K84" s="8">
        <v>21266.925299113456</v>
      </c>
      <c r="L84" s="8">
        <v>18746.618447772198</v>
      </c>
      <c r="M84" s="8">
        <v>17835.022395487649</v>
      </c>
      <c r="N84" s="8">
        <v>15543.41463734703</v>
      </c>
      <c r="O84" s="8">
        <v>16352.741113027869</v>
      </c>
      <c r="P84" s="8">
        <v>16166.167562467221</v>
      </c>
      <c r="Q84" s="8">
        <v>16778.605391168883</v>
      </c>
      <c r="R84" s="8">
        <v>14727.233617533941</v>
      </c>
      <c r="S84" s="8">
        <v>13340.016950120904</v>
      </c>
      <c r="T84" s="8">
        <v>11953.006965576529</v>
      </c>
      <c r="U84" s="8">
        <v>11617.772106336339</v>
      </c>
      <c r="V84" s="8">
        <v>10382.942377929639</v>
      </c>
      <c r="W84" s="8">
        <v>10550.757237778435</v>
      </c>
    </row>
    <row r="85" spans="1:23" x14ac:dyDescent="0.2">
      <c r="A85" s="1" t="s">
        <v>30</v>
      </c>
      <c r="B85" s="6" t="s">
        <v>114</v>
      </c>
      <c r="C85" s="6" t="s">
        <v>114</v>
      </c>
      <c r="D85" s="7">
        <v>4063729</v>
      </c>
      <c r="E85" s="8" t="s">
        <v>123</v>
      </c>
      <c r="F85" s="8" t="s">
        <v>123</v>
      </c>
      <c r="G85" s="8" t="s">
        <v>123</v>
      </c>
      <c r="H85" s="8" t="s">
        <v>123</v>
      </c>
      <c r="I85" s="8">
        <v>4436.0127037306165</v>
      </c>
      <c r="J85" s="8">
        <v>5218.4447263613501</v>
      </c>
      <c r="K85" s="8">
        <v>6046.4588380289888</v>
      </c>
      <c r="L85" s="8">
        <v>5286.3354347112027</v>
      </c>
      <c r="M85" s="8">
        <v>5094.9228801644495</v>
      </c>
      <c r="N85" s="8">
        <v>4459.6793510402076</v>
      </c>
      <c r="O85" s="8">
        <v>4228.0664433791026</v>
      </c>
      <c r="P85" s="8">
        <v>3926.5413950050406</v>
      </c>
      <c r="Q85" s="8">
        <v>4000.6986926777081</v>
      </c>
      <c r="R85" s="8">
        <v>3269.1872310609187</v>
      </c>
      <c r="S85" s="8">
        <v>2874.7865501308384</v>
      </c>
      <c r="T85" s="8">
        <v>3172.2419729540457</v>
      </c>
      <c r="U85" s="8">
        <v>2960.0882783710099</v>
      </c>
      <c r="V85" s="8">
        <v>3051.8579869877708</v>
      </c>
      <c r="W85" s="8">
        <v>2855.0920701354976</v>
      </c>
    </row>
    <row r="86" spans="1:23" x14ac:dyDescent="0.2">
      <c r="B86" s="6" t="s">
        <v>115</v>
      </c>
      <c r="C86" s="6" t="s">
        <v>115</v>
      </c>
      <c r="D86" s="7">
        <v>4063762</v>
      </c>
      <c r="E86" s="8">
        <v>22737.240898306332</v>
      </c>
      <c r="F86" s="8">
        <v>21673.535024730652</v>
      </c>
      <c r="G86" s="8">
        <v>20255.566574890752</v>
      </c>
      <c r="H86" s="8">
        <v>20728.936278382709</v>
      </c>
      <c r="I86" s="8">
        <v>19019.263701582451</v>
      </c>
      <c r="J86" s="8">
        <v>19338.564840497755</v>
      </c>
      <c r="K86" s="8">
        <v>18108.964301396169</v>
      </c>
      <c r="L86" s="8">
        <v>17309.633529067698</v>
      </c>
      <c r="M86" s="8">
        <v>15794.811761924662</v>
      </c>
      <c r="N86" s="8">
        <v>14306.280284408629</v>
      </c>
      <c r="O86" s="8">
        <v>14197.167540529112</v>
      </c>
      <c r="P86" s="8">
        <v>14781.329526203406</v>
      </c>
      <c r="Q86" s="8">
        <v>13868.824728763382</v>
      </c>
      <c r="R86" s="8">
        <v>13292.39528010719</v>
      </c>
      <c r="S86" s="8">
        <v>14210.051658451292</v>
      </c>
      <c r="T86" s="8">
        <v>16666.619401222215</v>
      </c>
      <c r="U86" s="8">
        <v>17465.8674014684</v>
      </c>
      <c r="V86" s="8">
        <v>16605.268560230274</v>
      </c>
      <c r="W86" s="8">
        <v>14654.497498111143</v>
      </c>
    </row>
    <row r="87" spans="1:23" x14ac:dyDescent="0.2">
      <c r="B87" s="6" t="s">
        <v>116</v>
      </c>
      <c r="C87" s="6" t="s">
        <v>116</v>
      </c>
      <c r="D87" s="7">
        <v>4058284</v>
      </c>
      <c r="E87" s="8">
        <v>121404.69105240492</v>
      </c>
      <c r="F87" s="8">
        <v>122213.75106239493</v>
      </c>
      <c r="G87" s="8">
        <v>127636.60855201456</v>
      </c>
      <c r="H87" s="8">
        <v>116068.48150952866</v>
      </c>
      <c r="I87" s="8">
        <v>108202.62001644187</v>
      </c>
      <c r="J87" s="8">
        <v>108580.68587000036</v>
      </c>
      <c r="K87" s="8">
        <v>107621.18954352815</v>
      </c>
      <c r="L87" s="8">
        <v>96962.351257019211</v>
      </c>
      <c r="M87" s="8">
        <v>98651.856147134269</v>
      </c>
      <c r="N87" s="8">
        <v>93039.094920760122</v>
      </c>
      <c r="O87" s="8">
        <v>93789.33635418347</v>
      </c>
      <c r="P87" s="8">
        <v>86787.990106345998</v>
      </c>
      <c r="Q87" s="8">
        <v>82336.604763888026</v>
      </c>
      <c r="R87" s="8">
        <v>80446.400946603288</v>
      </c>
      <c r="S87" s="8">
        <v>81767.656372917074</v>
      </c>
      <c r="T87" s="8">
        <v>78034.766388958175</v>
      </c>
      <c r="U87" s="8">
        <v>77726.347590161648</v>
      </c>
      <c r="V87" s="8">
        <v>75015.407903935513</v>
      </c>
      <c r="W87" s="8">
        <v>71665.614105675166</v>
      </c>
    </row>
    <row r="88" spans="1:23" x14ac:dyDescent="0.2">
      <c r="B88" s="6" t="s">
        <v>117</v>
      </c>
      <c r="C88" s="6" t="s">
        <v>117</v>
      </c>
      <c r="D88" s="7">
        <v>4008752</v>
      </c>
      <c r="E88" s="8">
        <v>28284.923588245212</v>
      </c>
      <c r="F88" s="8">
        <v>31117.178481389019</v>
      </c>
      <c r="G88" s="8">
        <v>32398.991040669644</v>
      </c>
      <c r="H88" s="8">
        <v>28997.248915172193</v>
      </c>
      <c r="I88" s="8">
        <v>28372.660488100752</v>
      </c>
      <c r="J88" s="8">
        <v>29453.666069882729</v>
      </c>
      <c r="K88" s="8">
        <v>29547.537879615404</v>
      </c>
      <c r="L88" s="8">
        <v>29978.546517369425</v>
      </c>
      <c r="M88" s="8">
        <v>28282.8393480343</v>
      </c>
      <c r="N88" s="8">
        <v>28804.610188444065</v>
      </c>
      <c r="O88" s="8">
        <v>32471.442668192594</v>
      </c>
      <c r="P88" s="8">
        <v>30655.385987143243</v>
      </c>
      <c r="Q88" s="8">
        <v>31038.397949798102</v>
      </c>
      <c r="R88" s="8">
        <v>31767.599234353911</v>
      </c>
      <c r="S88" s="8">
        <v>29917.211014585188</v>
      </c>
      <c r="T88" s="8">
        <v>31364.869478587156</v>
      </c>
      <c r="U88" s="8">
        <v>33367.832109677693</v>
      </c>
      <c r="V88" s="8">
        <v>30287.252180951356</v>
      </c>
      <c r="W88" s="8">
        <v>23951.422052857797</v>
      </c>
    </row>
    <row r="89" spans="1:23" x14ac:dyDescent="0.2">
      <c r="B89" s="6" t="s">
        <v>118</v>
      </c>
      <c r="C89" s="6" t="s">
        <v>118</v>
      </c>
      <c r="D89" s="7">
        <v>4008669</v>
      </c>
      <c r="E89" s="8">
        <v>12147.217675840495</v>
      </c>
      <c r="F89" s="8">
        <v>11908.289974921527</v>
      </c>
      <c r="G89" s="8">
        <v>12354.321258063899</v>
      </c>
      <c r="H89" s="8">
        <v>12310.585611699657</v>
      </c>
      <c r="I89" s="8">
        <v>11834.48054413148</v>
      </c>
      <c r="J89" s="8">
        <v>11571.493549309196</v>
      </c>
      <c r="K89" s="8">
        <v>11680.247909899137</v>
      </c>
      <c r="L89" s="8">
        <v>10689.028583694484</v>
      </c>
      <c r="M89" s="8">
        <v>9552.8849298259447</v>
      </c>
      <c r="N89" s="8">
        <v>8866.9588875377649</v>
      </c>
      <c r="O89" s="8">
        <v>9179.0850602837381</v>
      </c>
      <c r="P89" s="8">
        <v>8736.6409130018692</v>
      </c>
      <c r="Q89" s="8">
        <v>8271.472908744985</v>
      </c>
      <c r="R89" s="8">
        <v>7645.6798606609336</v>
      </c>
      <c r="S89" s="8">
        <v>7498.8348460240086</v>
      </c>
      <c r="T89" s="8">
        <v>9275.8279611023318</v>
      </c>
      <c r="U89" s="8">
        <v>8067.5425623243082</v>
      </c>
      <c r="V89" s="8">
        <v>9427.210217984577</v>
      </c>
      <c r="W89" s="8">
        <v>9063.4761872169784</v>
      </c>
    </row>
    <row r="90" spans="1:23" x14ac:dyDescent="0.2">
      <c r="B90" s="6" t="s">
        <v>119</v>
      </c>
      <c r="C90" s="6" t="s">
        <v>120</v>
      </c>
      <c r="D90" s="7">
        <v>4076892</v>
      </c>
      <c r="E90" s="8" t="s">
        <v>123</v>
      </c>
      <c r="F90" s="8">
        <v>996.90144657552048</v>
      </c>
      <c r="G90" s="8">
        <v>990.06369822861586</v>
      </c>
      <c r="H90" s="8">
        <v>933.94198823439115</v>
      </c>
      <c r="I90" s="8">
        <v>851.19314161626255</v>
      </c>
      <c r="J90" s="8">
        <v>929.94339444260549</v>
      </c>
      <c r="K90" s="8">
        <v>907.24788104582319</v>
      </c>
      <c r="L90" s="8">
        <v>960.55240080598048</v>
      </c>
      <c r="M90" s="8">
        <v>928.85024785443716</v>
      </c>
      <c r="N90" s="8">
        <v>864.53685420623356</v>
      </c>
      <c r="O90" s="8">
        <v>849.30062034361572</v>
      </c>
      <c r="P90" s="8">
        <v>827.03177510632941</v>
      </c>
      <c r="Q90" s="8">
        <v>742.79475754195016</v>
      </c>
      <c r="R90" s="8">
        <v>744.53058924060883</v>
      </c>
      <c r="S90" s="8">
        <v>644.28770115429472</v>
      </c>
      <c r="T90" s="8">
        <v>522.57219822142054</v>
      </c>
      <c r="U90" s="8">
        <v>564.24853002602788</v>
      </c>
      <c r="V90" s="8">
        <v>523.31928219622864</v>
      </c>
      <c r="W90" s="8">
        <v>534.68373615843655</v>
      </c>
    </row>
    <row r="91" spans="1:23" x14ac:dyDescent="0.2">
      <c r="A91" s="1" t="s">
        <v>30</v>
      </c>
      <c r="B91" s="6" t="s">
        <v>121</v>
      </c>
      <c r="C91" s="6" t="s">
        <v>122</v>
      </c>
      <c r="D91" s="7">
        <v>4064141</v>
      </c>
      <c r="E91" s="8">
        <v>37083.103177765493</v>
      </c>
      <c r="F91" s="8" t="s">
        <v>123</v>
      </c>
      <c r="G91" s="8" t="s">
        <v>123</v>
      </c>
      <c r="H91" s="8">
        <v>32818.821917094734</v>
      </c>
      <c r="I91" s="8">
        <v>32248.095654620898</v>
      </c>
      <c r="J91" s="8">
        <v>30387.502992497026</v>
      </c>
      <c r="K91" s="8">
        <v>31900.780219457771</v>
      </c>
      <c r="L91" s="8">
        <v>32547.237847510016</v>
      </c>
      <c r="M91" s="8">
        <v>32430.899449424294</v>
      </c>
      <c r="N91" s="8">
        <v>32158.369578901482</v>
      </c>
      <c r="O91" s="8">
        <v>32267.303393300001</v>
      </c>
      <c r="P91" s="8">
        <v>30726.286782521151</v>
      </c>
      <c r="Q91" s="8">
        <v>29150.460904251362</v>
      </c>
      <c r="R91" s="8">
        <v>26558.330714454718</v>
      </c>
      <c r="S91" s="8">
        <v>25279.701612801415</v>
      </c>
      <c r="T91" s="8">
        <v>25095.715676010917</v>
      </c>
      <c r="U91" s="8">
        <v>25302.443898977537</v>
      </c>
      <c r="V91" s="8">
        <v>23894.892477881745</v>
      </c>
      <c r="W91" s="8">
        <v>22404.231680720815</v>
      </c>
    </row>
    <row r="92" spans="1:23" x14ac:dyDescent="0.2">
      <c r="B92" s="6"/>
      <c r="C92" s="6"/>
      <c r="D92" s="7"/>
      <c r="E92" s="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x14ac:dyDescent="0.2">
      <c r="B93" s="6"/>
      <c r="C93" s="6"/>
      <c r="D93" s="7"/>
      <c r="E93" s="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x14ac:dyDescent="0.2">
      <c r="B94" s="6"/>
      <c r="C94" s="6"/>
      <c r="D94" s="7"/>
      <c r="E94" s="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x14ac:dyDescent="0.2">
      <c r="B95" s="6"/>
      <c r="C95" s="6"/>
      <c r="D95" s="7"/>
      <c r="E95" s="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x14ac:dyDescent="0.2">
      <c r="B96" s="6"/>
      <c r="C96" s="6"/>
      <c r="D96" s="7"/>
      <c r="E96" s="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2:23" x14ac:dyDescent="0.2">
      <c r="B97" s="6"/>
      <c r="C97" s="6"/>
      <c r="D97" s="7"/>
      <c r="E97" s="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2:23" x14ac:dyDescent="0.2">
      <c r="B98" s="6"/>
      <c r="C98" s="7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2:23" x14ac:dyDescent="0.2">
      <c r="B99" s="6"/>
      <c r="C99" s="6"/>
      <c r="D99" s="7"/>
      <c r="E99" s="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2:23" x14ac:dyDescent="0.2">
      <c r="B100" s="6"/>
      <c r="C100" s="6"/>
      <c r="D100" s="7"/>
      <c r="E100" s="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2:23" x14ac:dyDescent="0.2">
      <c r="B101" s="6"/>
      <c r="C101" s="6"/>
      <c r="D101" s="7"/>
      <c r="E101" s="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2:23" x14ac:dyDescent="0.2">
      <c r="B102" s="6"/>
      <c r="C102" s="6"/>
      <c r="D102" s="7"/>
      <c r="E102" s="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2:23" x14ac:dyDescent="0.2">
      <c r="B103" s="6"/>
      <c r="C103" s="6"/>
      <c r="D103" s="7"/>
      <c r="E103" s="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2:23" x14ac:dyDescent="0.2">
      <c r="B104" s="6"/>
      <c r="C104" s="6"/>
      <c r="D104" s="7"/>
      <c r="E104" s="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2:23" x14ac:dyDescent="0.2">
      <c r="B105" s="6"/>
      <c r="C105" s="6"/>
      <c r="D105" s="7"/>
      <c r="E105" s="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2:23" x14ac:dyDescent="0.2">
      <c r="B106" s="6"/>
      <c r="C106" s="6"/>
      <c r="D106" s="7"/>
      <c r="E106" s="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2:23" x14ac:dyDescent="0.2">
      <c r="B107" s="6"/>
      <c r="C107" s="6"/>
      <c r="D107" s="7"/>
      <c r="E107" s="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2:23" x14ac:dyDescent="0.2">
      <c r="B108" s="6"/>
      <c r="C108" s="6"/>
      <c r="D108" s="7"/>
      <c r="E108" s="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2:23" x14ac:dyDescent="0.2">
      <c r="B109" s="6"/>
      <c r="C109" s="6"/>
      <c r="D109" s="7"/>
      <c r="E109" s="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2:23" x14ac:dyDescent="0.2">
      <c r="B110" s="6"/>
      <c r="C110" s="6"/>
      <c r="D110" s="7"/>
      <c r="E110" s="7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2:23" x14ac:dyDescent="0.2">
      <c r="B111" s="6"/>
      <c r="C111" s="6"/>
      <c r="D111" s="7"/>
      <c r="E111" s="7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2:23" x14ac:dyDescent="0.2">
      <c r="B112" s="6"/>
      <c r="C112" s="6"/>
      <c r="D112" s="7"/>
      <c r="E112" s="7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2:23" x14ac:dyDescent="0.2">
      <c r="B113" s="6"/>
      <c r="C113" s="6"/>
      <c r="D113" s="7"/>
      <c r="E113" s="7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2:23" x14ac:dyDescent="0.2">
      <c r="B114" s="6"/>
      <c r="C114" s="6"/>
      <c r="D114" s="7"/>
      <c r="E114" s="7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2:23" x14ac:dyDescent="0.2">
      <c r="B115" s="6"/>
      <c r="C115" s="6"/>
      <c r="D115" s="7"/>
      <c r="E115" s="7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2:23" x14ac:dyDescent="0.2">
      <c r="B116" s="6"/>
      <c r="C116" s="6"/>
      <c r="D116" s="7"/>
      <c r="E116" s="7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2:23" x14ac:dyDescent="0.2">
      <c r="B117" s="6"/>
      <c r="C117" s="6"/>
      <c r="D117" s="7"/>
      <c r="E117" s="7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2:23" x14ac:dyDescent="0.2">
      <c r="B118" s="6"/>
      <c r="C118" s="6"/>
      <c r="D118" s="7"/>
      <c r="E118" s="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2:23" x14ac:dyDescent="0.2">
      <c r="B119" s="6"/>
      <c r="C119" s="6"/>
      <c r="D119" s="7"/>
      <c r="E119" s="7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2:23" x14ac:dyDescent="0.2">
      <c r="B120" s="6"/>
      <c r="C120" s="6"/>
      <c r="D120" s="7"/>
      <c r="E120" s="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2:23" x14ac:dyDescent="0.2">
      <c r="B121" s="6"/>
      <c r="C121" s="6"/>
      <c r="D121" s="7"/>
      <c r="E121" s="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2:23" x14ac:dyDescent="0.2">
      <c r="B122" s="6"/>
      <c r="C122" s="6"/>
      <c r="D122" s="7"/>
      <c r="E122" s="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2:23" x14ac:dyDescent="0.2">
      <c r="B123" s="6"/>
      <c r="C123" s="6"/>
      <c r="D123" s="7"/>
      <c r="E123" s="7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2:23" x14ac:dyDescent="0.2">
      <c r="B124" s="6"/>
      <c r="C124" s="6"/>
      <c r="D124" s="7"/>
      <c r="E124" s="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2:23" x14ac:dyDescent="0.2">
      <c r="B125" s="6"/>
      <c r="C125" s="6"/>
      <c r="D125" s="7"/>
      <c r="E125" s="7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2:23" x14ac:dyDescent="0.2">
      <c r="B126" s="6"/>
      <c r="C126" s="6"/>
      <c r="D126" s="7"/>
      <c r="E126" s="7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2:23" x14ac:dyDescent="0.2">
      <c r="B127" s="6"/>
      <c r="C127" s="6"/>
      <c r="D127" s="7"/>
      <c r="E127" s="7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2:23" x14ac:dyDescent="0.2">
      <c r="B128" s="6"/>
      <c r="C128" s="6"/>
      <c r="D128" s="7"/>
      <c r="E128" s="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2:23" x14ac:dyDescent="0.2">
      <c r="B129" s="6"/>
      <c r="C129" s="6"/>
      <c r="D129" s="7"/>
      <c r="E129" s="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2:23" x14ac:dyDescent="0.2">
      <c r="B130" s="6"/>
      <c r="C130" s="6"/>
      <c r="D130" s="7"/>
      <c r="E130" s="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2:23" x14ac:dyDescent="0.2">
      <c r="B131" s="6"/>
      <c r="C131" s="6"/>
      <c r="D131" s="7"/>
      <c r="E131" s="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2:23" x14ac:dyDescent="0.2">
      <c r="B132" s="6"/>
      <c r="C132" s="6"/>
      <c r="D132" s="7"/>
      <c r="E132" s="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2:23" x14ac:dyDescent="0.2">
      <c r="B133" s="6"/>
      <c r="C133" s="6"/>
      <c r="D133" s="7"/>
      <c r="E133" s="7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2:23" x14ac:dyDescent="0.2">
      <c r="B134" s="6"/>
      <c r="C134" s="6"/>
      <c r="D134" s="7"/>
      <c r="E134" s="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2:23" x14ac:dyDescent="0.2">
      <c r="B135" s="6"/>
      <c r="C135" s="6"/>
      <c r="D135" s="7"/>
      <c r="E135" s="7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2:23" x14ac:dyDescent="0.2">
      <c r="B136" s="6"/>
      <c r="C136" s="6"/>
      <c r="D136" s="7"/>
      <c r="E136" s="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2:23" x14ac:dyDescent="0.2">
      <c r="B137" s="6"/>
      <c r="C137" s="6"/>
      <c r="D137" s="7"/>
      <c r="E137" s="7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2:23" x14ac:dyDescent="0.2">
      <c r="B138" s="6"/>
      <c r="C138" s="6"/>
      <c r="D138" s="7"/>
      <c r="E138" s="7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2:23" x14ac:dyDescent="0.2">
      <c r="B139" s="6"/>
      <c r="C139" s="6"/>
      <c r="D139" s="7"/>
      <c r="E139" s="7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2:23" x14ac:dyDescent="0.2">
      <c r="B140" s="6"/>
      <c r="C140" s="6"/>
      <c r="D140" s="7"/>
      <c r="E140" s="7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2:23" x14ac:dyDescent="0.2">
      <c r="B141" s="6"/>
      <c r="C141" s="6"/>
      <c r="D141" s="7"/>
      <c r="E141" s="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2:23" x14ac:dyDescent="0.2">
      <c r="B142" s="6"/>
      <c r="C142" s="6"/>
      <c r="D142" s="7"/>
      <c r="E142" s="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2:23" x14ac:dyDescent="0.2">
      <c r="B143" s="6"/>
      <c r="C143" s="6"/>
      <c r="D143" s="7"/>
      <c r="E143" s="7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2:23" x14ac:dyDescent="0.2">
      <c r="B144" s="6"/>
      <c r="C144" s="6"/>
      <c r="D144" s="7"/>
      <c r="E144" s="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2:23" x14ac:dyDescent="0.2">
      <c r="B145" s="6"/>
      <c r="C145" s="6"/>
      <c r="D145" s="7"/>
      <c r="E145" s="7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2:23" x14ac:dyDescent="0.2">
      <c r="B146" s="6"/>
      <c r="C146" s="6"/>
      <c r="D146" s="7"/>
      <c r="E146" s="7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x14ac:dyDescent="0.2">
      <c r="B147" s="6"/>
      <c r="C147" s="6"/>
      <c r="D147" s="7"/>
      <c r="E147" s="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x14ac:dyDescent="0.2">
      <c r="B148" s="6"/>
      <c r="C148" s="6"/>
      <c r="D148" s="7"/>
      <c r="E148" s="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x14ac:dyDescent="0.2">
      <c r="B149" s="6"/>
      <c r="C149" s="6"/>
      <c r="D149" s="7"/>
      <c r="E149" s="7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x14ac:dyDescent="0.2">
      <c r="B150" s="6"/>
      <c r="C150" s="6"/>
      <c r="D150" s="7"/>
      <c r="E150" s="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x14ac:dyDescent="0.2">
      <c r="B151" s="6"/>
      <c r="C151" s="6"/>
      <c r="D151" s="7"/>
      <c r="E151" s="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x14ac:dyDescent="0.2">
      <c r="B152" s="6"/>
      <c r="C152" s="6"/>
      <c r="D152" s="7"/>
      <c r="E152" s="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x14ac:dyDescent="0.2">
      <c r="B153" s="6"/>
      <c r="C153" s="6"/>
      <c r="D153" s="7"/>
      <c r="E153" s="7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x14ac:dyDescent="0.2">
      <c r="B154" s="6"/>
      <c r="C154" s="6"/>
      <c r="D154" s="7"/>
      <c r="E154" s="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x14ac:dyDescent="0.2">
      <c r="B155" s="6"/>
      <c r="C155" s="6"/>
      <c r="D155" s="7"/>
      <c r="E155" s="7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x14ac:dyDescent="0.2">
      <c r="B156" s="6"/>
      <c r="C156" s="6"/>
      <c r="D156" s="7"/>
      <c r="E156" s="7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x14ac:dyDescent="0.2">
      <c r="B157" s="6"/>
      <c r="C157" s="6"/>
      <c r="D157" s="7"/>
      <c r="E157" s="7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2:23" x14ac:dyDescent="0.2">
      <c r="B158" s="6"/>
      <c r="C158" s="6"/>
      <c r="D158" s="7"/>
      <c r="E158" s="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2:23" x14ac:dyDescent="0.2">
      <c r="B159" s="6"/>
      <c r="C159" s="6"/>
      <c r="D159" s="7"/>
      <c r="E159" s="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2:23" x14ac:dyDescent="0.2">
      <c r="B160" s="6"/>
      <c r="C160" s="6"/>
      <c r="D160" s="7"/>
      <c r="E160" s="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2:23" x14ac:dyDescent="0.2">
      <c r="B161" s="6"/>
      <c r="C161" s="6"/>
      <c r="D161" s="7"/>
      <c r="E161" s="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2:23" x14ac:dyDescent="0.2">
      <c r="B162" s="6"/>
      <c r="C162" s="6"/>
      <c r="D162" s="7"/>
      <c r="E162" s="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2:23" x14ac:dyDescent="0.2">
      <c r="B163" s="6"/>
      <c r="C163" s="6"/>
      <c r="D163" s="7"/>
      <c r="E163" s="7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2:23" x14ac:dyDescent="0.2">
      <c r="B164" s="6"/>
      <c r="C164" s="6"/>
      <c r="D164" s="7"/>
      <c r="E164" s="7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2:23" x14ac:dyDescent="0.2">
      <c r="B165" s="6"/>
      <c r="C165" s="6"/>
      <c r="D165" s="7"/>
      <c r="E165" s="7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2:23" x14ac:dyDescent="0.2">
      <c r="B166" s="6"/>
      <c r="C166" s="6"/>
      <c r="D166" s="7"/>
      <c r="E166" s="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2:23" x14ac:dyDescent="0.2">
      <c r="B167" s="6"/>
      <c r="C167" s="6"/>
      <c r="D167" s="7"/>
      <c r="E167" s="7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2:23" x14ac:dyDescent="0.2">
      <c r="B168" s="6"/>
      <c r="C168" s="6"/>
      <c r="D168" s="7"/>
      <c r="E168" s="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2:23" x14ac:dyDescent="0.2">
      <c r="B169" s="6"/>
      <c r="C169" s="6"/>
      <c r="D169" s="7"/>
      <c r="E169" s="7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2:23" x14ac:dyDescent="0.2">
      <c r="B170" s="6"/>
      <c r="C170" s="6"/>
      <c r="D170" s="7"/>
      <c r="E170" s="7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2:23" x14ac:dyDescent="0.2">
      <c r="B171" s="6"/>
      <c r="C171" s="6"/>
      <c r="D171" s="7"/>
      <c r="E171" s="7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2:23" x14ac:dyDescent="0.2">
      <c r="B172" s="6"/>
      <c r="C172" s="6"/>
      <c r="D172" s="7"/>
      <c r="E172" s="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2:23" x14ac:dyDescent="0.2">
      <c r="B173" s="6"/>
      <c r="C173" s="6"/>
      <c r="D173" s="7"/>
      <c r="E173" s="7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2:23" x14ac:dyDescent="0.2">
      <c r="B174" s="6"/>
      <c r="C174" s="6"/>
      <c r="D174" s="7"/>
      <c r="E174" s="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2:23" x14ac:dyDescent="0.2">
      <c r="B175" s="6"/>
      <c r="C175" s="6"/>
      <c r="D175" s="7"/>
      <c r="E175" s="7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2:23" x14ac:dyDescent="0.2">
      <c r="B176" s="6"/>
      <c r="C176" s="6"/>
      <c r="D176" s="7"/>
      <c r="E176" s="7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2:23" x14ac:dyDescent="0.2">
      <c r="B177" s="6"/>
      <c r="C177" s="6"/>
      <c r="D177" s="7"/>
      <c r="E177" s="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2:23" x14ac:dyDescent="0.2">
      <c r="B178" s="6"/>
      <c r="C178" s="6"/>
      <c r="D178" s="7"/>
      <c r="E178" s="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2:23" x14ac:dyDescent="0.2">
      <c r="B179" s="6"/>
      <c r="C179" s="6"/>
      <c r="D179" s="7"/>
      <c r="E179" s="7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2:23" x14ac:dyDescent="0.2">
      <c r="B180" s="6"/>
      <c r="C180" s="6"/>
      <c r="D180" s="7"/>
      <c r="E180" s="7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2:23" x14ac:dyDescent="0.2">
      <c r="B181" s="6"/>
      <c r="C181" s="6"/>
      <c r="D181" s="7"/>
      <c r="E181" s="7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2:23" x14ac:dyDescent="0.2">
      <c r="B182" s="6"/>
      <c r="C182" s="6"/>
      <c r="D182" s="7"/>
      <c r="E182" s="7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2:23" x14ac:dyDescent="0.2">
      <c r="B183" s="6"/>
      <c r="C183" s="6"/>
      <c r="D183" s="7"/>
      <c r="E183" s="7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2:23" x14ac:dyDescent="0.2">
      <c r="B184" s="6"/>
      <c r="C184" s="6"/>
      <c r="D184" s="7"/>
      <c r="E184" s="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2:23" x14ac:dyDescent="0.2">
      <c r="B185" s="6"/>
      <c r="C185" s="6"/>
      <c r="D185" s="7"/>
      <c r="E185" s="7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2:23" x14ac:dyDescent="0.2">
      <c r="B186" s="6"/>
      <c r="C186" s="6"/>
      <c r="D186" s="7"/>
      <c r="E186" s="7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2:23" x14ac:dyDescent="0.2">
      <c r="B187" s="6"/>
      <c r="C187" s="6"/>
      <c r="D187" s="7"/>
      <c r="E187" s="7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2:23" x14ac:dyDescent="0.2">
      <c r="B188" s="6"/>
      <c r="C188" s="6"/>
      <c r="D188" s="7"/>
      <c r="E188" s="7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2:23" x14ac:dyDescent="0.2">
      <c r="B189" s="6"/>
      <c r="C189" s="6"/>
      <c r="D189" s="7"/>
      <c r="E189" s="7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2:23" x14ac:dyDescent="0.2">
      <c r="B190" s="6"/>
      <c r="C190" s="6"/>
      <c r="D190" s="7"/>
      <c r="E190" s="7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2:23" x14ac:dyDescent="0.2">
      <c r="B191" s="6"/>
      <c r="C191" s="6"/>
      <c r="D191" s="7"/>
      <c r="E191" s="7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2:23" x14ac:dyDescent="0.2">
      <c r="B192" s="6"/>
      <c r="C192" s="6"/>
      <c r="D192" s="7"/>
      <c r="E192" s="7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2:23" x14ac:dyDescent="0.2">
      <c r="B193" s="6"/>
      <c r="C193" s="6"/>
      <c r="D193" s="7"/>
      <c r="E193" s="7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2:23" x14ac:dyDescent="0.2">
      <c r="B194" s="6"/>
      <c r="C194" s="6"/>
      <c r="D194" s="7"/>
      <c r="E194" s="7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2:23" x14ac:dyDescent="0.2">
      <c r="B195" s="6"/>
      <c r="C195" s="6"/>
      <c r="D195" s="7"/>
      <c r="E195" s="7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2:23" x14ac:dyDescent="0.2">
      <c r="B196" s="6"/>
      <c r="C196" s="6"/>
      <c r="D196" s="7"/>
      <c r="E196" s="7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2:23" x14ac:dyDescent="0.2">
      <c r="B197" s="6"/>
      <c r="C197" s="6"/>
      <c r="D197" s="7"/>
      <c r="E197" s="7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2:23" x14ac:dyDescent="0.2">
      <c r="B198" s="6"/>
      <c r="C198" s="6"/>
      <c r="D198" s="7"/>
      <c r="E198" s="7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2:23" x14ac:dyDescent="0.2">
      <c r="B199" s="6"/>
      <c r="C199" s="6"/>
      <c r="D199" s="7"/>
      <c r="E199" s="7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2:23" x14ac:dyDescent="0.2">
      <c r="B200" s="6"/>
      <c r="C200" s="6"/>
      <c r="D200" s="7"/>
      <c r="E200" s="7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2:23" x14ac:dyDescent="0.2">
      <c r="B201" s="6"/>
      <c r="C201" s="6"/>
      <c r="D201" s="7"/>
      <c r="E201" s="7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2:23" x14ac:dyDescent="0.2">
      <c r="B202" s="6"/>
      <c r="C202" s="6"/>
      <c r="D202" s="7"/>
      <c r="E202" s="7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2:23" x14ac:dyDescent="0.2">
      <c r="B203" s="6"/>
      <c r="C203" s="6"/>
      <c r="D203" s="7"/>
      <c r="E203" s="7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2:23" x14ac:dyDescent="0.2">
      <c r="B204" s="6"/>
      <c r="C204" s="6"/>
      <c r="D204" s="7"/>
      <c r="E204" s="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</sheetData>
  <conditionalFormatting sqref="D98:U98 F99:W204 F7:W97">
    <cfRule type="cellIs" dxfId="8" priority="2" operator="equal">
      <formula>"NA"</formula>
    </cfRule>
  </conditionalFormatting>
  <conditionalFormatting sqref="E7:E91">
    <cfRule type="cellIs" dxfId="7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V204"/>
  <sheetViews>
    <sheetView zoomScale="75" zoomScaleNormal="75" workbookViewId="0"/>
  </sheetViews>
  <sheetFormatPr defaultRowHeight="12.75" x14ac:dyDescent="0.2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5" width="22" style="1" customWidth="1"/>
    <col min="6" max="6" width="17.5703125" style="1" customWidth="1"/>
    <col min="7" max="7" width="17.85546875" style="1" customWidth="1"/>
    <col min="8" max="22" width="17.5703125" style="1" customWidth="1"/>
    <col min="23" max="16384" width="9.140625" style="1"/>
  </cols>
  <sheetData>
    <row r="1" spans="1:22" x14ac:dyDescent="0.2">
      <c r="A1" s="1" t="s">
        <v>452</v>
      </c>
    </row>
    <row r="3" spans="1:22" ht="38.25" x14ac:dyDescent="0.2">
      <c r="E3" s="9" t="s">
        <v>453</v>
      </c>
      <c r="F3" s="9" t="s">
        <v>453</v>
      </c>
      <c r="G3" s="9" t="s">
        <v>453</v>
      </c>
      <c r="H3" s="9" t="s">
        <v>453</v>
      </c>
      <c r="I3" s="9" t="s">
        <v>453</v>
      </c>
      <c r="J3" s="9" t="s">
        <v>453</v>
      </c>
      <c r="K3" s="9" t="s">
        <v>453</v>
      </c>
      <c r="L3" s="9" t="s">
        <v>453</v>
      </c>
      <c r="M3" s="9" t="s">
        <v>453</v>
      </c>
      <c r="N3" s="9" t="s">
        <v>453</v>
      </c>
      <c r="O3" s="9" t="s">
        <v>453</v>
      </c>
      <c r="P3" s="9" t="s">
        <v>453</v>
      </c>
      <c r="Q3" s="9" t="s">
        <v>453</v>
      </c>
      <c r="R3" s="9" t="s">
        <v>453</v>
      </c>
      <c r="S3" s="9" t="s">
        <v>453</v>
      </c>
      <c r="T3" s="9" t="s">
        <v>453</v>
      </c>
      <c r="U3" s="9" t="s">
        <v>453</v>
      </c>
      <c r="V3" s="9" t="s">
        <v>453</v>
      </c>
    </row>
    <row r="4" spans="1:22" x14ac:dyDescent="0.2">
      <c r="B4" s="2"/>
      <c r="C4" s="2"/>
      <c r="D4" s="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x14ac:dyDescent="0.2">
      <c r="A5" s="3" t="s">
        <v>0</v>
      </c>
      <c r="B5" s="4" t="s">
        <v>1</v>
      </c>
      <c r="C5" s="4" t="s">
        <v>2</v>
      </c>
      <c r="D5" s="5" t="s">
        <v>3</v>
      </c>
      <c r="E5" s="10" t="s">
        <v>462</v>
      </c>
      <c r="F5" s="10" t="s">
        <v>26</v>
      </c>
      <c r="G5" s="10" t="s">
        <v>25</v>
      </c>
      <c r="H5" s="10" t="s">
        <v>24</v>
      </c>
      <c r="I5" s="10" t="s">
        <v>23</v>
      </c>
      <c r="J5" s="10" t="s">
        <v>22</v>
      </c>
      <c r="K5" s="10" t="s">
        <v>21</v>
      </c>
      <c r="L5" s="10" t="s">
        <v>20</v>
      </c>
      <c r="M5" s="10" t="s">
        <v>19</v>
      </c>
      <c r="N5" s="10" t="s">
        <v>18</v>
      </c>
      <c r="O5" s="10" t="s">
        <v>17</v>
      </c>
      <c r="P5" s="10" t="s">
        <v>16</v>
      </c>
      <c r="Q5" s="10" t="s">
        <v>15</v>
      </c>
      <c r="R5" s="10" t="s">
        <v>14</v>
      </c>
      <c r="S5" s="10" t="s">
        <v>13</v>
      </c>
      <c r="T5" s="10" t="s">
        <v>12</v>
      </c>
      <c r="U5" s="10" t="s">
        <v>11</v>
      </c>
      <c r="V5" s="10" t="s">
        <v>10</v>
      </c>
    </row>
    <row r="6" spans="1:22" x14ac:dyDescent="0.2"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x14ac:dyDescent="0.2">
      <c r="B7" s="6" t="s">
        <v>27</v>
      </c>
      <c r="C7" s="6" t="s">
        <v>27</v>
      </c>
      <c r="D7" s="7">
        <v>4058513</v>
      </c>
      <c r="E7" s="8" t="s">
        <v>123</v>
      </c>
      <c r="F7" s="8" t="s">
        <v>123</v>
      </c>
      <c r="G7" s="8" t="s">
        <v>123</v>
      </c>
      <c r="H7" s="8" t="s">
        <v>123</v>
      </c>
      <c r="I7" s="8">
        <v>8382.8858380998263</v>
      </c>
      <c r="J7" s="8">
        <v>8950.522259993817</v>
      </c>
      <c r="K7" s="8">
        <v>8764.5452948794955</v>
      </c>
      <c r="L7" s="8">
        <v>8687.2689265577137</v>
      </c>
      <c r="M7" s="8">
        <v>8418.7707374072488</v>
      </c>
      <c r="N7" s="8">
        <v>8166.8916842864473</v>
      </c>
      <c r="O7" s="8">
        <v>7892.295209025343</v>
      </c>
      <c r="P7" s="8">
        <v>7540.8336683717853</v>
      </c>
      <c r="Q7" s="8">
        <v>7029.0120507493857</v>
      </c>
      <c r="R7" s="8">
        <v>6979.8314769083736</v>
      </c>
      <c r="S7" s="8">
        <v>6625.5234345508843</v>
      </c>
      <c r="T7" s="8">
        <v>6350.0215869085669</v>
      </c>
      <c r="U7" s="8">
        <v>6294.4505840937854</v>
      </c>
      <c r="V7" s="8">
        <v>6520.7733450289143</v>
      </c>
    </row>
    <row r="8" spans="1:22" x14ac:dyDescent="0.2">
      <c r="B8" s="6" t="s">
        <v>28</v>
      </c>
      <c r="C8" s="6" t="s">
        <v>28</v>
      </c>
      <c r="D8" s="7">
        <v>4054707</v>
      </c>
      <c r="E8" s="8">
        <v>116029.68500262612</v>
      </c>
      <c r="F8" s="8">
        <v>112410.69522701181</v>
      </c>
      <c r="G8" s="8">
        <v>103617.46570132086</v>
      </c>
      <c r="H8" s="8">
        <v>99303.669442696992</v>
      </c>
      <c r="I8" s="8">
        <v>95943.206773844373</v>
      </c>
      <c r="J8" s="8">
        <v>94413.614236062742</v>
      </c>
      <c r="K8" s="8">
        <v>86429.248139996111</v>
      </c>
      <c r="L8" s="8">
        <v>84644.136507743504</v>
      </c>
      <c r="M8" s="8">
        <v>88367.297294023301</v>
      </c>
      <c r="N8" s="8">
        <v>82755.201546718541</v>
      </c>
      <c r="O8" s="8">
        <v>84756.342507679277</v>
      </c>
      <c r="P8" s="8">
        <v>88346.793817631013</v>
      </c>
      <c r="Q8" s="8">
        <v>86073.291981061731</v>
      </c>
      <c r="R8" s="8">
        <v>79086.896966280299</v>
      </c>
      <c r="S8" s="8">
        <v>81507.448248110624</v>
      </c>
      <c r="T8" s="8">
        <v>94344.504159319738</v>
      </c>
      <c r="U8" s="8">
        <v>100632.56107824939</v>
      </c>
      <c r="V8" s="8">
        <v>103945.52564825716</v>
      </c>
    </row>
    <row r="9" spans="1:22" x14ac:dyDescent="0.2">
      <c r="B9" s="6" t="s">
        <v>29</v>
      </c>
      <c r="C9" s="6" t="s">
        <v>29</v>
      </c>
      <c r="D9" s="7">
        <v>4057075</v>
      </c>
      <c r="E9" s="8">
        <v>39434.582822325581</v>
      </c>
      <c r="F9" s="8">
        <v>41513.509722477887</v>
      </c>
      <c r="G9" s="8">
        <v>41165.277078338433</v>
      </c>
      <c r="H9" s="8">
        <v>38915.682345867404</v>
      </c>
      <c r="I9" s="8">
        <v>37319.801391517729</v>
      </c>
      <c r="J9" s="8">
        <v>37514.344251937262</v>
      </c>
      <c r="K9" s="8">
        <v>35483.461159882507</v>
      </c>
      <c r="L9" s="8">
        <v>33768.96049277659</v>
      </c>
      <c r="M9" s="8">
        <v>32994.465940342299</v>
      </c>
      <c r="N9" s="8">
        <v>32898.68583489603</v>
      </c>
      <c r="O9" s="8">
        <v>29976.28391779606</v>
      </c>
      <c r="P9" s="8">
        <v>29257.302203533083</v>
      </c>
      <c r="Q9" s="8">
        <v>27201.286179350995</v>
      </c>
      <c r="R9" s="8">
        <v>25098.820121527559</v>
      </c>
      <c r="S9" s="8">
        <v>24146.598029511933</v>
      </c>
      <c r="T9" s="8">
        <v>22644.122576434565</v>
      </c>
      <c r="U9" s="8">
        <v>23462.030920548277</v>
      </c>
      <c r="V9" s="8">
        <v>24467.06910969067</v>
      </c>
    </row>
    <row r="10" spans="1:22" x14ac:dyDescent="0.2">
      <c r="A10" s="1" t="s">
        <v>30</v>
      </c>
      <c r="B10" s="6" t="s">
        <v>31</v>
      </c>
      <c r="C10" s="6" t="s">
        <v>31</v>
      </c>
      <c r="D10" s="7">
        <v>4007784</v>
      </c>
      <c r="E10" s="8">
        <v>137599.74936101586</v>
      </c>
      <c r="F10" s="8">
        <v>132508.31357517588</v>
      </c>
      <c r="G10" s="8">
        <v>134042.86748513771</v>
      </c>
      <c r="H10" s="8">
        <v>130276.90422853749</v>
      </c>
      <c r="I10" s="8">
        <v>118742.59388287981</v>
      </c>
      <c r="J10" s="8">
        <v>119596.86791086616</v>
      </c>
      <c r="K10" s="8">
        <v>108572.61063610177</v>
      </c>
      <c r="L10" s="8">
        <v>102447.57634805454</v>
      </c>
      <c r="M10" s="8">
        <v>92529.431312916073</v>
      </c>
      <c r="N10" s="8">
        <v>90062.066791145538</v>
      </c>
      <c r="O10" s="8">
        <v>80765.811649904848</v>
      </c>
      <c r="P10" s="8">
        <v>79750.055972584931</v>
      </c>
      <c r="Q10" s="8">
        <v>76637.788357969999</v>
      </c>
      <c r="R10" s="8">
        <v>77555.913131601177</v>
      </c>
      <c r="S10" s="8">
        <v>78925.504046515489</v>
      </c>
      <c r="T10" s="8">
        <v>72180.330158335346</v>
      </c>
      <c r="U10" s="8">
        <v>67832.963458908547</v>
      </c>
      <c r="V10" s="8">
        <v>62564.361153030353</v>
      </c>
    </row>
    <row r="11" spans="1:22" x14ac:dyDescent="0.2">
      <c r="A11" s="1" t="s">
        <v>30</v>
      </c>
      <c r="B11" s="6" t="s">
        <v>32</v>
      </c>
      <c r="C11" s="6" t="s">
        <v>33</v>
      </c>
      <c r="D11" s="7">
        <v>4058656</v>
      </c>
      <c r="E11" s="8" t="s">
        <v>123</v>
      </c>
      <c r="F11" s="8" t="s">
        <v>123</v>
      </c>
      <c r="G11" s="8">
        <v>-99798.827680939998</v>
      </c>
      <c r="H11" s="8">
        <v>570753.09795895033</v>
      </c>
      <c r="I11" s="8">
        <v>60089.753657549089</v>
      </c>
      <c r="J11" s="8">
        <v>53305.121613799696</v>
      </c>
      <c r="K11" s="8">
        <v>55691.21274533058</v>
      </c>
      <c r="L11" s="8">
        <v>54307.890719005125</v>
      </c>
      <c r="M11" s="8">
        <v>51527.569242571393</v>
      </c>
      <c r="N11" s="8">
        <v>54524.753134623978</v>
      </c>
      <c r="O11" s="8">
        <v>52197.335770515274</v>
      </c>
      <c r="P11" s="8">
        <v>50564.074180998672</v>
      </c>
      <c r="Q11" s="8">
        <v>46298.857630545499</v>
      </c>
      <c r="R11" s="8">
        <v>43046.121962645266</v>
      </c>
      <c r="S11" s="8">
        <v>39631.451019712047</v>
      </c>
      <c r="T11" s="8">
        <v>36505.639589086481</v>
      </c>
      <c r="U11" s="8">
        <v>36705.106457659109</v>
      </c>
      <c r="V11" s="8">
        <v>26346.324067834619</v>
      </c>
    </row>
    <row r="12" spans="1:22" x14ac:dyDescent="0.2">
      <c r="A12" s="1" t="s">
        <v>30</v>
      </c>
      <c r="B12" s="6" t="s">
        <v>34</v>
      </c>
      <c r="C12" s="6" t="s">
        <v>35</v>
      </c>
      <c r="D12" s="7">
        <v>4057110</v>
      </c>
      <c r="E12" s="8">
        <v>8903.8786862752168</v>
      </c>
      <c r="F12" s="8">
        <v>8038.6008431954597</v>
      </c>
      <c r="G12" s="8">
        <v>7487.0792207182603</v>
      </c>
      <c r="H12" s="8">
        <v>7639.919263414843</v>
      </c>
      <c r="I12" s="8">
        <v>7728.9601742930172</v>
      </c>
      <c r="J12" s="8">
        <v>7203.2946035935947</v>
      </c>
      <c r="K12" s="8">
        <v>8263.055730963355</v>
      </c>
      <c r="L12" s="8">
        <v>6988.9443523267028</v>
      </c>
      <c r="M12" s="8">
        <v>5378.2889044314843</v>
      </c>
      <c r="N12" s="8">
        <v>5343.3181177859242</v>
      </c>
      <c r="O12" s="8">
        <v>5261.1152349215063</v>
      </c>
      <c r="P12" s="8">
        <v>4752.4808979943246</v>
      </c>
      <c r="Q12" s="8">
        <v>5005.7473273464657</v>
      </c>
      <c r="R12" s="8">
        <v>4701.2515325197273</v>
      </c>
      <c r="S12" s="8">
        <v>4485.8540362306812</v>
      </c>
      <c r="T12" s="8">
        <v>4404.0207507811865</v>
      </c>
      <c r="U12" s="8">
        <v>4405.8736472774926</v>
      </c>
      <c r="V12" s="8">
        <v>4448.5259176481695</v>
      </c>
    </row>
    <row r="13" spans="1:22" x14ac:dyDescent="0.2">
      <c r="B13" s="6" t="s">
        <v>36</v>
      </c>
      <c r="C13" s="6" t="s">
        <v>36</v>
      </c>
      <c r="D13" s="7">
        <v>4058516</v>
      </c>
      <c r="E13" s="8">
        <v>20184.650116113062</v>
      </c>
      <c r="F13" s="8">
        <v>20095.083505831426</v>
      </c>
      <c r="G13" s="8">
        <v>19849.799405071291</v>
      </c>
      <c r="H13" s="8">
        <v>20880.696904489683</v>
      </c>
      <c r="I13" s="8">
        <v>17360.662226983575</v>
      </c>
      <c r="J13" s="8">
        <v>15788.486247585051</v>
      </c>
      <c r="K13" s="8">
        <v>14325.757004694766</v>
      </c>
      <c r="L13" s="8">
        <v>15469.128891560415</v>
      </c>
      <c r="M13" s="8">
        <v>14866.825336879703</v>
      </c>
      <c r="N13" s="8">
        <v>13858.11565366062</v>
      </c>
      <c r="O13" s="8">
        <v>12655.872230445535</v>
      </c>
      <c r="P13" s="8">
        <v>13007.497084559385</v>
      </c>
      <c r="Q13" s="8">
        <v>12469.019617993239</v>
      </c>
      <c r="R13" s="8">
        <v>13707.655673473442</v>
      </c>
      <c r="S13" s="8">
        <v>14164.97428603976</v>
      </c>
      <c r="T13" s="8">
        <v>14149.238752144149</v>
      </c>
      <c r="U13" s="8">
        <v>12714.992834486642</v>
      </c>
      <c r="V13" s="8">
        <v>11265.692029903366</v>
      </c>
    </row>
    <row r="14" spans="1:22" x14ac:dyDescent="0.2">
      <c r="B14" s="6" t="s">
        <v>37</v>
      </c>
      <c r="C14" s="6" t="s">
        <v>37</v>
      </c>
      <c r="D14" s="7">
        <v>4058793</v>
      </c>
      <c r="E14" s="8">
        <v>520.942005617419</v>
      </c>
      <c r="F14" s="8" t="s">
        <v>123</v>
      </c>
      <c r="G14" s="8">
        <v>562.21518146152926</v>
      </c>
      <c r="H14" s="8">
        <v>487.59530453369939</v>
      </c>
      <c r="I14" s="8">
        <v>486.15068882672989</v>
      </c>
      <c r="J14" s="8">
        <v>549.2981784649877</v>
      </c>
      <c r="K14" s="8">
        <v>449.51531373342846</v>
      </c>
      <c r="L14" s="8">
        <v>462.88571421270024</v>
      </c>
      <c r="M14" s="8">
        <v>506.62410954201306</v>
      </c>
      <c r="N14" s="8">
        <v>537.97615317214024</v>
      </c>
      <c r="O14" s="8">
        <v>516.55882530055703</v>
      </c>
      <c r="P14" s="8">
        <v>497.58799889593797</v>
      </c>
      <c r="Q14" s="8">
        <v>469.23335257861572</v>
      </c>
      <c r="R14" s="8">
        <v>455.33875028191636</v>
      </c>
      <c r="S14" s="8">
        <v>566.83185897289218</v>
      </c>
      <c r="T14" s="8">
        <v>566.42166838970024</v>
      </c>
      <c r="U14" s="8">
        <v>525.57930671804058</v>
      </c>
      <c r="V14" s="8">
        <v>563.86747877683388</v>
      </c>
    </row>
    <row r="15" spans="1:22" x14ac:dyDescent="0.2">
      <c r="A15" s="1" t="s">
        <v>30</v>
      </c>
      <c r="B15" s="6" t="s">
        <v>38</v>
      </c>
      <c r="C15" s="6" t="s">
        <v>38</v>
      </c>
      <c r="D15" s="7">
        <v>4057111</v>
      </c>
      <c r="E15" s="8">
        <v>131514.10333494714</v>
      </c>
      <c r="F15" s="8">
        <v>110798.08406738167</v>
      </c>
      <c r="G15" s="8">
        <v>154919.95358487166</v>
      </c>
      <c r="H15" s="8">
        <v>263633.92342486454</v>
      </c>
      <c r="I15" s="8">
        <v>108217.41055661241</v>
      </c>
      <c r="J15" s="8">
        <v>106397.97648846057</v>
      </c>
      <c r="K15" s="8">
        <v>91352.973244997411</v>
      </c>
      <c r="L15" s="8">
        <v>100350.79939413707</v>
      </c>
      <c r="M15" s="8">
        <v>98514.087433504872</v>
      </c>
      <c r="N15" s="8">
        <v>80183.397422745067</v>
      </c>
      <c r="O15" s="8">
        <v>92295.286846997522</v>
      </c>
      <c r="P15" s="8">
        <v>87351.392263189264</v>
      </c>
      <c r="Q15" s="8">
        <v>90967.869798057029</v>
      </c>
      <c r="R15" s="8">
        <v>88435.182610678661</v>
      </c>
      <c r="S15" s="8">
        <v>74138.770930840226</v>
      </c>
      <c r="T15" s="8">
        <v>68205.95866710681</v>
      </c>
      <c r="U15" s="8">
        <v>70170.144586995928</v>
      </c>
      <c r="V15" s="8">
        <v>65551.881357807579</v>
      </c>
    </row>
    <row r="16" spans="1:22" x14ac:dyDescent="0.2">
      <c r="A16" s="1" t="s">
        <v>30</v>
      </c>
      <c r="B16" s="6" t="s">
        <v>39</v>
      </c>
      <c r="C16" s="6" t="s">
        <v>39</v>
      </c>
      <c r="D16" s="7">
        <v>4018679</v>
      </c>
      <c r="E16" s="8">
        <v>268713.92868856038</v>
      </c>
      <c r="F16" s="8">
        <v>276350.99058527779</v>
      </c>
      <c r="G16" s="8">
        <v>309001.9613652986</v>
      </c>
      <c r="H16" s="8">
        <v>311033.81705252954</v>
      </c>
      <c r="I16" s="8">
        <v>278620.28550749901</v>
      </c>
      <c r="J16" s="8">
        <v>219713.77185059342</v>
      </c>
      <c r="K16" s="8">
        <v>192148.74434308393</v>
      </c>
      <c r="L16" s="8">
        <v>207135.0875164076</v>
      </c>
      <c r="M16" s="8">
        <v>180095.13343725645</v>
      </c>
      <c r="N16" s="8">
        <v>175871.33856404692</v>
      </c>
      <c r="O16" s="8">
        <v>173487.38966717507</v>
      </c>
      <c r="P16" s="8">
        <v>173474.89552419516</v>
      </c>
      <c r="Q16" s="8">
        <v>164038.99808706794</v>
      </c>
      <c r="R16" s="8">
        <v>161840.07047310501</v>
      </c>
      <c r="S16" s="8">
        <v>141916.06741585102</v>
      </c>
      <c r="T16" s="8">
        <v>149511.66711808008</v>
      </c>
      <c r="U16" s="8">
        <v>155414.10511280352</v>
      </c>
      <c r="V16" s="8">
        <v>148585.06461915505</v>
      </c>
    </row>
    <row r="17" spans="1:22" x14ac:dyDescent="0.2">
      <c r="B17" s="6" t="s">
        <v>40</v>
      </c>
      <c r="C17" s="6" t="s">
        <v>40</v>
      </c>
      <c r="D17" s="7">
        <v>4057112</v>
      </c>
      <c r="E17" s="8">
        <v>34180.746422326047</v>
      </c>
      <c r="F17" s="8">
        <v>33273.119848576374</v>
      </c>
      <c r="G17" s="8">
        <v>33201.7692691509</v>
      </c>
      <c r="H17" s="8">
        <v>31412.52212767645</v>
      </c>
      <c r="I17" s="8">
        <v>31159.571202113028</v>
      </c>
      <c r="J17" s="8">
        <v>28917.362102144467</v>
      </c>
      <c r="K17" s="8">
        <v>27438.653927408177</v>
      </c>
      <c r="L17" s="8">
        <v>27768.833575530909</v>
      </c>
      <c r="M17" s="8">
        <v>25463.591053526463</v>
      </c>
      <c r="N17" s="8">
        <v>24823.331431914725</v>
      </c>
      <c r="O17" s="8">
        <v>23658.886786183273</v>
      </c>
      <c r="P17" s="8">
        <v>23810.183211317912</v>
      </c>
      <c r="Q17" s="8">
        <v>21586.160835359995</v>
      </c>
      <c r="R17" s="8">
        <v>20698.191414726007</v>
      </c>
      <c r="S17" s="8">
        <v>22196.494293326912</v>
      </c>
      <c r="T17" s="8">
        <v>23382.019419478274</v>
      </c>
      <c r="U17" s="8">
        <v>21318.41137647428</v>
      </c>
      <c r="V17" s="8">
        <v>20048.416452874102</v>
      </c>
    </row>
    <row r="18" spans="1:22" x14ac:dyDescent="0.2">
      <c r="A18" s="1" t="s">
        <v>30</v>
      </c>
      <c r="B18" s="6" t="s">
        <v>41</v>
      </c>
      <c r="C18" s="6" t="s">
        <v>41</v>
      </c>
      <c r="D18" s="7">
        <v>4057076</v>
      </c>
      <c r="E18" s="8">
        <v>24019.702281435373</v>
      </c>
      <c r="F18" s="8" t="s">
        <v>123</v>
      </c>
      <c r="G18" s="8">
        <v>22868.76000369215</v>
      </c>
      <c r="H18" s="8">
        <v>20586.854353995441</v>
      </c>
      <c r="I18" s="8">
        <v>21380.623322756805</v>
      </c>
      <c r="J18" s="8">
        <v>19531.05508277805</v>
      </c>
      <c r="K18" s="8">
        <v>20516.148302204769</v>
      </c>
      <c r="L18" s="8">
        <v>21275.74923479318</v>
      </c>
      <c r="M18" s="8">
        <v>20928.382333817957</v>
      </c>
      <c r="N18" s="8">
        <v>19813.946905638975</v>
      </c>
      <c r="O18" s="8">
        <v>19912.71382762662</v>
      </c>
      <c r="P18" s="8">
        <v>18566.746769438272</v>
      </c>
      <c r="Q18" s="8">
        <v>15756.499984421926</v>
      </c>
      <c r="R18" s="8">
        <v>14224.562230009429</v>
      </c>
      <c r="S18" s="8">
        <v>12621.816439585611</v>
      </c>
      <c r="T18" s="8">
        <v>9003.0297175036012</v>
      </c>
      <c r="U18" s="8">
        <v>8109.8450411779668</v>
      </c>
      <c r="V18" s="8">
        <v>7191.2380600074075</v>
      </c>
    </row>
    <row r="19" spans="1:22" x14ac:dyDescent="0.2">
      <c r="B19" s="6" t="s">
        <v>42</v>
      </c>
      <c r="C19" s="6" t="s">
        <v>42</v>
      </c>
      <c r="D19" s="7">
        <v>4059166</v>
      </c>
      <c r="E19" s="8" t="s">
        <v>123</v>
      </c>
      <c r="F19" s="8">
        <v>8922.1667187384573</v>
      </c>
      <c r="G19" s="8">
        <v>8139.1445716841436</v>
      </c>
      <c r="H19" s="8">
        <v>6666.2083805219791</v>
      </c>
      <c r="I19" s="8">
        <v>5890.623111987944</v>
      </c>
      <c r="J19" s="8">
        <v>5967.6889366550504</v>
      </c>
      <c r="K19" s="8">
        <v>6188.1273283939763</v>
      </c>
      <c r="L19" s="8">
        <v>5989.9379917239648</v>
      </c>
      <c r="M19" s="8">
        <v>6250.5279827432423</v>
      </c>
      <c r="N19" s="8">
        <v>6197.2935895154769</v>
      </c>
      <c r="O19" s="8">
        <v>5500.6094625401474</v>
      </c>
      <c r="P19" s="8">
        <v>5448.4299962932801</v>
      </c>
      <c r="Q19" s="8">
        <v>5590.8414183136283</v>
      </c>
      <c r="R19" s="8">
        <v>5137.1727202187958</v>
      </c>
      <c r="S19" s="8">
        <v>5236.6845814770186</v>
      </c>
      <c r="T19" s="8">
        <v>5419.5316732445608</v>
      </c>
      <c r="U19" s="8">
        <v>6060.7732712726101</v>
      </c>
      <c r="V19" s="8">
        <v>6302.5898368571015</v>
      </c>
    </row>
    <row r="20" spans="1:22" x14ac:dyDescent="0.2">
      <c r="B20" s="6" t="s">
        <v>43</v>
      </c>
      <c r="C20" s="6" t="s">
        <v>43</v>
      </c>
      <c r="D20" s="7">
        <v>4059227</v>
      </c>
      <c r="E20" s="8" t="s">
        <v>123</v>
      </c>
      <c r="F20" s="8">
        <v>2297.1046168922294</v>
      </c>
      <c r="G20" s="8">
        <v>3285.0256350689383</v>
      </c>
      <c r="H20" s="8">
        <v>2735.68443028203</v>
      </c>
      <c r="I20" s="8">
        <v>2605.1281404127367</v>
      </c>
      <c r="J20" s="8">
        <v>2432.0395771656249</v>
      </c>
      <c r="K20" s="8">
        <v>2450.3003533153396</v>
      </c>
      <c r="L20" s="8">
        <v>2405.7397401385579</v>
      </c>
      <c r="M20" s="8">
        <v>2246.588712967075</v>
      </c>
      <c r="N20" s="8">
        <v>2000.7191881688962</v>
      </c>
      <c r="O20" s="8">
        <v>2190.3107125781053</v>
      </c>
      <c r="P20" s="8">
        <v>2250.2360511149618</v>
      </c>
      <c r="Q20" s="8">
        <v>2100.9790248741729</v>
      </c>
      <c r="R20" s="8">
        <v>2153.1771238530537</v>
      </c>
      <c r="S20" s="8">
        <v>2096.4188017079478</v>
      </c>
      <c r="T20" s="8">
        <v>1966.4622049154275</v>
      </c>
      <c r="U20" s="8">
        <v>1822.1132447386985</v>
      </c>
      <c r="V20" s="8" t="s">
        <v>123</v>
      </c>
    </row>
    <row r="21" spans="1:22" x14ac:dyDescent="0.2">
      <c r="A21" s="1" t="s">
        <v>30</v>
      </c>
      <c r="B21" s="6" t="s">
        <v>44</v>
      </c>
      <c r="C21" s="6" t="s">
        <v>44</v>
      </c>
      <c r="D21" s="7">
        <v>4057114</v>
      </c>
      <c r="E21" s="8" t="s">
        <v>123</v>
      </c>
      <c r="F21" s="8">
        <v>16366.734633533715</v>
      </c>
      <c r="G21" s="8">
        <v>27857.358176654332</v>
      </c>
      <c r="H21" s="8">
        <v>55623.673487049251</v>
      </c>
      <c r="I21" s="8">
        <v>17207.388850461444</v>
      </c>
      <c r="J21" s="8">
        <v>16635.344578460565</v>
      </c>
      <c r="K21" s="8">
        <v>15559.608870159738</v>
      </c>
      <c r="L21" s="8">
        <v>15661.281733493423</v>
      </c>
      <c r="M21" s="8">
        <v>15148.767230313842</v>
      </c>
      <c r="N21" s="8">
        <v>12141.726827309809</v>
      </c>
      <c r="O21" s="8">
        <v>15429.418491649474</v>
      </c>
      <c r="P21" s="8">
        <v>15584.001849541737</v>
      </c>
      <c r="Q21" s="8">
        <v>16165.299557942539</v>
      </c>
      <c r="R21" s="8">
        <v>14399.111840889582</v>
      </c>
      <c r="S21" s="8">
        <v>12540.988592581778</v>
      </c>
      <c r="T21" s="8">
        <v>12761.68024974627</v>
      </c>
      <c r="U21" s="8">
        <v>11577.297330476054</v>
      </c>
      <c r="V21" s="8">
        <v>13951.725362450528</v>
      </c>
    </row>
    <row r="22" spans="1:22" x14ac:dyDescent="0.2">
      <c r="B22" s="6" t="s">
        <v>45</v>
      </c>
      <c r="C22" s="6" t="s">
        <v>45</v>
      </c>
      <c r="D22" s="7">
        <v>4059355</v>
      </c>
      <c r="E22" s="8">
        <v>28946.944852229008</v>
      </c>
      <c r="F22" s="8">
        <v>26886.870271002088</v>
      </c>
      <c r="G22" s="8">
        <v>27635.499077892979</v>
      </c>
      <c r="H22" s="8">
        <v>23839.516882854536</v>
      </c>
      <c r="I22" s="8">
        <v>25935.543481564087</v>
      </c>
      <c r="J22" s="8">
        <v>21855.159710418935</v>
      </c>
      <c r="K22" s="8">
        <v>19534.528700891358</v>
      </c>
      <c r="L22" s="8">
        <v>19224.730419180371</v>
      </c>
      <c r="M22" s="8">
        <v>18580.842801789258</v>
      </c>
      <c r="N22" s="8">
        <v>17920.683861022531</v>
      </c>
      <c r="O22" s="8">
        <v>17156.102523632777</v>
      </c>
      <c r="P22" s="8">
        <v>17497.553896617708</v>
      </c>
      <c r="Q22" s="8">
        <v>16945.590778321508</v>
      </c>
      <c r="R22" s="8">
        <v>14814.147354092431</v>
      </c>
      <c r="S22" s="8">
        <v>13269.154489439103</v>
      </c>
      <c r="T22" s="8">
        <v>14372.153126471279</v>
      </c>
      <c r="U22" s="8">
        <v>15472.181657291447</v>
      </c>
      <c r="V22" s="8">
        <v>14323.80087562613</v>
      </c>
    </row>
    <row r="23" spans="1:22" x14ac:dyDescent="0.2">
      <c r="B23" s="6" t="s">
        <v>46</v>
      </c>
      <c r="C23" s="6" t="s">
        <v>46</v>
      </c>
      <c r="D23" s="7">
        <v>4088325</v>
      </c>
      <c r="E23" s="8">
        <v>26381.345321153171</v>
      </c>
      <c r="F23" s="8">
        <v>6855.8470096442315</v>
      </c>
      <c r="G23" s="8">
        <v>6151.5451431486517</v>
      </c>
      <c r="H23" s="8">
        <v>7905.4007318016202</v>
      </c>
      <c r="I23" s="8">
        <v>8481.0309477762403</v>
      </c>
      <c r="J23" s="8">
        <v>7743.5916443710175</v>
      </c>
      <c r="K23" s="8">
        <v>6932.341922730754</v>
      </c>
      <c r="L23" s="8">
        <v>6636.0578237112841</v>
      </c>
      <c r="M23" s="8">
        <v>9765.4356342480023</v>
      </c>
      <c r="N23" s="8">
        <v>5505.0777868285404</v>
      </c>
      <c r="O23" s="8">
        <v>5415.1224199123017</v>
      </c>
      <c r="P23" s="8">
        <v>5272.3561452624363</v>
      </c>
      <c r="Q23" s="8">
        <v>5273.6945992174369</v>
      </c>
      <c r="R23" s="8">
        <v>4773.4332578203648</v>
      </c>
      <c r="S23" s="8">
        <v>4460.8262247774746</v>
      </c>
      <c r="T23" s="8">
        <v>4572.808492126378</v>
      </c>
      <c r="U23" s="8">
        <v>4488.700716160236</v>
      </c>
      <c r="V23" s="8">
        <v>4105.1255069804574</v>
      </c>
    </row>
    <row r="24" spans="1:22" x14ac:dyDescent="0.2">
      <c r="B24" s="6" t="s">
        <v>47</v>
      </c>
      <c r="C24" s="6" t="s">
        <v>47</v>
      </c>
      <c r="D24" s="7">
        <v>4088326</v>
      </c>
      <c r="E24" s="8" t="s">
        <v>123</v>
      </c>
      <c r="F24" s="8">
        <v>161829.14459510517</v>
      </c>
      <c r="G24" s="8">
        <v>163297.39351923464</v>
      </c>
      <c r="H24" s="8">
        <v>152815.18801386497</v>
      </c>
      <c r="I24" s="8">
        <v>169334.71940718545</v>
      </c>
      <c r="J24" s="8">
        <v>143679.436997457</v>
      </c>
      <c r="K24" s="8">
        <v>138201.78492350376</v>
      </c>
      <c r="L24" s="8">
        <v>135537.25308100809</v>
      </c>
      <c r="M24" s="8">
        <v>126597.72886526064</v>
      </c>
      <c r="N24" s="8">
        <v>122426.97880899189</v>
      </c>
      <c r="O24" s="8">
        <v>119454.2587813974</v>
      </c>
      <c r="P24" s="8">
        <v>120984.05853074475</v>
      </c>
      <c r="Q24" s="8">
        <v>118494.76908524704</v>
      </c>
      <c r="R24" s="8">
        <v>119284.35099497739</v>
      </c>
      <c r="S24" s="8">
        <v>110460.72963007329</v>
      </c>
      <c r="T24" s="8">
        <v>99946.140643081322</v>
      </c>
      <c r="U24" s="8">
        <v>109656.23136752992</v>
      </c>
      <c r="V24" s="8">
        <v>94423.472156202741</v>
      </c>
    </row>
    <row r="25" spans="1:22" x14ac:dyDescent="0.2">
      <c r="A25" s="1" t="s">
        <v>30</v>
      </c>
      <c r="B25" s="6" t="s">
        <v>48</v>
      </c>
      <c r="C25" s="6" t="s">
        <v>48</v>
      </c>
      <c r="D25" s="7">
        <v>4059358</v>
      </c>
      <c r="E25" s="8" t="s">
        <v>123</v>
      </c>
      <c r="F25" s="8">
        <v>92198.141757803416</v>
      </c>
      <c r="G25" s="8">
        <v>90966.35938519628</v>
      </c>
      <c r="H25" s="8">
        <v>79551.53694004174</v>
      </c>
      <c r="I25" s="8">
        <v>97832.676539235254</v>
      </c>
      <c r="J25" s="8">
        <v>81799.306804505584</v>
      </c>
      <c r="K25" s="8">
        <v>76455.971915035916</v>
      </c>
      <c r="L25" s="8">
        <v>73162.081852927848</v>
      </c>
      <c r="M25" s="8">
        <v>64525.705383096007</v>
      </c>
      <c r="N25" s="8">
        <v>58032.306776922531</v>
      </c>
      <c r="O25" s="8">
        <v>64019.671686112328</v>
      </c>
      <c r="P25" s="8">
        <v>61690.268005553851</v>
      </c>
      <c r="Q25" s="8">
        <v>56047.561108037546</v>
      </c>
      <c r="R25" s="8">
        <v>52971.924718023431</v>
      </c>
      <c r="S25" s="8">
        <v>51801.961753463904</v>
      </c>
      <c r="T25" s="8">
        <v>46138.345694320058</v>
      </c>
      <c r="U25" s="8">
        <v>48122.980771254501</v>
      </c>
      <c r="V25" s="8">
        <v>43426.330580444657</v>
      </c>
    </row>
    <row r="26" spans="1:22" x14ac:dyDescent="0.2">
      <c r="B26" s="6" t="s">
        <v>49</v>
      </c>
      <c r="C26" s="6" t="s">
        <v>49</v>
      </c>
      <c r="D26" s="7">
        <v>4059359</v>
      </c>
      <c r="E26" s="8" t="s">
        <v>123</v>
      </c>
      <c r="F26" s="8">
        <v>52850.646785575416</v>
      </c>
      <c r="G26" s="8">
        <v>57443.812400258539</v>
      </c>
      <c r="H26" s="8">
        <v>54262.68230671229</v>
      </c>
      <c r="I26" s="8">
        <v>55720.378457582978</v>
      </c>
      <c r="J26" s="8">
        <v>46693.359181437198</v>
      </c>
      <c r="K26" s="8">
        <v>44559.777176036798</v>
      </c>
      <c r="L26" s="8">
        <v>39606.203045723407</v>
      </c>
      <c r="M26" s="8">
        <v>35711.315914293591</v>
      </c>
      <c r="N26" s="8">
        <v>31159.483962042246</v>
      </c>
      <c r="O26" s="8">
        <v>31372.199525495864</v>
      </c>
      <c r="P26" s="8">
        <v>29199.356428460225</v>
      </c>
      <c r="Q26" s="8">
        <v>28257.848740483947</v>
      </c>
      <c r="R26" s="8">
        <v>26939.152668303457</v>
      </c>
      <c r="S26" s="8">
        <v>31081.644998529035</v>
      </c>
      <c r="T26" s="8">
        <v>27581.640180647173</v>
      </c>
      <c r="U26" s="8">
        <v>27863.958500659017</v>
      </c>
      <c r="V26" s="8">
        <v>23830.752489788585</v>
      </c>
    </row>
    <row r="27" spans="1:22" x14ac:dyDescent="0.2">
      <c r="A27" s="1" t="s">
        <v>30</v>
      </c>
      <c r="B27" s="6" t="s">
        <v>50</v>
      </c>
      <c r="C27" s="6" t="s">
        <v>50</v>
      </c>
      <c r="D27" s="7">
        <v>4059402</v>
      </c>
      <c r="E27" s="8">
        <v>40758.0252075436</v>
      </c>
      <c r="F27" s="8" t="s">
        <v>123</v>
      </c>
      <c r="G27" s="8">
        <v>9604087.9094378054</v>
      </c>
      <c r="H27" s="8">
        <v>37294.137989638271</v>
      </c>
      <c r="I27" s="8">
        <v>43609.977079846969</v>
      </c>
      <c r="J27" s="8">
        <v>35347.908717761908</v>
      </c>
      <c r="K27" s="8">
        <v>35781.50378340212</v>
      </c>
      <c r="L27" s="8">
        <v>31692.031582050022</v>
      </c>
      <c r="M27" s="8">
        <v>30987.671308040655</v>
      </c>
      <c r="N27" s="8">
        <v>26453.392159311934</v>
      </c>
      <c r="O27" s="8">
        <v>27741.876779203816</v>
      </c>
      <c r="P27" s="8">
        <v>25789.923866121044</v>
      </c>
      <c r="Q27" s="8">
        <v>36721.525859778929</v>
      </c>
      <c r="R27" s="8">
        <v>27125.476936924297</v>
      </c>
      <c r="S27" s="8">
        <v>25588.682965337623</v>
      </c>
      <c r="T27" s="8">
        <v>24157.909299318173</v>
      </c>
      <c r="U27" s="8">
        <v>23747.632886035764</v>
      </c>
      <c r="V27" s="8">
        <v>23800.213573929435</v>
      </c>
    </row>
    <row r="28" spans="1:22" x14ac:dyDescent="0.2">
      <c r="A28" s="1" t="s">
        <v>30</v>
      </c>
      <c r="B28" s="6" t="s">
        <v>51</v>
      </c>
      <c r="C28" s="6" t="s">
        <v>51</v>
      </c>
      <c r="D28" s="7">
        <v>4057080</v>
      </c>
      <c r="E28" s="8">
        <v>186918.22878105156</v>
      </c>
      <c r="F28" s="8">
        <v>191235.35887312822</v>
      </c>
      <c r="G28" s="8">
        <v>202425.87382257925</v>
      </c>
      <c r="H28" s="8">
        <v>219540.89879044687</v>
      </c>
      <c r="I28" s="8">
        <v>216324.47206790411</v>
      </c>
      <c r="J28" s="8">
        <v>201620.18959006027</v>
      </c>
      <c r="K28" s="8">
        <v>211490.43836559949</v>
      </c>
      <c r="L28" s="8">
        <v>195770.37437024011</v>
      </c>
      <c r="M28" s="8">
        <v>164934.22360613337</v>
      </c>
      <c r="N28" s="8">
        <v>158721.26030445073</v>
      </c>
      <c r="O28" s="8">
        <v>169922.28665349682</v>
      </c>
      <c r="P28" s="8">
        <v>159067.64197281143</v>
      </c>
      <c r="Q28" s="8">
        <v>141607.55973049079</v>
      </c>
      <c r="R28" s="8">
        <v>131300.64565739833</v>
      </c>
      <c r="S28" s="8">
        <v>113669.30319602285</v>
      </c>
      <c r="T28" s="8">
        <v>107125.42669588438</v>
      </c>
      <c r="U28" s="8">
        <v>99506.429596911374</v>
      </c>
      <c r="V28" s="8">
        <v>89095.450673002488</v>
      </c>
    </row>
    <row r="29" spans="1:22" x14ac:dyDescent="0.2">
      <c r="B29" s="6" t="s">
        <v>52</v>
      </c>
      <c r="C29" s="6" t="s">
        <v>52</v>
      </c>
      <c r="D29" s="7">
        <v>4057081</v>
      </c>
      <c r="E29" s="8">
        <v>153402.99862530513</v>
      </c>
      <c r="F29" s="8">
        <v>150639.8290703852</v>
      </c>
      <c r="G29" s="8">
        <v>166107.85904471367</v>
      </c>
      <c r="H29" s="8">
        <v>165560.25388730245</v>
      </c>
      <c r="I29" s="8">
        <v>154751.00352773763</v>
      </c>
      <c r="J29" s="8">
        <v>161935.12746474223</v>
      </c>
      <c r="K29" s="8">
        <v>163715.43187126672</v>
      </c>
      <c r="L29" s="8">
        <v>158355.36689604638</v>
      </c>
      <c r="M29" s="8">
        <v>160571.44047582915</v>
      </c>
      <c r="N29" s="8">
        <v>160237.80950769695</v>
      </c>
      <c r="O29" s="8">
        <v>156052.99481634604</v>
      </c>
      <c r="P29" s="8">
        <v>154636.14069919862</v>
      </c>
      <c r="Q29" s="8">
        <v>159956.92275423656</v>
      </c>
      <c r="R29" s="8">
        <v>158197.63017884188</v>
      </c>
      <c r="S29" s="8">
        <v>147569.60891129024</v>
      </c>
      <c r="T29" s="8">
        <v>146737.11067807034</v>
      </c>
      <c r="U29" s="8">
        <v>152893.38162132844</v>
      </c>
      <c r="V29" s="8">
        <v>132751.44799944502</v>
      </c>
    </row>
    <row r="30" spans="1:22" x14ac:dyDescent="0.2">
      <c r="A30" s="1" t="s">
        <v>30</v>
      </c>
      <c r="B30" s="6" t="s">
        <v>53</v>
      </c>
      <c r="C30" s="6" t="s">
        <v>53</v>
      </c>
      <c r="D30" s="7">
        <v>4059459</v>
      </c>
      <c r="E30" s="8">
        <v>4768.4430342614651</v>
      </c>
      <c r="F30" s="8">
        <v>4078.1322755255187</v>
      </c>
      <c r="G30" s="8">
        <v>4145.0078305686275</v>
      </c>
      <c r="H30" s="8">
        <v>4117.2570613022808</v>
      </c>
      <c r="I30" s="8">
        <v>4083.5247645933046</v>
      </c>
      <c r="J30" s="8">
        <v>3642.7560075754427</v>
      </c>
      <c r="K30" s="8">
        <v>3802.4687620092254</v>
      </c>
      <c r="L30" s="8">
        <v>3707.4202684099355</v>
      </c>
      <c r="M30" s="8">
        <v>3214.8841971243605</v>
      </c>
      <c r="N30" s="8">
        <v>3299.8781063834372</v>
      </c>
      <c r="O30" s="8">
        <v>3068.1799501543978</v>
      </c>
      <c r="P30" s="8">
        <v>3081.1378930465876</v>
      </c>
      <c r="Q30" s="8">
        <v>2924.6022980664411</v>
      </c>
      <c r="R30" s="8">
        <v>2666.2365758440105</v>
      </c>
      <c r="S30" s="8">
        <v>2481.6255338861183</v>
      </c>
      <c r="T30" s="8">
        <v>2347.565185409333</v>
      </c>
      <c r="U30" s="8">
        <v>1609.8696056626816</v>
      </c>
      <c r="V30" s="8">
        <v>1560.7171692020775</v>
      </c>
    </row>
    <row r="31" spans="1:22" x14ac:dyDescent="0.2">
      <c r="B31" s="6" t="s">
        <v>54</v>
      </c>
      <c r="C31" s="6" t="s">
        <v>54</v>
      </c>
      <c r="D31" s="7">
        <v>4057118</v>
      </c>
      <c r="E31" s="8">
        <v>5042.5118815214828</v>
      </c>
      <c r="F31" s="8">
        <v>3626.644622575649</v>
      </c>
      <c r="G31" s="8">
        <v>3665.2453662990301</v>
      </c>
      <c r="H31" s="8">
        <v>5507.9010061989256</v>
      </c>
      <c r="I31" s="8">
        <v>5447.7825750789998</v>
      </c>
      <c r="J31" s="8">
        <v>5554.405085518536</v>
      </c>
      <c r="K31" s="8">
        <v>5576.6168365904905</v>
      </c>
      <c r="L31" s="8">
        <v>5357.7901666799316</v>
      </c>
      <c r="M31" s="8">
        <v>5270.2001937570803</v>
      </c>
      <c r="N31" s="8">
        <v>5203.7707546758174</v>
      </c>
      <c r="O31" s="8">
        <v>4999.736873138464</v>
      </c>
      <c r="P31" s="8">
        <v>5367.0819401026693</v>
      </c>
      <c r="Q31" s="8">
        <v>5718.6024133956826</v>
      </c>
      <c r="R31" s="8">
        <v>5382.7310666643916</v>
      </c>
      <c r="S31" s="8">
        <v>4955.1767642127252</v>
      </c>
      <c r="T31" s="8">
        <v>4694.7776442763952</v>
      </c>
      <c r="U31" s="8">
        <v>4618.3119243252986</v>
      </c>
      <c r="V31" s="8">
        <v>4418.20164256302</v>
      </c>
    </row>
    <row r="32" spans="1:22" x14ac:dyDescent="0.2">
      <c r="B32" s="6" t="s">
        <v>55</v>
      </c>
      <c r="C32" s="6" t="s">
        <v>55</v>
      </c>
      <c r="D32" s="7">
        <v>4057126</v>
      </c>
      <c r="E32" s="8">
        <v>214706.70715614362</v>
      </c>
      <c r="F32" s="8">
        <v>201094.86997137719</v>
      </c>
      <c r="G32" s="8">
        <v>205726.58221451283</v>
      </c>
      <c r="H32" s="8">
        <v>196712.18534727077</v>
      </c>
      <c r="I32" s="8">
        <v>194500.73178228136</v>
      </c>
      <c r="J32" s="8">
        <v>173221.80731114658</v>
      </c>
      <c r="K32" s="8">
        <v>173547.9372991047</v>
      </c>
      <c r="L32" s="8">
        <v>182428.37251435855</v>
      </c>
      <c r="M32" s="8">
        <v>171929.09158416279</v>
      </c>
      <c r="N32" s="8">
        <v>156910.0804260539</v>
      </c>
      <c r="O32" s="8">
        <v>154801.64057628348</v>
      </c>
      <c r="P32" s="8">
        <v>151617.02790051163</v>
      </c>
      <c r="Q32" s="8">
        <v>141898.26707322494</v>
      </c>
      <c r="R32" s="8">
        <v>147226.46132902702</v>
      </c>
      <c r="S32" s="8">
        <v>152563.29164632474</v>
      </c>
      <c r="T32" s="8">
        <v>145564.62712724859</v>
      </c>
      <c r="U32" s="8">
        <v>157566.71295435604</v>
      </c>
      <c r="V32" s="8">
        <v>142019.48525886529</v>
      </c>
    </row>
    <row r="33" spans="1:22" x14ac:dyDescent="0.2">
      <c r="B33" s="6" t="s">
        <v>56</v>
      </c>
      <c r="C33" s="6" t="s">
        <v>56</v>
      </c>
      <c r="D33" s="7">
        <v>4057103</v>
      </c>
      <c r="E33" s="8" t="s">
        <v>123</v>
      </c>
      <c r="F33" s="8" t="s">
        <v>123</v>
      </c>
      <c r="G33" s="8">
        <v>12030.14367800814</v>
      </c>
      <c r="H33" s="8">
        <v>13299.687141447155</v>
      </c>
      <c r="I33" s="8">
        <v>12823.794140600212</v>
      </c>
      <c r="J33" s="8" t="s">
        <v>123</v>
      </c>
      <c r="K33" s="8">
        <v>11851.679424048434</v>
      </c>
      <c r="L33" s="8">
        <v>12146.828046938097</v>
      </c>
      <c r="M33" s="8">
        <v>11512.494402316632</v>
      </c>
      <c r="N33" s="8">
        <v>12635.700432633706</v>
      </c>
      <c r="O33" s="8">
        <v>11650.287829829937</v>
      </c>
      <c r="P33" s="8">
        <v>11565.62520244681</v>
      </c>
      <c r="Q33" s="8">
        <v>10930.631271612689</v>
      </c>
      <c r="R33" s="8">
        <v>11035.28004616603</v>
      </c>
      <c r="S33" s="8">
        <v>13854.528122202459</v>
      </c>
      <c r="T33" s="8">
        <v>11621.108257999573</v>
      </c>
      <c r="U33" s="8">
        <v>10986.658232257638</v>
      </c>
      <c r="V33" s="8">
        <v>8511.0001440436499</v>
      </c>
    </row>
    <row r="34" spans="1:22" x14ac:dyDescent="0.2">
      <c r="B34" s="6" t="s">
        <v>57</v>
      </c>
      <c r="C34" s="6" t="s">
        <v>57</v>
      </c>
      <c r="D34" s="7">
        <v>4057079</v>
      </c>
      <c r="E34" s="8">
        <v>50127.64074247214</v>
      </c>
      <c r="F34" s="8">
        <v>41892.738645603589</v>
      </c>
      <c r="G34" s="8">
        <v>46492.820360366204</v>
      </c>
      <c r="H34" s="8">
        <v>48901.632014584204</v>
      </c>
      <c r="I34" s="8">
        <v>45210.348192737147</v>
      </c>
      <c r="J34" s="8">
        <v>44847.924177244713</v>
      </c>
      <c r="K34" s="8">
        <v>48159.139272488632</v>
      </c>
      <c r="L34" s="8">
        <v>45778.938973566226</v>
      </c>
      <c r="M34" s="8">
        <v>51587.971099842842</v>
      </c>
      <c r="N34" s="8">
        <v>49660.229524335162</v>
      </c>
      <c r="O34" s="8">
        <v>51671.790267256358</v>
      </c>
      <c r="P34" s="8">
        <v>50735.872094220787</v>
      </c>
      <c r="Q34" s="8">
        <v>39002.661946464228</v>
      </c>
      <c r="R34" s="8">
        <v>40246.491224050187</v>
      </c>
      <c r="S34" s="8">
        <v>48408.883618836873</v>
      </c>
      <c r="T34" s="8">
        <v>48996.799783332099</v>
      </c>
      <c r="U34" s="8">
        <v>45176.023563432711</v>
      </c>
      <c r="V34" s="8">
        <v>41748.522045782462</v>
      </c>
    </row>
    <row r="35" spans="1:22" x14ac:dyDescent="0.2">
      <c r="B35" s="6" t="s">
        <v>58</v>
      </c>
      <c r="C35" s="6" t="s">
        <v>59</v>
      </c>
      <c r="D35" s="7">
        <v>4081251</v>
      </c>
      <c r="E35" s="8" t="s">
        <v>123</v>
      </c>
      <c r="F35" s="8" t="s">
        <v>123</v>
      </c>
      <c r="G35" s="8">
        <v>341.87625655546015</v>
      </c>
      <c r="H35" s="8">
        <v>359.93778729547932</v>
      </c>
      <c r="I35" s="8">
        <v>320.22297165019762</v>
      </c>
      <c r="J35" s="8">
        <v>330.81799695918511</v>
      </c>
      <c r="K35" s="8" t="s">
        <v>123</v>
      </c>
      <c r="L35" s="8">
        <v>290.47210366303403</v>
      </c>
      <c r="M35" s="8">
        <v>253.03876991018524</v>
      </c>
      <c r="N35" s="8">
        <v>269.90141064865452</v>
      </c>
      <c r="O35" s="8">
        <v>253.22452326007934</v>
      </c>
      <c r="P35" s="8">
        <v>264.36194520088384</v>
      </c>
      <c r="Q35" s="8">
        <v>231.45180876534798</v>
      </c>
      <c r="R35" s="8">
        <v>228.77922808512494</v>
      </c>
      <c r="S35" s="8">
        <v>222.69683373024904</v>
      </c>
      <c r="T35" s="8">
        <v>225.81243759043289</v>
      </c>
      <c r="U35" s="8">
        <v>223.97936910151822</v>
      </c>
      <c r="V35" s="8">
        <v>225.61773508006181</v>
      </c>
    </row>
    <row r="36" spans="1:22" x14ac:dyDescent="0.2">
      <c r="B36" s="6" t="s">
        <v>60</v>
      </c>
      <c r="C36" s="6" t="s">
        <v>60</v>
      </c>
      <c r="D36" s="7">
        <v>4060572</v>
      </c>
      <c r="E36" s="8" t="s">
        <v>123</v>
      </c>
      <c r="F36" s="8">
        <v>16484.384514141821</v>
      </c>
      <c r="G36" s="8">
        <v>20033.01217120378</v>
      </c>
      <c r="H36" s="8">
        <v>15677.594382433821</v>
      </c>
      <c r="I36" s="8">
        <v>16815.751175187059</v>
      </c>
      <c r="J36" s="8">
        <v>16696.403447712422</v>
      </c>
      <c r="K36" s="8">
        <v>16720.515574656387</v>
      </c>
      <c r="L36" s="8">
        <v>17413.251394323437</v>
      </c>
      <c r="M36" s="8">
        <v>14094.865026384519</v>
      </c>
      <c r="N36" s="8">
        <v>13458.232852052324</v>
      </c>
      <c r="O36" s="8">
        <v>13245.846515303596</v>
      </c>
      <c r="P36" s="8">
        <v>15017.945722985236</v>
      </c>
      <c r="Q36" s="8">
        <v>13697.057524373227</v>
      </c>
      <c r="R36" s="8">
        <v>15609.61124478736</v>
      </c>
      <c r="S36" s="8">
        <v>13464.995949605052</v>
      </c>
      <c r="T36" s="8">
        <v>13987.852664615415</v>
      </c>
      <c r="U36" s="8">
        <v>17472.993563245895</v>
      </c>
      <c r="V36" s="8">
        <v>14844.842901294454</v>
      </c>
    </row>
    <row r="37" spans="1:22" x14ac:dyDescent="0.2">
      <c r="B37" s="6" t="s">
        <v>61</v>
      </c>
      <c r="C37" s="6" t="s">
        <v>61</v>
      </c>
      <c r="D37" s="7">
        <v>4083318</v>
      </c>
      <c r="E37" s="8" t="s">
        <v>123</v>
      </c>
      <c r="F37" s="8">
        <v>931.4215948453683</v>
      </c>
      <c r="G37" s="8">
        <v>945.67019171001255</v>
      </c>
      <c r="H37" s="8">
        <v>751.86579149000033</v>
      </c>
      <c r="I37" s="8">
        <v>671.10264228786377</v>
      </c>
      <c r="J37" s="8">
        <v>795.55235212148852</v>
      </c>
      <c r="K37" s="8">
        <v>698.56059189666507</v>
      </c>
      <c r="L37" s="8">
        <v>756.18100064842986</v>
      </c>
      <c r="M37" s="8">
        <v>880.77887117088289</v>
      </c>
      <c r="N37" s="8">
        <v>858.47622782838096</v>
      </c>
      <c r="O37" s="8">
        <v>889.63495573953685</v>
      </c>
      <c r="P37" s="8">
        <v>951.14043251512805</v>
      </c>
      <c r="Q37" s="8">
        <v>886.17396838991488</v>
      </c>
      <c r="R37" s="8">
        <v>992.78051396210685</v>
      </c>
      <c r="S37" s="8">
        <v>839.59954813796071</v>
      </c>
      <c r="T37" s="8">
        <v>811.11639398645104</v>
      </c>
      <c r="U37" s="8">
        <v>806.13158252276207</v>
      </c>
      <c r="V37" s="8">
        <v>789.5206950889941</v>
      </c>
    </row>
    <row r="38" spans="1:22" x14ac:dyDescent="0.2">
      <c r="B38" s="6" t="s">
        <v>62</v>
      </c>
      <c r="C38" s="6" t="s">
        <v>62</v>
      </c>
      <c r="D38" s="7">
        <v>4057125</v>
      </c>
      <c r="E38" s="8" t="s">
        <v>123</v>
      </c>
      <c r="F38" s="8">
        <v>65611.056211762698</v>
      </c>
      <c r="G38" s="8">
        <v>79151.240817925631</v>
      </c>
      <c r="H38" s="8">
        <v>66045.303036055382</v>
      </c>
      <c r="I38" s="8">
        <v>64233.188751617658</v>
      </c>
      <c r="J38" s="8">
        <v>59391.065934234604</v>
      </c>
      <c r="K38" s="8">
        <v>59809.648764872327</v>
      </c>
      <c r="L38" s="8">
        <v>61289.711985659524</v>
      </c>
      <c r="M38" s="8">
        <v>58348.620570138002</v>
      </c>
      <c r="N38" s="8">
        <v>53499.36049879223</v>
      </c>
      <c r="O38" s="8">
        <v>53910.40444627095</v>
      </c>
      <c r="P38" s="8">
        <v>52231.729959328812</v>
      </c>
      <c r="Q38" s="8">
        <v>53088.97291662659</v>
      </c>
      <c r="R38" s="8">
        <v>52351.177683720452</v>
      </c>
      <c r="S38" s="8">
        <v>51207.138144024575</v>
      </c>
      <c r="T38" s="8">
        <v>46882.361341476862</v>
      </c>
      <c r="U38" s="8">
        <v>48006.952120178386</v>
      </c>
      <c r="V38" s="8">
        <v>46740.958497649612</v>
      </c>
    </row>
    <row r="39" spans="1:22" x14ac:dyDescent="0.2">
      <c r="B39" s="6" t="s">
        <v>63</v>
      </c>
      <c r="C39" s="6" t="s">
        <v>63</v>
      </c>
      <c r="D39" s="7">
        <v>4087741</v>
      </c>
      <c r="E39" s="8" t="s">
        <v>123</v>
      </c>
      <c r="F39" s="8" t="s">
        <v>123</v>
      </c>
      <c r="G39" s="8" t="s">
        <v>123</v>
      </c>
      <c r="H39" s="8">
        <v>77542.787218667858</v>
      </c>
      <c r="I39" s="8">
        <v>72747.431465887043</v>
      </c>
      <c r="J39" s="8">
        <v>79726.280460794878</v>
      </c>
      <c r="K39" s="8">
        <v>77291.283113590587</v>
      </c>
      <c r="L39" s="8">
        <v>79031.12646718639</v>
      </c>
      <c r="M39" s="8">
        <v>74703.651704099728</v>
      </c>
      <c r="N39" s="8">
        <v>69534.525743752718</v>
      </c>
      <c r="O39" s="8">
        <v>68332.937206093222</v>
      </c>
      <c r="P39" s="8">
        <v>65858.419460827339</v>
      </c>
      <c r="Q39" s="8">
        <v>67582.89098287301</v>
      </c>
      <c r="R39" s="8">
        <v>66388.967033272827</v>
      </c>
      <c r="S39" s="8">
        <v>63518.439286301764</v>
      </c>
      <c r="T39" s="8">
        <v>63639.153306143475</v>
      </c>
      <c r="U39" s="8">
        <v>62153.808165219452</v>
      </c>
      <c r="V39" s="8">
        <v>56862.034888043141</v>
      </c>
    </row>
    <row r="40" spans="1:22" x14ac:dyDescent="0.2">
      <c r="B40" s="6" t="s">
        <v>64</v>
      </c>
      <c r="C40" s="6" t="s">
        <v>64</v>
      </c>
      <c r="D40" s="7">
        <v>4059875</v>
      </c>
      <c r="E40" s="8" t="s">
        <v>123</v>
      </c>
      <c r="F40" s="8">
        <v>15460.767023422468</v>
      </c>
      <c r="G40" s="8">
        <v>15281.005969766538</v>
      </c>
      <c r="H40" s="8">
        <v>16931.342921894538</v>
      </c>
      <c r="I40" s="8">
        <v>16242.032634394238</v>
      </c>
      <c r="J40" s="8">
        <v>15847.599536527749</v>
      </c>
      <c r="K40" s="8">
        <v>16877.943937808082</v>
      </c>
      <c r="L40" s="8">
        <v>16765.344949379636</v>
      </c>
      <c r="M40" s="8">
        <v>10442.952943215379</v>
      </c>
      <c r="N40" s="8">
        <v>9485.8856867903269</v>
      </c>
      <c r="O40" s="8">
        <v>13325.279839622404</v>
      </c>
      <c r="P40" s="8">
        <v>13913.217240708191</v>
      </c>
      <c r="Q40" s="8">
        <v>12183.339162506993</v>
      </c>
      <c r="R40" s="8">
        <v>11339.387710533385</v>
      </c>
      <c r="S40" s="8">
        <v>9962.9731105987958</v>
      </c>
      <c r="T40" s="8">
        <v>9606.7912189234194</v>
      </c>
      <c r="U40" s="8">
        <v>8210.6427684619448</v>
      </c>
      <c r="V40" s="8">
        <v>8384.7176856440601</v>
      </c>
    </row>
    <row r="41" spans="1:22" x14ac:dyDescent="0.2">
      <c r="B41" s="6" t="s">
        <v>65</v>
      </c>
      <c r="C41" s="6" t="s">
        <v>65</v>
      </c>
      <c r="D41" s="7">
        <v>4057090</v>
      </c>
      <c r="E41" s="8">
        <v>41449.262762158076</v>
      </c>
      <c r="F41" s="8">
        <v>43837.857090121077</v>
      </c>
      <c r="G41" s="8">
        <v>43583.991772611131</v>
      </c>
      <c r="H41" s="8">
        <v>40357.283287618513</v>
      </c>
      <c r="I41" s="8">
        <v>36670.203822853655</v>
      </c>
      <c r="J41" s="8">
        <v>34806.010484860053</v>
      </c>
      <c r="K41" s="8">
        <v>36270.965243360668</v>
      </c>
      <c r="L41" s="8">
        <v>33522.790375103024</v>
      </c>
      <c r="M41" s="8">
        <v>32350.529807429437</v>
      </c>
      <c r="N41" s="8">
        <v>29822.876138340784</v>
      </c>
      <c r="O41" s="8">
        <v>30897.410878183491</v>
      </c>
      <c r="P41" s="8">
        <v>28699.082377253868</v>
      </c>
      <c r="Q41" s="8">
        <v>30073.765045951917</v>
      </c>
      <c r="R41" s="8">
        <v>28192.910317465256</v>
      </c>
      <c r="S41" s="8">
        <v>25600.5108869291</v>
      </c>
      <c r="T41" s="8">
        <v>24964.20616110081</v>
      </c>
      <c r="U41" s="8">
        <v>26048.011123085274</v>
      </c>
      <c r="V41" s="8">
        <v>25113.530859423179</v>
      </c>
    </row>
    <row r="42" spans="1:22" x14ac:dyDescent="0.2">
      <c r="B42" s="6" t="s">
        <v>66</v>
      </c>
      <c r="C42" s="6" t="s">
        <v>66</v>
      </c>
      <c r="D42" s="7">
        <v>4008754</v>
      </c>
      <c r="E42" s="8">
        <v>25265.526510407704</v>
      </c>
      <c r="F42" s="8">
        <v>24420.823771378451</v>
      </c>
      <c r="G42" s="8">
        <v>23656.702868771878</v>
      </c>
      <c r="H42" s="8">
        <v>21297.225638774915</v>
      </c>
      <c r="I42" s="8">
        <v>21389.464598617527</v>
      </c>
      <c r="J42" s="8">
        <v>20796.210570144445</v>
      </c>
      <c r="K42" s="8">
        <v>20282.832114696663</v>
      </c>
      <c r="L42" s="8">
        <v>20112.055118208595</v>
      </c>
      <c r="M42" s="8">
        <v>20595.23041668567</v>
      </c>
      <c r="N42" s="8">
        <v>21394.284605269604</v>
      </c>
      <c r="O42" s="8">
        <v>20251.496161996474</v>
      </c>
      <c r="P42" s="8">
        <v>19673.298417579175</v>
      </c>
      <c r="Q42" s="8">
        <v>17483.754272404363</v>
      </c>
      <c r="R42" s="8">
        <v>17916.704930453558</v>
      </c>
      <c r="S42" s="8">
        <v>16881.182652616517</v>
      </c>
      <c r="T42" s="8">
        <v>16451.69977978096</v>
      </c>
      <c r="U42" s="8">
        <v>15093.13694424327</v>
      </c>
      <c r="V42" s="8">
        <v>15663.413902015847</v>
      </c>
    </row>
    <row r="43" spans="1:22" x14ac:dyDescent="0.2">
      <c r="B43" s="6" t="s">
        <v>67</v>
      </c>
      <c r="C43" s="6" t="s">
        <v>67</v>
      </c>
      <c r="D43" s="7">
        <v>4061474</v>
      </c>
      <c r="E43" s="8" t="s">
        <v>123</v>
      </c>
      <c r="F43" s="8">
        <v>2317.8992780494227</v>
      </c>
      <c r="G43" s="8">
        <v>2270.2131391781754</v>
      </c>
      <c r="H43" s="8">
        <v>2236.8220921766115</v>
      </c>
      <c r="I43" s="8">
        <v>2136.0218782659213</v>
      </c>
      <c r="J43" s="8">
        <v>2159.4414653183094</v>
      </c>
      <c r="K43" s="8">
        <v>2087.9053162837899</v>
      </c>
      <c r="L43" s="8">
        <v>2104.1402923763721</v>
      </c>
      <c r="M43" s="8">
        <v>2114.2586615517935</v>
      </c>
      <c r="N43" s="8">
        <v>1992.3296572680067</v>
      </c>
      <c r="O43" s="8">
        <v>1868.9570649896198</v>
      </c>
      <c r="P43" s="8">
        <v>1801.1307886586594</v>
      </c>
      <c r="Q43" s="8">
        <v>1744.5387684729849</v>
      </c>
      <c r="R43" s="8">
        <v>1715.8393507629912</v>
      </c>
      <c r="S43" s="8">
        <v>1681.6885613434697</v>
      </c>
      <c r="T43" s="8">
        <v>1551.1643572091816</v>
      </c>
      <c r="U43" s="8">
        <v>1447.320782261274</v>
      </c>
      <c r="V43" s="8">
        <v>1403.0229661157812</v>
      </c>
    </row>
    <row r="44" spans="1:22" x14ac:dyDescent="0.2">
      <c r="B44" s="6" t="s">
        <v>68</v>
      </c>
      <c r="C44" s="6" t="s">
        <v>68</v>
      </c>
      <c r="D44" s="7">
        <v>4076679</v>
      </c>
      <c r="E44" s="8" t="s">
        <v>123</v>
      </c>
      <c r="F44" s="8">
        <v>1665.6120597765689</v>
      </c>
      <c r="G44" s="8">
        <v>1627.1456956365118</v>
      </c>
      <c r="H44" s="8">
        <v>1542.8014413487765</v>
      </c>
      <c r="I44" s="8">
        <v>1430.3552260107749</v>
      </c>
      <c r="J44" s="8">
        <v>1390.320598742584</v>
      </c>
      <c r="K44" s="8">
        <v>1452.2075280637412</v>
      </c>
      <c r="L44" s="8">
        <v>1393.1128220022404</v>
      </c>
      <c r="M44" s="8">
        <v>1362.6441646639332</v>
      </c>
      <c r="N44" s="8">
        <v>1337.323695626385</v>
      </c>
      <c r="O44" s="8">
        <v>1313.077830719511</v>
      </c>
      <c r="P44" s="8">
        <v>1269.9229378020873</v>
      </c>
      <c r="Q44" s="8">
        <v>1311.530917262136</v>
      </c>
      <c r="R44" s="8">
        <v>1003.475911759875</v>
      </c>
      <c r="S44" s="8">
        <v>826.91601585247611</v>
      </c>
      <c r="T44" s="8">
        <v>809.72316513519593</v>
      </c>
      <c r="U44" s="8">
        <v>826.53621530188605</v>
      </c>
      <c r="V44" s="8">
        <v>715.33423425787441</v>
      </c>
    </row>
    <row r="45" spans="1:22" x14ac:dyDescent="0.2">
      <c r="B45" s="6" t="s">
        <v>69</v>
      </c>
      <c r="C45" s="6" t="s">
        <v>69</v>
      </c>
      <c r="D45" s="7">
        <v>4061634</v>
      </c>
      <c r="E45" s="8">
        <v>31875.350716647496</v>
      </c>
      <c r="F45" s="8">
        <v>41451.154588075347</v>
      </c>
      <c r="G45" s="8">
        <v>41135.619253077093</v>
      </c>
      <c r="H45" s="8">
        <v>41015.336680100598</v>
      </c>
      <c r="I45" s="8">
        <v>36824.154297527668</v>
      </c>
      <c r="J45" s="8">
        <v>36103.379339563144</v>
      </c>
      <c r="K45" s="8">
        <v>38414.127117812313</v>
      </c>
      <c r="L45" s="8">
        <v>34858.286350872884</v>
      </c>
      <c r="M45" s="8">
        <v>34999.035658858265</v>
      </c>
      <c r="N45" s="8">
        <v>33791.632066058912</v>
      </c>
      <c r="O45" s="8">
        <v>34137.994949861153</v>
      </c>
      <c r="P45" s="8">
        <v>32422.485535210908</v>
      </c>
      <c r="Q45" s="8">
        <v>31459.046834291501</v>
      </c>
      <c r="R45" s="8">
        <v>31420.517367241609</v>
      </c>
      <c r="S45" s="8">
        <v>30816.697198591519</v>
      </c>
      <c r="T45" s="8">
        <v>28353.423909175021</v>
      </c>
      <c r="U45" s="8">
        <v>27182.217811194012</v>
      </c>
      <c r="V45" s="8">
        <v>27134.248505092306</v>
      </c>
    </row>
    <row r="46" spans="1:22" x14ac:dyDescent="0.2">
      <c r="B46" s="6" t="s">
        <v>70</v>
      </c>
      <c r="C46" s="6" t="s">
        <v>70</v>
      </c>
      <c r="D46" s="7">
        <v>4061687</v>
      </c>
      <c r="E46" s="8">
        <v>99870.664228337468</v>
      </c>
      <c r="F46" s="8">
        <v>124214.78818548095</v>
      </c>
      <c r="G46" s="8">
        <v>118430.96128118526</v>
      </c>
      <c r="H46" s="8">
        <v>118846.81843695964</v>
      </c>
      <c r="I46" s="8">
        <v>120081.28046031678</v>
      </c>
      <c r="J46" s="8">
        <v>117754.87789387329</v>
      </c>
      <c r="K46" s="8">
        <v>121242.1842701765</v>
      </c>
      <c r="L46" s="8">
        <v>119111.68105586604</v>
      </c>
      <c r="M46" s="8">
        <v>114222.95645444334</v>
      </c>
      <c r="N46" s="8">
        <v>109006.35812683713</v>
      </c>
      <c r="O46" s="8">
        <v>108846.22684872222</v>
      </c>
      <c r="P46" s="8">
        <v>108048.33341520358</v>
      </c>
      <c r="Q46" s="8">
        <v>105977.42185247158</v>
      </c>
      <c r="R46" s="8">
        <v>113367.21675270851</v>
      </c>
      <c r="S46" s="8">
        <v>114478.35962268537</v>
      </c>
      <c r="T46" s="8">
        <v>115257.22755827004</v>
      </c>
      <c r="U46" s="8">
        <v>118607.25521486733</v>
      </c>
      <c r="V46" s="8">
        <v>113879.40911202892</v>
      </c>
    </row>
    <row r="47" spans="1:22" x14ac:dyDescent="0.2">
      <c r="A47" s="1" t="s">
        <v>30</v>
      </c>
      <c r="B47" s="6" t="s">
        <v>71</v>
      </c>
      <c r="C47" s="6" t="s">
        <v>71</v>
      </c>
      <c r="D47" s="7">
        <v>4061755</v>
      </c>
      <c r="E47" s="8">
        <v>63015.024726195785</v>
      </c>
      <c r="F47" s="8">
        <v>82217.230556477967</v>
      </c>
      <c r="G47" s="8">
        <v>85493.743273103813</v>
      </c>
      <c r="H47" s="8">
        <v>93218.658606239303</v>
      </c>
      <c r="I47" s="8">
        <v>82949.708350125962</v>
      </c>
      <c r="J47" s="8">
        <v>77920.552151001175</v>
      </c>
      <c r="K47" s="8">
        <v>78283.740073078152</v>
      </c>
      <c r="L47" s="8">
        <v>77887.408479171514</v>
      </c>
      <c r="M47" s="8">
        <v>67142.785493767165</v>
      </c>
      <c r="N47" s="8">
        <v>61515.662471742959</v>
      </c>
      <c r="O47" s="8">
        <v>62482.733233143408</v>
      </c>
      <c r="P47" s="8">
        <v>61298.828315294471</v>
      </c>
      <c r="Q47" s="8">
        <v>61416.217305213584</v>
      </c>
      <c r="R47" s="8">
        <v>56641.102658394222</v>
      </c>
      <c r="S47" s="8">
        <v>58987.374950444595</v>
      </c>
      <c r="T47" s="8">
        <v>48464.339545986004</v>
      </c>
      <c r="U47" s="8">
        <v>43627.354575379097</v>
      </c>
      <c r="V47" s="8">
        <v>43387.134938140895</v>
      </c>
    </row>
    <row r="48" spans="1:22" x14ac:dyDescent="0.2">
      <c r="A48" s="1" t="s">
        <v>30</v>
      </c>
      <c r="B48" s="6" t="s">
        <v>72</v>
      </c>
      <c r="C48" s="6" t="s">
        <v>72</v>
      </c>
      <c r="D48" s="7">
        <v>4004389</v>
      </c>
      <c r="E48" s="8">
        <v>52791.439931535184</v>
      </c>
      <c r="F48" s="8">
        <v>51198.362624901652</v>
      </c>
      <c r="G48" s="8">
        <v>51991.018088254117</v>
      </c>
      <c r="H48" s="8">
        <v>55199.82556816213</v>
      </c>
      <c r="I48" s="8">
        <v>49466.600226654708</v>
      </c>
      <c r="J48" s="8">
        <v>53440.614864194809</v>
      </c>
      <c r="K48" s="8">
        <v>47705.769189625069</v>
      </c>
      <c r="L48" s="8">
        <v>47692.371114155547</v>
      </c>
      <c r="M48" s="8">
        <v>50369.95372279283</v>
      </c>
      <c r="N48" s="8">
        <v>48915.431717345149</v>
      </c>
      <c r="O48" s="8">
        <v>51894.565570642619</v>
      </c>
      <c r="P48" s="8">
        <v>40257.369661885052</v>
      </c>
      <c r="Q48" s="8">
        <v>34910.66867094714</v>
      </c>
      <c r="R48" s="8">
        <v>26735.251060464674</v>
      </c>
      <c r="S48" s="8">
        <v>26881.96591704831</v>
      </c>
      <c r="T48" s="8">
        <v>25770.090961378959</v>
      </c>
      <c r="U48" s="8">
        <v>27946.33794199516</v>
      </c>
      <c r="V48" s="8">
        <v>28396.263870752806</v>
      </c>
    </row>
    <row r="49" spans="1:22" x14ac:dyDescent="0.2">
      <c r="A49" s="1" t="s">
        <v>30</v>
      </c>
      <c r="B49" s="6" t="s">
        <v>73</v>
      </c>
      <c r="C49" s="6" t="s">
        <v>73</v>
      </c>
      <c r="D49" s="7">
        <v>4057014</v>
      </c>
      <c r="E49" s="8">
        <v>95872.376853557929</v>
      </c>
      <c r="F49" s="8">
        <v>85341.511203190094</v>
      </c>
      <c r="G49" s="8">
        <v>82856.642447174614</v>
      </c>
      <c r="H49" s="8">
        <v>82279.259420604008</v>
      </c>
      <c r="I49" s="8">
        <v>85403.357770395844</v>
      </c>
      <c r="J49" s="8">
        <v>83394.040052962111</v>
      </c>
      <c r="K49" s="8">
        <v>77137.71051131573</v>
      </c>
      <c r="L49" s="8">
        <v>85228.971046265884</v>
      </c>
      <c r="M49" s="8">
        <v>81370.604592447344</v>
      </c>
      <c r="N49" s="8">
        <v>90084.903706181183</v>
      </c>
      <c r="O49" s="8">
        <v>88522.483634004515</v>
      </c>
      <c r="P49" s="8">
        <v>88459.21300472143</v>
      </c>
      <c r="Q49" s="8">
        <v>71437.588273005123</v>
      </c>
      <c r="R49" s="8">
        <v>59463.789015071001</v>
      </c>
      <c r="S49" s="8">
        <v>53817.932813718005</v>
      </c>
      <c r="T49" s="8">
        <v>56412.528059505275</v>
      </c>
      <c r="U49" s="8">
        <v>52780.535005975871</v>
      </c>
      <c r="V49" s="8">
        <v>57623.108733236208</v>
      </c>
    </row>
    <row r="50" spans="1:22" x14ac:dyDescent="0.2">
      <c r="B50" s="6" t="s">
        <v>74</v>
      </c>
      <c r="C50" s="6" t="s">
        <v>74</v>
      </c>
      <c r="D50" s="7">
        <v>4057130</v>
      </c>
      <c r="E50" s="8">
        <v>22701.637310294638</v>
      </c>
      <c r="F50" s="8">
        <v>21095.516114353668</v>
      </c>
      <c r="G50" s="8">
        <v>22777.415749794869</v>
      </c>
      <c r="H50" s="8">
        <v>24668.180387193584</v>
      </c>
      <c r="I50" s="8">
        <v>24068.658596981826</v>
      </c>
      <c r="J50" s="8">
        <v>26538.050433396726</v>
      </c>
      <c r="K50" s="8">
        <v>31949.59722352033</v>
      </c>
      <c r="L50" s="8">
        <v>36076.807667044093</v>
      </c>
      <c r="M50" s="8">
        <v>27198.424276398593</v>
      </c>
      <c r="N50" s="8">
        <v>24462.000490280625</v>
      </c>
      <c r="O50" s="8">
        <v>26174.797879453181</v>
      </c>
      <c r="P50" s="8">
        <v>27974.850253030549</v>
      </c>
      <c r="Q50" s="8">
        <v>24755.435509419724</v>
      </c>
      <c r="R50" s="8">
        <v>23405.767692914567</v>
      </c>
      <c r="S50" s="8">
        <v>19862.906560865864</v>
      </c>
      <c r="T50" s="8">
        <v>11815.047106748405</v>
      </c>
      <c r="U50" s="8">
        <v>25903.881217645598</v>
      </c>
      <c r="V50" s="8">
        <v>17033.14496822928</v>
      </c>
    </row>
    <row r="51" spans="1:22" x14ac:dyDescent="0.2">
      <c r="B51" s="6" t="s">
        <v>75</v>
      </c>
      <c r="C51" s="6" t="s">
        <v>75</v>
      </c>
      <c r="D51" s="7">
        <v>4057131</v>
      </c>
      <c r="E51" s="8">
        <v>196100.30004486439</v>
      </c>
      <c r="F51" s="8">
        <v>165446.37198868339</v>
      </c>
      <c r="G51" s="8">
        <v>156521.47332761652</v>
      </c>
      <c r="H51" s="8">
        <v>129651.72681811774</v>
      </c>
      <c r="I51" s="8">
        <v>130214.33113148401</v>
      </c>
      <c r="J51" s="8">
        <v>130920.9375980678</v>
      </c>
      <c r="K51" s="8">
        <v>131946.84268054261</v>
      </c>
      <c r="L51" s="8">
        <v>127513.92815992053</v>
      </c>
      <c r="M51" s="8">
        <v>133156.94096915462</v>
      </c>
      <c r="N51" s="8">
        <v>121945.96030694597</v>
      </c>
      <c r="O51" s="8">
        <v>122602.11367553778</v>
      </c>
      <c r="P51" s="8">
        <v>123291.38641678118</v>
      </c>
      <c r="Q51" s="8">
        <v>111970.93901743327</v>
      </c>
      <c r="R51" s="8">
        <v>104486.05532785834</v>
      </c>
      <c r="S51" s="8">
        <v>97967.776583878833</v>
      </c>
      <c r="T51" s="8">
        <v>105515.95214805925</v>
      </c>
      <c r="U51" s="8">
        <v>98922.143561323071</v>
      </c>
      <c r="V51" s="8">
        <v>93447.542300605739</v>
      </c>
    </row>
    <row r="52" spans="1:22" x14ac:dyDescent="0.2">
      <c r="B52" s="6" t="s">
        <v>76</v>
      </c>
      <c r="C52" s="6" t="s">
        <v>76</v>
      </c>
      <c r="D52" s="7">
        <v>4012860</v>
      </c>
      <c r="E52" s="8">
        <v>104270.15019530093</v>
      </c>
      <c r="F52" s="8">
        <v>103992.26690912139</v>
      </c>
      <c r="G52" s="8">
        <v>109538.06678946562</v>
      </c>
      <c r="H52" s="8">
        <v>90570.732383147028</v>
      </c>
      <c r="I52" s="8">
        <v>99311.918310156107</v>
      </c>
      <c r="J52" s="8">
        <v>87130.912645731441</v>
      </c>
      <c r="K52" s="8">
        <v>83383.110163308709</v>
      </c>
      <c r="L52" s="8">
        <v>97692.068795744068</v>
      </c>
      <c r="M52" s="8">
        <v>99166.242988633443</v>
      </c>
      <c r="N52" s="8">
        <v>97479.787324670979</v>
      </c>
      <c r="O52" s="8">
        <v>115420.59681062493</v>
      </c>
      <c r="P52" s="8">
        <v>100828.30374014312</v>
      </c>
      <c r="Q52" s="8">
        <v>94798.933630248488</v>
      </c>
      <c r="R52" s="8">
        <v>84481.431154515682</v>
      </c>
      <c r="S52" s="8">
        <v>82981.582427744157</v>
      </c>
      <c r="T52" s="8">
        <v>80776.382544278138</v>
      </c>
      <c r="U52" s="8">
        <v>82717.253202818785</v>
      </c>
      <c r="V52" s="8">
        <v>79977.258213030465</v>
      </c>
    </row>
    <row r="53" spans="1:22" x14ac:dyDescent="0.2">
      <c r="B53" s="6" t="s">
        <v>77</v>
      </c>
      <c r="C53" s="6" t="s">
        <v>78</v>
      </c>
      <c r="D53" s="7">
        <v>4061925</v>
      </c>
      <c r="E53" s="8">
        <v>10711.238559609676</v>
      </c>
      <c r="F53" s="8">
        <v>10898.807693605224</v>
      </c>
      <c r="G53" s="8">
        <v>11292.127108436638</v>
      </c>
      <c r="H53" s="8">
        <v>10655.250668141378</v>
      </c>
      <c r="I53" s="8">
        <v>10589.077859371235</v>
      </c>
      <c r="J53" s="8">
        <v>11390.254155648781</v>
      </c>
      <c r="K53" s="8">
        <v>11740.690897909964</v>
      </c>
      <c r="L53" s="8">
        <v>11353.66473246768</v>
      </c>
      <c r="M53" s="8">
        <v>10831.09484777619</v>
      </c>
      <c r="N53" s="8">
        <v>10447.266129236748</v>
      </c>
      <c r="O53" s="8">
        <v>9938.018430254102</v>
      </c>
      <c r="P53" s="8">
        <v>9422.7625509835452</v>
      </c>
      <c r="Q53" s="8">
        <v>8796.7257060489574</v>
      </c>
      <c r="R53" s="8">
        <v>7999.9684990343085</v>
      </c>
      <c r="S53" s="8">
        <v>7693.4698670124135</v>
      </c>
      <c r="T53" s="8">
        <v>7096.9857396873394</v>
      </c>
      <c r="U53" s="8">
        <v>7269.170010609394</v>
      </c>
      <c r="V53" s="8">
        <v>7319.8004167187655</v>
      </c>
    </row>
    <row r="54" spans="1:22" x14ac:dyDescent="0.2">
      <c r="B54" s="6" t="s">
        <v>79</v>
      </c>
      <c r="C54" s="6" t="s">
        <v>79</v>
      </c>
      <c r="D54" s="7">
        <v>4057132</v>
      </c>
      <c r="E54" s="8" t="s">
        <v>123</v>
      </c>
      <c r="F54" s="8" t="s">
        <v>123</v>
      </c>
      <c r="G54" s="8" t="s">
        <v>123</v>
      </c>
      <c r="H54" s="8" t="s">
        <v>123</v>
      </c>
      <c r="I54" s="8">
        <v>71144.763000555089</v>
      </c>
      <c r="J54" s="8">
        <v>65976.66530398099</v>
      </c>
      <c r="K54" s="8">
        <v>68850.499082911017</v>
      </c>
      <c r="L54" s="8">
        <v>60017.438109170274</v>
      </c>
      <c r="M54" s="8">
        <v>60495.156941816</v>
      </c>
      <c r="N54" s="8">
        <v>56396.847842729141</v>
      </c>
      <c r="O54" s="8">
        <v>54433.130365542194</v>
      </c>
      <c r="P54" s="8">
        <v>54238.819748945301</v>
      </c>
      <c r="Q54" s="8">
        <v>58264.58490714903</v>
      </c>
      <c r="R54" s="8">
        <v>51960.964964347208</v>
      </c>
      <c r="S54" s="8">
        <v>54744.671384937938</v>
      </c>
      <c r="T54" s="8">
        <v>51975.50069878895</v>
      </c>
      <c r="U54" s="8">
        <v>50979.036768319755</v>
      </c>
      <c r="V54" s="8">
        <v>46347.76842041262</v>
      </c>
    </row>
    <row r="55" spans="1:22" x14ac:dyDescent="0.2">
      <c r="A55" s="1" t="s">
        <v>30</v>
      </c>
      <c r="B55" s="6" t="s">
        <v>80</v>
      </c>
      <c r="C55" s="6" t="s">
        <v>80</v>
      </c>
      <c r="D55" s="7">
        <v>4057115</v>
      </c>
      <c r="E55" s="8" t="s">
        <v>123</v>
      </c>
      <c r="F55" s="8">
        <v>25924.325302047197</v>
      </c>
      <c r="G55" s="8">
        <v>26059.417668921022</v>
      </c>
      <c r="H55" s="8">
        <v>24229.766907374495</v>
      </c>
      <c r="I55" s="8">
        <v>23103.689874645297</v>
      </c>
      <c r="J55" s="8">
        <v>24613.528866761815</v>
      </c>
      <c r="K55" s="8">
        <v>28385.401181735466</v>
      </c>
      <c r="L55" s="8">
        <v>31429.623033460663</v>
      </c>
      <c r="M55" s="8">
        <v>31918.103370102552</v>
      </c>
      <c r="N55" s="8">
        <v>29393.597852185238</v>
      </c>
      <c r="O55" s="8">
        <v>29264.872753870306</v>
      </c>
      <c r="P55" s="8">
        <v>27197.939740543981</v>
      </c>
      <c r="Q55" s="8">
        <v>21211.595403353735</v>
      </c>
      <c r="R55" s="8">
        <v>22538.464090471964</v>
      </c>
      <c r="S55" s="8">
        <v>23701.386202489004</v>
      </c>
      <c r="T55" s="8">
        <v>23675.149693439787</v>
      </c>
      <c r="U55" s="8">
        <v>23949.807142880833</v>
      </c>
      <c r="V55" s="8">
        <v>22615.866156406832</v>
      </c>
    </row>
    <row r="56" spans="1:22" x14ac:dyDescent="0.2">
      <c r="B56" s="6" t="s">
        <v>81</v>
      </c>
      <c r="C56" s="6" t="s">
        <v>81</v>
      </c>
      <c r="D56" s="7">
        <v>4064479</v>
      </c>
      <c r="E56" s="8">
        <v>4184.2268192442534</v>
      </c>
      <c r="F56" s="8">
        <v>3963.1206684449871</v>
      </c>
      <c r="G56" s="8">
        <v>4520.5013065575022</v>
      </c>
      <c r="H56" s="8">
        <v>4144.8035984800026</v>
      </c>
      <c r="I56" s="8">
        <v>4151.439022008125</v>
      </c>
      <c r="J56" s="8">
        <v>3942.0154963251489</v>
      </c>
      <c r="K56" s="8">
        <v>3738.6639001486878</v>
      </c>
      <c r="L56" s="8">
        <v>3626.8248511942397</v>
      </c>
      <c r="M56" s="8">
        <v>3524.5866938872041</v>
      </c>
      <c r="N56" s="8">
        <v>3619.709483348694</v>
      </c>
      <c r="O56" s="8">
        <v>3611.3240842695345</v>
      </c>
      <c r="P56" s="8">
        <v>3672.1813767703243</v>
      </c>
      <c r="Q56" s="8">
        <v>3820.86026940589</v>
      </c>
      <c r="R56" s="8">
        <v>3561.5959275738101</v>
      </c>
      <c r="S56" s="8">
        <v>3463.9709841071881</v>
      </c>
      <c r="T56" s="8">
        <v>3481.6100742839626</v>
      </c>
      <c r="U56" s="8">
        <v>3313.2561051588359</v>
      </c>
      <c r="V56" s="8">
        <v>3406.9736878753993</v>
      </c>
    </row>
    <row r="57" spans="1:22" x14ac:dyDescent="0.2">
      <c r="B57" s="6" t="s">
        <v>82</v>
      </c>
      <c r="C57" s="6" t="s">
        <v>82</v>
      </c>
      <c r="D57" s="7">
        <v>4062025</v>
      </c>
      <c r="E57" s="8" t="s">
        <v>123</v>
      </c>
      <c r="F57" s="8">
        <v>5592.1854349071309</v>
      </c>
      <c r="G57" s="8">
        <v>5704.7146404033083</v>
      </c>
      <c r="H57" s="8">
        <v>4343.7674673234806</v>
      </c>
      <c r="I57" s="8">
        <v>4519.5298435713612</v>
      </c>
      <c r="J57" s="8">
        <v>4598.7615805787173</v>
      </c>
      <c r="K57" s="8">
        <v>3736.5532299210658</v>
      </c>
      <c r="L57" s="8">
        <v>3780.7573787070373</v>
      </c>
      <c r="M57" s="8">
        <v>3775.6662071589076</v>
      </c>
      <c r="N57" s="8">
        <v>3843.9029003550436</v>
      </c>
      <c r="O57" s="8">
        <v>3639.5171251655329</v>
      </c>
      <c r="P57" s="8">
        <v>3265.2547179363623</v>
      </c>
      <c r="Q57" s="8">
        <v>3396.3617403029903</v>
      </c>
      <c r="R57" s="8">
        <v>3197.419583684883</v>
      </c>
      <c r="S57" s="8">
        <v>3148.8464225760358</v>
      </c>
      <c r="T57" s="8">
        <v>2985.3549663904105</v>
      </c>
      <c r="U57" s="8">
        <v>2972.5471248726881</v>
      </c>
      <c r="V57" s="8">
        <v>2931.0025888548548</v>
      </c>
    </row>
    <row r="58" spans="1:22" x14ac:dyDescent="0.2">
      <c r="B58" s="6" t="s">
        <v>83</v>
      </c>
      <c r="C58" s="6" t="s">
        <v>83</v>
      </c>
      <c r="D58" s="7">
        <v>4064481</v>
      </c>
      <c r="E58" s="8" t="s">
        <v>123</v>
      </c>
      <c r="F58" s="8" t="s">
        <v>123</v>
      </c>
      <c r="G58" s="8" t="s">
        <v>123</v>
      </c>
      <c r="H58" s="8">
        <v>86197.848190538571</v>
      </c>
      <c r="I58" s="8">
        <v>89446.625299566309</v>
      </c>
      <c r="J58" s="8">
        <v>91088.859989218705</v>
      </c>
      <c r="K58" s="8">
        <v>93908.665713540788</v>
      </c>
      <c r="L58" s="8">
        <v>92223.136007510388</v>
      </c>
      <c r="M58" s="8">
        <v>88974.586744708824</v>
      </c>
      <c r="N58" s="8">
        <v>82770.053260456843</v>
      </c>
      <c r="O58" s="8">
        <v>89138.435444482602</v>
      </c>
      <c r="P58" s="8">
        <v>84374.344619873315</v>
      </c>
      <c r="Q58" s="8">
        <v>84056.578002522525</v>
      </c>
      <c r="R58" s="8">
        <v>77136.998411840323</v>
      </c>
      <c r="S58" s="8">
        <v>79125.153787010029</v>
      </c>
      <c r="T58" s="8">
        <v>79066.000430426822</v>
      </c>
      <c r="U58" s="8">
        <v>73591.378736517159</v>
      </c>
      <c r="V58" s="8">
        <v>68990.582931063051</v>
      </c>
    </row>
    <row r="59" spans="1:22" x14ac:dyDescent="0.2">
      <c r="A59" s="1" t="s">
        <v>30</v>
      </c>
      <c r="B59" s="6" t="s">
        <v>84</v>
      </c>
      <c r="C59" s="6" t="s">
        <v>84</v>
      </c>
      <c r="D59" s="7">
        <v>4057093</v>
      </c>
      <c r="E59" s="8">
        <v>36289.335199840541</v>
      </c>
      <c r="F59" s="8">
        <v>38585.552603824442</v>
      </c>
      <c r="G59" s="8">
        <v>40968.334991401658</v>
      </c>
      <c r="H59" s="8">
        <v>40266.618376673767</v>
      </c>
      <c r="I59" s="8">
        <v>36866.979976522802</v>
      </c>
      <c r="J59" s="8">
        <v>29830.54051231057</v>
      </c>
      <c r="K59" s="8">
        <v>32451.099745113952</v>
      </c>
      <c r="L59" s="8">
        <v>33954.671076626488</v>
      </c>
      <c r="M59" s="8">
        <v>33997.974684585926</v>
      </c>
      <c r="N59" s="8">
        <v>34267.909817883403</v>
      </c>
      <c r="O59" s="8">
        <v>33839.840058673537</v>
      </c>
      <c r="P59" s="8">
        <v>31818.807517694335</v>
      </c>
      <c r="Q59" s="8">
        <v>29156.037687573487</v>
      </c>
      <c r="R59" s="8">
        <v>27433.670815731974</v>
      </c>
      <c r="S59" s="8">
        <v>27425.942564272918</v>
      </c>
      <c r="T59" s="8">
        <v>23875.073216607118</v>
      </c>
      <c r="U59" s="8">
        <v>23338.205921053581</v>
      </c>
      <c r="V59" s="8">
        <v>24334.765848066636</v>
      </c>
    </row>
    <row r="60" spans="1:22" x14ac:dyDescent="0.2">
      <c r="B60" s="6" t="s">
        <v>85</v>
      </c>
      <c r="C60" s="6" t="s">
        <v>85</v>
      </c>
      <c r="D60" s="7">
        <v>4004218</v>
      </c>
      <c r="E60" s="8">
        <v>671333.7726581461</v>
      </c>
      <c r="F60" s="8">
        <v>610484.16884795646</v>
      </c>
      <c r="G60" s="8">
        <v>611799.52480874443</v>
      </c>
      <c r="H60" s="8">
        <v>500431.56808269583</v>
      </c>
      <c r="I60" s="8">
        <v>479228.23814969225</v>
      </c>
      <c r="J60" s="8">
        <v>485455.59483220225</v>
      </c>
      <c r="K60" s="8">
        <v>426910.24440603418</v>
      </c>
      <c r="L60" s="8">
        <v>380602.66054951696</v>
      </c>
      <c r="M60" s="8">
        <v>434519.27922986925</v>
      </c>
      <c r="N60" s="8">
        <v>391801.52524861792</v>
      </c>
      <c r="O60" s="8">
        <v>355059.6717027853</v>
      </c>
      <c r="P60" s="8">
        <v>359728.44665335119</v>
      </c>
      <c r="Q60" s="8">
        <v>344803.94378863496</v>
      </c>
      <c r="R60" s="8">
        <v>288659.64442257083</v>
      </c>
      <c r="S60" s="8">
        <v>284535.1617717382</v>
      </c>
      <c r="T60" s="8">
        <v>283422.53288974916</v>
      </c>
      <c r="U60" s="8">
        <v>312385.47352218168</v>
      </c>
      <c r="V60" s="8">
        <v>250096.56945572305</v>
      </c>
    </row>
    <row r="61" spans="1:22" x14ac:dyDescent="0.2">
      <c r="A61" s="1" t="s">
        <v>30</v>
      </c>
      <c r="B61" s="6" t="s">
        <v>86</v>
      </c>
      <c r="C61" s="6" t="s">
        <v>87</v>
      </c>
      <c r="D61" s="7">
        <v>4062222</v>
      </c>
      <c r="E61" s="8" t="s">
        <v>123</v>
      </c>
      <c r="F61" s="8">
        <v>70225.367563514854</v>
      </c>
      <c r="G61" s="8">
        <v>68221.970904773363</v>
      </c>
      <c r="H61" s="8">
        <v>69528.185894044116</v>
      </c>
      <c r="I61" s="8">
        <v>68313.410632568382</v>
      </c>
      <c r="J61" s="8">
        <v>66057.923922015325</v>
      </c>
      <c r="K61" s="8">
        <v>63905.241597151638</v>
      </c>
      <c r="L61" s="8">
        <v>62338.867074138456</v>
      </c>
      <c r="M61" s="8">
        <v>58011.878403672687</v>
      </c>
      <c r="N61" s="8">
        <v>57190.353435831239</v>
      </c>
      <c r="O61" s="8">
        <v>56468.077616536582</v>
      </c>
      <c r="P61" s="8">
        <v>56840.334622512506</v>
      </c>
      <c r="Q61" s="8">
        <v>55119.427865274192</v>
      </c>
      <c r="R61" s="8">
        <v>54123.703599598295</v>
      </c>
      <c r="S61" s="8">
        <v>54232.047694189183</v>
      </c>
      <c r="T61" s="8">
        <v>51583.934026167575</v>
      </c>
      <c r="U61" s="8">
        <v>50206.919366792761</v>
      </c>
      <c r="V61" s="8">
        <v>48457.965331789514</v>
      </c>
    </row>
    <row r="62" spans="1:22" x14ac:dyDescent="0.2">
      <c r="B62" s="6" t="s">
        <v>88</v>
      </c>
      <c r="C62" s="6" t="s">
        <v>89</v>
      </c>
      <c r="D62" s="7">
        <v>4057135</v>
      </c>
      <c r="E62" s="8">
        <v>180126.50508924772</v>
      </c>
      <c r="F62" s="8">
        <v>156859.13791459746</v>
      </c>
      <c r="G62" s="8">
        <v>186579.80824094889</v>
      </c>
      <c r="H62" s="8">
        <v>198914.53896392783</v>
      </c>
      <c r="I62" s="8">
        <v>180773.47181010456</v>
      </c>
      <c r="J62" s="8">
        <v>222879.02832919447</v>
      </c>
      <c r="K62" s="8">
        <v>192949.3817326139</v>
      </c>
      <c r="L62" s="8">
        <v>233044.56576962146</v>
      </c>
      <c r="M62" s="8">
        <v>201260.3198233156</v>
      </c>
      <c r="N62" s="8">
        <v>161999.05907341951</v>
      </c>
      <c r="O62" s="8">
        <v>149668.86619014226</v>
      </c>
      <c r="P62" s="8">
        <v>158387.71909842751</v>
      </c>
      <c r="Q62" s="8">
        <v>154002.5109889805</v>
      </c>
      <c r="R62" s="8">
        <v>154835.79158815838</v>
      </c>
      <c r="S62" s="8">
        <v>160877.00964816008</v>
      </c>
      <c r="T62" s="8">
        <v>134772.78556391038</v>
      </c>
      <c r="U62" s="8">
        <v>148910.06034781874</v>
      </c>
      <c r="V62" s="8">
        <v>119377.83265110318</v>
      </c>
    </row>
    <row r="63" spans="1:22" x14ac:dyDescent="0.2">
      <c r="B63" s="6" t="s">
        <v>90</v>
      </c>
      <c r="C63" s="6" t="s">
        <v>90</v>
      </c>
      <c r="D63" s="7">
        <v>4063341</v>
      </c>
      <c r="E63" s="8">
        <v>64831.294354839498</v>
      </c>
      <c r="F63" s="8">
        <v>61469.23856946615</v>
      </c>
      <c r="G63" s="8">
        <v>61143.96381646736</v>
      </c>
      <c r="H63" s="8">
        <v>56599.164911879714</v>
      </c>
      <c r="I63" s="8">
        <v>50786.518046683625</v>
      </c>
      <c r="J63" s="8">
        <v>51563.799338180586</v>
      </c>
      <c r="K63" s="8">
        <v>47773.466044723769</v>
      </c>
      <c r="L63" s="8">
        <v>45957.730536571216</v>
      </c>
      <c r="M63" s="8">
        <v>45616.211312616491</v>
      </c>
      <c r="N63" s="8">
        <v>41991.824974115007</v>
      </c>
      <c r="O63" s="8">
        <v>43833.70975462471</v>
      </c>
      <c r="P63" s="8">
        <v>43905.909392379697</v>
      </c>
      <c r="Q63" s="8">
        <v>42008.983152988163</v>
      </c>
      <c r="R63" s="8">
        <v>36526.367220965563</v>
      </c>
      <c r="S63" s="8">
        <v>37238.277135051918</v>
      </c>
      <c r="T63" s="8">
        <v>37033.955890354613</v>
      </c>
      <c r="U63" s="8">
        <v>35431.35222137026</v>
      </c>
      <c r="V63" s="8">
        <v>34076.381430163136</v>
      </c>
    </row>
    <row r="64" spans="1:22" x14ac:dyDescent="0.2">
      <c r="A64" s="1" t="s">
        <v>30</v>
      </c>
      <c r="B64" s="6" t="s">
        <v>91</v>
      </c>
      <c r="C64" s="6" t="s">
        <v>91</v>
      </c>
      <c r="D64" s="7">
        <v>4083575</v>
      </c>
      <c r="E64" s="8" t="s">
        <v>123</v>
      </c>
      <c r="F64" s="8">
        <v>111885.38483052354</v>
      </c>
      <c r="G64" s="8">
        <v>126160.42336261325</v>
      </c>
      <c r="H64" s="8">
        <v>134968.86812109564</v>
      </c>
      <c r="I64" s="8">
        <v>133993.59351414672</v>
      </c>
      <c r="J64" s="8">
        <v>145114.11626443508</v>
      </c>
      <c r="K64" s="8">
        <v>134030.73439851182</v>
      </c>
      <c r="L64" s="8">
        <v>117421.19354271283</v>
      </c>
      <c r="M64" s="8">
        <v>107133.65095782849</v>
      </c>
      <c r="N64" s="8">
        <v>113477.2505570043</v>
      </c>
      <c r="O64" s="8">
        <v>106608.32836786049</v>
      </c>
      <c r="P64" s="8">
        <v>111377.5351851459</v>
      </c>
      <c r="Q64" s="8">
        <v>102934.89652286377</v>
      </c>
      <c r="R64" s="8">
        <v>99569.357878318464</v>
      </c>
      <c r="S64" s="8">
        <v>98881.184166723484</v>
      </c>
      <c r="T64" s="8">
        <v>83589.062409899547</v>
      </c>
      <c r="U64" s="8">
        <v>82242.483200019517</v>
      </c>
      <c r="V64" s="8">
        <v>84923.585807141644</v>
      </c>
    </row>
    <row r="65" spans="1:22" x14ac:dyDescent="0.2">
      <c r="B65" s="6" t="s">
        <v>92</v>
      </c>
      <c r="C65" s="6" t="s">
        <v>92</v>
      </c>
      <c r="D65" s="7">
        <v>4062303</v>
      </c>
      <c r="E65" s="8" t="s">
        <v>123</v>
      </c>
      <c r="F65" s="8">
        <v>236.18691783464845</v>
      </c>
      <c r="G65" s="8">
        <v>191.90180206490575</v>
      </c>
      <c r="H65" s="8">
        <v>181.85580296621407</v>
      </c>
      <c r="I65" s="8">
        <v>182.74480838589966</v>
      </c>
      <c r="J65" s="8" t="s">
        <v>123</v>
      </c>
      <c r="K65" s="8">
        <v>312.9217148107561</v>
      </c>
      <c r="L65" s="8">
        <v>415.84870607176094</v>
      </c>
      <c r="M65" s="8">
        <v>288.07726864430663</v>
      </c>
      <c r="N65" s="8">
        <v>214.13546457749283</v>
      </c>
      <c r="O65" s="8">
        <v>188.69948397850888</v>
      </c>
      <c r="P65" s="8">
        <v>145.5174704034896</v>
      </c>
      <c r="Q65" s="8">
        <v>124.81376526478174</v>
      </c>
      <c r="R65" s="8">
        <v>203.48784479187165</v>
      </c>
      <c r="S65" s="8">
        <v>217.09313674016539</v>
      </c>
      <c r="T65" s="8">
        <v>175.09419203021514</v>
      </c>
      <c r="U65" s="8">
        <v>159.71429678431787</v>
      </c>
      <c r="V65" s="8">
        <v>130.72910959012682</v>
      </c>
    </row>
    <row r="66" spans="1:22" x14ac:dyDescent="0.2">
      <c r="B66" s="6" t="s">
        <v>93</v>
      </c>
      <c r="C66" s="6" t="s">
        <v>93</v>
      </c>
      <c r="D66" s="7">
        <v>4083581</v>
      </c>
      <c r="E66" s="8" t="s">
        <v>123</v>
      </c>
      <c r="F66" s="8">
        <v>1371.7191852662231</v>
      </c>
      <c r="G66" s="8">
        <v>1380.792996023504</v>
      </c>
      <c r="H66" s="8">
        <v>1369.8420524938083</v>
      </c>
      <c r="I66" s="8">
        <v>1304.894880149137</v>
      </c>
      <c r="J66" s="8">
        <v>1272.3023599903595</v>
      </c>
      <c r="K66" s="8">
        <v>1334.2551583042577</v>
      </c>
      <c r="L66" s="8">
        <v>994.56607513920073</v>
      </c>
      <c r="M66" s="8">
        <v>1045.6889199901325</v>
      </c>
      <c r="N66" s="8">
        <v>686.30102612441181</v>
      </c>
      <c r="O66" s="8">
        <v>990.44001915130082</v>
      </c>
      <c r="P66" s="8">
        <v>950.45568891780783</v>
      </c>
      <c r="Q66" s="8">
        <v>950.63332012778119</v>
      </c>
      <c r="R66" s="8">
        <v>939.56923970107994</v>
      </c>
      <c r="S66" s="8">
        <v>934.85040585963202</v>
      </c>
      <c r="T66" s="8">
        <v>1043.7488436944982</v>
      </c>
      <c r="U66" s="8">
        <v>1037.2043288074919</v>
      </c>
      <c r="V66" s="8">
        <v>1039.5109675677741</v>
      </c>
    </row>
    <row r="67" spans="1:22" x14ac:dyDescent="0.2">
      <c r="B67" s="6" t="s">
        <v>94</v>
      </c>
      <c r="C67" s="6" t="s">
        <v>94</v>
      </c>
      <c r="D67" s="7">
        <v>4057139</v>
      </c>
      <c r="E67" s="8">
        <v>52682.231648557477</v>
      </c>
      <c r="F67" s="8">
        <v>47166.889275177207</v>
      </c>
      <c r="G67" s="8">
        <v>46018.672507611722</v>
      </c>
      <c r="H67" s="8">
        <v>44569.217480491643</v>
      </c>
      <c r="I67" s="8">
        <v>43016.153504655216</v>
      </c>
      <c r="J67" s="8">
        <v>46979.33311379762</v>
      </c>
      <c r="K67" s="8">
        <v>44874.014935923202</v>
      </c>
      <c r="L67" s="8">
        <v>42658.212858856903</v>
      </c>
      <c r="M67" s="8">
        <v>42373.210047341054</v>
      </c>
      <c r="N67" s="8">
        <v>41985.130393318628</v>
      </c>
      <c r="O67" s="8">
        <v>39962.576680632686</v>
      </c>
      <c r="P67" s="8">
        <v>40849.962136395523</v>
      </c>
      <c r="Q67" s="8">
        <v>40471.53517799094</v>
      </c>
      <c r="R67" s="8">
        <v>43066.822809345816</v>
      </c>
      <c r="S67" s="8">
        <v>40974.963094546489</v>
      </c>
      <c r="T67" s="8">
        <v>38956.66360608855</v>
      </c>
      <c r="U67" s="8">
        <v>39241.9852025367</v>
      </c>
      <c r="V67" s="8">
        <v>38631.331144505391</v>
      </c>
    </row>
    <row r="68" spans="1:22" x14ac:dyDescent="0.2">
      <c r="A68" s="1" t="s">
        <v>30</v>
      </c>
      <c r="B68" s="6" t="s">
        <v>95</v>
      </c>
      <c r="C68" s="6" t="s">
        <v>95</v>
      </c>
      <c r="D68" s="7">
        <v>4057095</v>
      </c>
      <c r="E68" s="8">
        <v>110983.78094173687</v>
      </c>
      <c r="F68" s="8" t="s">
        <v>123</v>
      </c>
      <c r="G68" s="8">
        <v>145225.49222909816</v>
      </c>
      <c r="H68" s="8">
        <v>163214.73502973781</v>
      </c>
      <c r="I68" s="8">
        <v>159847.84510199286</v>
      </c>
      <c r="J68" s="8">
        <v>160125.81776765024</v>
      </c>
      <c r="K68" s="8">
        <v>155221.53788083006</v>
      </c>
      <c r="L68" s="8">
        <v>152585.27481029072</v>
      </c>
      <c r="M68" s="8">
        <v>178403.55944872284</v>
      </c>
      <c r="N68" s="8">
        <v>174375.28321338704</v>
      </c>
      <c r="O68" s="8">
        <v>162229.08288050757</v>
      </c>
      <c r="P68" s="8">
        <v>166220.43561650591</v>
      </c>
      <c r="Q68" s="8">
        <v>167797.77592448425</v>
      </c>
      <c r="R68" s="8">
        <v>148469.56317380181</v>
      </c>
      <c r="S68" s="8">
        <v>155780.63864305965</v>
      </c>
      <c r="T68" s="8">
        <v>154647.18638147769</v>
      </c>
      <c r="U68" s="8">
        <v>171494.0286383662</v>
      </c>
      <c r="V68" s="8">
        <v>167384.62027710277</v>
      </c>
    </row>
    <row r="69" spans="1:22" x14ac:dyDescent="0.2">
      <c r="B69" s="6" t="s">
        <v>96</v>
      </c>
      <c r="C69" s="6" t="s">
        <v>96</v>
      </c>
      <c r="D69" s="7">
        <v>4062485</v>
      </c>
      <c r="E69" s="8">
        <v>79674.442452433854</v>
      </c>
      <c r="F69" s="8">
        <v>80251.78372497081</v>
      </c>
      <c r="G69" s="8">
        <v>79889.834978465602</v>
      </c>
      <c r="H69" s="8">
        <v>81332.48437983742</v>
      </c>
      <c r="I69" s="8">
        <v>82597.207446097178</v>
      </c>
      <c r="J69" s="8">
        <v>75477.712152133361</v>
      </c>
      <c r="K69" s="8">
        <v>69017.69789680987</v>
      </c>
      <c r="L69" s="8">
        <v>72470.05352037352</v>
      </c>
      <c r="M69" s="8">
        <v>71683.975974533649</v>
      </c>
      <c r="N69" s="8">
        <v>71620.362662287487</v>
      </c>
      <c r="O69" s="8">
        <v>71729.350096586757</v>
      </c>
      <c r="P69" s="8">
        <v>69938.112935007332</v>
      </c>
      <c r="Q69" s="8">
        <v>73016.963373358914</v>
      </c>
      <c r="R69" s="8">
        <v>68905.28758454835</v>
      </c>
      <c r="S69" s="8">
        <v>60799.791315706367</v>
      </c>
      <c r="T69" s="8">
        <v>55966.583352225054</v>
      </c>
      <c r="U69" s="8">
        <v>53311.126989715376</v>
      </c>
      <c r="V69" s="8">
        <v>42411.294400698338</v>
      </c>
    </row>
    <row r="70" spans="1:22" x14ac:dyDescent="0.2">
      <c r="B70" s="6" t="s">
        <v>97</v>
      </c>
      <c r="C70" s="6" t="s">
        <v>97</v>
      </c>
      <c r="D70" s="7">
        <v>4057140</v>
      </c>
      <c r="E70" s="8">
        <v>65292.075702012131</v>
      </c>
      <c r="F70" s="8">
        <v>61628.05804550735</v>
      </c>
      <c r="G70" s="8">
        <v>72364.726682430453</v>
      </c>
      <c r="H70" s="8">
        <v>64437.463566592574</v>
      </c>
      <c r="I70" s="8">
        <v>63944.814162722927</v>
      </c>
      <c r="J70" s="8">
        <v>72181.394377703473</v>
      </c>
      <c r="K70" s="8">
        <v>75083.625133793845</v>
      </c>
      <c r="L70" s="8">
        <v>74785.639676130988</v>
      </c>
      <c r="M70" s="8">
        <v>74301.791793935161</v>
      </c>
      <c r="N70" s="8">
        <v>73403.947811992984</v>
      </c>
      <c r="O70" s="8">
        <v>69087.059124198364</v>
      </c>
      <c r="P70" s="8">
        <v>67664.757935757138</v>
      </c>
      <c r="Q70" s="8">
        <v>64812.076432571041</v>
      </c>
      <c r="R70" s="8">
        <v>62344.864305080519</v>
      </c>
      <c r="S70" s="8">
        <v>64680.423388267329</v>
      </c>
      <c r="T70" s="8">
        <v>61455.64392686668</v>
      </c>
      <c r="U70" s="8">
        <v>57230.950552929724</v>
      </c>
      <c r="V70" s="8">
        <v>55891.589818412984</v>
      </c>
    </row>
    <row r="71" spans="1:22" x14ac:dyDescent="0.2">
      <c r="A71" s="1" t="s">
        <v>30</v>
      </c>
      <c r="B71" s="6" t="s">
        <v>98</v>
      </c>
      <c r="C71" s="6" t="s">
        <v>99</v>
      </c>
      <c r="D71" s="7">
        <v>4057096</v>
      </c>
      <c r="E71" s="8">
        <v>43468.011730035418</v>
      </c>
      <c r="F71" s="8">
        <v>44306.734892454013</v>
      </c>
      <c r="G71" s="8">
        <v>42225.348459538058</v>
      </c>
      <c r="H71" s="8">
        <v>45772.459378085776</v>
      </c>
      <c r="I71" s="8">
        <v>42268.698659514273</v>
      </c>
      <c r="J71" s="8">
        <v>42507.083827022565</v>
      </c>
      <c r="K71" s="8">
        <v>42824.326985430154</v>
      </c>
      <c r="L71" s="8">
        <v>38990.423446289933</v>
      </c>
      <c r="M71" s="8">
        <v>38363.819025728269</v>
      </c>
      <c r="N71" s="8">
        <v>37048.665000454617</v>
      </c>
      <c r="O71" s="8">
        <v>36938.224982256972</v>
      </c>
      <c r="P71" s="8">
        <v>33058.121942342317</v>
      </c>
      <c r="Q71" s="8">
        <v>32529.310886642623</v>
      </c>
      <c r="R71" s="8">
        <v>26300.793249333601</v>
      </c>
      <c r="S71" s="8">
        <v>28029.716123979721</v>
      </c>
      <c r="T71" s="8">
        <v>27260.070854255599</v>
      </c>
      <c r="U71" s="8">
        <v>31679.14664436565</v>
      </c>
      <c r="V71" s="8">
        <v>31012.032456756358</v>
      </c>
    </row>
    <row r="72" spans="1:22" x14ac:dyDescent="0.2">
      <c r="B72" s="6" t="s">
        <v>100</v>
      </c>
      <c r="C72" s="6" t="s">
        <v>100</v>
      </c>
      <c r="D72" s="7">
        <v>4057097</v>
      </c>
      <c r="E72" s="8" t="s">
        <v>123</v>
      </c>
      <c r="F72" s="8" t="s">
        <v>123</v>
      </c>
      <c r="G72" s="8" t="s">
        <v>123</v>
      </c>
      <c r="H72" s="8">
        <v>85250.527468499116</v>
      </c>
      <c r="I72" s="8">
        <v>82935.984165600064</v>
      </c>
      <c r="J72" s="8">
        <v>74248.610505718942</v>
      </c>
      <c r="K72" s="8">
        <v>73512.918826181733</v>
      </c>
      <c r="L72" s="8">
        <v>72603.060049435284</v>
      </c>
      <c r="M72" s="8">
        <v>79381.935505381698</v>
      </c>
      <c r="N72" s="8">
        <v>82100.146283143273</v>
      </c>
      <c r="O72" s="8">
        <v>78902.137949563883</v>
      </c>
      <c r="P72" s="8">
        <v>71645.262965827482</v>
      </c>
      <c r="Q72" s="8">
        <v>82879.679971854843</v>
      </c>
      <c r="R72" s="8">
        <v>64735.330657169594</v>
      </c>
      <c r="S72" s="8">
        <v>72108.169569064572</v>
      </c>
      <c r="T72" s="8">
        <v>65799.718429826549</v>
      </c>
      <c r="U72" s="8">
        <v>55309.13107234006</v>
      </c>
      <c r="V72" s="8">
        <v>52639.008342033318</v>
      </c>
    </row>
    <row r="73" spans="1:22" x14ac:dyDescent="0.2">
      <c r="B73" s="6" t="s">
        <v>101</v>
      </c>
      <c r="C73" s="6" t="s">
        <v>101</v>
      </c>
      <c r="D73" s="7">
        <v>4057098</v>
      </c>
      <c r="E73" s="8" t="s">
        <v>123</v>
      </c>
      <c r="F73" s="8" t="s">
        <v>123</v>
      </c>
      <c r="G73" s="8">
        <v>10083.883099179026</v>
      </c>
      <c r="H73" s="8">
        <v>9743.8471047917101</v>
      </c>
      <c r="I73" s="8">
        <v>9618.5842310258486</v>
      </c>
      <c r="J73" s="8">
        <v>9743.6823735211037</v>
      </c>
      <c r="K73" s="8">
        <v>9894.7880293663111</v>
      </c>
      <c r="L73" s="8">
        <v>10328.722878427368</v>
      </c>
      <c r="M73" s="8">
        <v>11124.908580882067</v>
      </c>
      <c r="N73" s="8">
        <v>11564.250406667765</v>
      </c>
      <c r="O73" s="8">
        <v>12055.091903052107</v>
      </c>
      <c r="P73" s="8">
        <v>11875.804836212132</v>
      </c>
      <c r="Q73" s="8">
        <v>11714.461461316592</v>
      </c>
      <c r="R73" s="8">
        <v>10590.835540799595</v>
      </c>
      <c r="S73" s="8">
        <v>11199.251817913202</v>
      </c>
      <c r="T73" s="8">
        <v>10199.383854314277</v>
      </c>
      <c r="U73" s="8">
        <v>9804.3797525561968</v>
      </c>
      <c r="V73" s="8">
        <v>9515.4672599124024</v>
      </c>
    </row>
    <row r="74" spans="1:22" x14ac:dyDescent="0.2">
      <c r="A74" s="1" t="s">
        <v>30</v>
      </c>
      <c r="B74" s="6" t="s">
        <v>102</v>
      </c>
      <c r="C74" s="6" t="s">
        <v>102</v>
      </c>
      <c r="D74" s="7">
        <v>4063023</v>
      </c>
      <c r="E74" s="8">
        <v>48737.562924303907</v>
      </c>
      <c r="F74" s="8" t="s">
        <v>123</v>
      </c>
      <c r="G74" s="8">
        <v>47081.441656792522</v>
      </c>
      <c r="H74" s="8">
        <v>49252.491442956496</v>
      </c>
      <c r="I74" s="8">
        <v>45541.066617571647</v>
      </c>
      <c r="J74" s="8">
        <v>42519.461243417507</v>
      </c>
      <c r="K74" s="8">
        <v>38451.276383794946</v>
      </c>
      <c r="L74" s="8">
        <v>36318.805525201256</v>
      </c>
      <c r="M74" s="8">
        <v>34929.846777088213</v>
      </c>
      <c r="N74" s="8">
        <v>34393.316705015095</v>
      </c>
      <c r="O74" s="8">
        <v>31939.5294128594</v>
      </c>
      <c r="P74" s="8">
        <v>29986.962431850134</v>
      </c>
      <c r="Q74" s="8">
        <v>27918.370069061995</v>
      </c>
      <c r="R74" s="8">
        <v>25103.895996605275</v>
      </c>
      <c r="S74" s="8">
        <v>24388.218028744188</v>
      </c>
      <c r="T74" s="8">
        <v>22763.655796276893</v>
      </c>
      <c r="U74" s="8">
        <v>24494.201093395572</v>
      </c>
      <c r="V74" s="8">
        <v>23741.629639243645</v>
      </c>
    </row>
    <row r="75" spans="1:22" x14ac:dyDescent="0.2">
      <c r="B75" s="6" t="s">
        <v>103</v>
      </c>
      <c r="C75" s="6" t="s">
        <v>103</v>
      </c>
      <c r="D75" s="7">
        <v>4057146</v>
      </c>
      <c r="E75" s="8">
        <v>1187608.8449838976</v>
      </c>
      <c r="F75" s="8" t="s">
        <v>123</v>
      </c>
      <c r="G75" s="8">
        <v>565450.59212139202</v>
      </c>
      <c r="H75" s="8">
        <v>528619.23304814287</v>
      </c>
      <c r="I75" s="8">
        <v>511842.04366063885</v>
      </c>
      <c r="J75" s="8">
        <v>482734.01725625683</v>
      </c>
      <c r="K75" s="8">
        <v>477145.22637261578</v>
      </c>
      <c r="L75" s="8">
        <v>470880.72386062267</v>
      </c>
      <c r="M75" s="8">
        <v>496518.9913323361</v>
      </c>
      <c r="N75" s="8">
        <v>481447.81832543825</v>
      </c>
      <c r="O75" s="8">
        <v>493150.67593563092</v>
      </c>
      <c r="P75" s="8">
        <v>463093.22078944131</v>
      </c>
      <c r="Q75" s="8">
        <v>491813.29705353925</v>
      </c>
      <c r="R75" s="8">
        <v>410766.42864030035</v>
      </c>
      <c r="S75" s="8">
        <v>441709.1202522798</v>
      </c>
      <c r="T75" s="8">
        <v>421980.38514584652</v>
      </c>
      <c r="U75" s="8">
        <v>405657.44034056639</v>
      </c>
      <c r="V75" s="8">
        <v>395284.97925539478</v>
      </c>
    </row>
    <row r="76" spans="1:22" x14ac:dyDescent="0.2">
      <c r="A76" s="1" t="s">
        <v>30</v>
      </c>
      <c r="B76" s="6" t="s">
        <v>104</v>
      </c>
      <c r="C76" s="6" t="s">
        <v>105</v>
      </c>
      <c r="D76" s="7">
        <v>4063060</v>
      </c>
      <c r="E76" s="8">
        <v>32915.057762311815</v>
      </c>
      <c r="F76" s="8" t="s">
        <v>123</v>
      </c>
      <c r="G76" s="8">
        <v>31866.648397395031</v>
      </c>
      <c r="H76" s="8">
        <v>35806.309025323688</v>
      </c>
      <c r="I76" s="8">
        <v>38336.589151553228</v>
      </c>
      <c r="J76" s="8">
        <v>32831.841498284688</v>
      </c>
      <c r="K76" s="8">
        <v>35231.446053827021</v>
      </c>
      <c r="L76" s="8">
        <v>35454.181150956916</v>
      </c>
      <c r="M76" s="8">
        <v>32373.922425257879</v>
      </c>
      <c r="N76" s="8">
        <v>32428.370889400398</v>
      </c>
      <c r="O76" s="8">
        <v>29873.394091497375</v>
      </c>
      <c r="P76" s="8">
        <v>28060.238249477898</v>
      </c>
      <c r="Q76" s="8">
        <v>31838.399982887706</v>
      </c>
      <c r="R76" s="8">
        <v>27139.827047444385</v>
      </c>
      <c r="S76" s="8">
        <v>26677.622144295365</v>
      </c>
      <c r="T76" s="8">
        <v>25101.290294225266</v>
      </c>
      <c r="U76" s="8">
        <v>24570.179631361247</v>
      </c>
      <c r="V76" s="8">
        <v>23660.413270296627</v>
      </c>
    </row>
    <row r="77" spans="1:22" x14ac:dyDescent="0.2">
      <c r="B77" s="6" t="s">
        <v>106</v>
      </c>
      <c r="C77" s="6" t="s">
        <v>106</v>
      </c>
      <c r="D77" s="7">
        <v>4057100</v>
      </c>
      <c r="E77" s="8">
        <v>14283.271508519287</v>
      </c>
      <c r="F77" s="8">
        <v>16838.975650559987</v>
      </c>
      <c r="G77" s="8">
        <v>20260.578932703444</v>
      </c>
      <c r="H77" s="8">
        <v>15276.180751223352</v>
      </c>
      <c r="I77" s="8">
        <v>14433.516906230188</v>
      </c>
      <c r="J77" s="8">
        <v>12662.870890113121</v>
      </c>
      <c r="K77" s="8">
        <v>12553.72558928077</v>
      </c>
      <c r="L77" s="8">
        <v>13147.731378242855</v>
      </c>
      <c r="M77" s="8">
        <v>14091.15064299294</v>
      </c>
      <c r="N77" s="8">
        <v>11456.081186259413</v>
      </c>
      <c r="O77" s="8">
        <v>12429.637226454826</v>
      </c>
      <c r="P77" s="8">
        <v>12889.934677965635</v>
      </c>
      <c r="Q77" s="8">
        <v>10988.911967961423</v>
      </c>
      <c r="R77" s="8">
        <v>10208.1557970137</v>
      </c>
      <c r="S77" s="8">
        <v>9712.2785793167386</v>
      </c>
      <c r="T77" s="8">
        <v>8637.739567334258</v>
      </c>
      <c r="U77" s="8">
        <v>9449.62673711356</v>
      </c>
      <c r="V77" s="8">
        <v>8517.1716101312286</v>
      </c>
    </row>
    <row r="78" spans="1:22" x14ac:dyDescent="0.2">
      <c r="B78" s="6" t="s">
        <v>107</v>
      </c>
      <c r="C78" s="6" t="s">
        <v>107</v>
      </c>
      <c r="D78" s="7">
        <v>4064035</v>
      </c>
      <c r="E78" s="8" t="s">
        <v>123</v>
      </c>
      <c r="F78" s="8" t="s">
        <v>123</v>
      </c>
      <c r="G78" s="8">
        <v>3261.300941874279</v>
      </c>
      <c r="H78" s="8">
        <v>3274.9113514906294</v>
      </c>
      <c r="I78" s="8">
        <v>3049.2247368343951</v>
      </c>
      <c r="J78" s="8">
        <v>2982.9234569912151</v>
      </c>
      <c r="K78" s="8">
        <v>3027.965718484078</v>
      </c>
      <c r="L78" s="8">
        <v>3007.5897210414209</v>
      </c>
      <c r="M78" s="8">
        <v>2665.5255484751433</v>
      </c>
      <c r="N78" s="8">
        <v>2418.7862491199603</v>
      </c>
      <c r="O78" s="8">
        <v>2433.4811717847688</v>
      </c>
      <c r="P78" s="8">
        <v>2384.5421451033294</v>
      </c>
      <c r="Q78" s="8">
        <v>2283.8803214932145</v>
      </c>
      <c r="R78" s="8">
        <v>2153.6156214523962</v>
      </c>
      <c r="S78" s="8">
        <v>2042.2731091129131</v>
      </c>
      <c r="T78" s="8">
        <v>2032.7823081697932</v>
      </c>
      <c r="U78" s="8">
        <v>2024.3343188290562</v>
      </c>
      <c r="V78" s="8">
        <v>1864.903168765424</v>
      </c>
    </row>
    <row r="79" spans="1:22" x14ac:dyDescent="0.2">
      <c r="B79" s="6" t="s">
        <v>108</v>
      </c>
      <c r="C79" s="6" t="s">
        <v>108</v>
      </c>
      <c r="D79" s="7">
        <v>4060957</v>
      </c>
      <c r="E79" s="8" t="s">
        <v>123</v>
      </c>
      <c r="F79" s="8">
        <v>84607.848485775117</v>
      </c>
      <c r="G79" s="8">
        <v>88392.135356073792</v>
      </c>
      <c r="H79" s="8">
        <v>101553.39130498515</v>
      </c>
      <c r="I79" s="8">
        <v>80500.998889567127</v>
      </c>
      <c r="J79" s="8">
        <v>81268.902811678534</v>
      </c>
      <c r="K79" s="8">
        <v>80390.433621330507</v>
      </c>
      <c r="L79" s="8">
        <v>88677.714106614818</v>
      </c>
      <c r="M79" s="8">
        <v>95886.360051494092</v>
      </c>
      <c r="N79" s="8">
        <v>89364.94592911785</v>
      </c>
      <c r="O79" s="8">
        <v>92041.461603015079</v>
      </c>
      <c r="P79" s="8">
        <v>89829.446107778029</v>
      </c>
      <c r="Q79" s="8">
        <v>90537.456855764613</v>
      </c>
      <c r="R79" s="8">
        <v>87485.491559237533</v>
      </c>
      <c r="S79" s="8">
        <v>82837.758779851487</v>
      </c>
      <c r="T79" s="8">
        <v>78748.407544051239</v>
      </c>
      <c r="U79" s="8">
        <v>74252.881138759811</v>
      </c>
      <c r="V79" s="8">
        <v>71494.101034310588</v>
      </c>
    </row>
    <row r="80" spans="1:22" x14ac:dyDescent="0.2">
      <c r="B80" s="6" t="s">
        <v>109</v>
      </c>
      <c r="C80" s="6" t="s">
        <v>109</v>
      </c>
      <c r="D80" s="7">
        <v>4063179</v>
      </c>
      <c r="E80" s="8">
        <v>624.42111945552688</v>
      </c>
      <c r="F80" s="8">
        <v>586.01375573062955</v>
      </c>
      <c r="G80" s="8">
        <v>618.75509735873709</v>
      </c>
      <c r="H80" s="8">
        <v>672.32508784287893</v>
      </c>
      <c r="I80" s="8">
        <v>493.70807444187153</v>
      </c>
      <c r="J80" s="8">
        <v>510.55667137270223</v>
      </c>
      <c r="K80" s="8">
        <v>542.18320079128785</v>
      </c>
      <c r="L80" s="8">
        <v>458.14135270464408</v>
      </c>
      <c r="M80" s="8">
        <v>436.01412542114821</v>
      </c>
      <c r="N80" s="8">
        <v>430.84921870791993</v>
      </c>
      <c r="O80" s="8">
        <v>397.53545561848125</v>
      </c>
      <c r="P80" s="8">
        <v>434.21645840567714</v>
      </c>
      <c r="Q80" s="8">
        <v>439.24919480741721</v>
      </c>
      <c r="R80" s="8">
        <v>453.6845841300966</v>
      </c>
      <c r="S80" s="8">
        <v>455.45610856492578</v>
      </c>
      <c r="T80" s="8">
        <v>425.88421631415076</v>
      </c>
      <c r="U80" s="8">
        <v>381.00284608860864</v>
      </c>
      <c r="V80" s="8">
        <v>411.18088094600341</v>
      </c>
    </row>
    <row r="81" spans="1:22" x14ac:dyDescent="0.2">
      <c r="A81" s="1" t="s">
        <v>30</v>
      </c>
      <c r="B81" s="6" t="s">
        <v>110</v>
      </c>
      <c r="C81" s="6" t="s">
        <v>110</v>
      </c>
      <c r="D81" s="7">
        <v>4063183</v>
      </c>
      <c r="E81" s="8">
        <v>5043.9604346074211</v>
      </c>
      <c r="F81" s="8">
        <v>5250.0964470411091</v>
      </c>
      <c r="G81" s="8">
        <v>5824.3084645326217</v>
      </c>
      <c r="H81" s="8">
        <v>4996.6437516390451</v>
      </c>
      <c r="I81" s="8">
        <v>4998.6704483298472</v>
      </c>
      <c r="J81" s="8">
        <v>4177.9969758466086</v>
      </c>
      <c r="K81" s="8">
        <v>4251.2401664570962</v>
      </c>
      <c r="L81" s="8">
        <v>3955.1558957057537</v>
      </c>
      <c r="M81" s="8">
        <v>3824.7192994719749</v>
      </c>
      <c r="N81" s="8">
        <v>3802.5943263911226</v>
      </c>
      <c r="O81" s="8">
        <v>4203.4455809084347</v>
      </c>
      <c r="P81" s="8">
        <v>4405.9382577590368</v>
      </c>
      <c r="Q81" s="8">
        <v>4118.7123705431422</v>
      </c>
      <c r="R81" s="8">
        <v>3424.2918954369761</v>
      </c>
      <c r="S81" s="8">
        <v>3215.4763261749767</v>
      </c>
      <c r="T81" s="8">
        <v>2652.0965602822616</v>
      </c>
      <c r="U81" s="8">
        <v>2755.8211387940282</v>
      </c>
      <c r="V81" s="8">
        <v>2727.2230231905132</v>
      </c>
    </row>
    <row r="82" spans="1:22" x14ac:dyDescent="0.2">
      <c r="B82" s="6" t="s">
        <v>111</v>
      </c>
      <c r="C82" s="6" t="s">
        <v>111</v>
      </c>
      <c r="D82" s="7">
        <v>4063281</v>
      </c>
      <c r="E82" s="8">
        <v>2294.3088006644521</v>
      </c>
      <c r="F82" s="8">
        <v>2151.4743736265959</v>
      </c>
      <c r="G82" s="8">
        <v>2104.0053047842357</v>
      </c>
      <c r="H82" s="8">
        <v>2084.1750322684629</v>
      </c>
      <c r="I82" s="8">
        <v>2002.9550606125244</v>
      </c>
      <c r="J82" s="8">
        <v>2028.3759344275206</v>
      </c>
      <c r="K82" s="8">
        <v>2324.5452008459679</v>
      </c>
      <c r="L82" s="8">
        <v>2120.7631756413221</v>
      </c>
      <c r="M82" s="8">
        <v>2241.5022591601696</v>
      </c>
      <c r="N82" s="8">
        <v>2315.0694004584925</v>
      </c>
      <c r="O82" s="8">
        <v>2345.0382123701615</v>
      </c>
      <c r="P82" s="8">
        <v>2271.0142341294177</v>
      </c>
      <c r="Q82" s="8">
        <v>2246.0339991001729</v>
      </c>
      <c r="R82" s="8">
        <v>2339.5730465081797</v>
      </c>
      <c r="S82" s="8">
        <v>2304.6970712665216</v>
      </c>
      <c r="T82" s="8">
        <v>2347.8378979266026</v>
      </c>
      <c r="U82" s="8">
        <v>2226.507831769929</v>
      </c>
      <c r="V82" s="8">
        <v>2008.969139172611</v>
      </c>
    </row>
    <row r="83" spans="1:22" x14ac:dyDescent="0.2">
      <c r="B83" s="6" t="s">
        <v>112</v>
      </c>
      <c r="C83" s="6" t="s">
        <v>112</v>
      </c>
      <c r="D83" s="7">
        <v>4059746</v>
      </c>
      <c r="E83" s="8">
        <v>55926.088767113433</v>
      </c>
      <c r="F83" s="8">
        <v>63899.149532655741</v>
      </c>
      <c r="G83" s="8">
        <v>88369.789635312613</v>
      </c>
      <c r="H83" s="8">
        <v>71589.428116249444</v>
      </c>
      <c r="I83" s="8">
        <v>76006.610906014947</v>
      </c>
      <c r="J83" s="8">
        <v>75507.227349348541</v>
      </c>
      <c r="K83" s="8">
        <v>74690.445978116652</v>
      </c>
      <c r="L83" s="8">
        <v>78539.004082434141</v>
      </c>
      <c r="M83" s="8">
        <v>77894.170355939365</v>
      </c>
      <c r="N83" s="8">
        <v>83150.835212570993</v>
      </c>
      <c r="O83" s="8">
        <v>82497.316612318944</v>
      </c>
      <c r="P83" s="8">
        <v>92086.617256866419</v>
      </c>
      <c r="Q83" s="8">
        <v>90091.635748641856</v>
      </c>
      <c r="R83" s="8">
        <v>95568.952583389691</v>
      </c>
      <c r="S83" s="8">
        <v>86922.222011910955</v>
      </c>
      <c r="T83" s="8">
        <v>84715.854935408628</v>
      </c>
      <c r="U83" s="8">
        <v>79698.738756194158</v>
      </c>
      <c r="V83" s="8">
        <v>70010.325427469419</v>
      </c>
    </row>
    <row r="84" spans="1:22" x14ac:dyDescent="0.2">
      <c r="A84" s="1" t="s">
        <v>30</v>
      </c>
      <c r="B84" s="6" t="s">
        <v>113</v>
      </c>
      <c r="C84" s="6" t="s">
        <v>113</v>
      </c>
      <c r="D84" s="7">
        <v>4062279</v>
      </c>
      <c r="E84" s="8" t="s">
        <v>123</v>
      </c>
      <c r="F84" s="8" t="s">
        <v>123</v>
      </c>
      <c r="G84" s="8" t="s">
        <v>123</v>
      </c>
      <c r="H84" s="8" t="s">
        <v>123</v>
      </c>
      <c r="I84" s="8">
        <v>31681.37154875361</v>
      </c>
      <c r="J84" s="8">
        <v>28789.08599802151</v>
      </c>
      <c r="K84" s="8">
        <v>30798.479946850792</v>
      </c>
      <c r="L84" s="8">
        <v>27148.604897720856</v>
      </c>
      <c r="M84" s="8">
        <v>25828.443551356206</v>
      </c>
      <c r="N84" s="8">
        <v>22509.767504279313</v>
      </c>
      <c r="O84" s="8">
        <v>23681.823402399699</v>
      </c>
      <c r="P84" s="8">
        <v>23411.630054055437</v>
      </c>
      <c r="Q84" s="8">
        <v>24298.554417623276</v>
      </c>
      <c r="R84" s="8">
        <v>21327.784946003168</v>
      </c>
      <c r="S84" s="8">
        <v>19318.836115255239</v>
      </c>
      <c r="T84" s="8">
        <v>17310.186599904166</v>
      </c>
      <c r="U84" s="8">
        <v>16824.703910489501</v>
      </c>
      <c r="V84" s="8">
        <v>15036.439829376925</v>
      </c>
    </row>
    <row r="85" spans="1:22" x14ac:dyDescent="0.2">
      <c r="A85" s="1" t="s">
        <v>30</v>
      </c>
      <c r="B85" s="6" t="s">
        <v>114</v>
      </c>
      <c r="C85" s="6" t="s">
        <v>114</v>
      </c>
      <c r="D85" s="7">
        <v>4063729</v>
      </c>
      <c r="E85" s="8" t="s">
        <v>123</v>
      </c>
      <c r="F85" s="8" t="s">
        <v>123</v>
      </c>
      <c r="G85" s="8" t="s">
        <v>123</v>
      </c>
      <c r="H85" s="8" t="s">
        <v>123</v>
      </c>
      <c r="I85" s="8">
        <v>6424.1749278875823</v>
      </c>
      <c r="J85" s="8">
        <v>7557.2826348004901</v>
      </c>
      <c r="K85" s="8">
        <v>8756.4017201987117</v>
      </c>
      <c r="L85" s="8">
        <v>7655.6010607262897</v>
      </c>
      <c r="M85" s="8">
        <v>7378.3999308088678</v>
      </c>
      <c r="N85" s="8">
        <v>6458.4486535118504</v>
      </c>
      <c r="O85" s="8">
        <v>6123.0299038945886</v>
      </c>
      <c r="P85" s="8">
        <v>5686.3653167382636</v>
      </c>
      <c r="Q85" s="8">
        <v>5793.7589344409371</v>
      </c>
      <c r="R85" s="8">
        <v>4734.3937105251234</v>
      </c>
      <c r="S85" s="8">
        <v>4163.2278606523287</v>
      </c>
      <c r="T85" s="8">
        <v>4593.9988699098103</v>
      </c>
      <c r="U85" s="8">
        <v>4286.7606953092582</v>
      </c>
      <c r="V85" s="8">
        <v>4419.6603736035831</v>
      </c>
    </row>
    <row r="86" spans="1:22" x14ac:dyDescent="0.2">
      <c r="B86" s="6" t="s">
        <v>115</v>
      </c>
      <c r="C86" s="6" t="s">
        <v>115</v>
      </c>
      <c r="D86" s="7">
        <v>4063762</v>
      </c>
      <c r="E86" s="8">
        <v>32051.291386769171</v>
      </c>
      <c r="F86" s="8">
        <v>31387.32677376553</v>
      </c>
      <c r="G86" s="8">
        <v>29333.843618422823</v>
      </c>
      <c r="H86" s="8">
        <v>30019.3713623441</v>
      </c>
      <c r="I86" s="8">
        <v>27543.446148347204</v>
      </c>
      <c r="J86" s="8">
        <v>28005.853834722984</v>
      </c>
      <c r="K86" s="8">
        <v>26225.162596402057</v>
      </c>
      <c r="L86" s="8">
        <v>25067.582343675753</v>
      </c>
      <c r="M86" s="8">
        <v>22873.837495173713</v>
      </c>
      <c r="N86" s="8">
        <v>20718.16589640034</v>
      </c>
      <c r="O86" s="8">
        <v>20560.150263813375</v>
      </c>
      <c r="P86" s="8">
        <v>21406.125925478591</v>
      </c>
      <c r="Q86" s="8">
        <v>20084.648546398636</v>
      </c>
      <c r="R86" s="8">
        <v>19249.871042574323</v>
      </c>
      <c r="S86" s="8">
        <v>20578.808872985977</v>
      </c>
      <c r="T86" s="8">
        <v>24136.377788082737</v>
      </c>
      <c r="U86" s="8">
        <v>25293.838171374198</v>
      </c>
      <c r="V86" s="8">
        <v>24047.530311569921</v>
      </c>
    </row>
    <row r="87" spans="1:22" x14ac:dyDescent="0.2">
      <c r="B87" s="6" t="s">
        <v>116</v>
      </c>
      <c r="C87" s="6" t="s">
        <v>116</v>
      </c>
      <c r="D87" s="7">
        <v>4058284</v>
      </c>
      <c r="E87" s="8">
        <v>171136.73317025753</v>
      </c>
      <c r="F87" s="8">
        <v>176988.33791838697</v>
      </c>
      <c r="G87" s="8">
        <v>184841.64841342322</v>
      </c>
      <c r="H87" s="8">
        <v>168088.83982780809</v>
      </c>
      <c r="I87" s="8">
        <v>156697.60324554396</v>
      </c>
      <c r="J87" s="8">
        <v>157245.11321445779</v>
      </c>
      <c r="K87" s="8">
        <v>155855.58332453226</v>
      </c>
      <c r="L87" s="8">
        <v>140419.59468928483</v>
      </c>
      <c r="M87" s="8">
        <v>142866.31332615728</v>
      </c>
      <c r="N87" s="8">
        <v>134737.98675117502</v>
      </c>
      <c r="O87" s="8">
        <v>135824.47647254294</v>
      </c>
      <c r="P87" s="8">
        <v>125685.21943457468</v>
      </c>
      <c r="Q87" s="8">
        <v>119238.78205459702</v>
      </c>
      <c r="R87" s="8">
        <v>116501.41388579398</v>
      </c>
      <c r="S87" s="8">
        <v>118414.83851956976</v>
      </c>
      <c r="T87" s="8">
        <v>113008.91661512075</v>
      </c>
      <c r="U87" s="8">
        <v>112562.26858977774</v>
      </c>
      <c r="V87" s="8">
        <v>108636.32159043233</v>
      </c>
    </row>
    <row r="88" spans="1:22" x14ac:dyDescent="0.2">
      <c r="B88" s="6" t="s">
        <v>117</v>
      </c>
      <c r="C88" s="6" t="s">
        <v>117</v>
      </c>
      <c r="D88" s="7">
        <v>4008752</v>
      </c>
      <c r="E88" s="8">
        <v>39871.518793068557</v>
      </c>
      <c r="F88" s="8">
        <v>45063.486328302832</v>
      </c>
      <c r="G88" s="8">
        <v>46919.790323703215</v>
      </c>
      <c r="H88" s="8">
        <v>41993.432368194786</v>
      </c>
      <c r="I88" s="8">
        <v>41088.911668768778</v>
      </c>
      <c r="J88" s="8">
        <v>42654.409655181225</v>
      </c>
      <c r="K88" s="8">
        <v>42790.353568509723</v>
      </c>
      <c r="L88" s="8">
        <v>43414.534577286773</v>
      </c>
      <c r="M88" s="8">
        <v>40958.833881677703</v>
      </c>
      <c r="N88" s="8">
        <v>41714.455511941364</v>
      </c>
      <c r="O88" s="8">
        <v>47024.713812453847</v>
      </c>
      <c r="P88" s="8">
        <v>44394.724545694429</v>
      </c>
      <c r="Q88" s="8">
        <v>44949.397404385541</v>
      </c>
      <c r="R88" s="8">
        <v>46005.417060435502</v>
      </c>
      <c r="S88" s="8">
        <v>43325.709313363492</v>
      </c>
      <c r="T88" s="8">
        <v>45422.189154542612</v>
      </c>
      <c r="U88" s="8">
        <v>48322.853146177775</v>
      </c>
      <c r="V88" s="8">
        <v>43861.598036418014</v>
      </c>
    </row>
    <row r="89" spans="1:22" x14ac:dyDescent="0.2">
      <c r="B89" s="6" t="s">
        <v>118</v>
      </c>
      <c r="C89" s="6" t="s">
        <v>118</v>
      </c>
      <c r="D89" s="7">
        <v>4008669</v>
      </c>
      <c r="E89" s="8">
        <v>17123.186362329376</v>
      </c>
      <c r="F89" s="8">
        <v>17245.428045453933</v>
      </c>
      <c r="G89" s="8">
        <v>17891.364650596435</v>
      </c>
      <c r="H89" s="8">
        <v>17828.027265969053</v>
      </c>
      <c r="I89" s="8">
        <v>17138.538203969867</v>
      </c>
      <c r="J89" s="8">
        <v>16757.683916272043</v>
      </c>
      <c r="K89" s="8">
        <v>16915.180542918941</v>
      </c>
      <c r="L89" s="8">
        <v>15479.709824341791</v>
      </c>
      <c r="M89" s="8">
        <v>13834.36161117669</v>
      </c>
      <c r="N89" s="8">
        <v>12841.012588630592</v>
      </c>
      <c r="O89" s="8">
        <v>13293.029583894353</v>
      </c>
      <c r="P89" s="8">
        <v>12652.287821462425</v>
      </c>
      <c r="Q89" s="8">
        <v>11978.637669899636</v>
      </c>
      <c r="R89" s="8">
        <v>11072.372454255194</v>
      </c>
      <c r="S89" s="8">
        <v>10859.713446195441</v>
      </c>
      <c r="T89" s="8">
        <v>13433.13137336111</v>
      </c>
      <c r="U89" s="8">
        <v>11683.308439347753</v>
      </c>
      <c r="V89" s="8">
        <v>13652.361155632041</v>
      </c>
    </row>
    <row r="90" spans="1:22" x14ac:dyDescent="0.2">
      <c r="B90" s="6" t="s">
        <v>119</v>
      </c>
      <c r="C90" s="6" t="s">
        <v>120</v>
      </c>
      <c r="D90" s="7">
        <v>4076892</v>
      </c>
      <c r="E90" s="8" t="s">
        <v>123</v>
      </c>
      <c r="F90" s="8">
        <v>1443.6994901478597</v>
      </c>
      <c r="G90" s="8">
        <v>1433.7971534263152</v>
      </c>
      <c r="H90" s="8">
        <v>1352.5224352651451</v>
      </c>
      <c r="I90" s="8">
        <v>1232.6866500094502</v>
      </c>
      <c r="J90" s="8">
        <v>1346.731724620337</v>
      </c>
      <c r="K90" s="8">
        <v>1313.8643822846107</v>
      </c>
      <c r="L90" s="8">
        <v>1391.0592828082963</v>
      </c>
      <c r="M90" s="8">
        <v>1345.1486441890499</v>
      </c>
      <c r="N90" s="8">
        <v>1252.0108381014586</v>
      </c>
      <c r="O90" s="8">
        <v>1229.945925732442</v>
      </c>
      <c r="P90" s="8">
        <v>1197.6964785822854</v>
      </c>
      <c r="Q90" s="8">
        <v>1075.7055438444272</v>
      </c>
      <c r="R90" s="8">
        <v>1078.2193523527251</v>
      </c>
      <c r="S90" s="8">
        <v>933.04892761485996</v>
      </c>
      <c r="T90" s="8">
        <v>756.78214604793277</v>
      </c>
      <c r="U90" s="8">
        <v>817.13725856605549</v>
      </c>
      <c r="V90" s="8">
        <v>757.864063179494</v>
      </c>
    </row>
    <row r="91" spans="1:22" x14ac:dyDescent="0.2">
      <c r="A91" s="1" t="s">
        <v>30</v>
      </c>
      <c r="B91" s="6" t="s">
        <v>121</v>
      </c>
      <c r="C91" s="6" t="s">
        <v>122</v>
      </c>
      <c r="D91" s="7">
        <v>4064141</v>
      </c>
      <c r="E91" s="8">
        <v>52273.77194938028</v>
      </c>
      <c r="F91" s="8" t="s">
        <v>123</v>
      </c>
      <c r="G91" s="8" t="s">
        <v>123</v>
      </c>
      <c r="H91" s="8">
        <v>47527.783846358136</v>
      </c>
      <c r="I91" s="8">
        <v>46701.265621334118</v>
      </c>
      <c r="J91" s="8">
        <v>44006.779935804923</v>
      </c>
      <c r="K91" s="8">
        <v>46198.288001642693</v>
      </c>
      <c r="L91" s="8">
        <v>47134.479388692227</v>
      </c>
      <c r="M91" s="8">
        <v>46965.999659248628</v>
      </c>
      <c r="N91" s="8">
        <v>46571.325505173118</v>
      </c>
      <c r="O91" s="8">
        <v>46729.082014452186</v>
      </c>
      <c r="P91" s="8">
        <v>44497.402139843565</v>
      </c>
      <c r="Q91" s="8">
        <v>42215.311944433706</v>
      </c>
      <c r="R91" s="8">
        <v>38461.423286471167</v>
      </c>
      <c r="S91" s="8">
        <v>36609.729532303019</v>
      </c>
      <c r="T91" s="8">
        <v>36343.283531997513</v>
      </c>
      <c r="U91" s="8">
        <v>36642.664610359177</v>
      </c>
      <c r="V91" s="8">
        <v>34604.267258270527</v>
      </c>
    </row>
    <row r="92" spans="1:22" x14ac:dyDescent="0.2">
      <c r="B92" s="6"/>
      <c r="C92" s="6"/>
      <c r="D92" s="7"/>
      <c r="E92" s="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</row>
    <row r="93" spans="1:22" x14ac:dyDescent="0.2">
      <c r="B93" s="6"/>
      <c r="C93" s="6"/>
      <c r="D93" s="7"/>
      <c r="E93" s="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</row>
    <row r="94" spans="1:22" x14ac:dyDescent="0.2">
      <c r="B94" s="6"/>
      <c r="C94" s="6"/>
      <c r="D94" s="7"/>
      <c r="E94" s="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1:22" x14ac:dyDescent="0.2">
      <c r="B95" s="6"/>
      <c r="C95" s="6"/>
      <c r="D95" s="7"/>
      <c r="E95" s="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1:22" x14ac:dyDescent="0.2">
      <c r="B96" s="6"/>
      <c r="C96" s="6"/>
      <c r="D96" s="7"/>
      <c r="E96" s="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2:22" x14ac:dyDescent="0.2">
      <c r="B97" s="6"/>
      <c r="C97" s="6"/>
      <c r="D97" s="7"/>
      <c r="E97" s="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2:22" x14ac:dyDescent="0.2">
      <c r="B98" s="6"/>
      <c r="C98" s="7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2:22" x14ac:dyDescent="0.2">
      <c r="B99" s="6"/>
      <c r="C99" s="6"/>
      <c r="D99" s="7"/>
      <c r="E99" s="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">
      <c r="B100" s="6"/>
      <c r="C100" s="6"/>
      <c r="D100" s="7"/>
      <c r="E100" s="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">
      <c r="B101" s="6"/>
      <c r="C101" s="6"/>
      <c r="D101" s="7"/>
      <c r="E101" s="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">
      <c r="B102" s="6"/>
      <c r="C102" s="6"/>
      <c r="D102" s="7"/>
      <c r="E102" s="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x14ac:dyDescent="0.2">
      <c r="B103" s="6"/>
      <c r="C103" s="6"/>
      <c r="D103" s="7"/>
      <c r="E103" s="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2:22" x14ac:dyDescent="0.2">
      <c r="B104" s="6"/>
      <c r="C104" s="6"/>
      <c r="D104" s="7"/>
      <c r="E104" s="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2:22" x14ac:dyDescent="0.2">
      <c r="B105" s="6"/>
      <c r="C105" s="6"/>
      <c r="D105" s="7"/>
      <c r="E105" s="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 x14ac:dyDescent="0.2">
      <c r="B106" s="6"/>
      <c r="C106" s="6"/>
      <c r="D106" s="7"/>
      <c r="E106" s="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 x14ac:dyDescent="0.2">
      <c r="B107" s="6"/>
      <c r="C107" s="6"/>
      <c r="D107" s="7"/>
      <c r="E107" s="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B108" s="6"/>
      <c r="C108" s="6"/>
      <c r="D108" s="7"/>
      <c r="E108" s="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B109" s="6"/>
      <c r="C109" s="6"/>
      <c r="D109" s="7"/>
      <c r="E109" s="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B110" s="6"/>
      <c r="C110" s="6"/>
      <c r="D110" s="7"/>
      <c r="E110" s="7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x14ac:dyDescent="0.2">
      <c r="B111" s="6"/>
      <c r="C111" s="6"/>
      <c r="D111" s="7"/>
      <c r="E111" s="7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2:22" x14ac:dyDescent="0.2">
      <c r="B112" s="6"/>
      <c r="C112" s="6"/>
      <c r="D112" s="7"/>
      <c r="E112" s="7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2:22" x14ac:dyDescent="0.2">
      <c r="B113" s="6"/>
      <c r="C113" s="6"/>
      <c r="D113" s="7"/>
      <c r="E113" s="7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2:22" x14ac:dyDescent="0.2">
      <c r="B114" s="6"/>
      <c r="C114" s="6"/>
      <c r="D114" s="7"/>
      <c r="E114" s="7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2:22" x14ac:dyDescent="0.2">
      <c r="B115" s="6"/>
      <c r="C115" s="6"/>
      <c r="D115" s="7"/>
      <c r="E115" s="7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2:22" x14ac:dyDescent="0.2">
      <c r="B116" s="6"/>
      <c r="C116" s="6"/>
      <c r="D116" s="7"/>
      <c r="E116" s="7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2:22" x14ac:dyDescent="0.2">
      <c r="B117" s="6"/>
      <c r="C117" s="6"/>
      <c r="D117" s="7"/>
      <c r="E117" s="7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2:22" x14ac:dyDescent="0.2">
      <c r="B118" s="6"/>
      <c r="C118" s="6"/>
      <c r="D118" s="7"/>
      <c r="E118" s="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2:22" x14ac:dyDescent="0.2">
      <c r="B119" s="6"/>
      <c r="C119" s="6"/>
      <c r="D119" s="7"/>
      <c r="E119" s="7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2:22" x14ac:dyDescent="0.2">
      <c r="B120" s="6"/>
      <c r="C120" s="6"/>
      <c r="D120" s="7"/>
      <c r="E120" s="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2:22" x14ac:dyDescent="0.2">
      <c r="B121" s="6"/>
      <c r="C121" s="6"/>
      <c r="D121" s="7"/>
      <c r="E121" s="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2:22" x14ac:dyDescent="0.2">
      <c r="B122" s="6"/>
      <c r="C122" s="6"/>
      <c r="D122" s="7"/>
      <c r="E122" s="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2:22" x14ac:dyDescent="0.2">
      <c r="B123" s="6"/>
      <c r="C123" s="6"/>
      <c r="D123" s="7"/>
      <c r="E123" s="7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  <row r="124" spans="2:22" x14ac:dyDescent="0.2">
      <c r="B124" s="6"/>
      <c r="C124" s="6"/>
      <c r="D124" s="7"/>
      <c r="E124" s="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</row>
    <row r="125" spans="2:22" x14ac:dyDescent="0.2">
      <c r="B125" s="6"/>
      <c r="C125" s="6"/>
      <c r="D125" s="7"/>
      <c r="E125" s="7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2:22" x14ac:dyDescent="0.2">
      <c r="B126" s="6"/>
      <c r="C126" s="6"/>
      <c r="D126" s="7"/>
      <c r="E126" s="7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</row>
    <row r="127" spans="2:22" x14ac:dyDescent="0.2">
      <c r="B127" s="6"/>
      <c r="C127" s="6"/>
      <c r="D127" s="7"/>
      <c r="E127" s="7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</row>
    <row r="128" spans="2:22" x14ac:dyDescent="0.2">
      <c r="B128" s="6"/>
      <c r="C128" s="6"/>
      <c r="D128" s="7"/>
      <c r="E128" s="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</row>
    <row r="129" spans="2:22" x14ac:dyDescent="0.2">
      <c r="B129" s="6"/>
      <c r="C129" s="6"/>
      <c r="D129" s="7"/>
      <c r="E129" s="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</row>
    <row r="130" spans="2:22" x14ac:dyDescent="0.2">
      <c r="B130" s="6"/>
      <c r="C130" s="6"/>
      <c r="D130" s="7"/>
      <c r="E130" s="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  <row r="131" spans="2:22" x14ac:dyDescent="0.2">
      <c r="B131" s="6"/>
      <c r="C131" s="6"/>
      <c r="D131" s="7"/>
      <c r="E131" s="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</row>
    <row r="132" spans="2:22" x14ac:dyDescent="0.2">
      <c r="B132" s="6"/>
      <c r="C132" s="6"/>
      <c r="D132" s="7"/>
      <c r="E132" s="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2:22" x14ac:dyDescent="0.2">
      <c r="B133" s="6"/>
      <c r="C133" s="6"/>
      <c r="D133" s="7"/>
      <c r="E133" s="7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</row>
    <row r="134" spans="2:22" x14ac:dyDescent="0.2">
      <c r="B134" s="6"/>
      <c r="C134" s="6"/>
      <c r="D134" s="7"/>
      <c r="E134" s="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2:22" x14ac:dyDescent="0.2">
      <c r="B135" s="6"/>
      <c r="C135" s="6"/>
      <c r="D135" s="7"/>
      <c r="E135" s="7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  <row r="136" spans="2:22" x14ac:dyDescent="0.2">
      <c r="B136" s="6"/>
      <c r="C136" s="6"/>
      <c r="D136" s="7"/>
      <c r="E136" s="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</row>
    <row r="137" spans="2:22" x14ac:dyDescent="0.2">
      <c r="B137" s="6"/>
      <c r="C137" s="6"/>
      <c r="D137" s="7"/>
      <c r="E137" s="7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</row>
    <row r="138" spans="2:22" x14ac:dyDescent="0.2">
      <c r="B138" s="6"/>
      <c r="C138" s="6"/>
      <c r="D138" s="7"/>
      <c r="E138" s="7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  <row r="139" spans="2:22" x14ac:dyDescent="0.2">
      <c r="B139" s="6"/>
      <c r="C139" s="6"/>
      <c r="D139" s="7"/>
      <c r="E139" s="7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</row>
    <row r="140" spans="2:22" x14ac:dyDescent="0.2">
      <c r="B140" s="6"/>
      <c r="C140" s="6"/>
      <c r="D140" s="7"/>
      <c r="E140" s="7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</row>
    <row r="141" spans="2:22" x14ac:dyDescent="0.2">
      <c r="B141" s="6"/>
      <c r="C141" s="6"/>
      <c r="D141" s="7"/>
      <c r="E141" s="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</row>
    <row r="142" spans="2:22" x14ac:dyDescent="0.2">
      <c r="B142" s="6"/>
      <c r="C142" s="6"/>
      <c r="D142" s="7"/>
      <c r="E142" s="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</row>
    <row r="143" spans="2:22" x14ac:dyDescent="0.2">
      <c r="B143" s="6"/>
      <c r="C143" s="6"/>
      <c r="D143" s="7"/>
      <c r="E143" s="7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</row>
    <row r="144" spans="2:22" x14ac:dyDescent="0.2">
      <c r="B144" s="6"/>
      <c r="C144" s="6"/>
      <c r="D144" s="7"/>
      <c r="E144" s="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</row>
    <row r="145" spans="2:22" x14ac:dyDescent="0.2">
      <c r="B145" s="6"/>
      <c r="C145" s="6"/>
      <c r="D145" s="7"/>
      <c r="E145" s="7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</row>
    <row r="146" spans="2:22" x14ac:dyDescent="0.2">
      <c r="B146" s="6"/>
      <c r="C146" s="6"/>
      <c r="D146" s="7"/>
      <c r="E146" s="7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</row>
    <row r="147" spans="2:22" x14ac:dyDescent="0.2">
      <c r="B147" s="6"/>
      <c r="C147" s="6"/>
      <c r="D147" s="7"/>
      <c r="E147" s="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</row>
    <row r="148" spans="2:22" x14ac:dyDescent="0.2">
      <c r="B148" s="6"/>
      <c r="C148" s="6"/>
      <c r="D148" s="7"/>
      <c r="E148" s="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</row>
    <row r="149" spans="2:22" x14ac:dyDescent="0.2">
      <c r="B149" s="6"/>
      <c r="C149" s="6"/>
      <c r="D149" s="7"/>
      <c r="E149" s="7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</row>
    <row r="150" spans="2:22" x14ac:dyDescent="0.2">
      <c r="B150" s="6"/>
      <c r="C150" s="6"/>
      <c r="D150" s="7"/>
      <c r="E150" s="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1" spans="2:22" x14ac:dyDescent="0.2">
      <c r="B151" s="6"/>
      <c r="C151" s="6"/>
      <c r="D151" s="7"/>
      <c r="E151" s="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</row>
    <row r="152" spans="2:22" x14ac:dyDescent="0.2">
      <c r="B152" s="6"/>
      <c r="C152" s="6"/>
      <c r="D152" s="7"/>
      <c r="E152" s="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</row>
    <row r="153" spans="2:22" x14ac:dyDescent="0.2">
      <c r="B153" s="6"/>
      <c r="C153" s="6"/>
      <c r="D153" s="7"/>
      <c r="E153" s="7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</row>
    <row r="154" spans="2:22" x14ac:dyDescent="0.2">
      <c r="B154" s="6"/>
      <c r="C154" s="6"/>
      <c r="D154" s="7"/>
      <c r="E154" s="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</row>
    <row r="155" spans="2:22" x14ac:dyDescent="0.2">
      <c r="B155" s="6"/>
      <c r="C155" s="6"/>
      <c r="D155" s="7"/>
      <c r="E155" s="7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</row>
    <row r="156" spans="2:22" x14ac:dyDescent="0.2">
      <c r="B156" s="6"/>
      <c r="C156" s="6"/>
      <c r="D156" s="7"/>
      <c r="E156" s="7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  <row r="157" spans="2:22" x14ac:dyDescent="0.2">
      <c r="B157" s="6"/>
      <c r="C157" s="6"/>
      <c r="D157" s="7"/>
      <c r="E157" s="7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</row>
    <row r="158" spans="2:22" x14ac:dyDescent="0.2">
      <c r="B158" s="6"/>
      <c r="C158" s="6"/>
      <c r="D158" s="7"/>
      <c r="E158" s="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59" spans="2:22" x14ac:dyDescent="0.2">
      <c r="B159" s="6"/>
      <c r="C159" s="6"/>
      <c r="D159" s="7"/>
      <c r="E159" s="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</row>
    <row r="160" spans="2:22" x14ac:dyDescent="0.2">
      <c r="B160" s="6"/>
      <c r="C160" s="6"/>
      <c r="D160" s="7"/>
      <c r="E160" s="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</row>
    <row r="161" spans="2:22" x14ac:dyDescent="0.2">
      <c r="B161" s="6"/>
      <c r="C161" s="6"/>
      <c r="D161" s="7"/>
      <c r="E161" s="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</row>
    <row r="162" spans="2:22" x14ac:dyDescent="0.2">
      <c r="B162" s="6"/>
      <c r="C162" s="6"/>
      <c r="D162" s="7"/>
      <c r="E162" s="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</row>
    <row r="163" spans="2:22" x14ac:dyDescent="0.2">
      <c r="B163" s="6"/>
      <c r="C163" s="6"/>
      <c r="D163" s="7"/>
      <c r="E163" s="7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</row>
    <row r="164" spans="2:22" x14ac:dyDescent="0.2">
      <c r="B164" s="6"/>
      <c r="C164" s="6"/>
      <c r="D164" s="7"/>
      <c r="E164" s="7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</row>
    <row r="165" spans="2:22" x14ac:dyDescent="0.2">
      <c r="B165" s="6"/>
      <c r="C165" s="6"/>
      <c r="D165" s="7"/>
      <c r="E165" s="7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</row>
    <row r="166" spans="2:22" x14ac:dyDescent="0.2">
      <c r="B166" s="6"/>
      <c r="C166" s="6"/>
      <c r="D166" s="7"/>
      <c r="E166" s="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</row>
    <row r="167" spans="2:22" x14ac:dyDescent="0.2">
      <c r="B167" s="6"/>
      <c r="C167" s="6"/>
      <c r="D167" s="7"/>
      <c r="E167" s="7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</row>
    <row r="168" spans="2:22" x14ac:dyDescent="0.2">
      <c r="B168" s="6"/>
      <c r="C168" s="6"/>
      <c r="D168" s="7"/>
      <c r="E168" s="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</row>
    <row r="169" spans="2:22" x14ac:dyDescent="0.2">
      <c r="B169" s="6"/>
      <c r="C169" s="6"/>
      <c r="D169" s="7"/>
      <c r="E169" s="7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</row>
    <row r="170" spans="2:22" x14ac:dyDescent="0.2">
      <c r="B170" s="6"/>
      <c r="C170" s="6"/>
      <c r="D170" s="7"/>
      <c r="E170" s="7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</row>
    <row r="171" spans="2:22" x14ac:dyDescent="0.2">
      <c r="B171" s="6"/>
      <c r="C171" s="6"/>
      <c r="D171" s="7"/>
      <c r="E171" s="7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</row>
    <row r="172" spans="2:22" x14ac:dyDescent="0.2">
      <c r="B172" s="6"/>
      <c r="C172" s="6"/>
      <c r="D172" s="7"/>
      <c r="E172" s="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</row>
    <row r="173" spans="2:22" x14ac:dyDescent="0.2">
      <c r="B173" s="6"/>
      <c r="C173" s="6"/>
      <c r="D173" s="7"/>
      <c r="E173" s="7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</row>
    <row r="174" spans="2:22" x14ac:dyDescent="0.2">
      <c r="B174" s="6"/>
      <c r="C174" s="6"/>
      <c r="D174" s="7"/>
      <c r="E174" s="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</row>
    <row r="175" spans="2:22" x14ac:dyDescent="0.2">
      <c r="B175" s="6"/>
      <c r="C175" s="6"/>
      <c r="D175" s="7"/>
      <c r="E175" s="7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</row>
    <row r="176" spans="2:22" x14ac:dyDescent="0.2">
      <c r="B176" s="6"/>
      <c r="C176" s="6"/>
      <c r="D176" s="7"/>
      <c r="E176" s="7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</row>
    <row r="177" spans="2:22" x14ac:dyDescent="0.2">
      <c r="B177" s="6"/>
      <c r="C177" s="6"/>
      <c r="D177" s="7"/>
      <c r="E177" s="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</row>
    <row r="178" spans="2:22" x14ac:dyDescent="0.2">
      <c r="B178" s="6"/>
      <c r="C178" s="6"/>
      <c r="D178" s="7"/>
      <c r="E178" s="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</row>
    <row r="179" spans="2:22" x14ac:dyDescent="0.2">
      <c r="B179" s="6"/>
      <c r="C179" s="6"/>
      <c r="D179" s="7"/>
      <c r="E179" s="7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</row>
    <row r="180" spans="2:22" x14ac:dyDescent="0.2">
      <c r="B180" s="6"/>
      <c r="C180" s="6"/>
      <c r="D180" s="7"/>
      <c r="E180" s="7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</row>
    <row r="181" spans="2:22" x14ac:dyDescent="0.2">
      <c r="B181" s="6"/>
      <c r="C181" s="6"/>
      <c r="D181" s="7"/>
      <c r="E181" s="7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</row>
    <row r="182" spans="2:22" x14ac:dyDescent="0.2">
      <c r="B182" s="6"/>
      <c r="C182" s="6"/>
      <c r="D182" s="7"/>
      <c r="E182" s="7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</row>
    <row r="183" spans="2:22" x14ac:dyDescent="0.2">
      <c r="B183" s="6"/>
      <c r="C183" s="6"/>
      <c r="D183" s="7"/>
      <c r="E183" s="7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</row>
    <row r="184" spans="2:22" x14ac:dyDescent="0.2">
      <c r="B184" s="6"/>
      <c r="C184" s="6"/>
      <c r="D184" s="7"/>
      <c r="E184" s="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</row>
    <row r="185" spans="2:22" x14ac:dyDescent="0.2">
      <c r="B185" s="6"/>
      <c r="C185" s="6"/>
      <c r="D185" s="7"/>
      <c r="E185" s="7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</row>
    <row r="186" spans="2:22" x14ac:dyDescent="0.2">
      <c r="B186" s="6"/>
      <c r="C186" s="6"/>
      <c r="D186" s="7"/>
      <c r="E186" s="7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</row>
    <row r="187" spans="2:22" x14ac:dyDescent="0.2">
      <c r="B187" s="6"/>
      <c r="C187" s="6"/>
      <c r="D187" s="7"/>
      <c r="E187" s="7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</row>
    <row r="188" spans="2:22" x14ac:dyDescent="0.2">
      <c r="B188" s="6"/>
      <c r="C188" s="6"/>
      <c r="D188" s="7"/>
      <c r="E188" s="7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</row>
    <row r="189" spans="2:22" x14ac:dyDescent="0.2">
      <c r="B189" s="6"/>
      <c r="C189" s="6"/>
      <c r="D189" s="7"/>
      <c r="E189" s="7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</row>
    <row r="190" spans="2:22" x14ac:dyDescent="0.2">
      <c r="B190" s="6"/>
      <c r="C190" s="6"/>
      <c r="D190" s="7"/>
      <c r="E190" s="7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</row>
    <row r="191" spans="2:22" x14ac:dyDescent="0.2">
      <c r="B191" s="6"/>
      <c r="C191" s="6"/>
      <c r="D191" s="7"/>
      <c r="E191" s="7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</row>
    <row r="192" spans="2:22" x14ac:dyDescent="0.2">
      <c r="B192" s="6"/>
      <c r="C192" s="6"/>
      <c r="D192" s="7"/>
      <c r="E192" s="7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</row>
    <row r="193" spans="2:22" x14ac:dyDescent="0.2">
      <c r="B193" s="6"/>
      <c r="C193" s="6"/>
      <c r="D193" s="7"/>
      <c r="E193" s="7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</row>
    <row r="194" spans="2:22" x14ac:dyDescent="0.2">
      <c r="B194" s="6"/>
      <c r="C194" s="6"/>
      <c r="D194" s="7"/>
      <c r="E194" s="7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</row>
    <row r="195" spans="2:22" x14ac:dyDescent="0.2">
      <c r="B195" s="6"/>
      <c r="C195" s="6"/>
      <c r="D195" s="7"/>
      <c r="E195" s="7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</row>
    <row r="196" spans="2:22" x14ac:dyDescent="0.2">
      <c r="B196" s="6"/>
      <c r="C196" s="6"/>
      <c r="D196" s="7"/>
      <c r="E196" s="7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</row>
    <row r="197" spans="2:22" x14ac:dyDescent="0.2">
      <c r="B197" s="6"/>
      <c r="C197" s="6"/>
      <c r="D197" s="7"/>
      <c r="E197" s="7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</row>
    <row r="198" spans="2:22" x14ac:dyDescent="0.2">
      <c r="B198" s="6"/>
      <c r="C198" s="6"/>
      <c r="D198" s="7"/>
      <c r="E198" s="7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</row>
    <row r="199" spans="2:22" x14ac:dyDescent="0.2">
      <c r="B199" s="6"/>
      <c r="C199" s="6"/>
      <c r="D199" s="7"/>
      <c r="E199" s="7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</row>
    <row r="200" spans="2:22" x14ac:dyDescent="0.2">
      <c r="B200" s="6"/>
      <c r="C200" s="6"/>
      <c r="D200" s="7"/>
      <c r="E200" s="7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</row>
    <row r="201" spans="2:22" x14ac:dyDescent="0.2">
      <c r="B201" s="6"/>
      <c r="C201" s="6"/>
      <c r="D201" s="7"/>
      <c r="E201" s="7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</row>
    <row r="202" spans="2:22" x14ac:dyDescent="0.2">
      <c r="B202" s="6"/>
      <c r="C202" s="6"/>
      <c r="D202" s="7"/>
      <c r="E202" s="7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</row>
    <row r="203" spans="2:22" x14ac:dyDescent="0.2">
      <c r="B203" s="6"/>
      <c r="C203" s="6"/>
      <c r="D203" s="7"/>
      <c r="E203" s="7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</row>
    <row r="204" spans="2:22" x14ac:dyDescent="0.2">
      <c r="B204" s="6"/>
      <c r="C204" s="6"/>
      <c r="D204" s="7"/>
      <c r="E204" s="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</row>
  </sheetData>
  <conditionalFormatting sqref="F99:V204 D98:U98 F7:V97 E7:F91">
    <cfRule type="cellIs" dxfId="6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3:AB204"/>
  <sheetViews>
    <sheetView zoomScale="75" zoomScaleNormal="75" workbookViewId="0">
      <selection activeCell="D7" sqref="A7:AB91"/>
    </sheetView>
  </sheetViews>
  <sheetFormatPr defaultRowHeight="12.75" x14ac:dyDescent="0.2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5" width="22" style="1" customWidth="1"/>
    <col min="6" max="19" width="19" style="1" customWidth="1"/>
    <col min="20" max="28" width="17.5703125" style="1" customWidth="1"/>
    <col min="29" max="257" width="9.140625" style="1"/>
    <col min="258" max="258" width="14.28515625" style="1" bestFit="1" customWidth="1"/>
    <col min="259" max="260" width="63.7109375" style="1" bestFit="1" customWidth="1"/>
    <col min="261" max="261" width="22" style="1" bestFit="1" customWidth="1"/>
    <col min="262" max="275" width="19" style="1" customWidth="1"/>
    <col min="276" max="284" width="17.5703125" style="1" customWidth="1"/>
    <col min="285" max="513" width="9.140625" style="1"/>
    <col min="514" max="514" width="14.28515625" style="1" bestFit="1" customWidth="1"/>
    <col min="515" max="516" width="63.7109375" style="1" bestFit="1" customWidth="1"/>
    <col min="517" max="517" width="22" style="1" bestFit="1" customWidth="1"/>
    <col min="518" max="531" width="19" style="1" customWidth="1"/>
    <col min="532" max="540" width="17.5703125" style="1" customWidth="1"/>
    <col min="541" max="769" width="9.140625" style="1"/>
    <col min="770" max="770" width="14.28515625" style="1" bestFit="1" customWidth="1"/>
    <col min="771" max="772" width="63.7109375" style="1" bestFit="1" customWidth="1"/>
    <col min="773" max="773" width="22" style="1" bestFit="1" customWidth="1"/>
    <col min="774" max="787" width="19" style="1" customWidth="1"/>
    <col min="788" max="796" width="17.5703125" style="1" customWidth="1"/>
    <col min="797" max="1025" width="9.140625" style="1"/>
    <col min="1026" max="1026" width="14.28515625" style="1" bestFit="1" customWidth="1"/>
    <col min="1027" max="1028" width="63.7109375" style="1" bestFit="1" customWidth="1"/>
    <col min="1029" max="1029" width="22" style="1" bestFit="1" customWidth="1"/>
    <col min="1030" max="1043" width="19" style="1" customWidth="1"/>
    <col min="1044" max="1052" width="17.5703125" style="1" customWidth="1"/>
    <col min="1053" max="1281" width="9.140625" style="1"/>
    <col min="1282" max="1282" width="14.28515625" style="1" bestFit="1" customWidth="1"/>
    <col min="1283" max="1284" width="63.7109375" style="1" bestFit="1" customWidth="1"/>
    <col min="1285" max="1285" width="22" style="1" bestFit="1" customWidth="1"/>
    <col min="1286" max="1299" width="19" style="1" customWidth="1"/>
    <col min="1300" max="1308" width="17.5703125" style="1" customWidth="1"/>
    <col min="1309" max="1537" width="9.140625" style="1"/>
    <col min="1538" max="1538" width="14.28515625" style="1" bestFit="1" customWidth="1"/>
    <col min="1539" max="1540" width="63.7109375" style="1" bestFit="1" customWidth="1"/>
    <col min="1541" max="1541" width="22" style="1" bestFit="1" customWidth="1"/>
    <col min="1542" max="1555" width="19" style="1" customWidth="1"/>
    <col min="1556" max="1564" width="17.5703125" style="1" customWidth="1"/>
    <col min="1565" max="1793" width="9.140625" style="1"/>
    <col min="1794" max="1794" width="14.28515625" style="1" bestFit="1" customWidth="1"/>
    <col min="1795" max="1796" width="63.7109375" style="1" bestFit="1" customWidth="1"/>
    <col min="1797" max="1797" width="22" style="1" bestFit="1" customWidth="1"/>
    <col min="1798" max="1811" width="19" style="1" customWidth="1"/>
    <col min="1812" max="1820" width="17.5703125" style="1" customWidth="1"/>
    <col min="1821" max="2049" width="9.140625" style="1"/>
    <col min="2050" max="2050" width="14.28515625" style="1" bestFit="1" customWidth="1"/>
    <col min="2051" max="2052" width="63.7109375" style="1" bestFit="1" customWidth="1"/>
    <col min="2053" max="2053" width="22" style="1" bestFit="1" customWidth="1"/>
    <col min="2054" max="2067" width="19" style="1" customWidth="1"/>
    <col min="2068" max="2076" width="17.5703125" style="1" customWidth="1"/>
    <col min="2077" max="2305" width="9.140625" style="1"/>
    <col min="2306" max="2306" width="14.28515625" style="1" bestFit="1" customWidth="1"/>
    <col min="2307" max="2308" width="63.7109375" style="1" bestFit="1" customWidth="1"/>
    <col min="2309" max="2309" width="22" style="1" bestFit="1" customWidth="1"/>
    <col min="2310" max="2323" width="19" style="1" customWidth="1"/>
    <col min="2324" max="2332" width="17.5703125" style="1" customWidth="1"/>
    <col min="2333" max="2561" width="9.140625" style="1"/>
    <col min="2562" max="2562" width="14.28515625" style="1" bestFit="1" customWidth="1"/>
    <col min="2563" max="2564" width="63.7109375" style="1" bestFit="1" customWidth="1"/>
    <col min="2565" max="2565" width="22" style="1" bestFit="1" customWidth="1"/>
    <col min="2566" max="2579" width="19" style="1" customWidth="1"/>
    <col min="2580" max="2588" width="17.5703125" style="1" customWidth="1"/>
    <col min="2589" max="2817" width="9.140625" style="1"/>
    <col min="2818" max="2818" width="14.28515625" style="1" bestFit="1" customWidth="1"/>
    <col min="2819" max="2820" width="63.7109375" style="1" bestFit="1" customWidth="1"/>
    <col min="2821" max="2821" width="22" style="1" bestFit="1" customWidth="1"/>
    <col min="2822" max="2835" width="19" style="1" customWidth="1"/>
    <col min="2836" max="2844" width="17.5703125" style="1" customWidth="1"/>
    <col min="2845" max="3073" width="9.140625" style="1"/>
    <col min="3074" max="3074" width="14.28515625" style="1" bestFit="1" customWidth="1"/>
    <col min="3075" max="3076" width="63.7109375" style="1" bestFit="1" customWidth="1"/>
    <col min="3077" max="3077" width="22" style="1" bestFit="1" customWidth="1"/>
    <col min="3078" max="3091" width="19" style="1" customWidth="1"/>
    <col min="3092" max="3100" width="17.5703125" style="1" customWidth="1"/>
    <col min="3101" max="3329" width="9.140625" style="1"/>
    <col min="3330" max="3330" width="14.28515625" style="1" bestFit="1" customWidth="1"/>
    <col min="3331" max="3332" width="63.7109375" style="1" bestFit="1" customWidth="1"/>
    <col min="3333" max="3333" width="22" style="1" bestFit="1" customWidth="1"/>
    <col min="3334" max="3347" width="19" style="1" customWidth="1"/>
    <col min="3348" max="3356" width="17.5703125" style="1" customWidth="1"/>
    <col min="3357" max="3585" width="9.140625" style="1"/>
    <col min="3586" max="3586" width="14.28515625" style="1" bestFit="1" customWidth="1"/>
    <col min="3587" max="3588" width="63.7109375" style="1" bestFit="1" customWidth="1"/>
    <col min="3589" max="3589" width="22" style="1" bestFit="1" customWidth="1"/>
    <col min="3590" max="3603" width="19" style="1" customWidth="1"/>
    <col min="3604" max="3612" width="17.5703125" style="1" customWidth="1"/>
    <col min="3613" max="3841" width="9.140625" style="1"/>
    <col min="3842" max="3842" width="14.28515625" style="1" bestFit="1" customWidth="1"/>
    <col min="3843" max="3844" width="63.7109375" style="1" bestFit="1" customWidth="1"/>
    <col min="3845" max="3845" width="22" style="1" bestFit="1" customWidth="1"/>
    <col min="3846" max="3859" width="19" style="1" customWidth="1"/>
    <col min="3860" max="3868" width="17.5703125" style="1" customWidth="1"/>
    <col min="3869" max="4097" width="9.140625" style="1"/>
    <col min="4098" max="4098" width="14.28515625" style="1" bestFit="1" customWidth="1"/>
    <col min="4099" max="4100" width="63.7109375" style="1" bestFit="1" customWidth="1"/>
    <col min="4101" max="4101" width="22" style="1" bestFit="1" customWidth="1"/>
    <col min="4102" max="4115" width="19" style="1" customWidth="1"/>
    <col min="4116" max="4124" width="17.5703125" style="1" customWidth="1"/>
    <col min="4125" max="4353" width="9.140625" style="1"/>
    <col min="4354" max="4354" width="14.28515625" style="1" bestFit="1" customWidth="1"/>
    <col min="4355" max="4356" width="63.7109375" style="1" bestFit="1" customWidth="1"/>
    <col min="4357" max="4357" width="22" style="1" bestFit="1" customWidth="1"/>
    <col min="4358" max="4371" width="19" style="1" customWidth="1"/>
    <col min="4372" max="4380" width="17.5703125" style="1" customWidth="1"/>
    <col min="4381" max="4609" width="9.140625" style="1"/>
    <col min="4610" max="4610" width="14.28515625" style="1" bestFit="1" customWidth="1"/>
    <col min="4611" max="4612" width="63.7109375" style="1" bestFit="1" customWidth="1"/>
    <col min="4613" max="4613" width="22" style="1" bestFit="1" customWidth="1"/>
    <col min="4614" max="4627" width="19" style="1" customWidth="1"/>
    <col min="4628" max="4636" width="17.5703125" style="1" customWidth="1"/>
    <col min="4637" max="4865" width="9.140625" style="1"/>
    <col min="4866" max="4866" width="14.28515625" style="1" bestFit="1" customWidth="1"/>
    <col min="4867" max="4868" width="63.7109375" style="1" bestFit="1" customWidth="1"/>
    <col min="4869" max="4869" width="22" style="1" bestFit="1" customWidth="1"/>
    <col min="4870" max="4883" width="19" style="1" customWidth="1"/>
    <col min="4884" max="4892" width="17.5703125" style="1" customWidth="1"/>
    <col min="4893" max="5121" width="9.140625" style="1"/>
    <col min="5122" max="5122" width="14.28515625" style="1" bestFit="1" customWidth="1"/>
    <col min="5123" max="5124" width="63.7109375" style="1" bestFit="1" customWidth="1"/>
    <col min="5125" max="5125" width="22" style="1" bestFit="1" customWidth="1"/>
    <col min="5126" max="5139" width="19" style="1" customWidth="1"/>
    <col min="5140" max="5148" width="17.5703125" style="1" customWidth="1"/>
    <col min="5149" max="5377" width="9.140625" style="1"/>
    <col min="5378" max="5378" width="14.28515625" style="1" bestFit="1" customWidth="1"/>
    <col min="5379" max="5380" width="63.7109375" style="1" bestFit="1" customWidth="1"/>
    <col min="5381" max="5381" width="22" style="1" bestFit="1" customWidth="1"/>
    <col min="5382" max="5395" width="19" style="1" customWidth="1"/>
    <col min="5396" max="5404" width="17.5703125" style="1" customWidth="1"/>
    <col min="5405" max="5633" width="9.140625" style="1"/>
    <col min="5634" max="5634" width="14.28515625" style="1" bestFit="1" customWidth="1"/>
    <col min="5635" max="5636" width="63.7109375" style="1" bestFit="1" customWidth="1"/>
    <col min="5637" max="5637" width="22" style="1" bestFit="1" customWidth="1"/>
    <col min="5638" max="5651" width="19" style="1" customWidth="1"/>
    <col min="5652" max="5660" width="17.5703125" style="1" customWidth="1"/>
    <col min="5661" max="5889" width="9.140625" style="1"/>
    <col min="5890" max="5890" width="14.28515625" style="1" bestFit="1" customWidth="1"/>
    <col min="5891" max="5892" width="63.7109375" style="1" bestFit="1" customWidth="1"/>
    <col min="5893" max="5893" width="22" style="1" bestFit="1" customWidth="1"/>
    <col min="5894" max="5907" width="19" style="1" customWidth="1"/>
    <col min="5908" max="5916" width="17.5703125" style="1" customWidth="1"/>
    <col min="5917" max="6145" width="9.140625" style="1"/>
    <col min="6146" max="6146" width="14.28515625" style="1" bestFit="1" customWidth="1"/>
    <col min="6147" max="6148" width="63.7109375" style="1" bestFit="1" customWidth="1"/>
    <col min="6149" max="6149" width="22" style="1" bestFit="1" customWidth="1"/>
    <col min="6150" max="6163" width="19" style="1" customWidth="1"/>
    <col min="6164" max="6172" width="17.5703125" style="1" customWidth="1"/>
    <col min="6173" max="6401" width="9.140625" style="1"/>
    <col min="6402" max="6402" width="14.28515625" style="1" bestFit="1" customWidth="1"/>
    <col min="6403" max="6404" width="63.7109375" style="1" bestFit="1" customWidth="1"/>
    <col min="6405" max="6405" width="22" style="1" bestFit="1" customWidth="1"/>
    <col min="6406" max="6419" width="19" style="1" customWidth="1"/>
    <col min="6420" max="6428" width="17.5703125" style="1" customWidth="1"/>
    <col min="6429" max="6657" width="9.140625" style="1"/>
    <col min="6658" max="6658" width="14.28515625" style="1" bestFit="1" customWidth="1"/>
    <col min="6659" max="6660" width="63.7109375" style="1" bestFit="1" customWidth="1"/>
    <col min="6661" max="6661" width="22" style="1" bestFit="1" customWidth="1"/>
    <col min="6662" max="6675" width="19" style="1" customWidth="1"/>
    <col min="6676" max="6684" width="17.5703125" style="1" customWidth="1"/>
    <col min="6685" max="6913" width="9.140625" style="1"/>
    <col min="6914" max="6914" width="14.28515625" style="1" bestFit="1" customWidth="1"/>
    <col min="6915" max="6916" width="63.7109375" style="1" bestFit="1" customWidth="1"/>
    <col min="6917" max="6917" width="22" style="1" bestFit="1" customWidth="1"/>
    <col min="6918" max="6931" width="19" style="1" customWidth="1"/>
    <col min="6932" max="6940" width="17.5703125" style="1" customWidth="1"/>
    <col min="6941" max="7169" width="9.140625" style="1"/>
    <col min="7170" max="7170" width="14.28515625" style="1" bestFit="1" customWidth="1"/>
    <col min="7171" max="7172" width="63.7109375" style="1" bestFit="1" customWidth="1"/>
    <col min="7173" max="7173" width="22" style="1" bestFit="1" customWidth="1"/>
    <col min="7174" max="7187" width="19" style="1" customWidth="1"/>
    <col min="7188" max="7196" width="17.5703125" style="1" customWidth="1"/>
    <col min="7197" max="7425" width="9.140625" style="1"/>
    <col min="7426" max="7426" width="14.28515625" style="1" bestFit="1" customWidth="1"/>
    <col min="7427" max="7428" width="63.7109375" style="1" bestFit="1" customWidth="1"/>
    <col min="7429" max="7429" width="22" style="1" bestFit="1" customWidth="1"/>
    <col min="7430" max="7443" width="19" style="1" customWidth="1"/>
    <col min="7444" max="7452" width="17.5703125" style="1" customWidth="1"/>
    <col min="7453" max="7681" width="9.140625" style="1"/>
    <col min="7682" max="7682" width="14.28515625" style="1" bestFit="1" customWidth="1"/>
    <col min="7683" max="7684" width="63.7109375" style="1" bestFit="1" customWidth="1"/>
    <col min="7685" max="7685" width="22" style="1" bestFit="1" customWidth="1"/>
    <col min="7686" max="7699" width="19" style="1" customWidth="1"/>
    <col min="7700" max="7708" width="17.5703125" style="1" customWidth="1"/>
    <col min="7709" max="7937" width="9.140625" style="1"/>
    <col min="7938" max="7938" width="14.28515625" style="1" bestFit="1" customWidth="1"/>
    <col min="7939" max="7940" width="63.7109375" style="1" bestFit="1" customWidth="1"/>
    <col min="7941" max="7941" width="22" style="1" bestFit="1" customWidth="1"/>
    <col min="7942" max="7955" width="19" style="1" customWidth="1"/>
    <col min="7956" max="7964" width="17.5703125" style="1" customWidth="1"/>
    <col min="7965" max="8193" width="9.140625" style="1"/>
    <col min="8194" max="8194" width="14.28515625" style="1" bestFit="1" customWidth="1"/>
    <col min="8195" max="8196" width="63.7109375" style="1" bestFit="1" customWidth="1"/>
    <col min="8197" max="8197" width="22" style="1" bestFit="1" customWidth="1"/>
    <col min="8198" max="8211" width="19" style="1" customWidth="1"/>
    <col min="8212" max="8220" width="17.5703125" style="1" customWidth="1"/>
    <col min="8221" max="8449" width="9.140625" style="1"/>
    <col min="8450" max="8450" width="14.28515625" style="1" bestFit="1" customWidth="1"/>
    <col min="8451" max="8452" width="63.7109375" style="1" bestFit="1" customWidth="1"/>
    <col min="8453" max="8453" width="22" style="1" bestFit="1" customWidth="1"/>
    <col min="8454" max="8467" width="19" style="1" customWidth="1"/>
    <col min="8468" max="8476" width="17.5703125" style="1" customWidth="1"/>
    <col min="8477" max="8705" width="9.140625" style="1"/>
    <col min="8706" max="8706" width="14.28515625" style="1" bestFit="1" customWidth="1"/>
    <col min="8707" max="8708" width="63.7109375" style="1" bestFit="1" customWidth="1"/>
    <col min="8709" max="8709" width="22" style="1" bestFit="1" customWidth="1"/>
    <col min="8710" max="8723" width="19" style="1" customWidth="1"/>
    <col min="8724" max="8732" width="17.5703125" style="1" customWidth="1"/>
    <col min="8733" max="8961" width="9.140625" style="1"/>
    <col min="8962" max="8962" width="14.28515625" style="1" bestFit="1" customWidth="1"/>
    <col min="8963" max="8964" width="63.7109375" style="1" bestFit="1" customWidth="1"/>
    <col min="8965" max="8965" width="22" style="1" bestFit="1" customWidth="1"/>
    <col min="8966" max="8979" width="19" style="1" customWidth="1"/>
    <col min="8980" max="8988" width="17.5703125" style="1" customWidth="1"/>
    <col min="8989" max="9217" width="9.140625" style="1"/>
    <col min="9218" max="9218" width="14.28515625" style="1" bestFit="1" customWidth="1"/>
    <col min="9219" max="9220" width="63.7109375" style="1" bestFit="1" customWidth="1"/>
    <col min="9221" max="9221" width="22" style="1" bestFit="1" customWidth="1"/>
    <col min="9222" max="9235" width="19" style="1" customWidth="1"/>
    <col min="9236" max="9244" width="17.5703125" style="1" customWidth="1"/>
    <col min="9245" max="9473" width="9.140625" style="1"/>
    <col min="9474" max="9474" width="14.28515625" style="1" bestFit="1" customWidth="1"/>
    <col min="9475" max="9476" width="63.7109375" style="1" bestFit="1" customWidth="1"/>
    <col min="9477" max="9477" width="22" style="1" bestFit="1" customWidth="1"/>
    <col min="9478" max="9491" width="19" style="1" customWidth="1"/>
    <col min="9492" max="9500" width="17.5703125" style="1" customWidth="1"/>
    <col min="9501" max="9729" width="9.140625" style="1"/>
    <col min="9730" max="9730" width="14.28515625" style="1" bestFit="1" customWidth="1"/>
    <col min="9731" max="9732" width="63.7109375" style="1" bestFit="1" customWidth="1"/>
    <col min="9733" max="9733" width="22" style="1" bestFit="1" customWidth="1"/>
    <col min="9734" max="9747" width="19" style="1" customWidth="1"/>
    <col min="9748" max="9756" width="17.5703125" style="1" customWidth="1"/>
    <col min="9757" max="9985" width="9.140625" style="1"/>
    <col min="9986" max="9986" width="14.28515625" style="1" bestFit="1" customWidth="1"/>
    <col min="9987" max="9988" width="63.7109375" style="1" bestFit="1" customWidth="1"/>
    <col min="9989" max="9989" width="22" style="1" bestFit="1" customWidth="1"/>
    <col min="9990" max="10003" width="19" style="1" customWidth="1"/>
    <col min="10004" max="10012" width="17.5703125" style="1" customWidth="1"/>
    <col min="10013" max="10241" width="9.140625" style="1"/>
    <col min="10242" max="10242" width="14.28515625" style="1" bestFit="1" customWidth="1"/>
    <col min="10243" max="10244" width="63.7109375" style="1" bestFit="1" customWidth="1"/>
    <col min="10245" max="10245" width="22" style="1" bestFit="1" customWidth="1"/>
    <col min="10246" max="10259" width="19" style="1" customWidth="1"/>
    <col min="10260" max="10268" width="17.5703125" style="1" customWidth="1"/>
    <col min="10269" max="10497" width="9.140625" style="1"/>
    <col min="10498" max="10498" width="14.28515625" style="1" bestFit="1" customWidth="1"/>
    <col min="10499" max="10500" width="63.7109375" style="1" bestFit="1" customWidth="1"/>
    <col min="10501" max="10501" width="22" style="1" bestFit="1" customWidth="1"/>
    <col min="10502" max="10515" width="19" style="1" customWidth="1"/>
    <col min="10516" max="10524" width="17.5703125" style="1" customWidth="1"/>
    <col min="10525" max="10753" width="9.140625" style="1"/>
    <col min="10754" max="10754" width="14.28515625" style="1" bestFit="1" customWidth="1"/>
    <col min="10755" max="10756" width="63.7109375" style="1" bestFit="1" customWidth="1"/>
    <col min="10757" max="10757" width="22" style="1" bestFit="1" customWidth="1"/>
    <col min="10758" max="10771" width="19" style="1" customWidth="1"/>
    <col min="10772" max="10780" width="17.5703125" style="1" customWidth="1"/>
    <col min="10781" max="11009" width="9.140625" style="1"/>
    <col min="11010" max="11010" width="14.28515625" style="1" bestFit="1" customWidth="1"/>
    <col min="11011" max="11012" width="63.7109375" style="1" bestFit="1" customWidth="1"/>
    <col min="11013" max="11013" width="22" style="1" bestFit="1" customWidth="1"/>
    <col min="11014" max="11027" width="19" style="1" customWidth="1"/>
    <col min="11028" max="11036" width="17.5703125" style="1" customWidth="1"/>
    <col min="11037" max="11265" width="9.140625" style="1"/>
    <col min="11266" max="11266" width="14.28515625" style="1" bestFit="1" customWidth="1"/>
    <col min="11267" max="11268" width="63.7109375" style="1" bestFit="1" customWidth="1"/>
    <col min="11269" max="11269" width="22" style="1" bestFit="1" customWidth="1"/>
    <col min="11270" max="11283" width="19" style="1" customWidth="1"/>
    <col min="11284" max="11292" width="17.5703125" style="1" customWidth="1"/>
    <col min="11293" max="11521" width="9.140625" style="1"/>
    <col min="11522" max="11522" width="14.28515625" style="1" bestFit="1" customWidth="1"/>
    <col min="11523" max="11524" width="63.7109375" style="1" bestFit="1" customWidth="1"/>
    <col min="11525" max="11525" width="22" style="1" bestFit="1" customWidth="1"/>
    <col min="11526" max="11539" width="19" style="1" customWidth="1"/>
    <col min="11540" max="11548" width="17.5703125" style="1" customWidth="1"/>
    <col min="11549" max="11777" width="9.140625" style="1"/>
    <col min="11778" max="11778" width="14.28515625" style="1" bestFit="1" customWidth="1"/>
    <col min="11779" max="11780" width="63.7109375" style="1" bestFit="1" customWidth="1"/>
    <col min="11781" max="11781" width="22" style="1" bestFit="1" customWidth="1"/>
    <col min="11782" max="11795" width="19" style="1" customWidth="1"/>
    <col min="11796" max="11804" width="17.5703125" style="1" customWidth="1"/>
    <col min="11805" max="12033" width="9.140625" style="1"/>
    <col min="12034" max="12034" width="14.28515625" style="1" bestFit="1" customWidth="1"/>
    <col min="12035" max="12036" width="63.7109375" style="1" bestFit="1" customWidth="1"/>
    <col min="12037" max="12037" width="22" style="1" bestFit="1" customWidth="1"/>
    <col min="12038" max="12051" width="19" style="1" customWidth="1"/>
    <col min="12052" max="12060" width="17.5703125" style="1" customWidth="1"/>
    <col min="12061" max="12289" width="9.140625" style="1"/>
    <col min="12290" max="12290" width="14.28515625" style="1" bestFit="1" customWidth="1"/>
    <col min="12291" max="12292" width="63.7109375" style="1" bestFit="1" customWidth="1"/>
    <col min="12293" max="12293" width="22" style="1" bestFit="1" customWidth="1"/>
    <col min="12294" max="12307" width="19" style="1" customWidth="1"/>
    <col min="12308" max="12316" width="17.5703125" style="1" customWidth="1"/>
    <col min="12317" max="12545" width="9.140625" style="1"/>
    <col min="12546" max="12546" width="14.28515625" style="1" bestFit="1" customWidth="1"/>
    <col min="12547" max="12548" width="63.7109375" style="1" bestFit="1" customWidth="1"/>
    <col min="12549" max="12549" width="22" style="1" bestFit="1" customWidth="1"/>
    <col min="12550" max="12563" width="19" style="1" customWidth="1"/>
    <col min="12564" max="12572" width="17.5703125" style="1" customWidth="1"/>
    <col min="12573" max="12801" width="9.140625" style="1"/>
    <col min="12802" max="12802" width="14.28515625" style="1" bestFit="1" customWidth="1"/>
    <col min="12803" max="12804" width="63.7109375" style="1" bestFit="1" customWidth="1"/>
    <col min="12805" max="12805" width="22" style="1" bestFit="1" customWidth="1"/>
    <col min="12806" max="12819" width="19" style="1" customWidth="1"/>
    <col min="12820" max="12828" width="17.5703125" style="1" customWidth="1"/>
    <col min="12829" max="13057" width="9.140625" style="1"/>
    <col min="13058" max="13058" width="14.28515625" style="1" bestFit="1" customWidth="1"/>
    <col min="13059" max="13060" width="63.7109375" style="1" bestFit="1" customWidth="1"/>
    <col min="13061" max="13061" width="22" style="1" bestFit="1" customWidth="1"/>
    <col min="13062" max="13075" width="19" style="1" customWidth="1"/>
    <col min="13076" max="13084" width="17.5703125" style="1" customWidth="1"/>
    <col min="13085" max="13313" width="9.140625" style="1"/>
    <col min="13314" max="13314" width="14.28515625" style="1" bestFit="1" customWidth="1"/>
    <col min="13315" max="13316" width="63.7109375" style="1" bestFit="1" customWidth="1"/>
    <col min="13317" max="13317" width="22" style="1" bestFit="1" customWidth="1"/>
    <col min="13318" max="13331" width="19" style="1" customWidth="1"/>
    <col min="13332" max="13340" width="17.5703125" style="1" customWidth="1"/>
    <col min="13341" max="13569" width="9.140625" style="1"/>
    <col min="13570" max="13570" width="14.28515625" style="1" bestFit="1" customWidth="1"/>
    <col min="13571" max="13572" width="63.7109375" style="1" bestFit="1" customWidth="1"/>
    <col min="13573" max="13573" width="22" style="1" bestFit="1" customWidth="1"/>
    <col min="13574" max="13587" width="19" style="1" customWidth="1"/>
    <col min="13588" max="13596" width="17.5703125" style="1" customWidth="1"/>
    <col min="13597" max="13825" width="9.140625" style="1"/>
    <col min="13826" max="13826" width="14.28515625" style="1" bestFit="1" customWidth="1"/>
    <col min="13827" max="13828" width="63.7109375" style="1" bestFit="1" customWidth="1"/>
    <col min="13829" max="13829" width="22" style="1" bestFit="1" customWidth="1"/>
    <col min="13830" max="13843" width="19" style="1" customWidth="1"/>
    <col min="13844" max="13852" width="17.5703125" style="1" customWidth="1"/>
    <col min="13853" max="14081" width="9.140625" style="1"/>
    <col min="14082" max="14082" width="14.28515625" style="1" bestFit="1" customWidth="1"/>
    <col min="14083" max="14084" width="63.7109375" style="1" bestFit="1" customWidth="1"/>
    <col min="14085" max="14085" width="22" style="1" bestFit="1" customWidth="1"/>
    <col min="14086" max="14099" width="19" style="1" customWidth="1"/>
    <col min="14100" max="14108" width="17.5703125" style="1" customWidth="1"/>
    <col min="14109" max="14337" width="9.140625" style="1"/>
    <col min="14338" max="14338" width="14.28515625" style="1" bestFit="1" customWidth="1"/>
    <col min="14339" max="14340" width="63.7109375" style="1" bestFit="1" customWidth="1"/>
    <col min="14341" max="14341" width="22" style="1" bestFit="1" customWidth="1"/>
    <col min="14342" max="14355" width="19" style="1" customWidth="1"/>
    <col min="14356" max="14364" width="17.5703125" style="1" customWidth="1"/>
    <col min="14365" max="14593" width="9.140625" style="1"/>
    <col min="14594" max="14594" width="14.28515625" style="1" bestFit="1" customWidth="1"/>
    <col min="14595" max="14596" width="63.7109375" style="1" bestFit="1" customWidth="1"/>
    <col min="14597" max="14597" width="22" style="1" bestFit="1" customWidth="1"/>
    <col min="14598" max="14611" width="19" style="1" customWidth="1"/>
    <col min="14612" max="14620" width="17.5703125" style="1" customWidth="1"/>
    <col min="14621" max="14849" width="9.140625" style="1"/>
    <col min="14850" max="14850" width="14.28515625" style="1" bestFit="1" customWidth="1"/>
    <col min="14851" max="14852" width="63.7109375" style="1" bestFit="1" customWidth="1"/>
    <col min="14853" max="14853" width="22" style="1" bestFit="1" customWidth="1"/>
    <col min="14854" max="14867" width="19" style="1" customWidth="1"/>
    <col min="14868" max="14876" width="17.5703125" style="1" customWidth="1"/>
    <col min="14877" max="15105" width="9.140625" style="1"/>
    <col min="15106" max="15106" width="14.28515625" style="1" bestFit="1" customWidth="1"/>
    <col min="15107" max="15108" width="63.7109375" style="1" bestFit="1" customWidth="1"/>
    <col min="15109" max="15109" width="22" style="1" bestFit="1" customWidth="1"/>
    <col min="15110" max="15123" width="19" style="1" customWidth="1"/>
    <col min="15124" max="15132" width="17.5703125" style="1" customWidth="1"/>
    <col min="15133" max="15361" width="9.140625" style="1"/>
    <col min="15362" max="15362" width="14.28515625" style="1" bestFit="1" customWidth="1"/>
    <col min="15363" max="15364" width="63.7109375" style="1" bestFit="1" customWidth="1"/>
    <col min="15365" max="15365" width="22" style="1" bestFit="1" customWidth="1"/>
    <col min="15366" max="15379" width="19" style="1" customWidth="1"/>
    <col min="15380" max="15388" width="17.5703125" style="1" customWidth="1"/>
    <col min="15389" max="15617" width="9.140625" style="1"/>
    <col min="15618" max="15618" width="14.28515625" style="1" bestFit="1" customWidth="1"/>
    <col min="15619" max="15620" width="63.7109375" style="1" bestFit="1" customWidth="1"/>
    <col min="15621" max="15621" width="22" style="1" bestFit="1" customWidth="1"/>
    <col min="15622" max="15635" width="19" style="1" customWidth="1"/>
    <col min="15636" max="15644" width="17.5703125" style="1" customWidth="1"/>
    <col min="15645" max="15873" width="9.140625" style="1"/>
    <col min="15874" max="15874" width="14.28515625" style="1" bestFit="1" customWidth="1"/>
    <col min="15875" max="15876" width="63.7109375" style="1" bestFit="1" customWidth="1"/>
    <col min="15877" max="15877" width="22" style="1" bestFit="1" customWidth="1"/>
    <col min="15878" max="15891" width="19" style="1" customWidth="1"/>
    <col min="15892" max="15900" width="17.5703125" style="1" customWidth="1"/>
    <col min="15901" max="16129" width="9.140625" style="1"/>
    <col min="16130" max="16130" width="14.28515625" style="1" bestFit="1" customWidth="1"/>
    <col min="16131" max="16132" width="63.7109375" style="1" bestFit="1" customWidth="1"/>
    <col min="16133" max="16133" width="22" style="1" bestFit="1" customWidth="1"/>
    <col min="16134" max="16147" width="19" style="1" customWidth="1"/>
    <col min="16148" max="16156" width="17.5703125" style="1" customWidth="1"/>
    <col min="16157" max="16384" width="9.140625" style="1"/>
  </cols>
  <sheetData>
    <row r="3" spans="1:28" ht="38.25" x14ac:dyDescent="0.2">
      <c r="E3" s="9" t="s">
        <v>155</v>
      </c>
      <c r="F3" s="9" t="s">
        <v>155</v>
      </c>
      <c r="G3" s="9" t="s">
        <v>155</v>
      </c>
      <c r="H3" s="9" t="s">
        <v>155</v>
      </c>
      <c r="I3" s="9" t="s">
        <v>155</v>
      </c>
      <c r="J3" s="9" t="s">
        <v>155</v>
      </c>
      <c r="K3" s="9" t="s">
        <v>155</v>
      </c>
      <c r="L3" s="9" t="s">
        <v>155</v>
      </c>
      <c r="M3" s="9" t="s">
        <v>155</v>
      </c>
      <c r="N3" s="9" t="s">
        <v>155</v>
      </c>
      <c r="O3" s="9" t="s">
        <v>155</v>
      </c>
      <c r="P3" s="9" t="s">
        <v>155</v>
      </c>
      <c r="Q3" s="9" t="s">
        <v>155</v>
      </c>
      <c r="R3" s="9" t="s">
        <v>155</v>
      </c>
      <c r="S3" s="9" t="s">
        <v>155</v>
      </c>
      <c r="T3" s="9" t="s">
        <v>155</v>
      </c>
      <c r="U3" s="9" t="s">
        <v>155</v>
      </c>
      <c r="V3" s="9" t="s">
        <v>155</v>
      </c>
      <c r="W3" s="9" t="s">
        <v>155</v>
      </c>
      <c r="X3" s="9" t="s">
        <v>155</v>
      </c>
      <c r="Y3" s="9" t="s">
        <v>155</v>
      </c>
      <c r="Z3" s="9" t="s">
        <v>155</v>
      </c>
      <c r="AA3" s="9" t="s">
        <v>155</v>
      </c>
      <c r="AB3" s="9" t="s">
        <v>155</v>
      </c>
    </row>
    <row r="4" spans="1:28" ht="25.5" x14ac:dyDescent="0.2">
      <c r="B4" s="2"/>
      <c r="C4" s="2"/>
      <c r="D4" s="2"/>
      <c r="E4" s="9" t="s">
        <v>156</v>
      </c>
      <c r="F4" s="9" t="s">
        <v>156</v>
      </c>
      <c r="G4" s="9" t="s">
        <v>156</v>
      </c>
      <c r="H4" s="9" t="s">
        <v>156</v>
      </c>
      <c r="I4" s="9" t="s">
        <v>156</v>
      </c>
      <c r="J4" s="9" t="s">
        <v>156</v>
      </c>
      <c r="K4" s="9" t="s">
        <v>156</v>
      </c>
      <c r="L4" s="9" t="s">
        <v>156</v>
      </c>
      <c r="M4" s="9" t="s">
        <v>156</v>
      </c>
      <c r="N4" s="9" t="s">
        <v>156</v>
      </c>
      <c r="O4" s="9" t="s">
        <v>156</v>
      </c>
      <c r="P4" s="9" t="s">
        <v>156</v>
      </c>
      <c r="Q4" s="9" t="s">
        <v>156</v>
      </c>
      <c r="R4" s="9" t="s">
        <v>156</v>
      </c>
      <c r="S4" s="9" t="s">
        <v>156</v>
      </c>
      <c r="T4" s="9" t="s">
        <v>156</v>
      </c>
      <c r="U4" s="9" t="s">
        <v>156</v>
      </c>
      <c r="V4" s="9" t="s">
        <v>156</v>
      </c>
      <c r="W4" s="9" t="s">
        <v>156</v>
      </c>
      <c r="X4" s="9" t="s">
        <v>156</v>
      </c>
      <c r="Y4" s="9" t="s">
        <v>156</v>
      </c>
      <c r="Z4" s="9" t="s">
        <v>156</v>
      </c>
      <c r="AA4" s="9" t="s">
        <v>156</v>
      </c>
      <c r="AB4" s="9" t="s">
        <v>156</v>
      </c>
    </row>
    <row r="5" spans="1:28" x14ac:dyDescent="0.2">
      <c r="A5" s="3" t="s">
        <v>0</v>
      </c>
      <c r="B5" s="4" t="s">
        <v>1</v>
      </c>
      <c r="C5" s="4" t="s">
        <v>2</v>
      </c>
      <c r="D5" s="5" t="s">
        <v>3</v>
      </c>
      <c r="E5" s="9" t="s">
        <v>462</v>
      </c>
      <c r="F5" s="9" t="s">
        <v>26</v>
      </c>
      <c r="G5" s="9" t="s">
        <v>25</v>
      </c>
      <c r="H5" s="9" t="s">
        <v>24</v>
      </c>
      <c r="I5" s="9" t="s">
        <v>23</v>
      </c>
      <c r="J5" s="9" t="s">
        <v>22</v>
      </c>
      <c r="K5" s="9" t="s">
        <v>21</v>
      </c>
      <c r="L5" s="9" t="s">
        <v>20</v>
      </c>
      <c r="M5" s="9" t="s">
        <v>19</v>
      </c>
      <c r="N5" s="9" t="s">
        <v>18</v>
      </c>
      <c r="O5" s="9" t="s">
        <v>17</v>
      </c>
      <c r="P5" s="9" t="s">
        <v>16</v>
      </c>
      <c r="Q5" s="9" t="s">
        <v>15</v>
      </c>
      <c r="R5" s="9" t="s">
        <v>14</v>
      </c>
      <c r="S5" s="9" t="s">
        <v>13</v>
      </c>
      <c r="T5" s="9" t="s">
        <v>12</v>
      </c>
      <c r="U5" s="9" t="s">
        <v>11</v>
      </c>
      <c r="V5" s="9" t="s">
        <v>10</v>
      </c>
      <c r="W5" s="9" t="s">
        <v>9</v>
      </c>
      <c r="X5" s="9" t="s">
        <v>8</v>
      </c>
      <c r="Y5" s="9" t="s">
        <v>7</v>
      </c>
      <c r="Z5" s="9" t="s">
        <v>6</v>
      </c>
      <c r="AA5" s="9" t="s">
        <v>5</v>
      </c>
      <c r="AB5" s="9" t="s">
        <v>4</v>
      </c>
    </row>
    <row r="6" spans="1:28" x14ac:dyDescent="0.2"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x14ac:dyDescent="0.2">
      <c r="B7" s="6" t="s">
        <v>27</v>
      </c>
      <c r="C7" s="6" t="s">
        <v>27</v>
      </c>
      <c r="D7" s="7">
        <v>4058513</v>
      </c>
      <c r="E7" s="206" t="s">
        <v>123</v>
      </c>
      <c r="F7" s="206" t="s">
        <v>123</v>
      </c>
      <c r="G7" s="206">
        <v>57817</v>
      </c>
      <c r="H7" s="206">
        <v>57592</v>
      </c>
      <c r="I7" s="206">
        <v>57614</v>
      </c>
      <c r="J7" s="206">
        <v>57777</v>
      </c>
      <c r="K7" s="206">
        <v>57956</v>
      </c>
      <c r="L7" s="206">
        <v>58188</v>
      </c>
      <c r="M7" s="206">
        <v>58473</v>
      </c>
      <c r="N7" s="206">
        <v>58844</v>
      </c>
      <c r="O7" s="206">
        <v>59271</v>
      </c>
      <c r="P7" s="206">
        <v>59503</v>
      </c>
      <c r="Q7" s="206">
        <v>59667</v>
      </c>
      <c r="R7" s="206">
        <v>60122</v>
      </c>
      <c r="S7" s="206">
        <v>60052</v>
      </c>
      <c r="T7" s="206">
        <v>60270</v>
      </c>
      <c r="U7" s="206">
        <v>61360</v>
      </c>
      <c r="V7" s="206">
        <v>61906</v>
      </c>
      <c r="W7" s="206">
        <v>62053</v>
      </c>
      <c r="X7" s="206">
        <v>62081</v>
      </c>
      <c r="Y7" s="206">
        <v>62224</v>
      </c>
      <c r="Z7" s="206">
        <v>63148</v>
      </c>
      <c r="AA7" s="206">
        <v>61696</v>
      </c>
      <c r="AB7" s="206">
        <v>60974</v>
      </c>
    </row>
    <row r="8" spans="1:28" x14ac:dyDescent="0.2">
      <c r="B8" s="6" t="s">
        <v>28</v>
      </c>
      <c r="C8" s="6" t="s">
        <v>28</v>
      </c>
      <c r="D8" s="7">
        <v>4054707</v>
      </c>
      <c r="E8" s="206">
        <v>1695226</v>
      </c>
      <c r="F8" s="206">
        <v>1689129</v>
      </c>
      <c r="G8" s="206">
        <v>1610603</v>
      </c>
      <c r="H8" s="206">
        <v>1595069</v>
      </c>
      <c r="I8" s="206">
        <v>1577838</v>
      </c>
      <c r="J8" s="206">
        <v>1565727</v>
      </c>
      <c r="K8" s="206">
        <v>1550319</v>
      </c>
      <c r="L8" s="206">
        <v>1532531</v>
      </c>
      <c r="M8" s="206">
        <v>1518436</v>
      </c>
      <c r="N8" s="206">
        <v>1510998</v>
      </c>
      <c r="O8" s="206">
        <v>1510957</v>
      </c>
      <c r="P8" s="206">
        <v>1512949</v>
      </c>
      <c r="Q8" s="206">
        <v>1514629</v>
      </c>
      <c r="R8" s="206">
        <v>1557230</v>
      </c>
      <c r="S8" s="206">
        <v>1558679</v>
      </c>
      <c r="T8" s="206">
        <v>1493579</v>
      </c>
      <c r="U8" s="206">
        <v>1546746</v>
      </c>
      <c r="V8" s="206">
        <v>1532615</v>
      </c>
      <c r="W8" s="206">
        <v>1527668</v>
      </c>
      <c r="X8" s="206">
        <v>1519499</v>
      </c>
      <c r="Y8" s="206">
        <v>1533343</v>
      </c>
      <c r="Z8" s="206">
        <v>1478549</v>
      </c>
      <c r="AA8" s="206">
        <v>1638195</v>
      </c>
      <c r="AB8" s="206">
        <v>1467712</v>
      </c>
    </row>
    <row r="9" spans="1:28" x14ac:dyDescent="0.2">
      <c r="B9" s="6" t="s">
        <v>29</v>
      </c>
      <c r="C9" s="6" t="s">
        <v>29</v>
      </c>
      <c r="D9" s="7">
        <v>4057075</v>
      </c>
      <c r="E9" s="206">
        <v>368491</v>
      </c>
      <c r="F9" s="206" t="s">
        <v>123</v>
      </c>
      <c r="G9" s="206">
        <v>357592</v>
      </c>
      <c r="H9" s="206">
        <v>350734</v>
      </c>
      <c r="I9" s="206">
        <v>343018</v>
      </c>
      <c r="J9" s="206">
        <v>336207</v>
      </c>
      <c r="K9" s="206">
        <v>332960</v>
      </c>
      <c r="L9" s="206">
        <v>326436</v>
      </c>
      <c r="M9" s="206">
        <v>323097</v>
      </c>
      <c r="N9" s="206">
        <v>320741</v>
      </c>
      <c r="O9" s="206">
        <v>318487</v>
      </c>
      <c r="P9" s="206">
        <v>316572</v>
      </c>
      <c r="Q9" s="206">
        <v>314325</v>
      </c>
      <c r="R9" s="206">
        <v>311232</v>
      </c>
      <c r="S9" s="206">
        <v>306180</v>
      </c>
      <c r="T9" s="206">
        <v>299224</v>
      </c>
      <c r="U9" s="206">
        <v>291118</v>
      </c>
      <c r="V9" s="206">
        <v>282317</v>
      </c>
      <c r="W9" s="206">
        <v>274404</v>
      </c>
      <c r="X9" s="206">
        <v>267704</v>
      </c>
      <c r="Y9" s="206">
        <v>262290</v>
      </c>
      <c r="Z9" s="206">
        <v>255245</v>
      </c>
      <c r="AA9" s="206">
        <v>246307</v>
      </c>
      <c r="AB9" s="206">
        <v>236733</v>
      </c>
    </row>
    <row r="10" spans="1:28" x14ac:dyDescent="0.2">
      <c r="A10" s="1" t="s">
        <v>30</v>
      </c>
      <c r="B10" s="6" t="s">
        <v>31</v>
      </c>
      <c r="C10" s="6" t="s">
        <v>31</v>
      </c>
      <c r="D10" s="7">
        <v>4007784</v>
      </c>
      <c r="E10" s="206">
        <v>552071</v>
      </c>
      <c r="F10" s="206" t="s">
        <v>123</v>
      </c>
      <c r="G10" s="206">
        <v>683808</v>
      </c>
      <c r="H10" s="206">
        <v>678043</v>
      </c>
      <c r="I10" s="206">
        <v>673937</v>
      </c>
      <c r="J10" s="206">
        <v>667902</v>
      </c>
      <c r="K10" s="206">
        <v>661548</v>
      </c>
      <c r="L10" s="206">
        <v>653826</v>
      </c>
      <c r="M10" s="206">
        <v>655693</v>
      </c>
      <c r="N10" s="206">
        <v>655055</v>
      </c>
      <c r="O10" s="206">
        <v>653154</v>
      </c>
      <c r="P10" s="206">
        <v>652594</v>
      </c>
      <c r="Q10" s="206">
        <v>650861</v>
      </c>
      <c r="R10" s="206">
        <v>648934</v>
      </c>
      <c r="S10" s="206">
        <v>646186</v>
      </c>
      <c r="T10" s="206">
        <v>640579</v>
      </c>
      <c r="U10" s="206">
        <v>634057</v>
      </c>
      <c r="V10" s="206">
        <v>624862</v>
      </c>
      <c r="W10" s="206">
        <v>617586</v>
      </c>
      <c r="X10" s="206">
        <v>609349</v>
      </c>
      <c r="Y10" s="206">
        <v>598535</v>
      </c>
      <c r="Z10" s="206">
        <v>595260</v>
      </c>
      <c r="AA10" s="206">
        <v>583866</v>
      </c>
      <c r="AB10" s="206">
        <v>573428</v>
      </c>
    </row>
    <row r="11" spans="1:28" x14ac:dyDescent="0.2">
      <c r="A11" s="1" t="s">
        <v>30</v>
      </c>
      <c r="B11" s="6" t="s">
        <v>32</v>
      </c>
      <c r="C11" s="6" t="s">
        <v>33</v>
      </c>
      <c r="D11" s="7">
        <v>4058656</v>
      </c>
      <c r="E11" s="206">
        <v>333061</v>
      </c>
      <c r="F11" s="206">
        <v>329963</v>
      </c>
      <c r="G11" s="206">
        <v>324877</v>
      </c>
      <c r="H11" s="206">
        <v>321449</v>
      </c>
      <c r="I11" s="206">
        <v>317603</v>
      </c>
      <c r="J11" s="206">
        <v>313891</v>
      </c>
      <c r="K11" s="206">
        <v>309995</v>
      </c>
      <c r="L11" s="206">
        <v>306691</v>
      </c>
      <c r="M11" s="206">
        <v>302798</v>
      </c>
      <c r="N11" s="206">
        <v>298392</v>
      </c>
      <c r="O11" s="206">
        <v>294808</v>
      </c>
      <c r="P11" s="206">
        <v>292515</v>
      </c>
      <c r="Q11" s="206">
        <v>289947</v>
      </c>
      <c r="R11" s="206">
        <v>287171</v>
      </c>
      <c r="S11" s="206">
        <v>285948</v>
      </c>
      <c r="T11" s="206">
        <v>284259</v>
      </c>
      <c r="U11" s="206">
        <v>284324</v>
      </c>
      <c r="V11" s="206">
        <v>287028</v>
      </c>
      <c r="W11" s="206">
        <v>280458</v>
      </c>
      <c r="X11" s="206">
        <v>278676</v>
      </c>
      <c r="Y11" s="206">
        <v>276635</v>
      </c>
      <c r="Z11" s="206">
        <v>283602</v>
      </c>
      <c r="AA11" s="206">
        <v>248709</v>
      </c>
      <c r="AB11" s="206">
        <v>249302</v>
      </c>
    </row>
    <row r="12" spans="1:28" x14ac:dyDescent="0.2">
      <c r="A12" s="1" t="s">
        <v>30</v>
      </c>
      <c r="B12" s="6" t="s">
        <v>34</v>
      </c>
      <c r="C12" s="6" t="s">
        <v>35</v>
      </c>
      <c r="D12" s="7">
        <v>4057110</v>
      </c>
      <c r="E12" s="206">
        <v>39647</v>
      </c>
      <c r="F12" s="206" t="s">
        <v>123</v>
      </c>
      <c r="G12" s="206">
        <v>40246</v>
      </c>
      <c r="H12" s="206">
        <v>40209</v>
      </c>
      <c r="I12" s="206">
        <v>39960</v>
      </c>
      <c r="J12" s="206">
        <v>39624</v>
      </c>
      <c r="K12" s="206">
        <v>39408</v>
      </c>
      <c r="L12" s="206">
        <v>38849</v>
      </c>
      <c r="M12" s="206">
        <v>37660</v>
      </c>
      <c r="N12" s="206">
        <v>36666</v>
      </c>
      <c r="O12" s="206">
        <v>36244</v>
      </c>
      <c r="P12" s="206">
        <v>35947</v>
      </c>
      <c r="Q12" s="206">
        <v>35903</v>
      </c>
      <c r="R12" s="206">
        <v>35633</v>
      </c>
      <c r="S12" s="206">
        <v>35468</v>
      </c>
      <c r="T12" s="206">
        <v>35293</v>
      </c>
      <c r="U12" s="206">
        <v>35229</v>
      </c>
      <c r="V12" s="206">
        <v>35231</v>
      </c>
      <c r="W12" s="206">
        <v>34508</v>
      </c>
      <c r="X12" s="206">
        <v>34469</v>
      </c>
      <c r="Y12" s="206">
        <v>33903</v>
      </c>
      <c r="Z12" s="206">
        <v>34005</v>
      </c>
      <c r="AA12" s="206">
        <v>33944</v>
      </c>
      <c r="AB12" s="206">
        <v>32854</v>
      </c>
    </row>
    <row r="13" spans="1:28" x14ac:dyDescent="0.2">
      <c r="B13" s="6" t="s">
        <v>36</v>
      </c>
      <c r="C13" s="6" t="s">
        <v>36</v>
      </c>
      <c r="D13" s="7">
        <v>4058516</v>
      </c>
      <c r="E13" s="206">
        <v>178849</v>
      </c>
      <c r="F13" s="206" t="s">
        <v>123</v>
      </c>
      <c r="G13" s="206">
        <v>171116</v>
      </c>
      <c r="H13" s="206">
        <v>168379</v>
      </c>
      <c r="I13" s="206">
        <v>166734</v>
      </c>
      <c r="J13" s="206">
        <v>164243</v>
      </c>
      <c r="K13" s="206">
        <v>161313</v>
      </c>
      <c r="L13" s="206">
        <v>158441</v>
      </c>
      <c r="M13" s="206">
        <v>156230</v>
      </c>
      <c r="N13" s="206">
        <v>154246</v>
      </c>
      <c r="O13" s="206">
        <v>153397</v>
      </c>
      <c r="P13" s="206">
        <v>153564</v>
      </c>
      <c r="Q13" s="206">
        <v>154166</v>
      </c>
      <c r="R13" s="206">
        <v>151574</v>
      </c>
      <c r="S13" s="206">
        <v>150530</v>
      </c>
      <c r="T13" s="206">
        <v>147945</v>
      </c>
      <c r="U13" s="206">
        <v>144867</v>
      </c>
      <c r="V13" s="206">
        <v>141596</v>
      </c>
      <c r="W13" s="206">
        <v>120059</v>
      </c>
      <c r="X13" s="206">
        <v>117277</v>
      </c>
      <c r="Y13" s="206">
        <v>114211</v>
      </c>
      <c r="Z13" s="206">
        <v>112401</v>
      </c>
      <c r="AA13" s="206">
        <v>109707</v>
      </c>
      <c r="AB13" s="206">
        <v>107197</v>
      </c>
    </row>
    <row r="14" spans="1:28" x14ac:dyDescent="0.2">
      <c r="B14" s="6" t="s">
        <v>37</v>
      </c>
      <c r="C14" s="6" t="s">
        <v>37</v>
      </c>
      <c r="D14" s="7">
        <v>4058793</v>
      </c>
      <c r="E14" s="206">
        <v>3452</v>
      </c>
      <c r="F14" s="206">
        <v>3411</v>
      </c>
      <c r="G14" s="206">
        <v>3309</v>
      </c>
      <c r="H14" s="206">
        <v>3303</v>
      </c>
      <c r="I14" s="206">
        <v>3312</v>
      </c>
      <c r="J14" s="206">
        <v>3286</v>
      </c>
      <c r="K14" s="206">
        <v>3480</v>
      </c>
      <c r="L14" s="206">
        <v>3390</v>
      </c>
      <c r="M14" s="206">
        <v>3425</v>
      </c>
      <c r="N14" s="206">
        <v>3414</v>
      </c>
      <c r="O14" s="206">
        <v>3435</v>
      </c>
      <c r="P14" s="206">
        <v>3497</v>
      </c>
      <c r="Q14" s="206">
        <v>3497</v>
      </c>
      <c r="R14" s="206">
        <v>3571</v>
      </c>
      <c r="S14" s="206">
        <v>3675</v>
      </c>
      <c r="T14" s="206">
        <v>3735</v>
      </c>
      <c r="U14" s="206">
        <v>3886</v>
      </c>
      <c r="V14" s="206">
        <v>3980</v>
      </c>
      <c r="W14" s="206">
        <v>4136</v>
      </c>
      <c r="X14" s="206">
        <v>4175</v>
      </c>
      <c r="Y14" s="206">
        <v>4236</v>
      </c>
      <c r="Z14" s="206">
        <v>4288</v>
      </c>
      <c r="AA14" s="206">
        <v>4194</v>
      </c>
      <c r="AB14" s="206">
        <v>4192</v>
      </c>
    </row>
    <row r="15" spans="1:28" x14ac:dyDescent="0.2">
      <c r="A15" s="1" t="s">
        <v>30</v>
      </c>
      <c r="B15" s="6" t="s">
        <v>38</v>
      </c>
      <c r="C15" s="6" t="s">
        <v>38</v>
      </c>
      <c r="D15" s="7">
        <v>4057111</v>
      </c>
      <c r="E15" s="206">
        <v>982427</v>
      </c>
      <c r="F15" s="206">
        <v>753502</v>
      </c>
      <c r="G15" s="206">
        <v>745101</v>
      </c>
      <c r="H15" s="206">
        <v>736982</v>
      </c>
      <c r="I15" s="206">
        <v>729879</v>
      </c>
      <c r="J15" s="206">
        <v>720846</v>
      </c>
      <c r="K15" s="206">
        <v>687914</v>
      </c>
      <c r="L15" s="206">
        <v>689126</v>
      </c>
      <c r="M15" s="206">
        <v>677121</v>
      </c>
      <c r="N15" s="206">
        <v>669091</v>
      </c>
      <c r="O15" s="206">
        <v>661562</v>
      </c>
      <c r="P15" s="206">
        <v>655822</v>
      </c>
      <c r="Q15" s="206">
        <v>625542</v>
      </c>
      <c r="R15" s="206">
        <v>595064</v>
      </c>
      <c r="S15" s="206">
        <v>589025</v>
      </c>
      <c r="T15" s="206">
        <v>580827</v>
      </c>
      <c r="U15" s="206">
        <v>583896</v>
      </c>
      <c r="V15" s="206">
        <v>587513</v>
      </c>
      <c r="W15" s="206">
        <v>565136</v>
      </c>
      <c r="X15" s="206">
        <v>553551</v>
      </c>
      <c r="Y15" s="206">
        <v>549389</v>
      </c>
      <c r="Z15" s="206">
        <v>542792</v>
      </c>
      <c r="AA15" s="206">
        <v>536252</v>
      </c>
      <c r="AB15" s="206">
        <v>535211</v>
      </c>
    </row>
    <row r="16" spans="1:28" x14ac:dyDescent="0.2">
      <c r="A16" s="1" t="s">
        <v>30</v>
      </c>
      <c r="B16" s="6" t="s">
        <v>39</v>
      </c>
      <c r="C16" s="6" t="s">
        <v>39</v>
      </c>
      <c r="D16" s="7">
        <v>4018679</v>
      </c>
      <c r="E16" s="206">
        <v>1265768</v>
      </c>
      <c r="F16" s="206">
        <v>1264031</v>
      </c>
      <c r="G16" s="206">
        <v>1267039</v>
      </c>
      <c r="H16" s="206">
        <v>1257521</v>
      </c>
      <c r="I16" s="206">
        <v>1251815</v>
      </c>
      <c r="J16" s="206">
        <v>1247333</v>
      </c>
      <c r="K16" s="206">
        <v>1235381</v>
      </c>
      <c r="L16" s="206">
        <v>1218949</v>
      </c>
      <c r="M16" s="206">
        <v>1216209</v>
      </c>
      <c r="N16" s="206">
        <v>1213845</v>
      </c>
      <c r="O16" s="206">
        <v>1210737</v>
      </c>
      <c r="P16" s="206">
        <v>1203688</v>
      </c>
      <c r="Q16" s="206">
        <v>1198190</v>
      </c>
      <c r="R16" s="206">
        <v>1191622</v>
      </c>
      <c r="S16" s="206">
        <v>1181854</v>
      </c>
      <c r="T16" s="206">
        <v>1176645</v>
      </c>
      <c r="U16" s="206">
        <v>1165944</v>
      </c>
      <c r="V16" s="206">
        <v>1155008</v>
      </c>
      <c r="W16" s="206">
        <v>1190085</v>
      </c>
      <c r="X16" s="206">
        <v>1245106</v>
      </c>
      <c r="Y16" s="206">
        <v>1248264</v>
      </c>
      <c r="Z16" s="206">
        <v>1191711</v>
      </c>
      <c r="AA16" s="206">
        <v>1179802</v>
      </c>
      <c r="AB16" s="206">
        <v>1172083</v>
      </c>
    </row>
    <row r="17" spans="1:28" x14ac:dyDescent="0.2">
      <c r="B17" s="6" t="s">
        <v>40</v>
      </c>
      <c r="C17" s="6" t="s">
        <v>40</v>
      </c>
      <c r="D17" s="7">
        <v>4057112</v>
      </c>
      <c r="E17" s="206">
        <v>306630</v>
      </c>
      <c r="F17" s="206">
        <v>300824</v>
      </c>
      <c r="G17" s="206">
        <v>295014</v>
      </c>
      <c r="H17" s="206">
        <v>289442</v>
      </c>
      <c r="I17" s="206">
        <v>283470</v>
      </c>
      <c r="J17" s="206">
        <v>278353</v>
      </c>
      <c r="K17" s="206">
        <v>273600</v>
      </c>
      <c r="L17" s="206">
        <v>269377</v>
      </c>
      <c r="M17" s="206">
        <v>265900</v>
      </c>
      <c r="N17" s="206">
        <v>262447</v>
      </c>
      <c r="O17" s="206">
        <v>260399</v>
      </c>
      <c r="P17" s="206">
        <v>257287</v>
      </c>
      <c r="Q17" s="206">
        <v>254210</v>
      </c>
      <c r="R17" s="206">
        <v>251742</v>
      </c>
      <c r="S17" s="206">
        <v>245969</v>
      </c>
      <c r="T17" s="206">
        <v>237842</v>
      </c>
      <c r="U17" s="206">
        <v>228224</v>
      </c>
      <c r="V17" s="206">
        <v>217336</v>
      </c>
      <c r="W17" s="206">
        <v>212428</v>
      </c>
      <c r="X17" s="206">
        <v>204735</v>
      </c>
      <c r="Y17" s="206">
        <v>199028</v>
      </c>
      <c r="Z17" s="206">
        <v>193160</v>
      </c>
      <c r="AA17" s="206">
        <v>185267</v>
      </c>
      <c r="AB17" s="206">
        <v>168569</v>
      </c>
    </row>
    <row r="18" spans="1:28" x14ac:dyDescent="0.2">
      <c r="A18" s="1" t="s">
        <v>30</v>
      </c>
      <c r="B18" s="6" t="s">
        <v>41</v>
      </c>
      <c r="C18" s="6" t="s">
        <v>41</v>
      </c>
      <c r="D18" s="7">
        <v>4057076</v>
      </c>
      <c r="E18" s="206">
        <v>83780</v>
      </c>
      <c r="F18" s="206" t="s">
        <v>123</v>
      </c>
      <c r="G18" s="206">
        <v>83755</v>
      </c>
      <c r="H18" s="206">
        <v>82462</v>
      </c>
      <c r="I18" s="206">
        <v>81141</v>
      </c>
      <c r="J18" s="206">
        <v>82692</v>
      </c>
      <c r="K18" s="206">
        <v>79096</v>
      </c>
      <c r="L18" s="206">
        <v>77835</v>
      </c>
      <c r="M18" s="206">
        <v>76708</v>
      </c>
      <c r="N18" s="206">
        <v>75700</v>
      </c>
      <c r="O18" s="206">
        <v>75395</v>
      </c>
      <c r="P18" s="206">
        <v>74932</v>
      </c>
      <c r="Q18" s="206">
        <v>74349</v>
      </c>
      <c r="R18" s="206">
        <v>74159</v>
      </c>
      <c r="S18" s="206">
        <v>73210</v>
      </c>
      <c r="T18" s="206">
        <v>72023</v>
      </c>
      <c r="U18" s="206">
        <v>70714</v>
      </c>
      <c r="V18" s="206">
        <v>69081</v>
      </c>
      <c r="W18" s="206">
        <v>67914</v>
      </c>
      <c r="X18" s="206">
        <v>66757</v>
      </c>
      <c r="Y18" s="206">
        <v>65784</v>
      </c>
      <c r="Z18" s="206">
        <v>63852</v>
      </c>
      <c r="AA18" s="206">
        <v>62605</v>
      </c>
      <c r="AB18" s="206">
        <v>62104</v>
      </c>
    </row>
    <row r="19" spans="1:28" x14ac:dyDescent="0.2">
      <c r="B19" s="6" t="s">
        <v>42</v>
      </c>
      <c r="C19" s="6" t="s">
        <v>42</v>
      </c>
      <c r="D19" s="7">
        <v>4059166</v>
      </c>
      <c r="E19" s="206" t="s">
        <v>123</v>
      </c>
      <c r="F19" s="206" t="s">
        <v>123</v>
      </c>
      <c r="G19" s="206">
        <v>66942</v>
      </c>
      <c r="H19" s="206">
        <v>66031</v>
      </c>
      <c r="I19" s="206">
        <v>65449</v>
      </c>
      <c r="J19" s="206">
        <v>64564</v>
      </c>
      <c r="K19" s="206">
        <v>63887</v>
      </c>
      <c r="L19" s="206">
        <v>63259</v>
      </c>
      <c r="M19" s="206">
        <v>63427</v>
      </c>
      <c r="N19" s="206">
        <v>63123</v>
      </c>
      <c r="O19" s="206">
        <v>62096</v>
      </c>
      <c r="P19" s="206">
        <v>61747</v>
      </c>
      <c r="Q19" s="206">
        <v>61557</v>
      </c>
      <c r="R19" s="206">
        <v>61322</v>
      </c>
      <c r="S19" s="206">
        <v>61365</v>
      </c>
      <c r="T19" s="206">
        <v>62239</v>
      </c>
      <c r="U19" s="206">
        <v>62055</v>
      </c>
      <c r="V19" s="206">
        <v>60818</v>
      </c>
      <c r="W19" s="206">
        <v>60609</v>
      </c>
      <c r="X19" s="206">
        <v>60000</v>
      </c>
      <c r="Y19" s="206">
        <v>59010</v>
      </c>
      <c r="Z19" s="206">
        <v>56480</v>
      </c>
      <c r="AA19" s="206">
        <v>56559</v>
      </c>
      <c r="AB19" s="206">
        <v>55834</v>
      </c>
    </row>
    <row r="20" spans="1:28" x14ac:dyDescent="0.2">
      <c r="B20" s="6" t="s">
        <v>43</v>
      </c>
      <c r="C20" s="6" t="s">
        <v>43</v>
      </c>
      <c r="D20" s="7">
        <v>4059227</v>
      </c>
      <c r="E20" s="206">
        <v>17865</v>
      </c>
      <c r="F20" s="206">
        <v>17930</v>
      </c>
      <c r="G20" s="206">
        <v>17794</v>
      </c>
      <c r="H20" s="206">
        <v>17849</v>
      </c>
      <c r="I20" s="206">
        <v>17475</v>
      </c>
      <c r="J20" s="206">
        <v>17359</v>
      </c>
      <c r="K20" s="206">
        <v>17299</v>
      </c>
      <c r="L20" s="206">
        <v>17265</v>
      </c>
      <c r="M20" s="206">
        <v>17203</v>
      </c>
      <c r="N20" s="206">
        <v>17114</v>
      </c>
      <c r="O20" s="206">
        <v>17185</v>
      </c>
      <c r="P20" s="206">
        <v>17170</v>
      </c>
      <c r="Q20" s="206">
        <v>17090</v>
      </c>
      <c r="R20" s="206">
        <v>17089</v>
      </c>
      <c r="S20" s="206">
        <v>17143</v>
      </c>
      <c r="T20" s="206">
        <v>17147</v>
      </c>
      <c r="U20" s="206">
        <v>16935</v>
      </c>
      <c r="V20" s="206">
        <v>16573</v>
      </c>
      <c r="W20" s="206">
        <v>16575</v>
      </c>
      <c r="X20" s="206">
        <v>16211</v>
      </c>
      <c r="Y20" s="206">
        <v>15920</v>
      </c>
      <c r="Z20" s="206">
        <v>15536</v>
      </c>
      <c r="AA20" s="206">
        <v>15130</v>
      </c>
      <c r="AB20" s="206">
        <v>14680</v>
      </c>
    </row>
    <row r="21" spans="1:28" x14ac:dyDescent="0.2">
      <c r="A21" s="1" t="s">
        <v>30</v>
      </c>
      <c r="B21" s="6" t="s">
        <v>44</v>
      </c>
      <c r="C21" s="6" t="s">
        <v>44</v>
      </c>
      <c r="D21" s="7">
        <v>4057114</v>
      </c>
      <c r="E21" s="206" t="s">
        <v>123</v>
      </c>
      <c r="F21" s="206">
        <v>216387</v>
      </c>
      <c r="G21" s="206">
        <v>217017</v>
      </c>
      <c r="H21" s="206">
        <v>214328</v>
      </c>
      <c r="I21" s="206">
        <v>212589</v>
      </c>
      <c r="J21" s="206">
        <v>211032</v>
      </c>
      <c r="K21" s="206">
        <v>204122</v>
      </c>
      <c r="L21" s="206">
        <v>203896</v>
      </c>
      <c r="M21" s="206">
        <v>200942</v>
      </c>
      <c r="N21" s="206">
        <v>198159</v>
      </c>
      <c r="O21" s="206">
        <v>195488</v>
      </c>
      <c r="P21" s="206">
        <v>200331</v>
      </c>
      <c r="Q21" s="206">
        <v>195997</v>
      </c>
      <c r="R21" s="206">
        <v>189261</v>
      </c>
      <c r="S21" s="206">
        <v>186719</v>
      </c>
      <c r="T21" s="206">
        <v>182815</v>
      </c>
      <c r="U21" s="206">
        <v>183569</v>
      </c>
      <c r="V21" s="206">
        <v>181999</v>
      </c>
      <c r="W21" s="206">
        <v>175810</v>
      </c>
      <c r="X21" s="206">
        <v>168558</v>
      </c>
      <c r="Y21" s="206">
        <v>165342</v>
      </c>
      <c r="Z21" s="206">
        <v>160712</v>
      </c>
      <c r="AA21" s="206">
        <v>157101</v>
      </c>
      <c r="AB21" s="206">
        <v>139490</v>
      </c>
    </row>
    <row r="22" spans="1:28" x14ac:dyDescent="0.2">
      <c r="B22" s="6" t="s">
        <v>45</v>
      </c>
      <c r="C22" s="6" t="s">
        <v>45</v>
      </c>
      <c r="D22" s="7">
        <v>4059355</v>
      </c>
      <c r="E22" s="206">
        <v>120776</v>
      </c>
      <c r="F22" s="206" t="s">
        <v>123</v>
      </c>
      <c r="G22" s="206">
        <v>136798</v>
      </c>
      <c r="H22" s="206">
        <v>136313</v>
      </c>
      <c r="I22" s="206">
        <v>135734</v>
      </c>
      <c r="J22" s="206">
        <v>135426</v>
      </c>
      <c r="K22" s="206">
        <v>134859</v>
      </c>
      <c r="L22" s="206">
        <v>134955</v>
      </c>
      <c r="M22" s="206">
        <v>134796</v>
      </c>
      <c r="N22" s="206">
        <v>133632</v>
      </c>
      <c r="O22" s="206">
        <v>134272</v>
      </c>
      <c r="P22" s="206">
        <v>134869</v>
      </c>
      <c r="Q22" s="206">
        <v>135605</v>
      </c>
      <c r="R22" s="206">
        <v>137538</v>
      </c>
      <c r="S22" s="206">
        <v>138697</v>
      </c>
      <c r="T22" s="206">
        <v>138819</v>
      </c>
      <c r="U22" s="206">
        <v>141506</v>
      </c>
      <c r="V22" s="206">
        <v>142057</v>
      </c>
      <c r="W22" s="206">
        <v>142857</v>
      </c>
      <c r="X22" s="206">
        <v>143179</v>
      </c>
      <c r="Y22" s="206">
        <v>142162</v>
      </c>
      <c r="Z22" s="206">
        <v>143182</v>
      </c>
      <c r="AA22" s="206">
        <v>141815</v>
      </c>
      <c r="AB22" s="206">
        <v>140078</v>
      </c>
    </row>
    <row r="23" spans="1:28" x14ac:dyDescent="0.2">
      <c r="B23" s="6" t="s">
        <v>46</v>
      </c>
      <c r="C23" s="6" t="s">
        <v>46</v>
      </c>
      <c r="D23" s="7">
        <v>4088325</v>
      </c>
      <c r="E23" s="206">
        <v>34479</v>
      </c>
      <c r="F23" s="206">
        <v>33974</v>
      </c>
      <c r="G23" s="206">
        <v>33701</v>
      </c>
      <c r="H23" s="206">
        <v>33476</v>
      </c>
      <c r="I23" s="206">
        <v>33267</v>
      </c>
      <c r="J23" s="206">
        <v>33244</v>
      </c>
      <c r="K23" s="206">
        <v>33047</v>
      </c>
      <c r="L23" s="206">
        <v>33127</v>
      </c>
      <c r="M23" s="206">
        <v>32966</v>
      </c>
      <c r="N23" s="206">
        <v>32849</v>
      </c>
      <c r="O23" s="206">
        <v>32579</v>
      </c>
      <c r="P23" s="206">
        <v>32698</v>
      </c>
      <c r="Q23" s="206">
        <v>32688</v>
      </c>
      <c r="R23" s="206">
        <v>32742</v>
      </c>
      <c r="S23" s="206">
        <v>32952</v>
      </c>
      <c r="T23" s="206">
        <v>32323</v>
      </c>
      <c r="U23" s="206">
        <v>32794</v>
      </c>
      <c r="V23" s="206">
        <v>32391</v>
      </c>
      <c r="W23" s="206">
        <v>32119</v>
      </c>
      <c r="X23" s="206">
        <v>32074</v>
      </c>
      <c r="Y23" s="206">
        <v>31856</v>
      </c>
      <c r="Z23" s="206">
        <v>32156</v>
      </c>
      <c r="AA23" s="206">
        <v>31935</v>
      </c>
      <c r="AB23" s="206">
        <v>31751</v>
      </c>
    </row>
    <row r="24" spans="1:28" x14ac:dyDescent="0.2">
      <c r="B24" s="6" t="s">
        <v>47</v>
      </c>
      <c r="C24" s="6" t="s">
        <v>47</v>
      </c>
      <c r="D24" s="7">
        <v>4088326</v>
      </c>
      <c r="E24" s="206">
        <v>1477356</v>
      </c>
      <c r="F24" s="206">
        <v>1473203</v>
      </c>
      <c r="G24" s="206">
        <v>1461631</v>
      </c>
      <c r="H24" s="206">
        <v>1452721</v>
      </c>
      <c r="I24" s="206">
        <v>1442554</v>
      </c>
      <c r="J24" s="206">
        <v>1433604</v>
      </c>
      <c r="K24" s="206">
        <v>1427440</v>
      </c>
      <c r="L24" s="206">
        <v>1423447</v>
      </c>
      <c r="M24" s="206">
        <v>1399714</v>
      </c>
      <c r="N24" s="206">
        <v>1393943</v>
      </c>
      <c r="O24" s="206">
        <v>1400364</v>
      </c>
      <c r="P24" s="206">
        <v>1404000</v>
      </c>
      <c r="Q24" s="206">
        <v>1402972</v>
      </c>
      <c r="R24" s="206">
        <v>1411356</v>
      </c>
      <c r="S24" s="206">
        <v>1415489</v>
      </c>
      <c r="T24" s="206">
        <v>1405613</v>
      </c>
      <c r="U24" s="206">
        <v>1427655</v>
      </c>
      <c r="V24" s="206">
        <v>1414686</v>
      </c>
      <c r="W24" s="206">
        <v>1401002</v>
      </c>
      <c r="X24" s="206">
        <v>1393169</v>
      </c>
      <c r="Y24" s="206">
        <v>1377511</v>
      </c>
      <c r="Z24" s="206">
        <v>1365431</v>
      </c>
      <c r="AA24" s="206">
        <v>1347672</v>
      </c>
      <c r="AB24" s="206">
        <v>1326773</v>
      </c>
    </row>
    <row r="25" spans="1:28" x14ac:dyDescent="0.2">
      <c r="A25" s="1" t="s">
        <v>30</v>
      </c>
      <c r="B25" s="6" t="s">
        <v>48</v>
      </c>
      <c r="C25" s="6" t="s">
        <v>48</v>
      </c>
      <c r="D25" s="7">
        <v>4059358</v>
      </c>
      <c r="E25" s="206">
        <v>441668</v>
      </c>
      <c r="F25" s="206">
        <v>438623</v>
      </c>
      <c r="G25" s="206">
        <v>434891</v>
      </c>
      <c r="H25" s="206">
        <v>431519</v>
      </c>
      <c r="I25" s="206">
        <v>430058</v>
      </c>
      <c r="J25" s="206">
        <v>424621</v>
      </c>
      <c r="K25" s="206">
        <v>422363</v>
      </c>
      <c r="L25" s="206">
        <v>420450</v>
      </c>
      <c r="M25" s="206">
        <v>418153</v>
      </c>
      <c r="N25" s="206">
        <v>416035</v>
      </c>
      <c r="O25" s="206">
        <v>414805</v>
      </c>
      <c r="P25" s="206">
        <v>413805</v>
      </c>
      <c r="Q25" s="206">
        <v>413010</v>
      </c>
      <c r="R25" s="206">
        <v>412675</v>
      </c>
      <c r="S25" s="206">
        <v>411214</v>
      </c>
      <c r="T25" s="206">
        <v>407032</v>
      </c>
      <c r="U25" s="206">
        <v>410336</v>
      </c>
      <c r="V25" s="206">
        <v>406378</v>
      </c>
      <c r="W25" s="206">
        <v>403442</v>
      </c>
      <c r="X25" s="206">
        <v>400547</v>
      </c>
      <c r="Y25" s="206">
        <v>396128</v>
      </c>
      <c r="Z25" s="206">
        <v>393872</v>
      </c>
      <c r="AA25" s="206">
        <v>389575</v>
      </c>
      <c r="AB25" s="206">
        <v>386039</v>
      </c>
    </row>
    <row r="26" spans="1:28" x14ac:dyDescent="0.2">
      <c r="B26" s="6" t="s">
        <v>49</v>
      </c>
      <c r="C26" s="6" t="s">
        <v>49</v>
      </c>
      <c r="D26" s="7">
        <v>4059359</v>
      </c>
      <c r="E26" s="206" t="s">
        <v>123</v>
      </c>
      <c r="F26" s="206" t="s">
        <v>123</v>
      </c>
      <c r="G26" s="206">
        <v>274302</v>
      </c>
      <c r="H26" s="206">
        <v>269812</v>
      </c>
      <c r="I26" s="206">
        <v>265534</v>
      </c>
      <c r="J26" s="206">
        <v>261526</v>
      </c>
      <c r="K26" s="206">
        <v>257535</v>
      </c>
      <c r="L26" s="206">
        <v>254662</v>
      </c>
      <c r="M26" s="206">
        <v>251203</v>
      </c>
      <c r="N26" s="206">
        <v>245303</v>
      </c>
      <c r="O26" s="206">
        <v>242816</v>
      </c>
      <c r="P26" s="206">
        <v>240699</v>
      </c>
      <c r="Q26" s="206">
        <v>238523</v>
      </c>
      <c r="R26" s="206">
        <v>236837</v>
      </c>
      <c r="S26" s="206">
        <v>235086</v>
      </c>
      <c r="T26" s="206">
        <v>229356</v>
      </c>
      <c r="U26" s="206">
        <v>229329</v>
      </c>
      <c r="V26" s="206">
        <v>218703</v>
      </c>
      <c r="W26" s="206">
        <v>211294</v>
      </c>
      <c r="X26" s="206">
        <v>205608</v>
      </c>
      <c r="Y26" s="206">
        <v>197968</v>
      </c>
      <c r="Z26" s="206">
        <v>194000</v>
      </c>
      <c r="AA26" s="206">
        <v>185711</v>
      </c>
      <c r="AB26" s="206">
        <v>175890</v>
      </c>
    </row>
    <row r="27" spans="1:28" x14ac:dyDescent="0.2">
      <c r="A27" s="1" t="s">
        <v>30</v>
      </c>
      <c r="B27" s="6" t="s">
        <v>50</v>
      </c>
      <c r="C27" s="6" t="s">
        <v>50</v>
      </c>
      <c r="D27" s="7">
        <v>4059402</v>
      </c>
      <c r="E27" s="206">
        <v>184299</v>
      </c>
      <c r="F27" s="206">
        <v>182528</v>
      </c>
      <c r="G27" s="206">
        <v>179819</v>
      </c>
      <c r="H27" s="206">
        <v>178148</v>
      </c>
      <c r="I27" s="206">
        <v>176280</v>
      </c>
      <c r="J27" s="206">
        <v>174444</v>
      </c>
      <c r="K27" s="206">
        <v>170935</v>
      </c>
      <c r="L27" s="206">
        <v>168263</v>
      </c>
      <c r="M27" s="206">
        <v>166135</v>
      </c>
      <c r="N27" s="206">
        <v>163074</v>
      </c>
      <c r="O27" s="206">
        <v>160281</v>
      </c>
      <c r="P27" s="206">
        <v>158763</v>
      </c>
      <c r="Q27" s="206">
        <v>157010</v>
      </c>
      <c r="R27" s="206">
        <v>156594</v>
      </c>
      <c r="S27" s="206">
        <v>153528</v>
      </c>
      <c r="T27" s="206">
        <v>153873</v>
      </c>
      <c r="U27" s="206">
        <v>152980</v>
      </c>
      <c r="V27" s="206">
        <v>151127</v>
      </c>
      <c r="W27" s="206">
        <v>150946</v>
      </c>
      <c r="X27" s="206">
        <v>148133</v>
      </c>
      <c r="Y27" s="206">
        <v>146941</v>
      </c>
      <c r="Z27" s="206">
        <v>155641</v>
      </c>
      <c r="AA27" s="206">
        <v>142667</v>
      </c>
      <c r="AB27" s="206">
        <v>141364</v>
      </c>
    </row>
    <row r="28" spans="1:28" x14ac:dyDescent="0.2">
      <c r="A28" s="1" t="s">
        <v>30</v>
      </c>
      <c r="B28" s="6" t="s">
        <v>51</v>
      </c>
      <c r="C28" s="6" t="s">
        <v>51</v>
      </c>
      <c r="D28" s="7">
        <v>4057080</v>
      </c>
      <c r="E28" s="206">
        <v>1146234</v>
      </c>
      <c r="F28" s="206">
        <v>1146234</v>
      </c>
      <c r="G28" s="206">
        <v>1084969</v>
      </c>
      <c r="H28" s="206">
        <v>1083189</v>
      </c>
      <c r="I28" s="206">
        <v>1077472</v>
      </c>
      <c r="J28" s="206">
        <v>1077272</v>
      </c>
      <c r="K28" s="206">
        <v>1076804</v>
      </c>
      <c r="L28" s="206">
        <v>1077211</v>
      </c>
      <c r="M28" s="206">
        <v>1069775</v>
      </c>
      <c r="N28" s="206">
        <v>1067771</v>
      </c>
      <c r="O28" s="206">
        <v>1065516</v>
      </c>
      <c r="P28" s="206">
        <v>1062611</v>
      </c>
      <c r="Q28" s="206">
        <v>1058827</v>
      </c>
      <c r="R28" s="206">
        <v>1061113</v>
      </c>
      <c r="S28" s="206">
        <v>1060346</v>
      </c>
      <c r="T28" s="206">
        <v>1148510</v>
      </c>
      <c r="U28" s="206">
        <v>1054926</v>
      </c>
      <c r="V28" s="206">
        <v>1041458</v>
      </c>
      <c r="W28" s="206">
        <v>1051147</v>
      </c>
      <c r="X28" s="206">
        <v>1048776</v>
      </c>
      <c r="Y28" s="206">
        <v>1048357</v>
      </c>
      <c r="Z28" s="206">
        <v>1048357</v>
      </c>
      <c r="AA28" s="206">
        <v>1043048</v>
      </c>
      <c r="AB28" s="206">
        <v>1037951</v>
      </c>
    </row>
    <row r="29" spans="1:28" x14ac:dyDescent="0.2">
      <c r="B29" s="6" t="s">
        <v>52</v>
      </c>
      <c r="C29" s="6" t="s">
        <v>52</v>
      </c>
      <c r="D29" s="7">
        <v>4057081</v>
      </c>
      <c r="E29" s="206">
        <v>1805614</v>
      </c>
      <c r="F29" s="206">
        <v>1797430</v>
      </c>
      <c r="G29" s="206">
        <v>1782070</v>
      </c>
      <c r="H29" s="206">
        <v>1775605</v>
      </c>
      <c r="I29" s="206">
        <v>1763786</v>
      </c>
      <c r="J29" s="206">
        <v>1749632</v>
      </c>
      <c r="K29" s="206">
        <v>1735485</v>
      </c>
      <c r="L29" s="206">
        <v>1725834</v>
      </c>
      <c r="M29" s="206">
        <v>1718462</v>
      </c>
      <c r="N29" s="206">
        <v>1710755</v>
      </c>
      <c r="O29" s="206">
        <v>1707978</v>
      </c>
      <c r="P29" s="206">
        <v>1704346</v>
      </c>
      <c r="Q29" s="206">
        <v>1702271</v>
      </c>
      <c r="R29" s="206">
        <v>1706266</v>
      </c>
      <c r="S29" s="206">
        <v>1708656</v>
      </c>
      <c r="T29" s="206">
        <v>1707708</v>
      </c>
      <c r="U29" s="206">
        <v>1696524</v>
      </c>
      <c r="V29" s="206">
        <v>1690874</v>
      </c>
      <c r="W29" s="206">
        <v>1670989</v>
      </c>
      <c r="X29" s="206">
        <v>1652309</v>
      </c>
      <c r="Y29" s="206">
        <v>1617294</v>
      </c>
      <c r="Z29" s="206">
        <v>1594484</v>
      </c>
      <c r="AA29" s="206">
        <v>1567712</v>
      </c>
      <c r="AB29" s="206">
        <v>1542448</v>
      </c>
    </row>
    <row r="30" spans="1:28" x14ac:dyDescent="0.2">
      <c r="A30" s="1" t="s">
        <v>30</v>
      </c>
      <c r="B30" s="6" t="s">
        <v>53</v>
      </c>
      <c r="C30" s="6" t="s">
        <v>53</v>
      </c>
      <c r="D30" s="7">
        <v>4059459</v>
      </c>
      <c r="E30" s="206">
        <v>15129</v>
      </c>
      <c r="F30" s="206">
        <v>14996</v>
      </c>
      <c r="G30" s="206">
        <v>14918</v>
      </c>
      <c r="H30" s="206">
        <v>14942</v>
      </c>
      <c r="I30" s="206">
        <v>14911</v>
      </c>
      <c r="J30" s="206">
        <v>14705</v>
      </c>
      <c r="K30" s="206">
        <v>14821</v>
      </c>
      <c r="L30" s="206">
        <v>14853</v>
      </c>
      <c r="M30" s="206">
        <v>14897</v>
      </c>
      <c r="N30" s="206">
        <v>14890</v>
      </c>
      <c r="O30" s="206">
        <v>14782</v>
      </c>
      <c r="P30" s="206">
        <v>14703</v>
      </c>
      <c r="Q30" s="206">
        <v>14591</v>
      </c>
      <c r="R30" s="206">
        <v>14589</v>
      </c>
      <c r="S30" s="206">
        <v>14541</v>
      </c>
      <c r="T30" s="206">
        <v>14389</v>
      </c>
      <c r="U30" s="206">
        <v>18025</v>
      </c>
      <c r="V30" s="206">
        <v>17982</v>
      </c>
      <c r="W30" s="206">
        <v>18100</v>
      </c>
      <c r="X30" s="206">
        <v>14509</v>
      </c>
      <c r="Y30" s="206">
        <v>18138</v>
      </c>
      <c r="Z30" s="206">
        <v>15234</v>
      </c>
      <c r="AA30" s="206">
        <v>14418</v>
      </c>
      <c r="AB30" s="206">
        <v>13880</v>
      </c>
    </row>
    <row r="31" spans="1:28" x14ac:dyDescent="0.2">
      <c r="B31" s="6" t="s">
        <v>54</v>
      </c>
      <c r="C31" s="6" t="s">
        <v>54</v>
      </c>
      <c r="D31" s="7">
        <v>4057118</v>
      </c>
      <c r="E31" s="206">
        <v>39548</v>
      </c>
      <c r="F31" s="206" t="s">
        <v>123</v>
      </c>
      <c r="G31" s="206">
        <v>35359</v>
      </c>
      <c r="H31" s="206">
        <v>35073</v>
      </c>
      <c r="I31" s="206">
        <v>34892</v>
      </c>
      <c r="J31" s="206">
        <v>33988</v>
      </c>
      <c r="K31" s="206">
        <v>34784</v>
      </c>
      <c r="L31" s="206">
        <v>34670</v>
      </c>
      <c r="M31" s="206">
        <v>34906</v>
      </c>
      <c r="N31" s="206">
        <v>35020</v>
      </c>
      <c r="O31" s="206">
        <v>35487</v>
      </c>
      <c r="P31" s="206">
        <v>35841</v>
      </c>
      <c r="Q31" s="206">
        <v>35933</v>
      </c>
      <c r="R31" s="206">
        <v>36353</v>
      </c>
      <c r="S31" s="206">
        <v>37053</v>
      </c>
      <c r="T31" s="206">
        <v>37387</v>
      </c>
      <c r="U31" s="206">
        <v>38408</v>
      </c>
      <c r="V31" s="206">
        <v>38862</v>
      </c>
      <c r="W31" s="206">
        <v>39190</v>
      </c>
      <c r="X31" s="206">
        <v>39123</v>
      </c>
      <c r="Y31" s="206">
        <v>39001</v>
      </c>
      <c r="Z31" s="206">
        <v>38960</v>
      </c>
      <c r="AA31" s="206">
        <v>37963</v>
      </c>
      <c r="AB31" s="206">
        <v>37165</v>
      </c>
    </row>
    <row r="32" spans="1:28" x14ac:dyDescent="0.2">
      <c r="B32" s="6" t="s">
        <v>55</v>
      </c>
      <c r="C32" s="6" t="s">
        <v>55</v>
      </c>
      <c r="D32" s="7">
        <v>4057126</v>
      </c>
      <c r="E32" s="206">
        <v>1311708</v>
      </c>
      <c r="F32" s="206">
        <v>1297879</v>
      </c>
      <c r="G32" s="206">
        <v>1282616</v>
      </c>
      <c r="H32" s="206">
        <v>1269747</v>
      </c>
      <c r="I32" s="206">
        <v>1258833</v>
      </c>
      <c r="J32" s="206">
        <v>1248445</v>
      </c>
      <c r="K32" s="206">
        <v>1237630</v>
      </c>
      <c r="L32" s="206">
        <v>1230912</v>
      </c>
      <c r="M32" s="206">
        <v>1224805</v>
      </c>
      <c r="N32" s="206">
        <v>1219332</v>
      </c>
      <c r="O32" s="206">
        <v>1216332</v>
      </c>
      <c r="P32" s="206">
        <v>1217422</v>
      </c>
      <c r="Q32" s="206">
        <v>1227402</v>
      </c>
      <c r="R32" s="206">
        <v>1241847</v>
      </c>
      <c r="S32" s="206">
        <v>1252143</v>
      </c>
      <c r="T32" s="206">
        <v>1260160</v>
      </c>
      <c r="U32" s="206">
        <v>1260591</v>
      </c>
      <c r="V32" s="206">
        <v>1250238</v>
      </c>
      <c r="W32" s="206">
        <v>1254062</v>
      </c>
      <c r="X32" s="206">
        <v>1252052</v>
      </c>
      <c r="Y32" s="206">
        <v>1209335</v>
      </c>
      <c r="Z32" s="206">
        <v>1206421</v>
      </c>
      <c r="AA32" s="206">
        <v>1195781</v>
      </c>
      <c r="AB32" s="206">
        <v>1177240</v>
      </c>
    </row>
    <row r="33" spans="1:28" x14ac:dyDescent="0.2">
      <c r="B33" s="6" t="s">
        <v>56</v>
      </c>
      <c r="C33" s="6" t="s">
        <v>56</v>
      </c>
      <c r="D33" s="7">
        <v>4057103</v>
      </c>
      <c r="E33" s="206" t="s">
        <v>123</v>
      </c>
      <c r="F33" s="206" t="s">
        <v>123</v>
      </c>
      <c r="G33" s="206">
        <v>70226</v>
      </c>
      <c r="H33" s="206">
        <v>99379</v>
      </c>
      <c r="I33" s="206">
        <v>98448</v>
      </c>
      <c r="J33" s="206">
        <v>97812</v>
      </c>
      <c r="K33" s="206">
        <v>96986</v>
      </c>
      <c r="L33" s="206">
        <v>96502</v>
      </c>
      <c r="M33" s="206">
        <v>95949</v>
      </c>
      <c r="N33" s="206">
        <v>95590</v>
      </c>
      <c r="O33" s="206">
        <v>95003</v>
      </c>
      <c r="P33" s="206">
        <v>95007</v>
      </c>
      <c r="Q33" s="206">
        <v>95090</v>
      </c>
      <c r="R33" s="206">
        <v>95386</v>
      </c>
      <c r="S33" s="206">
        <v>94782</v>
      </c>
      <c r="T33" s="206">
        <v>93625</v>
      </c>
      <c r="U33" s="206">
        <v>92402</v>
      </c>
      <c r="V33" s="206">
        <v>90613</v>
      </c>
      <c r="W33" s="206">
        <v>88817</v>
      </c>
      <c r="X33" s="206">
        <v>87081</v>
      </c>
      <c r="Y33" s="206">
        <v>85568</v>
      </c>
      <c r="Z33" s="206">
        <v>83362</v>
      </c>
      <c r="AA33" s="206">
        <v>81233</v>
      </c>
      <c r="AB33" s="206">
        <v>78989</v>
      </c>
    </row>
    <row r="34" spans="1:28" x14ac:dyDescent="0.2">
      <c r="B34" s="6" t="s">
        <v>57</v>
      </c>
      <c r="C34" s="6" t="s">
        <v>57</v>
      </c>
      <c r="D34" s="7">
        <v>4057079</v>
      </c>
      <c r="E34" s="206">
        <v>443103</v>
      </c>
      <c r="F34" s="206">
        <v>439337</v>
      </c>
      <c r="G34" s="206">
        <v>434779</v>
      </c>
      <c r="H34" s="206">
        <v>431666</v>
      </c>
      <c r="I34" s="206">
        <v>428037</v>
      </c>
      <c r="J34" s="206">
        <v>424793</v>
      </c>
      <c r="K34" s="206">
        <v>422871</v>
      </c>
      <c r="L34" s="206">
        <v>421664</v>
      </c>
      <c r="M34" s="206">
        <v>419089</v>
      </c>
      <c r="N34" s="206">
        <v>418328</v>
      </c>
      <c r="O34" s="206">
        <v>417466</v>
      </c>
      <c r="P34" s="206">
        <v>418137</v>
      </c>
      <c r="Q34" s="206">
        <v>420435</v>
      </c>
      <c r="R34" s="206">
        <v>424306</v>
      </c>
      <c r="S34" s="206">
        <v>423570</v>
      </c>
      <c r="T34" s="206">
        <v>421167</v>
      </c>
      <c r="U34" s="206">
        <v>418167</v>
      </c>
      <c r="V34" s="206">
        <v>414231</v>
      </c>
      <c r="W34" s="206">
        <v>409932</v>
      </c>
      <c r="X34" s="206">
        <v>405745</v>
      </c>
      <c r="Y34" s="206">
        <v>403688</v>
      </c>
      <c r="Z34" s="206">
        <v>393674</v>
      </c>
      <c r="AA34" s="206">
        <v>384716</v>
      </c>
      <c r="AB34" s="206">
        <v>377204</v>
      </c>
    </row>
    <row r="35" spans="1:28" x14ac:dyDescent="0.2">
      <c r="B35" s="6" t="s">
        <v>58</v>
      </c>
      <c r="C35" s="6" t="s">
        <v>59</v>
      </c>
      <c r="D35" s="7">
        <v>4081251</v>
      </c>
      <c r="E35" s="206" t="s">
        <v>123</v>
      </c>
      <c r="F35" s="206" t="s">
        <v>123</v>
      </c>
      <c r="G35" s="206">
        <v>1272</v>
      </c>
      <c r="H35" s="206">
        <v>1257</v>
      </c>
      <c r="I35" s="206">
        <v>1245</v>
      </c>
      <c r="J35" s="206">
        <v>1237</v>
      </c>
      <c r="K35" s="206">
        <v>1219</v>
      </c>
      <c r="L35" s="206">
        <v>1205</v>
      </c>
      <c r="M35" s="206">
        <v>1202</v>
      </c>
      <c r="N35" s="206">
        <v>1202</v>
      </c>
      <c r="O35" s="206">
        <v>1200</v>
      </c>
      <c r="P35" s="206">
        <v>1190</v>
      </c>
      <c r="Q35" s="206">
        <v>1197</v>
      </c>
      <c r="R35" s="206">
        <v>1200</v>
      </c>
      <c r="S35" s="206">
        <v>1187</v>
      </c>
      <c r="T35" s="206">
        <v>1186</v>
      </c>
      <c r="U35" s="206">
        <v>1196</v>
      </c>
      <c r="V35" s="206">
        <v>1168</v>
      </c>
      <c r="W35" s="206">
        <v>1168</v>
      </c>
      <c r="X35" s="206">
        <v>1164</v>
      </c>
      <c r="Y35" s="206">
        <v>1164</v>
      </c>
      <c r="Z35" s="206">
        <v>1171</v>
      </c>
      <c r="AA35" s="206">
        <v>1149</v>
      </c>
      <c r="AB35" s="206">
        <v>1133</v>
      </c>
    </row>
    <row r="36" spans="1:28" x14ac:dyDescent="0.2">
      <c r="B36" s="6" t="s">
        <v>60</v>
      </c>
      <c r="C36" s="6" t="s">
        <v>60</v>
      </c>
      <c r="D36" s="7">
        <v>4060572</v>
      </c>
      <c r="E36" s="206">
        <v>111656</v>
      </c>
      <c r="F36" s="206" t="s">
        <v>123</v>
      </c>
      <c r="G36" s="206">
        <v>111086</v>
      </c>
      <c r="H36" s="206">
        <v>111464</v>
      </c>
      <c r="I36" s="206">
        <v>111607</v>
      </c>
      <c r="J36" s="206">
        <v>112342</v>
      </c>
      <c r="K36" s="206">
        <v>112023</v>
      </c>
      <c r="L36" s="206">
        <v>112648</v>
      </c>
      <c r="M36" s="206">
        <v>113268</v>
      </c>
      <c r="N36" s="206">
        <v>113310</v>
      </c>
      <c r="O36" s="206">
        <v>113485</v>
      </c>
      <c r="P36" s="206">
        <v>113472</v>
      </c>
      <c r="Q36" s="206">
        <v>113704</v>
      </c>
      <c r="R36" s="206">
        <v>114156</v>
      </c>
      <c r="S36" s="206">
        <v>114601</v>
      </c>
      <c r="T36" s="206">
        <v>115104</v>
      </c>
      <c r="U36" s="206">
        <v>115518</v>
      </c>
      <c r="V36" s="206">
        <v>115758</v>
      </c>
      <c r="W36" s="206">
        <v>115829</v>
      </c>
      <c r="X36" s="206">
        <v>116185</v>
      </c>
      <c r="Y36" s="206">
        <v>116803</v>
      </c>
      <c r="Z36" s="206">
        <v>115374</v>
      </c>
      <c r="AA36" s="206">
        <v>115542</v>
      </c>
      <c r="AB36" s="206">
        <v>114186</v>
      </c>
    </row>
    <row r="37" spans="1:28" x14ac:dyDescent="0.2">
      <c r="B37" s="6" t="s">
        <v>61</v>
      </c>
      <c r="C37" s="6" t="s">
        <v>61</v>
      </c>
      <c r="D37" s="7">
        <v>4083318</v>
      </c>
      <c r="E37" s="206">
        <v>9413</v>
      </c>
      <c r="F37" s="206">
        <v>9427</v>
      </c>
      <c r="G37" s="206">
        <v>9368</v>
      </c>
      <c r="H37" s="206">
        <v>9413</v>
      </c>
      <c r="I37" s="206">
        <v>9461</v>
      </c>
      <c r="J37" s="206">
        <v>9530</v>
      </c>
      <c r="K37" s="206">
        <v>9538</v>
      </c>
      <c r="L37" s="206">
        <v>9572</v>
      </c>
      <c r="M37" s="206">
        <v>9599</v>
      </c>
      <c r="N37" s="206">
        <v>9647</v>
      </c>
      <c r="O37" s="206">
        <v>9694</v>
      </c>
      <c r="P37" s="206">
        <v>9727</v>
      </c>
      <c r="Q37" s="206">
        <v>9723</v>
      </c>
      <c r="R37" s="206">
        <v>9745</v>
      </c>
      <c r="S37" s="206">
        <v>9817</v>
      </c>
      <c r="T37" s="206">
        <v>9937</v>
      </c>
      <c r="U37" s="206">
        <v>10018</v>
      </c>
      <c r="V37" s="206">
        <v>10134</v>
      </c>
      <c r="W37" s="206">
        <v>10242</v>
      </c>
      <c r="X37" s="206">
        <v>10309</v>
      </c>
      <c r="Y37" s="206">
        <v>10253</v>
      </c>
      <c r="Z37" s="206">
        <v>10863</v>
      </c>
      <c r="AA37" s="206">
        <v>11021</v>
      </c>
      <c r="AB37" s="206">
        <v>10347</v>
      </c>
    </row>
    <row r="38" spans="1:28" x14ac:dyDescent="0.2">
      <c r="B38" s="6" t="s">
        <v>62</v>
      </c>
      <c r="C38" s="6" t="s">
        <v>62</v>
      </c>
      <c r="D38" s="7">
        <v>4057125</v>
      </c>
      <c r="E38" s="206">
        <v>633975</v>
      </c>
      <c r="F38" s="206">
        <v>625662</v>
      </c>
      <c r="G38" s="206">
        <v>615854</v>
      </c>
      <c r="H38" s="206">
        <v>608071</v>
      </c>
      <c r="I38" s="206">
        <v>601796</v>
      </c>
      <c r="J38" s="206">
        <v>596121</v>
      </c>
      <c r="K38" s="206">
        <v>588102</v>
      </c>
      <c r="L38" s="206">
        <v>583493</v>
      </c>
      <c r="M38" s="206">
        <v>579322</v>
      </c>
      <c r="N38" s="206">
        <v>573589</v>
      </c>
      <c r="O38" s="206">
        <v>570003</v>
      </c>
      <c r="P38" s="206">
        <v>570115</v>
      </c>
      <c r="Q38" s="206">
        <v>567583</v>
      </c>
      <c r="R38" s="206">
        <v>568291</v>
      </c>
      <c r="S38" s="206">
        <v>568632</v>
      </c>
      <c r="T38" s="206">
        <v>554289</v>
      </c>
      <c r="U38" s="206">
        <v>550107</v>
      </c>
      <c r="V38" s="206">
        <v>542472</v>
      </c>
      <c r="W38" s="206">
        <v>536221</v>
      </c>
      <c r="X38" s="206">
        <v>532687</v>
      </c>
      <c r="Y38" s="206">
        <v>521702</v>
      </c>
      <c r="Z38" s="206">
        <v>563212</v>
      </c>
      <c r="AA38" s="206">
        <v>500215</v>
      </c>
      <c r="AB38" s="206">
        <v>488802</v>
      </c>
    </row>
    <row r="39" spans="1:28" x14ac:dyDescent="0.2">
      <c r="B39" s="6" t="s">
        <v>63</v>
      </c>
      <c r="C39" s="6" t="s">
        <v>63</v>
      </c>
      <c r="D39" s="7">
        <v>4087741</v>
      </c>
      <c r="E39" s="206" t="s">
        <v>123</v>
      </c>
      <c r="F39" s="206" t="s">
        <v>123</v>
      </c>
      <c r="G39" s="206">
        <v>639887</v>
      </c>
      <c r="H39" s="206">
        <v>639409</v>
      </c>
      <c r="I39" s="206">
        <v>638119</v>
      </c>
      <c r="J39" s="206">
        <v>636643</v>
      </c>
      <c r="K39" s="206">
        <v>634980</v>
      </c>
      <c r="L39" s="206">
        <v>634130</v>
      </c>
      <c r="M39" s="206">
        <v>632638</v>
      </c>
      <c r="N39" s="206">
        <v>632796</v>
      </c>
      <c r="O39" s="206">
        <v>632020</v>
      </c>
      <c r="P39" s="206">
        <v>632170</v>
      </c>
      <c r="Q39" s="206">
        <v>632447</v>
      </c>
      <c r="R39" s="206">
        <v>643537</v>
      </c>
      <c r="S39" s="206">
        <v>642227</v>
      </c>
      <c r="T39" s="206">
        <v>643547</v>
      </c>
      <c r="U39" s="206">
        <v>642219</v>
      </c>
      <c r="V39" s="206">
        <v>643647</v>
      </c>
      <c r="W39" s="206">
        <v>642237</v>
      </c>
      <c r="X39" s="206">
        <v>638502</v>
      </c>
      <c r="Y39" s="206">
        <v>635070</v>
      </c>
      <c r="Z39" s="206">
        <v>669256</v>
      </c>
      <c r="AA39" s="206">
        <v>663147</v>
      </c>
      <c r="AB39" s="206">
        <v>658199</v>
      </c>
    </row>
    <row r="40" spans="1:28" x14ac:dyDescent="0.2">
      <c r="B40" s="6" t="s">
        <v>64</v>
      </c>
      <c r="C40" s="6" t="s">
        <v>64</v>
      </c>
      <c r="D40" s="7">
        <v>4059875</v>
      </c>
      <c r="E40" s="206" t="s">
        <v>123</v>
      </c>
      <c r="F40" s="206">
        <v>97621</v>
      </c>
      <c r="G40" s="206">
        <v>95557</v>
      </c>
      <c r="H40" s="206">
        <v>94027</v>
      </c>
      <c r="I40" s="206">
        <v>92815</v>
      </c>
      <c r="J40" s="206">
        <v>90950</v>
      </c>
      <c r="K40" s="206">
        <v>90334</v>
      </c>
      <c r="L40" s="206">
        <v>87021</v>
      </c>
      <c r="M40" s="206">
        <v>86697</v>
      </c>
      <c r="N40" s="206">
        <v>88700</v>
      </c>
      <c r="O40" s="206">
        <v>85070</v>
      </c>
      <c r="P40" s="206">
        <v>85070</v>
      </c>
      <c r="Q40" s="206">
        <v>87466</v>
      </c>
      <c r="R40" s="206">
        <v>87440</v>
      </c>
      <c r="S40" s="206">
        <v>84396</v>
      </c>
      <c r="T40" s="206">
        <v>84081</v>
      </c>
      <c r="U40" s="206">
        <v>83873</v>
      </c>
      <c r="V40" s="206">
        <v>77630</v>
      </c>
      <c r="W40" s="206">
        <v>77494</v>
      </c>
      <c r="X40" s="206">
        <v>77110</v>
      </c>
      <c r="Y40" s="206">
        <v>74959</v>
      </c>
      <c r="Z40" s="206">
        <v>72993</v>
      </c>
      <c r="AA40" s="206">
        <v>73050</v>
      </c>
      <c r="AB40" s="206">
        <v>71111</v>
      </c>
    </row>
    <row r="41" spans="1:28" x14ac:dyDescent="0.2">
      <c r="B41" s="6" t="s">
        <v>65</v>
      </c>
      <c r="C41" s="6" t="s">
        <v>65</v>
      </c>
      <c r="D41" s="7">
        <v>4057090</v>
      </c>
      <c r="E41" s="206">
        <v>331919</v>
      </c>
      <c r="F41" s="206" t="s">
        <v>123</v>
      </c>
      <c r="G41" s="206">
        <v>327941</v>
      </c>
      <c r="H41" s="206">
        <v>325786</v>
      </c>
      <c r="I41" s="206">
        <v>324488</v>
      </c>
      <c r="J41" s="206">
        <v>322525</v>
      </c>
      <c r="K41" s="206">
        <v>321006</v>
      </c>
      <c r="L41" s="206">
        <v>319939</v>
      </c>
      <c r="M41" s="206">
        <v>319070</v>
      </c>
      <c r="N41" s="206">
        <v>318029</v>
      </c>
      <c r="O41" s="206">
        <v>318661</v>
      </c>
      <c r="P41" s="206">
        <v>320567</v>
      </c>
      <c r="Q41" s="206">
        <v>316003</v>
      </c>
      <c r="R41" s="206">
        <v>313842</v>
      </c>
      <c r="S41" s="206">
        <v>325562</v>
      </c>
      <c r="T41" s="206">
        <v>323170</v>
      </c>
      <c r="U41" s="206">
        <v>320305</v>
      </c>
      <c r="V41" s="206">
        <v>316311</v>
      </c>
      <c r="W41" s="206">
        <v>312151</v>
      </c>
      <c r="X41" s="206">
        <v>308344</v>
      </c>
      <c r="Y41" s="206">
        <v>303153</v>
      </c>
      <c r="Z41" s="206">
        <v>297754</v>
      </c>
      <c r="AA41" s="206">
        <v>293218</v>
      </c>
      <c r="AB41" s="206">
        <v>286879</v>
      </c>
    </row>
    <row r="42" spans="1:28" x14ac:dyDescent="0.2">
      <c r="B42" s="6" t="s">
        <v>66</v>
      </c>
      <c r="C42" s="6" t="s">
        <v>66</v>
      </c>
      <c r="D42" s="7">
        <v>4008754</v>
      </c>
      <c r="E42" s="206">
        <v>167774</v>
      </c>
      <c r="F42" s="206">
        <v>165866</v>
      </c>
      <c r="G42" s="206">
        <v>162825</v>
      </c>
      <c r="H42" s="206">
        <v>159665</v>
      </c>
      <c r="I42" s="206">
        <v>156581</v>
      </c>
      <c r="J42" s="206">
        <v>154240</v>
      </c>
      <c r="K42" s="206">
        <v>151080</v>
      </c>
      <c r="L42" s="206">
        <v>148124</v>
      </c>
      <c r="M42" s="206">
        <v>146426</v>
      </c>
      <c r="N42" s="206">
        <v>145080</v>
      </c>
      <c r="O42" s="206">
        <v>144051</v>
      </c>
      <c r="P42" s="206">
        <v>143155</v>
      </c>
      <c r="Q42" s="206">
        <v>142383</v>
      </c>
      <c r="R42" s="206">
        <v>141488</v>
      </c>
      <c r="S42" s="206">
        <v>139131</v>
      </c>
      <c r="T42" s="206">
        <v>137439</v>
      </c>
      <c r="U42" s="206">
        <v>134495</v>
      </c>
      <c r="V42" s="206">
        <v>131674</v>
      </c>
      <c r="W42" s="206">
        <v>128815</v>
      </c>
      <c r="X42" s="206">
        <v>124416</v>
      </c>
      <c r="Y42" s="206">
        <v>117091</v>
      </c>
      <c r="Z42" s="206">
        <v>113784</v>
      </c>
      <c r="AA42" s="206">
        <v>111491</v>
      </c>
      <c r="AB42" s="206">
        <v>108415</v>
      </c>
    </row>
    <row r="43" spans="1:28" x14ac:dyDescent="0.2">
      <c r="B43" s="6" t="s">
        <v>67</v>
      </c>
      <c r="C43" s="6" t="s">
        <v>67</v>
      </c>
      <c r="D43" s="7">
        <v>4061474</v>
      </c>
      <c r="E43" s="206" t="s">
        <v>123</v>
      </c>
      <c r="F43" s="206">
        <v>14831</v>
      </c>
      <c r="G43" s="206">
        <v>14406</v>
      </c>
      <c r="H43" s="206">
        <v>14228</v>
      </c>
      <c r="I43" s="206">
        <v>14088</v>
      </c>
      <c r="J43" s="206">
        <v>13959</v>
      </c>
      <c r="K43" s="206">
        <v>13898</v>
      </c>
      <c r="L43" s="206">
        <v>13774</v>
      </c>
      <c r="M43" s="206">
        <v>13690</v>
      </c>
      <c r="N43" s="206">
        <v>13696</v>
      </c>
      <c r="O43" s="206">
        <v>13796</v>
      </c>
      <c r="P43" s="206">
        <v>13888</v>
      </c>
      <c r="Q43" s="206">
        <v>14002</v>
      </c>
      <c r="R43" s="206">
        <v>14184</v>
      </c>
      <c r="S43" s="206">
        <v>14360</v>
      </c>
      <c r="T43" s="206">
        <v>14777</v>
      </c>
      <c r="U43" s="206">
        <v>15070</v>
      </c>
      <c r="V43" s="206">
        <v>15196</v>
      </c>
      <c r="W43" s="206">
        <v>15449</v>
      </c>
      <c r="X43" s="206">
        <v>12137</v>
      </c>
      <c r="Y43" s="206">
        <v>12044</v>
      </c>
      <c r="Z43" s="206">
        <v>12490</v>
      </c>
      <c r="AA43" s="206">
        <v>12323</v>
      </c>
      <c r="AB43" s="206">
        <v>11979</v>
      </c>
    </row>
    <row r="44" spans="1:28" x14ac:dyDescent="0.2">
      <c r="B44" s="6" t="s">
        <v>68</v>
      </c>
      <c r="C44" s="6" t="s">
        <v>68</v>
      </c>
      <c r="D44" s="7">
        <v>4076679</v>
      </c>
      <c r="E44" s="206">
        <v>18294</v>
      </c>
      <c r="F44" s="206">
        <v>17948</v>
      </c>
      <c r="G44" s="206">
        <v>17435</v>
      </c>
      <c r="H44" s="206">
        <v>17000</v>
      </c>
      <c r="I44" s="206">
        <v>16685</v>
      </c>
      <c r="J44" s="206">
        <v>16330</v>
      </c>
      <c r="K44" s="206">
        <v>15950</v>
      </c>
      <c r="L44" s="206">
        <v>15565</v>
      </c>
      <c r="M44" s="206">
        <v>15332</v>
      </c>
      <c r="N44" s="206">
        <v>15076</v>
      </c>
      <c r="O44" s="206">
        <v>14791</v>
      </c>
      <c r="P44" s="206">
        <v>14601</v>
      </c>
      <c r="Q44" s="206">
        <v>14374</v>
      </c>
      <c r="R44" s="206">
        <v>14208</v>
      </c>
      <c r="S44" s="206">
        <v>13969</v>
      </c>
      <c r="T44" s="206">
        <v>13637</v>
      </c>
      <c r="U44" s="206">
        <v>13277</v>
      </c>
      <c r="V44" s="206">
        <v>12854</v>
      </c>
      <c r="W44" s="206">
        <v>12420</v>
      </c>
      <c r="X44" s="206">
        <v>11914</v>
      </c>
      <c r="Y44" s="206">
        <v>11421</v>
      </c>
      <c r="Z44" s="206">
        <v>11180</v>
      </c>
      <c r="AA44" s="206">
        <v>10669</v>
      </c>
      <c r="AB44" s="206">
        <v>10625</v>
      </c>
    </row>
    <row r="45" spans="1:28" x14ac:dyDescent="0.2">
      <c r="B45" s="6" t="s">
        <v>69</v>
      </c>
      <c r="C45" s="6" t="s">
        <v>69</v>
      </c>
      <c r="D45" s="7">
        <v>4061634</v>
      </c>
      <c r="E45" s="206">
        <v>216034</v>
      </c>
      <c r="F45" s="206" t="s">
        <v>123</v>
      </c>
      <c r="G45" s="206">
        <v>215520</v>
      </c>
      <c r="H45" s="206">
        <v>216334</v>
      </c>
      <c r="I45" s="206">
        <v>216598</v>
      </c>
      <c r="J45" s="206">
        <v>216955</v>
      </c>
      <c r="K45" s="206">
        <v>217741</v>
      </c>
      <c r="L45" s="206">
        <v>218297</v>
      </c>
      <c r="M45" s="206">
        <v>218789</v>
      </c>
      <c r="N45" s="206">
        <v>218828</v>
      </c>
      <c r="O45" s="206">
        <v>220575</v>
      </c>
      <c r="P45" s="206">
        <v>217480</v>
      </c>
      <c r="Q45" s="206">
        <v>216812</v>
      </c>
      <c r="R45" s="206">
        <v>219696</v>
      </c>
      <c r="S45" s="206">
        <v>218981</v>
      </c>
      <c r="T45" s="206">
        <v>221898</v>
      </c>
      <c r="U45" s="206">
        <v>221844</v>
      </c>
      <c r="V45" s="206">
        <v>202850</v>
      </c>
      <c r="W45" s="206">
        <v>204788</v>
      </c>
      <c r="X45" s="206">
        <v>205740</v>
      </c>
      <c r="Y45" s="206">
        <v>206630</v>
      </c>
      <c r="Z45" s="206">
        <v>211411</v>
      </c>
      <c r="AA45" s="206">
        <v>201549</v>
      </c>
      <c r="AB45" s="206">
        <v>203573</v>
      </c>
    </row>
    <row r="46" spans="1:28" x14ac:dyDescent="0.2">
      <c r="B46" s="6" t="s">
        <v>70</v>
      </c>
      <c r="C46" s="6" t="s">
        <v>70</v>
      </c>
      <c r="D46" s="7">
        <v>4061687</v>
      </c>
      <c r="E46" s="206">
        <v>754417</v>
      </c>
      <c r="F46" s="206">
        <v>749424</v>
      </c>
      <c r="G46" s="206">
        <v>743657</v>
      </c>
      <c r="H46" s="206">
        <v>751327</v>
      </c>
      <c r="I46" s="206">
        <v>744863</v>
      </c>
      <c r="J46" s="206">
        <v>742533</v>
      </c>
      <c r="K46" s="206">
        <v>740655</v>
      </c>
      <c r="L46" s="206">
        <v>738407</v>
      </c>
      <c r="M46" s="206">
        <v>735658</v>
      </c>
      <c r="N46" s="206">
        <v>733125</v>
      </c>
      <c r="O46" s="206">
        <v>732045</v>
      </c>
      <c r="P46" s="206">
        <v>729323</v>
      </c>
      <c r="Q46" s="206">
        <v>727440</v>
      </c>
      <c r="R46" s="206">
        <v>727735</v>
      </c>
      <c r="S46" s="206">
        <v>725371</v>
      </c>
      <c r="T46" s="206">
        <v>719244</v>
      </c>
      <c r="U46" s="206">
        <v>733212</v>
      </c>
      <c r="V46" s="206">
        <v>734567</v>
      </c>
      <c r="W46" s="206">
        <v>735360</v>
      </c>
      <c r="X46" s="206">
        <v>736698</v>
      </c>
      <c r="Y46" s="206">
        <v>732604</v>
      </c>
      <c r="Z46" s="206">
        <v>736113</v>
      </c>
      <c r="AA46" s="206">
        <v>745094</v>
      </c>
      <c r="AB46" s="206">
        <v>735546</v>
      </c>
    </row>
    <row r="47" spans="1:28" x14ac:dyDescent="0.2">
      <c r="A47" s="1" t="s">
        <v>30</v>
      </c>
      <c r="B47" s="6" t="s">
        <v>71</v>
      </c>
      <c r="C47" s="6" t="s">
        <v>71</v>
      </c>
      <c r="D47" s="7">
        <v>4061755</v>
      </c>
      <c r="E47" s="206">
        <v>555777</v>
      </c>
      <c r="F47" s="206">
        <v>555777</v>
      </c>
      <c r="G47" s="206">
        <v>547424</v>
      </c>
      <c r="H47" s="206">
        <v>536848</v>
      </c>
      <c r="I47" s="206">
        <v>529545</v>
      </c>
      <c r="J47" s="206">
        <v>520615</v>
      </c>
      <c r="K47" s="206">
        <v>512655</v>
      </c>
      <c r="L47" s="206">
        <v>504661</v>
      </c>
      <c r="M47" s="206">
        <v>498723</v>
      </c>
      <c r="N47" s="206">
        <v>497073</v>
      </c>
      <c r="O47" s="206">
        <v>495383</v>
      </c>
      <c r="P47" s="206">
        <v>490817</v>
      </c>
      <c r="Q47" s="206">
        <v>487197</v>
      </c>
      <c r="R47" s="206">
        <v>483281</v>
      </c>
      <c r="S47" s="206">
        <v>477806</v>
      </c>
      <c r="T47" s="206">
        <v>474392</v>
      </c>
      <c r="U47" s="206">
        <v>465738</v>
      </c>
      <c r="V47" s="206">
        <v>453983</v>
      </c>
      <c r="W47" s="206">
        <v>446837</v>
      </c>
      <c r="X47" s="206">
        <v>437308</v>
      </c>
      <c r="Y47" s="206">
        <v>424076</v>
      </c>
      <c r="Z47" s="206">
        <v>414353</v>
      </c>
      <c r="AA47" s="206">
        <v>399805</v>
      </c>
      <c r="AB47" s="206">
        <v>388074</v>
      </c>
    </row>
    <row r="48" spans="1:28" x14ac:dyDescent="0.2">
      <c r="A48" s="1" t="s">
        <v>30</v>
      </c>
      <c r="B48" s="6" t="s">
        <v>72</v>
      </c>
      <c r="C48" s="6" t="s">
        <v>72</v>
      </c>
      <c r="D48" s="7">
        <v>4004389</v>
      </c>
      <c r="E48" s="206">
        <v>271554</v>
      </c>
      <c r="F48" s="206">
        <v>270211</v>
      </c>
      <c r="G48" s="206">
        <v>268814</v>
      </c>
      <c r="H48" s="206">
        <v>266359</v>
      </c>
      <c r="I48" s="206">
        <v>266359</v>
      </c>
      <c r="J48" s="206">
        <v>264832</v>
      </c>
      <c r="K48" s="206">
        <v>263517</v>
      </c>
      <c r="L48" s="206">
        <v>262669</v>
      </c>
      <c r="M48" s="206">
        <v>261612</v>
      </c>
      <c r="N48" s="206">
        <v>260146</v>
      </c>
      <c r="O48" s="206">
        <v>259849</v>
      </c>
      <c r="P48" s="206">
        <v>259089</v>
      </c>
      <c r="Q48" s="206">
        <v>257842</v>
      </c>
      <c r="R48" s="206">
        <v>255921</v>
      </c>
      <c r="S48" s="206">
        <v>254919</v>
      </c>
      <c r="T48" s="206">
        <v>256212</v>
      </c>
      <c r="U48" s="206">
        <v>254413</v>
      </c>
      <c r="V48" s="206">
        <v>253468</v>
      </c>
      <c r="W48" s="206">
        <v>252691</v>
      </c>
      <c r="X48" s="206">
        <v>251533</v>
      </c>
      <c r="Y48" s="206">
        <v>249639</v>
      </c>
      <c r="Z48" s="206">
        <v>246475</v>
      </c>
      <c r="AA48" s="206">
        <v>243879</v>
      </c>
      <c r="AB48" s="206">
        <v>242508</v>
      </c>
    </row>
    <row r="49" spans="1:28" x14ac:dyDescent="0.2">
      <c r="A49" s="1" t="s">
        <v>30</v>
      </c>
      <c r="B49" s="6" t="s">
        <v>73</v>
      </c>
      <c r="C49" s="6" t="s">
        <v>73</v>
      </c>
      <c r="D49" s="7">
        <v>4057014</v>
      </c>
      <c r="E49" s="206">
        <v>633711</v>
      </c>
      <c r="F49" s="206">
        <v>628906</v>
      </c>
      <c r="G49" s="206">
        <v>623887</v>
      </c>
      <c r="H49" s="206">
        <v>620035</v>
      </c>
      <c r="I49" s="206">
        <v>612808</v>
      </c>
      <c r="J49" s="206">
        <v>608871</v>
      </c>
      <c r="K49" s="206">
        <v>602956</v>
      </c>
      <c r="L49" s="206">
        <v>597730</v>
      </c>
      <c r="M49" s="206">
        <v>593902</v>
      </c>
      <c r="N49" s="206">
        <v>589223</v>
      </c>
      <c r="O49" s="206">
        <v>585749</v>
      </c>
      <c r="P49" s="206">
        <v>582927</v>
      </c>
      <c r="Q49" s="206">
        <v>579682</v>
      </c>
      <c r="R49" s="206">
        <v>575796</v>
      </c>
      <c r="S49" s="206">
        <v>570901</v>
      </c>
      <c r="T49" s="206">
        <v>567461</v>
      </c>
      <c r="U49" s="206">
        <v>566446</v>
      </c>
      <c r="V49" s="206">
        <v>560566</v>
      </c>
      <c r="W49" s="206">
        <v>556869</v>
      </c>
      <c r="X49" s="206">
        <v>551436</v>
      </c>
      <c r="Y49" s="206">
        <v>548021</v>
      </c>
      <c r="Z49" s="206">
        <v>544080</v>
      </c>
      <c r="AA49" s="206">
        <v>538554</v>
      </c>
      <c r="AB49" s="206">
        <v>530634</v>
      </c>
    </row>
    <row r="50" spans="1:28" x14ac:dyDescent="0.2">
      <c r="B50" s="6" t="s">
        <v>74</v>
      </c>
      <c r="C50" s="6" t="s">
        <v>74</v>
      </c>
      <c r="D50" s="7">
        <v>4057130</v>
      </c>
      <c r="E50" s="206">
        <v>163669</v>
      </c>
      <c r="F50" s="206">
        <v>163392</v>
      </c>
      <c r="G50" s="206">
        <v>163031</v>
      </c>
      <c r="H50" s="206">
        <v>162631</v>
      </c>
      <c r="I50" s="206">
        <v>160127</v>
      </c>
      <c r="J50" s="206">
        <v>159659</v>
      </c>
      <c r="K50" s="206">
        <v>158735</v>
      </c>
      <c r="L50" s="206">
        <v>158889</v>
      </c>
      <c r="M50" s="206">
        <v>158530</v>
      </c>
      <c r="N50" s="206">
        <v>158298</v>
      </c>
      <c r="O50" s="206">
        <v>158243</v>
      </c>
      <c r="P50" s="206">
        <v>157852</v>
      </c>
      <c r="Q50" s="206">
        <v>158001</v>
      </c>
      <c r="R50" s="206">
        <v>158254</v>
      </c>
      <c r="S50" s="206">
        <v>157881</v>
      </c>
      <c r="T50" s="206">
        <v>156512</v>
      </c>
      <c r="U50" s="206">
        <v>155511</v>
      </c>
      <c r="V50" s="206">
        <v>153856</v>
      </c>
      <c r="W50" s="206">
        <v>152638</v>
      </c>
      <c r="X50" s="206">
        <v>151548</v>
      </c>
      <c r="Y50" s="206">
        <v>150213</v>
      </c>
      <c r="Z50" s="206">
        <v>149033</v>
      </c>
      <c r="AA50" s="206">
        <v>146606</v>
      </c>
      <c r="AB50" s="206">
        <v>143698</v>
      </c>
    </row>
    <row r="51" spans="1:28" x14ac:dyDescent="0.2">
      <c r="B51" s="6" t="s">
        <v>75</v>
      </c>
      <c r="C51" s="6" t="s">
        <v>75</v>
      </c>
      <c r="D51" s="7">
        <v>4057131</v>
      </c>
      <c r="E51" s="206">
        <v>2252860</v>
      </c>
      <c r="F51" s="206">
        <v>2246468</v>
      </c>
      <c r="G51" s="206">
        <v>2236279</v>
      </c>
      <c r="H51" s="206">
        <v>2226874</v>
      </c>
      <c r="I51" s="206">
        <v>2217563</v>
      </c>
      <c r="J51" s="206">
        <v>2207781</v>
      </c>
      <c r="K51" s="206">
        <v>2198261</v>
      </c>
      <c r="L51" s="206">
        <v>2195078</v>
      </c>
      <c r="M51" s="206">
        <v>2195334</v>
      </c>
      <c r="N51" s="206">
        <v>2187879</v>
      </c>
      <c r="O51" s="206">
        <v>2184888</v>
      </c>
      <c r="P51" s="206">
        <v>2177018</v>
      </c>
      <c r="Q51" s="206">
        <v>2172724</v>
      </c>
      <c r="R51" s="206">
        <v>2173443</v>
      </c>
      <c r="S51" s="206">
        <v>2162713</v>
      </c>
      <c r="T51" s="206">
        <v>2145015</v>
      </c>
      <c r="U51" s="206">
        <v>2106684</v>
      </c>
      <c r="V51" s="206">
        <v>2092607</v>
      </c>
      <c r="W51" s="206">
        <v>2056612</v>
      </c>
      <c r="X51" s="206">
        <v>2023255</v>
      </c>
      <c r="Y51" s="206">
        <v>1991684</v>
      </c>
      <c r="Z51" s="206">
        <v>1962235</v>
      </c>
      <c r="AA51" s="206">
        <v>1929041</v>
      </c>
      <c r="AB51" s="206">
        <v>1898034</v>
      </c>
    </row>
    <row r="52" spans="1:28" x14ac:dyDescent="0.2">
      <c r="B52" s="6" t="s">
        <v>76</v>
      </c>
      <c r="C52" s="6" t="s">
        <v>76</v>
      </c>
      <c r="D52" s="7">
        <v>4012860</v>
      </c>
      <c r="E52" s="206">
        <v>853000</v>
      </c>
      <c r="F52" s="206" t="s">
        <v>123</v>
      </c>
      <c r="G52" s="206">
        <v>833358</v>
      </c>
      <c r="H52" s="206">
        <v>827654</v>
      </c>
      <c r="I52" s="206">
        <v>820527</v>
      </c>
      <c r="J52" s="206">
        <v>819908</v>
      </c>
      <c r="K52" s="206">
        <v>811816</v>
      </c>
      <c r="L52" s="206">
        <v>807211</v>
      </c>
      <c r="M52" s="206">
        <v>803137</v>
      </c>
      <c r="N52" s="206">
        <v>797972</v>
      </c>
      <c r="O52" s="206">
        <v>794981</v>
      </c>
      <c r="P52" s="206">
        <v>795019</v>
      </c>
      <c r="Q52" s="206">
        <v>718305</v>
      </c>
      <c r="R52" s="206">
        <v>719821</v>
      </c>
      <c r="S52" s="206">
        <v>720785</v>
      </c>
      <c r="T52" s="206">
        <v>710473</v>
      </c>
      <c r="U52" s="206">
        <v>764604</v>
      </c>
      <c r="V52" s="206">
        <v>654096</v>
      </c>
      <c r="W52" s="206">
        <v>715066</v>
      </c>
      <c r="X52" s="206">
        <v>735439</v>
      </c>
      <c r="Y52" s="206">
        <v>702194</v>
      </c>
      <c r="Z52" s="206">
        <v>698076</v>
      </c>
      <c r="AA52" s="206">
        <v>691549</v>
      </c>
      <c r="AB52" s="206">
        <v>659531</v>
      </c>
    </row>
    <row r="53" spans="1:28" x14ac:dyDescent="0.2">
      <c r="B53" s="6" t="s">
        <v>77</v>
      </c>
      <c r="C53" s="6" t="s">
        <v>78</v>
      </c>
      <c r="D53" s="7">
        <v>4061925</v>
      </c>
      <c r="E53" s="206">
        <v>119016</v>
      </c>
      <c r="F53" s="206" t="s">
        <v>123</v>
      </c>
      <c r="G53" s="206">
        <v>638400</v>
      </c>
      <c r="H53" s="206">
        <v>631487</v>
      </c>
      <c r="I53" s="206">
        <v>113861</v>
      </c>
      <c r="J53" s="206">
        <v>112785</v>
      </c>
      <c r="K53" s="206">
        <v>111568</v>
      </c>
      <c r="L53" s="206">
        <v>110218</v>
      </c>
      <c r="M53" s="206">
        <v>108776</v>
      </c>
      <c r="N53" s="206">
        <v>107347</v>
      </c>
      <c r="O53" s="206">
        <v>106104</v>
      </c>
      <c r="P53" s="206">
        <v>105947</v>
      </c>
      <c r="Q53" s="206">
        <v>106532</v>
      </c>
      <c r="R53" s="206">
        <v>103837</v>
      </c>
      <c r="S53" s="206">
        <v>96092</v>
      </c>
      <c r="T53" s="206">
        <v>574343</v>
      </c>
      <c r="U53" s="206">
        <v>550045</v>
      </c>
      <c r="V53" s="206">
        <v>542522</v>
      </c>
      <c r="W53" s="206">
        <v>529022</v>
      </c>
      <c r="X53" s="206">
        <v>522217</v>
      </c>
      <c r="Y53" s="206">
        <v>505720</v>
      </c>
      <c r="Z53" s="206">
        <v>493419</v>
      </c>
      <c r="AA53" s="206">
        <v>474425</v>
      </c>
      <c r="AB53" s="206">
        <v>459034</v>
      </c>
    </row>
    <row r="54" spans="1:28" x14ac:dyDescent="0.2">
      <c r="B54" s="6" t="s">
        <v>79</v>
      </c>
      <c r="C54" s="6" t="s">
        <v>79</v>
      </c>
      <c r="D54" s="7">
        <v>4057132</v>
      </c>
      <c r="E54" s="206" t="s">
        <v>123</v>
      </c>
      <c r="F54" s="206" t="s">
        <v>123</v>
      </c>
      <c r="G54" s="206" t="s">
        <v>123</v>
      </c>
      <c r="H54" s="206" t="s">
        <v>123</v>
      </c>
      <c r="I54" s="206">
        <v>731332</v>
      </c>
      <c r="J54" s="206">
        <v>718954</v>
      </c>
      <c r="K54" s="206">
        <v>708021</v>
      </c>
      <c r="L54" s="206">
        <v>699760</v>
      </c>
      <c r="M54" s="206">
        <v>690408</v>
      </c>
      <c r="N54" s="206">
        <v>682744</v>
      </c>
      <c r="O54" s="206">
        <v>676771</v>
      </c>
      <c r="P54" s="206">
        <v>670896</v>
      </c>
      <c r="Q54" s="206">
        <v>665068</v>
      </c>
      <c r="R54" s="206">
        <v>662341</v>
      </c>
      <c r="S54" s="206">
        <v>642046</v>
      </c>
      <c r="T54" s="206" t="s">
        <v>123</v>
      </c>
      <c r="U54" s="206" t="s">
        <v>123</v>
      </c>
      <c r="V54" s="206" t="s">
        <v>123</v>
      </c>
      <c r="W54" s="206" t="s">
        <v>123</v>
      </c>
      <c r="X54" s="206" t="s">
        <v>123</v>
      </c>
      <c r="Y54" s="206" t="s">
        <v>123</v>
      </c>
      <c r="Z54" s="206" t="s">
        <v>123</v>
      </c>
      <c r="AA54" s="206" t="s">
        <v>123</v>
      </c>
      <c r="AB54" s="206" t="s">
        <v>123</v>
      </c>
    </row>
    <row r="55" spans="1:28" x14ac:dyDescent="0.2">
      <c r="A55" s="1" t="s">
        <v>30</v>
      </c>
      <c r="B55" s="6" t="s">
        <v>80</v>
      </c>
      <c r="C55" s="6" t="s">
        <v>80</v>
      </c>
      <c r="D55" s="7">
        <v>4057115</v>
      </c>
      <c r="E55" s="206">
        <v>302223</v>
      </c>
      <c r="F55" s="206">
        <v>300873</v>
      </c>
      <c r="G55" s="206">
        <v>298219</v>
      </c>
      <c r="H55" s="206">
        <v>295134</v>
      </c>
      <c r="I55" s="206">
        <v>291249</v>
      </c>
      <c r="J55" s="206">
        <v>287777</v>
      </c>
      <c r="K55" s="206">
        <v>283909</v>
      </c>
      <c r="L55" s="206">
        <v>280368</v>
      </c>
      <c r="M55" s="206">
        <v>276415</v>
      </c>
      <c r="N55" s="206">
        <v>272804</v>
      </c>
      <c r="O55" s="206">
        <v>270253</v>
      </c>
      <c r="P55" s="206">
        <v>268311</v>
      </c>
      <c r="Q55" s="206">
        <v>266726</v>
      </c>
      <c r="R55" s="206">
        <v>260425</v>
      </c>
      <c r="S55" s="206">
        <v>259381</v>
      </c>
      <c r="T55" s="206">
        <v>257051</v>
      </c>
      <c r="U55" s="206">
        <v>254409</v>
      </c>
      <c r="V55" s="206">
        <v>252576</v>
      </c>
      <c r="W55" s="206">
        <v>250038</v>
      </c>
      <c r="X55" s="206">
        <v>248736</v>
      </c>
      <c r="Y55" s="206">
        <v>246666</v>
      </c>
      <c r="Z55" s="206">
        <v>243854</v>
      </c>
      <c r="AA55" s="206">
        <v>240120</v>
      </c>
      <c r="AB55" s="206">
        <v>237086</v>
      </c>
    </row>
    <row r="56" spans="1:28" x14ac:dyDescent="0.2">
      <c r="B56" s="6" t="s">
        <v>81</v>
      </c>
      <c r="C56" s="6" t="s">
        <v>81</v>
      </c>
      <c r="D56" s="7">
        <v>4064479</v>
      </c>
      <c r="E56" s="206">
        <v>50956</v>
      </c>
      <c r="F56" s="206">
        <v>50617</v>
      </c>
      <c r="G56" s="206">
        <v>49971</v>
      </c>
      <c r="H56" s="206">
        <v>49684</v>
      </c>
      <c r="I56" s="206">
        <v>49432</v>
      </c>
      <c r="J56" s="206">
        <v>49119</v>
      </c>
      <c r="K56" s="206">
        <v>48729</v>
      </c>
      <c r="L56" s="206">
        <v>48326</v>
      </c>
      <c r="M56" s="206">
        <v>48643</v>
      </c>
      <c r="N56" s="206">
        <v>47533</v>
      </c>
      <c r="O56" s="206">
        <v>47024</v>
      </c>
      <c r="P56" s="206">
        <v>46498</v>
      </c>
      <c r="Q56" s="206">
        <v>46415</v>
      </c>
      <c r="R56" s="206">
        <v>46449</v>
      </c>
      <c r="S56" s="206">
        <v>46385</v>
      </c>
      <c r="T56" s="206">
        <v>46191</v>
      </c>
      <c r="U56" s="206">
        <v>45783</v>
      </c>
      <c r="V56" s="206">
        <v>45198</v>
      </c>
      <c r="W56" s="206">
        <v>44645</v>
      </c>
      <c r="X56" s="206">
        <v>43978</v>
      </c>
      <c r="Y56" s="206">
        <v>44172</v>
      </c>
      <c r="Z56" s="206">
        <v>43764</v>
      </c>
      <c r="AA56" s="206">
        <v>42950</v>
      </c>
      <c r="AB56" s="206">
        <v>42288</v>
      </c>
    </row>
    <row r="57" spans="1:28" x14ac:dyDescent="0.2">
      <c r="B57" s="6" t="s">
        <v>82</v>
      </c>
      <c r="C57" s="6" t="s">
        <v>82</v>
      </c>
      <c r="D57" s="7">
        <v>4062025</v>
      </c>
      <c r="E57" s="206">
        <v>29462</v>
      </c>
      <c r="F57" s="206">
        <v>28460</v>
      </c>
      <c r="G57" s="206">
        <v>28460</v>
      </c>
      <c r="H57" s="206">
        <v>24102</v>
      </c>
      <c r="I57" s="206">
        <v>24006</v>
      </c>
      <c r="J57" s="206">
        <v>24177</v>
      </c>
      <c r="K57" s="206">
        <v>23987</v>
      </c>
      <c r="L57" s="206">
        <v>23985</v>
      </c>
      <c r="M57" s="206">
        <v>23804</v>
      </c>
      <c r="N57" s="206">
        <v>23629</v>
      </c>
      <c r="O57" s="206">
        <v>23676</v>
      </c>
      <c r="P57" s="206">
        <v>23656</v>
      </c>
      <c r="Q57" s="206">
        <v>23661</v>
      </c>
      <c r="R57" s="206">
        <v>24003</v>
      </c>
      <c r="S57" s="206">
        <v>24398</v>
      </c>
      <c r="T57" s="206">
        <v>24465</v>
      </c>
      <c r="U57" s="206">
        <v>24728</v>
      </c>
      <c r="V57" s="206">
        <v>24876</v>
      </c>
      <c r="W57" s="206">
        <v>24984</v>
      </c>
      <c r="X57" s="206">
        <v>24997</v>
      </c>
      <c r="Y57" s="206">
        <v>24912</v>
      </c>
      <c r="Z57" s="206">
        <v>24910</v>
      </c>
      <c r="AA57" s="206">
        <v>25021</v>
      </c>
      <c r="AB57" s="206">
        <v>24689</v>
      </c>
    </row>
    <row r="58" spans="1:28" x14ac:dyDescent="0.2">
      <c r="B58" s="6" t="s">
        <v>83</v>
      </c>
      <c r="C58" s="6" t="s">
        <v>83</v>
      </c>
      <c r="D58" s="7">
        <v>4064481</v>
      </c>
      <c r="E58" s="206" t="s">
        <v>123</v>
      </c>
      <c r="F58" s="206" t="s">
        <v>123</v>
      </c>
      <c r="G58" s="206">
        <v>888181</v>
      </c>
      <c r="H58" s="206">
        <v>881042</v>
      </c>
      <c r="I58" s="206">
        <v>875705</v>
      </c>
      <c r="J58" s="206">
        <v>869878</v>
      </c>
      <c r="K58" s="206">
        <v>872105</v>
      </c>
      <c r="L58" s="206">
        <v>866616</v>
      </c>
      <c r="M58" s="206">
        <v>859979</v>
      </c>
      <c r="N58" s="206">
        <v>854247</v>
      </c>
      <c r="O58" s="206">
        <v>849322</v>
      </c>
      <c r="P58" s="206">
        <v>840361</v>
      </c>
      <c r="Q58" s="206">
        <v>848684</v>
      </c>
      <c r="R58" s="206">
        <v>847444</v>
      </c>
      <c r="S58" s="206">
        <v>843946</v>
      </c>
      <c r="T58" s="206">
        <v>788292</v>
      </c>
      <c r="U58" s="206">
        <v>787860</v>
      </c>
      <c r="V58" s="206">
        <v>782094</v>
      </c>
      <c r="W58" s="206">
        <v>780547</v>
      </c>
      <c r="X58" s="206">
        <v>778820</v>
      </c>
      <c r="Y58" s="206">
        <v>769332</v>
      </c>
      <c r="Z58" s="206">
        <v>757724</v>
      </c>
      <c r="AA58" s="206">
        <v>731912</v>
      </c>
      <c r="AB58" s="206">
        <v>749617</v>
      </c>
    </row>
    <row r="59" spans="1:28" x14ac:dyDescent="0.2">
      <c r="A59" s="1" t="s">
        <v>30</v>
      </c>
      <c r="B59" s="6" t="s">
        <v>84</v>
      </c>
      <c r="C59" s="6" t="s">
        <v>84</v>
      </c>
      <c r="D59" s="7">
        <v>4057093</v>
      </c>
      <c r="E59" s="206">
        <v>139917</v>
      </c>
      <c r="F59" s="206">
        <v>138601</v>
      </c>
      <c r="G59" s="206">
        <v>137208</v>
      </c>
      <c r="H59" s="206">
        <v>136118</v>
      </c>
      <c r="I59" s="206">
        <v>135077</v>
      </c>
      <c r="J59" s="206">
        <v>131857</v>
      </c>
      <c r="K59" s="206">
        <v>132603</v>
      </c>
      <c r="L59" s="206">
        <v>131494</v>
      </c>
      <c r="M59" s="206">
        <v>130711</v>
      </c>
      <c r="N59" s="206">
        <v>129871</v>
      </c>
      <c r="O59" s="206">
        <v>129054</v>
      </c>
      <c r="P59" s="206">
        <v>128301</v>
      </c>
      <c r="Q59" s="206">
        <v>127654</v>
      </c>
      <c r="R59" s="206">
        <v>126553</v>
      </c>
      <c r="S59" s="206">
        <v>125545</v>
      </c>
      <c r="T59" s="206">
        <v>125223</v>
      </c>
      <c r="U59" s="206">
        <v>124098</v>
      </c>
      <c r="V59" s="206">
        <v>123577</v>
      </c>
      <c r="W59" s="206">
        <v>122101</v>
      </c>
      <c r="X59" s="206">
        <v>121182</v>
      </c>
      <c r="Y59" s="206">
        <v>119694</v>
      </c>
      <c r="Z59" s="206">
        <v>118698</v>
      </c>
      <c r="AA59" s="206">
        <v>114015</v>
      </c>
      <c r="AB59" s="206">
        <v>115758</v>
      </c>
    </row>
    <row r="60" spans="1:28" x14ac:dyDescent="0.2">
      <c r="B60" s="6" t="s">
        <v>85</v>
      </c>
      <c r="C60" s="6" t="s">
        <v>85</v>
      </c>
      <c r="D60" s="7">
        <v>4004218</v>
      </c>
      <c r="E60" s="206">
        <v>4564044</v>
      </c>
      <c r="F60" s="206" t="s">
        <v>123</v>
      </c>
      <c r="G60" s="206">
        <v>4517926</v>
      </c>
      <c r="H60" s="206">
        <v>4472557</v>
      </c>
      <c r="I60" s="206">
        <v>4494485</v>
      </c>
      <c r="J60" s="206">
        <v>4453482</v>
      </c>
      <c r="K60" s="206">
        <v>4450370</v>
      </c>
      <c r="L60" s="206">
        <v>4395852</v>
      </c>
      <c r="M60" s="206">
        <v>4409573</v>
      </c>
      <c r="N60" s="206">
        <v>4371553</v>
      </c>
      <c r="O60" s="206">
        <v>4346996</v>
      </c>
      <c r="P60" s="206">
        <v>4305935</v>
      </c>
      <c r="Q60" s="206">
        <v>4309570</v>
      </c>
      <c r="R60" s="206">
        <v>4356537</v>
      </c>
      <c r="S60" s="206">
        <v>4305091</v>
      </c>
      <c r="T60" s="206">
        <v>4251192</v>
      </c>
      <c r="U60" s="206">
        <v>4128646</v>
      </c>
      <c r="V60" s="206">
        <v>4030373</v>
      </c>
      <c r="W60" s="206">
        <v>3954719</v>
      </c>
      <c r="X60" s="206">
        <v>3938727</v>
      </c>
      <c r="Y60" s="206">
        <v>3907394</v>
      </c>
      <c r="Z60" s="206">
        <v>3746752</v>
      </c>
      <c r="AA60" s="206">
        <v>3798199</v>
      </c>
      <c r="AB60" s="206">
        <v>3737058</v>
      </c>
    </row>
    <row r="61" spans="1:28" x14ac:dyDescent="0.2">
      <c r="A61" s="1" t="s">
        <v>30</v>
      </c>
      <c r="B61" s="6" t="s">
        <v>86</v>
      </c>
      <c r="C61" s="6" t="s">
        <v>87</v>
      </c>
      <c r="D61" s="7">
        <v>4062222</v>
      </c>
      <c r="E61" s="206">
        <v>540428</v>
      </c>
      <c r="F61" s="206">
        <v>534968</v>
      </c>
      <c r="G61" s="206">
        <v>529814</v>
      </c>
      <c r="H61" s="206">
        <v>522124</v>
      </c>
      <c r="I61" s="206">
        <v>519470</v>
      </c>
      <c r="J61" s="206">
        <v>514158</v>
      </c>
      <c r="K61" s="206">
        <v>508729</v>
      </c>
      <c r="L61" s="206">
        <v>503824</v>
      </c>
      <c r="M61" s="206">
        <v>499343</v>
      </c>
      <c r="N61" s="206">
        <v>495440</v>
      </c>
      <c r="O61" s="206">
        <v>492060</v>
      </c>
      <c r="P61" s="206">
        <v>488588</v>
      </c>
      <c r="Q61" s="206">
        <v>486057</v>
      </c>
      <c r="R61" s="206">
        <v>483457</v>
      </c>
      <c r="S61" s="206">
        <v>478105</v>
      </c>
      <c r="T61" s="206">
        <v>475558</v>
      </c>
      <c r="U61" s="206">
        <v>471988</v>
      </c>
      <c r="V61" s="206">
        <v>464619</v>
      </c>
      <c r="W61" s="206">
        <v>456725</v>
      </c>
      <c r="X61" s="206">
        <v>449108</v>
      </c>
      <c r="Y61" s="206">
        <v>438470</v>
      </c>
      <c r="Z61" s="206">
        <v>430862</v>
      </c>
      <c r="AA61" s="206">
        <v>425682</v>
      </c>
      <c r="AB61" s="206">
        <v>416087</v>
      </c>
    </row>
    <row r="62" spans="1:28" x14ac:dyDescent="0.2">
      <c r="B62" s="6" t="s">
        <v>88</v>
      </c>
      <c r="C62" s="6" t="s">
        <v>89</v>
      </c>
      <c r="D62" s="7">
        <v>4057135</v>
      </c>
      <c r="E62" s="206">
        <v>877348</v>
      </c>
      <c r="F62" s="206">
        <v>871024</v>
      </c>
      <c r="G62" s="206">
        <v>866093</v>
      </c>
      <c r="H62" s="206">
        <v>863314</v>
      </c>
      <c r="I62" s="206">
        <v>846660</v>
      </c>
      <c r="J62" s="206">
        <v>845561</v>
      </c>
      <c r="K62" s="206">
        <v>834929</v>
      </c>
      <c r="L62" s="206">
        <v>831069</v>
      </c>
      <c r="M62" s="206">
        <v>830829</v>
      </c>
      <c r="N62" s="206">
        <v>830791</v>
      </c>
      <c r="O62" s="206">
        <v>827576</v>
      </c>
      <c r="P62" s="206">
        <v>819154</v>
      </c>
      <c r="Q62" s="206">
        <v>821902</v>
      </c>
      <c r="R62" s="206">
        <v>829776</v>
      </c>
      <c r="S62" s="206">
        <v>830184</v>
      </c>
      <c r="T62" s="206">
        <v>818012</v>
      </c>
      <c r="U62" s="206">
        <v>816428</v>
      </c>
      <c r="V62" s="206">
        <v>812705</v>
      </c>
      <c r="W62" s="206">
        <v>818730</v>
      </c>
      <c r="X62" s="206">
        <v>837212</v>
      </c>
      <c r="Y62" s="206">
        <v>845637</v>
      </c>
      <c r="Z62" s="206">
        <v>840561</v>
      </c>
      <c r="AA62" s="206">
        <v>836928</v>
      </c>
      <c r="AB62" s="206">
        <v>832509</v>
      </c>
    </row>
    <row r="63" spans="1:28" x14ac:dyDescent="0.2">
      <c r="B63" s="6" t="s">
        <v>90</v>
      </c>
      <c r="C63" s="6" t="s">
        <v>90</v>
      </c>
      <c r="D63" s="7">
        <v>4063341</v>
      </c>
      <c r="E63" s="206">
        <v>436564</v>
      </c>
      <c r="F63" s="206">
        <v>416346</v>
      </c>
      <c r="G63" s="206">
        <v>398492</v>
      </c>
      <c r="H63" s="206">
        <v>386352</v>
      </c>
      <c r="I63" s="206">
        <v>373615</v>
      </c>
      <c r="J63" s="206">
        <v>370273</v>
      </c>
      <c r="K63" s="206">
        <v>361178</v>
      </c>
      <c r="L63" s="206">
        <v>353903</v>
      </c>
      <c r="M63" s="206">
        <v>347367</v>
      </c>
      <c r="N63" s="206">
        <v>342909</v>
      </c>
      <c r="O63" s="206">
        <v>338840</v>
      </c>
      <c r="P63" s="206">
        <v>336019</v>
      </c>
      <c r="Q63" s="206">
        <v>334447</v>
      </c>
      <c r="R63" s="206">
        <v>335137</v>
      </c>
      <c r="S63" s="206">
        <v>334343</v>
      </c>
      <c r="T63" s="206">
        <v>328082</v>
      </c>
      <c r="U63" s="206">
        <v>318404</v>
      </c>
      <c r="V63" s="206">
        <v>307395</v>
      </c>
      <c r="W63" s="206">
        <v>291911</v>
      </c>
      <c r="X63" s="206">
        <v>277160</v>
      </c>
      <c r="Y63" s="206">
        <v>266326</v>
      </c>
      <c r="Z63" s="206">
        <v>255640</v>
      </c>
      <c r="AA63" s="206">
        <v>246789</v>
      </c>
      <c r="AB63" s="206">
        <v>237335</v>
      </c>
    </row>
    <row r="64" spans="1:28" x14ac:dyDescent="0.2">
      <c r="A64" s="1" t="s">
        <v>30</v>
      </c>
      <c r="B64" s="6" t="s">
        <v>91</v>
      </c>
      <c r="C64" s="6" t="s">
        <v>91</v>
      </c>
      <c r="D64" s="7">
        <v>4083575</v>
      </c>
      <c r="E64" s="206">
        <v>545067</v>
      </c>
      <c r="F64" s="206">
        <v>540293</v>
      </c>
      <c r="G64" s="206">
        <v>529964</v>
      </c>
      <c r="H64" s="206">
        <v>519260</v>
      </c>
      <c r="I64" s="206">
        <v>504541</v>
      </c>
      <c r="J64" s="206">
        <v>502666</v>
      </c>
      <c r="K64" s="206">
        <v>503634</v>
      </c>
      <c r="L64" s="206">
        <v>501305</v>
      </c>
      <c r="M64" s="206">
        <v>506467</v>
      </c>
      <c r="N64" s="206">
        <v>508069</v>
      </c>
      <c r="O64" s="206">
        <v>507874</v>
      </c>
      <c r="P64" s="206">
        <v>508393</v>
      </c>
      <c r="Q64" s="206">
        <v>510086</v>
      </c>
      <c r="R64" s="206">
        <v>510188</v>
      </c>
      <c r="S64" s="206">
        <v>510236</v>
      </c>
      <c r="T64" s="206">
        <v>502804</v>
      </c>
      <c r="U64" s="206">
        <v>506431</v>
      </c>
      <c r="V64" s="206">
        <v>514067</v>
      </c>
      <c r="W64" s="206">
        <v>515020</v>
      </c>
      <c r="X64" s="206">
        <v>520899</v>
      </c>
      <c r="Y64" s="206">
        <v>524892</v>
      </c>
      <c r="Z64" s="206">
        <v>519567</v>
      </c>
      <c r="AA64" s="206">
        <v>523730</v>
      </c>
      <c r="AB64" s="206">
        <v>514968</v>
      </c>
    </row>
    <row r="65" spans="1:28" x14ac:dyDescent="0.2">
      <c r="B65" s="6" t="s">
        <v>92</v>
      </c>
      <c r="C65" s="6" t="s">
        <v>92</v>
      </c>
      <c r="D65" s="7">
        <v>4062303</v>
      </c>
      <c r="E65" s="206">
        <v>1277</v>
      </c>
      <c r="F65" s="206">
        <v>1253</v>
      </c>
      <c r="G65" s="206">
        <v>1244</v>
      </c>
      <c r="H65" s="206">
        <v>1230</v>
      </c>
      <c r="I65" s="206">
        <v>1215</v>
      </c>
      <c r="J65" s="206">
        <v>1217</v>
      </c>
      <c r="K65" s="206">
        <v>1202</v>
      </c>
      <c r="L65" s="206">
        <v>1200</v>
      </c>
      <c r="M65" s="206">
        <v>1197</v>
      </c>
      <c r="N65" s="206">
        <v>1192</v>
      </c>
      <c r="O65" s="206">
        <v>1195</v>
      </c>
      <c r="P65" s="206">
        <v>1193</v>
      </c>
      <c r="Q65" s="206">
        <v>1190</v>
      </c>
      <c r="R65" s="206">
        <v>1182</v>
      </c>
      <c r="S65" s="206">
        <v>1169</v>
      </c>
      <c r="T65" s="206">
        <v>1166</v>
      </c>
      <c r="U65" s="206">
        <v>1154</v>
      </c>
      <c r="V65" s="206">
        <v>1152</v>
      </c>
      <c r="W65" s="206">
        <v>1146</v>
      </c>
      <c r="X65" s="206">
        <v>1134</v>
      </c>
      <c r="Y65" s="206">
        <v>1131</v>
      </c>
      <c r="Z65" s="206">
        <v>1034</v>
      </c>
      <c r="AA65" s="206">
        <v>1035</v>
      </c>
      <c r="AB65" s="206">
        <v>1025</v>
      </c>
    </row>
    <row r="66" spans="1:28" x14ac:dyDescent="0.2">
      <c r="B66" s="6" t="s">
        <v>93</v>
      </c>
      <c r="C66" s="6" t="s">
        <v>93</v>
      </c>
      <c r="D66" s="7">
        <v>4083581</v>
      </c>
      <c r="E66" s="206">
        <v>8782</v>
      </c>
      <c r="F66" s="206">
        <v>7726</v>
      </c>
      <c r="G66" s="206">
        <v>7676</v>
      </c>
      <c r="H66" s="206">
        <v>7615</v>
      </c>
      <c r="I66" s="206">
        <v>7456</v>
      </c>
      <c r="J66" s="206">
        <v>7448</v>
      </c>
      <c r="K66" s="206">
        <v>7353</v>
      </c>
      <c r="L66" s="206">
        <v>7392</v>
      </c>
      <c r="M66" s="206">
        <v>7274</v>
      </c>
      <c r="N66" s="206">
        <v>7115</v>
      </c>
      <c r="O66" s="206">
        <v>7109</v>
      </c>
      <c r="P66" s="206">
        <v>7140</v>
      </c>
      <c r="Q66" s="206">
        <v>7126</v>
      </c>
      <c r="R66" s="206">
        <v>7103</v>
      </c>
      <c r="S66" s="206">
        <v>7150</v>
      </c>
      <c r="T66" s="206">
        <v>7155</v>
      </c>
      <c r="U66" s="206">
        <v>7166</v>
      </c>
      <c r="V66" s="206">
        <v>7116</v>
      </c>
      <c r="W66" s="206">
        <v>6989</v>
      </c>
      <c r="X66" s="206">
        <v>6944</v>
      </c>
      <c r="Y66" s="206">
        <v>6884</v>
      </c>
      <c r="Z66" s="206">
        <v>6805</v>
      </c>
      <c r="AA66" s="206">
        <v>6652</v>
      </c>
      <c r="AB66" s="206">
        <v>6515</v>
      </c>
    </row>
    <row r="67" spans="1:28" x14ac:dyDescent="0.2">
      <c r="B67" s="6" t="s">
        <v>94</v>
      </c>
      <c r="C67" s="6" t="s">
        <v>94</v>
      </c>
      <c r="D67" s="7">
        <v>4057139</v>
      </c>
      <c r="E67" s="206">
        <v>558453</v>
      </c>
      <c r="F67" s="206" t="s">
        <v>123</v>
      </c>
      <c r="G67" s="206">
        <v>582332</v>
      </c>
      <c r="H67" s="206">
        <v>567655</v>
      </c>
      <c r="I67" s="206">
        <v>552993</v>
      </c>
      <c r="J67" s="206">
        <v>539097</v>
      </c>
      <c r="K67" s="206">
        <v>524835</v>
      </c>
      <c r="L67" s="206">
        <v>511265</v>
      </c>
      <c r="M67" s="206">
        <v>499238</v>
      </c>
      <c r="N67" s="206">
        <v>488829</v>
      </c>
      <c r="O67" s="206">
        <v>480280</v>
      </c>
      <c r="P67" s="206">
        <v>472605</v>
      </c>
      <c r="Q67" s="206">
        <v>465796</v>
      </c>
      <c r="R67" s="206">
        <v>458407</v>
      </c>
      <c r="S67" s="206">
        <v>444368</v>
      </c>
      <c r="T67" s="206">
        <v>427426</v>
      </c>
      <c r="U67" s="206">
        <v>407973</v>
      </c>
      <c r="V67" s="206">
        <v>390824</v>
      </c>
      <c r="W67" s="206">
        <v>378511</v>
      </c>
      <c r="X67" s="206">
        <v>367177</v>
      </c>
      <c r="Y67" s="206">
        <v>365478</v>
      </c>
      <c r="Z67" s="206">
        <v>357736</v>
      </c>
      <c r="AA67" s="206">
        <v>342398</v>
      </c>
      <c r="AB67" s="206">
        <v>325844</v>
      </c>
    </row>
    <row r="68" spans="1:28" x14ac:dyDescent="0.2">
      <c r="A68" s="1" t="s">
        <v>30</v>
      </c>
      <c r="B68" s="6" t="s">
        <v>95</v>
      </c>
      <c r="C68" s="6" t="s">
        <v>95</v>
      </c>
      <c r="D68" s="7">
        <v>4057095</v>
      </c>
      <c r="E68" s="206" t="s">
        <v>123</v>
      </c>
      <c r="F68" s="206">
        <v>1865395</v>
      </c>
      <c r="G68" s="206">
        <v>1857011</v>
      </c>
      <c r="H68" s="206">
        <v>1846163</v>
      </c>
      <c r="I68" s="206">
        <v>1831700</v>
      </c>
      <c r="J68" s="206">
        <v>1816251</v>
      </c>
      <c r="K68" s="206">
        <v>1806970</v>
      </c>
      <c r="L68" s="206">
        <v>1797898</v>
      </c>
      <c r="M68" s="206">
        <v>1790212</v>
      </c>
      <c r="N68" s="206">
        <v>1785245</v>
      </c>
      <c r="O68" s="206">
        <v>1778850</v>
      </c>
      <c r="P68" s="206">
        <v>1778336</v>
      </c>
      <c r="Q68" s="206">
        <v>1774042</v>
      </c>
      <c r="R68" s="206">
        <v>1742016</v>
      </c>
      <c r="S68" s="206">
        <v>1732218</v>
      </c>
      <c r="T68" s="206">
        <v>1719986</v>
      </c>
      <c r="U68" s="206">
        <v>1709399</v>
      </c>
      <c r="V68" s="206">
        <v>1693048</v>
      </c>
      <c r="W68" s="206">
        <v>1673702</v>
      </c>
      <c r="X68" s="206">
        <v>1665668</v>
      </c>
      <c r="Y68" s="206">
        <v>1679196</v>
      </c>
      <c r="Z68" s="206">
        <v>1621128</v>
      </c>
      <c r="AA68" s="206">
        <v>1569893</v>
      </c>
      <c r="AB68" s="206">
        <v>1593570</v>
      </c>
    </row>
    <row r="69" spans="1:28" x14ac:dyDescent="0.2">
      <c r="B69" s="6" t="s">
        <v>96</v>
      </c>
      <c r="C69" s="6" t="s">
        <v>96</v>
      </c>
      <c r="D69" s="7">
        <v>4062485</v>
      </c>
      <c r="E69" s="206">
        <v>860438</v>
      </c>
      <c r="F69" s="206">
        <v>850720</v>
      </c>
      <c r="G69" s="206">
        <v>841427</v>
      </c>
      <c r="H69" s="206">
        <v>830781</v>
      </c>
      <c r="I69" s="206">
        <v>819336</v>
      </c>
      <c r="J69" s="206">
        <v>807586</v>
      </c>
      <c r="K69" s="206">
        <v>795013</v>
      </c>
      <c r="L69" s="206">
        <v>781612</v>
      </c>
      <c r="M69" s="206">
        <v>773385</v>
      </c>
      <c r="N69" s="206">
        <v>763655</v>
      </c>
      <c r="O69" s="206">
        <v>756711</v>
      </c>
      <c r="P69" s="206">
        <v>750811</v>
      </c>
      <c r="Q69" s="206">
        <v>746532</v>
      </c>
      <c r="R69" s="206">
        <v>737851</v>
      </c>
      <c r="S69" s="206">
        <v>722003</v>
      </c>
      <c r="T69" s="206">
        <v>703249</v>
      </c>
      <c r="U69" s="206">
        <v>682783</v>
      </c>
      <c r="V69" s="206">
        <v>661739</v>
      </c>
      <c r="W69" s="206">
        <v>633678</v>
      </c>
      <c r="X69" s="206">
        <v>613540</v>
      </c>
      <c r="Y69" s="206">
        <v>597845</v>
      </c>
      <c r="Z69" s="206">
        <v>580292</v>
      </c>
      <c r="AA69" s="206">
        <v>556703</v>
      </c>
      <c r="AB69" s="206">
        <v>532616</v>
      </c>
    </row>
    <row r="70" spans="1:28" x14ac:dyDescent="0.2">
      <c r="B70" s="6" t="s">
        <v>97</v>
      </c>
      <c r="C70" s="6" t="s">
        <v>97</v>
      </c>
      <c r="D70" s="7">
        <v>4057140</v>
      </c>
      <c r="E70" s="206" t="s">
        <v>123</v>
      </c>
      <c r="F70" s="206">
        <v>1100072</v>
      </c>
      <c r="G70" s="206">
        <v>1072685</v>
      </c>
      <c r="H70" s="206">
        <v>1046087</v>
      </c>
      <c r="I70" s="206">
        <v>990924</v>
      </c>
      <c r="J70" s="206">
        <v>999183</v>
      </c>
      <c r="K70" s="206">
        <v>977895</v>
      </c>
      <c r="L70" s="206">
        <v>953796</v>
      </c>
      <c r="M70" s="206">
        <v>938410</v>
      </c>
      <c r="N70" s="206">
        <v>924311</v>
      </c>
      <c r="O70" s="206">
        <v>913437</v>
      </c>
      <c r="P70" s="206">
        <v>903876</v>
      </c>
      <c r="Q70" s="206">
        <v>891349</v>
      </c>
      <c r="R70" s="206">
        <v>881572</v>
      </c>
      <c r="S70" s="206">
        <v>862784</v>
      </c>
      <c r="T70" s="206">
        <v>836193</v>
      </c>
      <c r="U70" s="206">
        <v>824463</v>
      </c>
      <c r="V70" s="206">
        <v>777555</v>
      </c>
      <c r="W70" s="206">
        <v>755075</v>
      </c>
      <c r="X70" s="206">
        <v>735847</v>
      </c>
      <c r="Y70" s="206">
        <v>732756</v>
      </c>
      <c r="Z70" s="206">
        <v>706007</v>
      </c>
      <c r="AA70" s="206">
        <v>671274</v>
      </c>
      <c r="AB70" s="206">
        <v>648444</v>
      </c>
    </row>
    <row r="71" spans="1:28" x14ac:dyDescent="0.2">
      <c r="A71" s="1" t="s">
        <v>30</v>
      </c>
      <c r="B71" s="6" t="s">
        <v>98</v>
      </c>
      <c r="C71" s="6" t="s">
        <v>99</v>
      </c>
      <c r="D71" s="7">
        <v>4057096</v>
      </c>
      <c r="E71" s="206">
        <v>321650</v>
      </c>
      <c r="F71" s="206">
        <v>319738</v>
      </c>
      <c r="G71" s="206">
        <v>317662</v>
      </c>
      <c r="H71" s="206">
        <v>322285</v>
      </c>
      <c r="I71" s="206">
        <v>313043</v>
      </c>
      <c r="J71" s="206">
        <v>310620</v>
      </c>
      <c r="K71" s="206">
        <v>308718</v>
      </c>
      <c r="L71" s="206">
        <v>307217</v>
      </c>
      <c r="M71" s="206">
        <v>305780</v>
      </c>
      <c r="N71" s="206">
        <v>304497</v>
      </c>
      <c r="O71" s="206">
        <v>303038</v>
      </c>
      <c r="P71" s="206">
        <v>301290</v>
      </c>
      <c r="Q71" s="206">
        <v>299130</v>
      </c>
      <c r="R71" s="206">
        <v>297777</v>
      </c>
      <c r="S71" s="206">
        <v>296471</v>
      </c>
      <c r="T71" s="206">
        <v>295374</v>
      </c>
      <c r="U71" s="206">
        <v>294647</v>
      </c>
      <c r="V71" s="206">
        <v>293334</v>
      </c>
      <c r="W71" s="206">
        <v>291686</v>
      </c>
      <c r="X71" s="206">
        <v>289860</v>
      </c>
      <c r="Y71" s="206">
        <v>287688</v>
      </c>
      <c r="Z71" s="206">
        <v>285943</v>
      </c>
      <c r="AA71" s="206">
        <v>287806</v>
      </c>
      <c r="AB71" s="206">
        <v>288204</v>
      </c>
    </row>
    <row r="72" spans="1:28" x14ac:dyDescent="0.2">
      <c r="B72" s="6" t="s">
        <v>100</v>
      </c>
      <c r="C72" s="6" t="s">
        <v>100</v>
      </c>
      <c r="D72" s="7">
        <v>4057097</v>
      </c>
      <c r="E72" s="206" t="s">
        <v>123</v>
      </c>
      <c r="F72" s="206" t="s">
        <v>123</v>
      </c>
      <c r="G72" s="206">
        <v>891930</v>
      </c>
      <c r="H72" s="206">
        <v>886026</v>
      </c>
      <c r="I72" s="206">
        <v>880387</v>
      </c>
      <c r="J72" s="206">
        <v>875462</v>
      </c>
      <c r="K72" s="206">
        <v>970120</v>
      </c>
      <c r="L72" s="206">
        <v>865899</v>
      </c>
      <c r="M72" s="206">
        <v>861987</v>
      </c>
      <c r="N72" s="206">
        <v>856816</v>
      </c>
      <c r="O72" s="206">
        <v>852135</v>
      </c>
      <c r="P72" s="206">
        <v>847306</v>
      </c>
      <c r="Q72" s="206">
        <v>842444</v>
      </c>
      <c r="R72" s="206">
        <v>838857</v>
      </c>
      <c r="S72" s="206">
        <v>835028</v>
      </c>
      <c r="T72" s="206">
        <v>828089</v>
      </c>
      <c r="U72" s="206">
        <v>818117</v>
      </c>
      <c r="V72" s="206">
        <v>805772</v>
      </c>
      <c r="W72" s="206">
        <v>794868</v>
      </c>
      <c r="X72" s="206">
        <v>782530</v>
      </c>
      <c r="Y72" s="206">
        <v>768911</v>
      </c>
      <c r="Z72" s="206">
        <v>756215</v>
      </c>
      <c r="AA72" s="206">
        <v>743432</v>
      </c>
      <c r="AB72" s="206">
        <v>729508</v>
      </c>
    </row>
    <row r="73" spans="1:28" x14ac:dyDescent="0.2">
      <c r="B73" s="6" t="s">
        <v>101</v>
      </c>
      <c r="C73" s="6" t="s">
        <v>101</v>
      </c>
      <c r="D73" s="7">
        <v>4057098</v>
      </c>
      <c r="E73" s="206" t="s">
        <v>123</v>
      </c>
      <c r="F73" s="206" t="s">
        <v>123</v>
      </c>
      <c r="G73" s="206">
        <v>170102</v>
      </c>
      <c r="H73" s="206">
        <v>166539</v>
      </c>
      <c r="I73" s="206">
        <v>163591</v>
      </c>
      <c r="J73" s="206">
        <v>161151</v>
      </c>
      <c r="K73" s="206">
        <v>158199</v>
      </c>
      <c r="L73" s="206">
        <v>155734</v>
      </c>
      <c r="M73" s="206">
        <v>153708</v>
      </c>
      <c r="N73" s="206">
        <v>152530</v>
      </c>
      <c r="O73" s="206">
        <v>151597</v>
      </c>
      <c r="P73" s="206">
        <v>150623</v>
      </c>
      <c r="Q73" s="206">
        <v>149351</v>
      </c>
      <c r="R73" s="206">
        <v>148777</v>
      </c>
      <c r="S73" s="206">
        <v>147025</v>
      </c>
      <c r="T73" s="206">
        <v>142754</v>
      </c>
      <c r="U73" s="206">
        <v>136892</v>
      </c>
      <c r="V73" s="206">
        <v>131272</v>
      </c>
      <c r="W73" s="206">
        <v>126249</v>
      </c>
      <c r="X73" s="206">
        <v>121972</v>
      </c>
      <c r="Y73" s="206">
        <v>116996</v>
      </c>
      <c r="Z73" s="206">
        <v>111945</v>
      </c>
      <c r="AA73" s="206">
        <v>106974</v>
      </c>
      <c r="AB73" s="206">
        <v>102589</v>
      </c>
    </row>
    <row r="74" spans="1:28" x14ac:dyDescent="0.2">
      <c r="A74" s="1" t="s">
        <v>30</v>
      </c>
      <c r="B74" s="6" t="s">
        <v>102</v>
      </c>
      <c r="C74" s="6" t="s">
        <v>102</v>
      </c>
      <c r="D74" s="7">
        <v>4063023</v>
      </c>
      <c r="E74" s="206">
        <v>408237</v>
      </c>
      <c r="F74" s="206" t="s">
        <v>123</v>
      </c>
      <c r="G74" s="206">
        <v>393721</v>
      </c>
      <c r="H74" s="206">
        <v>391983</v>
      </c>
      <c r="I74" s="206">
        <v>380763</v>
      </c>
      <c r="J74" s="206">
        <v>375299</v>
      </c>
      <c r="K74" s="206">
        <v>369704</v>
      </c>
      <c r="L74" s="206">
        <v>363973</v>
      </c>
      <c r="M74" s="206">
        <v>359710</v>
      </c>
      <c r="N74" s="206">
        <v>354445</v>
      </c>
      <c r="O74" s="206">
        <v>348856</v>
      </c>
      <c r="P74" s="206">
        <v>345083</v>
      </c>
      <c r="Q74" s="206">
        <v>341258</v>
      </c>
      <c r="R74" s="206">
        <v>337134</v>
      </c>
      <c r="S74" s="206">
        <v>332506</v>
      </c>
      <c r="T74" s="206">
        <v>351573</v>
      </c>
      <c r="U74" s="206">
        <v>334010</v>
      </c>
      <c r="V74" s="206">
        <v>405376</v>
      </c>
      <c r="W74" s="206">
        <v>414506</v>
      </c>
      <c r="X74" s="206">
        <v>296378</v>
      </c>
      <c r="Y74" s="206">
        <v>330278</v>
      </c>
      <c r="Z74" s="206">
        <v>329912</v>
      </c>
      <c r="AA74" s="206">
        <v>270524</v>
      </c>
      <c r="AB74" s="206">
        <v>274696</v>
      </c>
    </row>
    <row r="75" spans="1:28" x14ac:dyDescent="0.2">
      <c r="B75" s="6" t="s">
        <v>103</v>
      </c>
      <c r="C75" s="6" t="s">
        <v>103</v>
      </c>
      <c r="D75" s="7">
        <v>4057146</v>
      </c>
      <c r="E75" s="206">
        <v>6096866</v>
      </c>
      <c r="F75" s="206" t="s">
        <v>123</v>
      </c>
      <c r="G75" s="206">
        <v>5812235</v>
      </c>
      <c r="H75" s="206">
        <v>5777076</v>
      </c>
      <c r="I75" s="206">
        <v>5744043</v>
      </c>
      <c r="J75" s="206">
        <v>5701384</v>
      </c>
      <c r="K75" s="206">
        <v>5667381</v>
      </c>
      <c r="L75" s="206">
        <v>5638630</v>
      </c>
      <c r="M75" s="206">
        <v>5606346</v>
      </c>
      <c r="N75" s="206">
        <v>5576584</v>
      </c>
      <c r="O75" s="206">
        <v>5549399</v>
      </c>
      <c r="P75" s="206">
        <v>5516867</v>
      </c>
      <c r="Q75" s="206">
        <v>5494958</v>
      </c>
      <c r="R75" s="206">
        <v>5467401</v>
      </c>
      <c r="S75" s="206">
        <v>5445996</v>
      </c>
      <c r="T75" s="206">
        <v>5392165</v>
      </c>
      <c r="U75" s="206">
        <v>5328609</v>
      </c>
      <c r="V75" s="206">
        <v>5266356</v>
      </c>
      <c r="W75" s="206">
        <v>5198353</v>
      </c>
      <c r="X75" s="206">
        <v>5143877</v>
      </c>
      <c r="Y75" s="206">
        <v>5064323</v>
      </c>
      <c r="Z75" s="206">
        <v>5008662</v>
      </c>
      <c r="AA75" s="206">
        <v>4939388</v>
      </c>
      <c r="AB75" s="206">
        <v>4864772</v>
      </c>
    </row>
    <row r="76" spans="1:28" x14ac:dyDescent="0.2">
      <c r="A76" s="1" t="s">
        <v>30</v>
      </c>
      <c r="B76" s="6" t="s">
        <v>104</v>
      </c>
      <c r="C76" s="6" t="s">
        <v>105</v>
      </c>
      <c r="D76" s="7">
        <v>4063060</v>
      </c>
      <c r="E76" s="206">
        <v>206935</v>
      </c>
      <c r="F76" s="206">
        <v>204121</v>
      </c>
      <c r="G76" s="206">
        <v>200329</v>
      </c>
      <c r="H76" s="206">
        <v>198647</v>
      </c>
      <c r="I76" s="206">
        <v>196142</v>
      </c>
      <c r="J76" s="206">
        <v>193817</v>
      </c>
      <c r="K76" s="206">
        <v>189956</v>
      </c>
      <c r="L76" s="206">
        <v>187354</v>
      </c>
      <c r="M76" s="206">
        <v>184472</v>
      </c>
      <c r="N76" s="206">
        <v>180709</v>
      </c>
      <c r="O76" s="206">
        <v>177259</v>
      </c>
      <c r="P76" s="206">
        <v>175592</v>
      </c>
      <c r="Q76" s="206">
        <v>175720</v>
      </c>
      <c r="R76" s="206">
        <v>175024</v>
      </c>
      <c r="S76" s="206">
        <v>174586</v>
      </c>
      <c r="T76" s="206">
        <v>174160</v>
      </c>
      <c r="U76" s="206">
        <v>173639</v>
      </c>
      <c r="V76" s="206">
        <v>170817</v>
      </c>
      <c r="W76" s="206">
        <v>170057</v>
      </c>
      <c r="X76" s="206">
        <v>169319</v>
      </c>
      <c r="Y76" s="206">
        <v>166886</v>
      </c>
      <c r="Z76" s="206">
        <v>166295</v>
      </c>
      <c r="AA76" s="206">
        <v>160630</v>
      </c>
      <c r="AB76" s="206">
        <v>157317</v>
      </c>
    </row>
    <row r="77" spans="1:28" x14ac:dyDescent="0.2">
      <c r="B77" s="6" t="s">
        <v>106</v>
      </c>
      <c r="C77" s="6" t="s">
        <v>106</v>
      </c>
      <c r="D77" s="7">
        <v>4057100</v>
      </c>
      <c r="E77" s="206">
        <v>114671</v>
      </c>
      <c r="F77" s="206">
        <v>114125</v>
      </c>
      <c r="G77" s="206">
        <v>113193</v>
      </c>
      <c r="H77" s="206">
        <v>112776</v>
      </c>
      <c r="I77" s="206">
        <v>112292</v>
      </c>
      <c r="J77" s="206">
        <v>111966</v>
      </c>
      <c r="K77" s="206">
        <v>111281</v>
      </c>
      <c r="L77" s="206">
        <v>111159</v>
      </c>
      <c r="M77" s="206">
        <v>110947</v>
      </c>
      <c r="N77" s="206">
        <v>110512</v>
      </c>
      <c r="O77" s="206">
        <v>110341</v>
      </c>
      <c r="P77" s="206">
        <v>110652</v>
      </c>
      <c r="Q77" s="206">
        <v>110693</v>
      </c>
      <c r="R77" s="206">
        <v>111139</v>
      </c>
      <c r="S77" s="206">
        <v>111718</v>
      </c>
      <c r="T77" s="206">
        <v>111099</v>
      </c>
      <c r="U77" s="206">
        <v>111253</v>
      </c>
      <c r="V77" s="206">
        <v>110737</v>
      </c>
      <c r="W77" s="206">
        <v>110360</v>
      </c>
      <c r="X77" s="206">
        <v>110380</v>
      </c>
      <c r="Y77" s="206">
        <v>109380</v>
      </c>
      <c r="Z77" s="206">
        <v>109459</v>
      </c>
      <c r="AA77" s="206">
        <v>107987</v>
      </c>
      <c r="AB77" s="206">
        <v>106897</v>
      </c>
    </row>
    <row r="78" spans="1:28" x14ac:dyDescent="0.2">
      <c r="B78" s="6" t="s">
        <v>107</v>
      </c>
      <c r="C78" s="6" t="s">
        <v>107</v>
      </c>
      <c r="D78" s="7">
        <v>4064035</v>
      </c>
      <c r="E78" s="206" t="s">
        <v>123</v>
      </c>
      <c r="F78" s="206" t="s">
        <v>123</v>
      </c>
      <c r="G78" s="206">
        <v>18205</v>
      </c>
      <c r="H78" s="206">
        <v>18568</v>
      </c>
      <c r="I78" s="206">
        <v>18441</v>
      </c>
      <c r="J78" s="206">
        <v>18577</v>
      </c>
      <c r="K78" s="206">
        <v>18796</v>
      </c>
      <c r="L78" s="206">
        <v>18951</v>
      </c>
      <c r="M78" s="206">
        <v>19047</v>
      </c>
      <c r="N78" s="206">
        <v>19260</v>
      </c>
      <c r="O78" s="206">
        <v>19434</v>
      </c>
      <c r="P78" s="206">
        <v>19350</v>
      </c>
      <c r="Q78" s="206">
        <v>19545</v>
      </c>
      <c r="R78" s="206">
        <v>19968</v>
      </c>
      <c r="S78" s="206">
        <v>19967</v>
      </c>
      <c r="T78" s="206">
        <v>20347</v>
      </c>
      <c r="U78" s="206">
        <v>20674</v>
      </c>
      <c r="V78" s="206">
        <v>20117</v>
      </c>
      <c r="W78" s="206">
        <v>20977</v>
      </c>
      <c r="X78" s="206">
        <v>21302</v>
      </c>
      <c r="Y78" s="206">
        <v>21031</v>
      </c>
      <c r="Z78" s="206">
        <v>21620</v>
      </c>
      <c r="AA78" s="206">
        <v>21777</v>
      </c>
      <c r="AB78" s="206">
        <v>21523</v>
      </c>
    </row>
    <row r="79" spans="1:28" x14ac:dyDescent="0.2">
      <c r="B79" s="6" t="s">
        <v>108</v>
      </c>
      <c r="C79" s="6" t="s">
        <v>108</v>
      </c>
      <c r="D79" s="7">
        <v>4060957</v>
      </c>
      <c r="E79" s="206" t="s">
        <v>123</v>
      </c>
      <c r="F79" s="206" t="s">
        <v>123</v>
      </c>
      <c r="G79" s="206">
        <v>1176466</v>
      </c>
      <c r="H79" s="206">
        <v>1171829</v>
      </c>
      <c r="I79" s="206">
        <v>1164174</v>
      </c>
      <c r="J79" s="206">
        <v>1155158</v>
      </c>
      <c r="K79" s="206">
        <v>1155004</v>
      </c>
      <c r="L79" s="206">
        <v>647129</v>
      </c>
      <c r="M79" s="206">
        <v>643203</v>
      </c>
      <c r="N79" s="206">
        <v>638152</v>
      </c>
      <c r="O79" s="206">
        <v>638717</v>
      </c>
      <c r="P79" s="206">
        <v>641134</v>
      </c>
      <c r="Q79" s="206">
        <v>642606</v>
      </c>
      <c r="R79" s="206">
        <v>643424</v>
      </c>
      <c r="S79" s="206">
        <v>644113</v>
      </c>
      <c r="T79" s="206">
        <v>643980</v>
      </c>
      <c r="U79" s="206">
        <v>641935</v>
      </c>
      <c r="V79" s="206">
        <v>641770</v>
      </c>
      <c r="W79" s="206">
        <v>640475</v>
      </c>
      <c r="X79" s="206">
        <v>637806</v>
      </c>
      <c r="Y79" s="206">
        <v>635707</v>
      </c>
      <c r="Z79" s="206">
        <v>632024</v>
      </c>
      <c r="AA79" s="206">
        <v>629255</v>
      </c>
      <c r="AB79" s="206">
        <v>624361</v>
      </c>
    </row>
    <row r="80" spans="1:28" x14ac:dyDescent="0.2">
      <c r="B80" s="6" t="s">
        <v>109</v>
      </c>
      <c r="C80" s="6" t="s">
        <v>109</v>
      </c>
      <c r="D80" s="7">
        <v>4063179</v>
      </c>
      <c r="E80" s="206">
        <v>2695</v>
      </c>
      <c r="F80" s="206">
        <v>2695</v>
      </c>
      <c r="G80" s="206">
        <v>2521</v>
      </c>
      <c r="H80" s="206">
        <v>2996</v>
      </c>
      <c r="I80" s="206">
        <v>2997</v>
      </c>
      <c r="J80" s="206">
        <v>2993</v>
      </c>
      <c r="K80" s="206">
        <v>2959</v>
      </c>
      <c r="L80" s="206">
        <v>2927</v>
      </c>
      <c r="M80" s="206">
        <v>2907</v>
      </c>
      <c r="N80" s="206">
        <v>2907</v>
      </c>
      <c r="O80" s="206">
        <v>2897</v>
      </c>
      <c r="P80" s="206">
        <v>2917</v>
      </c>
      <c r="Q80" s="206">
        <v>2959</v>
      </c>
      <c r="R80" s="206">
        <v>3057</v>
      </c>
      <c r="S80" s="206">
        <v>3099</v>
      </c>
      <c r="T80" s="206">
        <v>3141</v>
      </c>
      <c r="U80" s="206">
        <v>3196</v>
      </c>
      <c r="V80" s="206">
        <v>3278</v>
      </c>
      <c r="W80" s="206">
        <v>3321</v>
      </c>
      <c r="X80" s="206">
        <v>3333</v>
      </c>
      <c r="Y80" s="206">
        <v>3377</v>
      </c>
      <c r="Z80" s="206">
        <v>3663</v>
      </c>
      <c r="AA80" s="206">
        <v>3409</v>
      </c>
      <c r="AB80" s="206">
        <v>3375</v>
      </c>
    </row>
    <row r="81" spans="1:28" x14ac:dyDescent="0.2">
      <c r="A81" s="1" t="s">
        <v>30</v>
      </c>
      <c r="B81" s="6" t="s">
        <v>110</v>
      </c>
      <c r="C81" s="6" t="s">
        <v>110</v>
      </c>
      <c r="D81" s="7">
        <v>4063183</v>
      </c>
      <c r="E81" s="206">
        <v>16670</v>
      </c>
      <c r="F81" s="206">
        <v>16443</v>
      </c>
      <c r="G81" s="206">
        <v>16477</v>
      </c>
      <c r="H81" s="206">
        <v>16169</v>
      </c>
      <c r="I81" s="206">
        <v>16169</v>
      </c>
      <c r="J81" s="206">
        <v>16189</v>
      </c>
      <c r="K81" s="206">
        <v>15937</v>
      </c>
      <c r="L81" s="206">
        <v>15796</v>
      </c>
      <c r="M81" s="206">
        <v>15644</v>
      </c>
      <c r="N81" s="206">
        <v>15573</v>
      </c>
      <c r="O81" s="206">
        <v>15505</v>
      </c>
      <c r="P81" s="206">
        <v>15507</v>
      </c>
      <c r="Q81" s="206">
        <v>15457</v>
      </c>
      <c r="R81" s="206">
        <v>15313</v>
      </c>
      <c r="S81" s="206">
        <v>15358</v>
      </c>
      <c r="T81" s="206">
        <v>15259</v>
      </c>
      <c r="U81" s="206">
        <v>15511</v>
      </c>
      <c r="V81" s="206">
        <v>15476</v>
      </c>
      <c r="W81" s="206">
        <v>15474</v>
      </c>
      <c r="X81" s="206">
        <v>15291</v>
      </c>
      <c r="Y81" s="206">
        <v>15251</v>
      </c>
      <c r="Z81" s="206">
        <v>14969</v>
      </c>
      <c r="AA81" s="206">
        <v>14720</v>
      </c>
      <c r="AB81" s="206">
        <v>14428</v>
      </c>
    </row>
    <row r="82" spans="1:28" x14ac:dyDescent="0.2">
      <c r="B82" s="6" t="s">
        <v>111</v>
      </c>
      <c r="C82" s="6" t="s">
        <v>111</v>
      </c>
      <c r="D82" s="7">
        <v>4063281</v>
      </c>
      <c r="E82" s="206">
        <v>12953</v>
      </c>
      <c r="F82" s="206">
        <v>12873</v>
      </c>
      <c r="G82" s="206">
        <v>12814</v>
      </c>
      <c r="H82" s="206">
        <v>12769</v>
      </c>
      <c r="I82" s="206">
        <v>12717</v>
      </c>
      <c r="J82" s="206">
        <v>12652</v>
      </c>
      <c r="K82" s="206">
        <v>12570</v>
      </c>
      <c r="L82" s="206">
        <v>12485</v>
      </c>
      <c r="M82" s="206">
        <v>12432</v>
      </c>
      <c r="N82" s="206">
        <v>12381</v>
      </c>
      <c r="O82" s="206">
        <v>12326</v>
      </c>
      <c r="P82" s="206">
        <v>12326</v>
      </c>
      <c r="Q82" s="206">
        <v>12263</v>
      </c>
      <c r="R82" s="206">
        <v>12160</v>
      </c>
      <c r="S82" s="206">
        <v>12108</v>
      </c>
      <c r="T82" s="206">
        <v>12038</v>
      </c>
      <c r="U82" s="206">
        <v>11979</v>
      </c>
      <c r="V82" s="206">
        <v>11884</v>
      </c>
      <c r="W82" s="206">
        <v>11874</v>
      </c>
      <c r="X82" s="206">
        <v>11775</v>
      </c>
      <c r="Y82" s="206">
        <v>11650</v>
      </c>
      <c r="Z82" s="206">
        <v>11478</v>
      </c>
      <c r="AA82" s="206">
        <v>11379</v>
      </c>
      <c r="AB82" s="206">
        <v>11232</v>
      </c>
    </row>
    <row r="83" spans="1:28" x14ac:dyDescent="0.2">
      <c r="B83" s="6" t="s">
        <v>112</v>
      </c>
      <c r="C83" s="6" t="s">
        <v>112</v>
      </c>
      <c r="D83" s="7">
        <v>4059746</v>
      </c>
      <c r="E83" s="206">
        <v>1219333</v>
      </c>
      <c r="F83" s="206">
        <v>1210083</v>
      </c>
      <c r="G83" s="206">
        <v>1208812</v>
      </c>
      <c r="H83" s="206">
        <v>1205480</v>
      </c>
      <c r="I83" s="206">
        <v>1202978</v>
      </c>
      <c r="J83" s="206">
        <v>1200199</v>
      </c>
      <c r="K83" s="206">
        <v>1193036</v>
      </c>
      <c r="L83" s="206">
        <v>1191380</v>
      </c>
      <c r="M83" s="206">
        <v>1190682</v>
      </c>
      <c r="N83" s="206">
        <v>1190208</v>
      </c>
      <c r="O83" s="206">
        <v>1181939</v>
      </c>
      <c r="P83" s="206">
        <v>1186556</v>
      </c>
      <c r="Q83" s="206">
        <v>1193758</v>
      </c>
      <c r="R83" s="206">
        <v>1201285</v>
      </c>
      <c r="S83" s="206">
        <v>1209821</v>
      </c>
      <c r="T83" s="206">
        <v>1215988</v>
      </c>
      <c r="U83" s="206">
        <v>1218695</v>
      </c>
      <c r="V83" s="206">
        <v>1217546</v>
      </c>
      <c r="W83" s="206">
        <v>1215966</v>
      </c>
      <c r="X83" s="206">
        <v>1213805</v>
      </c>
      <c r="Y83" s="206">
        <v>1221538</v>
      </c>
      <c r="Z83" s="206">
        <v>1234870</v>
      </c>
      <c r="AA83" s="206">
        <v>1201730</v>
      </c>
      <c r="AB83" s="206">
        <v>1171867</v>
      </c>
    </row>
    <row r="84" spans="1:28" x14ac:dyDescent="0.2">
      <c r="A84" s="1" t="s">
        <v>30</v>
      </c>
      <c r="B84" s="6" t="s">
        <v>113</v>
      </c>
      <c r="C84" s="6" t="s">
        <v>113</v>
      </c>
      <c r="D84" s="7">
        <v>4062279</v>
      </c>
      <c r="E84" s="206" t="s">
        <v>123</v>
      </c>
      <c r="F84" s="206" t="s">
        <v>123</v>
      </c>
      <c r="G84" s="206" t="s">
        <v>123</v>
      </c>
      <c r="H84" s="206" t="s">
        <v>123</v>
      </c>
      <c r="I84" s="206">
        <v>169263</v>
      </c>
      <c r="J84" s="206">
        <v>168032</v>
      </c>
      <c r="K84" s="206">
        <v>166713</v>
      </c>
      <c r="L84" s="206">
        <v>165383</v>
      </c>
      <c r="M84" s="206">
        <v>163789</v>
      </c>
      <c r="N84" s="206">
        <v>161432</v>
      </c>
      <c r="O84" s="206">
        <v>159858</v>
      </c>
      <c r="P84" s="206">
        <v>159006</v>
      </c>
      <c r="Q84" s="206">
        <v>159353</v>
      </c>
      <c r="R84" s="206">
        <v>159736</v>
      </c>
      <c r="S84" s="206">
        <v>159586</v>
      </c>
      <c r="T84" s="206">
        <v>160704</v>
      </c>
      <c r="U84" s="206">
        <v>159969</v>
      </c>
      <c r="V84" s="206">
        <v>159242</v>
      </c>
      <c r="W84" s="206">
        <v>158366</v>
      </c>
      <c r="X84" s="206">
        <v>157465</v>
      </c>
      <c r="Y84" s="206">
        <v>156271</v>
      </c>
      <c r="Z84" s="206">
        <v>155994</v>
      </c>
      <c r="AA84" s="206">
        <v>154125</v>
      </c>
      <c r="AB84" s="206">
        <v>147871</v>
      </c>
    </row>
    <row r="85" spans="1:28" x14ac:dyDescent="0.2">
      <c r="A85" s="1" t="s">
        <v>30</v>
      </c>
      <c r="B85" s="6" t="s">
        <v>114</v>
      </c>
      <c r="C85" s="6" t="s">
        <v>114</v>
      </c>
      <c r="D85" s="7">
        <v>4063729</v>
      </c>
      <c r="E85" s="206" t="s">
        <v>123</v>
      </c>
      <c r="F85" s="206" t="s">
        <v>123</v>
      </c>
      <c r="G85" s="206">
        <v>53205</v>
      </c>
      <c r="H85" s="206">
        <v>52356</v>
      </c>
      <c r="I85" s="206">
        <v>51027</v>
      </c>
      <c r="J85" s="206">
        <v>50021</v>
      </c>
      <c r="K85" s="206">
        <v>48978</v>
      </c>
      <c r="L85" s="206">
        <v>47847</v>
      </c>
      <c r="M85" s="206">
        <v>46607</v>
      </c>
      <c r="N85" s="206">
        <v>45491</v>
      </c>
      <c r="O85" s="206">
        <v>44132</v>
      </c>
      <c r="P85" s="206">
        <v>43223</v>
      </c>
      <c r="Q85" s="206">
        <v>42364</v>
      </c>
      <c r="R85" s="206">
        <v>40945</v>
      </c>
      <c r="S85" s="206">
        <v>39900</v>
      </c>
      <c r="T85" s="206">
        <v>38978</v>
      </c>
      <c r="U85" s="206">
        <v>37838</v>
      </c>
      <c r="V85" s="206">
        <v>36699</v>
      </c>
      <c r="W85" s="206">
        <v>35500</v>
      </c>
      <c r="X85" s="206">
        <v>34662</v>
      </c>
      <c r="Y85" s="206">
        <v>33916</v>
      </c>
      <c r="Z85" s="206">
        <v>32887</v>
      </c>
      <c r="AA85" s="206">
        <v>32188</v>
      </c>
      <c r="AB85" s="206">
        <v>30735</v>
      </c>
    </row>
    <row r="86" spans="1:28" x14ac:dyDescent="0.2">
      <c r="B86" s="6" t="s">
        <v>115</v>
      </c>
      <c r="C86" s="6" t="s">
        <v>115</v>
      </c>
      <c r="D86" s="7">
        <v>4063762</v>
      </c>
      <c r="E86" s="206">
        <v>312000</v>
      </c>
      <c r="F86" s="206" t="s">
        <v>123</v>
      </c>
      <c r="G86" s="206">
        <v>300623</v>
      </c>
      <c r="H86" s="206">
        <v>298000</v>
      </c>
      <c r="I86" s="206">
        <v>296062</v>
      </c>
      <c r="J86" s="206">
        <v>293213</v>
      </c>
      <c r="K86" s="206">
        <v>289764</v>
      </c>
      <c r="L86" s="206">
        <v>286484</v>
      </c>
      <c r="M86" s="206">
        <v>283920</v>
      </c>
      <c r="N86" s="206">
        <v>281005</v>
      </c>
      <c r="O86" s="206">
        <v>278175</v>
      </c>
      <c r="P86" s="206">
        <v>275184</v>
      </c>
      <c r="Q86" s="206">
        <v>272740</v>
      </c>
      <c r="R86" s="206">
        <v>271407</v>
      </c>
      <c r="S86" s="206">
        <v>269299</v>
      </c>
      <c r="T86" s="206">
        <v>269746</v>
      </c>
      <c r="U86" s="206">
        <v>266962</v>
      </c>
      <c r="V86" s="206">
        <v>256113</v>
      </c>
      <c r="W86" s="206">
        <v>250971</v>
      </c>
      <c r="X86" s="206">
        <v>245488</v>
      </c>
      <c r="Y86" s="206">
        <v>236605</v>
      </c>
      <c r="Z86" s="206">
        <v>232710</v>
      </c>
      <c r="AA86" s="206">
        <v>224968</v>
      </c>
      <c r="AB86" s="206">
        <v>216124</v>
      </c>
    </row>
    <row r="87" spans="1:28" x14ac:dyDescent="0.2">
      <c r="B87" s="6" t="s">
        <v>116</v>
      </c>
      <c r="C87" s="6" t="s">
        <v>116</v>
      </c>
      <c r="D87" s="7">
        <v>4058284</v>
      </c>
      <c r="E87" s="206">
        <f>F87</f>
        <v>1200837</v>
      </c>
      <c r="F87" s="206">
        <v>1200837</v>
      </c>
      <c r="G87" s="206">
        <v>1188758</v>
      </c>
      <c r="H87" s="206">
        <v>1177330</v>
      </c>
      <c r="I87" s="206">
        <v>1160175</v>
      </c>
      <c r="J87" s="206">
        <v>1144504</v>
      </c>
      <c r="K87" s="206">
        <v>1133084</v>
      </c>
      <c r="L87" s="206">
        <v>1124146</v>
      </c>
      <c r="M87" s="206">
        <v>1110704</v>
      </c>
      <c r="N87" s="206">
        <v>1095115</v>
      </c>
      <c r="O87" s="206">
        <v>1091542</v>
      </c>
      <c r="P87" s="206">
        <v>1079808</v>
      </c>
      <c r="Q87" s="206">
        <v>1074187</v>
      </c>
      <c r="R87" s="206">
        <v>1055630</v>
      </c>
      <c r="S87" s="206">
        <v>1047937</v>
      </c>
      <c r="T87" s="206">
        <v>1031040</v>
      </c>
      <c r="U87" s="206">
        <v>1004553</v>
      </c>
      <c r="V87" s="206">
        <v>980868</v>
      </c>
      <c r="W87" s="206">
        <v>935761</v>
      </c>
      <c r="X87" s="206">
        <v>941456</v>
      </c>
      <c r="Y87" s="206">
        <v>907465</v>
      </c>
      <c r="Z87" s="206">
        <v>868474</v>
      </c>
      <c r="AA87" s="206">
        <v>880014</v>
      </c>
      <c r="AB87" s="206">
        <v>822623</v>
      </c>
    </row>
    <row r="88" spans="1:28" x14ac:dyDescent="0.2">
      <c r="B88" s="6" t="s">
        <v>117</v>
      </c>
      <c r="C88" s="6" t="s">
        <v>117</v>
      </c>
      <c r="D88" s="7">
        <v>4008752</v>
      </c>
      <c r="E88" s="206">
        <v>643970</v>
      </c>
      <c r="F88" s="206">
        <v>644138</v>
      </c>
      <c r="G88" s="206">
        <v>638758</v>
      </c>
      <c r="H88" s="206">
        <v>632794</v>
      </c>
      <c r="I88" s="206">
        <v>626570</v>
      </c>
      <c r="J88" s="206">
        <v>620382</v>
      </c>
      <c r="K88" s="206">
        <v>614491</v>
      </c>
      <c r="L88" s="206">
        <v>608912</v>
      </c>
      <c r="M88" s="206">
        <v>605122</v>
      </c>
      <c r="N88" s="206">
        <v>601970</v>
      </c>
      <c r="O88" s="206">
        <v>599478</v>
      </c>
      <c r="P88" s="206">
        <v>597326</v>
      </c>
      <c r="Q88" s="206">
        <v>594702</v>
      </c>
      <c r="R88" s="206">
        <v>591898</v>
      </c>
      <c r="S88" s="206">
        <v>588266</v>
      </c>
      <c r="T88" s="206">
        <v>584211</v>
      </c>
      <c r="U88" s="206">
        <v>578172</v>
      </c>
      <c r="V88" s="206">
        <v>570927</v>
      </c>
      <c r="W88" s="206">
        <v>562817</v>
      </c>
      <c r="X88" s="206">
        <v>556768</v>
      </c>
      <c r="Y88" s="206">
        <v>548586</v>
      </c>
      <c r="Z88" s="206">
        <v>540679</v>
      </c>
      <c r="AA88" s="206">
        <v>529984</v>
      </c>
      <c r="AB88" s="206">
        <v>521020</v>
      </c>
    </row>
    <row r="89" spans="1:28" x14ac:dyDescent="0.2">
      <c r="B89" s="6" t="s">
        <v>118</v>
      </c>
      <c r="C89" s="6" t="s">
        <v>118</v>
      </c>
      <c r="D89" s="7">
        <v>4008669</v>
      </c>
      <c r="E89" s="206">
        <v>196242</v>
      </c>
      <c r="F89" s="206">
        <v>194159</v>
      </c>
      <c r="G89" s="206">
        <v>191712</v>
      </c>
      <c r="H89" s="206">
        <v>189749</v>
      </c>
      <c r="I89" s="206">
        <v>188117</v>
      </c>
      <c r="J89" s="206">
        <v>186405</v>
      </c>
      <c r="K89" s="206">
        <v>185485</v>
      </c>
      <c r="L89" s="206">
        <v>183818</v>
      </c>
      <c r="M89" s="206">
        <v>182107</v>
      </c>
      <c r="N89" s="206">
        <v>180405</v>
      </c>
      <c r="O89" s="206">
        <v>179256</v>
      </c>
      <c r="P89" s="206">
        <v>178309</v>
      </c>
      <c r="Q89" s="206">
        <v>177389</v>
      </c>
      <c r="R89" s="206">
        <v>176647</v>
      </c>
      <c r="S89" s="206">
        <v>174852</v>
      </c>
      <c r="T89" s="206">
        <v>172684</v>
      </c>
      <c r="U89" s="206">
        <v>172312</v>
      </c>
      <c r="V89" s="206">
        <v>169216</v>
      </c>
      <c r="W89" s="206">
        <v>166961</v>
      </c>
      <c r="X89" s="206">
        <v>165567</v>
      </c>
      <c r="Y89" s="206">
        <v>159515</v>
      </c>
      <c r="Z89" s="206">
        <v>157077</v>
      </c>
      <c r="AA89" s="206">
        <v>153970</v>
      </c>
      <c r="AB89" s="206">
        <v>150657</v>
      </c>
    </row>
    <row r="90" spans="1:28" x14ac:dyDescent="0.2">
      <c r="B90" s="6" t="s">
        <v>119</v>
      </c>
      <c r="C90" s="6" t="s">
        <v>120</v>
      </c>
      <c r="D90" s="7">
        <v>4076892</v>
      </c>
      <c r="E90" s="206">
        <v>6955</v>
      </c>
      <c r="F90" s="206">
        <v>6919</v>
      </c>
      <c r="G90" s="206">
        <v>6884</v>
      </c>
      <c r="H90" s="206">
        <v>6888</v>
      </c>
      <c r="I90" s="206">
        <v>6886</v>
      </c>
      <c r="J90" s="206">
        <v>6855</v>
      </c>
      <c r="K90" s="206">
        <v>6873</v>
      </c>
      <c r="L90" s="206">
        <v>6916</v>
      </c>
      <c r="M90" s="206">
        <v>6905</v>
      </c>
      <c r="N90" s="206">
        <v>6876</v>
      </c>
      <c r="O90" s="206">
        <v>6882</v>
      </c>
      <c r="P90" s="206">
        <v>6852</v>
      </c>
      <c r="Q90" s="206">
        <v>6858</v>
      </c>
      <c r="R90" s="206">
        <v>6814</v>
      </c>
      <c r="S90" s="206">
        <v>6735</v>
      </c>
      <c r="T90" s="206">
        <v>6711</v>
      </c>
      <c r="U90" s="206">
        <v>6741</v>
      </c>
      <c r="V90" s="206">
        <v>6702</v>
      </c>
      <c r="W90" s="206">
        <v>6720</v>
      </c>
      <c r="X90" s="206">
        <v>6765</v>
      </c>
      <c r="Y90" s="206">
        <v>6201</v>
      </c>
      <c r="Z90" s="206">
        <v>6746</v>
      </c>
      <c r="AA90" s="206">
        <v>6771</v>
      </c>
      <c r="AB90" s="206">
        <v>6651</v>
      </c>
    </row>
    <row r="91" spans="1:28" x14ac:dyDescent="0.2">
      <c r="A91" s="1" t="s">
        <v>30</v>
      </c>
      <c r="B91" s="6" t="s">
        <v>121</v>
      </c>
      <c r="C91" s="6" t="s">
        <v>122</v>
      </c>
      <c r="D91" s="7">
        <v>4064141</v>
      </c>
      <c r="E91" s="206">
        <v>247588</v>
      </c>
      <c r="F91" s="206" t="s">
        <v>123</v>
      </c>
      <c r="G91" s="206">
        <v>241063</v>
      </c>
      <c r="H91" s="206">
        <v>233810</v>
      </c>
      <c r="I91" s="206">
        <v>230056</v>
      </c>
      <c r="J91" s="206">
        <v>226436</v>
      </c>
      <c r="K91" s="206">
        <v>222894</v>
      </c>
      <c r="L91" s="206">
        <v>219369</v>
      </c>
      <c r="M91" s="206">
        <v>214694</v>
      </c>
      <c r="N91" s="206">
        <v>211542</v>
      </c>
      <c r="O91" s="206">
        <v>207753</v>
      </c>
      <c r="P91" s="206">
        <v>205886</v>
      </c>
      <c r="Q91" s="206">
        <v>206438</v>
      </c>
      <c r="R91" s="206">
        <v>204835</v>
      </c>
      <c r="S91" s="206">
        <v>202743</v>
      </c>
      <c r="T91" s="206">
        <v>199377</v>
      </c>
      <c r="U91" s="206">
        <v>196870</v>
      </c>
      <c r="V91" s="206">
        <v>194212</v>
      </c>
      <c r="W91" s="206">
        <v>192816</v>
      </c>
      <c r="X91" s="206">
        <v>190984</v>
      </c>
      <c r="Y91" s="206">
        <v>191112</v>
      </c>
      <c r="Z91" s="206">
        <v>185373</v>
      </c>
      <c r="AA91" s="206">
        <v>184711</v>
      </c>
      <c r="AB91" s="206">
        <v>183696</v>
      </c>
    </row>
    <row r="92" spans="1:28" x14ac:dyDescent="0.2">
      <c r="B92" s="6"/>
      <c r="C92" s="6"/>
      <c r="D92" s="7"/>
      <c r="E92" s="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</row>
    <row r="93" spans="1:28" x14ac:dyDescent="0.2">
      <c r="B93" s="6"/>
      <c r="C93" s="6"/>
      <c r="D93" s="7"/>
      <c r="E93" s="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</row>
    <row r="94" spans="1:28" x14ac:dyDescent="0.2">
      <c r="B94" s="6"/>
      <c r="C94" s="6"/>
      <c r="D94" s="7"/>
      <c r="E94" s="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</row>
    <row r="95" spans="1:28" x14ac:dyDescent="0.2">
      <c r="B95" s="6"/>
      <c r="C95" s="6"/>
      <c r="D95" s="7"/>
      <c r="E95" s="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 x14ac:dyDescent="0.2">
      <c r="B96" s="6"/>
      <c r="C96" s="6"/>
      <c r="D96" s="7"/>
      <c r="E96" s="7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7"/>
      <c r="U96" s="17"/>
      <c r="V96" s="17"/>
      <c r="W96" s="17"/>
      <c r="X96" s="17"/>
      <c r="Y96" s="17"/>
      <c r="Z96" s="17"/>
      <c r="AA96" s="17"/>
      <c r="AB96" s="17"/>
    </row>
    <row r="97" spans="2:28" x14ac:dyDescent="0.2">
      <c r="B97" s="6"/>
      <c r="C97" s="6"/>
      <c r="D97" s="7"/>
      <c r="E97" s="7"/>
      <c r="F97" s="18"/>
      <c r="G97" s="18"/>
      <c r="H97" s="18"/>
      <c r="I97" s="18"/>
      <c r="J97" s="18"/>
      <c r="K97" s="18"/>
      <c r="L97" s="18"/>
      <c r="M97" s="18"/>
      <c r="N97" s="18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2:28" x14ac:dyDescent="0.2">
      <c r="B98" s="6"/>
      <c r="C98" s="7"/>
      <c r="D98" s="19"/>
      <c r="E98" s="19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2:28" x14ac:dyDescent="0.2">
      <c r="B99" s="6"/>
      <c r="C99" s="6"/>
      <c r="D99" s="7"/>
      <c r="E99" s="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2:28" x14ac:dyDescent="0.2">
      <c r="B100" s="6"/>
      <c r="C100" s="6"/>
      <c r="D100" s="7"/>
      <c r="E100" s="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2:28" x14ac:dyDescent="0.2">
      <c r="B101" s="6"/>
      <c r="C101" s="6"/>
      <c r="D101" s="7"/>
      <c r="E101" s="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2:28" x14ac:dyDescent="0.2">
      <c r="B102" s="6"/>
      <c r="C102" s="6"/>
      <c r="D102" s="7"/>
      <c r="E102" s="7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2:28" x14ac:dyDescent="0.2">
      <c r="B103" s="6"/>
      <c r="C103" s="6"/>
      <c r="D103" s="7"/>
      <c r="E103" s="7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2:28" x14ac:dyDescent="0.2">
      <c r="B104" s="6"/>
      <c r="C104" s="6"/>
      <c r="D104" s="7"/>
      <c r="E104" s="7"/>
      <c r="F104" s="18"/>
      <c r="G104" s="18"/>
      <c r="H104" s="18"/>
      <c r="I104" s="18"/>
      <c r="J104" s="18"/>
      <c r="K104" s="18"/>
      <c r="L104" s="18"/>
      <c r="M104" s="18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2:28" x14ac:dyDescent="0.2">
      <c r="B105" s="6"/>
      <c r="C105" s="6"/>
      <c r="D105" s="7"/>
      <c r="E105" s="7"/>
      <c r="F105" s="17"/>
      <c r="G105" s="17"/>
      <c r="H105" s="17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  <row r="106" spans="2:28" x14ac:dyDescent="0.2">
      <c r="B106" s="6"/>
      <c r="C106" s="6"/>
      <c r="D106" s="7"/>
      <c r="E106" s="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</row>
    <row r="107" spans="2:28" x14ac:dyDescent="0.2">
      <c r="B107" s="6"/>
      <c r="C107" s="6"/>
      <c r="D107" s="7"/>
      <c r="E107" s="7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7"/>
      <c r="U107" s="17"/>
      <c r="V107" s="17"/>
      <c r="W107" s="17"/>
      <c r="X107" s="17"/>
      <c r="Y107" s="17"/>
      <c r="Z107" s="17"/>
      <c r="AA107" s="17"/>
      <c r="AB107" s="17"/>
    </row>
    <row r="108" spans="2:28" x14ac:dyDescent="0.2">
      <c r="B108" s="6"/>
      <c r="C108" s="6"/>
      <c r="D108" s="7"/>
      <c r="E108" s="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</row>
    <row r="109" spans="2:28" x14ac:dyDescent="0.2">
      <c r="B109" s="6"/>
      <c r="C109" s="6"/>
      <c r="D109" s="7"/>
      <c r="E109" s="7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7"/>
      <c r="U109" s="17"/>
      <c r="V109" s="17"/>
      <c r="W109" s="17"/>
      <c r="X109" s="17"/>
      <c r="Y109" s="17"/>
      <c r="Z109" s="17"/>
      <c r="AA109" s="17"/>
      <c r="AB109" s="17"/>
    </row>
    <row r="110" spans="2:28" x14ac:dyDescent="0.2">
      <c r="B110" s="6"/>
      <c r="C110" s="6"/>
      <c r="D110" s="7"/>
      <c r="E110" s="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</row>
    <row r="111" spans="2:28" x14ac:dyDescent="0.2">
      <c r="B111" s="6"/>
      <c r="C111" s="6"/>
      <c r="D111" s="7"/>
      <c r="E111" s="7"/>
      <c r="F111" s="17"/>
      <c r="G111" s="17"/>
      <c r="H111" s="17"/>
      <c r="I111" s="17"/>
      <c r="J111" s="17"/>
      <c r="K111" s="18"/>
      <c r="L111" s="18"/>
      <c r="M111" s="18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</row>
    <row r="112" spans="2:28" x14ac:dyDescent="0.2">
      <c r="B112" s="6"/>
      <c r="C112" s="6"/>
      <c r="D112" s="7"/>
      <c r="E112" s="7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7"/>
      <c r="U112" s="17"/>
      <c r="V112" s="17"/>
      <c r="W112" s="17"/>
      <c r="X112" s="17"/>
      <c r="Y112" s="17"/>
      <c r="Z112" s="17"/>
      <c r="AA112" s="17"/>
      <c r="AB112" s="17"/>
    </row>
    <row r="113" spans="2:28" x14ac:dyDescent="0.2">
      <c r="B113" s="6"/>
      <c r="C113" s="6"/>
      <c r="D113" s="7"/>
      <c r="E113" s="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</row>
    <row r="114" spans="2:28" x14ac:dyDescent="0.2">
      <c r="B114" s="6"/>
      <c r="C114" s="6"/>
      <c r="D114" s="7"/>
      <c r="E114" s="7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7"/>
      <c r="U114" s="17"/>
      <c r="V114" s="17"/>
      <c r="W114" s="17"/>
      <c r="X114" s="17"/>
      <c r="Y114" s="17"/>
      <c r="Z114" s="17"/>
      <c r="AA114" s="17"/>
      <c r="AB114" s="17"/>
    </row>
    <row r="115" spans="2:28" x14ac:dyDescent="0.2">
      <c r="B115" s="6"/>
      <c r="C115" s="6"/>
      <c r="D115" s="7"/>
      <c r="E115" s="7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7"/>
      <c r="U115" s="17"/>
      <c r="V115" s="17"/>
      <c r="W115" s="17"/>
      <c r="X115" s="17"/>
      <c r="Y115" s="17"/>
      <c r="Z115" s="17"/>
      <c r="AA115" s="17"/>
      <c r="AB115" s="17"/>
    </row>
    <row r="116" spans="2:28" x14ac:dyDescent="0.2">
      <c r="B116" s="6"/>
      <c r="C116" s="6"/>
      <c r="D116" s="7"/>
      <c r="E116" s="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</row>
    <row r="117" spans="2:28" x14ac:dyDescent="0.2">
      <c r="B117" s="6"/>
      <c r="C117" s="6"/>
      <c r="D117" s="7"/>
      <c r="E117" s="7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7"/>
      <c r="U117" s="17"/>
      <c r="V117" s="17"/>
      <c r="W117" s="17"/>
      <c r="X117" s="17"/>
      <c r="Y117" s="17"/>
      <c r="Z117" s="17"/>
      <c r="AA117" s="17"/>
      <c r="AB117" s="17"/>
    </row>
    <row r="118" spans="2:28" x14ac:dyDescent="0.2">
      <c r="B118" s="6"/>
      <c r="C118" s="6"/>
      <c r="D118" s="7"/>
      <c r="E118" s="7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</row>
    <row r="119" spans="2:28" x14ac:dyDescent="0.2">
      <c r="B119" s="6"/>
      <c r="C119" s="6"/>
      <c r="D119" s="7"/>
      <c r="E119" s="7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7"/>
      <c r="U119" s="17"/>
      <c r="V119" s="17"/>
      <c r="W119" s="17"/>
      <c r="X119" s="17"/>
      <c r="Y119" s="17"/>
      <c r="Z119" s="17"/>
      <c r="AA119" s="17"/>
      <c r="AB119" s="17"/>
    </row>
    <row r="120" spans="2:28" x14ac:dyDescent="0.2">
      <c r="B120" s="6"/>
      <c r="C120" s="6"/>
      <c r="D120" s="7"/>
      <c r="E120" s="7"/>
      <c r="F120" s="17"/>
      <c r="G120" s="17"/>
      <c r="H120" s="17"/>
      <c r="I120" s="17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7"/>
      <c r="U120" s="17"/>
      <c r="V120" s="17"/>
      <c r="W120" s="17"/>
      <c r="X120" s="17"/>
      <c r="Y120" s="17"/>
      <c r="Z120" s="17"/>
      <c r="AA120" s="17"/>
      <c r="AB120" s="17"/>
    </row>
    <row r="121" spans="2:28" x14ac:dyDescent="0.2">
      <c r="B121" s="6"/>
      <c r="C121" s="6"/>
      <c r="D121" s="7"/>
      <c r="E121" s="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</row>
    <row r="122" spans="2:28" x14ac:dyDescent="0.2">
      <c r="B122" s="6"/>
      <c r="C122" s="6"/>
      <c r="D122" s="7"/>
      <c r="E122" s="7"/>
      <c r="F122" s="17"/>
      <c r="G122" s="17"/>
      <c r="H122" s="17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7"/>
      <c r="U122" s="17"/>
      <c r="V122" s="17"/>
      <c r="W122" s="17"/>
      <c r="X122" s="17"/>
      <c r="Y122" s="17"/>
      <c r="Z122" s="17"/>
      <c r="AA122" s="17"/>
      <c r="AB122" s="17"/>
    </row>
    <row r="123" spans="2:28" x14ac:dyDescent="0.2">
      <c r="B123" s="6"/>
      <c r="C123" s="6"/>
      <c r="D123" s="7"/>
      <c r="E123" s="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</row>
    <row r="124" spans="2:28" x14ac:dyDescent="0.2">
      <c r="B124" s="6"/>
      <c r="C124" s="6"/>
      <c r="D124" s="7"/>
      <c r="E124" s="7"/>
      <c r="F124" s="18"/>
      <c r="G124" s="18"/>
      <c r="H124" s="18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</row>
    <row r="125" spans="2:28" x14ac:dyDescent="0.2">
      <c r="B125" s="6"/>
      <c r="C125" s="6"/>
      <c r="D125" s="7"/>
      <c r="E125" s="7"/>
      <c r="F125" s="17"/>
      <c r="G125" s="17"/>
      <c r="H125" s="17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7"/>
      <c r="U125" s="17"/>
      <c r="V125" s="17"/>
      <c r="W125" s="17"/>
      <c r="X125" s="17"/>
      <c r="Y125" s="17"/>
      <c r="Z125" s="17"/>
      <c r="AA125" s="17"/>
      <c r="AB125" s="17"/>
    </row>
    <row r="126" spans="2:28" x14ac:dyDescent="0.2">
      <c r="B126" s="6"/>
      <c r="C126" s="6"/>
      <c r="D126" s="7"/>
      <c r="E126" s="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</row>
    <row r="127" spans="2:28" x14ac:dyDescent="0.2">
      <c r="B127" s="6"/>
      <c r="C127" s="6"/>
      <c r="D127" s="7"/>
      <c r="E127" s="7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7"/>
      <c r="U127" s="17"/>
      <c r="V127" s="17"/>
      <c r="W127" s="17"/>
      <c r="X127" s="17"/>
      <c r="Y127" s="17"/>
      <c r="Z127" s="17"/>
      <c r="AA127" s="17"/>
      <c r="AB127" s="17"/>
    </row>
    <row r="128" spans="2:28" x14ac:dyDescent="0.2">
      <c r="B128" s="6"/>
      <c r="C128" s="6"/>
      <c r="D128" s="7"/>
      <c r="E128" s="7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7"/>
      <c r="U128" s="17"/>
      <c r="V128" s="17"/>
      <c r="W128" s="17"/>
      <c r="X128" s="17"/>
      <c r="Y128" s="17"/>
      <c r="Z128" s="17"/>
      <c r="AA128" s="17"/>
      <c r="AB128" s="17"/>
    </row>
    <row r="129" spans="2:28" x14ac:dyDescent="0.2">
      <c r="B129" s="6"/>
      <c r="C129" s="6"/>
      <c r="D129" s="7"/>
      <c r="E129" s="7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7"/>
      <c r="U129" s="17"/>
      <c r="V129" s="17"/>
      <c r="W129" s="17"/>
      <c r="X129" s="17"/>
      <c r="Y129" s="17"/>
      <c r="Z129" s="17"/>
      <c r="AA129" s="17"/>
      <c r="AB129" s="17"/>
    </row>
    <row r="130" spans="2:28" x14ac:dyDescent="0.2">
      <c r="B130" s="6"/>
      <c r="C130" s="6"/>
      <c r="D130" s="7"/>
      <c r="E130" s="7"/>
      <c r="F130" s="17"/>
      <c r="G130" s="17"/>
      <c r="H130" s="17"/>
      <c r="I130" s="18"/>
      <c r="J130" s="18"/>
      <c r="K130" s="18"/>
      <c r="L130" s="18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</row>
    <row r="131" spans="2:28" x14ac:dyDescent="0.2">
      <c r="B131" s="6"/>
      <c r="C131" s="6"/>
      <c r="D131" s="7"/>
      <c r="E131" s="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</row>
    <row r="132" spans="2:28" x14ac:dyDescent="0.2">
      <c r="B132" s="6"/>
      <c r="C132" s="6"/>
      <c r="D132" s="7"/>
      <c r="E132" s="7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7"/>
      <c r="U132" s="17"/>
      <c r="V132" s="17"/>
      <c r="W132" s="17"/>
      <c r="X132" s="17"/>
      <c r="Y132" s="17"/>
      <c r="Z132" s="17"/>
      <c r="AA132" s="17"/>
      <c r="AB132" s="17"/>
    </row>
    <row r="133" spans="2:28" x14ac:dyDescent="0.2">
      <c r="B133" s="6"/>
      <c r="C133" s="6"/>
      <c r="D133" s="7"/>
      <c r="E133" s="7"/>
      <c r="F133" s="17"/>
      <c r="G133" s="17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</row>
    <row r="134" spans="2:28" x14ac:dyDescent="0.2">
      <c r="B134" s="6"/>
      <c r="C134" s="6"/>
      <c r="D134" s="7"/>
      <c r="E134" s="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</row>
    <row r="135" spans="2:28" x14ac:dyDescent="0.2">
      <c r="B135" s="6"/>
      <c r="C135" s="6"/>
      <c r="D135" s="7"/>
      <c r="E135" s="7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7"/>
      <c r="U135" s="17"/>
      <c r="V135" s="17"/>
      <c r="W135" s="17"/>
      <c r="X135" s="17"/>
      <c r="Y135" s="17"/>
      <c r="Z135" s="17"/>
      <c r="AA135" s="17"/>
      <c r="AB135" s="17"/>
    </row>
    <row r="136" spans="2:28" x14ac:dyDescent="0.2">
      <c r="B136" s="6"/>
      <c r="C136" s="6"/>
      <c r="D136" s="7"/>
      <c r="E136" s="7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7"/>
      <c r="U136" s="17"/>
      <c r="V136" s="17"/>
      <c r="W136" s="17"/>
      <c r="X136" s="17"/>
      <c r="Y136" s="17"/>
      <c r="Z136" s="17"/>
      <c r="AA136" s="17"/>
      <c r="AB136" s="17"/>
    </row>
    <row r="137" spans="2:28" x14ac:dyDescent="0.2">
      <c r="B137" s="6"/>
      <c r="C137" s="6"/>
      <c r="D137" s="7"/>
      <c r="E137" s="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</row>
    <row r="138" spans="2:28" x14ac:dyDescent="0.2">
      <c r="B138" s="6"/>
      <c r="C138" s="6"/>
      <c r="D138" s="7"/>
      <c r="E138" s="7"/>
      <c r="F138" s="18"/>
      <c r="G138" s="18"/>
      <c r="H138" s="17"/>
      <c r="I138" s="17"/>
      <c r="J138" s="17"/>
      <c r="K138" s="17"/>
      <c r="L138" s="17"/>
      <c r="M138" s="17"/>
      <c r="N138" s="18"/>
      <c r="O138" s="18"/>
      <c r="P138" s="18"/>
      <c r="Q138" s="18"/>
      <c r="R138" s="18"/>
      <c r="S138" s="18"/>
      <c r="T138" s="17"/>
      <c r="U138" s="17"/>
      <c r="V138" s="17"/>
      <c r="W138" s="17"/>
      <c r="X138" s="17"/>
      <c r="Y138" s="17"/>
      <c r="Z138" s="17"/>
      <c r="AA138" s="17"/>
      <c r="AB138" s="17"/>
    </row>
    <row r="139" spans="2:28" x14ac:dyDescent="0.2">
      <c r="B139" s="6"/>
      <c r="C139" s="6"/>
      <c r="D139" s="7"/>
      <c r="E139" s="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7"/>
      <c r="U139" s="17"/>
      <c r="V139" s="17"/>
      <c r="W139" s="17"/>
      <c r="X139" s="17"/>
      <c r="Y139" s="17"/>
      <c r="Z139" s="17"/>
      <c r="AA139" s="17"/>
      <c r="AB139" s="17"/>
    </row>
    <row r="140" spans="2:28" x14ac:dyDescent="0.2">
      <c r="B140" s="6"/>
      <c r="C140" s="6"/>
      <c r="D140" s="7"/>
      <c r="E140" s="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</row>
    <row r="141" spans="2:28" x14ac:dyDescent="0.2">
      <c r="B141" s="6"/>
      <c r="C141" s="6"/>
      <c r="D141" s="7"/>
      <c r="E141" s="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</row>
    <row r="142" spans="2:28" x14ac:dyDescent="0.2">
      <c r="B142" s="6"/>
      <c r="C142" s="6"/>
      <c r="D142" s="7"/>
      <c r="E142" s="7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7"/>
      <c r="U142" s="17"/>
      <c r="V142" s="17"/>
      <c r="W142" s="17"/>
      <c r="X142" s="17"/>
      <c r="Y142" s="17"/>
      <c r="Z142" s="17"/>
      <c r="AA142" s="17"/>
      <c r="AB142" s="17"/>
    </row>
    <row r="143" spans="2:28" x14ac:dyDescent="0.2">
      <c r="B143" s="6"/>
      <c r="C143" s="6"/>
      <c r="D143" s="7"/>
      <c r="E143" s="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</row>
    <row r="144" spans="2:28" x14ac:dyDescent="0.2">
      <c r="B144" s="6"/>
      <c r="C144" s="6"/>
      <c r="D144" s="7"/>
      <c r="E144" s="7"/>
      <c r="F144" s="18"/>
      <c r="G144" s="18"/>
      <c r="H144" s="18"/>
      <c r="I144" s="18"/>
      <c r="J144" s="17"/>
      <c r="K144" s="18"/>
      <c r="L144" s="18"/>
      <c r="M144" s="18"/>
      <c r="N144" s="18"/>
      <c r="O144" s="18"/>
      <c r="P144" s="18"/>
      <c r="Q144" s="18"/>
      <c r="R144" s="18"/>
      <c r="S144" s="18"/>
      <c r="T144" s="17"/>
      <c r="U144" s="17"/>
      <c r="V144" s="17"/>
      <c r="W144" s="17"/>
      <c r="X144" s="17"/>
      <c r="Y144" s="17"/>
      <c r="Z144" s="17"/>
      <c r="AA144" s="17"/>
      <c r="AB144" s="17"/>
    </row>
    <row r="145" spans="2:28" x14ac:dyDescent="0.2">
      <c r="B145" s="6"/>
      <c r="C145" s="6"/>
      <c r="D145" s="7"/>
      <c r="E145" s="7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7"/>
      <c r="U145" s="17"/>
      <c r="V145" s="17"/>
      <c r="W145" s="17"/>
      <c r="X145" s="17"/>
      <c r="Y145" s="17"/>
      <c r="Z145" s="17"/>
      <c r="AA145" s="17"/>
      <c r="AB145" s="17"/>
    </row>
    <row r="146" spans="2:28" x14ac:dyDescent="0.2">
      <c r="B146" s="6"/>
      <c r="C146" s="6"/>
      <c r="D146" s="7"/>
      <c r="E146" s="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</row>
    <row r="147" spans="2:28" x14ac:dyDescent="0.2">
      <c r="B147" s="6"/>
      <c r="C147" s="6"/>
      <c r="D147" s="7"/>
      <c r="E147" s="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</row>
    <row r="148" spans="2:28" x14ac:dyDescent="0.2">
      <c r="B148" s="6"/>
      <c r="C148" s="6"/>
      <c r="D148" s="7"/>
      <c r="E148" s="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</row>
    <row r="149" spans="2:28" x14ac:dyDescent="0.2">
      <c r="B149" s="6"/>
      <c r="C149" s="6"/>
      <c r="D149" s="7"/>
      <c r="E149" s="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</row>
    <row r="150" spans="2:28" x14ac:dyDescent="0.2">
      <c r="B150" s="6"/>
      <c r="C150" s="6"/>
      <c r="D150" s="7"/>
      <c r="E150" s="7"/>
      <c r="F150" s="17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7"/>
      <c r="U150" s="17"/>
      <c r="V150" s="17"/>
      <c r="W150" s="17"/>
      <c r="X150" s="17"/>
      <c r="Y150" s="17"/>
      <c r="Z150" s="17"/>
      <c r="AA150" s="17"/>
      <c r="AB150" s="17"/>
    </row>
    <row r="151" spans="2:28" x14ac:dyDescent="0.2">
      <c r="B151" s="6"/>
      <c r="C151" s="6"/>
      <c r="D151" s="7"/>
      <c r="E151" s="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</row>
    <row r="152" spans="2:28" x14ac:dyDescent="0.2">
      <c r="B152" s="6"/>
      <c r="C152" s="6"/>
      <c r="D152" s="7"/>
      <c r="E152" s="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</row>
    <row r="153" spans="2:28" x14ac:dyDescent="0.2">
      <c r="B153" s="6"/>
      <c r="C153" s="6"/>
      <c r="D153" s="7"/>
      <c r="E153" s="7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7"/>
      <c r="U153" s="17"/>
      <c r="V153" s="17"/>
      <c r="W153" s="17"/>
      <c r="X153" s="17"/>
      <c r="Y153" s="17"/>
      <c r="Z153" s="17"/>
      <c r="AA153" s="17"/>
      <c r="AB153" s="17"/>
    </row>
    <row r="154" spans="2:28" x14ac:dyDescent="0.2">
      <c r="B154" s="6"/>
      <c r="C154" s="6"/>
      <c r="D154" s="7"/>
      <c r="E154" s="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</row>
    <row r="155" spans="2:28" x14ac:dyDescent="0.2">
      <c r="B155" s="6"/>
      <c r="C155" s="6"/>
      <c r="D155" s="7"/>
      <c r="E155" s="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</row>
    <row r="156" spans="2:28" x14ac:dyDescent="0.2">
      <c r="B156" s="6"/>
      <c r="C156" s="6"/>
      <c r="D156" s="7"/>
      <c r="E156" s="7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7"/>
      <c r="U156" s="17"/>
      <c r="V156" s="17"/>
      <c r="W156" s="17"/>
      <c r="X156" s="17"/>
      <c r="Y156" s="17"/>
      <c r="Z156" s="17"/>
      <c r="AA156" s="17"/>
      <c r="AB156" s="17"/>
    </row>
    <row r="157" spans="2:28" x14ac:dyDescent="0.2">
      <c r="B157" s="6"/>
      <c r="C157" s="6"/>
      <c r="D157" s="7"/>
      <c r="E157" s="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</row>
    <row r="158" spans="2:28" x14ac:dyDescent="0.2">
      <c r="B158" s="6"/>
      <c r="C158" s="6"/>
      <c r="D158" s="7"/>
      <c r="E158" s="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</row>
    <row r="159" spans="2:28" x14ac:dyDescent="0.2">
      <c r="B159" s="6"/>
      <c r="C159" s="6"/>
      <c r="D159" s="7"/>
      <c r="E159" s="7"/>
      <c r="F159" s="18"/>
      <c r="G159" s="18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</row>
    <row r="160" spans="2:28" x14ac:dyDescent="0.2">
      <c r="B160" s="6"/>
      <c r="C160" s="6"/>
      <c r="D160" s="7"/>
      <c r="E160" s="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</row>
    <row r="161" spans="2:28" x14ac:dyDescent="0.2">
      <c r="B161" s="6"/>
      <c r="C161" s="6"/>
      <c r="D161" s="7"/>
      <c r="E161" s="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</row>
    <row r="162" spans="2:28" x14ac:dyDescent="0.2">
      <c r="B162" s="6"/>
      <c r="C162" s="6"/>
      <c r="D162" s="7"/>
      <c r="E162" s="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</row>
    <row r="163" spans="2:28" x14ac:dyDescent="0.2">
      <c r="B163" s="6"/>
      <c r="C163" s="6"/>
      <c r="D163" s="7"/>
      <c r="E163" s="7"/>
      <c r="F163" s="1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7"/>
      <c r="U163" s="17"/>
      <c r="V163" s="17"/>
      <c r="W163" s="17"/>
      <c r="X163" s="17"/>
      <c r="Y163" s="17"/>
      <c r="Z163" s="17"/>
      <c r="AA163" s="17"/>
      <c r="AB163" s="17"/>
    </row>
    <row r="164" spans="2:28" x14ac:dyDescent="0.2">
      <c r="B164" s="6"/>
      <c r="C164" s="6"/>
      <c r="D164" s="7"/>
      <c r="E164" s="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</row>
    <row r="165" spans="2:28" x14ac:dyDescent="0.2">
      <c r="B165" s="6"/>
      <c r="C165" s="6"/>
      <c r="D165" s="7"/>
      <c r="E165" s="7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7"/>
      <c r="U165" s="17"/>
      <c r="V165" s="17"/>
      <c r="W165" s="17"/>
      <c r="X165" s="17"/>
      <c r="Y165" s="17"/>
      <c r="Z165" s="17"/>
      <c r="AA165" s="17"/>
      <c r="AB165" s="17"/>
    </row>
    <row r="166" spans="2:28" x14ac:dyDescent="0.2">
      <c r="B166" s="6"/>
      <c r="C166" s="6"/>
      <c r="D166" s="7"/>
      <c r="E166" s="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</row>
    <row r="167" spans="2:28" x14ac:dyDescent="0.2">
      <c r="B167" s="6"/>
      <c r="C167" s="6"/>
      <c r="D167" s="7"/>
      <c r="E167" s="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</row>
    <row r="168" spans="2:28" x14ac:dyDescent="0.2">
      <c r="B168" s="6"/>
      <c r="C168" s="6"/>
      <c r="D168" s="7"/>
      <c r="E168" s="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</row>
    <row r="169" spans="2:28" x14ac:dyDescent="0.2">
      <c r="B169" s="6"/>
      <c r="C169" s="6"/>
      <c r="D169" s="7"/>
      <c r="E169" s="7"/>
      <c r="F169" s="1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7"/>
      <c r="U169" s="17"/>
      <c r="V169" s="17"/>
      <c r="W169" s="17"/>
      <c r="X169" s="17"/>
      <c r="Y169" s="17"/>
      <c r="Z169" s="17"/>
      <c r="AA169" s="17"/>
      <c r="AB169" s="17"/>
    </row>
    <row r="170" spans="2:28" x14ac:dyDescent="0.2">
      <c r="B170" s="6"/>
      <c r="C170" s="6"/>
      <c r="D170" s="7"/>
      <c r="E170" s="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</row>
    <row r="171" spans="2:28" x14ac:dyDescent="0.2">
      <c r="B171" s="6"/>
      <c r="C171" s="6"/>
      <c r="D171" s="7"/>
      <c r="E171" s="7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7"/>
      <c r="U171" s="17"/>
      <c r="V171" s="17"/>
      <c r="W171" s="17"/>
      <c r="X171" s="17"/>
      <c r="Y171" s="17"/>
      <c r="Z171" s="17"/>
      <c r="AA171" s="17"/>
      <c r="AB171" s="17"/>
    </row>
    <row r="172" spans="2:28" x14ac:dyDescent="0.2">
      <c r="B172" s="6"/>
      <c r="C172" s="6"/>
      <c r="D172" s="7"/>
      <c r="E172" s="7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7"/>
      <c r="U172" s="17"/>
      <c r="V172" s="17"/>
      <c r="W172" s="17"/>
      <c r="X172" s="17"/>
      <c r="Y172" s="17"/>
      <c r="Z172" s="17"/>
      <c r="AA172" s="17"/>
      <c r="AB172" s="17"/>
    </row>
    <row r="173" spans="2:28" x14ac:dyDescent="0.2">
      <c r="B173" s="6"/>
      <c r="C173" s="6"/>
      <c r="D173" s="7"/>
      <c r="E173" s="7"/>
      <c r="F173" s="18"/>
      <c r="G173" s="18"/>
      <c r="H173" s="18"/>
      <c r="I173" s="18"/>
      <c r="J173" s="18"/>
      <c r="K173" s="17"/>
      <c r="L173" s="17"/>
      <c r="M173" s="17"/>
      <c r="N173" s="17"/>
      <c r="O173" s="17"/>
      <c r="P173" s="17"/>
      <c r="Q173" s="18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</row>
    <row r="174" spans="2:28" x14ac:dyDescent="0.2">
      <c r="B174" s="6"/>
      <c r="C174" s="6"/>
      <c r="D174" s="7"/>
      <c r="E174" s="7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7"/>
      <c r="U174" s="17"/>
      <c r="V174" s="17"/>
      <c r="W174" s="17"/>
      <c r="X174" s="17"/>
      <c r="Y174" s="17"/>
      <c r="Z174" s="17"/>
      <c r="AA174" s="17"/>
      <c r="AB174" s="17"/>
    </row>
    <row r="175" spans="2:28" x14ac:dyDescent="0.2">
      <c r="B175" s="6"/>
      <c r="C175" s="6"/>
      <c r="D175" s="7"/>
      <c r="E175" s="7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7"/>
      <c r="U175" s="17"/>
      <c r="V175" s="17"/>
      <c r="W175" s="17"/>
      <c r="X175" s="17"/>
      <c r="Y175" s="17"/>
      <c r="Z175" s="17"/>
      <c r="AA175" s="17"/>
      <c r="AB175" s="17"/>
    </row>
    <row r="176" spans="2:28" x14ac:dyDescent="0.2">
      <c r="B176" s="6"/>
      <c r="C176" s="6"/>
      <c r="D176" s="7"/>
      <c r="E176" s="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</row>
    <row r="177" spans="2:28" x14ac:dyDescent="0.2">
      <c r="B177" s="6"/>
      <c r="C177" s="6"/>
      <c r="D177" s="7"/>
      <c r="E177" s="7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7"/>
      <c r="U177" s="17"/>
      <c r="V177" s="17"/>
      <c r="W177" s="17"/>
      <c r="X177" s="17"/>
      <c r="Y177" s="17"/>
      <c r="Z177" s="17"/>
      <c r="AA177" s="17"/>
      <c r="AB177" s="17"/>
    </row>
    <row r="178" spans="2:28" x14ac:dyDescent="0.2">
      <c r="B178" s="6"/>
      <c r="C178" s="6"/>
      <c r="D178" s="7"/>
      <c r="E178" s="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</row>
    <row r="179" spans="2:28" x14ac:dyDescent="0.2">
      <c r="B179" s="6"/>
      <c r="C179" s="6"/>
      <c r="D179" s="7"/>
      <c r="E179" s="7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7"/>
      <c r="U179" s="17"/>
      <c r="V179" s="17"/>
      <c r="W179" s="17"/>
      <c r="X179" s="17"/>
      <c r="Y179" s="17"/>
      <c r="Z179" s="17"/>
      <c r="AA179" s="17"/>
      <c r="AB179" s="17"/>
    </row>
    <row r="180" spans="2:28" x14ac:dyDescent="0.2">
      <c r="B180" s="6"/>
      <c r="C180" s="6"/>
      <c r="D180" s="7"/>
      <c r="E180" s="7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7"/>
      <c r="U180" s="17"/>
      <c r="V180" s="17"/>
      <c r="W180" s="17"/>
      <c r="X180" s="17"/>
      <c r="Y180" s="17"/>
      <c r="Z180" s="17"/>
      <c r="AA180" s="17"/>
      <c r="AB180" s="17"/>
    </row>
    <row r="181" spans="2:28" x14ac:dyDescent="0.2">
      <c r="B181" s="6"/>
      <c r="C181" s="6"/>
      <c r="D181" s="7"/>
      <c r="E181" s="7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7"/>
      <c r="U181" s="17"/>
      <c r="V181" s="17"/>
      <c r="W181" s="17"/>
      <c r="X181" s="17"/>
      <c r="Y181" s="17"/>
      <c r="Z181" s="17"/>
      <c r="AA181" s="17"/>
      <c r="AB181" s="17"/>
    </row>
    <row r="182" spans="2:28" x14ac:dyDescent="0.2">
      <c r="B182" s="6"/>
      <c r="C182" s="6"/>
      <c r="D182" s="7"/>
      <c r="E182" s="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</row>
    <row r="183" spans="2:28" x14ac:dyDescent="0.2">
      <c r="B183" s="6"/>
      <c r="C183" s="6"/>
      <c r="D183" s="7"/>
      <c r="E183" s="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</row>
    <row r="184" spans="2:28" x14ac:dyDescent="0.2">
      <c r="B184" s="6"/>
      <c r="C184" s="6"/>
      <c r="D184" s="7"/>
      <c r="E184" s="7"/>
      <c r="F184" s="17"/>
      <c r="G184" s="17"/>
      <c r="H184" s="17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7"/>
      <c r="U184" s="17"/>
      <c r="V184" s="17"/>
      <c r="W184" s="17"/>
      <c r="X184" s="17"/>
      <c r="Y184" s="17"/>
      <c r="Z184" s="17"/>
      <c r="AA184" s="17"/>
      <c r="AB184" s="17"/>
    </row>
    <row r="185" spans="2:28" x14ac:dyDescent="0.2">
      <c r="B185" s="6"/>
      <c r="C185" s="6"/>
      <c r="D185" s="7"/>
      <c r="E185" s="7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7"/>
      <c r="U185" s="17"/>
      <c r="V185" s="17"/>
      <c r="W185" s="17"/>
      <c r="X185" s="17"/>
      <c r="Y185" s="17"/>
      <c r="Z185" s="17"/>
      <c r="AA185" s="17"/>
      <c r="AB185" s="17"/>
    </row>
    <row r="186" spans="2:28" x14ac:dyDescent="0.2">
      <c r="B186" s="6"/>
      <c r="C186" s="6"/>
      <c r="D186" s="7"/>
      <c r="E186" s="7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</row>
    <row r="187" spans="2:28" x14ac:dyDescent="0.2">
      <c r="B187" s="6"/>
      <c r="C187" s="6"/>
      <c r="D187" s="7"/>
      <c r="E187" s="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</row>
    <row r="188" spans="2:28" x14ac:dyDescent="0.2">
      <c r="B188" s="6"/>
      <c r="C188" s="6"/>
      <c r="D188" s="7"/>
      <c r="E188" s="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</row>
    <row r="189" spans="2:28" x14ac:dyDescent="0.2">
      <c r="B189" s="6"/>
      <c r="C189" s="6"/>
      <c r="D189" s="7"/>
      <c r="E189" s="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</row>
    <row r="190" spans="2:28" x14ac:dyDescent="0.2">
      <c r="B190" s="6"/>
      <c r="C190" s="6"/>
      <c r="D190" s="7"/>
      <c r="E190" s="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</row>
    <row r="191" spans="2:28" x14ac:dyDescent="0.2">
      <c r="B191" s="6"/>
      <c r="C191" s="6"/>
      <c r="D191" s="7"/>
      <c r="E191" s="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</row>
    <row r="192" spans="2:28" x14ac:dyDescent="0.2">
      <c r="B192" s="6"/>
      <c r="C192" s="6"/>
      <c r="D192" s="7"/>
      <c r="E192" s="7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7"/>
      <c r="U192" s="17"/>
      <c r="V192" s="17"/>
      <c r="W192" s="17"/>
      <c r="X192" s="17"/>
      <c r="Y192" s="17"/>
      <c r="Z192" s="17"/>
      <c r="AA192" s="17"/>
      <c r="AB192" s="17"/>
    </row>
    <row r="193" spans="2:28" x14ac:dyDescent="0.2">
      <c r="B193" s="6"/>
      <c r="C193" s="6"/>
      <c r="D193" s="7"/>
      <c r="E193" s="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</row>
    <row r="194" spans="2:28" x14ac:dyDescent="0.2">
      <c r="B194" s="6"/>
      <c r="C194" s="6"/>
      <c r="D194" s="7"/>
      <c r="E194" s="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</row>
    <row r="195" spans="2:28" x14ac:dyDescent="0.2">
      <c r="B195" s="6"/>
      <c r="C195" s="6"/>
      <c r="D195" s="7"/>
      <c r="E195" s="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</row>
    <row r="196" spans="2:28" x14ac:dyDescent="0.2">
      <c r="B196" s="6"/>
      <c r="C196" s="6"/>
      <c r="D196" s="7"/>
      <c r="E196" s="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</row>
    <row r="197" spans="2:28" x14ac:dyDescent="0.2">
      <c r="B197" s="6"/>
      <c r="C197" s="6"/>
      <c r="D197" s="7"/>
      <c r="E197" s="7"/>
      <c r="F197" s="17"/>
      <c r="G197" s="17"/>
      <c r="H197" s="17"/>
      <c r="I197" s="17"/>
      <c r="J197" s="17"/>
      <c r="K197" s="18"/>
      <c r="L197" s="18"/>
      <c r="M197" s="18"/>
      <c r="N197" s="18"/>
      <c r="O197" s="18"/>
      <c r="P197" s="18"/>
      <c r="Q197" s="18"/>
      <c r="R197" s="18"/>
      <c r="S197" s="18"/>
      <c r="T197" s="17"/>
      <c r="U197" s="17"/>
      <c r="V197" s="17"/>
      <c r="W197" s="17"/>
      <c r="X197" s="17"/>
      <c r="Y197" s="17"/>
      <c r="Z197" s="17"/>
      <c r="AA197" s="17"/>
      <c r="AB197" s="17"/>
    </row>
    <row r="198" spans="2:28" x14ac:dyDescent="0.2">
      <c r="B198" s="6"/>
      <c r="C198" s="6"/>
      <c r="D198" s="7"/>
      <c r="E198" s="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</row>
    <row r="199" spans="2:28" x14ac:dyDescent="0.2">
      <c r="B199" s="6"/>
      <c r="C199" s="6"/>
      <c r="D199" s="7"/>
      <c r="E199" s="7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7"/>
      <c r="U199" s="17"/>
      <c r="V199" s="17"/>
      <c r="W199" s="17"/>
      <c r="X199" s="17"/>
      <c r="Y199" s="17"/>
      <c r="Z199" s="17"/>
      <c r="AA199" s="17"/>
      <c r="AB199" s="17"/>
    </row>
    <row r="200" spans="2:28" x14ac:dyDescent="0.2">
      <c r="B200" s="6"/>
      <c r="C200" s="6"/>
      <c r="D200" s="7"/>
      <c r="E200" s="7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7"/>
      <c r="U200" s="17"/>
      <c r="V200" s="17"/>
      <c r="W200" s="17"/>
      <c r="X200" s="17"/>
      <c r="Y200" s="17"/>
      <c r="Z200" s="17"/>
      <c r="AA200" s="17"/>
      <c r="AB200" s="17"/>
    </row>
    <row r="201" spans="2:28" x14ac:dyDescent="0.2">
      <c r="B201" s="6"/>
      <c r="C201" s="6"/>
      <c r="D201" s="7"/>
      <c r="E201" s="7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7"/>
      <c r="U201" s="17"/>
      <c r="V201" s="17"/>
      <c r="W201" s="17"/>
      <c r="X201" s="17"/>
      <c r="Y201" s="17"/>
      <c r="Z201" s="17"/>
      <c r="AA201" s="17"/>
      <c r="AB201" s="17"/>
    </row>
    <row r="202" spans="2:28" x14ac:dyDescent="0.2">
      <c r="B202" s="6"/>
      <c r="C202" s="6"/>
      <c r="D202" s="7"/>
      <c r="E202" s="7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7"/>
      <c r="U202" s="17"/>
      <c r="V202" s="17"/>
      <c r="W202" s="17"/>
      <c r="X202" s="17"/>
      <c r="Y202" s="17"/>
      <c r="Z202" s="17"/>
      <c r="AA202" s="17"/>
      <c r="AB202" s="17"/>
    </row>
    <row r="203" spans="2:28" x14ac:dyDescent="0.2">
      <c r="B203" s="6"/>
      <c r="C203" s="6"/>
      <c r="D203" s="7"/>
      <c r="E203" s="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</row>
    <row r="204" spans="2:28" x14ac:dyDescent="0.2">
      <c r="B204" s="6"/>
      <c r="C204" s="6"/>
      <c r="D204" s="7"/>
      <c r="E204" s="7"/>
      <c r="F204" s="17"/>
      <c r="G204" s="17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7"/>
      <c r="U204" s="17"/>
      <c r="V204" s="17"/>
      <c r="W204" s="17"/>
      <c r="X204" s="17"/>
      <c r="Y204" s="17"/>
      <c r="Z204" s="17"/>
      <c r="AA204" s="17"/>
      <c r="AB204" s="17"/>
    </row>
  </sheetData>
  <conditionalFormatting sqref="D98:E98">
    <cfRule type="cellIs" dxfId="5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3:AD91"/>
  <sheetViews>
    <sheetView zoomScale="75" zoomScaleNormal="75" workbookViewId="0">
      <selection activeCell="B10" sqref="A1:XFD1048576"/>
    </sheetView>
  </sheetViews>
  <sheetFormatPr defaultRowHeight="15" x14ac:dyDescent="0.2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30" width="17.5703125" style="167" customWidth="1"/>
    <col min="31" max="16384" width="9.140625" style="167"/>
  </cols>
  <sheetData>
    <row r="3" spans="1:30" ht="45" x14ac:dyDescent="0.25">
      <c r="E3" s="207" t="s">
        <v>324</v>
      </c>
      <c r="F3" s="207" t="s">
        <v>324</v>
      </c>
      <c r="G3" s="207" t="s">
        <v>324</v>
      </c>
      <c r="H3" s="207" t="s">
        <v>324</v>
      </c>
      <c r="I3" s="207" t="s">
        <v>324</v>
      </c>
      <c r="J3" s="207" t="s">
        <v>324</v>
      </c>
      <c r="K3" s="207" t="s">
        <v>324</v>
      </c>
      <c r="L3" s="207" t="s">
        <v>324</v>
      </c>
      <c r="M3" s="207" t="s">
        <v>324</v>
      </c>
      <c r="N3" s="207" t="s">
        <v>324</v>
      </c>
      <c r="O3" s="207" t="s">
        <v>324</v>
      </c>
      <c r="P3" s="207" t="s">
        <v>324</v>
      </c>
      <c r="Q3" s="207" t="s">
        <v>324</v>
      </c>
      <c r="R3" s="207" t="s">
        <v>324</v>
      </c>
      <c r="S3" s="207" t="s">
        <v>324</v>
      </c>
      <c r="T3" s="207" t="s">
        <v>324</v>
      </c>
      <c r="U3" s="207" t="s">
        <v>324</v>
      </c>
      <c r="V3" s="207" t="s">
        <v>324</v>
      </c>
      <c r="W3" s="207" t="s">
        <v>324</v>
      </c>
      <c r="X3" s="207" t="s">
        <v>324</v>
      </c>
      <c r="Y3" s="207" t="s">
        <v>324</v>
      </c>
      <c r="Z3" s="207" t="s">
        <v>324</v>
      </c>
      <c r="AA3" s="207" t="s">
        <v>324</v>
      </c>
      <c r="AB3" s="207" t="s">
        <v>324</v>
      </c>
      <c r="AC3" s="207" t="s">
        <v>324</v>
      </c>
      <c r="AD3" s="207" t="s">
        <v>324</v>
      </c>
    </row>
    <row r="4" spans="1:30" x14ac:dyDescent="0.25">
      <c r="B4" s="2"/>
      <c r="C4" s="2"/>
      <c r="D4" s="2"/>
      <c r="E4" s="207" t="s">
        <v>153</v>
      </c>
      <c r="F4" s="207" t="s">
        <v>153</v>
      </c>
      <c r="G4" s="207" t="s">
        <v>153</v>
      </c>
      <c r="H4" s="207" t="s">
        <v>153</v>
      </c>
      <c r="I4" s="207" t="s">
        <v>153</v>
      </c>
      <c r="J4" s="207" t="s">
        <v>153</v>
      </c>
      <c r="K4" s="207" t="s">
        <v>153</v>
      </c>
      <c r="L4" s="207" t="s">
        <v>153</v>
      </c>
      <c r="M4" s="207" t="s">
        <v>153</v>
      </c>
      <c r="N4" s="207" t="s">
        <v>153</v>
      </c>
      <c r="O4" s="207" t="s">
        <v>153</v>
      </c>
      <c r="P4" s="207" t="s">
        <v>153</v>
      </c>
      <c r="Q4" s="207" t="s">
        <v>153</v>
      </c>
      <c r="R4" s="207" t="s">
        <v>153</v>
      </c>
      <c r="S4" s="207" t="s">
        <v>153</v>
      </c>
      <c r="T4" s="207" t="s">
        <v>153</v>
      </c>
      <c r="U4" s="207" t="s">
        <v>153</v>
      </c>
      <c r="V4" s="207" t="s">
        <v>153</v>
      </c>
      <c r="W4" s="207" t="s">
        <v>153</v>
      </c>
      <c r="X4" s="207" t="s">
        <v>153</v>
      </c>
      <c r="Y4" s="207" t="s">
        <v>153</v>
      </c>
      <c r="Z4" s="207" t="s">
        <v>153</v>
      </c>
      <c r="AA4" s="207" t="s">
        <v>153</v>
      </c>
      <c r="AB4" s="207" t="s">
        <v>153</v>
      </c>
      <c r="AC4" s="207" t="s">
        <v>153</v>
      </c>
      <c r="AD4" s="207" t="s">
        <v>153</v>
      </c>
    </row>
    <row r="5" spans="1:30" x14ac:dyDescent="0.25">
      <c r="A5" s="3" t="s">
        <v>0</v>
      </c>
      <c r="B5" s="4" t="s">
        <v>1</v>
      </c>
      <c r="C5" s="4" t="s">
        <v>2</v>
      </c>
      <c r="D5" s="5" t="s">
        <v>3</v>
      </c>
      <c r="E5" s="207" t="s">
        <v>26</v>
      </c>
      <c r="F5" s="207" t="s">
        <v>25</v>
      </c>
      <c r="G5" s="207" t="s">
        <v>24</v>
      </c>
      <c r="H5" s="207" t="s">
        <v>23</v>
      </c>
      <c r="I5" s="207" t="s">
        <v>22</v>
      </c>
      <c r="J5" s="207" t="s">
        <v>21</v>
      </c>
      <c r="K5" s="207" t="s">
        <v>20</v>
      </c>
      <c r="L5" s="207" t="s">
        <v>19</v>
      </c>
      <c r="M5" s="207" t="s">
        <v>18</v>
      </c>
      <c r="N5" s="207" t="s">
        <v>17</v>
      </c>
      <c r="O5" s="207" t="s">
        <v>16</v>
      </c>
      <c r="P5" s="207" t="s">
        <v>15</v>
      </c>
      <c r="Q5" s="207" t="s">
        <v>14</v>
      </c>
      <c r="R5" s="207" t="s">
        <v>13</v>
      </c>
      <c r="S5" s="207" t="s">
        <v>12</v>
      </c>
      <c r="T5" s="207" t="s">
        <v>11</v>
      </c>
      <c r="U5" s="207" t="s">
        <v>10</v>
      </c>
      <c r="V5" s="207" t="s">
        <v>9</v>
      </c>
      <c r="W5" s="207" t="s">
        <v>8</v>
      </c>
      <c r="X5" s="207" t="s">
        <v>7</v>
      </c>
      <c r="Y5" s="207" t="s">
        <v>6</v>
      </c>
      <c r="Z5" s="207" t="s">
        <v>5</v>
      </c>
      <c r="AA5" s="207" t="s">
        <v>4</v>
      </c>
      <c r="AB5" s="207" t="s">
        <v>321</v>
      </c>
      <c r="AC5" s="207" t="s">
        <v>322</v>
      </c>
      <c r="AD5" s="207" t="s">
        <v>323</v>
      </c>
    </row>
    <row r="6" spans="1:30" x14ac:dyDescent="0.25">
      <c r="B6" s="2"/>
      <c r="C6" s="2"/>
      <c r="D6" s="2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x14ac:dyDescent="0.25">
      <c r="B7" s="6" t="s">
        <v>27</v>
      </c>
      <c r="C7" s="6" t="s">
        <v>27</v>
      </c>
      <c r="D7" s="7">
        <v>4058513</v>
      </c>
      <c r="E7" s="208" t="s">
        <v>123</v>
      </c>
      <c r="F7" s="208" t="s">
        <v>123</v>
      </c>
      <c r="G7" s="208" t="s">
        <v>123</v>
      </c>
      <c r="H7" s="208">
        <v>128977</v>
      </c>
      <c r="I7" s="208">
        <v>120906</v>
      </c>
      <c r="J7" s="208">
        <v>116358</v>
      </c>
      <c r="K7" s="208">
        <v>109831</v>
      </c>
      <c r="L7" s="208">
        <v>105536</v>
      </c>
      <c r="M7" s="208">
        <v>102290</v>
      </c>
      <c r="N7" s="208">
        <v>98262</v>
      </c>
      <c r="O7" s="208">
        <v>96652</v>
      </c>
      <c r="P7" s="208">
        <v>92308</v>
      </c>
      <c r="Q7" s="208">
        <v>90669</v>
      </c>
      <c r="R7" s="208">
        <v>88650</v>
      </c>
      <c r="S7" s="208">
        <v>85646</v>
      </c>
      <c r="T7" s="208">
        <v>83314</v>
      </c>
      <c r="U7" s="208">
        <v>80735</v>
      </c>
      <c r="V7" s="208">
        <v>63503</v>
      </c>
      <c r="W7" s="208">
        <v>61454</v>
      </c>
      <c r="X7" s="208" t="s">
        <v>123</v>
      </c>
      <c r="Y7" s="208" t="s">
        <v>123</v>
      </c>
      <c r="Z7" s="208" t="s">
        <v>123</v>
      </c>
      <c r="AA7" s="208" t="s">
        <v>123</v>
      </c>
      <c r="AB7" s="208" t="s">
        <v>123</v>
      </c>
      <c r="AC7" s="208" t="s">
        <v>123</v>
      </c>
      <c r="AD7" s="208" t="s">
        <v>123</v>
      </c>
    </row>
    <row r="8" spans="1:30" x14ac:dyDescent="0.25">
      <c r="B8" s="6" t="s">
        <v>28</v>
      </c>
      <c r="C8" s="6" t="s">
        <v>28</v>
      </c>
      <c r="D8" s="7">
        <v>4054707</v>
      </c>
      <c r="E8" s="208">
        <v>4298411</v>
      </c>
      <c r="F8" s="208">
        <v>4142785</v>
      </c>
      <c r="G8" s="208">
        <v>3940130</v>
      </c>
      <c r="H8" s="208">
        <v>3765040</v>
      </c>
      <c r="I8" s="208">
        <v>3589050</v>
      </c>
      <c r="J8" s="208">
        <v>3411677</v>
      </c>
      <c r="K8" s="208">
        <v>3210431</v>
      </c>
      <c r="L8" s="208">
        <v>3060459</v>
      </c>
      <c r="M8" s="208">
        <v>2931312</v>
      </c>
      <c r="N8" s="208">
        <v>2865754</v>
      </c>
      <c r="O8" s="208">
        <v>2723387</v>
      </c>
      <c r="P8" s="208">
        <v>2612180</v>
      </c>
      <c r="Q8" s="208">
        <v>2449306</v>
      </c>
      <c r="R8" s="208">
        <v>2360198</v>
      </c>
      <c r="S8" s="208">
        <v>2299507</v>
      </c>
      <c r="T8" s="208">
        <v>2235159</v>
      </c>
      <c r="U8" s="208">
        <v>2127817</v>
      </c>
      <c r="V8" s="208">
        <v>2005820</v>
      </c>
      <c r="W8" s="208">
        <v>1941213</v>
      </c>
      <c r="X8" s="208">
        <v>1828881</v>
      </c>
      <c r="Y8" s="208">
        <v>1743696</v>
      </c>
      <c r="Z8" s="208">
        <v>1674869</v>
      </c>
      <c r="AA8" s="208">
        <v>1551165</v>
      </c>
      <c r="AB8" s="208">
        <v>1477934</v>
      </c>
      <c r="AC8" s="208">
        <v>1394178</v>
      </c>
      <c r="AD8" s="208">
        <v>1300293</v>
      </c>
    </row>
    <row r="9" spans="1:30" x14ac:dyDescent="0.25">
      <c r="B9" s="6" t="s">
        <v>29</v>
      </c>
      <c r="C9" s="6" t="s">
        <v>29</v>
      </c>
      <c r="D9" s="7">
        <v>4057075</v>
      </c>
      <c r="E9" s="208">
        <v>1284443</v>
      </c>
      <c r="F9" s="208">
        <v>1207392</v>
      </c>
      <c r="G9" s="208">
        <v>1124838</v>
      </c>
      <c r="H9" s="208">
        <v>1032674</v>
      </c>
      <c r="I9" s="208">
        <v>954102</v>
      </c>
      <c r="J9" s="208">
        <v>878792</v>
      </c>
      <c r="K9" s="208">
        <v>810296</v>
      </c>
      <c r="L9" s="208">
        <v>761853</v>
      </c>
      <c r="M9" s="208">
        <v>704623</v>
      </c>
      <c r="N9" s="208">
        <v>683732</v>
      </c>
      <c r="O9" s="208">
        <v>652890</v>
      </c>
      <c r="P9" s="208">
        <v>630546</v>
      </c>
      <c r="Q9" s="208">
        <v>599422</v>
      </c>
      <c r="R9" s="208">
        <v>547114</v>
      </c>
      <c r="S9" s="208">
        <v>502237</v>
      </c>
      <c r="T9" s="208">
        <v>471575</v>
      </c>
      <c r="U9" s="208">
        <v>469415</v>
      </c>
      <c r="V9" s="208">
        <v>449501</v>
      </c>
      <c r="W9" s="208">
        <v>430273</v>
      </c>
      <c r="X9" s="208">
        <v>414422</v>
      </c>
      <c r="Y9" s="208">
        <v>396100</v>
      </c>
      <c r="Z9" s="208">
        <v>372208</v>
      </c>
      <c r="AA9" s="208">
        <v>352332</v>
      </c>
      <c r="AB9" s="208">
        <v>310486</v>
      </c>
      <c r="AC9" s="208">
        <v>302853</v>
      </c>
      <c r="AD9" s="208">
        <v>276295</v>
      </c>
    </row>
    <row r="10" spans="1:30" x14ac:dyDescent="0.25">
      <c r="A10" s="1" t="s">
        <v>30</v>
      </c>
      <c r="B10" s="6" t="s">
        <v>31</v>
      </c>
      <c r="C10" s="6" t="s">
        <v>31</v>
      </c>
      <c r="D10" s="7">
        <v>4007784</v>
      </c>
      <c r="E10" s="208">
        <v>3183762</v>
      </c>
      <c r="F10" s="208">
        <v>2876921</v>
      </c>
      <c r="G10" s="208">
        <v>2505627</v>
      </c>
      <c r="H10" s="208">
        <v>2265054</v>
      </c>
      <c r="I10" s="208">
        <v>2067727</v>
      </c>
      <c r="J10" s="208">
        <v>1853697</v>
      </c>
      <c r="K10" s="208">
        <v>1665849</v>
      </c>
      <c r="L10" s="208">
        <v>1571725</v>
      </c>
      <c r="M10" s="208">
        <v>1465103</v>
      </c>
      <c r="N10" s="208">
        <v>1307437</v>
      </c>
      <c r="O10" s="208">
        <v>1239535</v>
      </c>
      <c r="P10" s="208">
        <v>1187015</v>
      </c>
      <c r="Q10" s="208">
        <v>1152093</v>
      </c>
      <c r="R10" s="208">
        <v>1112176</v>
      </c>
      <c r="S10" s="208">
        <v>1081790</v>
      </c>
      <c r="T10" s="208">
        <v>1053715</v>
      </c>
      <c r="U10" s="208">
        <v>1025611</v>
      </c>
      <c r="V10" s="208">
        <v>1007402</v>
      </c>
      <c r="W10" s="208">
        <v>985953</v>
      </c>
      <c r="X10" s="208">
        <v>962452</v>
      </c>
      <c r="Y10" s="208">
        <v>939292</v>
      </c>
      <c r="Z10" s="208">
        <v>914248</v>
      </c>
      <c r="AA10" s="208">
        <v>868360</v>
      </c>
      <c r="AB10" s="208">
        <v>800567</v>
      </c>
      <c r="AC10" s="208">
        <v>728827</v>
      </c>
      <c r="AD10" s="208">
        <v>646102</v>
      </c>
    </row>
    <row r="11" spans="1:30" x14ac:dyDescent="0.25">
      <c r="A11" s="1" t="s">
        <v>30</v>
      </c>
      <c r="B11" s="6" t="s">
        <v>32</v>
      </c>
      <c r="C11" s="6" t="s">
        <v>33</v>
      </c>
      <c r="D11" s="7">
        <v>4058656</v>
      </c>
      <c r="E11" s="208">
        <v>1873509</v>
      </c>
      <c r="F11" s="208">
        <v>1819347</v>
      </c>
      <c r="G11" s="208">
        <v>1494030</v>
      </c>
      <c r="H11" s="208">
        <v>1383288</v>
      </c>
      <c r="I11" s="208">
        <v>1277733</v>
      </c>
      <c r="J11" s="208">
        <v>1171905</v>
      </c>
      <c r="K11" s="208">
        <v>1115172</v>
      </c>
      <c r="L11" s="208">
        <v>1026799</v>
      </c>
      <c r="M11" s="208">
        <v>1021868</v>
      </c>
      <c r="N11" s="208">
        <v>960222</v>
      </c>
      <c r="O11" s="208">
        <v>914270</v>
      </c>
      <c r="P11" s="208">
        <v>883075</v>
      </c>
      <c r="Q11" s="208">
        <v>841795</v>
      </c>
      <c r="R11" s="208">
        <v>792573</v>
      </c>
      <c r="S11" s="208">
        <v>744977</v>
      </c>
      <c r="T11" s="208">
        <v>691819</v>
      </c>
      <c r="U11" s="208">
        <v>337161</v>
      </c>
      <c r="V11" s="208">
        <v>319622</v>
      </c>
      <c r="W11" s="208">
        <v>298148</v>
      </c>
      <c r="X11" s="208">
        <v>284438</v>
      </c>
      <c r="Y11" s="208" t="s">
        <v>123</v>
      </c>
      <c r="Z11" s="208">
        <v>258132</v>
      </c>
      <c r="AA11" s="208" t="s">
        <v>123</v>
      </c>
      <c r="AB11" s="208" t="s">
        <v>123</v>
      </c>
      <c r="AC11" s="208" t="s">
        <v>123</v>
      </c>
      <c r="AD11" s="208" t="s">
        <v>123</v>
      </c>
    </row>
    <row r="12" spans="1:30" x14ac:dyDescent="0.25">
      <c r="A12" s="1" t="s">
        <v>30</v>
      </c>
      <c r="B12" s="6" t="s">
        <v>34</v>
      </c>
      <c r="C12" s="6" t="s">
        <v>35</v>
      </c>
      <c r="D12" s="7">
        <v>4057110</v>
      </c>
      <c r="E12" s="208">
        <v>106266</v>
      </c>
      <c r="F12" s="208">
        <v>102504</v>
      </c>
      <c r="G12" s="208">
        <v>90838</v>
      </c>
      <c r="H12" s="208">
        <v>86333</v>
      </c>
      <c r="I12" s="208">
        <v>82200</v>
      </c>
      <c r="J12" s="208">
        <v>77397</v>
      </c>
      <c r="K12" s="208">
        <v>75105</v>
      </c>
      <c r="L12" s="208">
        <v>71402</v>
      </c>
      <c r="M12" s="208">
        <v>66003</v>
      </c>
      <c r="N12" s="208">
        <v>62042</v>
      </c>
      <c r="O12" s="208">
        <v>59756</v>
      </c>
      <c r="P12" s="208">
        <v>58093</v>
      </c>
      <c r="Q12" s="208">
        <v>56904</v>
      </c>
      <c r="R12" s="208">
        <v>54704</v>
      </c>
      <c r="S12" s="208">
        <v>53091</v>
      </c>
      <c r="T12" s="208">
        <v>51779</v>
      </c>
      <c r="U12" s="208">
        <v>50101</v>
      </c>
      <c r="V12" s="208">
        <v>48427</v>
      </c>
      <c r="W12" s="208">
        <v>47020</v>
      </c>
      <c r="X12" s="208">
        <v>45592</v>
      </c>
      <c r="Y12" s="208">
        <v>43939</v>
      </c>
      <c r="Z12" s="208">
        <v>45523</v>
      </c>
      <c r="AA12" s="208">
        <v>43857</v>
      </c>
      <c r="AB12" s="208">
        <v>91030</v>
      </c>
      <c r="AC12" s="208">
        <v>85051</v>
      </c>
      <c r="AD12" s="208">
        <v>80162</v>
      </c>
    </row>
    <row r="13" spans="1:30" x14ac:dyDescent="0.25">
      <c r="B13" s="6" t="s">
        <v>36</v>
      </c>
      <c r="C13" s="6" t="s">
        <v>36</v>
      </c>
      <c r="D13" s="7">
        <v>4058516</v>
      </c>
      <c r="E13" s="208">
        <v>329788</v>
      </c>
      <c r="F13" s="208">
        <v>305091</v>
      </c>
      <c r="G13" s="208">
        <v>288018</v>
      </c>
      <c r="H13" s="208">
        <v>272328</v>
      </c>
      <c r="I13" s="208">
        <v>241828</v>
      </c>
      <c r="J13" s="208">
        <v>208299</v>
      </c>
      <c r="K13" s="208">
        <v>184674</v>
      </c>
      <c r="L13" s="208">
        <v>169612</v>
      </c>
      <c r="M13" s="208">
        <v>156344</v>
      </c>
      <c r="N13" s="208">
        <v>141621</v>
      </c>
      <c r="O13" s="208">
        <v>130878</v>
      </c>
      <c r="P13" s="208">
        <v>122891</v>
      </c>
      <c r="Q13" s="208">
        <v>119345</v>
      </c>
      <c r="R13" s="208">
        <v>117412</v>
      </c>
      <c r="S13" s="208">
        <v>112607</v>
      </c>
      <c r="T13" s="208">
        <v>105281</v>
      </c>
      <c r="U13" s="208">
        <v>98571</v>
      </c>
      <c r="V13" s="208">
        <v>94002</v>
      </c>
      <c r="W13" s="208">
        <v>90093</v>
      </c>
      <c r="X13" s="208">
        <v>87180</v>
      </c>
      <c r="Y13" s="208">
        <v>84789</v>
      </c>
      <c r="Z13" s="208">
        <v>112753</v>
      </c>
      <c r="AA13" s="208">
        <v>108976</v>
      </c>
      <c r="AB13" s="208">
        <v>104041</v>
      </c>
      <c r="AC13" s="208">
        <v>97745</v>
      </c>
      <c r="AD13" s="208">
        <v>93372</v>
      </c>
    </row>
    <row r="14" spans="1:30" x14ac:dyDescent="0.25">
      <c r="B14" s="6" t="s">
        <v>37</v>
      </c>
      <c r="C14" s="6" t="s">
        <v>37</v>
      </c>
      <c r="D14" s="7">
        <v>4058793</v>
      </c>
      <c r="E14" s="208">
        <v>15209</v>
      </c>
      <c r="F14" s="208">
        <v>13055</v>
      </c>
      <c r="G14" s="208">
        <v>11697</v>
      </c>
      <c r="H14" s="208">
        <v>9326</v>
      </c>
      <c r="I14" s="208">
        <v>9679</v>
      </c>
      <c r="J14" s="208">
        <v>9214</v>
      </c>
      <c r="K14" s="208">
        <v>8945</v>
      </c>
      <c r="L14" s="208">
        <v>8841</v>
      </c>
      <c r="M14" s="208">
        <v>8799</v>
      </c>
      <c r="N14" s="208">
        <v>8379</v>
      </c>
      <c r="O14" s="208">
        <v>8152</v>
      </c>
      <c r="P14" s="208">
        <v>7950</v>
      </c>
      <c r="Q14" s="208">
        <v>7510</v>
      </c>
      <c r="R14" s="208">
        <v>7221</v>
      </c>
      <c r="S14" s="208">
        <v>6946</v>
      </c>
      <c r="T14" s="208">
        <v>6731</v>
      </c>
      <c r="U14" s="208">
        <v>6282</v>
      </c>
      <c r="V14" s="208">
        <v>5654</v>
      </c>
      <c r="W14" s="208">
        <v>5314</v>
      </c>
      <c r="X14" s="208">
        <v>4913</v>
      </c>
      <c r="Y14" s="208">
        <v>4437</v>
      </c>
      <c r="Z14" s="208">
        <v>4141</v>
      </c>
      <c r="AA14" s="208">
        <v>3722</v>
      </c>
      <c r="AB14" s="208" t="s">
        <v>123</v>
      </c>
      <c r="AC14" s="208" t="s">
        <v>123</v>
      </c>
      <c r="AD14" s="208" t="s">
        <v>123</v>
      </c>
    </row>
    <row r="15" spans="1:30" x14ac:dyDescent="0.25">
      <c r="A15" s="1" t="s">
        <v>30</v>
      </c>
      <c r="B15" s="6" t="s">
        <v>38</v>
      </c>
      <c r="C15" s="6" t="s">
        <v>38</v>
      </c>
      <c r="D15" s="7">
        <v>4057111</v>
      </c>
      <c r="E15" s="208">
        <v>1762077</v>
      </c>
      <c r="F15" s="208">
        <v>1697382</v>
      </c>
      <c r="G15" s="208">
        <v>1553580</v>
      </c>
      <c r="H15" s="208">
        <v>1490636</v>
      </c>
      <c r="I15" s="208">
        <v>1384633</v>
      </c>
      <c r="J15" s="208">
        <v>1371149</v>
      </c>
      <c r="K15" s="208">
        <v>1306636</v>
      </c>
      <c r="L15" s="208">
        <v>1232858</v>
      </c>
      <c r="M15" s="208">
        <v>1194008</v>
      </c>
      <c r="N15" s="208">
        <v>1104252</v>
      </c>
      <c r="O15" s="208">
        <v>1019751</v>
      </c>
      <c r="P15" s="208">
        <v>869974</v>
      </c>
      <c r="Q15" s="208">
        <v>770115</v>
      </c>
      <c r="R15" s="208">
        <v>698979</v>
      </c>
      <c r="S15" s="208">
        <v>652199</v>
      </c>
      <c r="T15" s="208">
        <v>604002</v>
      </c>
      <c r="U15" s="208">
        <v>591516</v>
      </c>
      <c r="V15" s="208">
        <v>535858</v>
      </c>
      <c r="W15" s="208">
        <v>1056834</v>
      </c>
      <c r="X15" s="208">
        <v>963728</v>
      </c>
      <c r="Y15" s="208">
        <v>869935</v>
      </c>
      <c r="Z15" s="208">
        <v>814117</v>
      </c>
      <c r="AA15" s="208">
        <v>770899</v>
      </c>
      <c r="AB15" s="208">
        <v>724048</v>
      </c>
      <c r="AC15" s="208">
        <v>674842</v>
      </c>
      <c r="AD15" s="208">
        <v>628965</v>
      </c>
    </row>
    <row r="16" spans="1:30" x14ac:dyDescent="0.25">
      <c r="A16" s="1" t="s">
        <v>30</v>
      </c>
      <c r="B16" s="6" t="s">
        <v>39</v>
      </c>
      <c r="C16" s="6" t="s">
        <v>39</v>
      </c>
      <c r="D16" s="7">
        <v>4018679</v>
      </c>
      <c r="E16" s="208">
        <v>6056781</v>
      </c>
      <c r="F16" s="208">
        <v>5693498</v>
      </c>
      <c r="G16" s="208">
        <v>4849069</v>
      </c>
      <c r="H16" s="208">
        <v>4249244</v>
      </c>
      <c r="I16" s="208">
        <v>3800745</v>
      </c>
      <c r="J16" s="208">
        <v>3656745</v>
      </c>
      <c r="K16" s="208">
        <v>3446169</v>
      </c>
      <c r="L16" s="208">
        <v>3196294</v>
      </c>
      <c r="M16" s="208">
        <v>3112462</v>
      </c>
      <c r="N16" s="208">
        <v>3006226</v>
      </c>
      <c r="O16" s="208">
        <v>2850055</v>
      </c>
      <c r="P16" s="208">
        <v>2702511</v>
      </c>
      <c r="Q16" s="208">
        <v>2588733</v>
      </c>
      <c r="R16" s="208">
        <v>2417141</v>
      </c>
      <c r="S16" s="208">
        <v>2314850</v>
      </c>
      <c r="T16" s="208">
        <v>2195227</v>
      </c>
      <c r="U16" s="208">
        <v>2102315</v>
      </c>
      <c r="V16" s="208">
        <v>1973656</v>
      </c>
      <c r="W16" s="208">
        <v>1854279</v>
      </c>
      <c r="X16" s="208">
        <v>1751455</v>
      </c>
      <c r="Y16" s="208">
        <v>1685592</v>
      </c>
      <c r="Z16" s="208">
        <v>1603590</v>
      </c>
      <c r="AA16" s="208">
        <v>1518875</v>
      </c>
      <c r="AB16" s="208">
        <v>1452939</v>
      </c>
      <c r="AC16" s="208">
        <v>1386063</v>
      </c>
      <c r="AD16" s="208">
        <v>1296880</v>
      </c>
    </row>
    <row r="17" spans="1:30" x14ac:dyDescent="0.25">
      <c r="B17" s="6" t="s">
        <v>40</v>
      </c>
      <c r="C17" s="6" t="s">
        <v>40</v>
      </c>
      <c r="D17" s="7">
        <v>4057112</v>
      </c>
      <c r="E17" s="208">
        <v>1097470</v>
      </c>
      <c r="F17" s="208">
        <v>1003218</v>
      </c>
      <c r="G17" s="208">
        <v>938699</v>
      </c>
      <c r="H17" s="208">
        <v>864003</v>
      </c>
      <c r="I17" s="208">
        <v>801240</v>
      </c>
      <c r="J17" s="208">
        <v>750455</v>
      </c>
      <c r="K17" s="208">
        <v>700157</v>
      </c>
      <c r="L17" s="208">
        <v>674675</v>
      </c>
      <c r="M17" s="208">
        <v>650754</v>
      </c>
      <c r="N17" s="208">
        <v>623284</v>
      </c>
      <c r="O17" s="208">
        <v>612262</v>
      </c>
      <c r="P17" s="208">
        <v>605744</v>
      </c>
      <c r="Q17" s="208">
        <v>596305</v>
      </c>
      <c r="R17" s="208">
        <v>572919</v>
      </c>
      <c r="S17" s="208">
        <v>552758</v>
      </c>
      <c r="T17" s="208">
        <v>536865</v>
      </c>
      <c r="U17" s="208">
        <v>514397</v>
      </c>
      <c r="V17" s="208">
        <v>479106</v>
      </c>
      <c r="W17" s="208">
        <v>455188</v>
      </c>
      <c r="X17" s="208">
        <v>435850</v>
      </c>
      <c r="Y17" s="208">
        <v>422340</v>
      </c>
      <c r="Z17" s="208">
        <v>408492</v>
      </c>
      <c r="AA17" s="208">
        <v>389794</v>
      </c>
      <c r="AB17" s="208">
        <v>371764</v>
      </c>
      <c r="AC17" s="208">
        <v>348375</v>
      </c>
      <c r="AD17" s="208">
        <v>313981</v>
      </c>
    </row>
    <row r="18" spans="1:30" x14ac:dyDescent="0.25">
      <c r="A18" s="1" t="s">
        <v>30</v>
      </c>
      <c r="B18" s="6" t="s">
        <v>41</v>
      </c>
      <c r="C18" s="6" t="s">
        <v>41</v>
      </c>
      <c r="D18" s="7">
        <v>4057076</v>
      </c>
      <c r="E18" s="208" t="s">
        <v>123</v>
      </c>
      <c r="F18" s="208">
        <v>555806</v>
      </c>
      <c r="G18" s="208">
        <v>507034</v>
      </c>
      <c r="H18" s="208">
        <v>444474</v>
      </c>
      <c r="I18" s="208">
        <v>400854</v>
      </c>
      <c r="J18" s="208">
        <v>360938</v>
      </c>
      <c r="K18" s="208">
        <v>326724</v>
      </c>
      <c r="L18" s="208">
        <v>304469</v>
      </c>
      <c r="M18" s="208">
        <v>270716</v>
      </c>
      <c r="N18" s="208">
        <v>252699</v>
      </c>
      <c r="O18" s="208">
        <v>240247</v>
      </c>
      <c r="P18" s="208">
        <v>230224</v>
      </c>
      <c r="Q18" s="208">
        <v>214171</v>
      </c>
      <c r="R18" s="208">
        <v>200954</v>
      </c>
      <c r="S18" s="208">
        <v>191746</v>
      </c>
      <c r="T18" s="208">
        <v>179702</v>
      </c>
      <c r="U18" s="208">
        <v>168147</v>
      </c>
      <c r="V18" s="208">
        <v>153214</v>
      </c>
      <c r="W18" s="208">
        <v>143692</v>
      </c>
      <c r="X18" s="208">
        <v>135245</v>
      </c>
      <c r="Y18" s="208">
        <v>128712</v>
      </c>
      <c r="Z18" s="208">
        <v>121513</v>
      </c>
      <c r="AA18" s="208">
        <v>115543</v>
      </c>
      <c r="AB18" s="208">
        <v>108717</v>
      </c>
      <c r="AC18" s="208">
        <v>103980</v>
      </c>
      <c r="AD18" s="208">
        <v>100002</v>
      </c>
    </row>
    <row r="19" spans="1:30" x14ac:dyDescent="0.25">
      <c r="B19" s="6" t="s">
        <v>42</v>
      </c>
      <c r="C19" s="6" t="s">
        <v>42</v>
      </c>
      <c r="D19" s="7">
        <v>4059166</v>
      </c>
      <c r="E19" s="208">
        <v>296444</v>
      </c>
      <c r="F19" s="208">
        <v>281383</v>
      </c>
      <c r="G19" s="208">
        <v>233817</v>
      </c>
      <c r="H19" s="208">
        <v>229711</v>
      </c>
      <c r="I19" s="208">
        <v>223107</v>
      </c>
      <c r="J19" s="208">
        <v>213988</v>
      </c>
      <c r="K19" s="208">
        <v>202640</v>
      </c>
      <c r="L19" s="208">
        <v>184939</v>
      </c>
      <c r="M19" s="208">
        <v>179222</v>
      </c>
      <c r="N19" s="208">
        <v>174628</v>
      </c>
      <c r="O19" s="208">
        <v>165127</v>
      </c>
      <c r="P19" s="208">
        <v>163896</v>
      </c>
      <c r="Q19" s="208">
        <v>154228</v>
      </c>
      <c r="R19" s="208">
        <v>150943</v>
      </c>
      <c r="S19" s="208">
        <v>146249</v>
      </c>
      <c r="T19" s="208">
        <v>139787</v>
      </c>
      <c r="U19" s="208">
        <v>137746</v>
      </c>
      <c r="V19" s="208">
        <v>133531</v>
      </c>
      <c r="W19" s="208">
        <v>132140</v>
      </c>
      <c r="X19" s="208">
        <v>130375</v>
      </c>
      <c r="Y19" s="208">
        <v>126193</v>
      </c>
      <c r="Z19" s="208" t="s">
        <v>123</v>
      </c>
      <c r="AA19" s="208" t="s">
        <v>123</v>
      </c>
      <c r="AB19" s="208">
        <v>109326</v>
      </c>
      <c r="AC19" s="208">
        <v>103545</v>
      </c>
      <c r="AD19" s="208">
        <v>97605</v>
      </c>
    </row>
    <row r="20" spans="1:30" x14ac:dyDescent="0.25">
      <c r="B20" s="6" t="s">
        <v>43</v>
      </c>
      <c r="C20" s="6" t="s">
        <v>43</v>
      </c>
      <c r="D20" s="7">
        <v>4059227</v>
      </c>
      <c r="E20" s="208">
        <v>27002</v>
      </c>
      <c r="F20" s="208">
        <v>26354</v>
      </c>
      <c r="G20" s="208">
        <v>25896</v>
      </c>
      <c r="H20" s="208">
        <v>25510</v>
      </c>
      <c r="I20" s="208">
        <v>25120</v>
      </c>
      <c r="J20" s="208">
        <v>24515</v>
      </c>
      <c r="K20" s="208">
        <v>24137</v>
      </c>
      <c r="L20" s="208">
        <v>24091</v>
      </c>
      <c r="M20" s="208">
        <v>23312</v>
      </c>
      <c r="N20" s="208">
        <v>23117</v>
      </c>
      <c r="O20" s="208">
        <v>22823</v>
      </c>
      <c r="P20" s="208">
        <v>22356</v>
      </c>
      <c r="Q20" s="208">
        <v>22156</v>
      </c>
      <c r="R20" s="208">
        <v>21479</v>
      </c>
      <c r="S20" s="208">
        <v>21430</v>
      </c>
      <c r="T20" s="208">
        <v>21125</v>
      </c>
      <c r="U20" s="208" t="s">
        <v>123</v>
      </c>
      <c r="V20" s="208">
        <v>20331</v>
      </c>
      <c r="W20" s="208">
        <v>20046</v>
      </c>
      <c r="X20" s="208" t="s">
        <v>123</v>
      </c>
      <c r="Y20" s="208">
        <v>19098</v>
      </c>
      <c r="Z20" s="208" t="s">
        <v>123</v>
      </c>
      <c r="AA20" s="208" t="s">
        <v>123</v>
      </c>
      <c r="AB20" s="208" t="s">
        <v>123</v>
      </c>
      <c r="AC20" s="208">
        <v>16599</v>
      </c>
      <c r="AD20" s="208">
        <v>15589</v>
      </c>
    </row>
    <row r="21" spans="1:30" x14ac:dyDescent="0.25">
      <c r="A21" s="1" t="s">
        <v>30</v>
      </c>
      <c r="B21" s="6" t="s">
        <v>44</v>
      </c>
      <c r="C21" s="6" t="s">
        <v>44</v>
      </c>
      <c r="D21" s="7">
        <v>4057114</v>
      </c>
      <c r="E21" s="208">
        <v>368622</v>
      </c>
      <c r="F21" s="208">
        <v>335476</v>
      </c>
      <c r="G21" s="208">
        <v>323758</v>
      </c>
      <c r="H21" s="208">
        <v>315941</v>
      </c>
      <c r="I21" s="208">
        <v>310579</v>
      </c>
      <c r="J21" s="208">
        <v>307640</v>
      </c>
      <c r="K21" s="208">
        <v>302670</v>
      </c>
      <c r="L21" s="208">
        <v>294600</v>
      </c>
      <c r="M21" s="208">
        <v>286003</v>
      </c>
      <c r="N21" s="208">
        <v>272165</v>
      </c>
      <c r="O21" s="208">
        <v>258530</v>
      </c>
      <c r="P21" s="208">
        <v>249579</v>
      </c>
      <c r="Q21" s="208">
        <v>237138</v>
      </c>
      <c r="R21" s="208">
        <v>228701</v>
      </c>
      <c r="S21" s="208">
        <v>216942</v>
      </c>
      <c r="T21" s="208">
        <v>210981</v>
      </c>
      <c r="U21" s="208">
        <v>202883</v>
      </c>
      <c r="V21" s="208">
        <v>193273</v>
      </c>
      <c r="W21" s="208">
        <v>396950</v>
      </c>
      <c r="X21" s="208">
        <v>379852</v>
      </c>
      <c r="Y21" s="208">
        <v>357967</v>
      </c>
      <c r="Z21" s="208">
        <v>354136</v>
      </c>
      <c r="AA21" s="208">
        <v>330984</v>
      </c>
      <c r="AB21" s="208">
        <v>308602</v>
      </c>
      <c r="AC21" s="208">
        <v>283606</v>
      </c>
      <c r="AD21" s="208">
        <v>262585</v>
      </c>
    </row>
    <row r="22" spans="1:30" x14ac:dyDescent="0.25">
      <c r="B22" s="6" t="s">
        <v>45</v>
      </c>
      <c r="C22" s="6" t="s">
        <v>45</v>
      </c>
      <c r="D22" s="7">
        <v>4059355</v>
      </c>
      <c r="E22" s="208">
        <v>579684</v>
      </c>
      <c r="F22" s="208">
        <v>526943</v>
      </c>
      <c r="G22" s="208">
        <v>478407</v>
      </c>
      <c r="H22" s="208">
        <v>445905</v>
      </c>
      <c r="I22" s="208">
        <v>415187</v>
      </c>
      <c r="J22" s="208">
        <v>384458</v>
      </c>
      <c r="K22" s="208">
        <v>354917</v>
      </c>
      <c r="L22" s="208">
        <v>327919</v>
      </c>
      <c r="M22" s="208">
        <v>310090</v>
      </c>
      <c r="N22" s="208">
        <v>295096</v>
      </c>
      <c r="O22" s="208">
        <v>282814</v>
      </c>
      <c r="P22" s="208">
        <v>275331</v>
      </c>
      <c r="Q22" s="208">
        <v>265568</v>
      </c>
      <c r="R22" s="208">
        <v>254761</v>
      </c>
      <c r="S22" s="208">
        <v>247385</v>
      </c>
      <c r="T22" s="208">
        <v>238119</v>
      </c>
      <c r="U22" s="208">
        <v>232522</v>
      </c>
      <c r="V22" s="208">
        <v>228320</v>
      </c>
      <c r="W22" s="208">
        <v>223209</v>
      </c>
      <c r="X22" s="208">
        <v>212591</v>
      </c>
      <c r="Y22" s="208">
        <v>203849</v>
      </c>
      <c r="Z22" s="208">
        <v>195708</v>
      </c>
      <c r="AA22" s="208">
        <v>186927</v>
      </c>
      <c r="AB22" s="208">
        <v>178739</v>
      </c>
      <c r="AC22" s="208">
        <v>174808</v>
      </c>
      <c r="AD22" s="208">
        <v>163848</v>
      </c>
    </row>
    <row r="23" spans="1:30" x14ac:dyDescent="0.25">
      <c r="B23" s="6" t="s">
        <v>46</v>
      </c>
      <c r="C23" s="6" t="s">
        <v>46</v>
      </c>
      <c r="D23" s="7">
        <v>4088325</v>
      </c>
      <c r="E23" s="208">
        <v>245278</v>
      </c>
      <c r="F23" s="208">
        <v>227295</v>
      </c>
      <c r="G23" s="208">
        <v>202283</v>
      </c>
      <c r="H23" s="208">
        <v>182631</v>
      </c>
      <c r="I23" s="208">
        <v>166586</v>
      </c>
      <c r="J23" s="208">
        <v>157184</v>
      </c>
      <c r="K23" s="208">
        <v>142799</v>
      </c>
      <c r="L23" s="208">
        <v>131123</v>
      </c>
      <c r="M23" s="208">
        <v>123607</v>
      </c>
      <c r="N23" s="208">
        <v>115299</v>
      </c>
      <c r="O23" s="208">
        <v>108446</v>
      </c>
      <c r="P23" s="208">
        <v>103272</v>
      </c>
      <c r="Q23" s="208">
        <v>94706</v>
      </c>
      <c r="R23" s="208">
        <v>90809</v>
      </c>
      <c r="S23" s="208">
        <v>87330</v>
      </c>
      <c r="T23" s="208">
        <v>83915</v>
      </c>
      <c r="U23" s="208">
        <v>80498</v>
      </c>
      <c r="V23" s="208">
        <v>78141</v>
      </c>
      <c r="W23" s="208">
        <v>78161</v>
      </c>
      <c r="X23" s="208">
        <v>76723</v>
      </c>
      <c r="Y23" s="208">
        <v>73298</v>
      </c>
      <c r="Z23" s="208">
        <v>70505</v>
      </c>
      <c r="AA23" s="208">
        <v>67741</v>
      </c>
      <c r="AB23" s="208">
        <v>63392</v>
      </c>
      <c r="AC23" s="208">
        <v>60386</v>
      </c>
      <c r="AD23" s="208">
        <v>57306</v>
      </c>
    </row>
    <row r="24" spans="1:30" x14ac:dyDescent="0.25">
      <c r="B24" s="6" t="s">
        <v>47</v>
      </c>
      <c r="C24" s="6" t="s">
        <v>47</v>
      </c>
      <c r="D24" s="7">
        <v>4088326</v>
      </c>
      <c r="E24" s="208">
        <v>4820621</v>
      </c>
      <c r="F24" s="208">
        <v>4466803</v>
      </c>
      <c r="G24" s="208">
        <v>4139288</v>
      </c>
      <c r="H24" s="208">
        <v>3847493</v>
      </c>
      <c r="I24" s="208">
        <v>3541464</v>
      </c>
      <c r="J24" s="208">
        <v>3202340</v>
      </c>
      <c r="K24" s="208">
        <v>2950611</v>
      </c>
      <c r="L24" s="208">
        <v>2713470</v>
      </c>
      <c r="M24" s="208">
        <v>2501282</v>
      </c>
      <c r="N24" s="208">
        <v>2303821</v>
      </c>
      <c r="O24" s="208">
        <v>2158135</v>
      </c>
      <c r="P24" s="208">
        <v>2005667</v>
      </c>
      <c r="Q24" s="208">
        <v>1871562</v>
      </c>
      <c r="R24" s="208">
        <v>1719379</v>
      </c>
      <c r="S24" s="208">
        <v>1665073</v>
      </c>
      <c r="T24" s="208">
        <v>1581118</v>
      </c>
      <c r="U24" s="208">
        <v>1532356</v>
      </c>
      <c r="V24" s="208">
        <v>1485302</v>
      </c>
      <c r="W24" s="208">
        <v>1450687</v>
      </c>
      <c r="X24" s="208">
        <v>1395294</v>
      </c>
      <c r="Y24" s="208" t="s">
        <v>123</v>
      </c>
      <c r="Z24" s="208">
        <v>1319724</v>
      </c>
      <c r="AA24" s="208">
        <v>1267971</v>
      </c>
      <c r="AB24" s="208">
        <v>1220769</v>
      </c>
      <c r="AC24" s="208">
        <v>1160183</v>
      </c>
      <c r="AD24" s="208">
        <v>1095955</v>
      </c>
    </row>
    <row r="25" spans="1:30" x14ac:dyDescent="0.25">
      <c r="A25" s="1" t="s">
        <v>30</v>
      </c>
      <c r="B25" s="6" t="s">
        <v>48</v>
      </c>
      <c r="C25" s="6" t="s">
        <v>48</v>
      </c>
      <c r="D25" s="7">
        <v>4059358</v>
      </c>
      <c r="E25" s="208">
        <v>2782243</v>
      </c>
      <c r="F25" s="208">
        <v>2504036</v>
      </c>
      <c r="G25" s="208">
        <v>2269176</v>
      </c>
      <c r="H25" s="208">
        <v>2012819</v>
      </c>
      <c r="I25" s="208">
        <v>1806099</v>
      </c>
      <c r="J25" s="208">
        <v>1610205</v>
      </c>
      <c r="K25" s="208">
        <v>1451516</v>
      </c>
      <c r="L25" s="208">
        <v>1296600</v>
      </c>
      <c r="M25" s="208">
        <v>1159999</v>
      </c>
      <c r="N25" s="208">
        <v>1037908</v>
      </c>
      <c r="O25" s="208">
        <v>950381</v>
      </c>
      <c r="P25" s="208">
        <v>895719</v>
      </c>
      <c r="Q25" s="208">
        <v>821797</v>
      </c>
      <c r="R25" s="208">
        <v>761045</v>
      </c>
      <c r="S25" s="208">
        <v>720630</v>
      </c>
      <c r="T25" s="208">
        <v>680825</v>
      </c>
      <c r="U25" s="208">
        <v>643455</v>
      </c>
      <c r="V25" s="208">
        <v>627889</v>
      </c>
      <c r="W25" s="208">
        <v>610802</v>
      </c>
      <c r="X25" s="208">
        <v>591936</v>
      </c>
      <c r="Y25" s="208">
        <v>566912</v>
      </c>
      <c r="Z25" s="208">
        <v>544746</v>
      </c>
      <c r="AA25" s="208">
        <v>528547</v>
      </c>
      <c r="AB25" s="208">
        <v>502209</v>
      </c>
      <c r="AC25" s="208">
        <v>481397</v>
      </c>
      <c r="AD25" s="208">
        <v>461380</v>
      </c>
    </row>
    <row r="26" spans="1:30" x14ac:dyDescent="0.25">
      <c r="B26" s="6" t="s">
        <v>49</v>
      </c>
      <c r="C26" s="6" t="s">
        <v>49</v>
      </c>
      <c r="D26" s="7">
        <v>4059359</v>
      </c>
      <c r="E26" s="208">
        <v>1448775</v>
      </c>
      <c r="F26" s="208">
        <v>1353881</v>
      </c>
      <c r="G26" s="208">
        <v>1240678</v>
      </c>
      <c r="H26" s="208">
        <v>1164324</v>
      </c>
      <c r="I26" s="208">
        <v>1078728</v>
      </c>
      <c r="J26" s="208">
        <v>985503</v>
      </c>
      <c r="K26" s="208">
        <v>914064</v>
      </c>
      <c r="L26" s="208">
        <v>830106</v>
      </c>
      <c r="M26" s="208">
        <v>753358</v>
      </c>
      <c r="N26" s="208">
        <v>707487</v>
      </c>
      <c r="O26" s="208">
        <v>680063</v>
      </c>
      <c r="P26" s="208">
        <v>618057</v>
      </c>
      <c r="Q26" s="208">
        <v>597876</v>
      </c>
      <c r="R26" s="208">
        <v>571454</v>
      </c>
      <c r="S26" s="208">
        <v>548123</v>
      </c>
      <c r="T26" s="208">
        <v>524712</v>
      </c>
      <c r="U26" s="208">
        <v>499282</v>
      </c>
      <c r="V26" s="208">
        <v>482302</v>
      </c>
      <c r="W26" s="208">
        <v>450599</v>
      </c>
      <c r="X26" s="208">
        <v>433380</v>
      </c>
      <c r="Y26" s="208">
        <v>406549</v>
      </c>
      <c r="Z26" s="208" t="s">
        <v>123</v>
      </c>
      <c r="AA26" s="208">
        <v>354504</v>
      </c>
      <c r="AB26" s="208">
        <v>317332</v>
      </c>
      <c r="AC26" s="208" t="s">
        <v>123</v>
      </c>
      <c r="AD26" s="208" t="s">
        <v>123</v>
      </c>
    </row>
    <row r="27" spans="1:30" x14ac:dyDescent="0.25">
      <c r="A27" s="1" t="s">
        <v>30</v>
      </c>
      <c r="B27" s="6" t="s">
        <v>50</v>
      </c>
      <c r="C27" s="6" t="s">
        <v>50</v>
      </c>
      <c r="D27" s="7">
        <v>4059402</v>
      </c>
      <c r="E27" s="208">
        <v>911424</v>
      </c>
      <c r="F27" s="208">
        <v>885459</v>
      </c>
      <c r="G27" s="208">
        <v>845009</v>
      </c>
      <c r="H27" s="208">
        <v>806122</v>
      </c>
      <c r="I27" s="208">
        <v>770960</v>
      </c>
      <c r="J27" s="208">
        <v>724001</v>
      </c>
      <c r="K27" s="208">
        <v>673903</v>
      </c>
      <c r="L27" s="208">
        <v>635129</v>
      </c>
      <c r="M27" s="208">
        <v>605440</v>
      </c>
      <c r="N27" s="208">
        <v>578600</v>
      </c>
      <c r="O27" s="208">
        <v>557990</v>
      </c>
      <c r="P27" s="208">
        <v>563486</v>
      </c>
      <c r="Q27" s="208">
        <v>552683</v>
      </c>
      <c r="R27" s="208">
        <v>536019</v>
      </c>
      <c r="S27" s="208">
        <v>522066</v>
      </c>
      <c r="T27" s="208">
        <v>503156</v>
      </c>
      <c r="U27" s="208">
        <v>485386</v>
      </c>
      <c r="V27" s="208">
        <v>470045</v>
      </c>
      <c r="W27" s="208">
        <v>454766</v>
      </c>
      <c r="X27" s="208">
        <v>438758</v>
      </c>
      <c r="Y27" s="208">
        <v>394200</v>
      </c>
      <c r="Z27" s="208">
        <v>381965</v>
      </c>
      <c r="AA27" s="208">
        <v>366794</v>
      </c>
      <c r="AB27" s="208">
        <v>347515</v>
      </c>
      <c r="AC27" s="208">
        <v>328047</v>
      </c>
      <c r="AD27" s="208">
        <v>310586</v>
      </c>
    </row>
    <row r="28" spans="1:30" x14ac:dyDescent="0.25">
      <c r="A28" s="1" t="s">
        <v>30</v>
      </c>
      <c r="B28" s="6" t="s">
        <v>51</v>
      </c>
      <c r="C28" s="6" t="s">
        <v>51</v>
      </c>
      <c r="D28" s="7">
        <v>4057080</v>
      </c>
      <c r="E28" s="208">
        <v>8497540</v>
      </c>
      <c r="F28" s="208">
        <v>7959211</v>
      </c>
      <c r="G28" s="208">
        <v>7191048</v>
      </c>
      <c r="H28" s="208">
        <v>6483385</v>
      </c>
      <c r="I28" s="208">
        <v>5891454</v>
      </c>
      <c r="J28" s="208">
        <v>5374273</v>
      </c>
      <c r="K28" s="208">
        <v>4741384</v>
      </c>
      <c r="L28" s="208">
        <v>4249532</v>
      </c>
      <c r="M28" s="208">
        <v>3926889</v>
      </c>
      <c r="N28" s="208">
        <v>3610878</v>
      </c>
      <c r="O28" s="208">
        <v>3301820</v>
      </c>
      <c r="P28" s="208">
        <v>3025520</v>
      </c>
      <c r="Q28" s="208">
        <v>2789532</v>
      </c>
      <c r="R28" s="208">
        <v>2577852</v>
      </c>
      <c r="S28" s="208">
        <v>2445432</v>
      </c>
      <c r="T28" s="208">
        <v>2292855</v>
      </c>
      <c r="U28" s="208">
        <v>2162736</v>
      </c>
      <c r="V28" s="208">
        <v>2030145</v>
      </c>
      <c r="W28" s="208">
        <v>1902805</v>
      </c>
      <c r="X28" s="208">
        <v>1791455</v>
      </c>
      <c r="Y28" s="208">
        <v>1705259</v>
      </c>
      <c r="Z28" s="208">
        <v>1626315</v>
      </c>
      <c r="AA28" s="208">
        <v>1541535</v>
      </c>
      <c r="AB28" s="208">
        <v>1454291</v>
      </c>
      <c r="AC28" s="208">
        <v>1362359</v>
      </c>
      <c r="AD28" s="208">
        <v>1273185</v>
      </c>
    </row>
    <row r="29" spans="1:30" x14ac:dyDescent="0.25">
      <c r="B29" s="6" t="s">
        <v>52</v>
      </c>
      <c r="C29" s="6" t="s">
        <v>52</v>
      </c>
      <c r="D29" s="7">
        <v>4057081</v>
      </c>
      <c r="E29" s="208">
        <v>5701611</v>
      </c>
      <c r="F29" s="208">
        <v>5235428</v>
      </c>
      <c r="G29" s="208">
        <v>4650411</v>
      </c>
      <c r="H29" s="208">
        <v>4181921</v>
      </c>
      <c r="I29" s="208">
        <v>3805705</v>
      </c>
      <c r="J29" s="208">
        <v>3497182</v>
      </c>
      <c r="K29" s="208">
        <v>3239233</v>
      </c>
      <c r="L29" s="208">
        <v>3014718</v>
      </c>
      <c r="M29" s="208">
        <v>2861200</v>
      </c>
      <c r="N29" s="208">
        <v>2742375</v>
      </c>
      <c r="O29" s="208">
        <v>2654410</v>
      </c>
      <c r="P29" s="208">
        <v>2557421</v>
      </c>
      <c r="Q29" s="208">
        <v>2459443</v>
      </c>
      <c r="R29" s="208">
        <v>2285645</v>
      </c>
      <c r="S29" s="208">
        <v>2216516</v>
      </c>
      <c r="T29" s="208">
        <v>2140572</v>
      </c>
      <c r="U29" s="208">
        <v>2056922</v>
      </c>
      <c r="V29" s="208">
        <v>1976032</v>
      </c>
      <c r="W29" s="208">
        <v>1898656</v>
      </c>
      <c r="X29" s="208">
        <v>1806833</v>
      </c>
      <c r="Y29" s="208">
        <v>1722362</v>
      </c>
      <c r="Z29" s="208">
        <v>1650457</v>
      </c>
      <c r="AA29" s="208">
        <v>1570879</v>
      </c>
      <c r="AB29" s="208">
        <v>1491165</v>
      </c>
      <c r="AC29" s="208">
        <v>1408510</v>
      </c>
      <c r="AD29" s="208">
        <v>1325339</v>
      </c>
    </row>
    <row r="30" spans="1:30" x14ac:dyDescent="0.25">
      <c r="A30" s="1" t="s">
        <v>30</v>
      </c>
      <c r="B30" s="6" t="s">
        <v>53</v>
      </c>
      <c r="C30" s="6" t="s">
        <v>53</v>
      </c>
      <c r="D30" s="7">
        <v>4059459</v>
      </c>
      <c r="E30" s="208">
        <v>80630</v>
      </c>
      <c r="F30" s="208">
        <v>76611</v>
      </c>
      <c r="G30" s="208">
        <v>73127</v>
      </c>
      <c r="H30" s="208">
        <v>67307</v>
      </c>
      <c r="I30" s="208">
        <v>63264</v>
      </c>
      <c r="J30" s="208">
        <v>56845</v>
      </c>
      <c r="K30" s="208">
        <v>54825</v>
      </c>
      <c r="L30" s="208">
        <v>48281</v>
      </c>
      <c r="M30" s="208">
        <v>42168</v>
      </c>
      <c r="N30" s="208">
        <v>36568</v>
      </c>
      <c r="O30" s="208">
        <v>32260</v>
      </c>
      <c r="P30" s="208">
        <v>27493</v>
      </c>
      <c r="Q30" s="208">
        <v>23356</v>
      </c>
      <c r="R30" s="208">
        <v>18287</v>
      </c>
      <c r="S30" s="208">
        <v>16909</v>
      </c>
      <c r="T30" s="208">
        <v>15106</v>
      </c>
      <c r="U30" s="208">
        <v>14191</v>
      </c>
      <c r="V30" s="208">
        <v>13625</v>
      </c>
      <c r="W30" s="208">
        <v>12944</v>
      </c>
      <c r="X30" s="208">
        <v>12352</v>
      </c>
      <c r="Y30" s="208">
        <v>11738</v>
      </c>
      <c r="Z30" s="208">
        <v>11238</v>
      </c>
      <c r="AA30" s="208">
        <v>10678</v>
      </c>
      <c r="AB30" s="208">
        <v>9981</v>
      </c>
      <c r="AC30" s="208">
        <v>9487</v>
      </c>
      <c r="AD30" s="208">
        <v>9113</v>
      </c>
    </row>
    <row r="31" spans="1:30" x14ac:dyDescent="0.25">
      <c r="B31" s="6" t="s">
        <v>54</v>
      </c>
      <c r="C31" s="6" t="s">
        <v>54</v>
      </c>
      <c r="D31" s="7">
        <v>4057118</v>
      </c>
      <c r="E31" s="208">
        <v>143466</v>
      </c>
      <c r="F31" s="208">
        <v>138983</v>
      </c>
      <c r="G31" s="208">
        <v>130183</v>
      </c>
      <c r="H31" s="208">
        <v>126218</v>
      </c>
      <c r="I31" s="208">
        <v>123349</v>
      </c>
      <c r="J31" s="208">
        <v>119537</v>
      </c>
      <c r="K31" s="208">
        <v>117226</v>
      </c>
      <c r="L31" s="208">
        <v>113536</v>
      </c>
      <c r="M31" s="208">
        <v>110523</v>
      </c>
      <c r="N31" s="208">
        <v>105608</v>
      </c>
      <c r="O31" s="208">
        <v>103205</v>
      </c>
      <c r="P31" s="208">
        <v>100605</v>
      </c>
      <c r="Q31" s="208">
        <v>98475</v>
      </c>
      <c r="R31" s="208">
        <v>95388</v>
      </c>
      <c r="S31" s="208">
        <v>93391</v>
      </c>
      <c r="T31" s="208">
        <v>90701</v>
      </c>
      <c r="U31" s="208">
        <v>87884</v>
      </c>
      <c r="V31" s="208">
        <v>84971</v>
      </c>
      <c r="W31" s="208">
        <v>80653</v>
      </c>
      <c r="X31" s="208">
        <v>78481</v>
      </c>
      <c r="Y31" s="208">
        <v>75590</v>
      </c>
      <c r="Z31" s="208">
        <v>71662</v>
      </c>
      <c r="AA31" s="208">
        <v>67055</v>
      </c>
      <c r="AB31" s="208">
        <v>60653</v>
      </c>
      <c r="AC31" s="208">
        <v>56770</v>
      </c>
      <c r="AD31" s="208">
        <v>52107</v>
      </c>
    </row>
    <row r="32" spans="1:30" x14ac:dyDescent="0.25">
      <c r="B32" s="6" t="s">
        <v>55</v>
      </c>
      <c r="C32" s="6" t="s">
        <v>55</v>
      </c>
      <c r="D32" s="7">
        <v>4057126</v>
      </c>
      <c r="E32" s="208">
        <v>4366879</v>
      </c>
      <c r="F32" s="208">
        <v>4004366</v>
      </c>
      <c r="G32" s="208">
        <v>3737313</v>
      </c>
      <c r="H32" s="208">
        <v>3448875</v>
      </c>
      <c r="I32" s="208">
        <v>3246667</v>
      </c>
      <c r="J32" s="208">
        <v>3047115</v>
      </c>
      <c r="K32" s="208">
        <v>2906166</v>
      </c>
      <c r="L32" s="208">
        <v>2756975</v>
      </c>
      <c r="M32" s="208">
        <v>2607170</v>
      </c>
      <c r="N32" s="208">
        <v>2526062</v>
      </c>
      <c r="O32" s="208">
        <v>2399854</v>
      </c>
      <c r="P32" s="208">
        <v>2342532</v>
      </c>
      <c r="Q32" s="208">
        <v>2285484</v>
      </c>
      <c r="R32" s="208">
        <v>2191019</v>
      </c>
      <c r="S32" s="208">
        <v>2175136</v>
      </c>
      <c r="T32" s="208">
        <v>2085843</v>
      </c>
      <c r="U32" s="208">
        <v>2019748</v>
      </c>
      <c r="V32" s="208">
        <v>1960876</v>
      </c>
      <c r="W32" s="208">
        <v>1903177</v>
      </c>
      <c r="X32" s="208">
        <v>1852197</v>
      </c>
      <c r="Y32" s="208">
        <v>1794593</v>
      </c>
      <c r="Z32" s="208">
        <v>1723829</v>
      </c>
      <c r="AA32" s="208">
        <v>1661191</v>
      </c>
      <c r="AB32" s="208">
        <v>1604507</v>
      </c>
      <c r="AC32" s="208">
        <v>1544734</v>
      </c>
      <c r="AD32" s="208">
        <v>1455826</v>
      </c>
    </row>
    <row r="33" spans="1:30" x14ac:dyDescent="0.25">
      <c r="B33" s="6" t="s">
        <v>56</v>
      </c>
      <c r="C33" s="6" t="s">
        <v>56</v>
      </c>
      <c r="D33" s="7">
        <v>4057103</v>
      </c>
      <c r="E33" s="208" t="s">
        <v>123</v>
      </c>
      <c r="F33" s="208">
        <v>606476</v>
      </c>
      <c r="G33" s="208">
        <v>546414</v>
      </c>
      <c r="H33" s="208">
        <v>482331</v>
      </c>
      <c r="I33" s="208" t="s">
        <v>123</v>
      </c>
      <c r="J33" s="208">
        <v>431131</v>
      </c>
      <c r="K33" s="208">
        <v>421026</v>
      </c>
      <c r="L33" s="208">
        <v>414138</v>
      </c>
      <c r="M33" s="208">
        <v>406367</v>
      </c>
      <c r="N33" s="208">
        <v>393816</v>
      </c>
      <c r="O33" s="208">
        <v>384146</v>
      </c>
      <c r="P33" s="208">
        <v>368643</v>
      </c>
      <c r="Q33" s="208">
        <v>336617</v>
      </c>
      <c r="R33" s="208">
        <v>311175</v>
      </c>
      <c r="S33" s="208">
        <v>289654</v>
      </c>
      <c r="T33" s="208">
        <v>269283</v>
      </c>
      <c r="U33" s="208">
        <v>249146</v>
      </c>
      <c r="V33" s="208">
        <v>232766</v>
      </c>
      <c r="W33" s="208">
        <v>208746</v>
      </c>
      <c r="X33" s="208">
        <v>190492</v>
      </c>
      <c r="Y33" s="208">
        <v>177315</v>
      </c>
      <c r="Z33" s="208">
        <v>166241</v>
      </c>
      <c r="AA33" s="208">
        <v>157203</v>
      </c>
      <c r="AB33" s="208">
        <v>148218</v>
      </c>
      <c r="AC33" s="208">
        <v>141206</v>
      </c>
      <c r="AD33" s="208">
        <v>133607</v>
      </c>
    </row>
    <row r="34" spans="1:30" x14ac:dyDescent="0.25">
      <c r="B34" s="6" t="s">
        <v>57</v>
      </c>
      <c r="C34" s="6" t="s">
        <v>57</v>
      </c>
      <c r="D34" s="7">
        <v>4057079</v>
      </c>
      <c r="E34" s="208">
        <v>2341981</v>
      </c>
      <c r="F34" s="208">
        <v>2198754</v>
      </c>
      <c r="G34" s="208">
        <v>2065217</v>
      </c>
      <c r="H34" s="208">
        <v>1986438</v>
      </c>
      <c r="I34" s="208">
        <v>1907745</v>
      </c>
      <c r="J34" s="208">
        <v>1847701</v>
      </c>
      <c r="K34" s="208">
        <v>1767289</v>
      </c>
      <c r="L34" s="208">
        <v>1682128</v>
      </c>
      <c r="M34" s="208">
        <v>1589967</v>
      </c>
      <c r="N34" s="208">
        <v>1509713</v>
      </c>
      <c r="O34" s="208">
        <v>1407748</v>
      </c>
      <c r="P34" s="208">
        <v>1303155</v>
      </c>
      <c r="Q34" s="208">
        <v>1207713</v>
      </c>
      <c r="R34" s="208">
        <v>1101969</v>
      </c>
      <c r="S34" s="208">
        <v>1026155</v>
      </c>
      <c r="T34" s="208">
        <v>953899</v>
      </c>
      <c r="U34" s="208">
        <v>884736</v>
      </c>
      <c r="V34" s="208">
        <v>809089</v>
      </c>
      <c r="W34" s="208">
        <v>731835</v>
      </c>
      <c r="X34" s="208">
        <v>673780</v>
      </c>
      <c r="Y34" s="208">
        <v>625993</v>
      </c>
      <c r="Z34" s="208">
        <v>599560</v>
      </c>
      <c r="AA34" s="208">
        <v>571940</v>
      </c>
      <c r="AB34" s="208">
        <v>548002</v>
      </c>
      <c r="AC34" s="208">
        <v>522026</v>
      </c>
      <c r="AD34" s="208">
        <v>504767</v>
      </c>
    </row>
    <row r="35" spans="1:30" x14ac:dyDescent="0.25">
      <c r="B35" s="6" t="s">
        <v>58</v>
      </c>
      <c r="C35" s="6" t="s">
        <v>59</v>
      </c>
      <c r="D35" s="7">
        <v>4081251</v>
      </c>
      <c r="E35" s="208" t="s">
        <v>123</v>
      </c>
      <c r="F35" s="208">
        <v>1802</v>
      </c>
      <c r="G35" s="208">
        <v>1759</v>
      </c>
      <c r="H35" s="208">
        <v>1668</v>
      </c>
      <c r="I35" s="208">
        <v>1632</v>
      </c>
      <c r="J35" s="208">
        <v>1574</v>
      </c>
      <c r="K35" s="208">
        <v>1493</v>
      </c>
      <c r="L35" s="208">
        <v>1409</v>
      </c>
      <c r="M35" s="208">
        <v>1384</v>
      </c>
      <c r="N35" s="208">
        <v>1328</v>
      </c>
      <c r="O35" s="208">
        <v>1275</v>
      </c>
      <c r="P35" s="208">
        <v>1230</v>
      </c>
      <c r="Q35" s="208">
        <v>1207</v>
      </c>
      <c r="R35" s="208">
        <v>1165</v>
      </c>
      <c r="S35" s="208">
        <v>1131</v>
      </c>
      <c r="T35" s="208">
        <v>1125</v>
      </c>
      <c r="U35" s="208">
        <v>1046</v>
      </c>
      <c r="V35" s="208">
        <v>1014</v>
      </c>
      <c r="W35" s="208">
        <v>977</v>
      </c>
      <c r="X35" s="208">
        <v>918</v>
      </c>
      <c r="Y35" s="208">
        <v>899</v>
      </c>
      <c r="Z35" s="208" t="s">
        <v>123</v>
      </c>
      <c r="AA35" s="208" t="s">
        <v>123</v>
      </c>
      <c r="AB35" s="208" t="s">
        <v>123</v>
      </c>
      <c r="AC35" s="208" t="s">
        <v>123</v>
      </c>
      <c r="AD35" s="208" t="s">
        <v>123</v>
      </c>
    </row>
    <row r="36" spans="1:30" x14ac:dyDescent="0.25">
      <c r="B36" s="6" t="s">
        <v>60</v>
      </c>
      <c r="C36" s="6" t="s">
        <v>60</v>
      </c>
      <c r="D36" s="7">
        <v>4060572</v>
      </c>
      <c r="E36" s="208">
        <v>493250</v>
      </c>
      <c r="F36" s="208">
        <v>449339</v>
      </c>
      <c r="G36" s="208">
        <v>413189</v>
      </c>
      <c r="H36" s="208">
        <v>382790</v>
      </c>
      <c r="I36" s="208">
        <v>349637</v>
      </c>
      <c r="J36" s="208">
        <v>312202</v>
      </c>
      <c r="K36" s="208">
        <v>295378</v>
      </c>
      <c r="L36" s="208">
        <v>275407</v>
      </c>
      <c r="M36" s="208">
        <v>268139</v>
      </c>
      <c r="N36" s="208">
        <v>261067</v>
      </c>
      <c r="O36" s="208">
        <v>245522</v>
      </c>
      <c r="P36" s="208">
        <v>238613</v>
      </c>
      <c r="Q36" s="208">
        <v>230947</v>
      </c>
      <c r="R36" s="208">
        <v>223494</v>
      </c>
      <c r="S36" s="208">
        <v>215514</v>
      </c>
      <c r="T36" s="208">
        <v>207529</v>
      </c>
      <c r="U36" s="208">
        <v>202059</v>
      </c>
      <c r="V36" s="208">
        <v>197384</v>
      </c>
      <c r="W36" s="208">
        <v>187969</v>
      </c>
      <c r="X36" s="208">
        <v>180031</v>
      </c>
      <c r="Y36" s="208">
        <v>172116</v>
      </c>
      <c r="Z36" s="208" t="s">
        <v>123</v>
      </c>
      <c r="AA36" s="208" t="s">
        <v>123</v>
      </c>
      <c r="AB36" s="208">
        <v>156493</v>
      </c>
      <c r="AC36" s="208">
        <v>147582</v>
      </c>
      <c r="AD36" s="208">
        <v>140121</v>
      </c>
    </row>
    <row r="37" spans="1:30" x14ac:dyDescent="0.25">
      <c r="B37" s="6" t="s">
        <v>61</v>
      </c>
      <c r="C37" s="6" t="s">
        <v>61</v>
      </c>
      <c r="D37" s="7">
        <v>4083318</v>
      </c>
      <c r="E37" s="208">
        <v>18163</v>
      </c>
      <c r="F37" s="208">
        <v>17677</v>
      </c>
      <c r="G37" s="208">
        <v>17389</v>
      </c>
      <c r="H37" s="208">
        <v>17092</v>
      </c>
      <c r="I37" s="208">
        <v>16942</v>
      </c>
      <c r="J37" s="208">
        <v>16724</v>
      </c>
      <c r="K37" s="208">
        <v>16232</v>
      </c>
      <c r="L37" s="208">
        <v>15908</v>
      </c>
      <c r="M37" s="208">
        <v>15444</v>
      </c>
      <c r="N37" s="208">
        <v>15159</v>
      </c>
      <c r="O37" s="208">
        <v>14877</v>
      </c>
      <c r="P37" s="208">
        <v>14654</v>
      </c>
      <c r="Q37" s="208">
        <v>14469</v>
      </c>
      <c r="R37" s="208">
        <v>14330</v>
      </c>
      <c r="S37" s="208">
        <v>14186</v>
      </c>
      <c r="T37" s="208">
        <v>13997</v>
      </c>
      <c r="U37" s="208">
        <v>13829</v>
      </c>
      <c r="V37" s="208">
        <v>13628</v>
      </c>
      <c r="W37" s="208">
        <v>13242</v>
      </c>
      <c r="X37" s="208" t="s">
        <v>123</v>
      </c>
      <c r="Y37" s="208" t="s">
        <v>123</v>
      </c>
      <c r="Z37" s="208" t="s">
        <v>123</v>
      </c>
      <c r="AA37" s="208" t="s">
        <v>123</v>
      </c>
      <c r="AB37" s="208" t="s">
        <v>123</v>
      </c>
      <c r="AC37" s="208">
        <v>10182</v>
      </c>
      <c r="AD37" s="208">
        <v>8759</v>
      </c>
    </row>
    <row r="38" spans="1:30" x14ac:dyDescent="0.25">
      <c r="B38" s="6" t="s">
        <v>62</v>
      </c>
      <c r="C38" s="6" t="s">
        <v>62</v>
      </c>
      <c r="D38" s="7">
        <v>4057125</v>
      </c>
      <c r="E38" s="208">
        <v>2203157</v>
      </c>
      <c r="F38" s="208">
        <v>2139359</v>
      </c>
      <c r="G38" s="208">
        <v>1842013</v>
      </c>
      <c r="H38" s="208">
        <v>1596323</v>
      </c>
      <c r="I38" s="208">
        <v>1557373</v>
      </c>
      <c r="J38" s="208">
        <v>1503304</v>
      </c>
      <c r="K38" s="208">
        <v>1424710</v>
      </c>
      <c r="L38" s="208">
        <v>1387041</v>
      </c>
      <c r="M38" s="208">
        <v>1339067</v>
      </c>
      <c r="N38" s="208">
        <v>1262374</v>
      </c>
      <c r="O38" s="208">
        <v>1242827</v>
      </c>
      <c r="P38" s="208">
        <v>1222202</v>
      </c>
      <c r="Q38" s="208">
        <v>1136136</v>
      </c>
      <c r="R38" s="208">
        <v>1120778</v>
      </c>
      <c r="S38" s="208">
        <v>1101636</v>
      </c>
      <c r="T38" s="208">
        <v>1079777</v>
      </c>
      <c r="U38" s="208">
        <v>988293</v>
      </c>
      <c r="V38" s="208">
        <v>936124</v>
      </c>
      <c r="W38" s="208">
        <v>912082</v>
      </c>
      <c r="X38" s="208">
        <v>896824</v>
      </c>
      <c r="Y38" s="208">
        <v>830767</v>
      </c>
      <c r="Z38" s="208">
        <v>807196</v>
      </c>
      <c r="AA38" s="208">
        <v>772086</v>
      </c>
      <c r="AB38" s="208">
        <v>740752</v>
      </c>
      <c r="AC38" s="208">
        <v>693932</v>
      </c>
      <c r="AD38" s="208">
        <v>648122</v>
      </c>
    </row>
    <row r="39" spans="1:30" x14ac:dyDescent="0.25">
      <c r="B39" s="6" t="s">
        <v>63</v>
      </c>
      <c r="C39" s="6" t="s">
        <v>63</v>
      </c>
      <c r="D39" s="7">
        <v>4087741</v>
      </c>
      <c r="E39" s="208" t="s">
        <v>123</v>
      </c>
      <c r="F39" s="208" t="s">
        <v>123</v>
      </c>
      <c r="G39" s="208">
        <v>1522865</v>
      </c>
      <c r="H39" s="208">
        <v>1444284</v>
      </c>
      <c r="I39" s="208">
        <v>1382641</v>
      </c>
      <c r="J39" s="208">
        <v>1327505</v>
      </c>
      <c r="K39" s="208">
        <v>1280489</v>
      </c>
      <c r="L39" s="208">
        <v>1233466</v>
      </c>
      <c r="M39" s="208">
        <v>1191748</v>
      </c>
      <c r="N39" s="208">
        <v>1148203</v>
      </c>
      <c r="O39" s="208">
        <v>1118596</v>
      </c>
      <c r="P39" s="208">
        <v>1083815</v>
      </c>
      <c r="Q39" s="208">
        <v>1072309</v>
      </c>
      <c r="R39" s="208">
        <v>1031280</v>
      </c>
      <c r="S39" s="208">
        <v>991663</v>
      </c>
      <c r="T39" s="208">
        <v>950240</v>
      </c>
      <c r="U39" s="208">
        <v>907068</v>
      </c>
      <c r="V39" s="208">
        <v>868110</v>
      </c>
      <c r="W39" s="208">
        <v>823189</v>
      </c>
      <c r="X39" s="208" t="s">
        <v>123</v>
      </c>
      <c r="Y39" s="208">
        <v>745889</v>
      </c>
      <c r="Z39" s="208" t="s">
        <v>123</v>
      </c>
      <c r="AA39" s="208" t="s">
        <v>123</v>
      </c>
      <c r="AB39" s="208" t="s">
        <v>123</v>
      </c>
      <c r="AC39" s="208" t="s">
        <v>123</v>
      </c>
      <c r="AD39" s="208" t="s">
        <v>123</v>
      </c>
    </row>
    <row r="40" spans="1:30" x14ac:dyDescent="0.25">
      <c r="B40" s="6" t="s">
        <v>64</v>
      </c>
      <c r="C40" s="6" t="s">
        <v>64</v>
      </c>
      <c r="D40" s="7">
        <v>4059875</v>
      </c>
      <c r="E40" s="208">
        <v>603816</v>
      </c>
      <c r="F40" s="208">
        <v>523473</v>
      </c>
      <c r="G40" s="208">
        <v>469999</v>
      </c>
      <c r="H40" s="208">
        <v>445561</v>
      </c>
      <c r="I40" s="208">
        <v>415297</v>
      </c>
      <c r="J40" s="208">
        <v>395296</v>
      </c>
      <c r="K40" s="208">
        <v>364156</v>
      </c>
      <c r="L40" s="208">
        <v>143324</v>
      </c>
      <c r="M40" s="208">
        <v>136378</v>
      </c>
      <c r="N40" s="208">
        <v>309972</v>
      </c>
      <c r="O40" s="208">
        <v>299599</v>
      </c>
      <c r="P40" s="208">
        <v>290604</v>
      </c>
      <c r="Q40" s="208">
        <v>272496</v>
      </c>
      <c r="R40" s="208">
        <v>257912</v>
      </c>
      <c r="S40" s="208">
        <v>241489</v>
      </c>
      <c r="T40" s="208">
        <v>221353</v>
      </c>
      <c r="U40" s="208">
        <v>218732</v>
      </c>
      <c r="V40" s="208">
        <v>205924</v>
      </c>
      <c r="W40" s="208">
        <v>181243</v>
      </c>
      <c r="X40" s="208" t="s">
        <v>123</v>
      </c>
      <c r="Y40" s="208">
        <v>155214</v>
      </c>
      <c r="Z40" s="208">
        <v>146178</v>
      </c>
      <c r="AA40" s="208">
        <v>139691</v>
      </c>
      <c r="AB40" s="208">
        <v>129433</v>
      </c>
      <c r="AC40" s="208">
        <v>119719</v>
      </c>
      <c r="AD40" s="208">
        <v>113061</v>
      </c>
    </row>
    <row r="41" spans="1:30" x14ac:dyDescent="0.25">
      <c r="B41" s="6" t="s">
        <v>65</v>
      </c>
      <c r="C41" s="6" t="s">
        <v>65</v>
      </c>
      <c r="D41" s="7">
        <v>4057090</v>
      </c>
      <c r="E41" s="208">
        <v>1075161</v>
      </c>
      <c r="F41" s="208">
        <v>1029149</v>
      </c>
      <c r="G41" s="208">
        <v>984030</v>
      </c>
      <c r="H41" s="208">
        <v>943963</v>
      </c>
      <c r="I41" s="208">
        <v>883475</v>
      </c>
      <c r="J41" s="208">
        <v>818369</v>
      </c>
      <c r="K41" s="208">
        <v>756502</v>
      </c>
      <c r="L41" s="208">
        <v>700841</v>
      </c>
      <c r="M41" s="208">
        <v>645232</v>
      </c>
      <c r="N41" s="208">
        <v>611817</v>
      </c>
      <c r="O41" s="208">
        <v>574219</v>
      </c>
      <c r="P41" s="208">
        <v>544481</v>
      </c>
      <c r="Q41" s="208">
        <v>511329</v>
      </c>
      <c r="R41" s="208">
        <v>464243</v>
      </c>
      <c r="S41" s="208">
        <v>440121</v>
      </c>
      <c r="T41" s="208">
        <v>425927</v>
      </c>
      <c r="U41" s="208">
        <v>404952</v>
      </c>
      <c r="V41" s="208">
        <v>388159</v>
      </c>
      <c r="W41" s="208">
        <v>356807</v>
      </c>
      <c r="X41" s="208">
        <v>332059</v>
      </c>
      <c r="Y41" s="208">
        <v>315583</v>
      </c>
      <c r="Z41" s="208">
        <v>296415</v>
      </c>
      <c r="AA41" s="208">
        <v>273974</v>
      </c>
      <c r="AB41" s="208">
        <v>269758</v>
      </c>
      <c r="AC41" s="208">
        <v>254253</v>
      </c>
      <c r="AD41" s="208">
        <v>239290</v>
      </c>
    </row>
    <row r="42" spans="1:30" x14ac:dyDescent="0.25">
      <c r="B42" s="6" t="s">
        <v>66</v>
      </c>
      <c r="C42" s="6" t="s">
        <v>66</v>
      </c>
      <c r="D42" s="7">
        <v>4008754</v>
      </c>
      <c r="E42" s="208">
        <v>428405</v>
      </c>
      <c r="F42" s="208">
        <v>407795</v>
      </c>
      <c r="G42" s="208">
        <v>389525</v>
      </c>
      <c r="H42" s="208">
        <v>369290</v>
      </c>
      <c r="I42" s="208">
        <v>352252</v>
      </c>
      <c r="J42" s="208">
        <v>338320</v>
      </c>
      <c r="K42" s="208">
        <v>327849</v>
      </c>
      <c r="L42" s="208">
        <v>311909</v>
      </c>
      <c r="M42" s="208">
        <v>296823</v>
      </c>
      <c r="N42" s="208">
        <v>284962</v>
      </c>
      <c r="O42" s="208">
        <v>271383</v>
      </c>
      <c r="P42" s="208">
        <v>262525</v>
      </c>
      <c r="Q42" s="208">
        <v>249629</v>
      </c>
      <c r="R42" s="208">
        <v>240677</v>
      </c>
      <c r="S42" s="208">
        <v>233783</v>
      </c>
      <c r="T42" s="208">
        <v>226161</v>
      </c>
      <c r="U42" s="208">
        <v>217301</v>
      </c>
      <c r="V42" s="208">
        <v>210877</v>
      </c>
      <c r="W42" s="208">
        <v>200983</v>
      </c>
      <c r="X42" s="208">
        <v>186974</v>
      </c>
      <c r="Y42" s="208">
        <v>177083</v>
      </c>
      <c r="Z42" s="208">
        <v>170810</v>
      </c>
      <c r="AA42" s="208">
        <v>166607</v>
      </c>
      <c r="AB42" s="208">
        <v>163880</v>
      </c>
      <c r="AC42" s="208">
        <v>160121</v>
      </c>
      <c r="AD42" s="208">
        <v>156191</v>
      </c>
    </row>
    <row r="43" spans="1:30" x14ac:dyDescent="0.25">
      <c r="B43" s="6" t="s">
        <v>67</v>
      </c>
      <c r="C43" s="6" t="s">
        <v>67</v>
      </c>
      <c r="D43" s="7">
        <v>4061474</v>
      </c>
      <c r="E43" s="208">
        <v>25849</v>
      </c>
      <c r="F43" s="208">
        <v>25013</v>
      </c>
      <c r="G43" s="208">
        <v>24095</v>
      </c>
      <c r="H43" s="208">
        <v>23359</v>
      </c>
      <c r="I43" s="208">
        <v>22722</v>
      </c>
      <c r="J43" s="208">
        <v>22177</v>
      </c>
      <c r="K43" s="208">
        <v>20987</v>
      </c>
      <c r="L43" s="208">
        <v>19984</v>
      </c>
      <c r="M43" s="208">
        <v>19245</v>
      </c>
      <c r="N43" s="208">
        <v>18832</v>
      </c>
      <c r="O43" s="208">
        <v>18459</v>
      </c>
      <c r="P43" s="208">
        <v>17839</v>
      </c>
      <c r="Q43" s="208">
        <v>17311</v>
      </c>
      <c r="R43" s="208">
        <v>16518</v>
      </c>
      <c r="S43" s="208">
        <v>16225</v>
      </c>
      <c r="T43" s="208">
        <v>15887</v>
      </c>
      <c r="U43" s="208">
        <v>15521</v>
      </c>
      <c r="V43" s="208">
        <v>15113</v>
      </c>
      <c r="W43" s="208">
        <v>10759</v>
      </c>
      <c r="X43" s="208" t="s">
        <v>123</v>
      </c>
      <c r="Y43" s="208">
        <v>10110</v>
      </c>
      <c r="Z43" s="208" t="s">
        <v>123</v>
      </c>
      <c r="AA43" s="208" t="s">
        <v>123</v>
      </c>
      <c r="AB43" s="208">
        <v>9189</v>
      </c>
      <c r="AC43" s="208">
        <v>8948</v>
      </c>
      <c r="AD43" s="208">
        <v>8369</v>
      </c>
    </row>
    <row r="44" spans="1:30" x14ac:dyDescent="0.25">
      <c r="B44" s="6" t="s">
        <v>68</v>
      </c>
      <c r="C44" s="6" t="s">
        <v>68</v>
      </c>
      <c r="D44" s="7">
        <v>4076679</v>
      </c>
      <c r="E44" s="208">
        <v>44877</v>
      </c>
      <c r="F44" s="208">
        <v>43016</v>
      </c>
      <c r="G44" s="208">
        <v>40862</v>
      </c>
      <c r="H44" s="208">
        <v>38875</v>
      </c>
      <c r="I44" s="208">
        <v>37250</v>
      </c>
      <c r="J44" s="208">
        <v>35478</v>
      </c>
      <c r="K44" s="208">
        <v>32978</v>
      </c>
      <c r="L44" s="208">
        <v>30651</v>
      </c>
      <c r="M44" s="208">
        <v>29599</v>
      </c>
      <c r="N44" s="208">
        <v>28617</v>
      </c>
      <c r="O44" s="208">
        <v>27532</v>
      </c>
      <c r="P44" s="208">
        <v>26362</v>
      </c>
      <c r="Q44" s="208">
        <v>25520</v>
      </c>
      <c r="R44" s="208">
        <v>24478</v>
      </c>
      <c r="S44" s="208">
        <v>23646</v>
      </c>
      <c r="T44" s="208">
        <v>22060</v>
      </c>
      <c r="U44" s="208">
        <v>20809</v>
      </c>
      <c r="V44" s="208">
        <v>20038</v>
      </c>
      <c r="W44" s="208">
        <v>18759</v>
      </c>
      <c r="X44" s="208">
        <v>16923</v>
      </c>
      <c r="Y44" s="208">
        <v>15998</v>
      </c>
      <c r="Z44" s="208" t="s">
        <v>123</v>
      </c>
      <c r="AA44" s="208" t="s">
        <v>123</v>
      </c>
      <c r="AB44" s="208" t="s">
        <v>123</v>
      </c>
      <c r="AC44" s="208" t="s">
        <v>123</v>
      </c>
      <c r="AD44" s="208" t="s">
        <v>123</v>
      </c>
    </row>
    <row r="45" spans="1:30" x14ac:dyDescent="0.25">
      <c r="B45" s="6" t="s">
        <v>69</v>
      </c>
      <c r="C45" s="6" t="s">
        <v>69</v>
      </c>
      <c r="D45" s="7">
        <v>4061634</v>
      </c>
      <c r="E45" s="208">
        <v>642798</v>
      </c>
      <c r="F45" s="208">
        <v>598152</v>
      </c>
      <c r="G45" s="208">
        <v>546427</v>
      </c>
      <c r="H45" s="208">
        <v>491817</v>
      </c>
      <c r="I45" s="208">
        <v>467665</v>
      </c>
      <c r="J45" s="208">
        <v>450016</v>
      </c>
      <c r="K45" s="208">
        <v>432514</v>
      </c>
      <c r="L45" s="208">
        <v>418827</v>
      </c>
      <c r="M45" s="208">
        <v>408195</v>
      </c>
      <c r="N45" s="208">
        <v>398567</v>
      </c>
      <c r="O45" s="208">
        <v>389071</v>
      </c>
      <c r="P45" s="208">
        <v>374867</v>
      </c>
      <c r="Q45" s="208">
        <v>369712</v>
      </c>
      <c r="R45" s="208">
        <v>358718</v>
      </c>
      <c r="S45" s="208">
        <v>348788</v>
      </c>
      <c r="T45" s="208">
        <v>338990</v>
      </c>
      <c r="U45" s="208">
        <v>289703</v>
      </c>
      <c r="V45" s="208">
        <v>276696</v>
      </c>
      <c r="W45" s="208">
        <v>268403</v>
      </c>
      <c r="X45" s="208">
        <v>258042</v>
      </c>
      <c r="Y45" s="208">
        <v>248801</v>
      </c>
      <c r="Z45" s="208">
        <v>225020</v>
      </c>
      <c r="AA45" s="208">
        <v>217438</v>
      </c>
      <c r="AB45" s="208">
        <v>211245</v>
      </c>
      <c r="AC45" s="208">
        <v>204736</v>
      </c>
      <c r="AD45" s="208">
        <v>197228</v>
      </c>
    </row>
    <row r="46" spans="1:30" x14ac:dyDescent="0.25">
      <c r="B46" s="6" t="s">
        <v>70</v>
      </c>
      <c r="C46" s="6" t="s">
        <v>70</v>
      </c>
      <c r="D46" s="7">
        <v>4061687</v>
      </c>
      <c r="E46" s="208">
        <v>1983301</v>
      </c>
      <c r="F46" s="208">
        <v>1927350</v>
      </c>
      <c r="G46" s="208">
        <v>1873317</v>
      </c>
      <c r="H46" s="208">
        <v>1822483</v>
      </c>
      <c r="I46" s="208">
        <v>1774038</v>
      </c>
      <c r="J46" s="208">
        <v>1720869</v>
      </c>
      <c r="K46" s="208">
        <v>1681269</v>
      </c>
      <c r="L46" s="208">
        <v>1636440</v>
      </c>
      <c r="M46" s="208">
        <v>1603993</v>
      </c>
      <c r="N46" s="208">
        <v>1568635</v>
      </c>
      <c r="O46" s="208">
        <v>1531841</v>
      </c>
      <c r="P46" s="208">
        <v>1492815</v>
      </c>
      <c r="Q46" s="208">
        <v>1460827</v>
      </c>
      <c r="R46" s="208">
        <v>1419719</v>
      </c>
      <c r="S46" s="208">
        <v>1383510</v>
      </c>
      <c r="T46" s="208">
        <v>1344377</v>
      </c>
      <c r="U46" s="208">
        <v>1311186</v>
      </c>
      <c r="V46" s="208">
        <v>1274674</v>
      </c>
      <c r="W46" s="208">
        <v>1232024</v>
      </c>
      <c r="X46" s="208">
        <v>1196417</v>
      </c>
      <c r="Y46" s="208">
        <v>1215470</v>
      </c>
      <c r="Z46" s="208">
        <v>1138954</v>
      </c>
      <c r="AA46" s="208">
        <v>1102672</v>
      </c>
      <c r="AB46" s="208">
        <v>1070455</v>
      </c>
      <c r="AC46" s="208">
        <v>1022575</v>
      </c>
      <c r="AD46" s="208">
        <v>970819</v>
      </c>
    </row>
    <row r="47" spans="1:30" x14ac:dyDescent="0.25">
      <c r="A47" s="1" t="s">
        <v>30</v>
      </c>
      <c r="B47" s="6" t="s">
        <v>71</v>
      </c>
      <c r="C47" s="6" t="s">
        <v>71</v>
      </c>
      <c r="D47" s="7">
        <v>4061755</v>
      </c>
      <c r="E47" s="208">
        <v>2154624</v>
      </c>
      <c r="F47" s="208">
        <v>2020663</v>
      </c>
      <c r="G47" s="208">
        <v>1824373</v>
      </c>
      <c r="H47" s="208">
        <v>1699893</v>
      </c>
      <c r="I47" s="208">
        <v>1556200</v>
      </c>
      <c r="J47" s="208">
        <v>1438374</v>
      </c>
      <c r="K47" s="208">
        <v>1316836</v>
      </c>
      <c r="L47" s="208">
        <v>1227014</v>
      </c>
      <c r="M47" s="208">
        <v>1164165</v>
      </c>
      <c r="N47" s="208">
        <v>1128870</v>
      </c>
      <c r="O47" s="208">
        <v>1052012</v>
      </c>
      <c r="P47" s="208">
        <v>1026985</v>
      </c>
      <c r="Q47" s="208">
        <v>989721</v>
      </c>
      <c r="R47" s="208">
        <v>954367</v>
      </c>
      <c r="S47" s="208">
        <v>924650</v>
      </c>
      <c r="T47" s="208">
        <v>896398</v>
      </c>
      <c r="U47" s="208">
        <v>861044</v>
      </c>
      <c r="V47" s="208">
        <v>822018</v>
      </c>
      <c r="W47" s="208">
        <v>793451</v>
      </c>
      <c r="X47" s="208">
        <v>762959</v>
      </c>
      <c r="Y47" s="208">
        <v>750297</v>
      </c>
      <c r="Z47" s="208">
        <v>712620</v>
      </c>
      <c r="AA47" s="208">
        <v>675001</v>
      </c>
      <c r="AB47" s="208">
        <v>639153</v>
      </c>
      <c r="AC47" s="208">
        <v>603672</v>
      </c>
      <c r="AD47" s="208">
        <v>571125</v>
      </c>
    </row>
    <row r="48" spans="1:30" x14ac:dyDescent="0.25">
      <c r="A48" s="1" t="s">
        <v>30</v>
      </c>
      <c r="B48" s="6" t="s">
        <v>72</v>
      </c>
      <c r="C48" s="6" t="s">
        <v>72</v>
      </c>
      <c r="D48" s="7">
        <v>4004389</v>
      </c>
      <c r="E48" s="208">
        <v>1138047</v>
      </c>
      <c r="F48" s="208">
        <v>1082350</v>
      </c>
      <c r="G48" s="208">
        <v>1006333</v>
      </c>
      <c r="H48" s="208">
        <v>967483</v>
      </c>
      <c r="I48" s="208">
        <v>911637</v>
      </c>
      <c r="J48" s="208">
        <v>871365</v>
      </c>
      <c r="K48" s="208">
        <v>843107</v>
      </c>
      <c r="L48" s="208">
        <v>776258</v>
      </c>
      <c r="M48" s="208">
        <v>746932</v>
      </c>
      <c r="N48" s="208">
        <v>714707</v>
      </c>
      <c r="O48" s="208">
        <v>686547</v>
      </c>
      <c r="P48" s="208">
        <v>668663</v>
      </c>
      <c r="Q48" s="208">
        <v>655340</v>
      </c>
      <c r="R48" s="208">
        <v>632375</v>
      </c>
      <c r="S48" s="208">
        <v>616020</v>
      </c>
      <c r="T48" s="208">
        <v>603054</v>
      </c>
      <c r="U48" s="208">
        <v>590664</v>
      </c>
      <c r="V48" s="208">
        <v>574870</v>
      </c>
      <c r="W48" s="208">
        <v>556263</v>
      </c>
      <c r="X48" s="208">
        <v>539120</v>
      </c>
      <c r="Y48" s="208">
        <v>520539</v>
      </c>
      <c r="Z48" s="208">
        <v>503302</v>
      </c>
      <c r="AA48" s="208">
        <v>480249</v>
      </c>
      <c r="AB48" s="208">
        <v>451349</v>
      </c>
      <c r="AC48" s="208">
        <v>425816</v>
      </c>
      <c r="AD48" s="208">
        <v>393455</v>
      </c>
    </row>
    <row r="49" spans="1:30" x14ac:dyDescent="0.25">
      <c r="A49" s="1" t="s">
        <v>30</v>
      </c>
      <c r="B49" s="6" t="s">
        <v>73</v>
      </c>
      <c r="C49" s="6" t="s">
        <v>73</v>
      </c>
      <c r="D49" s="7">
        <v>4057014</v>
      </c>
      <c r="E49" s="208">
        <v>2368080</v>
      </c>
      <c r="F49" s="208">
        <v>2278325</v>
      </c>
      <c r="G49" s="208">
        <v>2189107</v>
      </c>
      <c r="H49" s="208">
        <v>2100333</v>
      </c>
      <c r="I49" s="208">
        <v>1991269</v>
      </c>
      <c r="J49" s="208">
        <v>1946904</v>
      </c>
      <c r="K49" s="208">
        <v>1846058</v>
      </c>
      <c r="L49" s="208">
        <v>1771511</v>
      </c>
      <c r="M49" s="208">
        <v>1722549</v>
      </c>
      <c r="N49" s="208">
        <v>1680788</v>
      </c>
      <c r="O49" s="208">
        <v>1630157</v>
      </c>
      <c r="P49" s="208">
        <v>1581697</v>
      </c>
      <c r="Q49" s="208">
        <v>1525893</v>
      </c>
      <c r="R49" s="208">
        <v>1468304</v>
      </c>
      <c r="S49" s="208">
        <v>1436544</v>
      </c>
      <c r="T49" s="208">
        <v>1379790</v>
      </c>
      <c r="U49" s="208">
        <v>1307579</v>
      </c>
      <c r="V49" s="208">
        <v>1281724</v>
      </c>
      <c r="W49" s="208">
        <v>1232854</v>
      </c>
      <c r="X49" s="208">
        <v>1229808</v>
      </c>
      <c r="Y49" s="208">
        <v>1194189</v>
      </c>
      <c r="Z49" s="208">
        <v>1146296</v>
      </c>
      <c r="AA49" s="208">
        <v>1080651</v>
      </c>
      <c r="AB49" s="208">
        <v>1040731</v>
      </c>
      <c r="AC49" s="208">
        <v>985177</v>
      </c>
      <c r="AD49" s="208">
        <v>937726</v>
      </c>
    </row>
    <row r="50" spans="1:30" x14ac:dyDescent="0.25">
      <c r="B50" s="6" t="s">
        <v>74</v>
      </c>
      <c r="C50" s="6" t="s">
        <v>74</v>
      </c>
      <c r="D50" s="7">
        <v>4057130</v>
      </c>
      <c r="E50" s="208">
        <v>577515</v>
      </c>
      <c r="F50" s="208">
        <v>560846</v>
      </c>
      <c r="G50" s="208">
        <v>536477</v>
      </c>
      <c r="H50" s="208">
        <v>486023</v>
      </c>
      <c r="I50" s="208">
        <v>460824</v>
      </c>
      <c r="J50" s="208">
        <v>448774</v>
      </c>
      <c r="K50" s="208">
        <v>421449</v>
      </c>
      <c r="L50" s="208">
        <v>394812</v>
      </c>
      <c r="M50" s="208">
        <v>372450</v>
      </c>
      <c r="N50" s="208">
        <v>359629</v>
      </c>
      <c r="O50" s="208">
        <v>355905</v>
      </c>
      <c r="P50" s="208">
        <v>347426</v>
      </c>
      <c r="Q50" s="208">
        <v>343486</v>
      </c>
      <c r="R50" s="208">
        <v>336008</v>
      </c>
      <c r="S50" s="208">
        <v>313689</v>
      </c>
      <c r="T50" s="208">
        <v>302787</v>
      </c>
      <c r="U50" s="208">
        <v>291478</v>
      </c>
      <c r="V50" s="208">
        <v>284812</v>
      </c>
      <c r="W50" s="208">
        <v>279349</v>
      </c>
      <c r="X50" s="208">
        <v>271308</v>
      </c>
      <c r="Y50" s="208">
        <v>265516</v>
      </c>
      <c r="Z50" s="208">
        <v>256150</v>
      </c>
      <c r="AA50" s="208">
        <v>247040</v>
      </c>
      <c r="AB50" s="208">
        <v>237972</v>
      </c>
      <c r="AC50" s="208">
        <v>228075</v>
      </c>
      <c r="AD50" s="208" t="s">
        <v>123</v>
      </c>
    </row>
    <row r="51" spans="1:30" x14ac:dyDescent="0.25">
      <c r="B51" s="6" t="s">
        <v>75</v>
      </c>
      <c r="C51" s="6" t="s">
        <v>75</v>
      </c>
      <c r="D51" s="7">
        <v>4057131</v>
      </c>
      <c r="E51" s="208">
        <v>5556566</v>
      </c>
      <c r="F51" s="208">
        <v>5167315</v>
      </c>
      <c r="G51" s="208">
        <v>4718665</v>
      </c>
      <c r="H51" s="208">
        <v>4371057</v>
      </c>
      <c r="I51" s="208">
        <v>4134797</v>
      </c>
      <c r="J51" s="208">
        <v>3917155</v>
      </c>
      <c r="K51" s="208">
        <v>3687702</v>
      </c>
      <c r="L51" s="208">
        <v>3559561</v>
      </c>
      <c r="M51" s="208">
        <v>3511380</v>
      </c>
      <c r="N51" s="208">
        <v>3413491</v>
      </c>
      <c r="O51" s="208">
        <v>3321232</v>
      </c>
      <c r="P51" s="208">
        <v>3222584</v>
      </c>
      <c r="Q51" s="208">
        <v>3122237</v>
      </c>
      <c r="R51" s="208">
        <v>3014304</v>
      </c>
      <c r="S51" s="208">
        <v>2926410</v>
      </c>
      <c r="T51" s="208">
        <v>2822164</v>
      </c>
      <c r="U51" s="208">
        <v>2651669</v>
      </c>
      <c r="V51" s="208">
        <v>2552582</v>
      </c>
      <c r="W51" s="208">
        <v>2445101</v>
      </c>
      <c r="X51" s="208">
        <v>2355594</v>
      </c>
      <c r="Y51" s="208">
        <v>2256923</v>
      </c>
      <c r="Z51" s="208">
        <v>2178632</v>
      </c>
      <c r="AA51" s="208">
        <v>2104253</v>
      </c>
      <c r="AB51" s="208">
        <v>2041440</v>
      </c>
      <c r="AC51" s="208">
        <v>1971948</v>
      </c>
      <c r="AD51" s="208">
        <v>1899327</v>
      </c>
    </row>
    <row r="52" spans="1:30" x14ac:dyDescent="0.25">
      <c r="B52" s="6" t="s">
        <v>76</v>
      </c>
      <c r="C52" s="6" t="s">
        <v>76</v>
      </c>
      <c r="D52" s="7">
        <v>4012860</v>
      </c>
      <c r="E52" s="208">
        <v>2288079</v>
      </c>
      <c r="F52" s="208">
        <v>2171088</v>
      </c>
      <c r="G52" s="208">
        <v>2038936</v>
      </c>
      <c r="H52" s="208">
        <v>1916919</v>
      </c>
      <c r="I52" s="208">
        <v>1821297</v>
      </c>
      <c r="J52" s="208">
        <v>1703155</v>
      </c>
      <c r="K52" s="208">
        <v>1618467</v>
      </c>
      <c r="L52" s="208">
        <v>1528398</v>
      </c>
      <c r="M52" s="208">
        <v>1464497</v>
      </c>
      <c r="N52" s="208">
        <v>1396279</v>
      </c>
      <c r="O52" s="208">
        <v>1356310</v>
      </c>
      <c r="P52" s="208">
        <v>1221102</v>
      </c>
      <c r="Q52" s="208">
        <v>1192299</v>
      </c>
      <c r="R52" s="208">
        <v>1153626</v>
      </c>
      <c r="S52" s="208">
        <v>1121122</v>
      </c>
      <c r="T52" s="208">
        <v>1079119</v>
      </c>
      <c r="U52" s="208">
        <v>1051384</v>
      </c>
      <c r="V52" s="208">
        <v>1013836</v>
      </c>
      <c r="W52" s="208">
        <v>977287</v>
      </c>
      <c r="X52" s="208">
        <v>950739</v>
      </c>
      <c r="Y52" s="208">
        <v>913099</v>
      </c>
      <c r="Z52" s="208">
        <v>871376</v>
      </c>
      <c r="AA52" s="208">
        <v>844327</v>
      </c>
      <c r="AB52" s="208">
        <v>810472</v>
      </c>
      <c r="AC52" s="208">
        <v>784540</v>
      </c>
      <c r="AD52" s="208">
        <v>746912</v>
      </c>
    </row>
    <row r="53" spans="1:30" x14ac:dyDescent="0.25">
      <c r="B53" s="6" t="s">
        <v>77</v>
      </c>
      <c r="C53" s="6" t="s">
        <v>78</v>
      </c>
      <c r="D53" s="7">
        <v>4061925</v>
      </c>
      <c r="E53" s="208">
        <v>352138</v>
      </c>
      <c r="F53" s="208">
        <v>327525</v>
      </c>
      <c r="G53" s="208">
        <v>310058</v>
      </c>
      <c r="H53" s="208">
        <v>291131</v>
      </c>
      <c r="I53" s="208">
        <v>269375</v>
      </c>
      <c r="J53" s="208">
        <v>250522</v>
      </c>
      <c r="K53" s="208">
        <v>232239</v>
      </c>
      <c r="L53" s="208">
        <v>212664</v>
      </c>
      <c r="M53" s="208">
        <v>201669</v>
      </c>
      <c r="N53" s="208">
        <v>192583</v>
      </c>
      <c r="O53" s="208">
        <v>180060</v>
      </c>
      <c r="P53" s="208">
        <v>170333</v>
      </c>
      <c r="Q53" s="208">
        <v>160826</v>
      </c>
      <c r="R53" s="208">
        <v>157225</v>
      </c>
      <c r="S53" s="208">
        <v>150720</v>
      </c>
      <c r="T53" s="208">
        <v>146316</v>
      </c>
      <c r="U53" s="208">
        <v>138002</v>
      </c>
      <c r="V53" s="208">
        <v>129737</v>
      </c>
      <c r="W53" s="208">
        <v>123251</v>
      </c>
      <c r="X53" s="208">
        <v>118945</v>
      </c>
      <c r="Y53" s="208">
        <v>115310</v>
      </c>
      <c r="Z53" s="208">
        <v>108653</v>
      </c>
      <c r="AA53" s="208">
        <v>103355</v>
      </c>
      <c r="AB53" s="208">
        <v>95728</v>
      </c>
      <c r="AC53" s="208">
        <v>90230</v>
      </c>
      <c r="AD53" s="208">
        <v>84002</v>
      </c>
    </row>
    <row r="54" spans="1:30" x14ac:dyDescent="0.25">
      <c r="B54" s="6" t="s">
        <v>79</v>
      </c>
      <c r="C54" s="6" t="s">
        <v>79</v>
      </c>
      <c r="D54" s="7">
        <v>4057132</v>
      </c>
      <c r="E54" s="208" t="s">
        <v>123</v>
      </c>
      <c r="F54" s="208" t="s">
        <v>123</v>
      </c>
      <c r="G54" s="208" t="s">
        <v>123</v>
      </c>
      <c r="H54" s="208">
        <v>2161775</v>
      </c>
      <c r="I54" s="208">
        <v>2078202</v>
      </c>
      <c r="J54" s="208">
        <v>2003154</v>
      </c>
      <c r="K54" s="208">
        <v>1937177</v>
      </c>
      <c r="L54" s="208">
        <v>1875731</v>
      </c>
      <c r="M54" s="208">
        <v>1820666</v>
      </c>
      <c r="N54" s="208">
        <v>1771064</v>
      </c>
      <c r="O54" s="208">
        <v>1722620</v>
      </c>
      <c r="P54" s="208">
        <v>1684619</v>
      </c>
      <c r="Q54" s="208">
        <v>1632712</v>
      </c>
      <c r="R54" s="208">
        <v>1558717</v>
      </c>
      <c r="S54" s="208">
        <v>1480419</v>
      </c>
      <c r="T54" s="208">
        <v>1399434</v>
      </c>
      <c r="U54" s="208">
        <v>1334548</v>
      </c>
      <c r="V54" s="208" t="s">
        <v>123</v>
      </c>
      <c r="W54" s="208">
        <v>1189492</v>
      </c>
      <c r="X54" s="208">
        <v>1132356</v>
      </c>
      <c r="Y54" s="208">
        <v>1080059</v>
      </c>
      <c r="Z54" s="208">
        <v>1022486</v>
      </c>
      <c r="AA54" s="208">
        <v>964737</v>
      </c>
      <c r="AB54" s="208">
        <v>908282</v>
      </c>
      <c r="AC54" s="208">
        <v>843385</v>
      </c>
      <c r="AD54" s="208">
        <v>781081</v>
      </c>
    </row>
    <row r="55" spans="1:30" x14ac:dyDescent="0.25">
      <c r="A55" s="1" t="s">
        <v>30</v>
      </c>
      <c r="B55" s="6" t="s">
        <v>80</v>
      </c>
      <c r="C55" s="6" t="s">
        <v>80</v>
      </c>
      <c r="D55" s="7">
        <v>4057115</v>
      </c>
      <c r="E55" s="208">
        <v>798096</v>
      </c>
      <c r="F55" s="208">
        <v>718545</v>
      </c>
      <c r="G55" s="208">
        <v>601133</v>
      </c>
      <c r="H55" s="208">
        <v>545117</v>
      </c>
      <c r="I55" s="208">
        <v>496512</v>
      </c>
      <c r="J55" s="208">
        <v>452660</v>
      </c>
      <c r="K55" s="208">
        <v>420550</v>
      </c>
      <c r="L55" s="208">
        <v>428544</v>
      </c>
      <c r="M55" s="208">
        <v>375844</v>
      </c>
      <c r="N55" s="208">
        <v>349276</v>
      </c>
      <c r="O55" s="208">
        <v>331049</v>
      </c>
      <c r="P55" s="208">
        <v>318309</v>
      </c>
      <c r="Q55" s="208">
        <v>300894</v>
      </c>
      <c r="R55" s="208">
        <v>288607</v>
      </c>
      <c r="S55" s="208">
        <v>274617</v>
      </c>
      <c r="T55" s="208">
        <v>262423</v>
      </c>
      <c r="U55" s="208">
        <v>254897</v>
      </c>
      <c r="V55" s="208">
        <v>240919</v>
      </c>
      <c r="W55" s="208">
        <v>229068</v>
      </c>
      <c r="X55" s="208" t="s">
        <v>123</v>
      </c>
      <c r="Y55" s="208">
        <v>209593</v>
      </c>
      <c r="Z55" s="208" t="s">
        <v>123</v>
      </c>
      <c r="AA55" s="208">
        <v>373032</v>
      </c>
      <c r="AB55" s="208">
        <v>356735</v>
      </c>
      <c r="AC55" s="208">
        <v>340194</v>
      </c>
      <c r="AD55" s="208">
        <v>330104</v>
      </c>
    </row>
    <row r="56" spans="1:30" x14ac:dyDescent="0.25">
      <c r="B56" s="6" t="s">
        <v>81</v>
      </c>
      <c r="C56" s="6" t="s">
        <v>81</v>
      </c>
      <c r="D56" s="7">
        <v>4064479</v>
      </c>
      <c r="E56" s="208">
        <v>86509</v>
      </c>
      <c r="F56" s="208">
        <v>83901</v>
      </c>
      <c r="G56" s="208">
        <v>81745</v>
      </c>
      <c r="H56" s="208">
        <v>79539</v>
      </c>
      <c r="I56" s="208">
        <v>77150</v>
      </c>
      <c r="J56" s="208">
        <v>71282</v>
      </c>
      <c r="K56" s="208">
        <v>69284</v>
      </c>
      <c r="L56" s="208">
        <v>67967</v>
      </c>
      <c r="M56" s="208">
        <v>66071</v>
      </c>
      <c r="N56" s="208">
        <v>64382</v>
      </c>
      <c r="O56" s="208">
        <v>62308</v>
      </c>
      <c r="P56" s="208">
        <v>59876</v>
      </c>
      <c r="Q56" s="208">
        <v>58684</v>
      </c>
      <c r="R56" s="208">
        <v>57030</v>
      </c>
      <c r="S56" s="208">
        <v>55648</v>
      </c>
      <c r="T56" s="208">
        <v>53960</v>
      </c>
      <c r="U56" s="208">
        <v>52511</v>
      </c>
      <c r="V56" s="208">
        <v>51063</v>
      </c>
      <c r="W56" s="208">
        <v>49889</v>
      </c>
      <c r="X56" s="208">
        <v>48630</v>
      </c>
      <c r="Y56" s="208">
        <v>47159</v>
      </c>
      <c r="Z56" s="208">
        <v>45708</v>
      </c>
      <c r="AA56" s="208">
        <v>44493</v>
      </c>
      <c r="AB56" s="208">
        <v>43268</v>
      </c>
      <c r="AC56" s="208">
        <v>41607</v>
      </c>
      <c r="AD56" s="208">
        <v>39785</v>
      </c>
    </row>
    <row r="57" spans="1:30" x14ac:dyDescent="0.25">
      <c r="B57" s="6" t="s">
        <v>82</v>
      </c>
      <c r="C57" s="6" t="s">
        <v>82</v>
      </c>
      <c r="D57" s="7">
        <v>4062025</v>
      </c>
      <c r="E57" s="208">
        <v>78256</v>
      </c>
      <c r="F57" s="208">
        <v>69143</v>
      </c>
      <c r="G57" s="208">
        <v>59774</v>
      </c>
      <c r="H57" s="208">
        <v>58072</v>
      </c>
      <c r="I57" s="208">
        <v>55784</v>
      </c>
      <c r="J57" s="208">
        <v>51308</v>
      </c>
      <c r="K57" s="208">
        <v>48941</v>
      </c>
      <c r="L57" s="208">
        <v>43924</v>
      </c>
      <c r="M57" s="208">
        <v>42238</v>
      </c>
      <c r="N57" s="208">
        <v>40707</v>
      </c>
      <c r="O57" s="208">
        <v>39018</v>
      </c>
      <c r="P57" s="208">
        <v>37813</v>
      </c>
      <c r="Q57" s="208">
        <v>36245</v>
      </c>
      <c r="R57" s="208">
        <v>33985</v>
      </c>
      <c r="S57" s="208">
        <v>32108</v>
      </c>
      <c r="T57" s="208">
        <v>30887</v>
      </c>
      <c r="U57" s="208">
        <v>30028</v>
      </c>
      <c r="V57" s="208">
        <v>28312</v>
      </c>
      <c r="W57" s="208">
        <v>27134</v>
      </c>
      <c r="X57" s="208">
        <v>26044</v>
      </c>
      <c r="Y57" s="208">
        <v>24811</v>
      </c>
      <c r="Z57" s="208">
        <v>23892</v>
      </c>
      <c r="AA57" s="208">
        <v>22473</v>
      </c>
      <c r="AB57" s="208">
        <v>20592</v>
      </c>
      <c r="AC57" s="208">
        <v>19608</v>
      </c>
      <c r="AD57" s="208">
        <v>17242</v>
      </c>
    </row>
    <row r="58" spans="1:30" x14ac:dyDescent="0.25">
      <c r="B58" s="6" t="s">
        <v>83</v>
      </c>
      <c r="C58" s="6" t="s">
        <v>83</v>
      </c>
      <c r="D58" s="7">
        <v>4064481</v>
      </c>
      <c r="E58" s="208" t="s">
        <v>123</v>
      </c>
      <c r="F58" s="208" t="s">
        <v>123</v>
      </c>
      <c r="G58" s="208">
        <v>2030612</v>
      </c>
      <c r="H58" s="208">
        <v>1951131</v>
      </c>
      <c r="I58" s="208">
        <v>1861071</v>
      </c>
      <c r="J58" s="208">
        <v>1771168</v>
      </c>
      <c r="K58" s="208">
        <v>1662702</v>
      </c>
      <c r="L58" s="208">
        <v>1567292</v>
      </c>
      <c r="M58" s="208">
        <v>1480511</v>
      </c>
      <c r="N58" s="208">
        <v>1401380</v>
      </c>
      <c r="O58" s="208">
        <v>1332406</v>
      </c>
      <c r="P58" s="208">
        <v>1247104</v>
      </c>
      <c r="Q58" s="208">
        <v>1188515</v>
      </c>
      <c r="R58" s="208">
        <v>1117432</v>
      </c>
      <c r="S58" s="208">
        <v>1051855</v>
      </c>
      <c r="T58" s="208">
        <v>1010012</v>
      </c>
      <c r="U58" s="208">
        <v>960708</v>
      </c>
      <c r="V58" s="208">
        <v>918405</v>
      </c>
      <c r="W58" s="208">
        <v>854002</v>
      </c>
      <c r="X58" s="208">
        <v>832800</v>
      </c>
      <c r="Y58" s="208">
        <v>788371</v>
      </c>
      <c r="Z58" s="208">
        <v>719284</v>
      </c>
      <c r="AA58" s="208">
        <v>706402</v>
      </c>
      <c r="AB58" s="208">
        <v>685080</v>
      </c>
      <c r="AC58" s="208">
        <v>657084</v>
      </c>
      <c r="AD58" s="208" t="s">
        <v>123</v>
      </c>
    </row>
    <row r="59" spans="1:30" x14ac:dyDescent="0.25">
      <c r="A59" s="1" t="s">
        <v>30</v>
      </c>
      <c r="B59" s="6" t="s">
        <v>84</v>
      </c>
      <c r="C59" s="6" t="s">
        <v>84</v>
      </c>
      <c r="D59" s="7">
        <v>4057093</v>
      </c>
      <c r="E59" s="208">
        <v>815531</v>
      </c>
      <c r="F59" s="208">
        <v>777185</v>
      </c>
      <c r="G59" s="208">
        <v>718788</v>
      </c>
      <c r="H59" s="208">
        <v>673496</v>
      </c>
      <c r="I59" s="208">
        <v>628050</v>
      </c>
      <c r="J59" s="208">
        <v>586486</v>
      </c>
      <c r="K59" s="208">
        <v>549379</v>
      </c>
      <c r="L59" s="208">
        <v>525718</v>
      </c>
      <c r="M59" s="208">
        <v>498350</v>
      </c>
      <c r="N59" s="208">
        <v>460606</v>
      </c>
      <c r="O59" s="208">
        <v>433920</v>
      </c>
      <c r="P59" s="208">
        <v>398805</v>
      </c>
      <c r="Q59" s="208">
        <v>378241</v>
      </c>
      <c r="R59" s="208">
        <v>359065</v>
      </c>
      <c r="S59" s="208">
        <v>342381</v>
      </c>
      <c r="T59" s="208">
        <v>324371</v>
      </c>
      <c r="U59" s="208">
        <v>308270</v>
      </c>
      <c r="V59" s="208">
        <v>295865</v>
      </c>
      <c r="W59" s="208">
        <v>280938</v>
      </c>
      <c r="X59" s="208">
        <v>269088</v>
      </c>
      <c r="Y59" s="208">
        <v>257431</v>
      </c>
      <c r="Z59" s="208">
        <v>240705</v>
      </c>
      <c r="AA59" s="208">
        <v>232172</v>
      </c>
      <c r="AB59" s="208">
        <v>218120</v>
      </c>
      <c r="AC59" s="208">
        <v>205676</v>
      </c>
      <c r="AD59" s="208">
        <v>197386</v>
      </c>
    </row>
    <row r="60" spans="1:30" x14ac:dyDescent="0.25">
      <c r="B60" s="6" t="s">
        <v>85</v>
      </c>
      <c r="C60" s="6" t="s">
        <v>85</v>
      </c>
      <c r="D60" s="7">
        <v>4004218</v>
      </c>
      <c r="E60" s="208">
        <v>12938513</v>
      </c>
      <c r="F60" s="208">
        <v>11929220</v>
      </c>
      <c r="G60" s="208">
        <v>11048640</v>
      </c>
      <c r="H60" s="208">
        <v>10153337</v>
      </c>
      <c r="I60" s="208">
        <v>9336286</v>
      </c>
      <c r="J60" s="208">
        <v>8433857</v>
      </c>
      <c r="K60" s="208">
        <v>7789078</v>
      </c>
      <c r="L60" s="208">
        <v>7246771</v>
      </c>
      <c r="M60" s="208">
        <v>6699864</v>
      </c>
      <c r="N60" s="208">
        <v>6282257</v>
      </c>
      <c r="O60" s="208">
        <v>5940938</v>
      </c>
      <c r="P60" s="208">
        <v>5686185</v>
      </c>
      <c r="Q60" s="208">
        <v>5448260</v>
      </c>
      <c r="R60" s="208">
        <v>5217285</v>
      </c>
      <c r="S60" s="208">
        <v>5027707</v>
      </c>
      <c r="T60" s="208">
        <v>4837174</v>
      </c>
      <c r="U60" s="208">
        <v>4634484</v>
      </c>
      <c r="V60" s="208">
        <v>4498999</v>
      </c>
      <c r="W60" s="208">
        <v>4336206</v>
      </c>
      <c r="X60" s="208">
        <v>4169015</v>
      </c>
      <c r="Y60" s="208">
        <v>4023240</v>
      </c>
      <c r="Z60" s="208">
        <v>3888813</v>
      </c>
      <c r="AA60" s="208">
        <v>3749429</v>
      </c>
      <c r="AB60" s="208">
        <v>3774719</v>
      </c>
      <c r="AC60" s="208">
        <v>3555339</v>
      </c>
      <c r="AD60" s="208">
        <v>3378754</v>
      </c>
    </row>
    <row r="61" spans="1:30" x14ac:dyDescent="0.25">
      <c r="A61" s="1" t="s">
        <v>30</v>
      </c>
      <c r="B61" s="6" t="s">
        <v>86</v>
      </c>
      <c r="C61" s="6" t="s">
        <v>87</v>
      </c>
      <c r="D61" s="7">
        <v>4062222</v>
      </c>
      <c r="E61" s="208">
        <v>2964752</v>
      </c>
      <c r="F61" s="208">
        <v>2773265</v>
      </c>
      <c r="G61" s="208">
        <v>2570632</v>
      </c>
      <c r="H61" s="208">
        <v>2399002</v>
      </c>
      <c r="I61" s="208">
        <v>2251658</v>
      </c>
      <c r="J61" s="208">
        <v>2123550</v>
      </c>
      <c r="K61" s="208">
        <v>1994939</v>
      </c>
      <c r="L61" s="208">
        <v>1858572</v>
      </c>
      <c r="M61" s="208">
        <v>1787095</v>
      </c>
      <c r="N61" s="208">
        <v>1719386</v>
      </c>
      <c r="O61" s="208">
        <v>1661672</v>
      </c>
      <c r="P61" s="208">
        <v>1611139</v>
      </c>
      <c r="Q61" s="208">
        <v>1565183</v>
      </c>
      <c r="R61" s="208">
        <v>1518452</v>
      </c>
      <c r="S61" s="208">
        <v>1474549</v>
      </c>
      <c r="T61" s="208">
        <v>1422043</v>
      </c>
      <c r="U61" s="208">
        <v>1376953</v>
      </c>
      <c r="V61" s="208">
        <v>1323620</v>
      </c>
      <c r="W61" s="208">
        <v>1265834</v>
      </c>
      <c r="X61" s="208">
        <v>1229421</v>
      </c>
      <c r="Y61" s="208" t="s">
        <v>123</v>
      </c>
      <c r="Z61" s="208">
        <v>846148</v>
      </c>
      <c r="AA61" s="208">
        <v>842435</v>
      </c>
      <c r="AB61" s="208">
        <v>842293</v>
      </c>
      <c r="AC61" s="208">
        <v>840074</v>
      </c>
      <c r="AD61" s="208">
        <v>828298</v>
      </c>
    </row>
    <row r="62" spans="1:30" x14ac:dyDescent="0.25">
      <c r="B62" s="6" t="s">
        <v>88</v>
      </c>
      <c r="C62" s="6" t="s">
        <v>89</v>
      </c>
      <c r="D62" s="7">
        <v>4057135</v>
      </c>
      <c r="E62" s="208">
        <v>4889714</v>
      </c>
      <c r="F62" s="208">
        <v>4403106</v>
      </c>
      <c r="G62" s="208">
        <v>4021752</v>
      </c>
      <c r="H62" s="208">
        <v>3826155</v>
      </c>
      <c r="I62" s="208">
        <v>3508438</v>
      </c>
      <c r="J62" s="208">
        <v>3325097</v>
      </c>
      <c r="K62" s="208">
        <v>3054042</v>
      </c>
      <c r="L62" s="208">
        <v>2829609</v>
      </c>
      <c r="M62" s="208">
        <v>2555557</v>
      </c>
      <c r="N62" s="208">
        <v>2365701</v>
      </c>
      <c r="O62" s="208">
        <v>2197878</v>
      </c>
      <c r="P62" s="208">
        <v>2036231</v>
      </c>
      <c r="Q62" s="208">
        <v>1995335</v>
      </c>
      <c r="R62" s="208">
        <v>1891171</v>
      </c>
      <c r="S62" s="208">
        <v>1756857</v>
      </c>
      <c r="T62" s="208">
        <v>1677354</v>
      </c>
      <c r="U62" s="208">
        <v>1633603</v>
      </c>
      <c r="V62" s="208">
        <v>1597448</v>
      </c>
      <c r="W62" s="208">
        <v>1575897</v>
      </c>
      <c r="X62" s="208">
        <v>1539749</v>
      </c>
      <c r="Y62" s="208">
        <v>1481850</v>
      </c>
      <c r="Z62" s="208">
        <v>1436973</v>
      </c>
      <c r="AA62" s="208">
        <v>1399780</v>
      </c>
      <c r="AB62" s="208">
        <v>1370131</v>
      </c>
      <c r="AC62" s="208">
        <v>1330735</v>
      </c>
      <c r="AD62" s="208">
        <v>1292140</v>
      </c>
    </row>
    <row r="63" spans="1:30" x14ac:dyDescent="0.25">
      <c r="B63" s="6" t="s">
        <v>90</v>
      </c>
      <c r="C63" s="6" t="s">
        <v>90</v>
      </c>
      <c r="D63" s="7">
        <v>4063341</v>
      </c>
      <c r="E63" s="208">
        <v>2056024</v>
      </c>
      <c r="F63" s="208">
        <v>1847779</v>
      </c>
      <c r="G63" s="208">
        <v>1677614</v>
      </c>
      <c r="H63" s="208">
        <v>1534151</v>
      </c>
      <c r="I63" s="208">
        <v>1429078</v>
      </c>
      <c r="J63" s="208">
        <v>1326146</v>
      </c>
      <c r="K63" s="208">
        <v>1238426</v>
      </c>
      <c r="L63" s="208">
        <v>1175198</v>
      </c>
      <c r="M63" s="208">
        <v>1100724</v>
      </c>
      <c r="N63" s="208">
        <v>1035565</v>
      </c>
      <c r="O63" s="208">
        <v>983845</v>
      </c>
      <c r="P63" s="208">
        <v>955763</v>
      </c>
      <c r="Q63" s="208">
        <v>899768</v>
      </c>
      <c r="R63" s="208">
        <v>808651</v>
      </c>
      <c r="S63" s="208">
        <v>781064</v>
      </c>
      <c r="T63" s="208">
        <v>734677</v>
      </c>
      <c r="U63" s="208">
        <v>710113</v>
      </c>
      <c r="V63" s="208">
        <v>679673</v>
      </c>
      <c r="W63" s="208">
        <v>564642</v>
      </c>
      <c r="X63" s="208">
        <v>571023</v>
      </c>
      <c r="Y63" s="208">
        <v>554666</v>
      </c>
      <c r="Z63" s="208">
        <v>522830</v>
      </c>
      <c r="AA63" s="208">
        <v>455488</v>
      </c>
      <c r="AB63" s="208">
        <v>416392</v>
      </c>
      <c r="AC63" s="208">
        <v>360116</v>
      </c>
      <c r="AD63" s="208">
        <v>342460</v>
      </c>
    </row>
    <row r="64" spans="1:30" x14ac:dyDescent="0.25">
      <c r="A64" s="1" t="s">
        <v>30</v>
      </c>
      <c r="B64" s="6" t="s">
        <v>91</v>
      </c>
      <c r="C64" s="6" t="s">
        <v>91</v>
      </c>
      <c r="D64" s="7">
        <v>4083575</v>
      </c>
      <c r="E64" s="208">
        <v>1767109</v>
      </c>
      <c r="F64" s="208">
        <v>1637659</v>
      </c>
      <c r="G64" s="208">
        <v>1568836</v>
      </c>
      <c r="H64" s="208">
        <v>1480738</v>
      </c>
      <c r="I64" s="208">
        <v>1429087</v>
      </c>
      <c r="J64" s="208">
        <v>1373971</v>
      </c>
      <c r="K64" s="208">
        <v>1346998</v>
      </c>
      <c r="L64" s="208">
        <v>1305573</v>
      </c>
      <c r="M64" s="208">
        <v>1286725</v>
      </c>
      <c r="N64" s="208">
        <v>1262824</v>
      </c>
      <c r="O64" s="208">
        <v>1239387</v>
      </c>
      <c r="P64" s="208">
        <v>1213739</v>
      </c>
      <c r="Q64" s="208">
        <v>1178668</v>
      </c>
      <c r="R64" s="208">
        <v>1144099</v>
      </c>
      <c r="S64" s="208">
        <v>1108029</v>
      </c>
      <c r="T64" s="208">
        <v>1075190</v>
      </c>
      <c r="U64" s="208">
        <v>1043737</v>
      </c>
      <c r="V64" s="208">
        <v>1015759</v>
      </c>
      <c r="W64" s="208">
        <v>986854</v>
      </c>
      <c r="X64" s="208">
        <v>914532</v>
      </c>
      <c r="Y64" s="208" t="s">
        <v>123</v>
      </c>
      <c r="Z64" s="208" t="s">
        <v>123</v>
      </c>
      <c r="AA64" s="208" t="s">
        <v>123</v>
      </c>
      <c r="AB64" s="208" t="s">
        <v>123</v>
      </c>
      <c r="AC64" s="208" t="s">
        <v>123</v>
      </c>
      <c r="AD64" s="208" t="s">
        <v>123</v>
      </c>
    </row>
    <row r="65" spans="1:30" x14ac:dyDescent="0.25">
      <c r="B65" s="6" t="s">
        <v>92</v>
      </c>
      <c r="C65" s="6" t="s">
        <v>92</v>
      </c>
      <c r="D65" s="7">
        <v>4062303</v>
      </c>
      <c r="E65" s="208">
        <v>3057</v>
      </c>
      <c r="F65" s="208">
        <v>2973</v>
      </c>
      <c r="G65" s="208">
        <v>2651</v>
      </c>
      <c r="H65" s="208">
        <v>2537</v>
      </c>
      <c r="I65" s="208" t="s">
        <v>123</v>
      </c>
      <c r="J65" s="208">
        <v>2893</v>
      </c>
      <c r="K65" s="208">
        <v>2764</v>
      </c>
      <c r="L65" s="208">
        <v>2690</v>
      </c>
      <c r="M65" s="208">
        <v>2568</v>
      </c>
      <c r="N65" s="208">
        <v>2077</v>
      </c>
      <c r="O65" s="208">
        <v>2042</v>
      </c>
      <c r="P65" s="208">
        <v>1922</v>
      </c>
      <c r="Q65" s="208">
        <v>1853</v>
      </c>
      <c r="R65" s="208">
        <v>1690</v>
      </c>
      <c r="S65" s="208">
        <v>1557</v>
      </c>
      <c r="T65" s="208">
        <v>1494</v>
      </c>
      <c r="U65" s="208">
        <v>1162</v>
      </c>
      <c r="V65" s="208">
        <v>1101</v>
      </c>
      <c r="W65" s="208">
        <v>1083</v>
      </c>
      <c r="X65" s="208">
        <v>1001</v>
      </c>
      <c r="Y65" s="208">
        <v>902</v>
      </c>
      <c r="Z65" s="208" t="s">
        <v>123</v>
      </c>
      <c r="AA65" s="208" t="s">
        <v>123</v>
      </c>
      <c r="AB65" s="208" t="s">
        <v>123</v>
      </c>
      <c r="AC65" s="208" t="s">
        <v>123</v>
      </c>
      <c r="AD65" s="208" t="s">
        <v>123</v>
      </c>
    </row>
    <row r="66" spans="1:30" x14ac:dyDescent="0.25">
      <c r="B66" s="6" t="s">
        <v>93</v>
      </c>
      <c r="C66" s="6" t="s">
        <v>93</v>
      </c>
      <c r="D66" s="7">
        <v>4083581</v>
      </c>
      <c r="E66" s="208">
        <v>8459</v>
      </c>
      <c r="F66" s="208">
        <v>8161</v>
      </c>
      <c r="G66" s="208">
        <v>7922</v>
      </c>
      <c r="H66" s="208">
        <v>7630</v>
      </c>
      <c r="I66" s="208">
        <v>6890</v>
      </c>
      <c r="J66" s="208">
        <v>6421</v>
      </c>
      <c r="K66" s="208">
        <v>5849</v>
      </c>
      <c r="L66" s="208">
        <v>5874</v>
      </c>
      <c r="M66" s="208">
        <v>5528</v>
      </c>
      <c r="N66" s="208">
        <v>5523</v>
      </c>
      <c r="O66" s="208">
        <v>5516</v>
      </c>
      <c r="P66" s="208">
        <v>5516</v>
      </c>
      <c r="Q66" s="208">
        <v>5505</v>
      </c>
      <c r="R66" s="208">
        <v>5498</v>
      </c>
      <c r="S66" s="208">
        <v>5378</v>
      </c>
      <c r="T66" s="208">
        <v>5329</v>
      </c>
      <c r="U66" s="208">
        <v>5014</v>
      </c>
      <c r="V66" s="208">
        <v>4662</v>
      </c>
      <c r="W66" s="208" t="s">
        <v>123</v>
      </c>
      <c r="X66" s="208">
        <v>4306</v>
      </c>
      <c r="Y66" s="208">
        <v>3880</v>
      </c>
      <c r="Z66" s="208" t="s">
        <v>123</v>
      </c>
      <c r="AA66" s="208" t="s">
        <v>123</v>
      </c>
      <c r="AB66" s="208" t="s">
        <v>123</v>
      </c>
      <c r="AC66" s="208" t="s">
        <v>123</v>
      </c>
      <c r="AD66" s="208" t="s">
        <v>123</v>
      </c>
    </row>
    <row r="67" spans="1:30" x14ac:dyDescent="0.25">
      <c r="B67" s="6" t="s">
        <v>94</v>
      </c>
      <c r="C67" s="6" t="s">
        <v>94</v>
      </c>
      <c r="D67" s="7">
        <v>4057139</v>
      </c>
      <c r="E67" s="208">
        <v>1889107</v>
      </c>
      <c r="F67" s="208">
        <v>1777809</v>
      </c>
      <c r="G67" s="208">
        <v>1587906</v>
      </c>
      <c r="H67" s="208">
        <v>1518938</v>
      </c>
      <c r="I67" s="208">
        <v>1453906</v>
      </c>
      <c r="J67" s="208">
        <v>1360142</v>
      </c>
      <c r="K67" s="208">
        <v>1287258</v>
      </c>
      <c r="L67" s="208">
        <v>1197804</v>
      </c>
      <c r="M67" s="208">
        <v>1156607</v>
      </c>
      <c r="N67" s="208">
        <v>1114563</v>
      </c>
      <c r="O67" s="208">
        <v>1077792</v>
      </c>
      <c r="P67" s="208">
        <v>1046466</v>
      </c>
      <c r="Q67" s="208">
        <v>1020965</v>
      </c>
      <c r="R67" s="208">
        <v>931158</v>
      </c>
      <c r="S67" s="208">
        <v>862739</v>
      </c>
      <c r="T67" s="208">
        <v>792180</v>
      </c>
      <c r="U67" s="208">
        <v>743735</v>
      </c>
      <c r="V67" s="208">
        <v>706523</v>
      </c>
      <c r="W67" s="208">
        <v>670672</v>
      </c>
      <c r="X67" s="208">
        <v>634589</v>
      </c>
      <c r="Y67" s="208">
        <v>582470</v>
      </c>
      <c r="Z67" s="208">
        <v>564485</v>
      </c>
      <c r="AA67" s="208">
        <v>542232</v>
      </c>
      <c r="AB67" s="208">
        <v>504893</v>
      </c>
      <c r="AC67" s="208">
        <v>461312</v>
      </c>
      <c r="AD67" s="208">
        <v>418972</v>
      </c>
    </row>
    <row r="68" spans="1:30" x14ac:dyDescent="0.25">
      <c r="A68" s="1" t="s">
        <v>30</v>
      </c>
      <c r="B68" s="6" t="s">
        <v>95</v>
      </c>
      <c r="C68" s="6" t="s">
        <v>95</v>
      </c>
      <c r="D68" s="7">
        <v>4057095</v>
      </c>
      <c r="E68" s="208" t="s">
        <v>123</v>
      </c>
      <c r="F68" s="208">
        <v>8347906</v>
      </c>
      <c r="G68" s="208">
        <v>7774068</v>
      </c>
      <c r="H68" s="208">
        <v>7043908</v>
      </c>
      <c r="I68" s="208">
        <v>6380422</v>
      </c>
      <c r="J68" s="208">
        <v>5878921</v>
      </c>
      <c r="K68" s="208">
        <v>5488872</v>
      </c>
      <c r="L68" s="208">
        <v>5237998</v>
      </c>
      <c r="M68" s="208">
        <v>5069193</v>
      </c>
      <c r="N68" s="208">
        <v>4857813</v>
      </c>
      <c r="O68" s="208">
        <v>4684259</v>
      </c>
      <c r="P68" s="208">
        <v>4425778</v>
      </c>
      <c r="Q68" s="208">
        <v>4227913</v>
      </c>
      <c r="R68" s="208">
        <v>4033186</v>
      </c>
      <c r="S68" s="208">
        <v>3871857</v>
      </c>
      <c r="T68" s="208">
        <v>3687486</v>
      </c>
      <c r="U68" s="208">
        <v>3444129</v>
      </c>
      <c r="V68" s="208">
        <v>3290070</v>
      </c>
      <c r="W68" s="208">
        <v>3139678</v>
      </c>
      <c r="X68" s="208">
        <v>2992210</v>
      </c>
      <c r="Y68" s="208">
        <v>2860145</v>
      </c>
      <c r="Z68" s="208">
        <v>2731577</v>
      </c>
      <c r="AA68" s="208">
        <v>2607571</v>
      </c>
      <c r="AB68" s="208">
        <v>2472362</v>
      </c>
      <c r="AC68" s="208">
        <v>2357584</v>
      </c>
      <c r="AD68" s="208">
        <v>2250694</v>
      </c>
    </row>
    <row r="69" spans="1:30" x14ac:dyDescent="0.25">
      <c r="B69" s="6" t="s">
        <v>96</v>
      </c>
      <c r="C69" s="6" t="s">
        <v>96</v>
      </c>
      <c r="D69" s="7">
        <v>4062485</v>
      </c>
      <c r="E69" s="208">
        <v>4343497</v>
      </c>
      <c r="F69" s="208">
        <v>4093494</v>
      </c>
      <c r="G69" s="208">
        <v>3850309</v>
      </c>
      <c r="H69" s="208">
        <v>3620622</v>
      </c>
      <c r="I69" s="208">
        <v>3417350</v>
      </c>
      <c r="J69" s="208">
        <v>3233768</v>
      </c>
      <c r="K69" s="208">
        <v>3105837</v>
      </c>
      <c r="L69" s="208">
        <v>2958072</v>
      </c>
      <c r="M69" s="208">
        <v>2828799</v>
      </c>
      <c r="N69" s="208">
        <v>2691047</v>
      </c>
      <c r="O69" s="208">
        <v>2585583</v>
      </c>
      <c r="P69" s="208">
        <v>2483982</v>
      </c>
      <c r="Q69" s="208">
        <v>2321448</v>
      </c>
      <c r="R69" s="208">
        <v>2165598</v>
      </c>
      <c r="S69" s="208">
        <v>1994973</v>
      </c>
      <c r="T69" s="208">
        <v>1708693</v>
      </c>
      <c r="U69" s="208">
        <v>1597767</v>
      </c>
      <c r="V69" s="208">
        <v>1499359</v>
      </c>
      <c r="W69" s="208">
        <v>1417297</v>
      </c>
      <c r="X69" s="208">
        <v>1322933</v>
      </c>
      <c r="Y69" s="208">
        <v>1213627</v>
      </c>
      <c r="Z69" s="208">
        <v>1132712</v>
      </c>
      <c r="AA69" s="208">
        <v>1041832</v>
      </c>
      <c r="AB69" s="208">
        <v>975787</v>
      </c>
      <c r="AC69" s="208">
        <v>953920</v>
      </c>
      <c r="AD69" s="208">
        <v>907148</v>
      </c>
    </row>
    <row r="70" spans="1:30" x14ac:dyDescent="0.25">
      <c r="B70" s="6" t="s">
        <v>97</v>
      </c>
      <c r="C70" s="6" t="s">
        <v>97</v>
      </c>
      <c r="D70" s="7">
        <v>4057140</v>
      </c>
      <c r="E70" s="208">
        <v>2908845</v>
      </c>
      <c r="F70" s="208">
        <v>2806682</v>
      </c>
      <c r="G70" s="208">
        <v>2733447</v>
      </c>
      <c r="H70" s="208">
        <v>2604002</v>
      </c>
      <c r="I70" s="208">
        <v>2456089</v>
      </c>
      <c r="J70" s="208">
        <v>2196798</v>
      </c>
      <c r="K70" s="208">
        <v>2003921</v>
      </c>
      <c r="L70" s="208">
        <v>1861499</v>
      </c>
      <c r="M70" s="208">
        <v>1690524</v>
      </c>
      <c r="N70" s="208">
        <v>1583103</v>
      </c>
      <c r="O70" s="208">
        <v>1490113</v>
      </c>
      <c r="P70" s="208">
        <v>1414078</v>
      </c>
      <c r="Q70" s="208">
        <v>1362904</v>
      </c>
      <c r="R70" s="208">
        <v>1293798</v>
      </c>
      <c r="S70" s="208">
        <v>1174110</v>
      </c>
      <c r="T70" s="208">
        <v>1104430</v>
      </c>
      <c r="U70" s="208">
        <v>1047365</v>
      </c>
      <c r="V70" s="208">
        <v>990984</v>
      </c>
      <c r="W70" s="208">
        <v>941645</v>
      </c>
      <c r="X70" s="208">
        <v>875415</v>
      </c>
      <c r="Y70" s="208">
        <v>818802</v>
      </c>
      <c r="Z70" s="208">
        <v>725874</v>
      </c>
      <c r="AA70" s="208">
        <v>685710</v>
      </c>
      <c r="AB70" s="208">
        <v>641225</v>
      </c>
      <c r="AC70" s="208">
        <v>608571</v>
      </c>
      <c r="AD70" s="208">
        <v>587128</v>
      </c>
    </row>
    <row r="71" spans="1:30" x14ac:dyDescent="0.25">
      <c r="A71" s="1" t="s">
        <v>30</v>
      </c>
      <c r="B71" s="6" t="s">
        <v>98</v>
      </c>
      <c r="C71" s="6" t="s">
        <v>99</v>
      </c>
      <c r="D71" s="7">
        <v>4057096</v>
      </c>
      <c r="E71" s="208">
        <v>1026610</v>
      </c>
      <c r="F71" s="208">
        <v>985645</v>
      </c>
      <c r="G71" s="208">
        <v>903804</v>
      </c>
      <c r="H71" s="208">
        <v>867459</v>
      </c>
      <c r="I71" s="208">
        <v>786839</v>
      </c>
      <c r="J71" s="208">
        <v>754937</v>
      </c>
      <c r="K71" s="208">
        <v>735851</v>
      </c>
      <c r="L71" s="208">
        <v>710934</v>
      </c>
      <c r="M71" s="208">
        <v>686555</v>
      </c>
      <c r="N71" s="208">
        <v>655293</v>
      </c>
      <c r="O71" s="208">
        <v>633956</v>
      </c>
      <c r="P71" s="208">
        <v>616088</v>
      </c>
      <c r="Q71" s="208">
        <v>609603</v>
      </c>
      <c r="R71" s="208">
        <v>595544</v>
      </c>
      <c r="S71" s="208">
        <v>581522</v>
      </c>
      <c r="T71" s="208">
        <v>569794</v>
      </c>
      <c r="U71" s="208">
        <v>554658</v>
      </c>
      <c r="V71" s="208" t="s">
        <v>123</v>
      </c>
      <c r="W71" s="208" t="s">
        <v>123</v>
      </c>
      <c r="X71" s="208">
        <v>492522</v>
      </c>
      <c r="Y71" s="208">
        <v>467095</v>
      </c>
      <c r="Z71" s="208">
        <v>449857</v>
      </c>
      <c r="AA71" s="208">
        <v>431742</v>
      </c>
      <c r="AB71" s="208">
        <v>413656</v>
      </c>
      <c r="AC71" s="208">
        <v>387953</v>
      </c>
      <c r="AD71" s="208">
        <v>379072</v>
      </c>
    </row>
    <row r="72" spans="1:30" x14ac:dyDescent="0.25">
      <c r="B72" s="6" t="s">
        <v>100</v>
      </c>
      <c r="C72" s="6" t="s">
        <v>100</v>
      </c>
      <c r="D72" s="7">
        <v>4057097</v>
      </c>
      <c r="E72" s="208" t="s">
        <v>123</v>
      </c>
      <c r="F72" s="208" t="s">
        <v>123</v>
      </c>
      <c r="G72" s="208">
        <v>1958242</v>
      </c>
      <c r="H72" s="208">
        <v>1778411</v>
      </c>
      <c r="I72" s="208">
        <v>1499320</v>
      </c>
      <c r="J72" s="208">
        <v>1290088</v>
      </c>
      <c r="K72" s="208">
        <v>1213416</v>
      </c>
      <c r="L72" s="208">
        <v>1149498</v>
      </c>
      <c r="M72" s="208">
        <v>1134424</v>
      </c>
      <c r="N72" s="208">
        <v>1094767</v>
      </c>
      <c r="O72" s="208">
        <v>1032669</v>
      </c>
      <c r="P72" s="208">
        <v>959332</v>
      </c>
      <c r="Q72" s="208">
        <v>914742</v>
      </c>
      <c r="R72" s="208">
        <v>912779</v>
      </c>
      <c r="S72" s="208">
        <v>887841</v>
      </c>
      <c r="T72" s="208">
        <v>858955</v>
      </c>
      <c r="U72" s="208">
        <v>811133</v>
      </c>
      <c r="V72" s="208">
        <v>790548</v>
      </c>
      <c r="W72" s="208">
        <v>765448</v>
      </c>
      <c r="X72" s="208">
        <v>743077</v>
      </c>
      <c r="Y72" s="208">
        <v>721708</v>
      </c>
      <c r="Z72" s="208">
        <v>701559</v>
      </c>
      <c r="AA72" s="208">
        <v>677487</v>
      </c>
      <c r="AB72" s="208">
        <v>658272</v>
      </c>
      <c r="AC72" s="208">
        <v>637799</v>
      </c>
      <c r="AD72" s="208">
        <v>615992</v>
      </c>
    </row>
    <row r="73" spans="1:30" x14ac:dyDescent="0.25">
      <c r="B73" s="6" t="s">
        <v>101</v>
      </c>
      <c r="C73" s="6" t="s">
        <v>101</v>
      </c>
      <c r="D73" s="7">
        <v>4057098</v>
      </c>
      <c r="E73" s="208" t="s">
        <v>123</v>
      </c>
      <c r="F73" s="208">
        <v>415279</v>
      </c>
      <c r="G73" s="208">
        <v>401224</v>
      </c>
      <c r="H73" s="208">
        <v>388465</v>
      </c>
      <c r="I73" s="208">
        <v>379565</v>
      </c>
      <c r="J73" s="208">
        <v>372290</v>
      </c>
      <c r="K73" s="208">
        <v>363640</v>
      </c>
      <c r="L73" s="208">
        <v>354520</v>
      </c>
      <c r="M73" s="208">
        <v>339118</v>
      </c>
      <c r="N73" s="208">
        <v>311686</v>
      </c>
      <c r="O73" s="208">
        <v>302961</v>
      </c>
      <c r="P73" s="208">
        <v>294485</v>
      </c>
      <c r="Q73" s="208">
        <v>276798</v>
      </c>
      <c r="R73" s="208">
        <v>264965</v>
      </c>
      <c r="S73" s="208">
        <v>250773</v>
      </c>
      <c r="T73" s="208">
        <v>238917</v>
      </c>
      <c r="U73" s="208">
        <v>226084</v>
      </c>
      <c r="V73" s="208">
        <v>216182</v>
      </c>
      <c r="W73" s="208">
        <v>200120</v>
      </c>
      <c r="X73" s="208" t="s">
        <v>123</v>
      </c>
      <c r="Y73" s="208">
        <v>171885</v>
      </c>
      <c r="Z73" s="208">
        <v>158932</v>
      </c>
      <c r="AA73" s="208">
        <v>151639</v>
      </c>
      <c r="AB73" s="208">
        <v>143552</v>
      </c>
      <c r="AC73" s="208">
        <v>131740</v>
      </c>
      <c r="AD73" s="208">
        <v>122591</v>
      </c>
    </row>
    <row r="74" spans="1:30" x14ac:dyDescent="0.25">
      <c r="A74" s="1" t="s">
        <v>30</v>
      </c>
      <c r="B74" s="6" t="s">
        <v>102</v>
      </c>
      <c r="C74" s="6" t="s">
        <v>102</v>
      </c>
      <c r="D74" s="7">
        <v>4063023</v>
      </c>
      <c r="E74" s="208" t="s">
        <v>123</v>
      </c>
      <c r="F74" s="208">
        <v>2441342</v>
      </c>
      <c r="G74" s="208">
        <v>2213398</v>
      </c>
      <c r="H74" s="208">
        <v>2044991</v>
      </c>
      <c r="I74" s="208">
        <v>1872273</v>
      </c>
      <c r="J74" s="208">
        <v>1701682</v>
      </c>
      <c r="K74" s="208">
        <v>1547214</v>
      </c>
      <c r="L74" s="208">
        <v>1417938</v>
      </c>
      <c r="M74" s="208">
        <v>1299853</v>
      </c>
      <c r="N74" s="208">
        <v>1172547</v>
      </c>
      <c r="O74" s="208">
        <v>1084990</v>
      </c>
      <c r="P74" s="208">
        <v>1021233</v>
      </c>
      <c r="Q74" s="208">
        <v>959837</v>
      </c>
      <c r="R74" s="208">
        <v>919236</v>
      </c>
      <c r="S74" s="208">
        <v>878157</v>
      </c>
      <c r="T74" s="208">
        <v>831847</v>
      </c>
      <c r="U74" s="208">
        <v>781800</v>
      </c>
      <c r="V74" s="208">
        <v>736073</v>
      </c>
      <c r="W74" s="208">
        <v>696912</v>
      </c>
      <c r="X74" s="208">
        <v>658503</v>
      </c>
      <c r="Y74" s="208">
        <v>622702</v>
      </c>
      <c r="Z74" s="208">
        <v>584272</v>
      </c>
      <c r="AA74" s="208">
        <v>549557</v>
      </c>
      <c r="AB74" s="208">
        <v>513535</v>
      </c>
      <c r="AC74" s="208">
        <v>477968</v>
      </c>
      <c r="AD74" s="208">
        <v>445304</v>
      </c>
    </row>
    <row r="75" spans="1:30" x14ac:dyDescent="0.25">
      <c r="B75" s="6" t="s">
        <v>103</v>
      </c>
      <c r="C75" s="6" t="s">
        <v>103</v>
      </c>
      <c r="D75" s="7">
        <v>4057146</v>
      </c>
      <c r="E75" s="208" t="s">
        <v>123</v>
      </c>
      <c r="F75" s="208">
        <v>11397559</v>
      </c>
      <c r="G75" s="208">
        <v>10767621</v>
      </c>
      <c r="H75" s="208">
        <v>10180779</v>
      </c>
      <c r="I75" s="208">
        <v>9452970</v>
      </c>
      <c r="J75" s="208">
        <v>8744904</v>
      </c>
      <c r="K75" s="208">
        <v>8054732</v>
      </c>
      <c r="L75" s="208">
        <v>7548301</v>
      </c>
      <c r="M75" s="208">
        <v>7248972</v>
      </c>
      <c r="N75" s="208">
        <v>6931522</v>
      </c>
      <c r="O75" s="208">
        <v>6473956</v>
      </c>
      <c r="P75" s="208">
        <v>6249766</v>
      </c>
      <c r="Q75" s="208">
        <v>6023217</v>
      </c>
      <c r="R75" s="208">
        <v>5820039</v>
      </c>
      <c r="S75" s="208">
        <v>5589938</v>
      </c>
      <c r="T75" s="208">
        <v>5319299</v>
      </c>
      <c r="U75" s="208">
        <v>5043640</v>
      </c>
      <c r="V75" s="208">
        <v>4839568</v>
      </c>
      <c r="W75" s="208">
        <v>4654819</v>
      </c>
      <c r="X75" s="208">
        <v>4505409</v>
      </c>
      <c r="Y75" s="208">
        <v>4387857</v>
      </c>
      <c r="Z75" s="208">
        <v>4285877</v>
      </c>
      <c r="AA75" s="208">
        <v>4200349</v>
      </c>
      <c r="AB75" s="208">
        <v>4129947</v>
      </c>
      <c r="AC75" s="208">
        <v>4059064</v>
      </c>
      <c r="AD75" s="208" t="s">
        <v>123</v>
      </c>
    </row>
    <row r="76" spans="1:30" x14ac:dyDescent="0.25">
      <c r="A76" s="1" t="s">
        <v>30</v>
      </c>
      <c r="B76" s="6" t="s">
        <v>104</v>
      </c>
      <c r="C76" s="6" t="s">
        <v>105</v>
      </c>
      <c r="D76" s="7">
        <v>4063060</v>
      </c>
      <c r="E76" s="208">
        <v>1014627</v>
      </c>
      <c r="F76" s="208">
        <v>960763</v>
      </c>
      <c r="G76" s="208">
        <v>901383</v>
      </c>
      <c r="H76" s="208">
        <v>851965</v>
      </c>
      <c r="I76" s="208">
        <v>816418</v>
      </c>
      <c r="J76" s="208">
        <v>753459</v>
      </c>
      <c r="K76" s="208">
        <v>698750</v>
      </c>
      <c r="L76" s="208">
        <v>651616</v>
      </c>
      <c r="M76" s="208">
        <v>633105</v>
      </c>
      <c r="N76" s="208">
        <v>599382</v>
      </c>
      <c r="O76" s="208">
        <v>580989</v>
      </c>
      <c r="P76" s="208">
        <v>566309</v>
      </c>
      <c r="Q76" s="208">
        <v>550034</v>
      </c>
      <c r="R76" s="208">
        <v>537067</v>
      </c>
      <c r="S76" s="208">
        <v>519714</v>
      </c>
      <c r="T76" s="208">
        <v>500465</v>
      </c>
      <c r="U76" s="208">
        <v>474888</v>
      </c>
      <c r="V76" s="208">
        <v>459576</v>
      </c>
      <c r="W76" s="208">
        <v>440903</v>
      </c>
      <c r="X76" s="208">
        <v>422761</v>
      </c>
      <c r="Y76" s="208">
        <v>400459</v>
      </c>
      <c r="Z76" s="208" t="s">
        <v>123</v>
      </c>
      <c r="AA76" s="208">
        <v>369400</v>
      </c>
      <c r="AB76" s="208">
        <v>358337</v>
      </c>
      <c r="AC76" s="208">
        <v>336966</v>
      </c>
      <c r="AD76" s="208">
        <v>317989</v>
      </c>
    </row>
    <row r="77" spans="1:30" x14ac:dyDescent="0.25">
      <c r="B77" s="6" t="s">
        <v>106</v>
      </c>
      <c r="C77" s="6" t="s">
        <v>106</v>
      </c>
      <c r="D77" s="7">
        <v>4057100</v>
      </c>
      <c r="E77" s="208">
        <v>399534</v>
      </c>
      <c r="F77" s="208">
        <v>363820</v>
      </c>
      <c r="G77" s="208">
        <v>335724</v>
      </c>
      <c r="H77" s="208">
        <v>298238</v>
      </c>
      <c r="I77" s="208">
        <v>271799</v>
      </c>
      <c r="J77" s="208">
        <v>245847</v>
      </c>
      <c r="K77" s="208">
        <v>218014</v>
      </c>
      <c r="L77" s="208">
        <v>194039</v>
      </c>
      <c r="M77" s="208">
        <v>183004</v>
      </c>
      <c r="N77" s="208">
        <v>175243</v>
      </c>
      <c r="O77" s="208">
        <v>167846</v>
      </c>
      <c r="P77" s="208">
        <v>162203</v>
      </c>
      <c r="Q77" s="208">
        <v>154288</v>
      </c>
      <c r="R77" s="208">
        <v>147378</v>
      </c>
      <c r="S77" s="208">
        <v>142521</v>
      </c>
      <c r="T77" s="208">
        <v>135703</v>
      </c>
      <c r="U77" s="208">
        <v>128513</v>
      </c>
      <c r="V77" s="208">
        <v>124823</v>
      </c>
      <c r="W77" s="208">
        <v>118899</v>
      </c>
      <c r="X77" s="208">
        <v>111484</v>
      </c>
      <c r="Y77" s="208">
        <v>109153</v>
      </c>
      <c r="Z77" s="208">
        <v>105469</v>
      </c>
      <c r="AA77" s="208">
        <v>100643</v>
      </c>
      <c r="AB77" s="208">
        <v>96473</v>
      </c>
      <c r="AC77" s="208">
        <v>92701</v>
      </c>
      <c r="AD77" s="208">
        <v>88839</v>
      </c>
    </row>
    <row r="78" spans="1:30" x14ac:dyDescent="0.25">
      <c r="B78" s="6" t="s">
        <v>107</v>
      </c>
      <c r="C78" s="6" t="s">
        <v>107</v>
      </c>
      <c r="D78" s="7">
        <v>4064035</v>
      </c>
      <c r="E78" s="208" t="s">
        <v>123</v>
      </c>
      <c r="F78" s="208">
        <v>57015</v>
      </c>
      <c r="G78" s="208">
        <v>51183</v>
      </c>
      <c r="H78" s="208">
        <v>48051</v>
      </c>
      <c r="I78" s="208">
        <v>46453</v>
      </c>
      <c r="J78" s="208">
        <v>44182</v>
      </c>
      <c r="K78" s="208">
        <v>42456</v>
      </c>
      <c r="L78" s="208">
        <v>39665</v>
      </c>
      <c r="M78" s="208">
        <v>37291</v>
      </c>
      <c r="N78" s="208">
        <v>36207</v>
      </c>
      <c r="O78" s="208">
        <v>35108</v>
      </c>
      <c r="P78" s="208">
        <v>33890</v>
      </c>
      <c r="Q78" s="208">
        <v>32731</v>
      </c>
      <c r="R78" s="208">
        <v>31091</v>
      </c>
      <c r="S78" s="208">
        <v>29764</v>
      </c>
      <c r="T78" s="208">
        <v>28672</v>
      </c>
      <c r="U78" s="208">
        <v>27720</v>
      </c>
      <c r="V78" s="208">
        <v>26744</v>
      </c>
      <c r="W78" s="208" t="s">
        <v>123</v>
      </c>
      <c r="X78" s="208">
        <v>24597</v>
      </c>
      <c r="Y78" s="208">
        <v>23783</v>
      </c>
      <c r="Z78" s="208" t="s">
        <v>123</v>
      </c>
      <c r="AA78" s="208">
        <v>21178</v>
      </c>
      <c r="AB78" s="208">
        <v>20232</v>
      </c>
      <c r="AC78" s="208">
        <v>19232</v>
      </c>
      <c r="AD78" s="208">
        <v>17570</v>
      </c>
    </row>
    <row r="79" spans="1:30" x14ac:dyDescent="0.25">
      <c r="B79" s="6" t="s">
        <v>108</v>
      </c>
      <c r="C79" s="6" t="s">
        <v>108</v>
      </c>
      <c r="D79" s="7">
        <v>4060957</v>
      </c>
      <c r="E79" s="208">
        <v>2068846</v>
      </c>
      <c r="F79" s="208">
        <v>1936470</v>
      </c>
      <c r="G79" s="208">
        <v>1815945</v>
      </c>
      <c r="H79" s="208">
        <v>1717871</v>
      </c>
      <c r="I79" s="208">
        <v>1578868</v>
      </c>
      <c r="J79" s="208">
        <v>1491649</v>
      </c>
      <c r="K79" s="208">
        <v>1406805</v>
      </c>
      <c r="L79" s="208">
        <v>1346402</v>
      </c>
      <c r="M79" s="208">
        <v>1282522</v>
      </c>
      <c r="N79" s="208">
        <v>1218573</v>
      </c>
      <c r="O79" s="208">
        <v>1169538</v>
      </c>
      <c r="P79" s="208">
        <v>1128055</v>
      </c>
      <c r="Q79" s="208">
        <v>1087076</v>
      </c>
      <c r="R79" s="208">
        <v>1049118</v>
      </c>
      <c r="S79" s="208">
        <v>1012942</v>
      </c>
      <c r="T79" s="208">
        <v>970032</v>
      </c>
      <c r="U79" s="208">
        <v>932343</v>
      </c>
      <c r="V79" s="208">
        <v>896117</v>
      </c>
      <c r="W79" s="208">
        <v>857848</v>
      </c>
      <c r="X79" s="208">
        <v>820786</v>
      </c>
      <c r="Y79" s="208">
        <v>788826</v>
      </c>
      <c r="Z79" s="208">
        <v>755615</v>
      </c>
      <c r="AA79" s="208">
        <v>726810</v>
      </c>
      <c r="AB79" s="208">
        <v>695993</v>
      </c>
      <c r="AC79" s="208">
        <v>664328</v>
      </c>
      <c r="AD79" s="208">
        <v>633716</v>
      </c>
    </row>
    <row r="80" spans="1:30" x14ac:dyDescent="0.25">
      <c r="B80" s="6" t="s">
        <v>109</v>
      </c>
      <c r="C80" s="6" t="s">
        <v>109</v>
      </c>
      <c r="D80" s="7">
        <v>4063179</v>
      </c>
      <c r="E80" s="208">
        <v>7303</v>
      </c>
      <c r="F80" s="208">
        <v>7262</v>
      </c>
      <c r="G80" s="208">
        <v>6850</v>
      </c>
      <c r="H80" s="208">
        <v>6579</v>
      </c>
      <c r="I80" s="208">
        <v>6449</v>
      </c>
      <c r="J80" s="208">
        <v>6305</v>
      </c>
      <c r="K80" s="208">
        <v>6151</v>
      </c>
      <c r="L80" s="208">
        <v>6078</v>
      </c>
      <c r="M80" s="208">
        <v>6015</v>
      </c>
      <c r="N80" s="208">
        <v>6002</v>
      </c>
      <c r="O80" s="208">
        <v>5950</v>
      </c>
      <c r="P80" s="208">
        <v>5671</v>
      </c>
      <c r="Q80" s="208">
        <v>5615</v>
      </c>
      <c r="R80" s="208">
        <v>5571</v>
      </c>
      <c r="S80" s="208">
        <v>5562</v>
      </c>
      <c r="T80" s="208">
        <v>5519</v>
      </c>
      <c r="U80" s="208">
        <v>5531</v>
      </c>
      <c r="V80" s="208">
        <v>5536</v>
      </c>
      <c r="W80" s="208">
        <v>5496</v>
      </c>
      <c r="X80" s="208">
        <v>5447</v>
      </c>
      <c r="Y80" s="208">
        <v>5372</v>
      </c>
      <c r="Z80" s="208">
        <v>5451</v>
      </c>
      <c r="AA80" s="208">
        <v>5395</v>
      </c>
      <c r="AB80" s="208">
        <v>5341</v>
      </c>
      <c r="AC80" s="208">
        <v>4822</v>
      </c>
      <c r="AD80" s="208">
        <v>4708</v>
      </c>
    </row>
    <row r="81" spans="1:30" x14ac:dyDescent="0.25">
      <c r="A81" s="1" t="s">
        <v>30</v>
      </c>
      <c r="B81" s="6" t="s">
        <v>110</v>
      </c>
      <c r="C81" s="6" t="s">
        <v>110</v>
      </c>
      <c r="D81" s="7">
        <v>4063183</v>
      </c>
      <c r="E81" s="208">
        <v>64722</v>
      </c>
      <c r="F81" s="208">
        <v>64755</v>
      </c>
      <c r="G81" s="208">
        <v>86120</v>
      </c>
      <c r="H81" s="208">
        <v>88590</v>
      </c>
      <c r="I81" s="208">
        <v>88909</v>
      </c>
      <c r="J81" s="208">
        <v>89594</v>
      </c>
      <c r="K81" s="208">
        <v>57942</v>
      </c>
      <c r="L81" s="208">
        <v>55155</v>
      </c>
      <c r="M81" s="208">
        <v>42050</v>
      </c>
      <c r="N81" s="208">
        <v>40681</v>
      </c>
      <c r="O81" s="208">
        <v>40140</v>
      </c>
      <c r="P81" s="208">
        <v>39128</v>
      </c>
      <c r="Q81" s="208">
        <v>37777</v>
      </c>
      <c r="R81" s="208">
        <v>37122</v>
      </c>
      <c r="S81" s="208">
        <v>36088</v>
      </c>
      <c r="T81" s="208">
        <v>35616</v>
      </c>
      <c r="U81" s="208">
        <v>35025</v>
      </c>
      <c r="V81" s="208">
        <v>34687</v>
      </c>
      <c r="W81" s="208">
        <v>34301</v>
      </c>
      <c r="X81" s="208">
        <v>33940</v>
      </c>
      <c r="Y81" s="208">
        <v>33504</v>
      </c>
      <c r="Z81" s="208">
        <v>32725</v>
      </c>
      <c r="AA81" s="208">
        <v>32263</v>
      </c>
      <c r="AB81" s="208">
        <v>30187</v>
      </c>
      <c r="AC81" s="208">
        <v>29714</v>
      </c>
      <c r="AD81" s="208">
        <v>28147</v>
      </c>
    </row>
    <row r="82" spans="1:30" x14ac:dyDescent="0.25">
      <c r="B82" s="6" t="s">
        <v>111</v>
      </c>
      <c r="C82" s="6" t="s">
        <v>111</v>
      </c>
      <c r="D82" s="7">
        <v>4063281</v>
      </c>
      <c r="E82" s="208">
        <v>32886</v>
      </c>
      <c r="F82" s="208">
        <v>31529</v>
      </c>
      <c r="G82" s="208">
        <v>29372</v>
      </c>
      <c r="H82" s="208">
        <v>26746</v>
      </c>
      <c r="I82" s="208">
        <v>24782</v>
      </c>
      <c r="J82" s="208">
        <v>23242</v>
      </c>
      <c r="K82" s="208">
        <v>22828</v>
      </c>
      <c r="L82" s="208">
        <v>21960</v>
      </c>
      <c r="M82" s="208">
        <v>20668</v>
      </c>
      <c r="N82" s="208">
        <v>20080</v>
      </c>
      <c r="O82" s="208">
        <v>19593</v>
      </c>
      <c r="P82" s="208">
        <v>19236</v>
      </c>
      <c r="Q82" s="208">
        <v>18716</v>
      </c>
      <c r="R82" s="208">
        <v>18128</v>
      </c>
      <c r="S82" s="208">
        <v>17779</v>
      </c>
      <c r="T82" s="208">
        <v>17345</v>
      </c>
      <c r="U82" s="208">
        <v>16976</v>
      </c>
      <c r="V82" s="208">
        <v>16708</v>
      </c>
      <c r="W82" s="208">
        <v>16235</v>
      </c>
      <c r="X82" s="208">
        <v>15351</v>
      </c>
      <c r="Y82" s="208">
        <v>14968</v>
      </c>
      <c r="Z82" s="208">
        <v>14565</v>
      </c>
      <c r="AA82" s="208">
        <v>14321</v>
      </c>
      <c r="AB82" s="208">
        <v>14047</v>
      </c>
      <c r="AC82" s="208">
        <v>12185</v>
      </c>
      <c r="AD82" s="208">
        <v>11706</v>
      </c>
    </row>
    <row r="83" spans="1:30" x14ac:dyDescent="0.25">
      <c r="B83" s="6" t="s">
        <v>112</v>
      </c>
      <c r="C83" s="6" t="s">
        <v>112</v>
      </c>
      <c r="D83" s="7">
        <v>4059746</v>
      </c>
      <c r="E83" s="208">
        <v>3924822</v>
      </c>
      <c r="F83" s="208">
        <v>3739138</v>
      </c>
      <c r="G83" s="208">
        <v>3436342</v>
      </c>
      <c r="H83" s="208">
        <v>3229218</v>
      </c>
      <c r="I83" s="208">
        <v>2980865</v>
      </c>
      <c r="J83" s="208">
        <v>2734427</v>
      </c>
      <c r="K83" s="208">
        <v>2499020</v>
      </c>
      <c r="L83" s="208">
        <v>2300392</v>
      </c>
      <c r="M83" s="208">
        <v>2093255</v>
      </c>
      <c r="N83" s="208">
        <v>1905414</v>
      </c>
      <c r="O83" s="208">
        <v>1750182</v>
      </c>
      <c r="P83" s="208">
        <v>1609369</v>
      </c>
      <c r="Q83" s="208">
        <v>1499781</v>
      </c>
      <c r="R83" s="208">
        <v>1400672</v>
      </c>
      <c r="S83" s="208">
        <v>1325530</v>
      </c>
      <c r="T83" s="208">
        <v>1265006</v>
      </c>
      <c r="U83" s="208">
        <v>1226310</v>
      </c>
      <c r="V83" s="208">
        <v>1173536</v>
      </c>
      <c r="W83" s="208">
        <v>1114370</v>
      </c>
      <c r="X83" s="208">
        <v>1055071</v>
      </c>
      <c r="Y83" s="208">
        <v>1036541</v>
      </c>
      <c r="Z83" s="208">
        <v>994073</v>
      </c>
      <c r="AA83" s="208">
        <v>960981</v>
      </c>
      <c r="AB83" s="208">
        <v>920762</v>
      </c>
      <c r="AC83" s="208">
        <v>826360</v>
      </c>
      <c r="AD83" s="208">
        <v>794620</v>
      </c>
    </row>
    <row r="84" spans="1:30" x14ac:dyDescent="0.25">
      <c r="A84" s="1" t="s">
        <v>30</v>
      </c>
      <c r="B84" s="6" t="s">
        <v>113</v>
      </c>
      <c r="C84" s="6" t="s">
        <v>113</v>
      </c>
      <c r="D84" s="7">
        <v>4062279</v>
      </c>
      <c r="E84" s="208" t="s">
        <v>123</v>
      </c>
      <c r="F84" s="208" t="s">
        <v>123</v>
      </c>
      <c r="G84" s="208" t="s">
        <v>123</v>
      </c>
      <c r="H84" s="208">
        <v>783122</v>
      </c>
      <c r="I84" s="208">
        <v>739555</v>
      </c>
      <c r="J84" s="208">
        <v>693702</v>
      </c>
      <c r="K84" s="208">
        <v>646603</v>
      </c>
      <c r="L84" s="208">
        <v>611010</v>
      </c>
      <c r="M84" s="208">
        <v>577847</v>
      </c>
      <c r="N84" s="208">
        <v>556731</v>
      </c>
      <c r="O84" s="208">
        <v>534821</v>
      </c>
      <c r="P84" s="208">
        <v>524003</v>
      </c>
      <c r="Q84" s="208">
        <v>509879</v>
      </c>
      <c r="R84" s="208">
        <v>489913</v>
      </c>
      <c r="S84" s="208">
        <v>474201</v>
      </c>
      <c r="T84" s="208">
        <v>461517</v>
      </c>
      <c r="U84" s="208">
        <v>445928</v>
      </c>
      <c r="V84" s="208">
        <v>427033</v>
      </c>
      <c r="W84" s="208">
        <v>408624</v>
      </c>
      <c r="X84" s="208">
        <v>398196</v>
      </c>
      <c r="Y84" s="208">
        <v>375832</v>
      </c>
      <c r="Z84" s="208" t="s">
        <v>123</v>
      </c>
      <c r="AA84" s="208">
        <v>336026</v>
      </c>
      <c r="AB84" s="208">
        <v>317394</v>
      </c>
      <c r="AC84" s="208">
        <v>290717</v>
      </c>
      <c r="AD84" s="208">
        <v>268214</v>
      </c>
    </row>
    <row r="85" spans="1:30" x14ac:dyDescent="0.25">
      <c r="A85" s="1" t="s">
        <v>30</v>
      </c>
      <c r="B85" s="6" t="s">
        <v>114</v>
      </c>
      <c r="C85" s="6" t="s">
        <v>114</v>
      </c>
      <c r="D85" s="7">
        <v>4063729</v>
      </c>
      <c r="E85" s="208" t="s">
        <v>123</v>
      </c>
      <c r="F85" s="208" t="s">
        <v>123</v>
      </c>
      <c r="G85" s="208" t="s">
        <v>123</v>
      </c>
      <c r="H85" s="208">
        <v>184995</v>
      </c>
      <c r="I85" s="208">
        <v>170980</v>
      </c>
      <c r="J85" s="208">
        <v>163387</v>
      </c>
      <c r="K85" s="208">
        <v>154496</v>
      </c>
      <c r="L85" s="208">
        <v>145869</v>
      </c>
      <c r="M85" s="208">
        <v>137402</v>
      </c>
      <c r="N85" s="208">
        <v>129556</v>
      </c>
      <c r="O85" s="208">
        <v>123611</v>
      </c>
      <c r="P85" s="208">
        <v>117075</v>
      </c>
      <c r="Q85" s="208">
        <v>107829</v>
      </c>
      <c r="R85" s="208">
        <v>99483</v>
      </c>
      <c r="S85" s="208">
        <v>92202</v>
      </c>
      <c r="T85" s="208">
        <v>85674</v>
      </c>
      <c r="U85" s="208">
        <v>76030</v>
      </c>
      <c r="V85" s="208">
        <v>66842</v>
      </c>
      <c r="W85" s="208">
        <v>61703</v>
      </c>
      <c r="X85" s="208">
        <v>59013</v>
      </c>
      <c r="Y85" s="208">
        <v>55768</v>
      </c>
      <c r="Z85" s="208">
        <v>52566</v>
      </c>
      <c r="AA85" s="208" t="s">
        <v>123</v>
      </c>
      <c r="AB85" s="208" t="s">
        <v>123</v>
      </c>
      <c r="AC85" s="208">
        <v>42059</v>
      </c>
      <c r="AD85" s="208">
        <v>39273</v>
      </c>
    </row>
    <row r="86" spans="1:30" x14ac:dyDescent="0.25">
      <c r="B86" s="6" t="s">
        <v>115</v>
      </c>
      <c r="C86" s="6" t="s">
        <v>115</v>
      </c>
      <c r="D86" s="7">
        <v>4063762</v>
      </c>
      <c r="E86" s="208">
        <v>1249935</v>
      </c>
      <c r="F86" s="208">
        <v>1024854</v>
      </c>
      <c r="G86" s="208">
        <v>939004</v>
      </c>
      <c r="H86" s="208">
        <v>899989</v>
      </c>
      <c r="I86" s="208">
        <v>855860</v>
      </c>
      <c r="J86" s="208">
        <v>770089</v>
      </c>
      <c r="K86" s="208">
        <v>720731</v>
      </c>
      <c r="L86" s="208">
        <v>705800</v>
      </c>
      <c r="M86" s="208">
        <v>664055</v>
      </c>
      <c r="N86" s="208">
        <v>627878</v>
      </c>
      <c r="O86" s="208">
        <v>575925</v>
      </c>
      <c r="P86" s="208">
        <v>547724</v>
      </c>
      <c r="Q86" s="208">
        <v>524814</v>
      </c>
      <c r="R86" s="208">
        <v>514362</v>
      </c>
      <c r="S86" s="208">
        <v>479382</v>
      </c>
      <c r="T86" s="208">
        <v>471995</v>
      </c>
      <c r="U86" s="208">
        <v>454631</v>
      </c>
      <c r="V86" s="208">
        <v>447769</v>
      </c>
      <c r="W86" s="208">
        <v>420154</v>
      </c>
      <c r="X86" s="208">
        <v>407415</v>
      </c>
      <c r="Y86" s="208">
        <v>404501</v>
      </c>
      <c r="Z86" s="208">
        <v>380479</v>
      </c>
      <c r="AA86" s="208">
        <v>363876</v>
      </c>
      <c r="AB86" s="208">
        <v>343635</v>
      </c>
      <c r="AC86" s="208">
        <v>321424</v>
      </c>
      <c r="AD86" s="208" t="s">
        <v>123</v>
      </c>
    </row>
    <row r="87" spans="1:30" x14ac:dyDescent="0.25">
      <c r="B87" s="6" t="s">
        <v>116</v>
      </c>
      <c r="C87" s="6" t="s">
        <v>116</v>
      </c>
      <c r="D87" s="7">
        <v>4058284</v>
      </c>
      <c r="E87" s="208">
        <v>4635780</v>
      </c>
      <c r="F87" s="208">
        <v>4364147</v>
      </c>
      <c r="G87" s="208">
        <v>4194113</v>
      </c>
      <c r="H87" s="208">
        <v>3967156</v>
      </c>
      <c r="I87" s="208">
        <v>3680573</v>
      </c>
      <c r="J87" s="208">
        <v>3409804</v>
      </c>
      <c r="K87" s="208">
        <v>3180604</v>
      </c>
      <c r="L87" s="208">
        <v>2942346</v>
      </c>
      <c r="M87" s="208">
        <v>2784850</v>
      </c>
      <c r="N87" s="208">
        <v>2672351</v>
      </c>
      <c r="O87" s="208">
        <v>2600605</v>
      </c>
      <c r="P87" s="208">
        <v>2526185</v>
      </c>
      <c r="Q87" s="208">
        <v>2448401</v>
      </c>
      <c r="R87" s="208">
        <v>2353154</v>
      </c>
      <c r="S87" s="208">
        <v>2271180</v>
      </c>
      <c r="T87" s="208">
        <v>2160688</v>
      </c>
      <c r="U87" s="208">
        <v>2093107</v>
      </c>
      <c r="V87" s="208">
        <v>2022730</v>
      </c>
      <c r="W87" s="208">
        <v>1900487</v>
      </c>
      <c r="X87" s="208">
        <v>1831266</v>
      </c>
      <c r="Y87" s="208">
        <v>1724871</v>
      </c>
      <c r="Z87" s="208">
        <v>1630878</v>
      </c>
      <c r="AA87" s="208">
        <v>1555162</v>
      </c>
      <c r="AB87" s="208">
        <v>1464376</v>
      </c>
      <c r="AC87" s="208">
        <v>1370193</v>
      </c>
      <c r="AD87" s="208">
        <v>1246311</v>
      </c>
    </row>
    <row r="88" spans="1:30" x14ac:dyDescent="0.25">
      <c r="B88" s="6" t="s">
        <v>117</v>
      </c>
      <c r="C88" s="6" t="s">
        <v>117</v>
      </c>
      <c r="D88" s="7">
        <v>4008752</v>
      </c>
      <c r="E88" s="208">
        <v>2407670</v>
      </c>
      <c r="F88" s="208">
        <v>2285370</v>
      </c>
      <c r="G88" s="208">
        <v>2140766</v>
      </c>
      <c r="H88" s="208">
        <v>2014531</v>
      </c>
      <c r="I88" s="208">
        <v>1877033</v>
      </c>
      <c r="J88" s="208">
        <v>1774474</v>
      </c>
      <c r="K88" s="208">
        <v>1542369</v>
      </c>
      <c r="L88" s="208">
        <v>1425191</v>
      </c>
      <c r="M88" s="208">
        <v>1324645</v>
      </c>
      <c r="N88" s="208">
        <v>1222177</v>
      </c>
      <c r="O88" s="208">
        <v>1157689</v>
      </c>
      <c r="P88" s="208">
        <v>1103483</v>
      </c>
      <c r="Q88" s="208">
        <v>1054805</v>
      </c>
      <c r="R88" s="208">
        <v>994858</v>
      </c>
      <c r="S88" s="208">
        <v>957925</v>
      </c>
      <c r="T88" s="208">
        <v>927273</v>
      </c>
      <c r="U88" s="208">
        <v>892139</v>
      </c>
      <c r="V88" s="208">
        <v>851969</v>
      </c>
      <c r="W88" s="208">
        <v>816360</v>
      </c>
      <c r="X88" s="208">
        <v>773915</v>
      </c>
      <c r="Y88" s="208">
        <v>747996</v>
      </c>
      <c r="Z88" s="208">
        <v>715124</v>
      </c>
      <c r="AA88" s="208">
        <v>689374</v>
      </c>
      <c r="AB88" s="208">
        <v>664105</v>
      </c>
      <c r="AC88" s="208">
        <v>639784</v>
      </c>
      <c r="AD88" s="208">
        <v>617598</v>
      </c>
    </row>
    <row r="89" spans="1:30" x14ac:dyDescent="0.25">
      <c r="B89" s="6" t="s">
        <v>118</v>
      </c>
      <c r="C89" s="6" t="s">
        <v>118</v>
      </c>
      <c r="D89" s="7">
        <v>4008669</v>
      </c>
      <c r="E89" s="208">
        <v>696859</v>
      </c>
      <c r="F89" s="208">
        <v>642181</v>
      </c>
      <c r="G89" s="208">
        <v>608209</v>
      </c>
      <c r="H89" s="208">
        <v>572015</v>
      </c>
      <c r="I89" s="208">
        <v>537142</v>
      </c>
      <c r="J89" s="208">
        <v>494197</v>
      </c>
      <c r="K89" s="208">
        <v>464020</v>
      </c>
      <c r="L89" s="208">
        <v>445667</v>
      </c>
      <c r="M89" s="208">
        <v>429542</v>
      </c>
      <c r="N89" s="208">
        <v>417620</v>
      </c>
      <c r="O89" s="208">
        <v>404073</v>
      </c>
      <c r="P89" s="208">
        <v>386148</v>
      </c>
      <c r="Q89" s="208">
        <v>362749</v>
      </c>
      <c r="R89" s="208">
        <v>279904</v>
      </c>
      <c r="S89" s="208">
        <v>318969</v>
      </c>
      <c r="T89" s="208">
        <v>307677</v>
      </c>
      <c r="U89" s="208">
        <v>293049</v>
      </c>
      <c r="V89" s="208">
        <v>278921</v>
      </c>
      <c r="W89" s="208">
        <v>263418</v>
      </c>
      <c r="X89" s="208">
        <v>258099</v>
      </c>
      <c r="Y89" s="208">
        <v>250863</v>
      </c>
      <c r="Z89" s="208">
        <v>236673</v>
      </c>
      <c r="AA89" s="208">
        <v>227831</v>
      </c>
      <c r="AB89" s="208">
        <v>221820</v>
      </c>
      <c r="AC89" s="208">
        <v>213306</v>
      </c>
      <c r="AD89" s="208">
        <v>204509</v>
      </c>
    </row>
    <row r="90" spans="1:30" x14ac:dyDescent="0.25">
      <c r="B90" s="6" t="s">
        <v>119</v>
      </c>
      <c r="C90" s="6" t="s">
        <v>120</v>
      </c>
      <c r="D90" s="7">
        <v>4076892</v>
      </c>
      <c r="E90" s="208">
        <v>12673</v>
      </c>
      <c r="F90" s="208">
        <v>12550</v>
      </c>
      <c r="G90" s="208">
        <v>12347</v>
      </c>
      <c r="H90" s="208">
        <v>12257</v>
      </c>
      <c r="I90" s="208">
        <v>12153</v>
      </c>
      <c r="J90" s="208">
        <v>11912</v>
      </c>
      <c r="K90" s="208">
        <v>11729</v>
      </c>
      <c r="L90" s="208">
        <v>11537</v>
      </c>
      <c r="M90" s="208">
        <v>11456</v>
      </c>
      <c r="N90" s="208">
        <v>11262</v>
      </c>
      <c r="O90" s="208">
        <v>10790</v>
      </c>
      <c r="P90" s="208">
        <v>9550</v>
      </c>
      <c r="Q90" s="208">
        <v>9251</v>
      </c>
      <c r="R90" s="208">
        <v>8779</v>
      </c>
      <c r="S90" s="208">
        <v>8224</v>
      </c>
      <c r="T90" s="208">
        <v>8080</v>
      </c>
      <c r="U90" s="208">
        <v>7889</v>
      </c>
      <c r="V90" s="208">
        <v>7759</v>
      </c>
      <c r="W90" s="208">
        <v>7359</v>
      </c>
      <c r="X90" s="208" t="s">
        <v>123</v>
      </c>
      <c r="Y90" s="208" t="s">
        <v>123</v>
      </c>
      <c r="Z90" s="208" t="s">
        <v>123</v>
      </c>
      <c r="AA90" s="208" t="s">
        <v>123</v>
      </c>
      <c r="AB90" s="208" t="s">
        <v>123</v>
      </c>
      <c r="AC90" s="208" t="s">
        <v>123</v>
      </c>
      <c r="AD90" s="208" t="s">
        <v>123</v>
      </c>
    </row>
    <row r="91" spans="1:30" x14ac:dyDescent="0.25">
      <c r="A91" s="1" t="s">
        <v>30</v>
      </c>
      <c r="B91" s="6" t="s">
        <v>121</v>
      </c>
      <c r="C91" s="6" t="s">
        <v>122</v>
      </c>
      <c r="D91" s="7">
        <v>4064141</v>
      </c>
      <c r="E91" s="208">
        <v>2103278</v>
      </c>
      <c r="F91" s="208">
        <v>1932542</v>
      </c>
      <c r="G91" s="208">
        <v>1743530</v>
      </c>
      <c r="H91" s="208">
        <v>1601099</v>
      </c>
      <c r="I91" s="208">
        <v>1489922</v>
      </c>
      <c r="J91" s="208">
        <v>1358745</v>
      </c>
      <c r="K91" s="208">
        <v>1304010</v>
      </c>
      <c r="L91" s="208">
        <v>1207933</v>
      </c>
      <c r="M91" s="208">
        <v>1124061</v>
      </c>
      <c r="N91" s="208">
        <v>1040044</v>
      </c>
      <c r="O91" s="208">
        <v>945406</v>
      </c>
      <c r="P91" s="208">
        <v>890696</v>
      </c>
      <c r="Q91" s="208">
        <v>829638</v>
      </c>
      <c r="R91" s="208">
        <v>774476</v>
      </c>
      <c r="S91" s="208">
        <v>753415</v>
      </c>
      <c r="T91" s="208">
        <v>722815</v>
      </c>
      <c r="U91" s="208">
        <v>688670</v>
      </c>
      <c r="V91" s="208">
        <v>647928</v>
      </c>
      <c r="W91" s="208">
        <v>600431</v>
      </c>
      <c r="X91" s="208">
        <v>556525</v>
      </c>
      <c r="Y91" s="208">
        <v>530802</v>
      </c>
      <c r="Z91" s="208">
        <v>516461</v>
      </c>
      <c r="AA91" s="208">
        <v>498933</v>
      </c>
      <c r="AB91" s="208">
        <v>477617</v>
      </c>
      <c r="AC91" s="208">
        <v>456089</v>
      </c>
      <c r="AD91" s="208">
        <v>445857</v>
      </c>
    </row>
  </sheetData>
  <conditionalFormatting sqref="E99:E204 D98:E98 E7:E97">
    <cfRule type="cellIs" dxfId="4" priority="5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G97"/>
  <sheetViews>
    <sheetView zoomScale="50" zoomScaleNormal="50" workbookViewId="0"/>
  </sheetViews>
  <sheetFormatPr defaultRowHeight="15" x14ac:dyDescent="0.25"/>
  <cols>
    <col min="1" max="1" width="14.28515625" style="1" bestFit="1" customWidth="1"/>
    <col min="2" max="2" width="63.7109375" style="1" bestFit="1" customWidth="1"/>
    <col min="3" max="3" width="63.7109375" style="1" customWidth="1"/>
    <col min="4" max="4" width="22" style="1" customWidth="1"/>
    <col min="5" max="30" width="17.5703125" style="167" customWidth="1"/>
    <col min="31" max="16384" width="9.140625" style="167"/>
  </cols>
  <sheetData>
    <row r="2" spans="1:33" ht="21" x14ac:dyDescent="0.35">
      <c r="B2" s="209"/>
      <c r="C2" s="209"/>
      <c r="D2" s="209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</row>
    <row r="3" spans="1:33" ht="84" x14ac:dyDescent="0.35">
      <c r="B3" s="210"/>
      <c r="C3" s="210"/>
      <c r="D3" s="210"/>
      <c r="E3" s="216" t="s">
        <v>329</v>
      </c>
      <c r="F3" s="216" t="s">
        <v>329</v>
      </c>
      <c r="G3" s="216" t="s">
        <v>329</v>
      </c>
      <c r="H3" s="216" t="s">
        <v>329</v>
      </c>
      <c r="I3" s="216" t="s">
        <v>329</v>
      </c>
      <c r="J3" s="216" t="s">
        <v>329</v>
      </c>
      <c r="K3" s="216" t="s">
        <v>329</v>
      </c>
      <c r="L3" s="216" t="s">
        <v>329</v>
      </c>
      <c r="M3" s="216" t="s">
        <v>329</v>
      </c>
      <c r="N3" s="216" t="s">
        <v>329</v>
      </c>
      <c r="O3" s="216" t="s">
        <v>329</v>
      </c>
      <c r="P3" s="216" t="s">
        <v>329</v>
      </c>
      <c r="Q3" s="216" t="s">
        <v>329</v>
      </c>
      <c r="R3" s="216" t="s">
        <v>329</v>
      </c>
      <c r="S3" s="216" t="s">
        <v>329</v>
      </c>
      <c r="T3" s="216" t="s">
        <v>329</v>
      </c>
      <c r="U3" s="216" t="s">
        <v>329</v>
      </c>
      <c r="V3" s="216" t="s">
        <v>329</v>
      </c>
      <c r="W3" s="216" t="s">
        <v>329</v>
      </c>
      <c r="X3" s="216" t="s">
        <v>329</v>
      </c>
      <c r="Y3" s="216" t="s">
        <v>329</v>
      </c>
      <c r="Z3" s="216" t="s">
        <v>329</v>
      </c>
      <c r="AA3" s="216" t="s">
        <v>329</v>
      </c>
      <c r="AB3" s="217" t="s">
        <v>329</v>
      </c>
      <c r="AC3" s="217" t="s">
        <v>329</v>
      </c>
      <c r="AD3" s="217" t="s">
        <v>329</v>
      </c>
      <c r="AE3" s="183"/>
      <c r="AF3" s="183"/>
      <c r="AG3" s="183"/>
    </row>
    <row r="4" spans="1:33" ht="63" x14ac:dyDescent="0.35">
      <c r="B4" s="211"/>
      <c r="C4" s="211"/>
      <c r="D4" s="211"/>
      <c r="E4" s="216" t="s">
        <v>330</v>
      </c>
      <c r="F4" s="216" t="s">
        <v>330</v>
      </c>
      <c r="G4" s="216" t="s">
        <v>330</v>
      </c>
      <c r="H4" s="216" t="s">
        <v>330</v>
      </c>
      <c r="I4" s="216" t="s">
        <v>330</v>
      </c>
      <c r="J4" s="216" t="s">
        <v>330</v>
      </c>
      <c r="K4" s="216" t="s">
        <v>330</v>
      </c>
      <c r="L4" s="216" t="s">
        <v>330</v>
      </c>
      <c r="M4" s="216" t="s">
        <v>330</v>
      </c>
      <c r="N4" s="216" t="s">
        <v>330</v>
      </c>
      <c r="O4" s="216" t="s">
        <v>330</v>
      </c>
      <c r="P4" s="216" t="s">
        <v>330</v>
      </c>
      <c r="Q4" s="216" t="s">
        <v>330</v>
      </c>
      <c r="R4" s="216" t="s">
        <v>330</v>
      </c>
      <c r="S4" s="216" t="s">
        <v>330</v>
      </c>
      <c r="T4" s="216" t="s">
        <v>330</v>
      </c>
      <c r="U4" s="216" t="s">
        <v>330</v>
      </c>
      <c r="V4" s="216" t="s">
        <v>330</v>
      </c>
      <c r="W4" s="216" t="s">
        <v>330</v>
      </c>
      <c r="X4" s="216" t="s">
        <v>330</v>
      </c>
      <c r="Y4" s="216" t="s">
        <v>330</v>
      </c>
      <c r="Z4" s="216" t="s">
        <v>330</v>
      </c>
      <c r="AA4" s="216" t="s">
        <v>330</v>
      </c>
      <c r="AB4" s="217" t="s">
        <v>330</v>
      </c>
      <c r="AC4" s="217" t="s">
        <v>330</v>
      </c>
      <c r="AD4" s="217" t="s">
        <v>330</v>
      </c>
      <c r="AE4" s="183"/>
      <c r="AF4" s="183"/>
      <c r="AG4" s="183"/>
    </row>
    <row r="5" spans="1:33" ht="21" x14ac:dyDescent="0.35">
      <c r="A5" s="3" t="s">
        <v>0</v>
      </c>
      <c r="B5" s="212" t="s">
        <v>1</v>
      </c>
      <c r="C5" s="212" t="s">
        <v>2</v>
      </c>
      <c r="D5" s="213" t="s">
        <v>3</v>
      </c>
      <c r="E5" s="216" t="s">
        <v>26</v>
      </c>
      <c r="F5" s="216" t="s">
        <v>25</v>
      </c>
      <c r="G5" s="216" t="s">
        <v>24</v>
      </c>
      <c r="H5" s="216" t="s">
        <v>23</v>
      </c>
      <c r="I5" s="216" t="s">
        <v>22</v>
      </c>
      <c r="J5" s="216" t="s">
        <v>21</v>
      </c>
      <c r="K5" s="216" t="s">
        <v>20</v>
      </c>
      <c r="L5" s="216" t="s">
        <v>19</v>
      </c>
      <c r="M5" s="216" t="s">
        <v>18</v>
      </c>
      <c r="N5" s="216" t="s">
        <v>17</v>
      </c>
      <c r="O5" s="216" t="s">
        <v>16</v>
      </c>
      <c r="P5" s="216" t="s">
        <v>15</v>
      </c>
      <c r="Q5" s="216" t="s">
        <v>14</v>
      </c>
      <c r="R5" s="216" t="s">
        <v>13</v>
      </c>
      <c r="S5" s="216" t="s">
        <v>12</v>
      </c>
      <c r="T5" s="216" t="s">
        <v>11</v>
      </c>
      <c r="U5" s="216" t="s">
        <v>10</v>
      </c>
      <c r="V5" s="216" t="s">
        <v>9</v>
      </c>
      <c r="W5" s="216" t="s">
        <v>8</v>
      </c>
      <c r="X5" s="216" t="s">
        <v>7</v>
      </c>
      <c r="Y5" s="216" t="s">
        <v>6</v>
      </c>
      <c r="Z5" s="216" t="s">
        <v>5</v>
      </c>
      <c r="AA5" s="216" t="s">
        <v>4</v>
      </c>
      <c r="AB5" s="217" t="s">
        <v>321</v>
      </c>
      <c r="AC5" s="217" t="s">
        <v>322</v>
      </c>
      <c r="AD5" s="217" t="s">
        <v>323</v>
      </c>
      <c r="AE5" s="183"/>
      <c r="AF5" s="183"/>
      <c r="AG5" s="183"/>
    </row>
    <row r="6" spans="1:33" ht="21" x14ac:dyDescent="0.35">
      <c r="B6" s="211"/>
      <c r="C6" s="211"/>
      <c r="D6" s="211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7"/>
      <c r="AC6" s="217"/>
      <c r="AD6" s="217"/>
      <c r="AE6" s="183"/>
      <c r="AF6" s="183"/>
      <c r="AG6" s="183"/>
    </row>
    <row r="7" spans="1:33" ht="21" x14ac:dyDescent="0.35">
      <c r="B7" s="214" t="s">
        <v>27</v>
      </c>
      <c r="C7" s="214" t="s">
        <v>27</v>
      </c>
      <c r="D7" s="215">
        <v>4058513</v>
      </c>
      <c r="E7" s="218" t="s">
        <v>123</v>
      </c>
      <c r="F7" s="218" t="s">
        <v>123</v>
      </c>
      <c r="G7" s="218" t="s">
        <v>123</v>
      </c>
      <c r="H7" s="218">
        <v>74949</v>
      </c>
      <c r="I7" s="218">
        <v>72095</v>
      </c>
      <c r="J7" s="218">
        <v>68762</v>
      </c>
      <c r="K7" s="218">
        <v>64712</v>
      </c>
      <c r="L7" s="218">
        <v>60939</v>
      </c>
      <c r="M7" s="218">
        <v>57617</v>
      </c>
      <c r="N7" s="218">
        <v>54590</v>
      </c>
      <c r="O7" s="218">
        <v>51830</v>
      </c>
      <c r="P7" s="218">
        <v>48902</v>
      </c>
      <c r="Q7" s="218">
        <v>47776</v>
      </c>
      <c r="R7" s="218">
        <v>45485</v>
      </c>
      <c r="S7" s="218">
        <v>42929</v>
      </c>
      <c r="T7" s="218">
        <v>41277</v>
      </c>
      <c r="U7" s="218" t="s">
        <v>123</v>
      </c>
      <c r="V7" s="218" t="s">
        <v>123</v>
      </c>
      <c r="W7" s="218" t="s">
        <v>123</v>
      </c>
      <c r="X7" s="218">
        <v>0</v>
      </c>
      <c r="Y7" s="218">
        <v>24940</v>
      </c>
      <c r="Z7" s="218">
        <v>23332</v>
      </c>
      <c r="AA7" s="218">
        <v>21777</v>
      </c>
      <c r="AB7" s="219">
        <v>20222</v>
      </c>
      <c r="AC7" s="219">
        <v>18739</v>
      </c>
      <c r="AD7" s="219">
        <v>17596</v>
      </c>
      <c r="AE7" s="183"/>
      <c r="AF7" s="183"/>
      <c r="AG7" s="183"/>
    </row>
    <row r="8" spans="1:33" ht="21" x14ac:dyDescent="0.35">
      <c r="B8" s="214" t="s">
        <v>28</v>
      </c>
      <c r="C8" s="214" t="s">
        <v>28</v>
      </c>
      <c r="D8" s="215">
        <v>4054707</v>
      </c>
      <c r="E8" s="218">
        <v>1500077</v>
      </c>
      <c r="F8" s="218">
        <v>1423907</v>
      </c>
      <c r="G8" s="218">
        <v>1350329</v>
      </c>
      <c r="H8" s="218">
        <v>1293537</v>
      </c>
      <c r="I8" s="218">
        <v>1229893</v>
      </c>
      <c r="J8" s="218">
        <v>1170404</v>
      </c>
      <c r="K8" s="218">
        <v>1146445</v>
      </c>
      <c r="L8" s="218">
        <v>1124693</v>
      </c>
      <c r="M8" s="218">
        <v>1051228</v>
      </c>
      <c r="N8" s="218">
        <v>1008761</v>
      </c>
      <c r="O8" s="218">
        <v>918267</v>
      </c>
      <c r="P8" s="218">
        <v>878304</v>
      </c>
      <c r="Q8" s="218">
        <v>839359</v>
      </c>
      <c r="R8" s="218">
        <v>818382</v>
      </c>
      <c r="S8" s="218">
        <v>793295</v>
      </c>
      <c r="T8" s="218">
        <v>749029</v>
      </c>
      <c r="U8" s="218">
        <f>+T8/(1.0476)</f>
        <v>714995.22718594875</v>
      </c>
      <c r="V8" s="218">
        <f>+U8/(1.0476)</f>
        <v>682507.85336573946</v>
      </c>
      <c r="W8" s="218">
        <f t="shared" ref="W8:AA8" si="0">+V8/(1.0476)</f>
        <v>651496.61451483332</v>
      </c>
      <c r="X8" s="218">
        <f t="shared" si="0"/>
        <v>621894.43920850824</v>
      </c>
      <c r="Y8" s="218">
        <f t="shared" si="0"/>
        <v>593637.30355909525</v>
      </c>
      <c r="Z8" s="218">
        <f t="shared" si="0"/>
        <v>566664.09274445893</v>
      </c>
      <c r="AA8" s="218">
        <f t="shared" si="0"/>
        <v>540916.46882823494</v>
      </c>
      <c r="AB8" s="219" t="s">
        <v>123</v>
      </c>
      <c r="AC8" s="219" t="s">
        <v>123</v>
      </c>
      <c r="AD8" s="219" t="s">
        <v>123</v>
      </c>
      <c r="AE8" s="183"/>
      <c r="AF8" s="183"/>
      <c r="AG8" s="183"/>
    </row>
    <row r="9" spans="1:33" ht="21" x14ac:dyDescent="0.35">
      <c r="B9" s="214"/>
      <c r="C9" s="214"/>
      <c r="D9" s="215"/>
      <c r="E9" s="218"/>
      <c r="F9" s="220">
        <f>+E8/F8-1</f>
        <v>5.3493662156306465E-2</v>
      </c>
      <c r="G9" s="220">
        <f t="shared" ref="G9:T9" si="1">+F8/G8-1</f>
        <v>5.4488943064986417E-2</v>
      </c>
      <c r="H9" s="220">
        <f t="shared" si="1"/>
        <v>4.3904426390586337E-2</v>
      </c>
      <c r="I9" s="220">
        <f t="shared" si="1"/>
        <v>5.1747591050603559E-2</v>
      </c>
      <c r="J9" s="220">
        <f t="shared" si="1"/>
        <v>5.0827748367230363E-2</v>
      </c>
      <c r="K9" s="220">
        <f t="shared" si="1"/>
        <v>2.0898516719074944E-2</v>
      </c>
      <c r="L9" s="220">
        <f t="shared" si="1"/>
        <v>1.9340388888345439E-2</v>
      </c>
      <c r="M9" s="220">
        <f t="shared" si="1"/>
        <v>6.9884934571758039E-2</v>
      </c>
      <c r="N9" s="220">
        <f t="shared" si="1"/>
        <v>4.2098177863735708E-2</v>
      </c>
      <c r="O9" s="220">
        <f t="shared" si="1"/>
        <v>9.8548679196791333E-2</v>
      </c>
      <c r="P9" s="220">
        <f t="shared" si="1"/>
        <v>4.5500191277735302E-2</v>
      </c>
      <c r="Q9" s="220">
        <f t="shared" si="1"/>
        <v>4.6398501713807772E-2</v>
      </c>
      <c r="R9" s="220">
        <f t="shared" si="1"/>
        <v>2.5632284190023835E-2</v>
      </c>
      <c r="S9" s="220">
        <f t="shared" si="1"/>
        <v>3.1623796948171856E-2</v>
      </c>
      <c r="T9" s="220">
        <f t="shared" si="1"/>
        <v>5.9097845343771827E-2</v>
      </c>
      <c r="U9" s="220"/>
      <c r="V9" s="220"/>
      <c r="W9" s="220"/>
      <c r="X9" s="220"/>
      <c r="Y9" s="220"/>
      <c r="Z9" s="220"/>
      <c r="AA9" s="220"/>
      <c r="AB9" s="221"/>
      <c r="AC9" s="221"/>
      <c r="AD9" s="221"/>
      <c r="AE9" s="183"/>
      <c r="AF9" s="183"/>
      <c r="AG9" s="183"/>
    </row>
    <row r="10" spans="1:33" ht="21" x14ac:dyDescent="0.35">
      <c r="B10" s="214"/>
      <c r="C10" s="214"/>
      <c r="D10" s="215"/>
      <c r="E10" s="220">
        <f>AVERAGE(F9:T9)</f>
        <v>4.7565712516195277E-2</v>
      </c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9"/>
      <c r="AC10" s="219"/>
      <c r="AD10" s="219"/>
      <c r="AE10" s="183"/>
      <c r="AF10" s="183"/>
      <c r="AG10" s="183"/>
    </row>
    <row r="11" spans="1:33" ht="21" x14ac:dyDescent="0.35">
      <c r="B11" s="214" t="s">
        <v>29</v>
      </c>
      <c r="C11" s="214" t="s">
        <v>29</v>
      </c>
      <c r="D11" s="215">
        <v>4057075</v>
      </c>
      <c r="E11" s="218">
        <v>377906</v>
      </c>
      <c r="F11" s="218">
        <v>354876</v>
      </c>
      <c r="G11" s="218">
        <v>340260</v>
      </c>
      <c r="H11" s="218">
        <v>321664</v>
      </c>
      <c r="I11" s="218">
        <v>304046</v>
      </c>
      <c r="J11" s="218">
        <v>286927</v>
      </c>
      <c r="K11" s="218">
        <v>269811</v>
      </c>
      <c r="L11" s="218">
        <v>256829</v>
      </c>
      <c r="M11" s="218">
        <v>246430</v>
      </c>
      <c r="N11" s="218">
        <v>235771</v>
      </c>
      <c r="O11" s="218">
        <v>225949</v>
      </c>
      <c r="P11" s="218">
        <v>217067</v>
      </c>
      <c r="Q11" s="218">
        <v>168874</v>
      </c>
      <c r="R11" s="218">
        <v>200085</v>
      </c>
      <c r="S11" s="218">
        <v>187384</v>
      </c>
      <c r="T11" s="218">
        <v>176412</v>
      </c>
      <c r="U11" s="218">
        <v>177996</v>
      </c>
      <c r="V11" s="218">
        <v>165837</v>
      </c>
      <c r="W11" s="218">
        <v>154105</v>
      </c>
      <c r="X11" s="218">
        <v>140639</v>
      </c>
      <c r="Y11" s="218">
        <v>129924</v>
      </c>
      <c r="Z11" s="218">
        <v>120148</v>
      </c>
      <c r="AA11" s="218">
        <v>110633</v>
      </c>
      <c r="AB11" s="219" t="s">
        <v>123</v>
      </c>
      <c r="AC11" s="219">
        <v>93477</v>
      </c>
      <c r="AD11" s="219">
        <v>85667</v>
      </c>
      <c r="AE11" s="183"/>
      <c r="AF11" s="183"/>
      <c r="AG11" s="183"/>
    </row>
    <row r="12" spans="1:33" ht="21" x14ac:dyDescent="0.35">
      <c r="A12" s="1" t="s">
        <v>30</v>
      </c>
      <c r="B12" s="214" t="s">
        <v>31</v>
      </c>
      <c r="C12" s="214" t="s">
        <v>31</v>
      </c>
      <c r="D12" s="215">
        <v>4007784</v>
      </c>
      <c r="E12" s="218">
        <v>604946</v>
      </c>
      <c r="F12" s="218">
        <v>578248</v>
      </c>
      <c r="G12" s="218">
        <v>567189</v>
      </c>
      <c r="H12" s="218">
        <v>545762</v>
      </c>
      <c r="I12" s="218">
        <v>539945</v>
      </c>
      <c r="J12" s="218">
        <v>517475</v>
      </c>
      <c r="K12" s="218">
        <v>491489</v>
      </c>
      <c r="L12" s="218">
        <v>466405</v>
      </c>
      <c r="M12" s="218">
        <v>438695</v>
      </c>
      <c r="N12" s="218">
        <v>416416</v>
      </c>
      <c r="O12" s="218">
        <v>398163</v>
      </c>
      <c r="P12" s="218">
        <v>388386</v>
      </c>
      <c r="Q12" s="218" t="s">
        <v>123</v>
      </c>
      <c r="R12" s="218">
        <v>362463</v>
      </c>
      <c r="S12" s="218">
        <v>342124</v>
      </c>
      <c r="T12" s="218">
        <v>325566</v>
      </c>
      <c r="U12" s="218">
        <v>314052</v>
      </c>
      <c r="V12" s="218">
        <v>304106</v>
      </c>
      <c r="W12" s="218">
        <v>290340</v>
      </c>
      <c r="X12" s="218">
        <v>276593</v>
      </c>
      <c r="Y12" s="218">
        <v>269509</v>
      </c>
      <c r="Z12" s="218">
        <v>265147</v>
      </c>
      <c r="AA12" s="218">
        <v>248262</v>
      </c>
      <c r="AB12" s="219">
        <v>228992</v>
      </c>
      <c r="AC12" s="219">
        <v>212084</v>
      </c>
      <c r="AD12" s="219">
        <v>196622</v>
      </c>
      <c r="AE12" s="183"/>
      <c r="AF12" s="183"/>
      <c r="AG12" s="183"/>
    </row>
    <row r="13" spans="1:33" ht="21" x14ac:dyDescent="0.35">
      <c r="A13" s="1" t="s">
        <v>30</v>
      </c>
      <c r="B13" s="214" t="s">
        <v>32</v>
      </c>
      <c r="C13" s="214" t="s">
        <v>33</v>
      </c>
      <c r="D13" s="215">
        <v>4058656</v>
      </c>
      <c r="E13" s="218" t="s">
        <v>123</v>
      </c>
      <c r="F13" s="218" t="s">
        <v>123</v>
      </c>
      <c r="G13" s="218" t="s">
        <v>123</v>
      </c>
      <c r="H13" s="218" t="s">
        <v>123</v>
      </c>
      <c r="I13" s="218" t="s">
        <v>123</v>
      </c>
      <c r="J13" s="218" t="s">
        <v>123</v>
      </c>
      <c r="K13" s="218" t="s">
        <v>123</v>
      </c>
      <c r="L13" s="218" t="s">
        <v>123</v>
      </c>
      <c r="M13" s="218" t="s">
        <v>123</v>
      </c>
      <c r="N13" s="218" t="s">
        <v>123</v>
      </c>
      <c r="O13" s="218" t="s">
        <v>123</v>
      </c>
      <c r="P13" s="218" t="s">
        <v>123</v>
      </c>
      <c r="Q13" s="218" t="s">
        <v>123</v>
      </c>
      <c r="R13" s="218" t="s">
        <v>123</v>
      </c>
      <c r="S13" s="218" t="s">
        <v>123</v>
      </c>
      <c r="T13" s="218" t="s">
        <v>123</v>
      </c>
      <c r="U13" s="218" t="s">
        <v>123</v>
      </c>
      <c r="V13" s="218" t="s">
        <v>123</v>
      </c>
      <c r="W13" s="218" t="s">
        <v>123</v>
      </c>
      <c r="X13" s="218" t="s">
        <v>123</v>
      </c>
      <c r="Y13" s="218" t="s">
        <v>123</v>
      </c>
      <c r="Z13" s="218" t="s">
        <v>123</v>
      </c>
      <c r="AA13" s="218" t="s">
        <v>123</v>
      </c>
      <c r="AB13" s="219" t="s">
        <v>123</v>
      </c>
      <c r="AC13" s="219" t="s">
        <v>123</v>
      </c>
      <c r="AD13" s="219" t="s">
        <v>123</v>
      </c>
      <c r="AE13" s="183"/>
      <c r="AF13" s="183"/>
      <c r="AG13" s="183"/>
    </row>
    <row r="14" spans="1:33" ht="21" x14ac:dyDescent="0.35">
      <c r="A14" s="1" t="s">
        <v>30</v>
      </c>
      <c r="B14" s="214" t="s">
        <v>34</v>
      </c>
      <c r="C14" s="214" t="s">
        <v>35</v>
      </c>
      <c r="D14" s="215">
        <v>4057110</v>
      </c>
      <c r="E14" s="218" t="s">
        <v>123</v>
      </c>
      <c r="F14" s="218" t="s">
        <v>123</v>
      </c>
      <c r="G14" s="218" t="s">
        <v>123</v>
      </c>
      <c r="H14" s="218" t="s">
        <v>123</v>
      </c>
      <c r="I14" s="218" t="s">
        <v>123</v>
      </c>
      <c r="J14" s="218" t="s">
        <v>123</v>
      </c>
      <c r="K14" s="218" t="s">
        <v>123</v>
      </c>
      <c r="L14" s="218" t="s">
        <v>123</v>
      </c>
      <c r="M14" s="218" t="s">
        <v>123</v>
      </c>
      <c r="N14" s="218" t="s">
        <v>123</v>
      </c>
      <c r="O14" s="218" t="s">
        <v>123</v>
      </c>
      <c r="P14" s="218" t="s">
        <v>123</v>
      </c>
      <c r="Q14" s="218" t="s">
        <v>123</v>
      </c>
      <c r="R14" s="218" t="s">
        <v>123</v>
      </c>
      <c r="S14" s="218" t="s">
        <v>123</v>
      </c>
      <c r="T14" s="218" t="s">
        <v>123</v>
      </c>
      <c r="U14" s="218" t="s">
        <v>123</v>
      </c>
      <c r="V14" s="218" t="s">
        <v>123</v>
      </c>
      <c r="W14" s="218" t="s">
        <v>123</v>
      </c>
      <c r="X14" s="218" t="s">
        <v>123</v>
      </c>
      <c r="Y14" s="218" t="s">
        <v>123</v>
      </c>
      <c r="Z14" s="218" t="s">
        <v>123</v>
      </c>
      <c r="AA14" s="218" t="s">
        <v>123</v>
      </c>
      <c r="AB14" s="219" t="s">
        <v>123</v>
      </c>
      <c r="AC14" s="219" t="s">
        <v>123</v>
      </c>
      <c r="AD14" s="219" t="s">
        <v>123</v>
      </c>
      <c r="AE14" s="183"/>
      <c r="AF14" s="183"/>
      <c r="AG14" s="183"/>
    </row>
    <row r="15" spans="1:33" ht="21" x14ac:dyDescent="0.35">
      <c r="B15" s="214" t="s">
        <v>36</v>
      </c>
      <c r="C15" s="214" t="s">
        <v>36</v>
      </c>
      <c r="D15" s="215">
        <v>4058516</v>
      </c>
      <c r="E15" s="218">
        <v>90953</v>
      </c>
      <c r="F15" s="218">
        <v>83109</v>
      </c>
      <c r="G15" s="218">
        <v>83231</v>
      </c>
      <c r="H15" s="218">
        <v>79851</v>
      </c>
      <c r="I15" s="218">
        <v>68437</v>
      </c>
      <c r="J15" s="218">
        <v>73761</v>
      </c>
      <c r="K15" s="218">
        <v>70110</v>
      </c>
      <c r="L15" s="218">
        <v>67914</v>
      </c>
      <c r="M15" s="218">
        <v>65264</v>
      </c>
      <c r="N15" s="218">
        <v>62200</v>
      </c>
      <c r="O15" s="218">
        <v>59359</v>
      </c>
      <c r="P15" s="218">
        <v>55117</v>
      </c>
      <c r="Q15" s="218">
        <v>52312</v>
      </c>
      <c r="R15" s="218">
        <v>49719</v>
      </c>
      <c r="S15" s="218">
        <v>47471</v>
      </c>
      <c r="T15" s="218">
        <v>45069</v>
      </c>
      <c r="U15" s="218">
        <v>42994</v>
      </c>
      <c r="V15" s="218">
        <v>41287</v>
      </c>
      <c r="W15" s="218">
        <v>39436</v>
      </c>
      <c r="X15" s="218">
        <v>37457</v>
      </c>
      <c r="Y15" s="218">
        <v>35489</v>
      </c>
      <c r="Z15" s="218">
        <v>45779</v>
      </c>
      <c r="AA15" s="218">
        <v>43585</v>
      </c>
      <c r="AB15" s="219">
        <v>41168</v>
      </c>
      <c r="AC15" s="219">
        <v>38772</v>
      </c>
      <c r="AD15" s="219">
        <v>36576</v>
      </c>
      <c r="AE15" s="183"/>
      <c r="AF15" s="183"/>
      <c r="AG15" s="183"/>
    </row>
    <row r="16" spans="1:33" ht="21" x14ac:dyDescent="0.35">
      <c r="B16" s="214" t="s">
        <v>37</v>
      </c>
      <c r="C16" s="214" t="s">
        <v>37</v>
      </c>
      <c r="D16" s="215">
        <v>4058793</v>
      </c>
      <c r="E16" s="218" t="s">
        <v>123</v>
      </c>
      <c r="F16" s="218" t="s">
        <v>123</v>
      </c>
      <c r="G16" s="218" t="s">
        <v>123</v>
      </c>
      <c r="H16" s="218" t="s">
        <v>123</v>
      </c>
      <c r="I16" s="218" t="s">
        <v>123</v>
      </c>
      <c r="J16" s="218" t="s">
        <v>123</v>
      </c>
      <c r="K16" s="218" t="s">
        <v>123</v>
      </c>
      <c r="L16" s="218" t="s">
        <v>123</v>
      </c>
      <c r="M16" s="218" t="s">
        <v>123</v>
      </c>
      <c r="N16" s="218" t="s">
        <v>123</v>
      </c>
      <c r="O16" s="218" t="s">
        <v>123</v>
      </c>
      <c r="P16" s="218" t="s">
        <v>123</v>
      </c>
      <c r="Q16" s="218" t="s">
        <v>123</v>
      </c>
      <c r="R16" s="218">
        <v>1878</v>
      </c>
      <c r="S16" s="218">
        <v>1757</v>
      </c>
      <c r="T16" s="218">
        <v>1749</v>
      </c>
      <c r="U16" s="218">
        <v>1782</v>
      </c>
      <c r="V16" s="218">
        <v>1719</v>
      </c>
      <c r="W16" s="218" t="s">
        <v>123</v>
      </c>
      <c r="X16" s="218" t="s">
        <v>123</v>
      </c>
      <c r="Y16" s="218" t="s">
        <v>123</v>
      </c>
      <c r="Z16" s="218">
        <v>1315</v>
      </c>
      <c r="AA16" s="218">
        <v>1227</v>
      </c>
      <c r="AB16" s="219">
        <v>0</v>
      </c>
      <c r="AC16" s="219">
        <v>988</v>
      </c>
      <c r="AD16" s="219">
        <v>0</v>
      </c>
      <c r="AE16" s="183"/>
      <c r="AF16" s="183"/>
      <c r="AG16" s="183"/>
    </row>
    <row r="17" spans="1:33" ht="21" x14ac:dyDescent="0.35">
      <c r="A17" s="1" t="s">
        <v>30</v>
      </c>
      <c r="B17" s="214" t="s">
        <v>38</v>
      </c>
      <c r="C17" s="214" t="s">
        <v>38</v>
      </c>
      <c r="D17" s="215">
        <v>4057111</v>
      </c>
      <c r="E17" s="218" t="s">
        <v>123</v>
      </c>
      <c r="F17" s="218" t="s">
        <v>123</v>
      </c>
      <c r="G17" s="218" t="s">
        <v>123</v>
      </c>
      <c r="H17" s="218" t="s">
        <v>123</v>
      </c>
      <c r="I17" s="218" t="s">
        <v>123</v>
      </c>
      <c r="J17" s="218" t="s">
        <v>123</v>
      </c>
      <c r="K17" s="218" t="s">
        <v>123</v>
      </c>
      <c r="L17" s="218" t="s">
        <v>123</v>
      </c>
      <c r="M17" s="218" t="s">
        <v>123</v>
      </c>
      <c r="N17" s="218" t="s">
        <v>123</v>
      </c>
      <c r="O17" s="218" t="s">
        <v>123</v>
      </c>
      <c r="P17" s="218" t="s">
        <v>123</v>
      </c>
      <c r="Q17" s="218" t="s">
        <v>123</v>
      </c>
      <c r="R17" s="218" t="s">
        <v>123</v>
      </c>
      <c r="S17" s="218" t="s">
        <v>123</v>
      </c>
      <c r="T17" s="218" t="s">
        <v>123</v>
      </c>
      <c r="U17" s="218" t="s">
        <v>123</v>
      </c>
      <c r="V17" s="218" t="s">
        <v>123</v>
      </c>
      <c r="W17" s="218" t="s">
        <v>123</v>
      </c>
      <c r="X17" s="218" t="s">
        <v>123</v>
      </c>
      <c r="Y17" s="218" t="s">
        <v>123</v>
      </c>
      <c r="Z17" s="218" t="s">
        <v>123</v>
      </c>
      <c r="AA17" s="218" t="s">
        <v>123</v>
      </c>
      <c r="AB17" s="219">
        <v>230310</v>
      </c>
      <c r="AC17" s="219">
        <v>202810</v>
      </c>
      <c r="AD17" s="219">
        <v>177742</v>
      </c>
      <c r="AE17" s="183"/>
      <c r="AF17" s="183"/>
      <c r="AG17" s="183"/>
    </row>
    <row r="18" spans="1:33" ht="21" x14ac:dyDescent="0.35">
      <c r="A18" s="1" t="s">
        <v>30</v>
      </c>
      <c r="B18" s="214" t="s">
        <v>39</v>
      </c>
      <c r="C18" s="214" t="s">
        <v>39</v>
      </c>
      <c r="D18" s="215">
        <v>4018679</v>
      </c>
      <c r="E18" s="218">
        <v>884433</v>
      </c>
      <c r="F18" s="218">
        <v>830889</v>
      </c>
      <c r="G18" s="218">
        <v>908136</v>
      </c>
      <c r="H18" s="218">
        <v>920347</v>
      </c>
      <c r="I18" s="218">
        <v>894049</v>
      </c>
      <c r="J18" s="218">
        <v>948087</v>
      </c>
      <c r="K18" s="218">
        <v>957734</v>
      </c>
      <c r="L18" s="218">
        <v>948172</v>
      </c>
      <c r="M18" s="218">
        <v>880338</v>
      </c>
      <c r="N18" s="218">
        <v>875514</v>
      </c>
      <c r="O18" s="218">
        <v>817471</v>
      </c>
      <c r="P18" s="218">
        <v>765812</v>
      </c>
      <c r="Q18" s="218">
        <v>716513</v>
      </c>
      <c r="R18" s="218">
        <v>665940</v>
      </c>
      <c r="S18" s="218">
        <v>606347</v>
      </c>
      <c r="T18" s="218">
        <v>586107</v>
      </c>
      <c r="U18" s="218">
        <v>549467</v>
      </c>
      <c r="V18" s="218">
        <v>514524</v>
      </c>
      <c r="W18" s="218">
        <v>476214</v>
      </c>
      <c r="X18" s="218">
        <v>444780</v>
      </c>
      <c r="Y18" s="218">
        <v>400567</v>
      </c>
      <c r="Z18" s="218">
        <v>375172</v>
      </c>
      <c r="AA18" s="218">
        <v>343754</v>
      </c>
      <c r="AB18" s="219">
        <v>314321</v>
      </c>
      <c r="AC18" s="219">
        <v>277401</v>
      </c>
      <c r="AD18" s="219">
        <v>252760</v>
      </c>
      <c r="AE18" s="183"/>
      <c r="AF18" s="183"/>
      <c r="AG18" s="183"/>
    </row>
    <row r="19" spans="1:33" ht="21" x14ac:dyDescent="0.35">
      <c r="B19" s="214" t="s">
        <v>40</v>
      </c>
      <c r="C19" s="214" t="s">
        <v>40</v>
      </c>
      <c r="D19" s="215">
        <v>4057112</v>
      </c>
      <c r="E19" s="218">
        <v>464076</v>
      </c>
      <c r="F19" s="218">
        <v>445692</v>
      </c>
      <c r="G19" s="218">
        <v>428550</v>
      </c>
      <c r="H19" s="218">
        <v>420420</v>
      </c>
      <c r="I19" s="218">
        <v>401047</v>
      </c>
      <c r="J19" s="218">
        <v>383849</v>
      </c>
      <c r="K19" s="218">
        <v>363333</v>
      </c>
      <c r="L19" s="218">
        <v>347102</v>
      </c>
      <c r="M19" s="218">
        <v>331934</v>
      </c>
      <c r="N19" s="218">
        <v>316517</v>
      </c>
      <c r="O19" s="218">
        <v>301431</v>
      </c>
      <c r="P19" s="218">
        <v>286359</v>
      </c>
      <c r="Q19" s="218">
        <v>270926</v>
      </c>
      <c r="R19" s="218">
        <v>256816</v>
      </c>
      <c r="S19" s="218">
        <v>242227</v>
      </c>
      <c r="T19" s="218">
        <v>228552</v>
      </c>
      <c r="U19" s="218">
        <v>216083</v>
      </c>
      <c r="V19" s="218">
        <v>202689</v>
      </c>
      <c r="W19" s="218">
        <v>152003</v>
      </c>
      <c r="X19" s="218">
        <v>178860</v>
      </c>
      <c r="Y19" s="218">
        <v>167411</v>
      </c>
      <c r="Z19" s="218">
        <v>156246</v>
      </c>
      <c r="AA19" s="218">
        <v>145598</v>
      </c>
      <c r="AB19" s="219">
        <v>123610</v>
      </c>
      <c r="AC19" s="219">
        <v>113434</v>
      </c>
      <c r="AD19" s="219">
        <v>104174</v>
      </c>
      <c r="AE19" s="183"/>
      <c r="AF19" s="183"/>
      <c r="AG19" s="183"/>
    </row>
    <row r="20" spans="1:33" ht="21" x14ac:dyDescent="0.35">
      <c r="A20" s="1" t="s">
        <v>30</v>
      </c>
      <c r="B20" s="214" t="s">
        <v>41</v>
      </c>
      <c r="C20" s="214" t="s">
        <v>41</v>
      </c>
      <c r="D20" s="215">
        <v>4057076</v>
      </c>
      <c r="E20" s="218" t="s">
        <v>123</v>
      </c>
      <c r="F20" s="218">
        <v>100143</v>
      </c>
      <c r="G20" s="218">
        <v>95576</v>
      </c>
      <c r="H20" s="218">
        <v>92315</v>
      </c>
      <c r="I20" s="218">
        <v>90203</v>
      </c>
      <c r="J20" s="218">
        <v>87192</v>
      </c>
      <c r="K20" s="218">
        <v>84618</v>
      </c>
      <c r="L20" s="218">
        <v>78709</v>
      </c>
      <c r="M20" s="218">
        <v>75443</v>
      </c>
      <c r="N20" s="218">
        <v>71549</v>
      </c>
      <c r="O20" s="218">
        <v>67170</v>
      </c>
      <c r="P20" s="218">
        <v>62761</v>
      </c>
      <c r="Q20" s="218">
        <v>56075</v>
      </c>
      <c r="R20" s="218">
        <v>53593</v>
      </c>
      <c r="S20" s="218">
        <v>52862</v>
      </c>
      <c r="T20" s="218">
        <v>49636</v>
      </c>
      <c r="U20" s="218">
        <v>46729</v>
      </c>
      <c r="V20" s="218">
        <v>44335</v>
      </c>
      <c r="W20" s="218">
        <v>41719</v>
      </c>
      <c r="X20" s="218">
        <v>39224</v>
      </c>
      <c r="Y20" s="218">
        <v>36972</v>
      </c>
      <c r="Z20" s="218">
        <v>34373</v>
      </c>
      <c r="AA20" s="218">
        <v>32003</v>
      </c>
      <c r="AB20" s="219" t="s">
        <v>123</v>
      </c>
      <c r="AC20" s="219">
        <v>28215</v>
      </c>
      <c r="AD20" s="219">
        <v>26366</v>
      </c>
      <c r="AE20" s="183"/>
      <c r="AF20" s="183"/>
      <c r="AG20" s="183"/>
    </row>
    <row r="21" spans="1:33" ht="21" x14ac:dyDescent="0.35">
      <c r="B21" s="214" t="s">
        <v>42</v>
      </c>
      <c r="C21" s="214" t="s">
        <v>42</v>
      </c>
      <c r="D21" s="215">
        <v>4059166</v>
      </c>
      <c r="E21" s="218">
        <v>116466</v>
      </c>
      <c r="F21" s="218">
        <v>111653</v>
      </c>
      <c r="G21" s="218">
        <v>107042</v>
      </c>
      <c r="H21" s="218">
        <v>102606</v>
      </c>
      <c r="I21" s="218">
        <v>100592</v>
      </c>
      <c r="J21" s="218">
        <v>96824</v>
      </c>
      <c r="K21" s="218">
        <v>94491</v>
      </c>
      <c r="L21" s="218">
        <v>94914</v>
      </c>
      <c r="M21" s="218">
        <v>90611</v>
      </c>
      <c r="N21" s="218">
        <v>88348</v>
      </c>
      <c r="O21" s="218">
        <v>85441</v>
      </c>
      <c r="P21" s="218">
        <v>80499</v>
      </c>
      <c r="Q21" s="218">
        <v>75178</v>
      </c>
      <c r="R21" s="218">
        <v>72357</v>
      </c>
      <c r="S21" s="218">
        <v>67686</v>
      </c>
      <c r="T21" s="218">
        <v>63037</v>
      </c>
      <c r="U21" s="218" t="s">
        <v>123</v>
      </c>
      <c r="V21" s="218" t="s">
        <v>123</v>
      </c>
      <c r="W21" s="218" t="s">
        <v>123</v>
      </c>
      <c r="X21" s="218" t="s">
        <v>123</v>
      </c>
      <c r="Y21" s="218">
        <v>42287</v>
      </c>
      <c r="Z21" s="218" t="s">
        <v>123</v>
      </c>
      <c r="AA21" s="218" t="s">
        <v>123</v>
      </c>
      <c r="AB21" s="219">
        <v>32493</v>
      </c>
      <c r="AC21" s="219">
        <v>29211</v>
      </c>
      <c r="AD21" s="219">
        <v>26445</v>
      </c>
      <c r="AE21" s="183"/>
      <c r="AF21" s="183"/>
      <c r="AG21" s="183"/>
    </row>
    <row r="22" spans="1:33" ht="21" x14ac:dyDescent="0.35">
      <c r="B22" s="214" t="s">
        <v>43</v>
      </c>
      <c r="C22" s="214" t="s">
        <v>43</v>
      </c>
      <c r="D22" s="215">
        <v>4059227</v>
      </c>
      <c r="E22" s="218" t="s">
        <v>123</v>
      </c>
      <c r="F22" s="218" t="s">
        <v>123</v>
      </c>
      <c r="G22" s="218" t="s">
        <v>123</v>
      </c>
      <c r="H22" s="218" t="s">
        <v>123</v>
      </c>
      <c r="I22" s="218" t="s">
        <v>123</v>
      </c>
      <c r="J22" s="218" t="s">
        <v>123</v>
      </c>
      <c r="K22" s="218" t="s">
        <v>123</v>
      </c>
      <c r="L22" s="218" t="s">
        <v>123</v>
      </c>
      <c r="M22" s="218" t="s">
        <v>123</v>
      </c>
      <c r="N22" s="218" t="s">
        <v>123</v>
      </c>
      <c r="O22" s="218" t="s">
        <v>123</v>
      </c>
      <c r="P22" s="218" t="s">
        <v>123</v>
      </c>
      <c r="Q22" s="218" t="s">
        <v>123</v>
      </c>
      <c r="R22" s="218" t="s">
        <v>123</v>
      </c>
      <c r="S22" s="218" t="s">
        <v>123</v>
      </c>
      <c r="T22" s="218" t="s">
        <v>123</v>
      </c>
      <c r="U22" s="218" t="s">
        <v>123</v>
      </c>
      <c r="V22" s="218" t="s">
        <v>123</v>
      </c>
      <c r="W22" s="218" t="s">
        <v>123</v>
      </c>
      <c r="X22" s="218" t="s">
        <v>123</v>
      </c>
      <c r="Y22" s="218" t="s">
        <v>123</v>
      </c>
      <c r="Z22" s="218" t="s">
        <v>123</v>
      </c>
      <c r="AA22" s="218" t="s">
        <v>123</v>
      </c>
      <c r="AB22" s="219" t="s">
        <v>123</v>
      </c>
      <c r="AC22" s="219">
        <v>7709</v>
      </c>
      <c r="AD22" s="219">
        <v>7768</v>
      </c>
      <c r="AE22" s="183"/>
      <c r="AF22" s="183"/>
      <c r="AG22" s="183"/>
    </row>
    <row r="23" spans="1:33" ht="21" x14ac:dyDescent="0.35">
      <c r="A23" s="1" t="s">
        <v>30</v>
      </c>
      <c r="B23" s="214" t="s">
        <v>44</v>
      </c>
      <c r="C23" s="214" t="s">
        <v>44</v>
      </c>
      <c r="D23" s="215">
        <v>4057114</v>
      </c>
      <c r="E23" s="218" t="s">
        <v>123</v>
      </c>
      <c r="F23" s="218" t="s">
        <v>123</v>
      </c>
      <c r="G23" s="218" t="s">
        <v>123</v>
      </c>
      <c r="H23" s="218" t="s">
        <v>123</v>
      </c>
      <c r="I23" s="218" t="s">
        <v>123</v>
      </c>
      <c r="J23" s="218" t="s">
        <v>123</v>
      </c>
      <c r="K23" s="218" t="s">
        <v>123</v>
      </c>
      <c r="L23" s="218" t="s">
        <v>123</v>
      </c>
      <c r="M23" s="218" t="s">
        <v>123</v>
      </c>
      <c r="N23" s="218" t="s">
        <v>123</v>
      </c>
      <c r="O23" s="218" t="s">
        <v>123</v>
      </c>
      <c r="P23" s="218" t="s">
        <v>123</v>
      </c>
      <c r="Q23" s="218" t="s">
        <v>123</v>
      </c>
      <c r="R23" s="218" t="s">
        <v>123</v>
      </c>
      <c r="S23" s="218" t="s">
        <v>123</v>
      </c>
      <c r="T23" s="218" t="s">
        <v>123</v>
      </c>
      <c r="U23" s="218" t="s">
        <v>123</v>
      </c>
      <c r="V23" s="218" t="s">
        <v>123</v>
      </c>
      <c r="W23" s="218" t="s">
        <v>123</v>
      </c>
      <c r="X23" s="218" t="s">
        <v>123</v>
      </c>
      <c r="Y23" s="218" t="s">
        <v>123</v>
      </c>
      <c r="Z23" s="218" t="s">
        <v>123</v>
      </c>
      <c r="AA23" s="218" t="s">
        <v>123</v>
      </c>
      <c r="AB23" s="219" t="s">
        <v>123</v>
      </c>
      <c r="AC23" s="219" t="s">
        <v>123</v>
      </c>
      <c r="AD23" s="219" t="s">
        <v>123</v>
      </c>
      <c r="AE23" s="183"/>
      <c r="AF23" s="183"/>
      <c r="AG23" s="183"/>
    </row>
    <row r="24" spans="1:33" ht="21" x14ac:dyDescent="0.35">
      <c r="B24" s="214" t="s">
        <v>45</v>
      </c>
      <c r="C24" s="214" t="s">
        <v>45</v>
      </c>
      <c r="D24" s="215">
        <v>4059355</v>
      </c>
      <c r="E24" s="218">
        <v>161472</v>
      </c>
      <c r="F24" s="218">
        <v>157411</v>
      </c>
      <c r="G24" s="218">
        <v>152230</v>
      </c>
      <c r="H24" s="218">
        <v>146970</v>
      </c>
      <c r="I24" s="218">
        <v>140752</v>
      </c>
      <c r="J24" s="218">
        <v>137047</v>
      </c>
      <c r="K24" s="218">
        <v>132046</v>
      </c>
      <c r="L24" s="218">
        <v>129304</v>
      </c>
      <c r="M24" s="218">
        <v>126822</v>
      </c>
      <c r="N24" s="218">
        <v>124253</v>
      </c>
      <c r="O24" s="218">
        <v>120907</v>
      </c>
      <c r="P24" s="218">
        <v>116859</v>
      </c>
      <c r="Q24" s="218">
        <v>115070</v>
      </c>
      <c r="R24" s="218">
        <v>112207</v>
      </c>
      <c r="S24" s="218">
        <v>109630</v>
      </c>
      <c r="T24" s="218">
        <v>106587</v>
      </c>
      <c r="U24" s="218">
        <v>103376</v>
      </c>
      <c r="V24" s="218">
        <v>103190</v>
      </c>
      <c r="W24" s="218">
        <v>100934</v>
      </c>
      <c r="X24" s="218">
        <v>94318</v>
      </c>
      <c r="Y24" s="218" t="s">
        <v>123</v>
      </c>
      <c r="Z24" s="218">
        <v>83207</v>
      </c>
      <c r="AA24" s="218">
        <v>77619</v>
      </c>
      <c r="AB24" s="219">
        <v>72845</v>
      </c>
      <c r="AC24" s="219">
        <v>67855</v>
      </c>
      <c r="AD24" s="219">
        <v>63047</v>
      </c>
      <c r="AE24" s="183"/>
      <c r="AF24" s="183"/>
      <c r="AG24" s="183"/>
    </row>
    <row r="25" spans="1:33" ht="21" x14ac:dyDescent="0.35">
      <c r="B25" s="214" t="s">
        <v>46</v>
      </c>
      <c r="C25" s="214" t="s">
        <v>46</v>
      </c>
      <c r="D25" s="215">
        <v>4088325</v>
      </c>
      <c r="E25" s="218">
        <v>59959</v>
      </c>
      <c r="F25" s="218">
        <v>57307</v>
      </c>
      <c r="G25" s="218">
        <v>54223</v>
      </c>
      <c r="H25" s="218">
        <v>51742</v>
      </c>
      <c r="I25" s="218">
        <v>50168</v>
      </c>
      <c r="J25" s="218">
        <v>48866</v>
      </c>
      <c r="K25" s="218">
        <v>46704</v>
      </c>
      <c r="L25" s="218">
        <v>45645</v>
      </c>
      <c r="M25" s="218">
        <v>45096</v>
      </c>
      <c r="N25" s="218">
        <v>43960</v>
      </c>
      <c r="O25" s="218">
        <v>43718</v>
      </c>
      <c r="P25" s="218">
        <v>43251</v>
      </c>
      <c r="Q25" s="218">
        <v>42735</v>
      </c>
      <c r="R25" s="218">
        <v>41417</v>
      </c>
      <c r="S25" s="218">
        <v>40227</v>
      </c>
      <c r="T25" s="218">
        <v>38321</v>
      </c>
      <c r="U25" s="218">
        <v>36733</v>
      </c>
      <c r="V25" s="218">
        <v>35195</v>
      </c>
      <c r="W25" s="218" t="s">
        <v>123</v>
      </c>
      <c r="X25" s="218" t="s">
        <v>123</v>
      </c>
      <c r="Y25" s="218" t="s">
        <v>123</v>
      </c>
      <c r="Z25" s="218">
        <v>29035</v>
      </c>
      <c r="AA25" s="218">
        <v>27613</v>
      </c>
      <c r="AB25" s="219">
        <v>26622</v>
      </c>
      <c r="AC25" s="219">
        <v>24969</v>
      </c>
      <c r="AD25" s="219">
        <v>23341</v>
      </c>
      <c r="AE25" s="183"/>
      <c r="AF25" s="183"/>
      <c r="AG25" s="183"/>
    </row>
    <row r="26" spans="1:33" ht="21" x14ac:dyDescent="0.35">
      <c r="B26" s="214" t="s">
        <v>47</v>
      </c>
      <c r="C26" s="214" t="s">
        <v>47</v>
      </c>
      <c r="D26" s="215">
        <v>4088326</v>
      </c>
      <c r="E26" s="218">
        <v>1216654</v>
      </c>
      <c r="F26" s="218">
        <v>1144140</v>
      </c>
      <c r="G26" s="218">
        <v>1066738</v>
      </c>
      <c r="H26" s="218">
        <v>992013</v>
      </c>
      <c r="I26" s="218">
        <v>941248</v>
      </c>
      <c r="J26" s="218">
        <v>912285</v>
      </c>
      <c r="K26" s="218">
        <v>857508</v>
      </c>
      <c r="L26" s="218">
        <v>817111</v>
      </c>
      <c r="M26" s="218">
        <v>786624</v>
      </c>
      <c r="N26" s="218">
        <v>752005</v>
      </c>
      <c r="O26" s="218">
        <v>734850</v>
      </c>
      <c r="P26" s="218">
        <v>698185</v>
      </c>
      <c r="Q26" s="218">
        <v>665062</v>
      </c>
      <c r="R26" s="218">
        <v>636129</v>
      </c>
      <c r="S26" s="218">
        <v>606075</v>
      </c>
      <c r="T26" s="218">
        <v>577138</v>
      </c>
      <c r="U26" s="218">
        <v>550159</v>
      </c>
      <c r="V26" s="218">
        <v>548073</v>
      </c>
      <c r="W26" s="218">
        <v>549648</v>
      </c>
      <c r="X26" s="218">
        <v>552586</v>
      </c>
      <c r="Y26" s="218" t="s">
        <v>123</v>
      </c>
      <c r="Z26" s="218">
        <v>554664</v>
      </c>
      <c r="AA26" s="218">
        <v>566971</v>
      </c>
      <c r="AB26" s="219">
        <v>537393</v>
      </c>
      <c r="AC26" s="219">
        <v>503527</v>
      </c>
      <c r="AD26" s="219">
        <v>476408</v>
      </c>
      <c r="AE26" s="183"/>
      <c r="AF26" s="183"/>
      <c r="AG26" s="183"/>
    </row>
    <row r="27" spans="1:33" ht="21" x14ac:dyDescent="0.35">
      <c r="A27" s="1" t="s">
        <v>30</v>
      </c>
      <c r="B27" s="214" t="s">
        <v>48</v>
      </c>
      <c r="C27" s="214" t="s">
        <v>48</v>
      </c>
      <c r="D27" s="215">
        <v>4059358</v>
      </c>
      <c r="E27" s="218" t="s">
        <v>123</v>
      </c>
      <c r="F27" s="218" t="s">
        <v>123</v>
      </c>
      <c r="G27" s="218" t="s">
        <v>123</v>
      </c>
      <c r="H27" s="218" t="s">
        <v>123</v>
      </c>
      <c r="I27" s="218" t="s">
        <v>123</v>
      </c>
      <c r="J27" s="218" t="s">
        <v>123</v>
      </c>
      <c r="K27" s="218" t="s">
        <v>123</v>
      </c>
      <c r="L27" s="218" t="s">
        <v>123</v>
      </c>
      <c r="M27" s="218" t="s">
        <v>123</v>
      </c>
      <c r="N27" s="218" t="s">
        <v>123</v>
      </c>
      <c r="O27" s="218" t="s">
        <v>123</v>
      </c>
      <c r="P27" s="218" t="s">
        <v>123</v>
      </c>
      <c r="Q27" s="218" t="s">
        <v>123</v>
      </c>
      <c r="R27" s="218" t="s">
        <v>123</v>
      </c>
      <c r="S27" s="218" t="s">
        <v>123</v>
      </c>
      <c r="T27" s="218" t="s">
        <v>123</v>
      </c>
      <c r="U27" s="218" t="s">
        <v>123</v>
      </c>
      <c r="V27" s="218" t="s">
        <v>123</v>
      </c>
      <c r="W27" s="218" t="s">
        <v>123</v>
      </c>
      <c r="X27" s="218" t="s">
        <v>123</v>
      </c>
      <c r="Y27" s="218">
        <v>612</v>
      </c>
      <c r="Z27" s="218" t="s">
        <v>123</v>
      </c>
      <c r="AA27" s="218" t="s">
        <v>123</v>
      </c>
      <c r="AB27" s="219" t="s">
        <v>123</v>
      </c>
      <c r="AC27" s="219" t="s">
        <v>123</v>
      </c>
      <c r="AD27" s="219" t="s">
        <v>123</v>
      </c>
      <c r="AE27" s="183"/>
      <c r="AF27" s="183"/>
      <c r="AG27" s="183"/>
    </row>
    <row r="28" spans="1:33" ht="21" x14ac:dyDescent="0.35">
      <c r="B28" s="214" t="s">
        <v>49</v>
      </c>
      <c r="C28" s="214" t="s">
        <v>49</v>
      </c>
      <c r="D28" s="215">
        <v>4059359</v>
      </c>
      <c r="E28" s="218">
        <v>386977</v>
      </c>
      <c r="F28" s="218">
        <v>365219</v>
      </c>
      <c r="G28" s="218">
        <v>342787</v>
      </c>
      <c r="H28" s="218">
        <v>1647</v>
      </c>
      <c r="I28" s="218">
        <v>297907</v>
      </c>
      <c r="J28" s="218">
        <v>277290</v>
      </c>
      <c r="K28" s="218">
        <v>258318</v>
      </c>
      <c r="L28" s="218">
        <v>240514</v>
      </c>
      <c r="M28" s="218">
        <v>224078</v>
      </c>
      <c r="N28" s="218">
        <v>209921</v>
      </c>
      <c r="O28" s="218">
        <v>195393</v>
      </c>
      <c r="P28" s="218">
        <v>182478</v>
      </c>
      <c r="Q28" s="218">
        <v>169617</v>
      </c>
      <c r="R28" s="218">
        <v>157734</v>
      </c>
      <c r="S28" s="218">
        <v>147230</v>
      </c>
      <c r="T28" s="218">
        <v>136362</v>
      </c>
      <c r="U28" s="218">
        <v>124789</v>
      </c>
      <c r="V28" s="218" t="s">
        <v>123</v>
      </c>
      <c r="W28" s="218" t="s">
        <v>123</v>
      </c>
      <c r="X28" s="218" t="s">
        <v>123</v>
      </c>
      <c r="Y28" s="218" t="s">
        <v>123</v>
      </c>
      <c r="Z28" s="218" t="s">
        <v>123</v>
      </c>
      <c r="AA28" s="218">
        <v>74437</v>
      </c>
      <c r="AB28" s="219">
        <v>68964</v>
      </c>
      <c r="AC28" s="219" t="s">
        <v>123</v>
      </c>
      <c r="AD28" s="219" t="s">
        <v>123</v>
      </c>
      <c r="AE28" s="183"/>
      <c r="AF28" s="183"/>
      <c r="AG28" s="183"/>
    </row>
    <row r="29" spans="1:33" ht="21" x14ac:dyDescent="0.35">
      <c r="A29" s="1" t="s">
        <v>30</v>
      </c>
      <c r="B29" s="214" t="s">
        <v>50</v>
      </c>
      <c r="C29" s="214" t="s">
        <v>50</v>
      </c>
      <c r="D29" s="215">
        <v>4059402</v>
      </c>
      <c r="E29" s="218">
        <v>505292</v>
      </c>
      <c r="F29" s="218">
        <v>486016</v>
      </c>
      <c r="G29" s="218">
        <v>460098</v>
      </c>
      <c r="H29" s="218">
        <v>449483</v>
      </c>
      <c r="I29" s="218" t="s">
        <v>123</v>
      </c>
      <c r="J29" s="218">
        <v>398814</v>
      </c>
      <c r="K29" s="218">
        <v>375907</v>
      </c>
      <c r="L29" s="218">
        <v>356209</v>
      </c>
      <c r="M29" s="218">
        <v>333099</v>
      </c>
      <c r="N29" s="218">
        <v>312911</v>
      </c>
      <c r="O29" s="218">
        <v>294936</v>
      </c>
      <c r="P29" s="218">
        <v>284015</v>
      </c>
      <c r="Q29" s="218">
        <v>257375</v>
      </c>
      <c r="R29" s="218">
        <v>243375</v>
      </c>
      <c r="S29" s="218">
        <v>232887</v>
      </c>
      <c r="T29" s="218">
        <v>215612</v>
      </c>
      <c r="U29" s="218">
        <v>207297</v>
      </c>
      <c r="V29" s="218">
        <v>191074</v>
      </c>
      <c r="W29" s="218" t="s">
        <v>123</v>
      </c>
      <c r="X29" s="218" t="s">
        <v>123</v>
      </c>
      <c r="Y29" s="218" t="s">
        <v>123</v>
      </c>
      <c r="Z29" s="218">
        <v>132849</v>
      </c>
      <c r="AA29" s="218">
        <v>121908</v>
      </c>
      <c r="AB29" s="219">
        <v>109682</v>
      </c>
      <c r="AC29" s="219">
        <v>99005</v>
      </c>
      <c r="AD29" s="219">
        <v>89449</v>
      </c>
      <c r="AE29" s="183"/>
      <c r="AF29" s="183"/>
      <c r="AG29" s="183"/>
    </row>
    <row r="30" spans="1:33" ht="21" x14ac:dyDescent="0.35">
      <c r="A30" s="1" t="s">
        <v>30</v>
      </c>
      <c r="B30" s="214" t="s">
        <v>51</v>
      </c>
      <c r="C30" s="214" t="s">
        <v>51</v>
      </c>
      <c r="D30" s="215">
        <v>4057080</v>
      </c>
      <c r="E30" s="218">
        <v>1395185</v>
      </c>
      <c r="F30" s="218">
        <v>1276174</v>
      </c>
      <c r="G30" s="218">
        <v>1212731</v>
      </c>
      <c r="H30" s="218">
        <v>1128699</v>
      </c>
      <c r="I30" s="218">
        <v>1109522</v>
      </c>
      <c r="J30" s="218">
        <v>1053743</v>
      </c>
      <c r="K30" s="218">
        <v>1004884</v>
      </c>
      <c r="L30" s="218">
        <v>952542</v>
      </c>
      <c r="M30" s="218">
        <v>882724</v>
      </c>
      <c r="N30" s="218">
        <v>811630</v>
      </c>
      <c r="O30" s="218">
        <v>749635</v>
      </c>
      <c r="P30" s="218">
        <v>697168</v>
      </c>
      <c r="Q30" s="218">
        <v>654655</v>
      </c>
      <c r="R30" s="218">
        <v>618997</v>
      </c>
      <c r="S30" s="218">
        <v>579904</v>
      </c>
      <c r="T30" s="218">
        <v>537924</v>
      </c>
      <c r="U30" s="218">
        <v>500384</v>
      </c>
      <c r="V30" s="218">
        <v>462602</v>
      </c>
      <c r="W30" s="218">
        <v>431102</v>
      </c>
      <c r="X30" s="218">
        <v>404890</v>
      </c>
      <c r="Y30" s="218">
        <v>377575</v>
      </c>
      <c r="Z30" s="218">
        <v>348410</v>
      </c>
      <c r="AA30" s="218">
        <v>318915</v>
      </c>
      <c r="AB30" s="219">
        <v>291426</v>
      </c>
      <c r="AC30" s="219">
        <v>268640</v>
      </c>
      <c r="AD30" s="219">
        <v>245351</v>
      </c>
      <c r="AE30" s="183"/>
      <c r="AF30" s="183"/>
      <c r="AG30" s="183"/>
    </row>
    <row r="31" spans="1:33" ht="21" x14ac:dyDescent="0.35">
      <c r="B31" s="214" t="s">
        <v>52</v>
      </c>
      <c r="C31" s="214" t="s">
        <v>52</v>
      </c>
      <c r="D31" s="215">
        <v>4057081</v>
      </c>
      <c r="E31" s="218">
        <v>2413834</v>
      </c>
      <c r="F31" s="218">
        <v>2295251</v>
      </c>
      <c r="G31" s="218">
        <v>2178057</v>
      </c>
      <c r="H31" s="218">
        <v>2074548</v>
      </c>
      <c r="I31" s="218">
        <v>1984804</v>
      </c>
      <c r="J31" s="218">
        <v>1905140</v>
      </c>
      <c r="K31" s="218">
        <v>1836225</v>
      </c>
      <c r="L31" s="218">
        <v>1776417</v>
      </c>
      <c r="M31" s="218">
        <v>1714727</v>
      </c>
      <c r="N31" s="218">
        <v>1647763</v>
      </c>
      <c r="O31" s="218">
        <v>1586520</v>
      </c>
      <c r="P31" s="218">
        <v>1528832</v>
      </c>
      <c r="Q31" s="218">
        <v>1478542</v>
      </c>
      <c r="R31" s="218">
        <v>1402450</v>
      </c>
      <c r="S31" s="218">
        <v>1468887</v>
      </c>
      <c r="T31" s="218">
        <v>1397984</v>
      </c>
      <c r="U31" s="218">
        <v>1328511</v>
      </c>
      <c r="V31" s="218">
        <v>1263590</v>
      </c>
      <c r="W31" s="218">
        <v>1180196</v>
      </c>
      <c r="X31" s="218">
        <v>1098892</v>
      </c>
      <c r="Y31" s="218">
        <v>1023095</v>
      </c>
      <c r="Z31" s="218">
        <v>962316</v>
      </c>
      <c r="AA31" s="218">
        <v>893628</v>
      </c>
      <c r="AB31" s="219">
        <v>835087</v>
      </c>
      <c r="AC31" s="219">
        <v>778863</v>
      </c>
      <c r="AD31" s="219">
        <v>731258</v>
      </c>
      <c r="AE31" s="183"/>
      <c r="AF31" s="183"/>
      <c r="AG31" s="183"/>
    </row>
    <row r="32" spans="1:33" ht="21" x14ac:dyDescent="0.35">
      <c r="A32" s="1" t="s">
        <v>30</v>
      </c>
      <c r="B32" s="214" t="s">
        <v>53</v>
      </c>
      <c r="C32" s="214" t="s">
        <v>53</v>
      </c>
      <c r="D32" s="215">
        <v>4059459</v>
      </c>
      <c r="E32" s="218">
        <v>7587</v>
      </c>
      <c r="F32" s="218">
        <v>7145</v>
      </c>
      <c r="G32" s="218">
        <v>6688</v>
      </c>
      <c r="H32" s="218">
        <v>6228</v>
      </c>
      <c r="I32" s="218">
        <v>9450</v>
      </c>
      <c r="J32" s="218">
        <v>12520</v>
      </c>
      <c r="K32" s="218">
        <v>11660</v>
      </c>
      <c r="L32" s="218">
        <v>11049</v>
      </c>
      <c r="M32" s="218">
        <v>9146</v>
      </c>
      <c r="N32" s="218">
        <v>7704</v>
      </c>
      <c r="O32" s="218">
        <v>6372</v>
      </c>
      <c r="P32" s="218">
        <v>5815</v>
      </c>
      <c r="Q32" s="218">
        <v>5174</v>
      </c>
      <c r="R32" s="218">
        <v>4861</v>
      </c>
      <c r="S32" s="218">
        <v>4561</v>
      </c>
      <c r="T32" s="218">
        <v>4323</v>
      </c>
      <c r="U32" s="218">
        <v>4099</v>
      </c>
      <c r="V32" s="218">
        <v>3919</v>
      </c>
      <c r="W32" s="218">
        <v>3695</v>
      </c>
      <c r="X32" s="218">
        <v>3508</v>
      </c>
      <c r="Y32" s="218">
        <v>3302</v>
      </c>
      <c r="Z32" s="218">
        <v>3081</v>
      </c>
      <c r="AA32" s="218">
        <v>2904</v>
      </c>
      <c r="AB32" s="219">
        <v>2712</v>
      </c>
      <c r="AC32" s="219">
        <v>2546</v>
      </c>
      <c r="AD32" s="219">
        <v>2381</v>
      </c>
      <c r="AE32" s="183"/>
      <c r="AF32" s="183"/>
      <c r="AG32" s="183"/>
    </row>
    <row r="33" spans="2:33" ht="21" x14ac:dyDescent="0.35">
      <c r="B33" s="214" t="s">
        <v>54</v>
      </c>
      <c r="C33" s="214" t="s">
        <v>54</v>
      </c>
      <c r="D33" s="215">
        <v>4057118</v>
      </c>
      <c r="E33" s="218">
        <v>58500</v>
      </c>
      <c r="F33" s="218">
        <v>58547</v>
      </c>
      <c r="G33" s="218">
        <v>58542</v>
      </c>
      <c r="H33" s="218">
        <v>52414</v>
      </c>
      <c r="I33" s="218">
        <v>50268</v>
      </c>
      <c r="J33" s="218">
        <v>47346</v>
      </c>
      <c r="K33" s="218">
        <v>44842</v>
      </c>
      <c r="L33" s="218">
        <v>41612</v>
      </c>
      <c r="M33" s="218">
        <v>39126</v>
      </c>
      <c r="N33" s="218">
        <v>36923</v>
      </c>
      <c r="O33" s="218">
        <v>34617</v>
      </c>
      <c r="P33" s="218">
        <v>33818</v>
      </c>
      <c r="Q33" s="218">
        <v>32965</v>
      </c>
      <c r="R33" s="218">
        <v>32424</v>
      </c>
      <c r="S33" s="218">
        <v>30164</v>
      </c>
      <c r="T33" s="218">
        <v>27911</v>
      </c>
      <c r="U33" s="218">
        <v>25847</v>
      </c>
      <c r="V33" s="218">
        <v>24640</v>
      </c>
      <c r="W33" s="218">
        <v>22667</v>
      </c>
      <c r="X33" s="218">
        <v>21050</v>
      </c>
      <c r="Y33" s="218">
        <v>19340</v>
      </c>
      <c r="Z33" s="218">
        <v>17844</v>
      </c>
      <c r="AA33" s="218">
        <v>16184</v>
      </c>
      <c r="AB33" s="219">
        <v>14974</v>
      </c>
      <c r="AC33" s="219">
        <v>13763</v>
      </c>
      <c r="AD33" s="219">
        <v>12577</v>
      </c>
      <c r="AE33" s="183"/>
      <c r="AF33" s="183"/>
      <c r="AG33" s="183"/>
    </row>
    <row r="34" spans="2:33" ht="21" x14ac:dyDescent="0.35">
      <c r="B34" s="214" t="s">
        <v>55</v>
      </c>
      <c r="C34" s="214" t="s">
        <v>55</v>
      </c>
      <c r="D34" s="215">
        <v>4057126</v>
      </c>
      <c r="E34" s="218">
        <v>1551375</v>
      </c>
      <c r="F34" s="218">
        <v>1537280</v>
      </c>
      <c r="G34" s="218">
        <v>1520250</v>
      </c>
      <c r="H34" s="218">
        <v>1488262</v>
      </c>
      <c r="I34" s="218">
        <v>1445931</v>
      </c>
      <c r="J34" s="218">
        <v>1431410</v>
      </c>
      <c r="K34" s="218">
        <v>1411153</v>
      </c>
      <c r="L34" s="218">
        <v>1404631</v>
      </c>
      <c r="M34" s="218">
        <v>1379765</v>
      </c>
      <c r="N34" s="218">
        <v>1363076</v>
      </c>
      <c r="O34" s="218">
        <v>1337175</v>
      </c>
      <c r="P34" s="218">
        <v>1324505</v>
      </c>
      <c r="Q34" s="218">
        <v>1298639</v>
      </c>
      <c r="R34" s="218">
        <v>1303573</v>
      </c>
      <c r="S34" s="218">
        <v>1253416</v>
      </c>
      <c r="T34" s="218">
        <v>1294393</v>
      </c>
      <c r="U34" s="218">
        <v>1247606</v>
      </c>
      <c r="V34" s="218">
        <v>1184337</v>
      </c>
      <c r="W34" s="218">
        <v>1126677</v>
      </c>
      <c r="X34" s="218">
        <v>1070361</v>
      </c>
      <c r="Y34" s="218">
        <v>1019549</v>
      </c>
      <c r="Z34" s="218">
        <v>966931</v>
      </c>
      <c r="AA34" s="218">
        <v>918679</v>
      </c>
      <c r="AB34" s="219">
        <v>867997</v>
      </c>
      <c r="AC34" s="219">
        <v>804549</v>
      </c>
      <c r="AD34" s="219">
        <v>745342</v>
      </c>
      <c r="AE34" s="183"/>
      <c r="AF34" s="183"/>
      <c r="AG34" s="183"/>
    </row>
    <row r="35" spans="2:33" ht="21" x14ac:dyDescent="0.35">
      <c r="B35" s="214" t="s">
        <v>56</v>
      </c>
      <c r="C35" s="214" t="s">
        <v>56</v>
      </c>
      <c r="D35" s="215">
        <v>4057103</v>
      </c>
      <c r="E35" s="218" t="s">
        <v>123</v>
      </c>
      <c r="F35" s="218">
        <v>161066</v>
      </c>
      <c r="G35" s="218">
        <v>159406</v>
      </c>
      <c r="H35" s="218">
        <v>155335</v>
      </c>
      <c r="I35" s="218" t="s">
        <v>123</v>
      </c>
      <c r="J35" s="218">
        <v>143043</v>
      </c>
      <c r="K35" s="218">
        <v>134241</v>
      </c>
      <c r="L35" s="218">
        <v>126370</v>
      </c>
      <c r="M35" s="218">
        <v>118199</v>
      </c>
      <c r="N35" s="218">
        <v>111826</v>
      </c>
      <c r="O35" s="218">
        <v>103582</v>
      </c>
      <c r="P35" s="218">
        <v>98459</v>
      </c>
      <c r="Q35" s="218">
        <v>93099</v>
      </c>
      <c r="R35" s="218">
        <v>89078</v>
      </c>
      <c r="S35" s="218">
        <v>85141</v>
      </c>
      <c r="T35" s="218">
        <v>83083</v>
      </c>
      <c r="U35" s="218">
        <v>77354</v>
      </c>
      <c r="V35" s="218">
        <v>72910</v>
      </c>
      <c r="W35" s="218">
        <v>67866</v>
      </c>
      <c r="X35" s="218" t="s">
        <v>123</v>
      </c>
      <c r="Y35" s="218" t="s">
        <v>123</v>
      </c>
      <c r="Z35" s="218">
        <v>55160</v>
      </c>
      <c r="AA35" s="218">
        <v>51412</v>
      </c>
      <c r="AB35" s="219">
        <v>47425</v>
      </c>
      <c r="AC35" s="219">
        <v>43567</v>
      </c>
      <c r="AD35" s="219">
        <v>40142</v>
      </c>
      <c r="AE35" s="183"/>
      <c r="AF35" s="183"/>
      <c r="AG35" s="183"/>
    </row>
    <row r="36" spans="2:33" ht="21" x14ac:dyDescent="0.35">
      <c r="B36" s="214" t="s">
        <v>57</v>
      </c>
      <c r="C36" s="214" t="s">
        <v>57</v>
      </c>
      <c r="D36" s="215">
        <v>4057079</v>
      </c>
      <c r="E36" s="218">
        <v>674286</v>
      </c>
      <c r="F36" s="218">
        <v>631110</v>
      </c>
      <c r="G36" s="218">
        <v>586276</v>
      </c>
      <c r="H36" s="218">
        <v>567172</v>
      </c>
      <c r="I36" s="218">
        <v>529763</v>
      </c>
      <c r="J36" s="218">
        <v>503566</v>
      </c>
      <c r="K36" s="218">
        <v>472311</v>
      </c>
      <c r="L36" s="218">
        <v>441865</v>
      </c>
      <c r="M36" s="218">
        <v>415020</v>
      </c>
      <c r="N36" s="218">
        <v>395902</v>
      </c>
      <c r="O36" s="218">
        <v>370906</v>
      </c>
      <c r="P36" s="218">
        <v>347596</v>
      </c>
      <c r="Q36" s="218">
        <v>328069</v>
      </c>
      <c r="R36" s="218">
        <v>307655</v>
      </c>
      <c r="S36" s="218">
        <v>287826</v>
      </c>
      <c r="T36" s="218">
        <v>269895</v>
      </c>
      <c r="U36" s="218">
        <v>254562</v>
      </c>
      <c r="V36" s="218">
        <v>241907</v>
      </c>
      <c r="W36" s="218">
        <v>228812</v>
      </c>
      <c r="X36" s="218">
        <v>217180</v>
      </c>
      <c r="Y36" s="218">
        <v>204271</v>
      </c>
      <c r="Z36" s="218">
        <v>188930</v>
      </c>
      <c r="AA36" s="218">
        <v>175009</v>
      </c>
      <c r="AB36" s="219">
        <v>165561</v>
      </c>
      <c r="AC36" s="219">
        <v>153000</v>
      </c>
      <c r="AD36" s="219">
        <v>140721</v>
      </c>
      <c r="AE36" s="183"/>
      <c r="AF36" s="183"/>
      <c r="AG36" s="183"/>
    </row>
    <row r="37" spans="2:33" ht="21" x14ac:dyDescent="0.35">
      <c r="B37" s="214" t="s">
        <v>58</v>
      </c>
      <c r="C37" s="214" t="s">
        <v>59</v>
      </c>
      <c r="D37" s="215">
        <v>4081251</v>
      </c>
      <c r="E37" s="218" t="s">
        <v>123</v>
      </c>
      <c r="F37" s="218" t="s">
        <v>123</v>
      </c>
      <c r="G37" s="218" t="s">
        <v>123</v>
      </c>
      <c r="H37" s="218" t="s">
        <v>123</v>
      </c>
      <c r="I37" s="218" t="s">
        <v>123</v>
      </c>
      <c r="J37" s="218" t="s">
        <v>123</v>
      </c>
      <c r="K37" s="218" t="s">
        <v>123</v>
      </c>
      <c r="L37" s="218" t="s">
        <v>123</v>
      </c>
      <c r="M37" s="218" t="s">
        <v>123</v>
      </c>
      <c r="N37" s="218" t="s">
        <v>123</v>
      </c>
      <c r="O37" s="218" t="s">
        <v>123</v>
      </c>
      <c r="P37" s="218" t="s">
        <v>123</v>
      </c>
      <c r="Q37" s="218" t="s">
        <v>123</v>
      </c>
      <c r="R37" s="218" t="s">
        <v>123</v>
      </c>
      <c r="S37" s="218" t="s">
        <v>123</v>
      </c>
      <c r="T37" s="218" t="s">
        <v>123</v>
      </c>
      <c r="U37" s="218" t="s">
        <v>123</v>
      </c>
      <c r="V37" s="218" t="s">
        <v>123</v>
      </c>
      <c r="W37" s="218" t="s">
        <v>123</v>
      </c>
      <c r="X37" s="218" t="s">
        <v>123</v>
      </c>
      <c r="Y37" s="218" t="s">
        <v>123</v>
      </c>
      <c r="Z37" s="218" t="s">
        <v>123</v>
      </c>
      <c r="AA37" s="218" t="s">
        <v>123</v>
      </c>
      <c r="AB37" s="219" t="s">
        <v>123</v>
      </c>
      <c r="AC37" s="219" t="s">
        <v>123</v>
      </c>
      <c r="AD37" s="219" t="s">
        <v>123</v>
      </c>
      <c r="AE37" s="183"/>
      <c r="AF37" s="183"/>
      <c r="AG37" s="183"/>
    </row>
    <row r="38" spans="2:33" ht="21" x14ac:dyDescent="0.35">
      <c r="B38" s="214" t="s">
        <v>60</v>
      </c>
      <c r="C38" s="214" t="s">
        <v>60</v>
      </c>
      <c r="D38" s="215">
        <v>4060572</v>
      </c>
      <c r="E38" s="218">
        <v>146121</v>
      </c>
      <c r="F38" s="218">
        <v>141531</v>
      </c>
      <c r="G38" s="218">
        <v>137454</v>
      </c>
      <c r="H38" s="218">
        <v>133622</v>
      </c>
      <c r="I38" s="218">
        <v>129728</v>
      </c>
      <c r="J38" s="218">
        <v>122116</v>
      </c>
      <c r="K38" s="218">
        <v>117225</v>
      </c>
      <c r="L38" s="218">
        <v>113758</v>
      </c>
      <c r="M38" s="218">
        <v>109832</v>
      </c>
      <c r="N38" s="218">
        <v>106410</v>
      </c>
      <c r="O38" s="218">
        <v>98377</v>
      </c>
      <c r="P38" s="218">
        <v>93036</v>
      </c>
      <c r="Q38" s="218">
        <v>88618</v>
      </c>
      <c r="R38" s="218">
        <v>85021</v>
      </c>
      <c r="S38" s="218">
        <v>78649</v>
      </c>
      <c r="T38" s="218">
        <v>74750</v>
      </c>
      <c r="U38" s="218">
        <v>77723</v>
      </c>
      <c r="V38" s="218">
        <v>75632</v>
      </c>
      <c r="W38" s="218" t="s">
        <v>123</v>
      </c>
      <c r="X38" s="218" t="s">
        <v>123</v>
      </c>
      <c r="Y38" s="218" t="s">
        <v>123</v>
      </c>
      <c r="Z38" s="218" t="s">
        <v>123</v>
      </c>
      <c r="AA38" s="218" t="s">
        <v>123</v>
      </c>
      <c r="AB38" s="219">
        <v>61172</v>
      </c>
      <c r="AC38" s="219">
        <v>59194</v>
      </c>
      <c r="AD38" s="219" t="s">
        <v>123</v>
      </c>
      <c r="AE38" s="183"/>
      <c r="AF38" s="183"/>
      <c r="AG38" s="183"/>
    </row>
    <row r="39" spans="2:33" ht="21" x14ac:dyDescent="0.35">
      <c r="B39" s="214" t="s">
        <v>61</v>
      </c>
      <c r="C39" s="214" t="s">
        <v>61</v>
      </c>
      <c r="D39" s="215">
        <v>4083318</v>
      </c>
      <c r="E39" s="218">
        <v>13919</v>
      </c>
      <c r="F39" s="218">
        <v>13425</v>
      </c>
      <c r="G39" s="218">
        <v>12924</v>
      </c>
      <c r="H39" s="218">
        <v>12428</v>
      </c>
      <c r="I39" s="218">
        <v>11944</v>
      </c>
      <c r="J39" s="218">
        <v>11481</v>
      </c>
      <c r="K39" s="218">
        <v>10995</v>
      </c>
      <c r="L39" s="218">
        <v>10532</v>
      </c>
      <c r="M39" s="218">
        <v>10084</v>
      </c>
      <c r="N39" s="218">
        <v>9229</v>
      </c>
      <c r="O39" s="218">
        <v>9229</v>
      </c>
      <c r="P39" s="218">
        <v>8801</v>
      </c>
      <c r="Q39" s="218">
        <v>8382</v>
      </c>
      <c r="R39" s="218" t="s">
        <v>123</v>
      </c>
      <c r="S39" s="218" t="s">
        <v>123</v>
      </c>
      <c r="T39" s="218" t="s">
        <v>123</v>
      </c>
      <c r="U39" s="218">
        <v>6748</v>
      </c>
      <c r="V39" s="218">
        <v>6367</v>
      </c>
      <c r="W39" s="218">
        <v>5970</v>
      </c>
      <c r="X39" s="218" t="s">
        <v>123</v>
      </c>
      <c r="Y39" s="218" t="s">
        <v>123</v>
      </c>
      <c r="Z39" s="218" t="s">
        <v>123</v>
      </c>
      <c r="AA39" s="218" t="s">
        <v>123</v>
      </c>
      <c r="AB39" s="219" t="s">
        <v>123</v>
      </c>
      <c r="AC39" s="219">
        <v>4196</v>
      </c>
      <c r="AD39" s="219">
        <v>2988</v>
      </c>
      <c r="AE39" s="183"/>
      <c r="AF39" s="183"/>
      <c r="AG39" s="183"/>
    </row>
    <row r="40" spans="2:33" ht="21" x14ac:dyDescent="0.35">
      <c r="B40" s="214" t="s">
        <v>62</v>
      </c>
      <c r="C40" s="214" t="s">
        <v>62</v>
      </c>
      <c r="D40" s="215">
        <v>4057125</v>
      </c>
      <c r="E40" s="218" t="s">
        <v>123</v>
      </c>
      <c r="F40" s="218" t="s">
        <v>123</v>
      </c>
      <c r="G40" s="218" t="s">
        <v>123</v>
      </c>
      <c r="H40" s="218" t="s">
        <v>123</v>
      </c>
      <c r="I40" s="218" t="s">
        <v>123</v>
      </c>
      <c r="J40" s="218" t="s">
        <v>123</v>
      </c>
      <c r="K40" s="218" t="s">
        <v>123</v>
      </c>
      <c r="L40" s="218" t="s">
        <v>123</v>
      </c>
      <c r="M40" s="218" t="s">
        <v>123</v>
      </c>
      <c r="N40" s="218" t="s">
        <v>123</v>
      </c>
      <c r="O40" s="218" t="s">
        <v>123</v>
      </c>
      <c r="P40" s="218" t="s">
        <v>123</v>
      </c>
      <c r="Q40" s="218" t="s">
        <v>123</v>
      </c>
      <c r="R40" s="218" t="s">
        <v>123</v>
      </c>
      <c r="S40" s="218" t="s">
        <v>123</v>
      </c>
      <c r="T40" s="218" t="s">
        <v>123</v>
      </c>
      <c r="U40" s="218" t="s">
        <v>123</v>
      </c>
      <c r="V40" s="218" t="s">
        <v>123</v>
      </c>
      <c r="W40" s="218" t="s">
        <v>123</v>
      </c>
      <c r="X40" s="218" t="s">
        <v>123</v>
      </c>
      <c r="Y40" s="218" t="s">
        <v>123</v>
      </c>
      <c r="Z40" s="218" t="s">
        <v>123</v>
      </c>
      <c r="AA40" s="218" t="s">
        <v>123</v>
      </c>
      <c r="AB40" s="219" t="s">
        <v>123</v>
      </c>
      <c r="AC40" s="219" t="s">
        <v>123</v>
      </c>
      <c r="AD40" s="219" t="s">
        <v>123</v>
      </c>
      <c r="AE40" s="183"/>
      <c r="AF40" s="183"/>
      <c r="AG40" s="183"/>
    </row>
    <row r="41" spans="2:33" ht="21" x14ac:dyDescent="0.35">
      <c r="B41" s="214" t="s">
        <v>63</v>
      </c>
      <c r="C41" s="214" t="s">
        <v>63</v>
      </c>
      <c r="D41" s="215">
        <v>4087741</v>
      </c>
      <c r="E41" s="218" t="s">
        <v>123</v>
      </c>
      <c r="F41" s="218" t="s">
        <v>123</v>
      </c>
      <c r="G41" s="218">
        <v>490300</v>
      </c>
      <c r="H41" s="218">
        <v>474438</v>
      </c>
      <c r="I41" s="218">
        <v>464233</v>
      </c>
      <c r="J41" s="218">
        <v>463947</v>
      </c>
      <c r="K41" s="218">
        <v>456002</v>
      </c>
      <c r="L41" s="218">
        <v>452326</v>
      </c>
      <c r="M41" s="218">
        <v>440996</v>
      </c>
      <c r="N41" s="218">
        <v>428577</v>
      </c>
      <c r="O41" s="218">
        <v>418442</v>
      </c>
      <c r="P41" s="218">
        <v>407824</v>
      </c>
      <c r="Q41" s="218">
        <v>414625</v>
      </c>
      <c r="R41" s="218">
        <v>394246</v>
      </c>
      <c r="S41" s="218">
        <v>374213</v>
      </c>
      <c r="T41" s="218">
        <v>351935</v>
      </c>
      <c r="U41" s="218">
        <v>327907</v>
      </c>
      <c r="V41" s="218">
        <v>305414</v>
      </c>
      <c r="W41" s="218">
        <v>283117</v>
      </c>
      <c r="X41" s="218" t="s">
        <v>123</v>
      </c>
      <c r="Y41" s="218">
        <v>248275</v>
      </c>
      <c r="Z41" s="218" t="s">
        <v>123</v>
      </c>
      <c r="AA41" s="218" t="s">
        <v>123</v>
      </c>
      <c r="AB41" s="219" t="s">
        <v>123</v>
      </c>
      <c r="AC41" s="219" t="s">
        <v>123</v>
      </c>
      <c r="AD41" s="219" t="s">
        <v>123</v>
      </c>
      <c r="AE41" s="183"/>
      <c r="AF41" s="183"/>
      <c r="AG41" s="183"/>
    </row>
    <row r="42" spans="2:33" ht="21" x14ac:dyDescent="0.35">
      <c r="B42" s="214" t="s">
        <v>64</v>
      </c>
      <c r="C42" s="214" t="s">
        <v>64</v>
      </c>
      <c r="D42" s="215">
        <v>4059875</v>
      </c>
      <c r="E42" s="218">
        <v>179382</v>
      </c>
      <c r="F42" s="218">
        <v>214534</v>
      </c>
      <c r="G42" s="218">
        <v>156339</v>
      </c>
      <c r="H42" s="218">
        <v>161324</v>
      </c>
      <c r="I42" s="218">
        <v>114504</v>
      </c>
      <c r="J42" s="218">
        <v>106495</v>
      </c>
      <c r="K42" s="218">
        <v>101268</v>
      </c>
      <c r="L42" s="218">
        <v>88694</v>
      </c>
      <c r="M42" s="218" t="s">
        <v>123</v>
      </c>
      <c r="N42" s="218" t="s">
        <v>123</v>
      </c>
      <c r="O42" s="218" t="s">
        <v>123</v>
      </c>
      <c r="P42" s="218" t="s">
        <v>123</v>
      </c>
      <c r="Q42" s="218" t="s">
        <v>123</v>
      </c>
      <c r="R42" s="218" t="s">
        <v>123</v>
      </c>
      <c r="S42" s="218" t="s">
        <v>123</v>
      </c>
      <c r="T42" s="218" t="s">
        <v>123</v>
      </c>
      <c r="U42" s="218" t="s">
        <v>123</v>
      </c>
      <c r="V42" s="218">
        <v>2853</v>
      </c>
      <c r="W42" s="218" t="s">
        <v>123</v>
      </c>
      <c r="X42" s="218" t="s">
        <v>123</v>
      </c>
      <c r="Y42" s="218" t="s">
        <v>123</v>
      </c>
      <c r="Z42" s="218" t="s">
        <v>123</v>
      </c>
      <c r="AA42" s="218" t="s">
        <v>123</v>
      </c>
      <c r="AB42" s="219" t="s">
        <v>123</v>
      </c>
      <c r="AC42" s="219" t="s">
        <v>123</v>
      </c>
      <c r="AD42" s="219" t="s">
        <v>123</v>
      </c>
      <c r="AE42" s="183"/>
      <c r="AF42" s="183"/>
      <c r="AG42" s="183"/>
    </row>
    <row r="43" spans="2:33" ht="21" x14ac:dyDescent="0.35">
      <c r="B43" s="214" t="s">
        <v>65</v>
      </c>
      <c r="C43" s="214" t="s">
        <v>65</v>
      </c>
      <c r="D43" s="215">
        <v>4057090</v>
      </c>
      <c r="E43" s="218">
        <v>318257</v>
      </c>
      <c r="F43" s="218">
        <v>302468</v>
      </c>
      <c r="G43" s="218">
        <v>286112</v>
      </c>
      <c r="H43" s="218">
        <v>267951</v>
      </c>
      <c r="I43" s="218">
        <v>249222</v>
      </c>
      <c r="J43" s="218">
        <v>234892</v>
      </c>
      <c r="K43" s="218">
        <v>220610</v>
      </c>
      <c r="L43" s="218">
        <v>210147</v>
      </c>
      <c r="M43" s="218">
        <v>201131</v>
      </c>
      <c r="N43" s="218">
        <v>189161</v>
      </c>
      <c r="O43" s="218">
        <v>54833</v>
      </c>
      <c r="P43" s="218">
        <v>169707</v>
      </c>
      <c r="Q43" s="218">
        <v>167528</v>
      </c>
      <c r="R43" s="218">
        <v>156229</v>
      </c>
      <c r="S43" s="218">
        <v>146047</v>
      </c>
      <c r="T43" s="218">
        <v>137543</v>
      </c>
      <c r="U43" s="218">
        <v>127007</v>
      </c>
      <c r="V43" s="218">
        <v>116219</v>
      </c>
      <c r="W43" s="218">
        <v>113995</v>
      </c>
      <c r="X43" s="218">
        <v>106369</v>
      </c>
      <c r="Y43" s="218">
        <v>98673</v>
      </c>
      <c r="Z43" s="218">
        <v>91914</v>
      </c>
      <c r="AA43" s="218">
        <v>88978</v>
      </c>
      <c r="AB43" s="219">
        <v>83094</v>
      </c>
      <c r="AC43" s="219">
        <v>77430</v>
      </c>
      <c r="AD43" s="219" t="s">
        <v>123</v>
      </c>
      <c r="AE43" s="183"/>
      <c r="AF43" s="183"/>
      <c r="AG43" s="183"/>
    </row>
    <row r="44" spans="2:33" ht="21" x14ac:dyDescent="0.35">
      <c r="B44" s="214" t="s">
        <v>66</v>
      </c>
      <c r="C44" s="214" t="s">
        <v>66</v>
      </c>
      <c r="D44" s="215">
        <v>4008754</v>
      </c>
      <c r="E44" s="218">
        <v>179298</v>
      </c>
      <c r="F44" s="218">
        <v>175337</v>
      </c>
      <c r="G44" s="218">
        <v>170808</v>
      </c>
      <c r="H44" s="218">
        <v>167411</v>
      </c>
      <c r="I44" s="218">
        <v>163925</v>
      </c>
      <c r="J44" s="218">
        <v>159891</v>
      </c>
      <c r="K44" s="218">
        <v>160010</v>
      </c>
      <c r="L44" s="218">
        <v>159181</v>
      </c>
      <c r="M44" s="218">
        <v>157591</v>
      </c>
      <c r="N44" s="218">
        <v>155247</v>
      </c>
      <c r="O44" s="218">
        <v>153616</v>
      </c>
      <c r="P44" s="218">
        <v>151858</v>
      </c>
      <c r="Q44" s="218">
        <v>146572</v>
      </c>
      <c r="R44" s="218">
        <v>140280</v>
      </c>
      <c r="S44" s="218">
        <v>133885</v>
      </c>
      <c r="T44" s="218">
        <v>126627</v>
      </c>
      <c r="U44" s="218">
        <v>119741</v>
      </c>
      <c r="V44" s="218">
        <v>114410</v>
      </c>
      <c r="W44" s="218">
        <v>108754</v>
      </c>
      <c r="X44" s="218">
        <v>103015</v>
      </c>
      <c r="Y44" s="218">
        <v>95438</v>
      </c>
      <c r="Z44" s="218">
        <v>90348</v>
      </c>
      <c r="AA44" s="218">
        <v>85563</v>
      </c>
      <c r="AB44" s="219">
        <v>80883</v>
      </c>
      <c r="AC44" s="219">
        <v>75723</v>
      </c>
      <c r="AD44" s="219">
        <v>70821</v>
      </c>
      <c r="AE44" s="183"/>
      <c r="AF44" s="183"/>
      <c r="AG44" s="183"/>
    </row>
    <row r="45" spans="2:33" ht="21" x14ac:dyDescent="0.35">
      <c r="B45" s="214" t="s">
        <v>67</v>
      </c>
      <c r="C45" s="214" t="s">
        <v>67</v>
      </c>
      <c r="D45" s="215">
        <v>4061474</v>
      </c>
      <c r="E45" s="218" t="s">
        <v>123</v>
      </c>
      <c r="F45" s="218" t="s">
        <v>123</v>
      </c>
      <c r="G45" s="218" t="s">
        <v>123</v>
      </c>
      <c r="H45" s="218" t="s">
        <v>123</v>
      </c>
      <c r="I45" s="218" t="s">
        <v>123</v>
      </c>
      <c r="J45" s="218" t="s">
        <v>123</v>
      </c>
      <c r="K45" s="218" t="s">
        <v>123</v>
      </c>
      <c r="L45" s="218" t="s">
        <v>123</v>
      </c>
      <c r="M45" s="218" t="s">
        <v>123</v>
      </c>
      <c r="N45" s="218" t="s">
        <v>123</v>
      </c>
      <c r="O45" s="218" t="s">
        <v>123</v>
      </c>
      <c r="P45" s="218" t="s">
        <v>123</v>
      </c>
      <c r="Q45" s="218" t="s">
        <v>123</v>
      </c>
      <c r="R45" s="218" t="s">
        <v>123</v>
      </c>
      <c r="S45" s="218" t="s">
        <v>123</v>
      </c>
      <c r="T45" s="218" t="s">
        <v>123</v>
      </c>
      <c r="U45" s="218" t="s">
        <v>123</v>
      </c>
      <c r="V45" s="218" t="s">
        <v>123</v>
      </c>
      <c r="W45" s="218" t="s">
        <v>123</v>
      </c>
      <c r="X45" s="218" t="s">
        <v>123</v>
      </c>
      <c r="Y45" s="218" t="s">
        <v>123</v>
      </c>
      <c r="Z45" s="218" t="s">
        <v>123</v>
      </c>
      <c r="AA45" s="218" t="s">
        <v>123</v>
      </c>
      <c r="AB45" s="219" t="s">
        <v>123</v>
      </c>
      <c r="AC45" s="219" t="s">
        <v>123</v>
      </c>
      <c r="AD45" s="219" t="s">
        <v>123</v>
      </c>
      <c r="AE45" s="183"/>
      <c r="AF45" s="183"/>
      <c r="AG45" s="183"/>
    </row>
    <row r="46" spans="2:33" ht="21" x14ac:dyDescent="0.35">
      <c r="B46" s="214" t="s">
        <v>68</v>
      </c>
      <c r="C46" s="214" t="s">
        <v>68</v>
      </c>
      <c r="D46" s="215">
        <v>4076679</v>
      </c>
      <c r="E46" s="218">
        <v>22884</v>
      </c>
      <c r="F46" s="218">
        <v>21483</v>
      </c>
      <c r="G46" s="218">
        <v>20142</v>
      </c>
      <c r="H46" s="218">
        <v>18873</v>
      </c>
      <c r="I46" s="218">
        <v>17737</v>
      </c>
      <c r="J46" s="218">
        <v>16615</v>
      </c>
      <c r="K46" s="218">
        <v>16344</v>
      </c>
      <c r="L46" s="218">
        <v>15333</v>
      </c>
      <c r="M46" s="218">
        <v>14458</v>
      </c>
      <c r="N46" s="218">
        <v>13517</v>
      </c>
      <c r="O46" s="218">
        <v>12683</v>
      </c>
      <c r="P46" s="218">
        <v>11833</v>
      </c>
      <c r="Q46" s="218">
        <v>11004</v>
      </c>
      <c r="R46" s="218">
        <v>10178</v>
      </c>
      <c r="S46" s="218">
        <v>9398</v>
      </c>
      <c r="T46" s="218">
        <v>8696</v>
      </c>
      <c r="U46" s="218">
        <v>8005</v>
      </c>
      <c r="V46" s="218">
        <v>7356</v>
      </c>
      <c r="W46" s="218">
        <v>6752</v>
      </c>
      <c r="X46" s="218">
        <v>6160</v>
      </c>
      <c r="Y46" s="218">
        <v>5610</v>
      </c>
      <c r="Z46" s="218" t="s">
        <v>123</v>
      </c>
      <c r="AA46" s="218" t="s">
        <v>123</v>
      </c>
      <c r="AB46" s="219" t="s">
        <v>123</v>
      </c>
      <c r="AC46" s="219" t="s">
        <v>123</v>
      </c>
      <c r="AD46" s="219" t="s">
        <v>123</v>
      </c>
      <c r="AE46" s="183"/>
      <c r="AF46" s="183"/>
      <c r="AG46" s="183"/>
    </row>
    <row r="47" spans="2:33" ht="21" x14ac:dyDescent="0.35">
      <c r="B47" s="214" t="s">
        <v>69</v>
      </c>
      <c r="C47" s="214" t="s">
        <v>69</v>
      </c>
      <c r="D47" s="215">
        <v>4061634</v>
      </c>
      <c r="E47" s="218">
        <v>296436</v>
      </c>
      <c r="F47" s="218">
        <v>285654</v>
      </c>
      <c r="G47" s="218">
        <v>274798</v>
      </c>
      <c r="H47" s="218">
        <v>268482</v>
      </c>
      <c r="I47" s="218">
        <v>259270</v>
      </c>
      <c r="J47" s="218">
        <v>250736</v>
      </c>
      <c r="K47" s="218">
        <v>240343</v>
      </c>
      <c r="L47" s="218">
        <v>229840</v>
      </c>
      <c r="M47" s="218">
        <v>219839</v>
      </c>
      <c r="N47" s="218">
        <v>210720</v>
      </c>
      <c r="O47" s="218">
        <v>201782</v>
      </c>
      <c r="P47" s="218">
        <v>194603</v>
      </c>
      <c r="Q47" s="218">
        <v>191857</v>
      </c>
      <c r="R47" s="218" t="s">
        <v>123</v>
      </c>
      <c r="S47" s="218" t="s">
        <v>123</v>
      </c>
      <c r="T47" s="218" t="s">
        <v>123</v>
      </c>
      <c r="U47" s="218">
        <v>143255</v>
      </c>
      <c r="V47" s="218" t="s">
        <v>123</v>
      </c>
      <c r="W47" s="218" t="s">
        <v>123</v>
      </c>
      <c r="X47" s="218" t="s">
        <v>123</v>
      </c>
      <c r="Y47" s="218" t="s">
        <v>123</v>
      </c>
      <c r="Z47" s="218">
        <v>103705</v>
      </c>
      <c r="AA47" s="218">
        <v>97658</v>
      </c>
      <c r="AB47" s="219">
        <v>92679</v>
      </c>
      <c r="AC47" s="219">
        <v>88863</v>
      </c>
      <c r="AD47" s="219">
        <v>84378</v>
      </c>
      <c r="AE47" s="183"/>
      <c r="AF47" s="183"/>
      <c r="AG47" s="183"/>
    </row>
    <row r="48" spans="2:33" ht="21" x14ac:dyDescent="0.35">
      <c r="B48" s="214" t="s">
        <v>70</v>
      </c>
      <c r="C48" s="214" t="s">
        <v>70</v>
      </c>
      <c r="D48" s="215">
        <v>4061687</v>
      </c>
      <c r="E48" s="218">
        <v>773543</v>
      </c>
      <c r="F48" s="218">
        <v>748514</v>
      </c>
      <c r="G48" s="218">
        <v>725939</v>
      </c>
      <c r="H48" s="218">
        <v>701909</v>
      </c>
      <c r="I48" s="218">
        <v>679083</v>
      </c>
      <c r="J48" s="218">
        <v>656825</v>
      </c>
      <c r="K48" s="218">
        <v>634858</v>
      </c>
      <c r="L48" s="218">
        <v>609331</v>
      </c>
      <c r="M48" s="218">
        <v>578188</v>
      </c>
      <c r="N48" s="218">
        <v>562862</v>
      </c>
      <c r="O48" s="218">
        <v>539014</v>
      </c>
      <c r="P48" s="218">
        <v>517248</v>
      </c>
      <c r="Q48" s="218">
        <v>495063</v>
      </c>
      <c r="R48" s="218">
        <v>473629</v>
      </c>
      <c r="S48" s="218">
        <v>452594</v>
      </c>
      <c r="T48" s="218">
        <v>433559</v>
      </c>
      <c r="U48" s="218">
        <v>409857</v>
      </c>
      <c r="V48" s="218">
        <v>385956</v>
      </c>
      <c r="W48" s="218">
        <v>364851</v>
      </c>
      <c r="X48" s="218">
        <v>245661</v>
      </c>
      <c r="Y48" s="218" t="s">
        <v>123</v>
      </c>
      <c r="Z48" s="218">
        <v>302879</v>
      </c>
      <c r="AA48" s="218">
        <v>283296</v>
      </c>
      <c r="AB48" s="219">
        <v>268271</v>
      </c>
      <c r="AC48" s="219">
        <v>254282</v>
      </c>
      <c r="AD48" s="219">
        <v>235263</v>
      </c>
      <c r="AE48" s="183"/>
      <c r="AF48" s="183"/>
      <c r="AG48" s="183"/>
    </row>
    <row r="49" spans="1:33" ht="21" x14ac:dyDescent="0.35">
      <c r="A49" s="1" t="s">
        <v>30</v>
      </c>
      <c r="B49" s="214" t="s">
        <v>71</v>
      </c>
      <c r="C49" s="214" t="s">
        <v>71</v>
      </c>
      <c r="D49" s="215">
        <v>4061755</v>
      </c>
      <c r="E49" s="218">
        <v>325629</v>
      </c>
      <c r="F49" s="218">
        <v>319038</v>
      </c>
      <c r="G49" s="218">
        <v>326661</v>
      </c>
      <c r="H49" s="218">
        <v>334259</v>
      </c>
      <c r="I49" s="218">
        <v>347931</v>
      </c>
      <c r="J49" s="218">
        <v>363585</v>
      </c>
      <c r="K49" s="218">
        <v>354004</v>
      </c>
      <c r="L49" s="218">
        <v>356226</v>
      </c>
      <c r="M49" s="218">
        <v>366751</v>
      </c>
      <c r="N49" s="218">
        <v>367819</v>
      </c>
      <c r="O49" s="218">
        <v>348492</v>
      </c>
      <c r="P49" s="218">
        <v>348492</v>
      </c>
      <c r="Q49" s="218">
        <v>335143</v>
      </c>
      <c r="R49" s="218">
        <v>317443</v>
      </c>
      <c r="S49" s="218">
        <v>298826</v>
      </c>
      <c r="T49" s="218">
        <v>294231</v>
      </c>
      <c r="U49" s="218">
        <v>276407</v>
      </c>
      <c r="V49" s="218">
        <v>184568</v>
      </c>
      <c r="W49" s="218">
        <v>239388</v>
      </c>
      <c r="X49" s="218">
        <v>223180</v>
      </c>
      <c r="Y49" s="218">
        <v>208441</v>
      </c>
      <c r="Z49" s="218">
        <v>192903</v>
      </c>
      <c r="AA49" s="218">
        <v>180295</v>
      </c>
      <c r="AB49" s="219">
        <v>166826</v>
      </c>
      <c r="AC49" s="219">
        <v>153966</v>
      </c>
      <c r="AD49" s="219">
        <v>141535</v>
      </c>
      <c r="AE49" s="183"/>
      <c r="AF49" s="183"/>
      <c r="AG49" s="183"/>
    </row>
    <row r="50" spans="1:33" ht="21" x14ac:dyDescent="0.35">
      <c r="A50" s="1" t="s">
        <v>30</v>
      </c>
      <c r="B50" s="214" t="s">
        <v>72</v>
      </c>
      <c r="C50" s="214" t="s">
        <v>72</v>
      </c>
      <c r="D50" s="215">
        <v>4004389</v>
      </c>
      <c r="E50" s="218">
        <v>379322</v>
      </c>
      <c r="F50" s="218">
        <v>366663</v>
      </c>
      <c r="G50" s="218">
        <v>354890</v>
      </c>
      <c r="H50" s="218">
        <v>333524</v>
      </c>
      <c r="I50" s="218">
        <v>321680</v>
      </c>
      <c r="J50" s="218">
        <v>316925</v>
      </c>
      <c r="K50" s="218">
        <v>305419</v>
      </c>
      <c r="L50" s="218">
        <v>283876</v>
      </c>
      <c r="M50" s="218">
        <v>272699</v>
      </c>
      <c r="N50" s="218">
        <v>260806</v>
      </c>
      <c r="O50" s="218">
        <v>248677</v>
      </c>
      <c r="P50" s="218">
        <v>237049</v>
      </c>
      <c r="Q50" s="218">
        <v>223428</v>
      </c>
      <c r="R50" s="218">
        <v>210758</v>
      </c>
      <c r="S50" s="218">
        <v>197519</v>
      </c>
      <c r="T50" s="218">
        <v>186576</v>
      </c>
      <c r="U50" s="218">
        <v>175327</v>
      </c>
      <c r="V50" s="218">
        <v>165793</v>
      </c>
      <c r="W50" s="218">
        <v>161184</v>
      </c>
      <c r="X50" s="218">
        <v>152464</v>
      </c>
      <c r="Y50" s="218" t="s">
        <v>123</v>
      </c>
      <c r="Z50" s="218">
        <v>134578</v>
      </c>
      <c r="AA50" s="218">
        <v>126733</v>
      </c>
      <c r="AB50" s="219">
        <v>118609</v>
      </c>
      <c r="AC50" s="219">
        <v>111549</v>
      </c>
      <c r="AD50" s="219">
        <v>105387</v>
      </c>
      <c r="AE50" s="183"/>
      <c r="AF50" s="183"/>
      <c r="AG50" s="183"/>
    </row>
    <row r="51" spans="1:33" ht="21" x14ac:dyDescent="0.35">
      <c r="A51" s="1" t="s">
        <v>30</v>
      </c>
      <c r="B51" s="214" t="s">
        <v>73</v>
      </c>
      <c r="C51" s="214" t="s">
        <v>73</v>
      </c>
      <c r="D51" s="215">
        <v>4057014</v>
      </c>
      <c r="E51" s="218">
        <v>852599</v>
      </c>
      <c r="F51" s="218">
        <v>819260</v>
      </c>
      <c r="G51" s="218">
        <v>793728</v>
      </c>
      <c r="H51" s="218">
        <v>768267</v>
      </c>
      <c r="I51" s="218">
        <v>715306</v>
      </c>
      <c r="J51" s="218">
        <v>708737</v>
      </c>
      <c r="K51" s="218">
        <v>680206</v>
      </c>
      <c r="L51" s="218">
        <v>670201</v>
      </c>
      <c r="M51" s="218">
        <v>640257</v>
      </c>
      <c r="N51" s="218">
        <v>610795</v>
      </c>
      <c r="O51" s="218">
        <v>585952</v>
      </c>
      <c r="P51" s="218">
        <v>566170</v>
      </c>
      <c r="Q51" s="218">
        <v>541008</v>
      </c>
      <c r="R51" s="218">
        <v>516989</v>
      </c>
      <c r="S51" s="218">
        <v>507494</v>
      </c>
      <c r="T51" s="218">
        <v>477715</v>
      </c>
      <c r="U51" s="218">
        <v>452988</v>
      </c>
      <c r="V51" s="218">
        <v>430831</v>
      </c>
      <c r="W51" s="218">
        <v>406833</v>
      </c>
      <c r="X51" s="218">
        <v>402453</v>
      </c>
      <c r="Y51" s="218">
        <v>385008</v>
      </c>
      <c r="Z51" s="218">
        <v>363090</v>
      </c>
      <c r="AA51" s="218">
        <f>+(Z51+AB51)/2</f>
        <v>338949.5</v>
      </c>
      <c r="AB51" s="219">
        <v>314809</v>
      </c>
      <c r="AC51" s="219">
        <v>292139</v>
      </c>
      <c r="AD51" s="219">
        <v>272055</v>
      </c>
      <c r="AE51" s="183"/>
      <c r="AF51" s="183"/>
      <c r="AG51" s="183"/>
    </row>
    <row r="52" spans="1:33" ht="21" x14ac:dyDescent="0.35">
      <c r="B52" s="214" t="s">
        <v>74</v>
      </c>
      <c r="C52" s="214" t="s">
        <v>74</v>
      </c>
      <c r="D52" s="215">
        <v>4057130</v>
      </c>
      <c r="E52" s="218">
        <v>209645</v>
      </c>
      <c r="F52" s="218">
        <v>198985</v>
      </c>
      <c r="G52" s="218">
        <v>188787</v>
      </c>
      <c r="H52" s="218">
        <v>171669</v>
      </c>
      <c r="I52" s="218">
        <v>166455</v>
      </c>
      <c r="J52" s="218">
        <v>162583</v>
      </c>
      <c r="K52" s="218">
        <v>158990</v>
      </c>
      <c r="L52" s="218">
        <v>155548</v>
      </c>
      <c r="M52" s="218">
        <v>150719</v>
      </c>
      <c r="N52" s="218">
        <v>145474</v>
      </c>
      <c r="O52" s="218">
        <v>140663</v>
      </c>
      <c r="P52" s="218">
        <v>134822</v>
      </c>
      <c r="Q52" s="218">
        <v>132473</v>
      </c>
      <c r="R52" s="218">
        <v>127799</v>
      </c>
      <c r="S52" s="218">
        <v>124453</v>
      </c>
      <c r="T52" s="218">
        <v>119745</v>
      </c>
      <c r="U52" s="218">
        <v>116771</v>
      </c>
      <c r="V52" s="218">
        <v>112894</v>
      </c>
      <c r="W52" s="218">
        <v>109058</v>
      </c>
      <c r="X52" s="218">
        <v>105452</v>
      </c>
      <c r="Y52" s="218">
        <v>101270</v>
      </c>
      <c r="Z52" s="218">
        <v>96082</v>
      </c>
      <c r="AA52" s="218">
        <v>90389</v>
      </c>
      <c r="AB52" s="219">
        <v>84899</v>
      </c>
      <c r="AC52" s="219">
        <v>79702</v>
      </c>
      <c r="AD52" s="219" t="s">
        <v>123</v>
      </c>
      <c r="AE52" s="183"/>
      <c r="AF52" s="183"/>
      <c r="AG52" s="183"/>
    </row>
    <row r="53" spans="1:33" ht="21" x14ac:dyDescent="0.35">
      <c r="B53" s="214" t="s">
        <v>75</v>
      </c>
      <c r="C53" s="214" t="s">
        <v>75</v>
      </c>
      <c r="D53" s="215">
        <v>4057131</v>
      </c>
      <c r="E53" s="218">
        <v>2789253</v>
      </c>
      <c r="F53" s="218">
        <v>2710187</v>
      </c>
      <c r="G53" s="218">
        <v>2639154</v>
      </c>
      <c r="H53" s="218">
        <v>2573746</v>
      </c>
      <c r="I53" s="218">
        <v>2524941</v>
      </c>
      <c r="J53" s="218">
        <v>2471127</v>
      </c>
      <c r="K53" s="218">
        <v>2423803</v>
      </c>
      <c r="L53" s="218">
        <v>2349285</v>
      </c>
      <c r="M53" s="218">
        <v>2116200</v>
      </c>
      <c r="N53" s="218">
        <v>2016234</v>
      </c>
      <c r="O53" s="218">
        <v>1924415</v>
      </c>
      <c r="P53" s="218">
        <v>1832394</v>
      </c>
      <c r="Q53" s="218">
        <v>1754092</v>
      </c>
      <c r="R53" s="218">
        <v>1675408</v>
      </c>
      <c r="S53" s="218">
        <v>1588374</v>
      </c>
      <c r="T53" s="218">
        <v>1501953</v>
      </c>
      <c r="U53" s="218">
        <v>1507331</v>
      </c>
      <c r="V53" s="218">
        <v>1423003</v>
      </c>
      <c r="W53" s="218">
        <v>1344731</v>
      </c>
      <c r="X53" s="218">
        <v>1268622</v>
      </c>
      <c r="Y53" s="218">
        <v>1181107</v>
      </c>
      <c r="Z53" s="218">
        <v>1107660</v>
      </c>
      <c r="AA53" s="218">
        <v>1040376</v>
      </c>
      <c r="AB53" s="219">
        <v>966695</v>
      </c>
      <c r="AC53" s="219">
        <v>894951</v>
      </c>
      <c r="AD53" s="219">
        <v>827017</v>
      </c>
      <c r="AE53" s="183"/>
      <c r="AF53" s="183"/>
      <c r="AG53" s="183"/>
    </row>
    <row r="54" spans="1:33" ht="21" x14ac:dyDescent="0.35">
      <c r="B54" s="214" t="s">
        <v>76</v>
      </c>
      <c r="C54" s="214" t="s">
        <v>76</v>
      </c>
      <c r="D54" s="215">
        <v>4012860</v>
      </c>
      <c r="E54" s="218">
        <v>1182511</v>
      </c>
      <c r="F54" s="218">
        <v>1168899</v>
      </c>
      <c r="G54" s="218">
        <v>1142437</v>
      </c>
      <c r="H54" s="218">
        <v>1144589</v>
      </c>
      <c r="I54" s="218">
        <v>1165320</v>
      </c>
      <c r="J54" s="218">
        <v>1187830</v>
      </c>
      <c r="K54" s="218">
        <v>1203051</v>
      </c>
      <c r="L54" s="218">
        <v>1213218</v>
      </c>
      <c r="M54" s="218">
        <v>1240285</v>
      </c>
      <c r="N54" s="218">
        <v>1256274</v>
      </c>
      <c r="O54" s="218">
        <v>1198204</v>
      </c>
      <c r="P54" s="218">
        <v>1143360</v>
      </c>
      <c r="Q54" s="218">
        <v>1081021</v>
      </c>
      <c r="R54" s="218">
        <v>1010440</v>
      </c>
      <c r="S54" s="218">
        <v>949185</v>
      </c>
      <c r="T54" s="218">
        <v>890318</v>
      </c>
      <c r="U54" s="218">
        <v>832691</v>
      </c>
      <c r="V54" s="218">
        <v>776416</v>
      </c>
      <c r="W54" s="218">
        <v>724461</v>
      </c>
      <c r="X54" s="218">
        <v>740726</v>
      </c>
      <c r="Y54" s="218">
        <v>624198</v>
      </c>
      <c r="Z54" s="218">
        <v>576582</v>
      </c>
      <c r="AA54" s="218">
        <v>532951</v>
      </c>
      <c r="AB54" s="219">
        <v>488080</v>
      </c>
      <c r="AC54" s="219">
        <v>444631</v>
      </c>
      <c r="AD54" s="219">
        <v>403829</v>
      </c>
      <c r="AE54" s="183"/>
      <c r="AF54" s="183"/>
      <c r="AG54" s="183"/>
    </row>
    <row r="55" spans="1:33" ht="21" x14ac:dyDescent="0.35">
      <c r="B55" s="214" t="s">
        <v>77</v>
      </c>
      <c r="C55" s="214" t="s">
        <v>78</v>
      </c>
      <c r="D55" s="215">
        <v>4061925</v>
      </c>
      <c r="E55" s="218">
        <v>166579</v>
      </c>
      <c r="F55" s="218">
        <v>158478</v>
      </c>
      <c r="G55" s="218">
        <v>150417</v>
      </c>
      <c r="H55" s="218">
        <v>143328</v>
      </c>
      <c r="I55" s="218">
        <v>138105</v>
      </c>
      <c r="J55" s="218">
        <v>133090</v>
      </c>
      <c r="K55" s="218">
        <v>127059</v>
      </c>
      <c r="L55" s="218">
        <v>121224</v>
      </c>
      <c r="M55" s="218">
        <v>114575</v>
      </c>
      <c r="N55" s="218">
        <v>108108</v>
      </c>
      <c r="O55" s="218">
        <v>102130</v>
      </c>
      <c r="P55" s="218">
        <v>94963</v>
      </c>
      <c r="Q55" s="218">
        <v>89674</v>
      </c>
      <c r="R55" s="218">
        <v>84375</v>
      </c>
      <c r="S55" s="218">
        <v>78931</v>
      </c>
      <c r="T55" s="218">
        <v>74054</v>
      </c>
      <c r="U55" s="218">
        <v>69053</v>
      </c>
      <c r="V55" s="218">
        <v>63727</v>
      </c>
      <c r="W55" s="218">
        <v>59655</v>
      </c>
      <c r="X55" s="218">
        <v>55568</v>
      </c>
      <c r="Y55" s="218">
        <v>51310</v>
      </c>
      <c r="Z55" s="218">
        <v>47841</v>
      </c>
      <c r="AA55" s="218">
        <v>44476</v>
      </c>
      <c r="AB55" s="219">
        <v>40372</v>
      </c>
      <c r="AC55" s="219">
        <v>36790</v>
      </c>
      <c r="AD55" s="219">
        <v>33471</v>
      </c>
      <c r="AE55" s="183"/>
      <c r="AF55" s="183"/>
      <c r="AG55" s="183"/>
    </row>
    <row r="56" spans="1:33" ht="21" x14ac:dyDescent="0.35">
      <c r="B56" s="214" t="s">
        <v>79</v>
      </c>
      <c r="C56" s="214" t="s">
        <v>79</v>
      </c>
      <c r="D56" s="215">
        <v>4057132</v>
      </c>
      <c r="E56" s="218" t="s">
        <v>123</v>
      </c>
      <c r="F56" s="218" t="s">
        <v>123</v>
      </c>
      <c r="G56" s="218" t="s">
        <v>123</v>
      </c>
      <c r="H56" s="218">
        <v>1030346</v>
      </c>
      <c r="I56" s="218">
        <v>981401</v>
      </c>
      <c r="J56" s="218">
        <v>943450</v>
      </c>
      <c r="K56" s="218">
        <v>903901</v>
      </c>
      <c r="L56" s="218">
        <v>869551</v>
      </c>
      <c r="M56" s="218">
        <v>830897</v>
      </c>
      <c r="N56" s="218">
        <v>795422</v>
      </c>
      <c r="O56" s="218">
        <v>756342</v>
      </c>
      <c r="P56" s="218">
        <v>720918</v>
      </c>
      <c r="Q56" s="218">
        <v>692897</v>
      </c>
      <c r="R56" s="218" t="s">
        <v>123</v>
      </c>
      <c r="S56" s="218" t="s">
        <v>123</v>
      </c>
      <c r="T56" s="218" t="s">
        <v>123</v>
      </c>
      <c r="U56" s="218" t="s">
        <v>123</v>
      </c>
      <c r="V56" s="218" t="s">
        <v>123</v>
      </c>
      <c r="W56" s="218">
        <v>446317</v>
      </c>
      <c r="X56" s="218">
        <v>412142</v>
      </c>
      <c r="Y56" s="218">
        <v>380213</v>
      </c>
      <c r="Z56" s="218">
        <v>350155</v>
      </c>
      <c r="AA56" s="218">
        <v>322805</v>
      </c>
      <c r="AB56" s="219">
        <v>295290</v>
      </c>
      <c r="AC56" s="219">
        <v>270027</v>
      </c>
      <c r="AD56" s="219">
        <v>246120</v>
      </c>
      <c r="AE56" s="183"/>
      <c r="AF56" s="183"/>
      <c r="AG56" s="183"/>
    </row>
    <row r="57" spans="1:33" ht="21" x14ac:dyDescent="0.35">
      <c r="A57" s="1" t="s">
        <v>30</v>
      </c>
      <c r="B57" s="214" t="s">
        <v>80</v>
      </c>
      <c r="C57" s="214" t="s">
        <v>80</v>
      </c>
      <c r="D57" s="215">
        <v>4057115</v>
      </c>
      <c r="E57" s="218" t="s">
        <v>123</v>
      </c>
      <c r="F57" s="218" t="s">
        <v>123</v>
      </c>
      <c r="G57" s="218" t="s">
        <v>123</v>
      </c>
      <c r="H57" s="218" t="s">
        <v>123</v>
      </c>
      <c r="I57" s="218" t="s">
        <v>123</v>
      </c>
      <c r="J57" s="218" t="s">
        <v>123</v>
      </c>
      <c r="K57" s="218" t="s">
        <v>123</v>
      </c>
      <c r="L57" s="218" t="s">
        <v>123</v>
      </c>
      <c r="M57" s="218" t="s">
        <v>123</v>
      </c>
      <c r="N57" s="218" t="s">
        <v>123</v>
      </c>
      <c r="O57" s="218" t="s">
        <v>123</v>
      </c>
      <c r="P57" s="218" t="s">
        <v>123</v>
      </c>
      <c r="Q57" s="218" t="s">
        <v>123</v>
      </c>
      <c r="R57" s="218" t="s">
        <v>123</v>
      </c>
      <c r="S57" s="218" t="s">
        <v>123</v>
      </c>
      <c r="T57" s="218" t="s">
        <v>123</v>
      </c>
      <c r="U57" s="218" t="s">
        <v>123</v>
      </c>
      <c r="V57" s="218" t="s">
        <v>123</v>
      </c>
      <c r="W57" s="218" t="s">
        <v>123</v>
      </c>
      <c r="X57" s="218" t="s">
        <v>123</v>
      </c>
      <c r="Y57" s="218" t="s">
        <v>123</v>
      </c>
      <c r="Z57" s="218" t="s">
        <v>123</v>
      </c>
      <c r="AA57" s="218" t="s">
        <v>123</v>
      </c>
      <c r="AB57" s="219" t="s">
        <v>123</v>
      </c>
      <c r="AC57" s="219" t="s">
        <v>123</v>
      </c>
      <c r="AD57" s="219" t="s">
        <v>123</v>
      </c>
      <c r="AE57" s="183"/>
      <c r="AF57" s="183"/>
      <c r="AG57" s="183"/>
    </row>
    <row r="58" spans="1:33" ht="21" x14ac:dyDescent="0.35">
      <c r="B58" s="214" t="s">
        <v>81</v>
      </c>
      <c r="C58" s="214" t="s">
        <v>81</v>
      </c>
      <c r="D58" s="215">
        <v>4064479</v>
      </c>
      <c r="E58" s="218">
        <v>58845</v>
      </c>
      <c r="F58" s="218">
        <v>57127</v>
      </c>
      <c r="G58" s="218">
        <v>54935</v>
      </c>
      <c r="H58" s="218">
        <v>52807</v>
      </c>
      <c r="I58" s="218">
        <v>50183</v>
      </c>
      <c r="J58" s="218">
        <v>46290</v>
      </c>
      <c r="K58" s="218">
        <v>44646</v>
      </c>
      <c r="L58" s="218">
        <v>42905</v>
      </c>
      <c r="M58" s="218">
        <v>41400</v>
      </c>
      <c r="N58" s="218">
        <v>39886</v>
      </c>
      <c r="O58" s="218">
        <v>38231</v>
      </c>
      <c r="P58" s="218">
        <v>36604</v>
      </c>
      <c r="Q58" s="218">
        <v>35048</v>
      </c>
      <c r="R58" s="218">
        <v>33592</v>
      </c>
      <c r="S58" s="218">
        <v>32120</v>
      </c>
      <c r="T58" s="218">
        <v>30695</v>
      </c>
      <c r="U58" s="218">
        <v>29337</v>
      </c>
      <c r="V58" s="218">
        <v>28327</v>
      </c>
      <c r="W58" s="218">
        <v>27003</v>
      </c>
      <c r="X58" s="218">
        <v>25562</v>
      </c>
      <c r="Y58" s="218">
        <v>24148</v>
      </c>
      <c r="Z58" s="218">
        <v>22769</v>
      </c>
      <c r="AA58" s="218">
        <v>21517</v>
      </c>
      <c r="AB58" s="219">
        <v>20263</v>
      </c>
      <c r="AC58" s="219">
        <v>19078</v>
      </c>
      <c r="AD58" s="219">
        <v>18003</v>
      </c>
      <c r="AE58" s="183"/>
      <c r="AF58" s="183"/>
      <c r="AG58" s="183"/>
    </row>
    <row r="59" spans="1:33" ht="21" x14ac:dyDescent="0.35">
      <c r="B59" s="214" t="s">
        <v>82</v>
      </c>
      <c r="C59" s="214" t="s">
        <v>82</v>
      </c>
      <c r="D59" s="215">
        <v>4062025</v>
      </c>
      <c r="E59" s="218" t="s">
        <v>123</v>
      </c>
      <c r="F59" s="218" t="s">
        <v>123</v>
      </c>
      <c r="G59" s="218" t="s">
        <v>123</v>
      </c>
      <c r="H59" s="218" t="s">
        <v>123</v>
      </c>
      <c r="I59" s="218" t="s">
        <v>123</v>
      </c>
      <c r="J59" s="218" t="s">
        <v>123</v>
      </c>
      <c r="K59" s="218" t="s">
        <v>123</v>
      </c>
      <c r="L59" s="218" t="s">
        <v>123</v>
      </c>
      <c r="M59" s="218" t="s">
        <v>123</v>
      </c>
      <c r="N59" s="218" t="s">
        <v>123</v>
      </c>
      <c r="O59" s="218" t="s">
        <v>123</v>
      </c>
      <c r="P59" s="218" t="s">
        <v>123</v>
      </c>
      <c r="Q59" s="218" t="s">
        <v>123</v>
      </c>
      <c r="R59" s="218" t="s">
        <v>123</v>
      </c>
      <c r="S59" s="218" t="s">
        <v>123</v>
      </c>
      <c r="T59" s="218" t="s">
        <v>123</v>
      </c>
      <c r="U59" s="218" t="s">
        <v>123</v>
      </c>
      <c r="V59" s="218" t="s">
        <v>123</v>
      </c>
      <c r="W59" s="218" t="s">
        <v>123</v>
      </c>
      <c r="X59" s="218" t="s">
        <v>123</v>
      </c>
      <c r="Y59" s="218" t="s">
        <v>123</v>
      </c>
      <c r="Z59" s="218" t="s">
        <v>123</v>
      </c>
      <c r="AA59" s="218" t="s">
        <v>123</v>
      </c>
      <c r="AB59" s="219" t="s">
        <v>123</v>
      </c>
      <c r="AC59" s="219" t="s">
        <v>123</v>
      </c>
      <c r="AD59" s="219" t="s">
        <v>123</v>
      </c>
      <c r="AE59" s="183"/>
      <c r="AF59" s="183"/>
      <c r="AG59" s="183"/>
    </row>
    <row r="60" spans="1:33" ht="21" x14ac:dyDescent="0.35">
      <c r="B60" s="214" t="s">
        <v>83</v>
      </c>
      <c r="C60" s="214" t="s">
        <v>83</v>
      </c>
      <c r="D60" s="215">
        <v>4064481</v>
      </c>
      <c r="E60" s="218" t="s">
        <v>123</v>
      </c>
      <c r="F60" s="218" t="s">
        <v>123</v>
      </c>
      <c r="G60" s="218">
        <v>679607</v>
      </c>
      <c r="H60" s="218">
        <v>647566</v>
      </c>
      <c r="I60" s="218">
        <v>619953</v>
      </c>
      <c r="J60" s="218">
        <v>594234</v>
      </c>
      <c r="K60" s="218">
        <v>566418</v>
      </c>
      <c r="L60" s="218">
        <v>539580</v>
      </c>
      <c r="M60" s="218">
        <v>516584</v>
      </c>
      <c r="N60" s="218">
        <v>490334</v>
      </c>
      <c r="O60" s="218">
        <v>466273</v>
      </c>
      <c r="P60" s="218">
        <v>444965</v>
      </c>
      <c r="Q60" s="218">
        <v>422783</v>
      </c>
      <c r="R60" s="218">
        <v>407928</v>
      </c>
      <c r="S60" s="218">
        <v>392273</v>
      </c>
      <c r="T60" s="218">
        <v>374538</v>
      </c>
      <c r="U60" s="218">
        <v>358725</v>
      </c>
      <c r="V60" s="218">
        <v>339386</v>
      </c>
      <c r="W60" s="218">
        <v>325559</v>
      </c>
      <c r="X60" s="218">
        <v>313984</v>
      </c>
      <c r="Y60" s="218">
        <v>297753</v>
      </c>
      <c r="Z60" s="218">
        <v>268743</v>
      </c>
      <c r="AA60" s="218">
        <v>267162</v>
      </c>
      <c r="AB60" s="219">
        <v>250625</v>
      </c>
      <c r="AC60" s="219" t="s">
        <v>123</v>
      </c>
      <c r="AD60" s="219" t="s">
        <v>123</v>
      </c>
      <c r="AE60" s="183"/>
      <c r="AF60" s="183"/>
      <c r="AG60" s="183"/>
    </row>
    <row r="61" spans="1:33" ht="21" x14ac:dyDescent="0.35">
      <c r="A61" s="1" t="s">
        <v>30</v>
      </c>
      <c r="B61" s="214" t="s">
        <v>84</v>
      </c>
      <c r="C61" s="214" t="s">
        <v>84</v>
      </c>
      <c r="D61" s="215">
        <v>4057093</v>
      </c>
      <c r="E61" s="218">
        <v>248466</v>
      </c>
      <c r="F61" s="218">
        <v>232409</v>
      </c>
      <c r="G61" s="218">
        <v>218345</v>
      </c>
      <c r="H61" s="218">
        <v>204495</v>
      </c>
      <c r="I61" s="218">
        <v>192952</v>
      </c>
      <c r="J61" s="218">
        <v>182850</v>
      </c>
      <c r="K61" s="218">
        <v>172524</v>
      </c>
      <c r="L61" s="218">
        <v>160680</v>
      </c>
      <c r="M61" s="218">
        <v>150997</v>
      </c>
      <c r="N61" s="218">
        <v>141399</v>
      </c>
      <c r="O61" s="218">
        <v>132175</v>
      </c>
      <c r="P61" s="218">
        <v>125793</v>
      </c>
      <c r="Q61" s="218">
        <v>118144</v>
      </c>
      <c r="R61" s="218">
        <v>111909</v>
      </c>
      <c r="S61" s="218">
        <v>105825</v>
      </c>
      <c r="T61" s="218">
        <v>100043</v>
      </c>
      <c r="U61" s="218">
        <v>94346</v>
      </c>
      <c r="V61" s="218">
        <v>91707</v>
      </c>
      <c r="W61" s="218">
        <v>86088</v>
      </c>
      <c r="X61" s="218">
        <v>80826</v>
      </c>
      <c r="Y61" s="218">
        <v>75818</v>
      </c>
      <c r="Z61" s="218">
        <v>79136</v>
      </c>
      <c r="AA61" s="218">
        <v>76852</v>
      </c>
      <c r="AB61" s="219">
        <v>71856</v>
      </c>
      <c r="AC61" s="219">
        <v>67237</v>
      </c>
      <c r="AD61" s="219">
        <v>62650</v>
      </c>
      <c r="AE61" s="183"/>
      <c r="AF61" s="183"/>
      <c r="AG61" s="183"/>
    </row>
    <row r="62" spans="1:33" ht="21" x14ac:dyDescent="0.35">
      <c r="B62" s="214" t="s">
        <v>85</v>
      </c>
      <c r="C62" s="214" t="s">
        <v>85</v>
      </c>
      <c r="D62" s="215">
        <v>4004218</v>
      </c>
      <c r="E62" s="218">
        <v>5894624</v>
      </c>
      <c r="F62" s="218">
        <v>5623609</v>
      </c>
      <c r="G62" s="218">
        <v>5344337</v>
      </c>
      <c r="H62" s="218">
        <v>5099734</v>
      </c>
      <c r="I62" s="218">
        <v>4849089</v>
      </c>
      <c r="J62" s="218">
        <v>4600948</v>
      </c>
      <c r="K62" s="218">
        <v>4370240</v>
      </c>
      <c r="L62" s="218">
        <v>4183610</v>
      </c>
      <c r="M62" s="218">
        <v>4020208</v>
      </c>
      <c r="N62" s="218">
        <v>3866243</v>
      </c>
      <c r="O62" s="218">
        <v>3684266</v>
      </c>
      <c r="P62" s="218">
        <v>3531979</v>
      </c>
      <c r="Q62" s="218">
        <v>3398647</v>
      </c>
      <c r="R62" s="218">
        <v>3269324</v>
      </c>
      <c r="S62" s="218">
        <v>3129244</v>
      </c>
      <c r="T62" s="218">
        <v>3005126</v>
      </c>
      <c r="U62" s="218">
        <v>2860618</v>
      </c>
      <c r="V62" s="218">
        <v>1863258</v>
      </c>
      <c r="W62" s="218">
        <v>2659445</v>
      </c>
      <c r="X62" s="218">
        <v>2500812</v>
      </c>
      <c r="Y62" s="218">
        <v>2352959</v>
      </c>
      <c r="Z62" s="218">
        <v>2207806</v>
      </c>
      <c r="AA62" s="218">
        <v>2096630</v>
      </c>
      <c r="AB62" s="219">
        <v>2060491</v>
      </c>
      <c r="AC62" s="219">
        <v>1922742</v>
      </c>
      <c r="AD62" s="219">
        <v>1788439</v>
      </c>
      <c r="AE62" s="183"/>
      <c r="AF62" s="183"/>
      <c r="AG62" s="183"/>
    </row>
    <row r="63" spans="1:33" ht="21" x14ac:dyDescent="0.35">
      <c r="A63" s="1" t="s">
        <v>30</v>
      </c>
      <c r="B63" s="214" t="s">
        <v>86</v>
      </c>
      <c r="C63" s="214" t="s">
        <v>87</v>
      </c>
      <c r="D63" s="215">
        <v>4062222</v>
      </c>
      <c r="E63" s="218" t="s">
        <v>123</v>
      </c>
      <c r="F63" s="218" t="s">
        <v>123</v>
      </c>
      <c r="G63" s="218" t="s">
        <v>123</v>
      </c>
      <c r="H63" s="218" t="s">
        <v>123</v>
      </c>
      <c r="I63" s="218" t="s">
        <v>123</v>
      </c>
      <c r="J63" s="218" t="s">
        <v>123</v>
      </c>
      <c r="K63" s="218" t="s">
        <v>123</v>
      </c>
      <c r="L63" s="218" t="s">
        <v>123</v>
      </c>
      <c r="M63" s="218" t="s">
        <v>123</v>
      </c>
      <c r="N63" s="218" t="s">
        <v>123</v>
      </c>
      <c r="O63" s="218" t="s">
        <v>123</v>
      </c>
      <c r="P63" s="218" t="s">
        <v>123</v>
      </c>
      <c r="Q63" s="218" t="s">
        <v>123</v>
      </c>
      <c r="R63" s="218" t="s">
        <v>123</v>
      </c>
      <c r="S63" s="218" t="s">
        <v>123</v>
      </c>
      <c r="T63" s="218" t="s">
        <v>123</v>
      </c>
      <c r="U63" s="218" t="s">
        <v>123</v>
      </c>
      <c r="V63" s="218" t="s">
        <v>123</v>
      </c>
      <c r="W63" s="218" t="s">
        <v>123</v>
      </c>
      <c r="X63" s="218" t="s">
        <v>123</v>
      </c>
      <c r="Y63" s="218" t="s">
        <v>123</v>
      </c>
      <c r="Z63" s="218" t="s">
        <v>123</v>
      </c>
      <c r="AA63" s="218" t="s">
        <v>123</v>
      </c>
      <c r="AB63" s="219" t="s">
        <v>123</v>
      </c>
      <c r="AC63" s="219" t="s">
        <v>123</v>
      </c>
      <c r="AD63" s="219" t="s">
        <v>123</v>
      </c>
      <c r="AE63" s="183"/>
      <c r="AF63" s="183"/>
      <c r="AG63" s="183"/>
    </row>
    <row r="64" spans="1:33" ht="21" x14ac:dyDescent="0.35">
      <c r="B64" s="214" t="s">
        <v>88</v>
      </c>
      <c r="C64" s="214" t="s">
        <v>89</v>
      </c>
      <c r="D64" s="215">
        <v>4057135</v>
      </c>
      <c r="E64" s="218">
        <v>1239365</v>
      </c>
      <c r="F64" s="218">
        <v>1175936</v>
      </c>
      <c r="G64" s="218">
        <v>1103891</v>
      </c>
      <c r="H64" s="218">
        <v>1015905</v>
      </c>
      <c r="I64" s="218">
        <v>954359</v>
      </c>
      <c r="J64" s="218">
        <v>908933</v>
      </c>
      <c r="K64" s="218">
        <v>883686</v>
      </c>
      <c r="L64" s="218">
        <v>853597</v>
      </c>
      <c r="M64" s="218">
        <v>822936</v>
      </c>
      <c r="N64" s="218">
        <v>803704</v>
      </c>
      <c r="O64" s="218">
        <v>778105</v>
      </c>
      <c r="P64" s="218">
        <v>732535</v>
      </c>
      <c r="Q64" s="218">
        <v>709147</v>
      </c>
      <c r="R64" s="218">
        <v>682590</v>
      </c>
      <c r="S64" s="218">
        <v>666881</v>
      </c>
      <c r="T64" s="218">
        <v>635733</v>
      </c>
      <c r="U64" s="218">
        <v>612763</v>
      </c>
      <c r="V64" s="218">
        <v>588522</v>
      </c>
      <c r="W64" s="218">
        <v>565543</v>
      </c>
      <c r="X64" s="218">
        <v>544737</v>
      </c>
      <c r="Y64" s="218">
        <v>520985</v>
      </c>
      <c r="Z64" s="218">
        <v>491646</v>
      </c>
      <c r="AA64" s="218">
        <v>461009</v>
      </c>
      <c r="AB64" s="219">
        <v>431197</v>
      </c>
      <c r="AC64" s="219">
        <v>401505</v>
      </c>
      <c r="AD64" s="219">
        <v>375575</v>
      </c>
      <c r="AE64" s="183"/>
      <c r="AF64" s="183"/>
      <c r="AG64" s="183"/>
    </row>
    <row r="65" spans="1:33" ht="21" x14ac:dyDescent="0.35">
      <c r="B65" s="214" t="s">
        <v>90</v>
      </c>
      <c r="C65" s="214" t="s">
        <v>90</v>
      </c>
      <c r="D65" s="215">
        <v>4063341</v>
      </c>
      <c r="E65" s="218">
        <v>761968</v>
      </c>
      <c r="F65" s="218">
        <v>737863</v>
      </c>
      <c r="G65" s="218">
        <v>716667</v>
      </c>
      <c r="H65" s="218">
        <v>683169</v>
      </c>
      <c r="I65" s="218">
        <v>659288</v>
      </c>
      <c r="J65" s="218">
        <v>632212</v>
      </c>
      <c r="K65" s="218">
        <v>591363</v>
      </c>
      <c r="L65" s="218">
        <v>553400</v>
      </c>
      <c r="M65" s="218">
        <v>536373</v>
      </c>
      <c r="N65" s="218">
        <v>473465</v>
      </c>
      <c r="O65" s="218">
        <v>439314</v>
      </c>
      <c r="P65" s="218">
        <v>404540</v>
      </c>
      <c r="Q65" s="218">
        <v>372292</v>
      </c>
      <c r="R65" s="218">
        <v>375308</v>
      </c>
      <c r="S65" s="218">
        <v>317020</v>
      </c>
      <c r="T65" s="218">
        <v>292024</v>
      </c>
      <c r="U65" s="218">
        <v>272786</v>
      </c>
      <c r="V65" s="218">
        <v>253590</v>
      </c>
      <c r="W65" s="218">
        <v>217568</v>
      </c>
      <c r="X65" s="218" t="s">
        <v>123</v>
      </c>
      <c r="Y65" s="218" t="s">
        <v>123</v>
      </c>
      <c r="Z65" s="218">
        <v>187152</v>
      </c>
      <c r="AA65" s="218">
        <v>172412</v>
      </c>
      <c r="AB65" s="219" t="s">
        <v>123</v>
      </c>
      <c r="AC65" s="219" t="s">
        <v>123</v>
      </c>
      <c r="AD65" s="219" t="s">
        <v>123</v>
      </c>
      <c r="AE65" s="183"/>
      <c r="AF65" s="183"/>
      <c r="AG65" s="183"/>
    </row>
    <row r="66" spans="1:33" ht="21" x14ac:dyDescent="0.35">
      <c r="A66" s="1" t="s">
        <v>30</v>
      </c>
      <c r="B66" s="214" t="s">
        <v>91</v>
      </c>
      <c r="C66" s="214" t="s">
        <v>91</v>
      </c>
      <c r="D66" s="215">
        <v>4083575</v>
      </c>
      <c r="E66" s="218" t="s">
        <v>123</v>
      </c>
      <c r="F66" s="218" t="s">
        <v>123</v>
      </c>
      <c r="G66" s="218" t="s">
        <v>123</v>
      </c>
      <c r="H66" s="218" t="s">
        <v>123</v>
      </c>
      <c r="I66" s="218" t="s">
        <v>123</v>
      </c>
      <c r="J66" s="218" t="s">
        <v>123</v>
      </c>
      <c r="K66" s="218" t="s">
        <v>123</v>
      </c>
      <c r="L66" s="218" t="s">
        <v>123</v>
      </c>
      <c r="M66" s="218" t="s">
        <v>123</v>
      </c>
      <c r="N66" s="218" t="s">
        <v>123</v>
      </c>
      <c r="O66" s="218" t="s">
        <v>123</v>
      </c>
      <c r="P66" s="218" t="s">
        <v>123</v>
      </c>
      <c r="Q66" s="218" t="s">
        <v>123</v>
      </c>
      <c r="R66" s="218" t="s">
        <v>123</v>
      </c>
      <c r="S66" s="218" t="s">
        <v>123</v>
      </c>
      <c r="T66" s="218" t="s">
        <v>123</v>
      </c>
      <c r="U66" s="218" t="s">
        <v>123</v>
      </c>
      <c r="V66" s="218" t="s">
        <v>123</v>
      </c>
      <c r="W66" s="218" t="s">
        <v>123</v>
      </c>
      <c r="X66" s="218" t="s">
        <v>123</v>
      </c>
      <c r="Y66" s="218" t="s">
        <v>123</v>
      </c>
      <c r="Z66" s="218" t="s">
        <v>123</v>
      </c>
      <c r="AA66" s="218" t="s">
        <v>123</v>
      </c>
      <c r="AB66" s="219" t="s">
        <v>123</v>
      </c>
      <c r="AC66" s="219" t="s">
        <v>123</v>
      </c>
      <c r="AD66" s="219" t="s">
        <v>123</v>
      </c>
      <c r="AE66" s="183"/>
      <c r="AF66" s="183"/>
      <c r="AG66" s="183"/>
    </row>
    <row r="67" spans="1:33" ht="21" x14ac:dyDescent="0.35">
      <c r="B67" s="214" t="s">
        <v>92</v>
      </c>
      <c r="C67" s="214" t="s">
        <v>92</v>
      </c>
      <c r="D67" s="215">
        <v>4062303</v>
      </c>
      <c r="E67" s="218" t="s">
        <v>123</v>
      </c>
      <c r="F67" s="218" t="s">
        <v>123</v>
      </c>
      <c r="G67" s="218" t="s">
        <v>123</v>
      </c>
      <c r="H67" s="218" t="s">
        <v>123</v>
      </c>
      <c r="I67" s="218" t="s">
        <v>123</v>
      </c>
      <c r="J67" s="218" t="s">
        <v>123</v>
      </c>
      <c r="K67" s="218" t="s">
        <v>123</v>
      </c>
      <c r="L67" s="218" t="s">
        <v>123</v>
      </c>
      <c r="M67" s="218" t="s">
        <v>123</v>
      </c>
      <c r="N67" s="218" t="s">
        <v>123</v>
      </c>
      <c r="O67" s="218" t="s">
        <v>123</v>
      </c>
      <c r="P67" s="218" t="s">
        <v>123</v>
      </c>
      <c r="Q67" s="218" t="s">
        <v>123</v>
      </c>
      <c r="R67" s="218" t="s">
        <v>123</v>
      </c>
      <c r="S67" s="218" t="s">
        <v>123</v>
      </c>
      <c r="T67" s="218" t="s">
        <v>123</v>
      </c>
      <c r="U67" s="218" t="s">
        <v>123</v>
      </c>
      <c r="V67" s="218" t="s">
        <v>123</v>
      </c>
      <c r="W67" s="218" t="s">
        <v>123</v>
      </c>
      <c r="X67" s="218" t="s">
        <v>123</v>
      </c>
      <c r="Y67" s="218" t="s">
        <v>123</v>
      </c>
      <c r="Z67" s="218" t="s">
        <v>123</v>
      </c>
      <c r="AA67" s="218" t="s">
        <v>123</v>
      </c>
      <c r="AB67" s="219" t="s">
        <v>123</v>
      </c>
      <c r="AC67" s="219" t="s">
        <v>123</v>
      </c>
      <c r="AD67" s="219" t="s">
        <v>123</v>
      </c>
      <c r="AE67" s="183"/>
      <c r="AF67" s="183"/>
      <c r="AG67" s="183"/>
    </row>
    <row r="68" spans="1:33" ht="21" x14ac:dyDescent="0.35">
      <c r="B68" s="214" t="s">
        <v>93</v>
      </c>
      <c r="C68" s="214" t="s">
        <v>93</v>
      </c>
      <c r="D68" s="215">
        <v>4083581</v>
      </c>
      <c r="E68" s="218">
        <v>1923</v>
      </c>
      <c r="F68" s="218">
        <v>1640</v>
      </c>
      <c r="G68" s="218">
        <v>1368</v>
      </c>
      <c r="H68" s="218">
        <v>1102</v>
      </c>
      <c r="I68" s="218">
        <v>858</v>
      </c>
      <c r="J68" s="218">
        <v>634</v>
      </c>
      <c r="K68" s="218">
        <v>429</v>
      </c>
      <c r="L68" s="218">
        <v>3542</v>
      </c>
      <c r="M68" s="218">
        <v>3542</v>
      </c>
      <c r="N68" s="218">
        <v>3475</v>
      </c>
      <c r="O68" s="218">
        <v>3368</v>
      </c>
      <c r="P68" s="218">
        <v>3235</v>
      </c>
      <c r="Q68" s="218">
        <v>3103</v>
      </c>
      <c r="R68" s="218">
        <v>2971</v>
      </c>
      <c r="S68" s="218">
        <v>2843</v>
      </c>
      <c r="T68" s="218">
        <v>2737</v>
      </c>
      <c r="U68" s="218">
        <v>2594</v>
      </c>
      <c r="V68" s="218">
        <v>2470</v>
      </c>
      <c r="W68" s="218">
        <v>2340</v>
      </c>
      <c r="X68" s="218">
        <v>2232</v>
      </c>
      <c r="Y68" s="218" t="s">
        <v>123</v>
      </c>
      <c r="Z68" s="218" t="s">
        <v>123</v>
      </c>
      <c r="AA68" s="218" t="s">
        <v>123</v>
      </c>
      <c r="AB68" s="219" t="s">
        <v>123</v>
      </c>
      <c r="AC68" s="219" t="s">
        <v>123</v>
      </c>
      <c r="AD68" s="219" t="s">
        <v>123</v>
      </c>
      <c r="AE68" s="183"/>
      <c r="AF68" s="183"/>
      <c r="AG68" s="183"/>
    </row>
    <row r="69" spans="1:33" ht="21" x14ac:dyDescent="0.35">
      <c r="B69" s="214" t="s">
        <v>94</v>
      </c>
      <c r="C69" s="214" t="s">
        <v>94</v>
      </c>
      <c r="D69" s="215">
        <v>4057139</v>
      </c>
      <c r="E69" s="218">
        <v>717734</v>
      </c>
      <c r="F69" s="218">
        <v>679096</v>
      </c>
      <c r="G69" s="218">
        <v>648858</v>
      </c>
      <c r="H69" s="218">
        <v>620171</v>
      </c>
      <c r="I69" s="218">
        <v>594714</v>
      </c>
      <c r="J69" s="218">
        <v>565253</v>
      </c>
      <c r="K69" s="218">
        <v>531482</v>
      </c>
      <c r="L69" s="218">
        <v>261740</v>
      </c>
      <c r="M69" s="218">
        <v>244495</v>
      </c>
      <c r="N69" s="218">
        <v>228187</v>
      </c>
      <c r="O69" s="218">
        <v>214896</v>
      </c>
      <c r="P69" s="218">
        <v>199152</v>
      </c>
      <c r="Q69" s="218">
        <v>183712</v>
      </c>
      <c r="R69" s="218">
        <v>163342</v>
      </c>
      <c r="S69" s="218">
        <v>152479</v>
      </c>
      <c r="T69" s="218">
        <v>138825</v>
      </c>
      <c r="U69" s="218">
        <v>253508</v>
      </c>
      <c r="V69" s="218">
        <v>234508</v>
      </c>
      <c r="W69" s="218">
        <v>213211</v>
      </c>
      <c r="X69" s="218">
        <v>194158</v>
      </c>
      <c r="Y69" s="218">
        <v>177315</v>
      </c>
      <c r="Z69" s="218">
        <v>161949</v>
      </c>
      <c r="AA69" s="218">
        <v>147033</v>
      </c>
      <c r="AB69" s="219">
        <v>133260</v>
      </c>
      <c r="AC69" s="219">
        <v>119038</v>
      </c>
      <c r="AD69" s="219">
        <v>107425</v>
      </c>
      <c r="AE69" s="183"/>
      <c r="AF69" s="183"/>
      <c r="AG69" s="183"/>
    </row>
    <row r="70" spans="1:33" ht="21" x14ac:dyDescent="0.35">
      <c r="A70" s="1" t="s">
        <v>30</v>
      </c>
      <c r="B70" s="214" t="s">
        <v>95</v>
      </c>
      <c r="C70" s="214" t="s">
        <v>95</v>
      </c>
      <c r="D70" s="215">
        <v>4057095</v>
      </c>
      <c r="E70" s="218" t="s">
        <v>123</v>
      </c>
      <c r="F70" s="218">
        <v>2127524</v>
      </c>
      <c r="G70" s="218">
        <v>2103981</v>
      </c>
      <c r="H70" s="218">
        <v>2086009</v>
      </c>
      <c r="I70" s="218">
        <v>2065479</v>
      </c>
      <c r="J70" s="218">
        <v>2043957</v>
      </c>
      <c r="K70" s="218">
        <v>1984623</v>
      </c>
      <c r="L70" s="218">
        <v>1931747</v>
      </c>
      <c r="M70" s="218">
        <v>1853589</v>
      </c>
      <c r="N70" s="218">
        <v>1815936</v>
      </c>
      <c r="O70" s="218">
        <v>1755201</v>
      </c>
      <c r="P70" s="218">
        <v>1714882</v>
      </c>
      <c r="Q70" s="218">
        <v>1686050</v>
      </c>
      <c r="R70" s="218">
        <v>1632574</v>
      </c>
      <c r="S70" s="218">
        <v>1580252</v>
      </c>
      <c r="T70" s="218">
        <v>1561891</v>
      </c>
      <c r="U70" s="218">
        <v>1480514</v>
      </c>
      <c r="V70" s="218">
        <v>1402820</v>
      </c>
      <c r="W70" s="218">
        <v>1330164</v>
      </c>
      <c r="X70" s="218">
        <v>1240309</v>
      </c>
      <c r="Y70" s="218">
        <v>1190833</v>
      </c>
      <c r="Z70" s="218">
        <v>1128002</v>
      </c>
      <c r="AA70" s="218">
        <f>+Z70/(1+Z71)</f>
        <v>1068486.1034284404</v>
      </c>
      <c r="AB70" s="219" t="s">
        <v>123</v>
      </c>
      <c r="AC70" s="219" t="s">
        <v>123</v>
      </c>
      <c r="AD70" s="219" t="s">
        <v>123</v>
      </c>
      <c r="AE70" s="183"/>
      <c r="AF70" s="183"/>
      <c r="AG70" s="183"/>
    </row>
    <row r="71" spans="1:33" ht="21" x14ac:dyDescent="0.35">
      <c r="B71" s="214"/>
      <c r="C71" s="214"/>
      <c r="D71" s="215"/>
      <c r="E71" s="220"/>
      <c r="F71" s="220"/>
      <c r="G71" s="220">
        <f t="shared" ref="G71:Y71" si="2">+F70/G70-1</f>
        <v>1.1189739831300782E-2</v>
      </c>
      <c r="H71" s="220">
        <f t="shared" si="2"/>
        <v>8.615494947529001E-3</v>
      </c>
      <c r="I71" s="220">
        <f t="shared" si="2"/>
        <v>9.9395830216622016E-3</v>
      </c>
      <c r="J71" s="220">
        <f t="shared" si="2"/>
        <v>1.052957572003721E-2</v>
      </c>
      <c r="K71" s="220">
        <f t="shared" si="2"/>
        <v>2.9896862023669035E-2</v>
      </c>
      <c r="L71" s="220">
        <f t="shared" si="2"/>
        <v>2.7372114464264685E-2</v>
      </c>
      <c r="M71" s="220">
        <f t="shared" si="2"/>
        <v>4.2165765981563297E-2</v>
      </c>
      <c r="N71" s="220">
        <f t="shared" si="2"/>
        <v>2.0734761577500427E-2</v>
      </c>
      <c r="O71" s="220">
        <f t="shared" si="2"/>
        <v>3.4602874542573714E-2</v>
      </c>
      <c r="P71" s="220">
        <f t="shared" si="2"/>
        <v>2.3511238674147839E-2</v>
      </c>
      <c r="Q71" s="220">
        <f t="shared" si="2"/>
        <v>1.7100323240710535E-2</v>
      </c>
      <c r="R71" s="220">
        <f t="shared" si="2"/>
        <v>3.2755636191682536E-2</v>
      </c>
      <c r="S71" s="220">
        <f t="shared" si="2"/>
        <v>3.3109909052480235E-2</v>
      </c>
      <c r="T71" s="220">
        <f t="shared" si="2"/>
        <v>1.175562187118051E-2</v>
      </c>
      <c r="U71" s="220">
        <f t="shared" si="2"/>
        <v>5.4965370134966607E-2</v>
      </c>
      <c r="V71" s="220">
        <f t="shared" si="2"/>
        <v>5.5384154773955308E-2</v>
      </c>
      <c r="W71" s="220">
        <f t="shared" si="2"/>
        <v>5.4621836104420174E-2</v>
      </c>
      <c r="X71" s="220">
        <f t="shared" si="2"/>
        <v>7.2445656687164295E-2</v>
      </c>
      <c r="Y71" s="220">
        <f t="shared" si="2"/>
        <v>4.1547387417043335E-2</v>
      </c>
      <c r="Z71" s="220">
        <f>+Y70/Z70-1</f>
        <v>5.5701142373861146E-2</v>
      </c>
      <c r="AA71" s="220"/>
      <c r="AB71" s="219"/>
      <c r="AC71" s="219"/>
      <c r="AD71" s="219"/>
      <c r="AE71" s="183"/>
      <c r="AF71" s="183"/>
      <c r="AG71" s="183"/>
    </row>
    <row r="72" spans="1:33" ht="21" x14ac:dyDescent="0.35">
      <c r="B72" s="214" t="s">
        <v>96</v>
      </c>
      <c r="C72" s="214" t="s">
        <v>96</v>
      </c>
      <c r="D72" s="215">
        <v>4062485</v>
      </c>
      <c r="E72" s="218">
        <v>1639878</v>
      </c>
      <c r="F72" s="218">
        <v>1553327</v>
      </c>
      <c r="G72" s="218">
        <v>1473933</v>
      </c>
      <c r="H72" s="218">
        <v>1393434</v>
      </c>
      <c r="I72" s="218">
        <v>1311631</v>
      </c>
      <c r="J72" s="218">
        <v>1226432</v>
      </c>
      <c r="K72" s="218">
        <v>1150266</v>
      </c>
      <c r="L72" s="218">
        <v>1069057</v>
      </c>
      <c r="M72" s="218">
        <v>994151</v>
      </c>
      <c r="N72" s="218">
        <v>922399</v>
      </c>
      <c r="O72" s="218">
        <v>851599</v>
      </c>
      <c r="P72" s="218">
        <v>786975</v>
      </c>
      <c r="Q72" s="218">
        <v>716169</v>
      </c>
      <c r="R72" s="218">
        <v>656461</v>
      </c>
      <c r="S72" s="218">
        <v>619110</v>
      </c>
      <c r="T72" s="218">
        <v>542830</v>
      </c>
      <c r="U72" s="218">
        <v>503283</v>
      </c>
      <c r="V72" s="218">
        <v>466465</v>
      </c>
      <c r="W72" s="218">
        <v>430524</v>
      </c>
      <c r="X72" s="218">
        <v>397916</v>
      </c>
      <c r="Y72" s="218">
        <v>364000</v>
      </c>
      <c r="Z72" s="218">
        <v>331377</v>
      </c>
      <c r="AA72" s="218">
        <v>301426</v>
      </c>
      <c r="AB72" s="219">
        <v>282734</v>
      </c>
      <c r="AC72" s="219">
        <v>257371</v>
      </c>
      <c r="AD72" s="219">
        <v>235287</v>
      </c>
      <c r="AE72" s="183"/>
      <c r="AF72" s="183"/>
      <c r="AG72" s="183"/>
    </row>
    <row r="73" spans="1:33" ht="21" x14ac:dyDescent="0.35">
      <c r="B73" s="214" t="s">
        <v>97</v>
      </c>
      <c r="C73" s="214" t="s">
        <v>97</v>
      </c>
      <c r="D73" s="215">
        <v>4057140</v>
      </c>
      <c r="E73" s="218">
        <v>646656</v>
      </c>
      <c r="F73" s="218">
        <v>610409</v>
      </c>
      <c r="G73" s="218">
        <v>589325</v>
      </c>
      <c r="H73" s="218">
        <v>540355</v>
      </c>
      <c r="I73" s="218">
        <v>511866</v>
      </c>
      <c r="J73" s="218">
        <v>673339</v>
      </c>
      <c r="K73" s="218">
        <v>575781</v>
      </c>
      <c r="L73" s="218">
        <v>565922</v>
      </c>
      <c r="M73" s="218">
        <v>561919</v>
      </c>
      <c r="N73" s="218">
        <v>543446</v>
      </c>
      <c r="O73" s="218">
        <v>610228</v>
      </c>
      <c r="P73" s="218">
        <v>482581</v>
      </c>
      <c r="Q73" s="218">
        <v>451920</v>
      </c>
      <c r="R73" s="218">
        <v>470582</v>
      </c>
      <c r="S73" s="218">
        <v>440179</v>
      </c>
      <c r="T73" s="218">
        <v>413998</v>
      </c>
      <c r="U73" s="218">
        <v>382038</v>
      </c>
      <c r="V73" s="218">
        <v>351229</v>
      </c>
      <c r="W73" s="218" t="s">
        <v>123</v>
      </c>
      <c r="X73" s="218">
        <v>84751</v>
      </c>
      <c r="Y73" s="218">
        <v>292616</v>
      </c>
      <c r="Z73" s="218">
        <v>271133</v>
      </c>
      <c r="AA73" s="218">
        <v>249659</v>
      </c>
      <c r="AB73" s="219">
        <v>233346</v>
      </c>
      <c r="AC73" s="219">
        <v>215405</v>
      </c>
      <c r="AD73" s="219">
        <v>202981</v>
      </c>
      <c r="AE73" s="183"/>
      <c r="AF73" s="183"/>
      <c r="AG73" s="183"/>
    </row>
    <row r="74" spans="1:33" ht="21" x14ac:dyDescent="0.35">
      <c r="A74" s="1" t="s">
        <v>30</v>
      </c>
      <c r="B74" s="214" t="s">
        <v>98</v>
      </c>
      <c r="C74" s="214" t="s">
        <v>99</v>
      </c>
      <c r="D74" s="215">
        <v>4057096</v>
      </c>
      <c r="E74" s="218">
        <v>379939</v>
      </c>
      <c r="F74" s="218">
        <v>362148</v>
      </c>
      <c r="G74" s="218">
        <v>348281</v>
      </c>
      <c r="H74" s="218">
        <v>333608</v>
      </c>
      <c r="I74" s="218">
        <v>316284</v>
      </c>
      <c r="J74" s="218">
        <v>307261</v>
      </c>
      <c r="K74" s="218">
        <v>289087</v>
      </c>
      <c r="L74" s="218">
        <v>277246</v>
      </c>
      <c r="M74" s="218">
        <v>265070</v>
      </c>
      <c r="N74" s="218">
        <v>253374</v>
      </c>
      <c r="O74" s="218">
        <v>241400</v>
      </c>
      <c r="P74" s="218">
        <v>230003</v>
      </c>
      <c r="Q74" s="218">
        <v>221065</v>
      </c>
      <c r="R74" s="218">
        <v>215621</v>
      </c>
      <c r="S74" s="218">
        <v>205393</v>
      </c>
      <c r="T74" s="218">
        <v>196916</v>
      </c>
      <c r="U74" s="218">
        <v>185843</v>
      </c>
      <c r="V74" s="218" t="s">
        <v>123</v>
      </c>
      <c r="W74" s="218" t="s">
        <v>123</v>
      </c>
      <c r="X74" s="218">
        <v>167597</v>
      </c>
      <c r="Y74" s="218">
        <v>166496</v>
      </c>
      <c r="Z74" s="218">
        <v>160814</v>
      </c>
      <c r="AA74" s="218">
        <v>154687</v>
      </c>
      <c r="AB74" s="219">
        <v>147222</v>
      </c>
      <c r="AC74" s="219">
        <v>139563</v>
      </c>
      <c r="AD74" s="219">
        <v>133768</v>
      </c>
      <c r="AE74" s="183"/>
      <c r="AF74" s="183"/>
      <c r="AG74" s="183"/>
    </row>
    <row r="75" spans="1:33" ht="21" x14ac:dyDescent="0.35">
      <c r="B75" s="214" t="s">
        <v>100</v>
      </c>
      <c r="C75" s="214" t="s">
        <v>100</v>
      </c>
      <c r="D75" s="215">
        <v>4057097</v>
      </c>
      <c r="E75" s="218" t="s">
        <v>123</v>
      </c>
      <c r="F75" s="218" t="s">
        <v>123</v>
      </c>
      <c r="G75" s="218">
        <v>618450</v>
      </c>
      <c r="H75" s="218">
        <v>590958</v>
      </c>
      <c r="I75" s="218">
        <v>563509</v>
      </c>
      <c r="J75" s="218">
        <v>536428</v>
      </c>
      <c r="K75" s="218">
        <v>518727</v>
      </c>
      <c r="L75" s="218">
        <v>497322</v>
      </c>
      <c r="M75" s="218">
        <v>469712</v>
      </c>
      <c r="N75" s="218">
        <v>449819</v>
      </c>
      <c r="O75" s="218">
        <v>424289</v>
      </c>
      <c r="P75" s="218">
        <v>408051</v>
      </c>
      <c r="Q75" s="218">
        <v>395866</v>
      </c>
      <c r="R75" s="218">
        <v>349054</v>
      </c>
      <c r="S75" s="218">
        <v>333558</v>
      </c>
      <c r="T75" s="218">
        <v>319628</v>
      </c>
      <c r="U75" s="218">
        <v>515312</v>
      </c>
      <c r="V75" s="218">
        <v>492311</v>
      </c>
      <c r="W75" s="218">
        <v>473183</v>
      </c>
      <c r="X75" s="218">
        <v>450271</v>
      </c>
      <c r="Y75" s="218">
        <v>425520</v>
      </c>
      <c r="Z75" s="218">
        <v>401189</v>
      </c>
      <c r="AA75" s="218">
        <v>377401</v>
      </c>
      <c r="AB75" s="219">
        <v>350791</v>
      </c>
      <c r="AC75" s="219">
        <v>325898</v>
      </c>
      <c r="AD75" s="219">
        <v>301247</v>
      </c>
      <c r="AE75" s="183"/>
      <c r="AF75" s="183"/>
      <c r="AG75" s="183"/>
    </row>
    <row r="76" spans="1:33" ht="21" x14ac:dyDescent="0.35">
      <c r="B76" s="214" t="s">
        <v>101</v>
      </c>
      <c r="C76" s="214" t="s">
        <v>101</v>
      </c>
      <c r="D76" s="215">
        <v>4057098</v>
      </c>
      <c r="E76" s="218" t="s">
        <v>123</v>
      </c>
      <c r="F76" s="218">
        <v>188820</v>
      </c>
      <c r="G76" s="218">
        <v>181675</v>
      </c>
      <c r="H76" s="218">
        <v>176121</v>
      </c>
      <c r="I76" s="218">
        <v>168539</v>
      </c>
      <c r="J76" s="218">
        <v>160850</v>
      </c>
      <c r="K76" s="218">
        <v>155816</v>
      </c>
      <c r="L76" s="218">
        <v>149197</v>
      </c>
      <c r="M76" s="218">
        <v>141560</v>
      </c>
      <c r="N76" s="218">
        <v>134043</v>
      </c>
      <c r="O76" s="218">
        <v>126587</v>
      </c>
      <c r="P76" s="218">
        <v>108598</v>
      </c>
      <c r="Q76" s="218">
        <v>102481</v>
      </c>
      <c r="R76" s="218">
        <v>96594</v>
      </c>
      <c r="S76" s="218">
        <v>92820</v>
      </c>
      <c r="T76" s="218">
        <v>86772</v>
      </c>
      <c r="U76" s="218">
        <v>80631</v>
      </c>
      <c r="V76" s="218">
        <v>53543</v>
      </c>
      <c r="W76" s="218">
        <v>68549</v>
      </c>
      <c r="X76" s="218" t="s">
        <v>123</v>
      </c>
      <c r="Y76" s="218">
        <v>58117</v>
      </c>
      <c r="Z76" s="218">
        <v>53277</v>
      </c>
      <c r="AA76" s="218">
        <v>48943</v>
      </c>
      <c r="AB76" s="219">
        <v>44823</v>
      </c>
      <c r="AC76" s="219">
        <v>41154</v>
      </c>
      <c r="AD76" s="219" t="s">
        <v>123</v>
      </c>
      <c r="AE76" s="183"/>
      <c r="AF76" s="183"/>
      <c r="AG76" s="183"/>
    </row>
    <row r="77" spans="1:33" ht="21" x14ac:dyDescent="0.35">
      <c r="A77" s="1" t="s">
        <v>30</v>
      </c>
      <c r="B77" s="214" t="s">
        <v>102</v>
      </c>
      <c r="C77" s="214" t="s">
        <v>102</v>
      </c>
      <c r="D77" s="215">
        <v>4063023</v>
      </c>
      <c r="E77" s="218" t="s">
        <v>123</v>
      </c>
      <c r="F77" s="218">
        <v>392979</v>
      </c>
      <c r="G77" s="218">
        <v>369649</v>
      </c>
      <c r="H77" s="218">
        <v>353341</v>
      </c>
      <c r="I77" s="218">
        <v>343925</v>
      </c>
      <c r="J77" s="218">
        <v>329600</v>
      </c>
      <c r="K77" s="218">
        <v>312399</v>
      </c>
      <c r="L77" s="218">
        <v>300958</v>
      </c>
      <c r="M77" s="218">
        <v>286695</v>
      </c>
      <c r="N77" s="218">
        <v>269608</v>
      </c>
      <c r="O77" s="218">
        <v>253534</v>
      </c>
      <c r="P77" s="218">
        <v>236795</v>
      </c>
      <c r="Q77" s="218">
        <v>222276</v>
      </c>
      <c r="R77" s="218">
        <v>207527</v>
      </c>
      <c r="S77" s="218">
        <v>193496</v>
      </c>
      <c r="T77" s="218">
        <v>180071</v>
      </c>
      <c r="U77" s="218">
        <v>165673</v>
      </c>
      <c r="V77" s="218">
        <v>198766</v>
      </c>
      <c r="W77" s="218">
        <v>184972</v>
      </c>
      <c r="X77" s="218">
        <v>172896</v>
      </c>
      <c r="Y77" s="218">
        <v>162149</v>
      </c>
      <c r="Z77" s="218">
        <v>150323</v>
      </c>
      <c r="AA77" s="218">
        <v>139892</v>
      </c>
      <c r="AB77" s="219">
        <v>130149</v>
      </c>
      <c r="AC77" s="219">
        <v>121664</v>
      </c>
      <c r="AD77" s="219">
        <v>112783</v>
      </c>
      <c r="AE77" s="183"/>
      <c r="AF77" s="183"/>
      <c r="AG77" s="183"/>
    </row>
    <row r="78" spans="1:33" ht="21" x14ac:dyDescent="0.35">
      <c r="B78" s="214" t="s">
        <v>103</v>
      </c>
      <c r="C78" s="214" t="s">
        <v>103</v>
      </c>
      <c r="D78" s="215">
        <v>4057146</v>
      </c>
      <c r="E78" s="218" t="s">
        <v>123</v>
      </c>
      <c r="F78" s="218">
        <v>3677301</v>
      </c>
      <c r="G78" s="218">
        <v>3482276</v>
      </c>
      <c r="H78" s="218">
        <v>3344614</v>
      </c>
      <c r="I78" s="218">
        <v>3198494</v>
      </c>
      <c r="J78" s="218">
        <v>3090323</v>
      </c>
      <c r="K78" s="218">
        <v>2958030</v>
      </c>
      <c r="L78" s="218">
        <v>2811114</v>
      </c>
      <c r="M78" s="218">
        <v>2807443</v>
      </c>
      <c r="N78" s="218">
        <v>2637203</v>
      </c>
      <c r="O78" s="218">
        <v>2473715</v>
      </c>
      <c r="P78" s="218">
        <v>2368859</v>
      </c>
      <c r="Q78" s="218">
        <v>2197951</v>
      </c>
      <c r="R78" s="218">
        <v>2159445</v>
      </c>
      <c r="S78" s="218">
        <v>2095799</v>
      </c>
      <c r="T78" s="218">
        <v>2018755</v>
      </c>
      <c r="U78" s="218">
        <v>3085745</v>
      </c>
      <c r="V78" s="218">
        <v>2967760</v>
      </c>
      <c r="W78" s="218">
        <v>2817573</v>
      </c>
      <c r="X78" s="218">
        <v>2664859</v>
      </c>
      <c r="Y78" s="218">
        <v>2508327</v>
      </c>
      <c r="Z78" s="218">
        <v>2359644</v>
      </c>
      <c r="AA78" s="218">
        <v>2198338</v>
      </c>
      <c r="AB78" s="219">
        <v>2048783</v>
      </c>
      <c r="AC78" s="219" t="s">
        <v>123</v>
      </c>
      <c r="AD78" s="219" t="s">
        <v>123</v>
      </c>
      <c r="AE78" s="183"/>
      <c r="AF78" s="183"/>
      <c r="AG78" s="183"/>
    </row>
    <row r="79" spans="1:33" ht="21" x14ac:dyDescent="0.35">
      <c r="A79" s="1" t="s">
        <v>30</v>
      </c>
      <c r="B79" s="214" t="s">
        <v>104</v>
      </c>
      <c r="C79" s="214" t="s">
        <v>105</v>
      </c>
      <c r="D79" s="215">
        <v>4063060</v>
      </c>
      <c r="E79" s="218">
        <v>361896</v>
      </c>
      <c r="F79" s="218">
        <v>344935</v>
      </c>
      <c r="G79" s="218">
        <v>325116</v>
      </c>
      <c r="H79" s="218">
        <v>316286</v>
      </c>
      <c r="I79" s="218">
        <v>305546</v>
      </c>
      <c r="J79" s="218">
        <v>289605</v>
      </c>
      <c r="K79" s="218">
        <v>275715</v>
      </c>
      <c r="L79" s="218">
        <v>259052</v>
      </c>
      <c r="M79" s="218">
        <v>268871</v>
      </c>
      <c r="N79" s="218">
        <v>252807</v>
      </c>
      <c r="O79" s="218">
        <v>243628</v>
      </c>
      <c r="P79" s="218">
        <v>234072</v>
      </c>
      <c r="Q79" s="218">
        <v>213241</v>
      </c>
      <c r="R79" s="218">
        <v>204864</v>
      </c>
      <c r="S79" s="218">
        <v>196343</v>
      </c>
      <c r="T79" s="218">
        <v>186923</v>
      </c>
      <c r="U79" s="218">
        <v>187598</v>
      </c>
      <c r="V79" s="218">
        <v>174494</v>
      </c>
      <c r="W79" s="218">
        <v>164620</v>
      </c>
      <c r="X79" s="218">
        <v>155339</v>
      </c>
      <c r="Y79" s="218">
        <v>146272</v>
      </c>
      <c r="Z79" s="218" t="s">
        <v>123</v>
      </c>
      <c r="AA79" s="218">
        <v>124149</v>
      </c>
      <c r="AB79" s="219">
        <v>116344</v>
      </c>
      <c r="AC79" s="219">
        <v>105164</v>
      </c>
      <c r="AD79" s="219">
        <v>95006</v>
      </c>
      <c r="AE79" s="183"/>
      <c r="AF79" s="183"/>
      <c r="AG79" s="183"/>
    </row>
    <row r="80" spans="1:33" ht="21" x14ac:dyDescent="0.35">
      <c r="B80" s="214" t="s">
        <v>106</v>
      </c>
      <c r="C80" s="214" t="s">
        <v>106</v>
      </c>
      <c r="D80" s="215">
        <v>4057100</v>
      </c>
      <c r="E80" s="218">
        <v>119934</v>
      </c>
      <c r="F80" s="218" t="s">
        <v>123</v>
      </c>
      <c r="G80" s="218">
        <v>104380</v>
      </c>
      <c r="H80" s="218">
        <v>97857</v>
      </c>
      <c r="I80" s="218">
        <v>92450</v>
      </c>
      <c r="J80" s="218">
        <v>87364</v>
      </c>
      <c r="K80" s="218">
        <v>84523</v>
      </c>
      <c r="L80" s="218">
        <v>81300</v>
      </c>
      <c r="M80" s="218">
        <v>77555</v>
      </c>
      <c r="N80" s="218">
        <v>74076</v>
      </c>
      <c r="O80" s="218">
        <v>71320</v>
      </c>
      <c r="P80" s="218">
        <v>68167</v>
      </c>
      <c r="Q80" s="218">
        <v>65386</v>
      </c>
      <c r="R80" s="218">
        <v>63079</v>
      </c>
      <c r="S80" s="218">
        <v>60000</v>
      </c>
      <c r="T80" s="218">
        <v>55435</v>
      </c>
      <c r="U80" s="218">
        <v>54559</v>
      </c>
      <c r="V80" s="218">
        <v>52431</v>
      </c>
      <c r="W80" s="218">
        <v>49467</v>
      </c>
      <c r="X80" s="218">
        <v>47829</v>
      </c>
      <c r="Y80" s="218">
        <v>44809</v>
      </c>
      <c r="Z80" s="218">
        <v>42676</v>
      </c>
      <c r="AA80" s="218">
        <v>40959</v>
      </c>
      <c r="AB80" s="219">
        <v>38643</v>
      </c>
      <c r="AC80" s="219">
        <v>36493</v>
      </c>
      <c r="AD80" s="219">
        <v>34779</v>
      </c>
      <c r="AE80" s="183"/>
      <c r="AF80" s="183"/>
      <c r="AG80" s="183"/>
    </row>
    <row r="81" spans="1:33" ht="21" x14ac:dyDescent="0.35">
      <c r="B81" s="214" t="s">
        <v>107</v>
      </c>
      <c r="C81" s="214" t="s">
        <v>107</v>
      </c>
      <c r="D81" s="215">
        <v>4064035</v>
      </c>
      <c r="E81" s="218" t="s">
        <v>123</v>
      </c>
      <c r="F81" s="218">
        <v>24390</v>
      </c>
      <c r="G81" s="218">
        <v>23749</v>
      </c>
      <c r="H81" s="218">
        <v>23155</v>
      </c>
      <c r="I81" s="218">
        <v>22485</v>
      </c>
      <c r="J81" s="218">
        <v>21908</v>
      </c>
      <c r="K81" s="218">
        <v>21431</v>
      </c>
      <c r="L81" s="218">
        <v>20935</v>
      </c>
      <c r="M81" s="218">
        <v>21058</v>
      </c>
      <c r="N81" s="218">
        <v>20059</v>
      </c>
      <c r="O81" s="218">
        <v>19090</v>
      </c>
      <c r="P81" s="218">
        <v>18150</v>
      </c>
      <c r="Q81" s="218">
        <v>17246</v>
      </c>
      <c r="R81" s="218">
        <v>16391</v>
      </c>
      <c r="S81" s="218" t="s">
        <v>123</v>
      </c>
      <c r="T81" s="218">
        <v>14824</v>
      </c>
      <c r="U81" s="218">
        <v>14097</v>
      </c>
      <c r="V81" s="218" t="s">
        <v>123</v>
      </c>
      <c r="W81" s="218" t="s">
        <v>123</v>
      </c>
      <c r="X81" s="218">
        <v>12111</v>
      </c>
      <c r="Y81" s="218" t="s">
        <v>123</v>
      </c>
      <c r="Z81" s="218" t="s">
        <v>123</v>
      </c>
      <c r="AA81" s="218" t="s">
        <v>123</v>
      </c>
      <c r="AB81" s="219" t="s">
        <v>123</v>
      </c>
      <c r="AC81" s="219" t="s">
        <v>123</v>
      </c>
      <c r="AD81" s="219" t="s">
        <v>123</v>
      </c>
      <c r="AE81" s="183"/>
      <c r="AF81" s="183"/>
      <c r="AG81" s="183"/>
    </row>
    <row r="82" spans="1:33" ht="21" x14ac:dyDescent="0.35">
      <c r="B82" s="214" t="s">
        <v>108</v>
      </c>
      <c r="C82" s="214" t="s">
        <v>108</v>
      </c>
      <c r="D82" s="215">
        <v>4060957</v>
      </c>
      <c r="E82" s="218">
        <v>502469</v>
      </c>
      <c r="F82" s="218">
        <v>489306</v>
      </c>
      <c r="G82" s="218">
        <v>474783</v>
      </c>
      <c r="H82" s="218">
        <v>460358</v>
      </c>
      <c r="I82" s="218">
        <v>446987</v>
      </c>
      <c r="J82" s="218">
        <v>434480</v>
      </c>
      <c r="K82" s="218">
        <v>418426</v>
      </c>
      <c r="L82" s="218">
        <v>404850</v>
      </c>
      <c r="M82" s="218">
        <v>386156</v>
      </c>
      <c r="N82" s="218">
        <v>371281</v>
      </c>
      <c r="O82" s="218">
        <v>354163</v>
      </c>
      <c r="P82" s="218">
        <v>337183</v>
      </c>
      <c r="Q82" s="218">
        <v>321217</v>
      </c>
      <c r="R82" s="218">
        <v>312117</v>
      </c>
      <c r="S82" s="218">
        <v>301895</v>
      </c>
      <c r="T82" s="218">
        <v>338044</v>
      </c>
      <c r="U82" s="218">
        <v>333350</v>
      </c>
      <c r="V82" s="218">
        <v>329500</v>
      </c>
      <c r="W82" s="218">
        <v>322148</v>
      </c>
      <c r="X82" s="218">
        <v>313121</v>
      </c>
      <c r="Y82" s="218">
        <v>304705</v>
      </c>
      <c r="Z82" s="218">
        <v>296639</v>
      </c>
      <c r="AA82" s="218">
        <v>287785</v>
      </c>
      <c r="AB82" s="219">
        <v>273373</v>
      </c>
      <c r="AC82" s="219">
        <v>258086</v>
      </c>
      <c r="AD82" s="219">
        <v>244516</v>
      </c>
      <c r="AE82" s="183"/>
      <c r="AF82" s="183"/>
      <c r="AG82" s="183"/>
    </row>
    <row r="83" spans="1:33" ht="21" x14ac:dyDescent="0.35">
      <c r="B83" s="214" t="s">
        <v>109</v>
      </c>
      <c r="C83" s="214" t="s">
        <v>109</v>
      </c>
      <c r="D83" s="215">
        <v>4063179</v>
      </c>
      <c r="E83" s="218">
        <v>5071</v>
      </c>
      <c r="F83" s="218" t="s">
        <v>123</v>
      </c>
      <c r="G83" s="218">
        <v>4806</v>
      </c>
      <c r="H83" s="218">
        <v>4659</v>
      </c>
      <c r="I83" s="218">
        <v>4465</v>
      </c>
      <c r="J83" s="218">
        <v>4265</v>
      </c>
      <c r="K83" s="218">
        <v>4069</v>
      </c>
      <c r="L83" s="218">
        <v>3897</v>
      </c>
      <c r="M83" s="218">
        <v>3699</v>
      </c>
      <c r="N83" s="218">
        <v>3543</v>
      </c>
      <c r="O83" s="218">
        <v>3379</v>
      </c>
      <c r="P83" s="218">
        <v>3222</v>
      </c>
      <c r="Q83" s="218">
        <v>3079</v>
      </c>
      <c r="R83" s="218">
        <v>2937</v>
      </c>
      <c r="S83" s="218">
        <v>2791</v>
      </c>
      <c r="T83" s="218">
        <v>2628</v>
      </c>
      <c r="U83" s="218">
        <v>2496</v>
      </c>
      <c r="V83" s="218">
        <v>2387</v>
      </c>
      <c r="W83" s="218">
        <v>2219</v>
      </c>
      <c r="X83" s="218" t="s">
        <v>123</v>
      </c>
      <c r="Y83" s="218" t="s">
        <v>123</v>
      </c>
      <c r="Z83" s="218">
        <v>1806</v>
      </c>
      <c r="AA83" s="218">
        <v>1631</v>
      </c>
      <c r="AB83" s="219">
        <v>1488</v>
      </c>
      <c r="AC83" s="219" t="s">
        <v>123</v>
      </c>
      <c r="AD83" s="219" t="s">
        <v>123</v>
      </c>
      <c r="AE83" s="183"/>
      <c r="AF83" s="183"/>
      <c r="AG83" s="183"/>
    </row>
    <row r="84" spans="1:33" ht="21" x14ac:dyDescent="0.35">
      <c r="A84" s="1" t="s">
        <v>30</v>
      </c>
      <c r="B84" s="214" t="s">
        <v>110</v>
      </c>
      <c r="C84" s="214" t="s">
        <v>110</v>
      </c>
      <c r="D84" s="215">
        <v>4063183</v>
      </c>
      <c r="E84" s="218">
        <v>28377</v>
      </c>
      <c r="F84" s="218">
        <v>26977</v>
      </c>
      <c r="G84" s="218">
        <v>25692</v>
      </c>
      <c r="H84" s="218" t="s">
        <v>123</v>
      </c>
      <c r="I84" s="218">
        <v>24081</v>
      </c>
      <c r="J84" s="218">
        <v>23580</v>
      </c>
      <c r="K84" s="218">
        <v>22673</v>
      </c>
      <c r="L84" s="218">
        <v>21856</v>
      </c>
      <c r="M84" s="218">
        <v>21139</v>
      </c>
      <c r="N84" s="218">
        <v>20919</v>
      </c>
      <c r="O84" s="218">
        <v>20337</v>
      </c>
      <c r="P84" s="218">
        <v>19678</v>
      </c>
      <c r="Q84" s="218">
        <v>19190</v>
      </c>
      <c r="R84" s="218">
        <v>18649</v>
      </c>
      <c r="S84" s="218">
        <v>18071</v>
      </c>
      <c r="T84" s="218">
        <v>17185</v>
      </c>
      <c r="U84" s="218">
        <v>16346</v>
      </c>
      <c r="V84" s="218">
        <v>15533</v>
      </c>
      <c r="W84" s="218">
        <v>14627</v>
      </c>
      <c r="X84" s="218">
        <v>13757</v>
      </c>
      <c r="Y84" s="218">
        <v>12962</v>
      </c>
      <c r="Z84" s="218">
        <v>12063</v>
      </c>
      <c r="AA84" s="218">
        <v>11143</v>
      </c>
      <c r="AB84" s="219" t="s">
        <v>123</v>
      </c>
      <c r="AC84" s="219">
        <v>9191</v>
      </c>
      <c r="AD84" s="219">
        <v>8275</v>
      </c>
      <c r="AE84" s="183"/>
      <c r="AF84" s="183"/>
      <c r="AG84" s="183"/>
    </row>
    <row r="85" spans="1:33" ht="21" x14ac:dyDescent="0.35">
      <c r="B85" s="214" t="s">
        <v>111</v>
      </c>
      <c r="C85" s="214" t="s">
        <v>111</v>
      </c>
      <c r="D85" s="215">
        <v>4063281</v>
      </c>
      <c r="E85" s="218">
        <v>19590</v>
      </c>
      <c r="F85" s="218">
        <v>18624</v>
      </c>
      <c r="G85" s="218">
        <v>17587</v>
      </c>
      <c r="H85" s="218">
        <v>16773</v>
      </c>
      <c r="I85" s="218">
        <v>15821</v>
      </c>
      <c r="J85" s="218">
        <v>15137</v>
      </c>
      <c r="K85" s="218">
        <v>14424</v>
      </c>
      <c r="L85" s="218">
        <v>13849</v>
      </c>
      <c r="M85" s="218">
        <v>13304</v>
      </c>
      <c r="N85" s="218">
        <v>12633</v>
      </c>
      <c r="O85" s="218">
        <v>12109</v>
      </c>
      <c r="P85" s="218">
        <v>11468</v>
      </c>
      <c r="Q85" s="218">
        <v>10866</v>
      </c>
      <c r="R85" s="218">
        <v>10337</v>
      </c>
      <c r="S85" s="218">
        <v>9786</v>
      </c>
      <c r="T85" s="218">
        <v>9200</v>
      </c>
      <c r="U85" s="218">
        <v>8683</v>
      </c>
      <c r="V85" s="218">
        <v>8152</v>
      </c>
      <c r="W85" s="218">
        <v>7719</v>
      </c>
      <c r="X85" s="218">
        <v>7237</v>
      </c>
      <c r="Y85" s="218">
        <v>6718</v>
      </c>
      <c r="Z85" s="218">
        <v>6236</v>
      </c>
      <c r="AA85" s="218">
        <v>5923</v>
      </c>
      <c r="AB85" s="219">
        <v>5515</v>
      </c>
      <c r="AC85" s="219">
        <v>5159</v>
      </c>
      <c r="AD85" s="219">
        <v>4862</v>
      </c>
      <c r="AE85" s="183"/>
      <c r="AF85" s="183"/>
      <c r="AG85" s="183"/>
    </row>
    <row r="86" spans="1:33" ht="21" x14ac:dyDescent="0.35">
      <c r="B86" s="214" t="s">
        <v>112</v>
      </c>
      <c r="C86" s="214" t="s">
        <v>112</v>
      </c>
      <c r="D86" s="215">
        <v>4059746</v>
      </c>
      <c r="E86" s="218">
        <v>1167722</v>
      </c>
      <c r="F86" s="218">
        <v>1085232</v>
      </c>
      <c r="G86" s="218">
        <v>1052807</v>
      </c>
      <c r="H86" s="218">
        <v>992652</v>
      </c>
      <c r="I86" s="218">
        <v>927820</v>
      </c>
      <c r="J86" s="218">
        <v>869611</v>
      </c>
      <c r="K86" s="218">
        <v>818318</v>
      </c>
      <c r="L86" s="218">
        <v>769372</v>
      </c>
      <c r="M86" s="218">
        <v>723495</v>
      </c>
      <c r="N86" s="218">
        <v>681706</v>
      </c>
      <c r="O86" s="218">
        <v>642201</v>
      </c>
      <c r="P86" s="218">
        <v>603245</v>
      </c>
      <c r="Q86" s="218">
        <v>567057</v>
      </c>
      <c r="R86" s="218">
        <v>513518</v>
      </c>
      <c r="S86" s="218">
        <v>478599</v>
      </c>
      <c r="T86" s="218">
        <v>450655</v>
      </c>
      <c r="U86" s="218">
        <v>438381</v>
      </c>
      <c r="V86" s="218">
        <v>411484</v>
      </c>
      <c r="W86" s="218">
        <v>380465</v>
      </c>
      <c r="X86" s="218">
        <v>412027</v>
      </c>
      <c r="Y86" s="218">
        <v>410935</v>
      </c>
      <c r="Z86" s="218">
        <v>392864</v>
      </c>
      <c r="AA86" s="218">
        <v>373335</v>
      </c>
      <c r="AB86" s="219">
        <v>354784</v>
      </c>
      <c r="AC86" s="219">
        <v>292124</v>
      </c>
      <c r="AD86" s="219" t="s">
        <v>123</v>
      </c>
      <c r="AE86" s="183"/>
      <c r="AF86" s="183"/>
      <c r="AG86" s="183"/>
    </row>
    <row r="87" spans="1:33" ht="21" x14ac:dyDescent="0.35">
      <c r="A87" s="1" t="s">
        <v>30</v>
      </c>
      <c r="B87" s="214" t="s">
        <v>113</v>
      </c>
      <c r="C87" s="214" t="s">
        <v>113</v>
      </c>
      <c r="D87" s="215">
        <v>4062279</v>
      </c>
      <c r="E87" s="218" t="s">
        <v>123</v>
      </c>
      <c r="F87" s="218" t="s">
        <v>123</v>
      </c>
      <c r="G87" s="218" t="s">
        <v>123</v>
      </c>
      <c r="H87" s="218" t="s">
        <v>123</v>
      </c>
      <c r="I87" s="218" t="s">
        <v>123</v>
      </c>
      <c r="J87" s="218" t="s">
        <v>123</v>
      </c>
      <c r="K87" s="218" t="s">
        <v>123</v>
      </c>
      <c r="L87" s="218" t="s">
        <v>123</v>
      </c>
      <c r="M87" s="218" t="s">
        <v>123</v>
      </c>
      <c r="N87" s="218" t="s">
        <v>123</v>
      </c>
      <c r="O87" s="218" t="s">
        <v>123</v>
      </c>
      <c r="P87" s="218" t="s">
        <v>123</v>
      </c>
      <c r="Q87" s="218" t="s">
        <v>123</v>
      </c>
      <c r="R87" s="218" t="s">
        <v>123</v>
      </c>
      <c r="S87" s="218" t="s">
        <v>123</v>
      </c>
      <c r="T87" s="218" t="s">
        <v>123</v>
      </c>
      <c r="U87" s="218" t="s">
        <v>123</v>
      </c>
      <c r="V87" s="218" t="s">
        <v>123</v>
      </c>
      <c r="W87" s="218" t="s">
        <v>123</v>
      </c>
      <c r="X87" s="218" t="s">
        <v>123</v>
      </c>
      <c r="Y87" s="218" t="s">
        <v>123</v>
      </c>
      <c r="Z87" s="218" t="s">
        <v>123</v>
      </c>
      <c r="AA87" s="218" t="s">
        <v>123</v>
      </c>
      <c r="AB87" s="219" t="s">
        <v>123</v>
      </c>
      <c r="AC87" s="219" t="s">
        <v>123</v>
      </c>
      <c r="AD87" s="219" t="s">
        <v>123</v>
      </c>
      <c r="AE87" s="183"/>
      <c r="AF87" s="183"/>
      <c r="AG87" s="183"/>
    </row>
    <row r="88" spans="1:33" ht="21" x14ac:dyDescent="0.35">
      <c r="A88" s="1" t="s">
        <v>30</v>
      </c>
      <c r="B88" s="214" t="s">
        <v>114</v>
      </c>
      <c r="C88" s="214" t="s">
        <v>114</v>
      </c>
      <c r="D88" s="215">
        <v>4063729</v>
      </c>
      <c r="E88" s="218" t="s">
        <v>123</v>
      </c>
      <c r="F88" s="218" t="s">
        <v>123</v>
      </c>
      <c r="G88" s="218" t="s">
        <v>123</v>
      </c>
      <c r="H88" s="218">
        <v>65633</v>
      </c>
      <c r="I88" s="218">
        <v>62325</v>
      </c>
      <c r="J88" s="218">
        <v>59743</v>
      </c>
      <c r="K88" s="218">
        <v>40553</v>
      </c>
      <c r="L88" s="218">
        <v>38326</v>
      </c>
      <c r="M88" s="218">
        <v>36254</v>
      </c>
      <c r="N88" s="218">
        <v>34690</v>
      </c>
      <c r="O88" s="218">
        <v>32960</v>
      </c>
      <c r="P88" s="218">
        <v>32363</v>
      </c>
      <c r="Q88" s="218">
        <v>31645</v>
      </c>
      <c r="R88" s="218">
        <v>30632</v>
      </c>
      <c r="S88" s="218">
        <v>29059</v>
      </c>
      <c r="T88" s="218">
        <v>30586</v>
      </c>
      <c r="U88" s="218">
        <v>28222</v>
      </c>
      <c r="V88" s="218">
        <v>25390</v>
      </c>
      <c r="W88" s="218">
        <v>22898</v>
      </c>
      <c r="X88" s="218">
        <v>20942</v>
      </c>
      <c r="Y88" s="218">
        <v>18949</v>
      </c>
      <c r="Z88" s="218">
        <v>17315</v>
      </c>
      <c r="AA88" s="218" t="s">
        <v>123</v>
      </c>
      <c r="AB88" s="219" t="s">
        <v>123</v>
      </c>
      <c r="AC88" s="219">
        <v>12918</v>
      </c>
      <c r="AD88" s="219">
        <v>12710</v>
      </c>
      <c r="AE88" s="183"/>
      <c r="AF88" s="183"/>
      <c r="AG88" s="183"/>
    </row>
    <row r="89" spans="1:33" ht="21" x14ac:dyDescent="0.35">
      <c r="B89" s="214" t="s">
        <v>115</v>
      </c>
      <c r="C89" s="214" t="s">
        <v>115</v>
      </c>
      <c r="D89" s="215">
        <v>4063762</v>
      </c>
      <c r="E89" s="218">
        <v>343137</v>
      </c>
      <c r="F89" s="218">
        <v>326945</v>
      </c>
      <c r="G89" s="218">
        <v>305830</v>
      </c>
      <c r="H89" s="218">
        <v>293293</v>
      </c>
      <c r="I89" s="218">
        <v>276400</v>
      </c>
      <c r="J89" s="218">
        <v>261125</v>
      </c>
      <c r="K89" s="218">
        <v>245119</v>
      </c>
      <c r="L89" s="218">
        <v>259713</v>
      </c>
      <c r="M89" s="218">
        <v>217655</v>
      </c>
      <c r="N89" s="218">
        <v>216848</v>
      </c>
      <c r="O89" s="218">
        <v>218254</v>
      </c>
      <c r="P89" s="218">
        <v>211102</v>
      </c>
      <c r="Q89" s="218">
        <v>195941</v>
      </c>
      <c r="R89" s="218">
        <v>184077</v>
      </c>
      <c r="S89" s="218">
        <v>176698</v>
      </c>
      <c r="T89" s="218">
        <v>166341</v>
      </c>
      <c r="U89" s="218">
        <v>154445</v>
      </c>
      <c r="V89" s="218">
        <v>147405</v>
      </c>
      <c r="W89" s="218">
        <v>136878</v>
      </c>
      <c r="X89" s="218">
        <v>126609</v>
      </c>
      <c r="Y89" s="218">
        <v>116116</v>
      </c>
      <c r="Z89" s="218">
        <v>108979</v>
      </c>
      <c r="AA89" s="218">
        <v>102126</v>
      </c>
      <c r="AB89" s="219">
        <v>93546</v>
      </c>
      <c r="AC89" s="219">
        <v>84328</v>
      </c>
      <c r="AD89" s="219" t="s">
        <v>123</v>
      </c>
      <c r="AE89" s="183"/>
      <c r="AF89" s="183"/>
      <c r="AG89" s="183"/>
    </row>
    <row r="90" spans="1:33" ht="21" x14ac:dyDescent="0.35">
      <c r="B90" s="214" t="s">
        <v>116</v>
      </c>
      <c r="C90" s="214" t="s">
        <v>116</v>
      </c>
      <c r="D90" s="215">
        <v>4058284</v>
      </c>
      <c r="E90" s="218">
        <v>1468249</v>
      </c>
      <c r="F90" s="218">
        <v>1423348</v>
      </c>
      <c r="G90" s="218">
        <v>1379730</v>
      </c>
      <c r="H90" s="218">
        <v>1344533</v>
      </c>
      <c r="I90" s="218">
        <v>1309409</v>
      </c>
      <c r="J90" s="218">
        <v>1270757</v>
      </c>
      <c r="K90" s="218">
        <v>1238412</v>
      </c>
      <c r="L90" s="218">
        <v>1206131</v>
      </c>
      <c r="M90" s="218">
        <v>1170261</v>
      </c>
      <c r="N90" s="218">
        <v>1132245</v>
      </c>
      <c r="O90" s="218">
        <v>1101839</v>
      </c>
      <c r="P90" s="218">
        <v>1054085</v>
      </c>
      <c r="Q90" s="218">
        <v>1030643</v>
      </c>
      <c r="R90" s="218">
        <v>972645</v>
      </c>
      <c r="S90" s="218">
        <v>905173</v>
      </c>
      <c r="T90" s="218">
        <v>907746</v>
      </c>
      <c r="U90" s="218">
        <v>850473</v>
      </c>
      <c r="V90" s="218">
        <v>796906</v>
      </c>
      <c r="W90" s="218">
        <v>699841</v>
      </c>
      <c r="X90" s="218">
        <v>653273</v>
      </c>
      <c r="Y90" s="218">
        <v>608657</v>
      </c>
      <c r="Z90" s="218">
        <v>567146</v>
      </c>
      <c r="AA90" s="218">
        <v>532122</v>
      </c>
      <c r="AB90" s="219">
        <v>497291</v>
      </c>
      <c r="AC90" s="219">
        <v>463543</v>
      </c>
      <c r="AD90" s="219">
        <v>426547</v>
      </c>
      <c r="AE90" s="183"/>
      <c r="AF90" s="183"/>
      <c r="AG90" s="183"/>
    </row>
    <row r="91" spans="1:33" ht="21" x14ac:dyDescent="0.35">
      <c r="B91" s="214" t="s">
        <v>117</v>
      </c>
      <c r="C91" s="214" t="s">
        <v>117</v>
      </c>
      <c r="D91" s="215">
        <v>4008752</v>
      </c>
      <c r="E91" s="218">
        <v>884905</v>
      </c>
      <c r="F91" s="218">
        <v>855980</v>
      </c>
      <c r="G91" s="218">
        <v>827324</v>
      </c>
      <c r="H91" s="218">
        <v>796100</v>
      </c>
      <c r="I91" s="218">
        <v>771390</v>
      </c>
      <c r="J91" s="218">
        <v>744491</v>
      </c>
      <c r="K91" s="218">
        <v>721830</v>
      </c>
      <c r="L91" s="218">
        <v>713860</v>
      </c>
      <c r="M91" s="218">
        <v>706628</v>
      </c>
      <c r="N91" s="218">
        <v>692456</v>
      </c>
      <c r="O91" s="218">
        <v>681627</v>
      </c>
      <c r="P91" s="218">
        <v>664392</v>
      </c>
      <c r="Q91" s="218">
        <v>635599</v>
      </c>
      <c r="R91" s="218">
        <v>607631</v>
      </c>
      <c r="S91" s="218">
        <v>580474</v>
      </c>
      <c r="T91" s="218">
        <v>554660</v>
      </c>
      <c r="U91" s="218">
        <v>527267</v>
      </c>
      <c r="V91" s="218">
        <v>500793</v>
      </c>
      <c r="W91" s="218">
        <v>475458</v>
      </c>
      <c r="X91" s="218">
        <v>451255</v>
      </c>
      <c r="Y91" s="218">
        <v>426166</v>
      </c>
      <c r="Z91" s="218">
        <v>403354</v>
      </c>
      <c r="AA91" s="218">
        <v>380917</v>
      </c>
      <c r="AB91" s="219">
        <v>358762</v>
      </c>
      <c r="AC91" s="219">
        <v>338040</v>
      </c>
      <c r="AD91" s="219">
        <v>319209</v>
      </c>
      <c r="AE91" s="183"/>
      <c r="AF91" s="183"/>
      <c r="AG91" s="183"/>
    </row>
    <row r="92" spans="1:33" ht="21" x14ac:dyDescent="0.35">
      <c r="B92" s="214" t="s">
        <v>118</v>
      </c>
      <c r="C92" s="214" t="s">
        <v>118</v>
      </c>
      <c r="D92" s="215">
        <v>4008669</v>
      </c>
      <c r="E92" s="218">
        <v>256143</v>
      </c>
      <c r="F92" s="218">
        <v>250414</v>
      </c>
      <c r="G92" s="218">
        <v>243533</v>
      </c>
      <c r="H92" s="218">
        <v>237748</v>
      </c>
      <c r="I92" s="218">
        <v>232253</v>
      </c>
      <c r="J92" s="218">
        <v>226706</v>
      </c>
      <c r="K92" s="218">
        <v>219574</v>
      </c>
      <c r="L92" s="218">
        <v>212135</v>
      </c>
      <c r="M92" s="218">
        <v>205134</v>
      </c>
      <c r="N92" s="218">
        <v>197584</v>
      </c>
      <c r="O92" s="218">
        <v>189801</v>
      </c>
      <c r="P92" s="218">
        <v>184575</v>
      </c>
      <c r="Q92" s="218">
        <v>177176</v>
      </c>
      <c r="R92" s="218">
        <v>171380</v>
      </c>
      <c r="S92" s="218">
        <v>166490</v>
      </c>
      <c r="T92" s="218">
        <v>156022</v>
      </c>
      <c r="U92" s="218">
        <v>147410</v>
      </c>
      <c r="V92" s="218">
        <v>141966</v>
      </c>
      <c r="W92" s="218">
        <v>132894</v>
      </c>
      <c r="X92" s="218">
        <v>124486</v>
      </c>
      <c r="Y92" s="218">
        <v>119306</v>
      </c>
      <c r="Z92" s="218">
        <v>112341</v>
      </c>
      <c r="AA92" s="218">
        <v>103974</v>
      </c>
      <c r="AB92" s="219">
        <v>96766</v>
      </c>
      <c r="AC92" s="219">
        <v>91130</v>
      </c>
      <c r="AD92" s="219">
        <v>83883</v>
      </c>
      <c r="AE92" s="183"/>
      <c r="AF92" s="183"/>
      <c r="AG92" s="183"/>
    </row>
    <row r="93" spans="1:33" ht="21" x14ac:dyDescent="0.35">
      <c r="B93" s="214" t="s">
        <v>119</v>
      </c>
      <c r="C93" s="214" t="s">
        <v>120</v>
      </c>
      <c r="D93" s="215">
        <v>4076892</v>
      </c>
      <c r="E93" s="218">
        <v>7235</v>
      </c>
      <c r="F93" s="218">
        <v>7010</v>
      </c>
      <c r="G93" s="218">
        <v>6790</v>
      </c>
      <c r="H93" s="218">
        <v>6561</v>
      </c>
      <c r="I93" s="218">
        <v>6316</v>
      </c>
      <c r="J93" s="218">
        <v>6073</v>
      </c>
      <c r="K93" s="218">
        <v>5849</v>
      </c>
      <c r="L93" s="218">
        <v>5622</v>
      </c>
      <c r="M93" s="218">
        <v>5400</v>
      </c>
      <c r="N93" s="218">
        <v>5184</v>
      </c>
      <c r="O93" s="218">
        <v>4992</v>
      </c>
      <c r="P93" s="218">
        <v>4532</v>
      </c>
      <c r="Q93" s="218">
        <v>4341</v>
      </c>
      <c r="R93" s="218">
        <v>4155</v>
      </c>
      <c r="S93" s="218">
        <v>3992</v>
      </c>
      <c r="T93" s="218">
        <v>3822</v>
      </c>
      <c r="U93" s="218">
        <v>3656</v>
      </c>
      <c r="V93" s="218">
        <v>3493</v>
      </c>
      <c r="W93" s="218" t="s">
        <v>123</v>
      </c>
      <c r="X93" s="218" t="s">
        <v>123</v>
      </c>
      <c r="Y93" s="218" t="s">
        <v>123</v>
      </c>
      <c r="Z93" s="218" t="s">
        <v>123</v>
      </c>
      <c r="AA93" s="218" t="s">
        <v>123</v>
      </c>
      <c r="AB93" s="219" t="s">
        <v>123</v>
      </c>
      <c r="AC93" s="219" t="s">
        <v>123</v>
      </c>
      <c r="AD93" s="219" t="s">
        <v>123</v>
      </c>
      <c r="AE93" s="183"/>
      <c r="AF93" s="183"/>
      <c r="AG93" s="183"/>
    </row>
    <row r="94" spans="1:33" ht="21" x14ac:dyDescent="0.35">
      <c r="A94" s="1" t="s">
        <v>30</v>
      </c>
      <c r="B94" s="214" t="s">
        <v>121</v>
      </c>
      <c r="C94" s="214" t="s">
        <v>122</v>
      </c>
      <c r="D94" s="215">
        <v>4064141</v>
      </c>
      <c r="E94" s="218">
        <v>416963</v>
      </c>
      <c r="F94" s="218">
        <v>406803</v>
      </c>
      <c r="G94" s="218">
        <v>396041</v>
      </c>
      <c r="H94" s="218">
        <v>392198</v>
      </c>
      <c r="I94" s="218">
        <v>371835</v>
      </c>
      <c r="J94" s="218">
        <v>360182</v>
      </c>
      <c r="K94" s="218">
        <v>358461</v>
      </c>
      <c r="L94" s="218">
        <v>341546</v>
      </c>
      <c r="M94" s="218">
        <v>332567</v>
      </c>
      <c r="N94" s="218">
        <v>321804</v>
      </c>
      <c r="O94" s="218">
        <v>311925</v>
      </c>
      <c r="P94" s="218">
        <v>298403</v>
      </c>
      <c r="Q94" s="218">
        <v>284869</v>
      </c>
      <c r="R94" s="218">
        <v>274709</v>
      </c>
      <c r="S94" s="218">
        <v>273337</v>
      </c>
      <c r="T94" s="218">
        <v>262207</v>
      </c>
      <c r="U94" s="218">
        <v>268255</v>
      </c>
      <c r="V94" s="218">
        <v>257621</v>
      </c>
      <c r="W94" s="218">
        <v>247837</v>
      </c>
      <c r="X94" s="218" t="s">
        <v>123</v>
      </c>
      <c r="Y94" s="218" t="s">
        <v>123</v>
      </c>
      <c r="Z94" s="218">
        <v>204357</v>
      </c>
      <c r="AA94" s="218">
        <v>189588</v>
      </c>
      <c r="AB94" s="219">
        <v>176128</v>
      </c>
      <c r="AC94" s="219">
        <v>163170</v>
      </c>
      <c r="AD94" s="219">
        <v>158247</v>
      </c>
      <c r="AE94" s="183"/>
      <c r="AF94" s="183"/>
      <c r="AG94" s="183"/>
    </row>
    <row r="95" spans="1:33" ht="21" x14ac:dyDescent="0.35">
      <c r="B95" s="210"/>
      <c r="C95" s="210"/>
      <c r="D95" s="210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183"/>
      <c r="AC95" s="183"/>
      <c r="AD95" s="183"/>
      <c r="AE95" s="183"/>
      <c r="AF95" s="183"/>
      <c r="AG95" s="183"/>
    </row>
    <row r="96" spans="1:33" ht="21" x14ac:dyDescent="0.35">
      <c r="B96" s="209"/>
      <c r="C96" s="209"/>
      <c r="D96" s="209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</row>
    <row r="97" spans="2:33" ht="21" x14ac:dyDescent="0.35">
      <c r="B97" s="209"/>
      <c r="C97" s="209"/>
      <c r="D97" s="209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</row>
  </sheetData>
  <conditionalFormatting sqref="D101 E7:E207">
    <cfRule type="cellIs" dxfId="3" priority="6" operator="equal">
      <formula>"NA"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3:AD91"/>
  <sheetViews>
    <sheetView zoomScale="75" zoomScaleNormal="75" workbookViewId="0">
      <selection sqref="A1:XFD1048576"/>
    </sheetView>
  </sheetViews>
  <sheetFormatPr defaultRowHeight="15" x14ac:dyDescent="0.2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30" width="17.5703125" style="167" customWidth="1"/>
    <col min="31" max="16384" width="9.140625" style="167"/>
  </cols>
  <sheetData>
    <row r="3" spans="1:30" ht="30" x14ac:dyDescent="0.25">
      <c r="E3" s="207" t="s">
        <v>319</v>
      </c>
      <c r="F3" s="207" t="s">
        <v>319</v>
      </c>
      <c r="G3" s="207" t="s">
        <v>319</v>
      </c>
      <c r="H3" s="207" t="s">
        <v>319</v>
      </c>
      <c r="I3" s="207" t="s">
        <v>319</v>
      </c>
      <c r="J3" s="207" t="s">
        <v>319</v>
      </c>
      <c r="K3" s="207" t="s">
        <v>319</v>
      </c>
      <c r="L3" s="207" t="s">
        <v>319</v>
      </c>
      <c r="M3" s="207" t="s">
        <v>319</v>
      </c>
      <c r="N3" s="207" t="s">
        <v>319</v>
      </c>
      <c r="O3" s="207" t="s">
        <v>319</v>
      </c>
      <c r="P3" s="207" t="s">
        <v>319</v>
      </c>
      <c r="Q3" s="207" t="s">
        <v>319</v>
      </c>
      <c r="R3" s="207" t="s">
        <v>319</v>
      </c>
      <c r="S3" s="207" t="s">
        <v>319</v>
      </c>
      <c r="T3" s="207" t="s">
        <v>319</v>
      </c>
      <c r="U3" s="207" t="s">
        <v>319</v>
      </c>
      <c r="V3" s="207" t="s">
        <v>319</v>
      </c>
      <c r="W3" s="207" t="s">
        <v>319</v>
      </c>
      <c r="X3" s="207" t="s">
        <v>319</v>
      </c>
      <c r="Y3" s="207" t="s">
        <v>319</v>
      </c>
      <c r="Z3" s="207" t="s">
        <v>319</v>
      </c>
      <c r="AA3" s="207" t="s">
        <v>319</v>
      </c>
      <c r="AB3" s="207" t="s">
        <v>319</v>
      </c>
      <c r="AC3" s="207" t="s">
        <v>319</v>
      </c>
      <c r="AD3" s="207" t="s">
        <v>319</v>
      </c>
    </row>
    <row r="4" spans="1:30" ht="30" x14ac:dyDescent="0.25">
      <c r="B4" s="2"/>
      <c r="C4" s="2"/>
      <c r="D4" s="2"/>
      <c r="E4" s="207" t="s">
        <v>154</v>
      </c>
      <c r="F4" s="207" t="s">
        <v>154</v>
      </c>
      <c r="G4" s="207" t="s">
        <v>154</v>
      </c>
      <c r="H4" s="207" t="s">
        <v>154</v>
      </c>
      <c r="I4" s="207" t="s">
        <v>154</v>
      </c>
      <c r="J4" s="207" t="s">
        <v>154</v>
      </c>
      <c r="K4" s="207" t="s">
        <v>154</v>
      </c>
      <c r="L4" s="207" t="s">
        <v>154</v>
      </c>
      <c r="M4" s="207" t="s">
        <v>154</v>
      </c>
      <c r="N4" s="207" t="s">
        <v>154</v>
      </c>
      <c r="O4" s="207" t="s">
        <v>154</v>
      </c>
      <c r="P4" s="207" t="s">
        <v>154</v>
      </c>
      <c r="Q4" s="207" t="s">
        <v>154</v>
      </c>
      <c r="R4" s="207" t="s">
        <v>154</v>
      </c>
      <c r="S4" s="207" t="s">
        <v>154</v>
      </c>
      <c r="T4" s="207" t="s">
        <v>154</v>
      </c>
      <c r="U4" s="207" t="s">
        <v>154</v>
      </c>
      <c r="V4" s="207" t="s">
        <v>154</v>
      </c>
      <c r="W4" s="207" t="s">
        <v>154</v>
      </c>
      <c r="X4" s="207" t="s">
        <v>154</v>
      </c>
      <c r="Y4" s="207" t="s">
        <v>154</v>
      </c>
      <c r="Z4" s="207" t="s">
        <v>154</v>
      </c>
      <c r="AA4" s="207" t="s">
        <v>154</v>
      </c>
      <c r="AB4" s="207" t="s">
        <v>154</v>
      </c>
      <c r="AC4" s="207" t="s">
        <v>154</v>
      </c>
      <c r="AD4" s="207" t="s">
        <v>154</v>
      </c>
    </row>
    <row r="5" spans="1:30" x14ac:dyDescent="0.25">
      <c r="A5" s="3" t="s">
        <v>0</v>
      </c>
      <c r="B5" s="4" t="s">
        <v>1</v>
      </c>
      <c r="C5" s="4" t="s">
        <v>2</v>
      </c>
      <c r="D5" s="5" t="s">
        <v>3</v>
      </c>
      <c r="E5" s="207" t="s">
        <v>26</v>
      </c>
      <c r="F5" s="207" t="s">
        <v>25</v>
      </c>
      <c r="G5" s="207" t="s">
        <v>24</v>
      </c>
      <c r="H5" s="207" t="s">
        <v>23</v>
      </c>
      <c r="I5" s="207" t="s">
        <v>22</v>
      </c>
      <c r="J5" s="207" t="s">
        <v>21</v>
      </c>
      <c r="K5" s="207" t="s">
        <v>20</v>
      </c>
      <c r="L5" s="207" t="s">
        <v>19</v>
      </c>
      <c r="M5" s="207" t="s">
        <v>18</v>
      </c>
      <c r="N5" s="207" t="s">
        <v>17</v>
      </c>
      <c r="O5" s="207" t="s">
        <v>16</v>
      </c>
      <c r="P5" s="207" t="s">
        <v>15</v>
      </c>
      <c r="Q5" s="207" t="s">
        <v>14</v>
      </c>
      <c r="R5" s="207" t="s">
        <v>13</v>
      </c>
      <c r="S5" s="207" t="s">
        <v>12</v>
      </c>
      <c r="T5" s="207" t="s">
        <v>11</v>
      </c>
      <c r="U5" s="207" t="s">
        <v>10</v>
      </c>
      <c r="V5" s="207" t="s">
        <v>9</v>
      </c>
      <c r="W5" s="207" t="s">
        <v>8</v>
      </c>
      <c r="X5" s="207" t="s">
        <v>7</v>
      </c>
      <c r="Y5" s="207" t="s">
        <v>6</v>
      </c>
      <c r="Z5" s="207" t="s">
        <v>5</v>
      </c>
      <c r="AA5" s="207" t="s">
        <v>4</v>
      </c>
      <c r="AB5" s="207" t="s">
        <v>321</v>
      </c>
      <c r="AC5" s="207" t="s">
        <v>322</v>
      </c>
      <c r="AD5" s="207" t="s">
        <v>323</v>
      </c>
    </row>
    <row r="6" spans="1:30" x14ac:dyDescent="0.25">
      <c r="B6" s="2"/>
      <c r="C6" s="2"/>
      <c r="D6" s="2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x14ac:dyDescent="0.25">
      <c r="B7" s="6" t="s">
        <v>27</v>
      </c>
      <c r="C7" s="6" t="s">
        <v>27</v>
      </c>
      <c r="D7" s="7">
        <v>4058513</v>
      </c>
      <c r="E7" s="208" t="s">
        <v>123</v>
      </c>
      <c r="F7" s="208" t="s">
        <v>123</v>
      </c>
      <c r="G7" s="208" t="s">
        <v>123</v>
      </c>
      <c r="H7" s="208">
        <v>23985</v>
      </c>
      <c r="I7" s="208">
        <v>22863</v>
      </c>
      <c r="J7" s="208">
        <v>21600</v>
      </c>
      <c r="K7" s="208">
        <v>20874</v>
      </c>
      <c r="L7" s="208">
        <v>18722</v>
      </c>
      <c r="M7" s="208">
        <v>17490</v>
      </c>
      <c r="N7" s="208">
        <v>16781</v>
      </c>
      <c r="O7" s="208">
        <v>16599</v>
      </c>
      <c r="P7" s="208">
        <v>15498</v>
      </c>
      <c r="Q7" s="208">
        <v>15260</v>
      </c>
      <c r="R7" s="208">
        <v>15110</v>
      </c>
      <c r="S7" s="208">
        <v>14961</v>
      </c>
      <c r="T7" s="208">
        <v>14895</v>
      </c>
      <c r="U7" s="208">
        <v>14078</v>
      </c>
      <c r="V7" s="208">
        <v>13674</v>
      </c>
      <c r="W7" s="208">
        <v>13950</v>
      </c>
      <c r="X7" s="208" t="s">
        <v>123</v>
      </c>
      <c r="Y7" s="208" t="s">
        <v>123</v>
      </c>
      <c r="Z7" s="208" t="s">
        <v>123</v>
      </c>
      <c r="AA7" s="208" t="s">
        <v>123</v>
      </c>
      <c r="AB7" s="208" t="s">
        <v>123</v>
      </c>
      <c r="AC7" s="208" t="s">
        <v>123</v>
      </c>
      <c r="AD7" s="208" t="s">
        <v>123</v>
      </c>
    </row>
    <row r="8" spans="1:30" x14ac:dyDescent="0.25">
      <c r="B8" s="6" t="s">
        <v>28</v>
      </c>
      <c r="C8" s="6" t="s">
        <v>28</v>
      </c>
      <c r="D8" s="7">
        <v>4054707</v>
      </c>
      <c r="E8" s="208">
        <v>239943</v>
      </c>
      <c r="F8" s="208">
        <v>281881</v>
      </c>
      <c r="G8" s="208">
        <v>257478</v>
      </c>
      <c r="H8" s="208">
        <v>223182</v>
      </c>
      <c r="I8" s="208">
        <v>231163</v>
      </c>
      <c r="J8" s="208">
        <v>208993</v>
      </c>
      <c r="K8" s="208">
        <v>199499</v>
      </c>
      <c r="L8" s="208">
        <v>183527</v>
      </c>
      <c r="M8" s="208">
        <v>167876</v>
      </c>
      <c r="N8" s="208">
        <v>165392</v>
      </c>
      <c r="O8" s="208">
        <v>154932</v>
      </c>
      <c r="P8" s="208">
        <v>155561</v>
      </c>
      <c r="Q8" s="208">
        <v>149244</v>
      </c>
      <c r="R8" s="208">
        <v>135388</v>
      </c>
      <c r="S8" s="208">
        <v>121412</v>
      </c>
      <c r="T8" s="208">
        <v>118393</v>
      </c>
      <c r="U8" s="208">
        <v>117308</v>
      </c>
      <c r="V8" s="208">
        <v>124963</v>
      </c>
      <c r="W8" s="208">
        <v>152452</v>
      </c>
      <c r="X8" s="208">
        <v>155471</v>
      </c>
      <c r="Y8" s="208">
        <v>171198</v>
      </c>
      <c r="Z8" s="208">
        <v>167294</v>
      </c>
      <c r="AA8" s="208">
        <v>161605</v>
      </c>
      <c r="AB8" s="208">
        <v>177058</v>
      </c>
      <c r="AC8" s="208">
        <v>173565</v>
      </c>
      <c r="AD8" s="208">
        <v>231532</v>
      </c>
    </row>
    <row r="9" spans="1:30" x14ac:dyDescent="0.25">
      <c r="B9" s="6" t="s">
        <v>29</v>
      </c>
      <c r="C9" s="6" t="s">
        <v>29</v>
      </c>
      <c r="D9" s="7">
        <v>4057075</v>
      </c>
      <c r="E9" s="208">
        <v>70276</v>
      </c>
      <c r="F9" s="208">
        <v>69191</v>
      </c>
      <c r="G9" s="208">
        <v>61968</v>
      </c>
      <c r="H9" s="208">
        <v>43949</v>
      </c>
      <c r="I9" s="208">
        <v>39141</v>
      </c>
      <c r="J9" s="208">
        <v>37036</v>
      </c>
      <c r="K9" s="208">
        <v>34391</v>
      </c>
      <c r="L9" s="208">
        <v>31929</v>
      </c>
      <c r="M9" s="208">
        <v>28704</v>
      </c>
      <c r="N9" s="208">
        <v>27108</v>
      </c>
      <c r="O9" s="208">
        <v>25068</v>
      </c>
      <c r="P9" s="208">
        <v>22672</v>
      </c>
      <c r="Q9" s="208">
        <v>20364</v>
      </c>
      <c r="R9" s="208">
        <v>18646</v>
      </c>
      <c r="S9" s="208">
        <v>18537</v>
      </c>
      <c r="T9" s="208">
        <v>15639</v>
      </c>
      <c r="U9" s="208">
        <v>14965</v>
      </c>
      <c r="V9" s="208">
        <v>13164</v>
      </c>
      <c r="W9" s="208">
        <v>13006</v>
      </c>
      <c r="X9" s="208">
        <v>13042</v>
      </c>
      <c r="Y9" s="208">
        <v>12732</v>
      </c>
      <c r="Z9" s="208">
        <v>11635</v>
      </c>
      <c r="AA9" s="208">
        <v>11042</v>
      </c>
      <c r="AB9" s="208">
        <v>6707</v>
      </c>
      <c r="AC9" s="208">
        <v>9584</v>
      </c>
      <c r="AD9" s="208">
        <v>9194</v>
      </c>
    </row>
    <row r="10" spans="1:30" x14ac:dyDescent="0.25">
      <c r="A10" s="1" t="s">
        <v>30</v>
      </c>
      <c r="B10" s="6" t="s">
        <v>31</v>
      </c>
      <c r="C10" s="6" t="s">
        <v>31</v>
      </c>
      <c r="D10" s="7">
        <v>4007784</v>
      </c>
      <c r="E10" s="208">
        <v>30669</v>
      </c>
      <c r="F10" s="208">
        <v>23194</v>
      </c>
      <c r="G10" s="208">
        <v>21687</v>
      </c>
      <c r="H10" s="208">
        <v>19509</v>
      </c>
      <c r="I10" s="208">
        <v>18275</v>
      </c>
      <c r="J10" s="208">
        <v>12372</v>
      </c>
      <c r="K10" s="208">
        <v>11556</v>
      </c>
      <c r="L10" s="208">
        <v>10979</v>
      </c>
      <c r="M10" s="208">
        <v>10795</v>
      </c>
      <c r="N10" s="208">
        <v>9117</v>
      </c>
      <c r="O10" s="208">
        <v>9450</v>
      </c>
      <c r="P10" s="208">
        <v>7854</v>
      </c>
      <c r="Q10" s="208">
        <v>7340</v>
      </c>
      <c r="R10" s="208">
        <v>7028</v>
      </c>
      <c r="S10" s="208">
        <v>6462</v>
      </c>
      <c r="T10" s="208">
        <v>5862</v>
      </c>
      <c r="U10" s="208">
        <v>4795</v>
      </c>
      <c r="V10" s="208">
        <v>4667</v>
      </c>
      <c r="W10" s="208">
        <v>4864</v>
      </c>
      <c r="X10" s="208">
        <v>4353</v>
      </c>
      <c r="Y10" s="208">
        <v>5663</v>
      </c>
      <c r="Z10" s="208">
        <v>6007</v>
      </c>
      <c r="AA10" s="208">
        <v>6009</v>
      </c>
      <c r="AB10" s="208">
        <v>5517</v>
      </c>
      <c r="AC10" s="208">
        <v>5467</v>
      </c>
      <c r="AD10" s="208">
        <v>4650</v>
      </c>
    </row>
    <row r="11" spans="1:30" x14ac:dyDescent="0.25">
      <c r="A11" s="1" t="s">
        <v>30</v>
      </c>
      <c r="B11" s="6" t="s">
        <v>32</v>
      </c>
      <c r="C11" s="6" t="s">
        <v>33</v>
      </c>
      <c r="D11" s="7">
        <v>4058656</v>
      </c>
      <c r="E11" s="208">
        <v>44884</v>
      </c>
      <c r="F11" s="208">
        <v>43583</v>
      </c>
      <c r="G11" s="208">
        <v>45749</v>
      </c>
      <c r="H11" s="208">
        <v>44142</v>
      </c>
      <c r="I11" s="208">
        <v>41439</v>
      </c>
      <c r="J11" s="208">
        <v>35705</v>
      </c>
      <c r="K11" s="208">
        <v>33649</v>
      </c>
      <c r="L11" s="208">
        <v>35587</v>
      </c>
      <c r="M11" s="208">
        <v>32435</v>
      </c>
      <c r="N11" s="208">
        <v>27685</v>
      </c>
      <c r="O11" s="208">
        <v>24652</v>
      </c>
      <c r="P11" s="208">
        <v>24391</v>
      </c>
      <c r="Q11" s="208">
        <v>22400</v>
      </c>
      <c r="R11" s="208">
        <v>27427</v>
      </c>
      <c r="S11" s="208">
        <v>25702</v>
      </c>
      <c r="T11" s="208">
        <v>30831</v>
      </c>
      <c r="U11" s="208">
        <v>39150</v>
      </c>
      <c r="V11" s="208">
        <v>45357</v>
      </c>
      <c r="W11" s="208">
        <v>45494</v>
      </c>
      <c r="X11" s="208">
        <v>45726</v>
      </c>
      <c r="Y11" s="208">
        <v>46722</v>
      </c>
      <c r="Z11" s="208">
        <v>57982</v>
      </c>
      <c r="AA11" s="208">
        <v>51301</v>
      </c>
      <c r="AB11" s="208">
        <v>50404</v>
      </c>
      <c r="AC11" s="208">
        <v>70640</v>
      </c>
      <c r="AD11" s="208" t="s">
        <v>123</v>
      </c>
    </row>
    <row r="12" spans="1:30" x14ac:dyDescent="0.25">
      <c r="A12" s="1" t="s">
        <v>30</v>
      </c>
      <c r="B12" s="6" t="s">
        <v>34</v>
      </c>
      <c r="C12" s="6" t="s">
        <v>35</v>
      </c>
      <c r="D12" s="7">
        <v>4057110</v>
      </c>
      <c r="E12" s="208">
        <v>38930</v>
      </c>
      <c r="F12" s="208">
        <v>37389</v>
      </c>
      <c r="G12" s="208">
        <v>35839</v>
      </c>
      <c r="H12" s="208">
        <v>32693</v>
      </c>
      <c r="I12" s="208">
        <v>26345</v>
      </c>
      <c r="J12" s="208">
        <v>19283</v>
      </c>
      <c r="K12" s="208">
        <v>17882</v>
      </c>
      <c r="L12" s="208">
        <v>16618</v>
      </c>
      <c r="M12" s="208">
        <v>13422</v>
      </c>
      <c r="N12" s="208">
        <v>13411</v>
      </c>
      <c r="O12" s="208">
        <v>12012</v>
      </c>
      <c r="P12" s="208">
        <v>12311</v>
      </c>
      <c r="Q12" s="208">
        <v>11888</v>
      </c>
      <c r="R12" s="208">
        <v>11183</v>
      </c>
      <c r="S12" s="208">
        <v>10340</v>
      </c>
      <c r="T12" s="208">
        <v>9813</v>
      </c>
      <c r="U12" s="208">
        <v>9209</v>
      </c>
      <c r="V12" s="208">
        <v>9257</v>
      </c>
      <c r="W12" s="208">
        <v>8710</v>
      </c>
      <c r="X12" s="208">
        <v>8341</v>
      </c>
      <c r="Y12" s="208">
        <v>8374</v>
      </c>
      <c r="Z12" s="208">
        <v>8251</v>
      </c>
      <c r="AA12" s="208">
        <v>9239</v>
      </c>
      <c r="AB12" s="208">
        <v>9338</v>
      </c>
      <c r="AC12" s="208">
        <v>9485</v>
      </c>
      <c r="AD12" s="208">
        <v>9640</v>
      </c>
    </row>
    <row r="13" spans="1:30" x14ac:dyDescent="0.25">
      <c r="B13" s="6" t="s">
        <v>36</v>
      </c>
      <c r="C13" s="6" t="s">
        <v>36</v>
      </c>
      <c r="D13" s="7">
        <v>4058516</v>
      </c>
      <c r="E13" s="208">
        <v>57947</v>
      </c>
      <c r="F13" s="208">
        <v>43679</v>
      </c>
      <c r="G13" s="208">
        <v>41833</v>
      </c>
      <c r="H13" s="208">
        <v>41697</v>
      </c>
      <c r="I13" s="208">
        <v>42517</v>
      </c>
      <c r="J13" s="208">
        <v>39000</v>
      </c>
      <c r="K13" s="208">
        <v>36172</v>
      </c>
      <c r="L13" s="208">
        <v>33417</v>
      </c>
      <c r="M13" s="208">
        <v>30650</v>
      </c>
      <c r="N13" s="208">
        <v>30394</v>
      </c>
      <c r="O13" s="208">
        <v>31679</v>
      </c>
      <c r="P13" s="208">
        <v>28495</v>
      </c>
      <c r="Q13" s="208">
        <v>27139</v>
      </c>
      <c r="R13" s="208">
        <v>30270</v>
      </c>
      <c r="S13" s="208">
        <v>28695</v>
      </c>
      <c r="T13" s="208">
        <v>27269</v>
      </c>
      <c r="U13" s="208">
        <v>26646</v>
      </c>
      <c r="V13" s="208">
        <v>27003</v>
      </c>
      <c r="W13" s="208">
        <v>25999</v>
      </c>
      <c r="X13" s="208">
        <v>24497</v>
      </c>
      <c r="Y13" s="208">
        <v>24273</v>
      </c>
      <c r="Z13" s="208">
        <v>28439</v>
      </c>
      <c r="AA13" s="208">
        <v>27016</v>
      </c>
      <c r="AB13" s="208">
        <v>25682</v>
      </c>
      <c r="AC13" s="208">
        <v>25109</v>
      </c>
      <c r="AD13" s="208">
        <v>21432</v>
      </c>
    </row>
    <row r="14" spans="1:30" x14ac:dyDescent="0.25">
      <c r="B14" s="6" t="s">
        <v>37</v>
      </c>
      <c r="C14" s="6" t="s">
        <v>37</v>
      </c>
      <c r="D14" s="7">
        <v>4058793</v>
      </c>
      <c r="E14" s="208">
        <v>1788</v>
      </c>
      <c r="F14" s="208">
        <v>1742</v>
      </c>
      <c r="G14" s="208">
        <v>1628</v>
      </c>
      <c r="H14" s="208">
        <v>1608</v>
      </c>
      <c r="I14" s="208">
        <v>1555</v>
      </c>
      <c r="J14" s="208">
        <v>1386</v>
      </c>
      <c r="K14" s="208">
        <v>1326</v>
      </c>
      <c r="L14" s="208">
        <v>1326</v>
      </c>
      <c r="M14" s="208">
        <v>1212</v>
      </c>
      <c r="N14" s="208">
        <v>1167</v>
      </c>
      <c r="O14" s="208">
        <v>1141</v>
      </c>
      <c r="P14" s="208">
        <v>1140</v>
      </c>
      <c r="Q14" s="208">
        <v>1148</v>
      </c>
      <c r="R14" s="208">
        <v>1058</v>
      </c>
      <c r="S14" s="208">
        <v>996</v>
      </c>
      <c r="T14" s="208">
        <v>993</v>
      </c>
      <c r="U14" s="208">
        <v>1042</v>
      </c>
      <c r="V14" s="208">
        <v>1124</v>
      </c>
      <c r="W14" s="208">
        <v>1002</v>
      </c>
      <c r="X14" s="208">
        <v>957</v>
      </c>
      <c r="Y14" s="208">
        <v>925</v>
      </c>
      <c r="Z14" s="208">
        <v>819</v>
      </c>
      <c r="AA14" s="208">
        <v>803</v>
      </c>
      <c r="AB14" s="208" t="s">
        <v>123</v>
      </c>
      <c r="AC14" s="208" t="s">
        <v>123</v>
      </c>
      <c r="AD14" s="208" t="s">
        <v>123</v>
      </c>
    </row>
    <row r="15" spans="1:30" x14ac:dyDescent="0.25">
      <c r="A15" s="1" t="s">
        <v>30</v>
      </c>
      <c r="B15" s="6" t="s">
        <v>38</v>
      </c>
      <c r="C15" s="6" t="s">
        <v>38</v>
      </c>
      <c r="D15" s="7">
        <v>4057111</v>
      </c>
      <c r="E15" s="208">
        <v>89394</v>
      </c>
      <c r="F15" s="208">
        <v>81710</v>
      </c>
      <c r="G15" s="208">
        <v>76882</v>
      </c>
      <c r="H15" s="208">
        <v>75725</v>
      </c>
      <c r="I15" s="208">
        <v>85765</v>
      </c>
      <c r="J15" s="208">
        <v>75152</v>
      </c>
      <c r="K15" s="208">
        <v>65679</v>
      </c>
      <c r="L15" s="208">
        <v>62522</v>
      </c>
      <c r="M15" s="208">
        <v>55679</v>
      </c>
      <c r="N15" s="208">
        <v>53311</v>
      </c>
      <c r="O15" s="208">
        <v>51645</v>
      </c>
      <c r="P15" s="208">
        <v>49227</v>
      </c>
      <c r="Q15" s="208">
        <v>45993</v>
      </c>
      <c r="R15" s="208">
        <v>39428</v>
      </c>
      <c r="S15" s="208">
        <v>42743</v>
      </c>
      <c r="T15" s="208">
        <v>31989</v>
      </c>
      <c r="U15" s="208">
        <v>27572</v>
      </c>
      <c r="V15" s="208">
        <v>33940</v>
      </c>
      <c r="W15" s="208">
        <v>33562</v>
      </c>
      <c r="X15" s="208">
        <v>30363</v>
      </c>
      <c r="Y15" s="208">
        <v>24433</v>
      </c>
      <c r="Z15" s="208">
        <v>34901</v>
      </c>
      <c r="AA15" s="208">
        <v>40673</v>
      </c>
      <c r="AB15" s="208">
        <v>41876</v>
      </c>
      <c r="AC15" s="208">
        <v>40820</v>
      </c>
      <c r="AD15" s="208">
        <v>40370</v>
      </c>
    </row>
    <row r="16" spans="1:30" x14ac:dyDescent="0.25">
      <c r="A16" s="1" t="s">
        <v>30</v>
      </c>
      <c r="B16" s="6" t="s">
        <v>39</v>
      </c>
      <c r="C16" s="6" t="s">
        <v>39</v>
      </c>
      <c r="D16" s="7">
        <v>4018679</v>
      </c>
      <c r="E16" s="208">
        <v>205157</v>
      </c>
      <c r="F16" s="208">
        <v>195655</v>
      </c>
      <c r="G16" s="208">
        <v>179622</v>
      </c>
      <c r="H16" s="208">
        <v>165686</v>
      </c>
      <c r="I16" s="208">
        <v>162914</v>
      </c>
      <c r="J16" s="208">
        <v>154460</v>
      </c>
      <c r="K16" s="208">
        <v>138522</v>
      </c>
      <c r="L16" s="208">
        <v>129731</v>
      </c>
      <c r="M16" s="208">
        <v>124006</v>
      </c>
      <c r="N16" s="208">
        <v>126610</v>
      </c>
      <c r="O16" s="208">
        <v>134150</v>
      </c>
      <c r="P16" s="208">
        <v>128026</v>
      </c>
      <c r="Q16" s="208">
        <v>133394</v>
      </c>
      <c r="R16" s="208">
        <v>145116</v>
      </c>
      <c r="S16" s="208">
        <v>149144</v>
      </c>
      <c r="T16" s="208">
        <v>156446</v>
      </c>
      <c r="U16" s="208">
        <v>155606</v>
      </c>
      <c r="V16" s="208">
        <v>182410</v>
      </c>
      <c r="W16" s="208">
        <v>179780</v>
      </c>
      <c r="X16" s="208">
        <v>175053</v>
      </c>
      <c r="Y16" s="208">
        <v>177279</v>
      </c>
      <c r="Z16" s="208">
        <v>174452</v>
      </c>
      <c r="AA16" s="208">
        <v>168775</v>
      </c>
      <c r="AB16" s="208">
        <v>164165</v>
      </c>
      <c r="AC16" s="208">
        <v>167111</v>
      </c>
      <c r="AD16" s="208">
        <v>166742</v>
      </c>
    </row>
    <row r="17" spans="1:30" x14ac:dyDescent="0.25">
      <c r="B17" s="6" t="s">
        <v>40</v>
      </c>
      <c r="C17" s="6" t="s">
        <v>40</v>
      </c>
      <c r="D17" s="7">
        <v>4057112</v>
      </c>
      <c r="E17" s="208">
        <v>78091</v>
      </c>
      <c r="F17" s="208">
        <v>75039</v>
      </c>
      <c r="G17" s="208">
        <v>70302</v>
      </c>
      <c r="H17" s="208">
        <v>66262</v>
      </c>
      <c r="I17" s="208">
        <v>64131</v>
      </c>
      <c r="J17" s="208">
        <v>62440</v>
      </c>
      <c r="K17" s="208">
        <v>55532</v>
      </c>
      <c r="L17" s="208">
        <v>52782</v>
      </c>
      <c r="M17" s="208">
        <v>51956</v>
      </c>
      <c r="N17" s="208">
        <v>49649</v>
      </c>
      <c r="O17" s="208">
        <v>48268</v>
      </c>
      <c r="P17" s="208">
        <v>51005</v>
      </c>
      <c r="Q17" s="208">
        <v>53096</v>
      </c>
      <c r="R17" s="208">
        <v>51512</v>
      </c>
      <c r="S17" s="208">
        <v>49570</v>
      </c>
      <c r="T17" s="208">
        <v>49759</v>
      </c>
      <c r="U17" s="208">
        <v>47716</v>
      </c>
      <c r="V17" s="208">
        <v>44766</v>
      </c>
      <c r="W17" s="208">
        <v>41405</v>
      </c>
      <c r="X17" s="208">
        <v>39958</v>
      </c>
      <c r="Y17" s="208">
        <v>35592</v>
      </c>
      <c r="Z17" s="208">
        <v>35194</v>
      </c>
      <c r="AA17" s="208">
        <v>35624</v>
      </c>
      <c r="AB17" s="208">
        <v>35597</v>
      </c>
      <c r="AC17" s="208">
        <v>34084</v>
      </c>
      <c r="AD17" s="208">
        <v>33162</v>
      </c>
    </row>
    <row r="18" spans="1:30" x14ac:dyDescent="0.25">
      <c r="A18" s="1" t="s">
        <v>30</v>
      </c>
      <c r="B18" s="6" t="s">
        <v>41</v>
      </c>
      <c r="C18" s="6" t="s">
        <v>41</v>
      </c>
      <c r="D18" s="7">
        <v>4057076</v>
      </c>
      <c r="E18" s="208" t="s">
        <v>123</v>
      </c>
      <c r="F18" s="208">
        <v>0</v>
      </c>
      <c r="G18" s="208">
        <v>0</v>
      </c>
      <c r="H18" s="208">
        <v>0</v>
      </c>
      <c r="I18" s="208">
        <v>0</v>
      </c>
      <c r="J18" s="208">
        <v>0</v>
      </c>
      <c r="K18" s="208">
        <v>0</v>
      </c>
      <c r="L18" s="208">
        <v>0</v>
      </c>
      <c r="M18" s="208">
        <v>0</v>
      </c>
      <c r="N18" s="208">
        <v>0</v>
      </c>
      <c r="O18" s="208">
        <v>0</v>
      </c>
      <c r="P18" s="208">
        <v>0</v>
      </c>
      <c r="Q18" s="208">
        <v>0</v>
      </c>
      <c r="R18" s="208">
        <v>0</v>
      </c>
      <c r="S18" s="208">
        <v>0</v>
      </c>
      <c r="T18" s="208">
        <v>0</v>
      </c>
      <c r="U18" s="208">
        <v>0</v>
      </c>
      <c r="V18" s="208">
        <v>0</v>
      </c>
      <c r="W18" s="208">
        <v>0</v>
      </c>
      <c r="X18" s="208">
        <v>0</v>
      </c>
      <c r="Y18" s="208">
        <v>0</v>
      </c>
      <c r="Z18" s="208">
        <v>0</v>
      </c>
      <c r="AA18" s="208">
        <v>0</v>
      </c>
      <c r="AB18" s="208">
        <v>0</v>
      </c>
      <c r="AC18" s="208">
        <v>0</v>
      </c>
      <c r="AD18" s="208">
        <v>0</v>
      </c>
    </row>
    <row r="19" spans="1:30" x14ac:dyDescent="0.25">
      <c r="B19" s="6" t="s">
        <v>42</v>
      </c>
      <c r="C19" s="6" t="s">
        <v>42</v>
      </c>
      <c r="D19" s="7">
        <v>4059166</v>
      </c>
      <c r="E19" s="208">
        <v>15733</v>
      </c>
      <c r="F19" s="208">
        <v>16116</v>
      </c>
      <c r="G19" s="208">
        <v>12551</v>
      </c>
      <c r="H19" s="208">
        <v>13012</v>
      </c>
      <c r="I19" s="208">
        <v>8627</v>
      </c>
      <c r="J19" s="208">
        <v>8233</v>
      </c>
      <c r="K19" s="208">
        <v>7550</v>
      </c>
      <c r="L19" s="208">
        <v>6753</v>
      </c>
      <c r="M19" s="208">
        <v>5633</v>
      </c>
      <c r="N19" s="208">
        <v>5294</v>
      </c>
      <c r="O19" s="208">
        <v>4685</v>
      </c>
      <c r="P19" s="208">
        <v>4427</v>
      </c>
      <c r="Q19" s="208">
        <v>3514</v>
      </c>
      <c r="R19" s="208">
        <v>2161</v>
      </c>
      <c r="S19" s="208">
        <v>3020</v>
      </c>
      <c r="T19" s="208">
        <v>2116</v>
      </c>
      <c r="U19" s="208">
        <v>2039</v>
      </c>
      <c r="V19" s="208">
        <v>2974</v>
      </c>
      <c r="W19" s="208">
        <v>3517</v>
      </c>
      <c r="X19" s="208">
        <v>3615</v>
      </c>
      <c r="Y19" s="208">
        <v>6878</v>
      </c>
      <c r="Z19" s="208" t="s">
        <v>123</v>
      </c>
      <c r="AA19" s="208" t="s">
        <v>123</v>
      </c>
      <c r="AB19" s="208">
        <v>9477</v>
      </c>
      <c r="AC19" s="208">
        <v>9828</v>
      </c>
      <c r="AD19" s="208">
        <v>9714</v>
      </c>
    </row>
    <row r="20" spans="1:30" x14ac:dyDescent="0.25">
      <c r="B20" s="6" t="s">
        <v>43</v>
      </c>
      <c r="C20" s="6" t="s">
        <v>43</v>
      </c>
      <c r="D20" s="7">
        <v>4059227</v>
      </c>
      <c r="E20" s="208">
        <v>6902</v>
      </c>
      <c r="F20" s="208">
        <v>6797</v>
      </c>
      <c r="G20" s="208">
        <v>6953</v>
      </c>
      <c r="H20" s="208">
        <v>6145</v>
      </c>
      <c r="I20" s="208">
        <v>6082</v>
      </c>
      <c r="J20" s="208">
        <v>5907</v>
      </c>
      <c r="K20" s="208">
        <v>5729</v>
      </c>
      <c r="L20" s="208">
        <v>5573</v>
      </c>
      <c r="M20" s="208">
        <v>5676</v>
      </c>
      <c r="N20" s="208">
        <v>5660</v>
      </c>
      <c r="O20" s="208">
        <v>5667</v>
      </c>
      <c r="P20" s="208">
        <v>5752</v>
      </c>
      <c r="Q20" s="208">
        <v>5870</v>
      </c>
      <c r="R20" s="208">
        <v>5756</v>
      </c>
      <c r="S20" s="208">
        <v>5917</v>
      </c>
      <c r="T20" s="208">
        <v>5879</v>
      </c>
      <c r="U20" s="208" t="s">
        <v>123</v>
      </c>
      <c r="V20" s="208">
        <v>5809</v>
      </c>
      <c r="W20" s="208">
        <v>5880</v>
      </c>
      <c r="X20" s="208" t="s">
        <v>123</v>
      </c>
      <c r="Y20" s="208">
        <v>5563</v>
      </c>
      <c r="Z20" s="208" t="s">
        <v>123</v>
      </c>
      <c r="AA20" s="208" t="s">
        <v>123</v>
      </c>
      <c r="AB20" s="208" t="s">
        <v>123</v>
      </c>
      <c r="AC20" s="208">
        <v>2223</v>
      </c>
      <c r="AD20" s="208">
        <v>2668</v>
      </c>
    </row>
    <row r="21" spans="1:30" x14ac:dyDescent="0.25">
      <c r="A21" s="1" t="s">
        <v>30</v>
      </c>
      <c r="B21" s="6" t="s">
        <v>44</v>
      </c>
      <c r="C21" s="6" t="s">
        <v>44</v>
      </c>
      <c r="D21" s="7">
        <v>4057114</v>
      </c>
      <c r="E21" s="208">
        <v>25763</v>
      </c>
      <c r="F21" s="208">
        <v>24018</v>
      </c>
      <c r="G21" s="208">
        <v>23781</v>
      </c>
      <c r="H21" s="208">
        <v>22661</v>
      </c>
      <c r="I21" s="208">
        <v>21530</v>
      </c>
      <c r="J21" s="208">
        <v>23819</v>
      </c>
      <c r="K21" s="208">
        <v>21590</v>
      </c>
      <c r="L21" s="208">
        <v>19991</v>
      </c>
      <c r="M21" s="208">
        <v>19004</v>
      </c>
      <c r="N21" s="208">
        <v>19754</v>
      </c>
      <c r="O21" s="208">
        <v>19756</v>
      </c>
      <c r="P21" s="208">
        <v>21342</v>
      </c>
      <c r="Q21" s="208">
        <v>19757</v>
      </c>
      <c r="R21" s="208">
        <v>16912</v>
      </c>
      <c r="S21" s="208">
        <v>15916</v>
      </c>
      <c r="T21" s="208">
        <v>14506</v>
      </c>
      <c r="U21" s="208">
        <v>15550</v>
      </c>
      <c r="V21" s="208">
        <v>14070</v>
      </c>
      <c r="W21" s="208">
        <v>16221</v>
      </c>
      <c r="X21" s="208">
        <v>15567</v>
      </c>
      <c r="Y21" s="208">
        <v>14602</v>
      </c>
      <c r="Z21" s="208">
        <v>14311</v>
      </c>
      <c r="AA21" s="208">
        <v>19804</v>
      </c>
      <c r="AB21" s="208">
        <v>15937</v>
      </c>
      <c r="AC21" s="208">
        <v>15009</v>
      </c>
      <c r="AD21" s="208">
        <v>13976</v>
      </c>
    </row>
    <row r="22" spans="1:30" x14ac:dyDescent="0.25">
      <c r="B22" s="6" t="s">
        <v>45</v>
      </c>
      <c r="C22" s="6" t="s">
        <v>45</v>
      </c>
      <c r="D22" s="7">
        <v>4059355</v>
      </c>
      <c r="E22" s="208">
        <v>6247</v>
      </c>
      <c r="F22" s="208">
        <v>6169</v>
      </c>
      <c r="G22" s="208">
        <v>5975</v>
      </c>
      <c r="H22" s="208">
        <v>5750</v>
      </c>
      <c r="I22" s="208">
        <v>4938</v>
      </c>
      <c r="J22" s="208">
        <v>4825</v>
      </c>
      <c r="K22" s="208">
        <v>4434</v>
      </c>
      <c r="L22" s="208">
        <v>5201</v>
      </c>
      <c r="M22" s="208">
        <v>5302</v>
      </c>
      <c r="N22" s="208">
        <v>5133</v>
      </c>
      <c r="O22" s="208">
        <v>4478</v>
      </c>
      <c r="P22" s="208">
        <v>4436</v>
      </c>
      <c r="Q22" s="208">
        <v>4667</v>
      </c>
      <c r="R22" s="208">
        <v>4312</v>
      </c>
      <c r="S22" s="208">
        <v>4904</v>
      </c>
      <c r="T22" s="208">
        <v>4811</v>
      </c>
      <c r="U22" s="208">
        <v>5280</v>
      </c>
      <c r="V22" s="208">
        <v>5218</v>
      </c>
      <c r="W22" s="208">
        <v>5290</v>
      </c>
      <c r="X22" s="208">
        <v>5059</v>
      </c>
      <c r="Y22" s="208">
        <v>5102</v>
      </c>
      <c r="Z22" s="208">
        <v>5078</v>
      </c>
      <c r="AA22" s="208">
        <v>5084</v>
      </c>
      <c r="AB22" s="208">
        <v>4879</v>
      </c>
      <c r="AC22" s="208">
        <v>5575</v>
      </c>
      <c r="AD22" s="208">
        <v>3219</v>
      </c>
    </row>
    <row r="23" spans="1:30" x14ac:dyDescent="0.25">
      <c r="B23" s="6" t="s">
        <v>46</v>
      </c>
      <c r="C23" s="6" t="s">
        <v>46</v>
      </c>
      <c r="D23" s="7">
        <v>4088325</v>
      </c>
      <c r="E23" s="208">
        <v>3174</v>
      </c>
      <c r="F23" s="208">
        <v>2945</v>
      </c>
      <c r="G23" s="208">
        <v>2336</v>
      </c>
      <c r="H23" s="208">
        <v>2321</v>
      </c>
      <c r="I23" s="208">
        <v>2151</v>
      </c>
      <c r="J23" s="208">
        <v>2114</v>
      </c>
      <c r="K23" s="208">
        <v>1993</v>
      </c>
      <c r="L23" s="208">
        <v>1880</v>
      </c>
      <c r="M23" s="208">
        <v>1741</v>
      </c>
      <c r="N23" s="208">
        <v>1676</v>
      </c>
      <c r="O23" s="208">
        <v>1469</v>
      </c>
      <c r="P23" s="208">
        <v>1401</v>
      </c>
      <c r="Q23" s="208">
        <v>1570</v>
      </c>
      <c r="R23" s="208">
        <v>1351</v>
      </c>
      <c r="S23" s="208">
        <v>1442</v>
      </c>
      <c r="T23" s="208">
        <v>1459</v>
      </c>
      <c r="U23" s="208">
        <v>1487</v>
      </c>
      <c r="V23" s="208">
        <v>1429</v>
      </c>
      <c r="W23" s="208">
        <v>1451</v>
      </c>
      <c r="X23" s="208">
        <v>1199</v>
      </c>
      <c r="Y23" s="208">
        <v>1182</v>
      </c>
      <c r="Z23" s="208">
        <v>1061</v>
      </c>
      <c r="AA23" s="208">
        <v>1018</v>
      </c>
      <c r="AB23" s="208">
        <v>996</v>
      </c>
      <c r="AC23" s="208">
        <v>979</v>
      </c>
      <c r="AD23" s="208">
        <v>1092</v>
      </c>
    </row>
    <row r="24" spans="1:30" x14ac:dyDescent="0.25">
      <c r="B24" s="6" t="s">
        <v>47</v>
      </c>
      <c r="C24" s="6" t="s">
        <v>47</v>
      </c>
      <c r="D24" s="7">
        <v>4088326</v>
      </c>
      <c r="E24" s="208">
        <v>75648</v>
      </c>
      <c r="F24" s="208">
        <v>72657</v>
      </c>
      <c r="G24" s="208">
        <v>75188</v>
      </c>
      <c r="H24" s="208">
        <v>74714</v>
      </c>
      <c r="I24" s="208">
        <v>71542</v>
      </c>
      <c r="J24" s="208">
        <v>74250</v>
      </c>
      <c r="K24" s="208">
        <v>71030</v>
      </c>
      <c r="L24" s="208">
        <v>47202</v>
      </c>
      <c r="M24" s="208">
        <v>46734</v>
      </c>
      <c r="N24" s="208">
        <v>46225</v>
      </c>
      <c r="O24" s="208">
        <v>39351</v>
      </c>
      <c r="P24" s="208">
        <v>39587</v>
      </c>
      <c r="Q24" s="208">
        <v>39405</v>
      </c>
      <c r="R24" s="208">
        <v>38811</v>
      </c>
      <c r="S24" s="208">
        <v>39502</v>
      </c>
      <c r="T24" s="208">
        <v>40542</v>
      </c>
      <c r="U24" s="208">
        <v>42048</v>
      </c>
      <c r="V24" s="208">
        <v>45675</v>
      </c>
      <c r="W24" s="208">
        <v>49540</v>
      </c>
      <c r="X24" s="208">
        <v>48359</v>
      </c>
      <c r="Y24" s="208" t="s">
        <v>123</v>
      </c>
      <c r="Z24" s="208">
        <v>50795</v>
      </c>
      <c r="AA24" s="208">
        <v>61304</v>
      </c>
      <c r="AB24" s="208">
        <v>51034</v>
      </c>
      <c r="AC24" s="208">
        <v>46325</v>
      </c>
      <c r="AD24" s="208">
        <v>41412</v>
      </c>
    </row>
    <row r="25" spans="1:30" x14ac:dyDescent="0.25">
      <c r="A25" s="1" t="s">
        <v>30</v>
      </c>
      <c r="B25" s="6" t="s">
        <v>48</v>
      </c>
      <c r="C25" s="6" t="s">
        <v>48</v>
      </c>
      <c r="D25" s="7">
        <v>4059358</v>
      </c>
      <c r="E25" s="208">
        <v>28364</v>
      </c>
      <c r="F25" s="208">
        <v>28735</v>
      </c>
      <c r="G25" s="208">
        <v>27923</v>
      </c>
      <c r="H25" s="208">
        <v>27947</v>
      </c>
      <c r="I25" s="208">
        <v>25581</v>
      </c>
      <c r="J25" s="208">
        <v>25651</v>
      </c>
      <c r="K25" s="208">
        <v>25536</v>
      </c>
      <c r="L25" s="208">
        <v>25013</v>
      </c>
      <c r="M25" s="208">
        <v>24603</v>
      </c>
      <c r="N25" s="208">
        <v>24403</v>
      </c>
      <c r="O25" s="208">
        <v>22476</v>
      </c>
      <c r="P25" s="208">
        <v>21892</v>
      </c>
      <c r="Q25" s="208">
        <v>22498</v>
      </c>
      <c r="R25" s="208">
        <v>20335</v>
      </c>
      <c r="S25" s="208">
        <v>21324</v>
      </c>
      <c r="T25" s="208">
        <v>22036</v>
      </c>
      <c r="U25" s="208">
        <v>23357</v>
      </c>
      <c r="V25" s="208">
        <v>22859</v>
      </c>
      <c r="W25" s="208">
        <v>23443</v>
      </c>
      <c r="X25" s="208">
        <v>22929</v>
      </c>
      <c r="Y25" s="208">
        <v>22489</v>
      </c>
      <c r="Z25" s="208">
        <v>19914</v>
      </c>
      <c r="AA25" s="208">
        <v>17979</v>
      </c>
      <c r="AB25" s="208">
        <v>18540</v>
      </c>
      <c r="AC25" s="208">
        <v>13539</v>
      </c>
      <c r="AD25" s="208">
        <v>12001</v>
      </c>
    </row>
    <row r="26" spans="1:30" x14ac:dyDescent="0.25">
      <c r="B26" s="6" t="s">
        <v>49</v>
      </c>
      <c r="C26" s="6" t="s">
        <v>49</v>
      </c>
      <c r="D26" s="7">
        <v>4059359</v>
      </c>
      <c r="E26" s="208">
        <v>13282</v>
      </c>
      <c r="F26" s="208">
        <v>13733</v>
      </c>
      <c r="G26" s="208">
        <v>13443</v>
      </c>
      <c r="H26" s="208">
        <v>12681</v>
      </c>
      <c r="I26" s="208">
        <v>12154</v>
      </c>
      <c r="J26" s="208">
        <v>12613</v>
      </c>
      <c r="K26" s="208">
        <v>11873</v>
      </c>
      <c r="L26" s="208">
        <v>11673</v>
      </c>
      <c r="M26" s="208">
        <v>11329</v>
      </c>
      <c r="N26" s="208">
        <v>11369</v>
      </c>
      <c r="O26" s="208">
        <v>10693</v>
      </c>
      <c r="P26" s="208">
        <v>10496</v>
      </c>
      <c r="Q26" s="208">
        <v>10673</v>
      </c>
      <c r="R26" s="208">
        <v>10272</v>
      </c>
      <c r="S26" s="208">
        <v>10753</v>
      </c>
      <c r="T26" s="208">
        <v>11137</v>
      </c>
      <c r="U26" s="208">
        <v>10923</v>
      </c>
      <c r="V26" s="208">
        <v>12512</v>
      </c>
      <c r="W26" s="208">
        <v>12510</v>
      </c>
      <c r="X26" s="208">
        <v>12487</v>
      </c>
      <c r="Y26" s="208">
        <v>12081</v>
      </c>
      <c r="Z26" s="208" t="s">
        <v>123</v>
      </c>
      <c r="AA26" s="208">
        <v>10811</v>
      </c>
      <c r="AB26" s="208">
        <v>9502</v>
      </c>
      <c r="AC26" s="208" t="s">
        <v>123</v>
      </c>
      <c r="AD26" s="208" t="s">
        <v>123</v>
      </c>
    </row>
    <row r="27" spans="1:30" x14ac:dyDescent="0.25">
      <c r="A27" s="1" t="s">
        <v>30</v>
      </c>
      <c r="B27" s="6" t="s">
        <v>50</v>
      </c>
      <c r="C27" s="6" t="s">
        <v>50</v>
      </c>
      <c r="D27" s="7">
        <v>4059402</v>
      </c>
      <c r="E27" s="208">
        <v>64136</v>
      </c>
      <c r="F27" s="208">
        <v>61263</v>
      </c>
      <c r="G27" s="208">
        <v>57088</v>
      </c>
      <c r="H27" s="208">
        <v>53292</v>
      </c>
      <c r="I27" s="208">
        <v>52167</v>
      </c>
      <c r="J27" s="208">
        <v>47903</v>
      </c>
      <c r="K27" s="208">
        <v>41371</v>
      </c>
      <c r="L27" s="208">
        <v>41641</v>
      </c>
      <c r="M27" s="208">
        <v>41804</v>
      </c>
      <c r="N27" s="208">
        <v>41140</v>
      </c>
      <c r="O27" s="208">
        <v>41723</v>
      </c>
      <c r="P27" s="208">
        <v>27539</v>
      </c>
      <c r="Q27" s="208">
        <v>28499</v>
      </c>
      <c r="R27" s="208">
        <v>27720</v>
      </c>
      <c r="S27" s="208">
        <v>25742</v>
      </c>
      <c r="T27" s="208">
        <v>25663</v>
      </c>
      <c r="U27" s="208">
        <v>24278</v>
      </c>
      <c r="V27" s="208">
        <v>45485</v>
      </c>
      <c r="W27" s="208">
        <v>48934</v>
      </c>
      <c r="X27" s="208">
        <v>50695</v>
      </c>
      <c r="Y27" s="208">
        <v>50487</v>
      </c>
      <c r="Z27" s="208">
        <v>50956</v>
      </c>
      <c r="AA27" s="208">
        <v>47230</v>
      </c>
      <c r="AB27" s="208">
        <v>42679</v>
      </c>
      <c r="AC27" s="208">
        <v>42478</v>
      </c>
      <c r="AD27" s="208">
        <v>44143</v>
      </c>
    </row>
    <row r="28" spans="1:30" x14ac:dyDescent="0.25">
      <c r="A28" s="1" t="s">
        <v>30</v>
      </c>
      <c r="B28" s="6" t="s">
        <v>51</v>
      </c>
      <c r="C28" s="6" t="s">
        <v>51</v>
      </c>
      <c r="D28" s="7">
        <v>4057080</v>
      </c>
      <c r="E28" s="208">
        <v>16245</v>
      </c>
      <c r="F28" s="208">
        <v>0</v>
      </c>
      <c r="G28" s="208">
        <v>0</v>
      </c>
      <c r="H28" s="208">
        <v>0</v>
      </c>
      <c r="I28" s="208">
        <v>0</v>
      </c>
      <c r="J28" s="208">
        <v>0</v>
      </c>
      <c r="K28" s="208">
        <v>0</v>
      </c>
      <c r="L28" s="208">
        <v>0</v>
      </c>
      <c r="M28" s="208">
        <v>0</v>
      </c>
      <c r="N28" s="208">
        <v>0</v>
      </c>
      <c r="O28" s="208">
        <v>0</v>
      </c>
      <c r="P28" s="208">
        <v>0</v>
      </c>
      <c r="Q28" s="208">
        <v>0</v>
      </c>
      <c r="R28" s="208">
        <v>0</v>
      </c>
      <c r="S28" s="208">
        <v>0</v>
      </c>
      <c r="T28" s="208">
        <v>0</v>
      </c>
      <c r="U28" s="208">
        <v>0</v>
      </c>
      <c r="V28" s="208">
        <v>0</v>
      </c>
      <c r="W28" s="208">
        <v>0</v>
      </c>
      <c r="X28" s="208">
        <v>0</v>
      </c>
      <c r="Y28" s="208">
        <v>0</v>
      </c>
      <c r="Z28" s="208">
        <v>0</v>
      </c>
      <c r="AA28" s="208">
        <v>0</v>
      </c>
      <c r="AB28" s="208">
        <v>0</v>
      </c>
      <c r="AC28" s="208">
        <v>0</v>
      </c>
      <c r="AD28" s="208">
        <v>0</v>
      </c>
    </row>
    <row r="29" spans="1:30" x14ac:dyDescent="0.25">
      <c r="B29" s="6" t="s">
        <v>52</v>
      </c>
      <c r="C29" s="6" t="s">
        <v>52</v>
      </c>
      <c r="D29" s="7">
        <v>4057081</v>
      </c>
      <c r="E29" s="208">
        <v>249931</v>
      </c>
      <c r="F29" s="208">
        <v>235646</v>
      </c>
      <c r="G29" s="208">
        <v>224020</v>
      </c>
      <c r="H29" s="208">
        <v>207527</v>
      </c>
      <c r="I29" s="208">
        <v>197868</v>
      </c>
      <c r="J29" s="208">
        <v>169876</v>
      </c>
      <c r="K29" s="208">
        <v>131699</v>
      </c>
      <c r="L29" s="208">
        <v>94751</v>
      </c>
      <c r="M29" s="208">
        <v>69584</v>
      </c>
      <c r="N29" s="208">
        <v>67556</v>
      </c>
      <c r="O29" s="208">
        <v>63738</v>
      </c>
      <c r="P29" s="208">
        <v>66471</v>
      </c>
      <c r="Q29" s="208">
        <v>61995</v>
      </c>
      <c r="R29" s="208">
        <v>62226</v>
      </c>
      <c r="S29" s="208">
        <v>52355</v>
      </c>
      <c r="T29" s="208">
        <v>56320</v>
      </c>
      <c r="U29" s="208">
        <v>53853</v>
      </c>
      <c r="V29" s="208">
        <v>70914</v>
      </c>
      <c r="W29" s="208">
        <v>71374</v>
      </c>
      <c r="X29" s="208">
        <v>60786</v>
      </c>
      <c r="Y29" s="208">
        <v>64797</v>
      </c>
      <c r="Z29" s="208">
        <v>52280</v>
      </c>
      <c r="AA29" s="208">
        <v>51099</v>
      </c>
      <c r="AB29" s="208">
        <v>49401</v>
      </c>
      <c r="AC29" s="208">
        <v>47469</v>
      </c>
      <c r="AD29" s="208">
        <v>47593</v>
      </c>
    </row>
    <row r="30" spans="1:30" x14ac:dyDescent="0.25">
      <c r="A30" s="1" t="s">
        <v>30</v>
      </c>
      <c r="B30" s="6" t="s">
        <v>53</v>
      </c>
      <c r="C30" s="6" t="s">
        <v>53</v>
      </c>
      <c r="D30" s="7">
        <v>4059459</v>
      </c>
      <c r="E30" s="208">
        <v>12071</v>
      </c>
      <c r="F30" s="208">
        <v>11830</v>
      </c>
      <c r="G30" s="208">
        <v>11877</v>
      </c>
      <c r="H30" s="208">
        <v>11308</v>
      </c>
      <c r="I30" s="208">
        <v>10837</v>
      </c>
      <c r="J30" s="208">
        <v>10756</v>
      </c>
      <c r="K30" s="208">
        <v>10460</v>
      </c>
      <c r="L30" s="208">
        <v>9589</v>
      </c>
      <c r="M30" s="208">
        <v>8792</v>
      </c>
      <c r="N30" s="208">
        <v>8100</v>
      </c>
      <c r="O30" s="208">
        <v>7843</v>
      </c>
      <c r="P30" s="208">
        <v>7673</v>
      </c>
      <c r="Q30" s="208">
        <v>7635</v>
      </c>
      <c r="R30" s="208">
        <v>7497</v>
      </c>
      <c r="S30" s="208">
        <v>7233</v>
      </c>
      <c r="T30" s="208">
        <v>7182</v>
      </c>
      <c r="U30" s="208">
        <v>7090</v>
      </c>
      <c r="V30" s="208">
        <v>7010</v>
      </c>
      <c r="W30" s="208">
        <v>7080</v>
      </c>
      <c r="X30" s="208">
        <v>6972</v>
      </c>
      <c r="Y30" s="208">
        <v>6826</v>
      </c>
      <c r="Z30" s="208">
        <v>6661</v>
      </c>
      <c r="AA30" s="208">
        <v>6979</v>
      </c>
      <c r="AB30" s="208">
        <v>6832</v>
      </c>
      <c r="AC30" s="208">
        <v>6582</v>
      </c>
      <c r="AD30" s="208">
        <v>6654</v>
      </c>
    </row>
    <row r="31" spans="1:30" x14ac:dyDescent="0.25">
      <c r="B31" s="6" t="s">
        <v>54</v>
      </c>
      <c r="C31" s="6" t="s">
        <v>54</v>
      </c>
      <c r="D31" s="7">
        <v>4057118</v>
      </c>
      <c r="E31" s="208">
        <v>19759</v>
      </c>
      <c r="F31" s="208">
        <v>19996</v>
      </c>
      <c r="G31" s="208">
        <v>23181</v>
      </c>
      <c r="H31" s="208">
        <v>24267</v>
      </c>
      <c r="I31" s="208">
        <v>23888</v>
      </c>
      <c r="J31" s="208">
        <v>23644</v>
      </c>
      <c r="K31" s="208">
        <v>23033</v>
      </c>
      <c r="L31" s="208">
        <v>22782</v>
      </c>
      <c r="M31" s="208">
        <v>22596</v>
      </c>
      <c r="N31" s="208">
        <v>22579</v>
      </c>
      <c r="O31" s="208">
        <v>21966</v>
      </c>
      <c r="P31" s="208">
        <v>21242</v>
      </c>
      <c r="Q31" s="208">
        <v>20825</v>
      </c>
      <c r="R31" s="208">
        <v>20231</v>
      </c>
      <c r="S31" s="208">
        <v>19294</v>
      </c>
      <c r="T31" s="208">
        <v>19077</v>
      </c>
      <c r="U31" s="208">
        <v>19046</v>
      </c>
      <c r="V31" s="208">
        <v>18941</v>
      </c>
      <c r="W31" s="208">
        <v>17803</v>
      </c>
      <c r="X31" s="208">
        <v>15894</v>
      </c>
      <c r="Y31" s="208">
        <v>15368</v>
      </c>
      <c r="Z31" s="208">
        <v>15239</v>
      </c>
      <c r="AA31" s="208">
        <v>14554</v>
      </c>
      <c r="AB31" s="208">
        <v>13822</v>
      </c>
      <c r="AC31" s="208">
        <v>12913</v>
      </c>
      <c r="AD31" s="208">
        <v>11191</v>
      </c>
    </row>
    <row r="32" spans="1:30" x14ac:dyDescent="0.25">
      <c r="B32" s="6" t="s">
        <v>55</v>
      </c>
      <c r="C32" s="6" t="s">
        <v>55</v>
      </c>
      <c r="D32" s="7">
        <v>4057126</v>
      </c>
      <c r="E32" s="208">
        <v>322659</v>
      </c>
      <c r="F32" s="208">
        <v>307929</v>
      </c>
      <c r="G32" s="208">
        <v>260249</v>
      </c>
      <c r="H32" s="208">
        <v>221693</v>
      </c>
      <c r="I32" s="208">
        <v>213761</v>
      </c>
      <c r="J32" s="208">
        <v>206941</v>
      </c>
      <c r="K32" s="208">
        <v>202494</v>
      </c>
      <c r="L32" s="208">
        <v>187002</v>
      </c>
      <c r="M32" s="208">
        <v>183292</v>
      </c>
      <c r="N32" s="208">
        <v>183536</v>
      </c>
      <c r="O32" s="208">
        <v>177530</v>
      </c>
      <c r="P32" s="208">
        <v>201518</v>
      </c>
      <c r="Q32" s="208">
        <v>250232</v>
      </c>
      <c r="R32" s="208">
        <v>222157</v>
      </c>
      <c r="S32" s="208">
        <v>231062</v>
      </c>
      <c r="T32" s="208">
        <v>233946</v>
      </c>
      <c r="U32" s="208">
        <v>236881</v>
      </c>
      <c r="V32" s="208">
        <v>246974</v>
      </c>
      <c r="W32" s="208">
        <v>331641</v>
      </c>
      <c r="X32" s="208">
        <v>327207</v>
      </c>
      <c r="Y32" s="208">
        <v>323435</v>
      </c>
      <c r="Z32" s="208">
        <v>312886</v>
      </c>
      <c r="AA32" s="208">
        <v>292000</v>
      </c>
      <c r="AB32" s="208">
        <v>248778</v>
      </c>
      <c r="AC32" s="208">
        <v>247418</v>
      </c>
      <c r="AD32" s="208">
        <v>229403</v>
      </c>
    </row>
    <row r="33" spans="1:30" x14ac:dyDescent="0.25">
      <c r="B33" s="6" t="s">
        <v>56</v>
      </c>
      <c r="C33" s="6" t="s">
        <v>56</v>
      </c>
      <c r="D33" s="7">
        <v>4057103</v>
      </c>
      <c r="E33" s="208" t="s">
        <v>123</v>
      </c>
      <c r="F33" s="208">
        <v>13290</v>
      </c>
      <c r="G33" s="208">
        <v>11788</v>
      </c>
      <c r="H33" s="208">
        <v>1798</v>
      </c>
      <c r="I33" s="208" t="s">
        <v>123</v>
      </c>
      <c r="J33" s="208">
        <v>3207</v>
      </c>
      <c r="K33" s="208">
        <v>3159</v>
      </c>
      <c r="L33" s="208">
        <v>3048</v>
      </c>
      <c r="M33" s="208">
        <v>3286</v>
      </c>
      <c r="N33" s="208">
        <v>3203</v>
      </c>
      <c r="O33" s="208">
        <v>3158</v>
      </c>
      <c r="P33" s="208">
        <v>3000</v>
      </c>
      <c r="Q33" s="208">
        <v>2100</v>
      </c>
      <c r="R33" s="208">
        <v>1979</v>
      </c>
      <c r="S33" s="208">
        <v>1974</v>
      </c>
      <c r="T33" s="208">
        <v>1942</v>
      </c>
      <c r="U33" s="208">
        <v>1922</v>
      </c>
      <c r="V33" s="208">
        <v>1873</v>
      </c>
      <c r="W33" s="208">
        <v>2125</v>
      </c>
      <c r="X33" s="208">
        <v>2717</v>
      </c>
      <c r="Y33" s="208">
        <v>3725</v>
      </c>
      <c r="Z33" s="208">
        <v>3275</v>
      </c>
      <c r="AA33" s="208">
        <v>3389</v>
      </c>
      <c r="AB33" s="208">
        <v>3553</v>
      </c>
      <c r="AC33" s="208">
        <v>3652</v>
      </c>
      <c r="AD33" s="208">
        <v>3639</v>
      </c>
    </row>
    <row r="34" spans="1:30" x14ac:dyDescent="0.25">
      <c r="B34" s="6" t="s">
        <v>57</v>
      </c>
      <c r="C34" s="6" t="s">
        <v>57</v>
      </c>
      <c r="D34" s="7">
        <v>4057079</v>
      </c>
      <c r="E34" s="208">
        <v>87731</v>
      </c>
      <c r="F34" s="208">
        <v>73276</v>
      </c>
      <c r="G34" s="208">
        <v>64078</v>
      </c>
      <c r="H34" s="208">
        <v>54320</v>
      </c>
      <c r="I34" s="208">
        <v>52894</v>
      </c>
      <c r="J34" s="208">
        <v>52808</v>
      </c>
      <c r="K34" s="208">
        <v>50959</v>
      </c>
      <c r="L34" s="208">
        <v>48017</v>
      </c>
      <c r="M34" s="208">
        <v>40995</v>
      </c>
      <c r="N34" s="208">
        <v>14005</v>
      </c>
      <c r="O34" s="208">
        <v>13067</v>
      </c>
      <c r="P34" s="208">
        <v>12378</v>
      </c>
      <c r="Q34" s="208">
        <v>11394</v>
      </c>
      <c r="R34" s="208">
        <v>11211</v>
      </c>
      <c r="S34" s="208">
        <v>10811</v>
      </c>
      <c r="T34" s="208">
        <v>10689</v>
      </c>
      <c r="U34" s="208">
        <v>10476</v>
      </c>
      <c r="V34" s="208">
        <v>9063</v>
      </c>
      <c r="W34" s="208">
        <v>10565</v>
      </c>
      <c r="X34" s="208">
        <v>11930</v>
      </c>
      <c r="Y34" s="208">
        <v>13855</v>
      </c>
      <c r="Z34" s="208">
        <v>12337</v>
      </c>
      <c r="AA34" s="208">
        <v>12794</v>
      </c>
      <c r="AB34" s="208">
        <v>13706</v>
      </c>
      <c r="AC34" s="208">
        <v>14036</v>
      </c>
      <c r="AD34" s="208">
        <v>13894</v>
      </c>
    </row>
    <row r="35" spans="1:30" x14ac:dyDescent="0.25">
      <c r="B35" s="6" t="s">
        <v>58</v>
      </c>
      <c r="C35" s="6" t="s">
        <v>59</v>
      </c>
      <c r="D35" s="7">
        <v>4081251</v>
      </c>
      <c r="E35" s="208" t="s">
        <v>123</v>
      </c>
      <c r="F35" s="208">
        <v>495</v>
      </c>
      <c r="G35" s="208">
        <v>463</v>
      </c>
      <c r="H35" s="208">
        <v>455</v>
      </c>
      <c r="I35" s="208">
        <v>431</v>
      </c>
      <c r="J35" s="208">
        <v>458</v>
      </c>
      <c r="K35" s="208">
        <v>392</v>
      </c>
      <c r="L35" s="208">
        <v>306</v>
      </c>
      <c r="M35" s="208">
        <v>306</v>
      </c>
      <c r="N35" s="208">
        <v>306</v>
      </c>
      <c r="O35" s="208">
        <v>303</v>
      </c>
      <c r="P35" s="208">
        <v>327</v>
      </c>
      <c r="Q35" s="208">
        <v>322</v>
      </c>
      <c r="R35" s="208">
        <v>325</v>
      </c>
      <c r="S35" s="208">
        <v>289</v>
      </c>
      <c r="T35" s="208">
        <v>254</v>
      </c>
      <c r="U35" s="208">
        <v>172</v>
      </c>
      <c r="V35" s="208">
        <v>149</v>
      </c>
      <c r="W35" s="208">
        <v>148</v>
      </c>
      <c r="X35" s="208">
        <v>146</v>
      </c>
      <c r="Y35" s="208">
        <v>159</v>
      </c>
      <c r="Z35" s="208" t="s">
        <v>123</v>
      </c>
      <c r="AA35" s="208" t="s">
        <v>123</v>
      </c>
      <c r="AB35" s="208" t="s">
        <v>123</v>
      </c>
      <c r="AC35" s="208" t="s">
        <v>123</v>
      </c>
      <c r="AD35" s="208" t="s">
        <v>123</v>
      </c>
    </row>
    <row r="36" spans="1:30" x14ac:dyDescent="0.25">
      <c r="B36" s="6" t="s">
        <v>60</v>
      </c>
      <c r="C36" s="6" t="s">
        <v>60</v>
      </c>
      <c r="D36" s="7">
        <v>4060572</v>
      </c>
      <c r="E36" s="208">
        <v>17638</v>
      </c>
      <c r="F36" s="208">
        <v>15170</v>
      </c>
      <c r="G36" s="208">
        <v>15671</v>
      </c>
      <c r="H36" s="208">
        <v>14892</v>
      </c>
      <c r="I36" s="208">
        <v>12235</v>
      </c>
      <c r="J36" s="208">
        <v>12292</v>
      </c>
      <c r="K36" s="208">
        <v>11287</v>
      </c>
      <c r="L36" s="208">
        <v>11301</v>
      </c>
      <c r="M36" s="208">
        <v>10696</v>
      </c>
      <c r="N36" s="208">
        <v>9134</v>
      </c>
      <c r="O36" s="208">
        <v>8542</v>
      </c>
      <c r="P36" s="208">
        <v>8518</v>
      </c>
      <c r="Q36" s="208">
        <v>7996</v>
      </c>
      <c r="R36" s="208">
        <v>7883</v>
      </c>
      <c r="S36" s="208">
        <v>8246</v>
      </c>
      <c r="T36" s="208">
        <v>11060</v>
      </c>
      <c r="U36" s="208">
        <v>11200</v>
      </c>
      <c r="V36" s="208">
        <v>10709</v>
      </c>
      <c r="W36" s="208">
        <v>10251</v>
      </c>
      <c r="X36" s="208">
        <v>9972</v>
      </c>
      <c r="Y36" s="208">
        <v>11528</v>
      </c>
      <c r="Z36" s="208" t="s">
        <v>123</v>
      </c>
      <c r="AA36" s="208" t="s">
        <v>123</v>
      </c>
      <c r="AB36" s="208">
        <v>14063</v>
      </c>
      <c r="AC36" s="208">
        <v>9893</v>
      </c>
      <c r="AD36" s="208">
        <v>9423</v>
      </c>
    </row>
    <row r="37" spans="1:30" x14ac:dyDescent="0.25">
      <c r="B37" s="6" t="s">
        <v>61</v>
      </c>
      <c r="C37" s="6" t="s">
        <v>61</v>
      </c>
      <c r="D37" s="7">
        <v>4083318</v>
      </c>
      <c r="E37" s="208">
        <v>3146</v>
      </c>
      <c r="F37" s="208">
        <v>2999</v>
      </c>
      <c r="G37" s="208">
        <v>3454</v>
      </c>
      <c r="H37" s="208">
        <v>3641</v>
      </c>
      <c r="I37" s="208">
        <v>3334</v>
      </c>
      <c r="J37" s="208">
        <v>3098</v>
      </c>
      <c r="K37" s="208">
        <v>2650</v>
      </c>
      <c r="L37" s="208">
        <v>2496</v>
      </c>
      <c r="M37" s="208">
        <v>2315</v>
      </c>
      <c r="N37" s="208">
        <v>2161</v>
      </c>
      <c r="O37" s="208">
        <v>2074</v>
      </c>
      <c r="P37" s="208">
        <v>1941</v>
      </c>
      <c r="Q37" s="208">
        <v>1872</v>
      </c>
      <c r="R37" s="208">
        <v>1854</v>
      </c>
      <c r="S37" s="208">
        <v>1818</v>
      </c>
      <c r="T37" s="208">
        <v>1652</v>
      </c>
      <c r="U37" s="208">
        <v>1704</v>
      </c>
      <c r="V37" s="208">
        <v>1681</v>
      </c>
      <c r="W37" s="208">
        <v>1906</v>
      </c>
      <c r="X37" s="208" t="s">
        <v>123</v>
      </c>
      <c r="Y37" s="208" t="s">
        <v>123</v>
      </c>
      <c r="Z37" s="208" t="s">
        <v>123</v>
      </c>
      <c r="AA37" s="208" t="s">
        <v>123</v>
      </c>
      <c r="AB37" s="208" t="s">
        <v>123</v>
      </c>
      <c r="AC37" s="208">
        <v>1075</v>
      </c>
      <c r="AD37" s="208">
        <v>928</v>
      </c>
    </row>
    <row r="38" spans="1:30" x14ac:dyDescent="0.25">
      <c r="B38" s="6" t="s">
        <v>62</v>
      </c>
      <c r="C38" s="6" t="s">
        <v>62</v>
      </c>
      <c r="D38" s="7">
        <v>4057125</v>
      </c>
      <c r="E38" s="208">
        <v>105759</v>
      </c>
      <c r="F38" s="208">
        <v>105619</v>
      </c>
      <c r="G38" s="208">
        <v>98374</v>
      </c>
      <c r="H38" s="208">
        <v>77743</v>
      </c>
      <c r="I38" s="208">
        <v>76663</v>
      </c>
      <c r="J38" s="208">
        <v>74624</v>
      </c>
      <c r="K38" s="208">
        <v>67618</v>
      </c>
      <c r="L38" s="208">
        <v>64626</v>
      </c>
      <c r="M38" s="208">
        <v>64309</v>
      </c>
      <c r="N38" s="208">
        <v>58071</v>
      </c>
      <c r="O38" s="208">
        <v>58228</v>
      </c>
      <c r="P38" s="208">
        <v>58545</v>
      </c>
      <c r="Q38" s="208">
        <v>54192</v>
      </c>
      <c r="R38" s="208">
        <v>52931</v>
      </c>
      <c r="S38" s="208">
        <v>49259</v>
      </c>
      <c r="T38" s="208">
        <v>49714</v>
      </c>
      <c r="U38" s="208">
        <v>48145</v>
      </c>
      <c r="V38" s="208">
        <v>44604</v>
      </c>
      <c r="W38" s="208">
        <v>44859</v>
      </c>
      <c r="X38" s="208">
        <v>46393</v>
      </c>
      <c r="Y38" s="208">
        <v>44717</v>
      </c>
      <c r="Z38" s="208">
        <v>44451</v>
      </c>
      <c r="AA38" s="208">
        <v>45849</v>
      </c>
      <c r="AB38" s="208">
        <v>60915</v>
      </c>
      <c r="AC38" s="208">
        <v>91935</v>
      </c>
      <c r="AD38" s="208">
        <v>85271</v>
      </c>
    </row>
    <row r="39" spans="1:30" x14ac:dyDescent="0.25">
      <c r="B39" s="6" t="s">
        <v>63</v>
      </c>
      <c r="C39" s="6" t="s">
        <v>63</v>
      </c>
      <c r="D39" s="7">
        <v>4087741</v>
      </c>
      <c r="E39" s="208" t="s">
        <v>123</v>
      </c>
      <c r="F39" s="208" t="s">
        <v>123</v>
      </c>
      <c r="G39" s="208">
        <v>122162</v>
      </c>
      <c r="H39" s="208">
        <v>112757</v>
      </c>
      <c r="I39" s="208">
        <v>109120</v>
      </c>
      <c r="J39" s="208">
        <v>107290</v>
      </c>
      <c r="K39" s="208">
        <v>107277</v>
      </c>
      <c r="L39" s="208">
        <v>101596</v>
      </c>
      <c r="M39" s="208">
        <v>99414</v>
      </c>
      <c r="N39" s="208">
        <v>93064</v>
      </c>
      <c r="O39" s="208">
        <v>90233</v>
      </c>
      <c r="P39" s="208">
        <v>85011</v>
      </c>
      <c r="Q39" s="208">
        <v>82765</v>
      </c>
      <c r="R39" s="208">
        <v>78814</v>
      </c>
      <c r="S39" s="208">
        <v>90357</v>
      </c>
      <c r="T39" s="208">
        <v>90869</v>
      </c>
      <c r="U39" s="208">
        <v>87517</v>
      </c>
      <c r="V39" s="208">
        <v>77823</v>
      </c>
      <c r="W39" s="208">
        <v>75574</v>
      </c>
      <c r="X39" s="208" t="s">
        <v>123</v>
      </c>
      <c r="Y39" s="208">
        <v>69817</v>
      </c>
      <c r="Z39" s="208" t="s">
        <v>123</v>
      </c>
      <c r="AA39" s="208" t="s">
        <v>123</v>
      </c>
      <c r="AB39" s="208" t="s">
        <v>123</v>
      </c>
      <c r="AC39" s="208" t="s">
        <v>123</v>
      </c>
      <c r="AD39" s="208" t="s">
        <v>123</v>
      </c>
    </row>
    <row r="40" spans="1:30" x14ac:dyDescent="0.25">
      <c r="B40" s="6" t="s">
        <v>64</v>
      </c>
      <c r="C40" s="6" t="s">
        <v>64</v>
      </c>
      <c r="D40" s="7">
        <v>4059875</v>
      </c>
      <c r="E40" s="208">
        <v>44408</v>
      </c>
      <c r="F40" s="208">
        <v>35939</v>
      </c>
      <c r="G40" s="208">
        <v>29522</v>
      </c>
      <c r="H40" s="208">
        <v>24927</v>
      </c>
      <c r="I40" s="208">
        <v>23326</v>
      </c>
      <c r="J40" s="208">
        <v>18670</v>
      </c>
      <c r="K40" s="208">
        <v>10591</v>
      </c>
      <c r="L40" s="208">
        <v>9474</v>
      </c>
      <c r="M40" s="208">
        <v>8146</v>
      </c>
      <c r="N40" s="208">
        <v>16197</v>
      </c>
      <c r="O40" s="208">
        <v>16061</v>
      </c>
      <c r="P40" s="208">
        <v>16049</v>
      </c>
      <c r="Q40" s="208">
        <v>15098</v>
      </c>
      <c r="R40" s="208">
        <v>12089</v>
      </c>
      <c r="S40" s="208">
        <v>11333</v>
      </c>
      <c r="T40" s="208">
        <v>10220</v>
      </c>
      <c r="U40" s="208">
        <v>10444</v>
      </c>
      <c r="V40" s="208">
        <v>11582</v>
      </c>
      <c r="W40" s="208">
        <v>20388</v>
      </c>
      <c r="X40" s="208" t="s">
        <v>123</v>
      </c>
      <c r="Y40" s="208">
        <v>11051</v>
      </c>
      <c r="Z40" s="208">
        <v>10976</v>
      </c>
      <c r="AA40" s="208">
        <v>9221</v>
      </c>
      <c r="AB40" s="208">
        <v>8948</v>
      </c>
      <c r="AC40" s="208">
        <v>8666</v>
      </c>
      <c r="AD40" s="208">
        <v>8021</v>
      </c>
    </row>
    <row r="41" spans="1:30" x14ac:dyDescent="0.25">
      <c r="B41" s="6" t="s">
        <v>65</v>
      </c>
      <c r="C41" s="6" t="s">
        <v>65</v>
      </c>
      <c r="D41" s="7">
        <v>4057090</v>
      </c>
      <c r="E41" s="208">
        <v>15890</v>
      </c>
      <c r="F41" s="208">
        <v>14848</v>
      </c>
      <c r="G41" s="208">
        <v>13897</v>
      </c>
      <c r="H41" s="208">
        <v>12382</v>
      </c>
      <c r="I41" s="208">
        <v>12101</v>
      </c>
      <c r="J41" s="208">
        <v>11065</v>
      </c>
      <c r="K41" s="208">
        <v>10992</v>
      </c>
      <c r="L41" s="208">
        <v>9476</v>
      </c>
      <c r="M41" s="208">
        <v>9274</v>
      </c>
      <c r="N41" s="208">
        <v>8467</v>
      </c>
      <c r="O41" s="208">
        <v>9305</v>
      </c>
      <c r="P41" s="208">
        <v>9226</v>
      </c>
      <c r="Q41" s="208">
        <v>9038</v>
      </c>
      <c r="R41" s="208">
        <v>9033</v>
      </c>
      <c r="S41" s="208">
        <v>10346</v>
      </c>
      <c r="T41" s="208">
        <v>9747</v>
      </c>
      <c r="U41" s="208">
        <v>9273</v>
      </c>
      <c r="V41" s="208">
        <v>8822</v>
      </c>
      <c r="W41" s="208">
        <v>8983</v>
      </c>
      <c r="X41" s="208">
        <v>10342</v>
      </c>
      <c r="Y41" s="208">
        <v>10926</v>
      </c>
      <c r="Z41" s="208">
        <v>10583</v>
      </c>
      <c r="AA41" s="208">
        <v>10092</v>
      </c>
      <c r="AB41" s="208">
        <v>11387</v>
      </c>
      <c r="AC41" s="208">
        <v>11103</v>
      </c>
      <c r="AD41" s="208">
        <v>10798</v>
      </c>
    </row>
    <row r="42" spans="1:30" x14ac:dyDescent="0.25">
      <c r="B42" s="6" t="s">
        <v>66</v>
      </c>
      <c r="C42" s="6" t="s">
        <v>66</v>
      </c>
      <c r="D42" s="7">
        <v>4008754</v>
      </c>
      <c r="E42" s="208">
        <v>6091</v>
      </c>
      <c r="F42" s="208">
        <v>5626</v>
      </c>
      <c r="G42" s="208">
        <v>3569</v>
      </c>
      <c r="H42" s="208">
        <v>3368</v>
      </c>
      <c r="I42" s="208">
        <v>3304</v>
      </c>
      <c r="J42" s="208">
        <v>4783</v>
      </c>
      <c r="K42" s="208">
        <v>4589</v>
      </c>
      <c r="L42" s="208">
        <v>4413</v>
      </c>
      <c r="M42" s="208">
        <v>4173</v>
      </c>
      <c r="N42" s="208">
        <v>4137</v>
      </c>
      <c r="O42" s="208">
        <v>4041</v>
      </c>
      <c r="P42" s="208">
        <v>4005</v>
      </c>
      <c r="Q42" s="208">
        <v>3827</v>
      </c>
      <c r="R42" s="208">
        <v>3660</v>
      </c>
      <c r="S42" s="208">
        <v>3524</v>
      </c>
      <c r="T42" s="208">
        <v>3421</v>
      </c>
      <c r="U42" s="208">
        <v>3392</v>
      </c>
      <c r="V42" s="208">
        <v>3304</v>
      </c>
      <c r="W42" s="208">
        <v>3042</v>
      </c>
      <c r="X42" s="208">
        <v>2952</v>
      </c>
      <c r="Y42" s="208">
        <v>2644</v>
      </c>
      <c r="Z42" s="208">
        <v>2522</v>
      </c>
      <c r="AA42" s="208">
        <v>2440</v>
      </c>
      <c r="AB42" s="208">
        <v>2364</v>
      </c>
      <c r="AC42" s="208">
        <v>2865</v>
      </c>
      <c r="AD42" s="208">
        <v>2547</v>
      </c>
    </row>
    <row r="43" spans="1:30" x14ac:dyDescent="0.25">
      <c r="B43" s="6" t="s">
        <v>67</v>
      </c>
      <c r="C43" s="6" t="s">
        <v>67</v>
      </c>
      <c r="D43" s="7">
        <v>4061474</v>
      </c>
      <c r="E43" s="208">
        <v>5149</v>
      </c>
      <c r="F43" s="208">
        <v>5108</v>
      </c>
      <c r="G43" s="208">
        <v>4847</v>
      </c>
      <c r="H43" s="208">
        <v>4701</v>
      </c>
      <c r="I43" s="208">
        <v>4640</v>
      </c>
      <c r="J43" s="208">
        <v>4630</v>
      </c>
      <c r="K43" s="208">
        <v>4556</v>
      </c>
      <c r="L43" s="208">
        <v>4261</v>
      </c>
      <c r="M43" s="208">
        <v>4153</v>
      </c>
      <c r="N43" s="208">
        <v>3946</v>
      </c>
      <c r="O43" s="208">
        <v>2941</v>
      </c>
      <c r="P43" s="208">
        <v>2409</v>
      </c>
      <c r="Q43" s="208">
        <v>2270</v>
      </c>
      <c r="R43" s="208">
        <v>2192</v>
      </c>
      <c r="S43" s="208">
        <v>2123</v>
      </c>
      <c r="T43" s="208">
        <v>1477</v>
      </c>
      <c r="U43" s="208">
        <v>1425</v>
      </c>
      <c r="V43" s="208">
        <v>1432</v>
      </c>
      <c r="W43" s="208">
        <v>1376</v>
      </c>
      <c r="X43" s="208" t="s">
        <v>123</v>
      </c>
      <c r="Y43" s="208">
        <v>1347</v>
      </c>
      <c r="Z43" s="208" t="s">
        <v>123</v>
      </c>
      <c r="AA43" s="208" t="s">
        <v>123</v>
      </c>
      <c r="AB43" s="208">
        <v>1205</v>
      </c>
      <c r="AC43" s="208">
        <v>1172</v>
      </c>
      <c r="AD43" s="208">
        <v>1101</v>
      </c>
    </row>
    <row r="44" spans="1:30" x14ac:dyDescent="0.25">
      <c r="B44" s="6" t="s">
        <v>68</v>
      </c>
      <c r="C44" s="6" t="s">
        <v>68</v>
      </c>
      <c r="D44" s="7">
        <v>4076679</v>
      </c>
      <c r="E44" s="208">
        <v>3744</v>
      </c>
      <c r="F44" s="208">
        <v>3038</v>
      </c>
      <c r="G44" s="208">
        <v>2868</v>
      </c>
      <c r="H44" s="208">
        <v>2829</v>
      </c>
      <c r="I44" s="208">
        <v>2479</v>
      </c>
      <c r="J44" s="208">
        <v>2376</v>
      </c>
      <c r="K44" s="208">
        <v>2252</v>
      </c>
      <c r="L44" s="208">
        <v>2130</v>
      </c>
      <c r="M44" s="208">
        <v>2009</v>
      </c>
      <c r="N44" s="208">
        <v>1874</v>
      </c>
      <c r="O44" s="208">
        <v>1571</v>
      </c>
      <c r="P44" s="208">
        <v>1496</v>
      </c>
      <c r="Q44" s="208">
        <v>1420</v>
      </c>
      <c r="R44" s="208">
        <v>1394</v>
      </c>
      <c r="S44" s="208">
        <v>1315</v>
      </c>
      <c r="T44" s="208">
        <v>1298</v>
      </c>
      <c r="U44" s="208">
        <v>1080</v>
      </c>
      <c r="V44" s="208">
        <v>1008</v>
      </c>
      <c r="W44" s="208">
        <v>914</v>
      </c>
      <c r="X44" s="208">
        <v>856</v>
      </c>
      <c r="Y44" s="208">
        <v>744</v>
      </c>
      <c r="Z44" s="208" t="s">
        <v>123</v>
      </c>
      <c r="AA44" s="208" t="s">
        <v>123</v>
      </c>
      <c r="AB44" s="208" t="s">
        <v>123</v>
      </c>
      <c r="AC44" s="208" t="s">
        <v>123</v>
      </c>
      <c r="AD44" s="208" t="s">
        <v>123</v>
      </c>
    </row>
    <row r="45" spans="1:30" x14ac:dyDescent="0.25">
      <c r="B45" s="6" t="s">
        <v>69</v>
      </c>
      <c r="C45" s="6" t="s">
        <v>69</v>
      </c>
      <c r="D45" s="7">
        <v>4061634</v>
      </c>
      <c r="E45" s="208">
        <v>36377</v>
      </c>
      <c r="F45" s="208">
        <v>34782</v>
      </c>
      <c r="G45" s="208">
        <v>34711</v>
      </c>
      <c r="H45" s="208">
        <v>33370</v>
      </c>
      <c r="I45" s="208">
        <v>32078</v>
      </c>
      <c r="J45" s="208">
        <v>34910</v>
      </c>
      <c r="K45" s="208">
        <v>34405</v>
      </c>
      <c r="L45" s="208">
        <v>28250</v>
      </c>
      <c r="M45" s="208">
        <v>24804</v>
      </c>
      <c r="N45" s="208">
        <v>25300</v>
      </c>
      <c r="O45" s="208">
        <v>26230</v>
      </c>
      <c r="P45" s="208">
        <v>21132</v>
      </c>
      <c r="Q45" s="208">
        <v>21130</v>
      </c>
      <c r="R45" s="208">
        <v>21545</v>
      </c>
      <c r="S45" s="208">
        <v>37218</v>
      </c>
      <c r="T45" s="208">
        <v>36431</v>
      </c>
      <c r="U45" s="208">
        <v>35516</v>
      </c>
      <c r="V45" s="208">
        <v>36312</v>
      </c>
      <c r="W45" s="208">
        <v>37202</v>
      </c>
      <c r="X45" s="208">
        <v>38525</v>
      </c>
      <c r="Y45" s="208">
        <v>31778</v>
      </c>
      <c r="Z45" s="208">
        <v>28814</v>
      </c>
      <c r="AA45" s="208">
        <v>24710</v>
      </c>
      <c r="AB45" s="208">
        <v>21760</v>
      </c>
      <c r="AC45" s="208">
        <v>18453</v>
      </c>
      <c r="AD45" s="208">
        <v>17544</v>
      </c>
    </row>
    <row r="46" spans="1:30" x14ac:dyDescent="0.25">
      <c r="B46" s="6" t="s">
        <v>70</v>
      </c>
      <c r="C46" s="6" t="s">
        <v>70</v>
      </c>
      <c r="D46" s="7">
        <v>4061687</v>
      </c>
      <c r="E46" s="208">
        <v>108712</v>
      </c>
      <c r="F46" s="208">
        <v>101354</v>
      </c>
      <c r="G46" s="208">
        <v>100616</v>
      </c>
      <c r="H46" s="208">
        <v>98233</v>
      </c>
      <c r="I46" s="208">
        <v>93775</v>
      </c>
      <c r="J46" s="208">
        <v>89620</v>
      </c>
      <c r="K46" s="208">
        <v>82922</v>
      </c>
      <c r="L46" s="208">
        <v>73357</v>
      </c>
      <c r="M46" s="208">
        <v>72464</v>
      </c>
      <c r="N46" s="208">
        <v>71185</v>
      </c>
      <c r="O46" s="208">
        <v>66186</v>
      </c>
      <c r="P46" s="208">
        <v>63872</v>
      </c>
      <c r="Q46" s="208">
        <v>63133</v>
      </c>
      <c r="R46" s="208">
        <v>60226</v>
      </c>
      <c r="S46" s="208">
        <v>49221</v>
      </c>
      <c r="T46" s="208">
        <v>56937</v>
      </c>
      <c r="U46" s="208">
        <v>56139</v>
      </c>
      <c r="V46" s="208">
        <v>52459</v>
      </c>
      <c r="W46" s="208">
        <v>53332</v>
      </c>
      <c r="X46" s="208">
        <v>53276</v>
      </c>
      <c r="Y46" s="208">
        <v>64706</v>
      </c>
      <c r="Z46" s="208">
        <v>54069</v>
      </c>
      <c r="AA46" s="208">
        <v>53228</v>
      </c>
      <c r="AB46" s="208">
        <v>54005</v>
      </c>
      <c r="AC46" s="208">
        <v>56015</v>
      </c>
      <c r="AD46" s="208">
        <v>54937</v>
      </c>
    </row>
    <row r="47" spans="1:30" x14ac:dyDescent="0.25">
      <c r="A47" s="1" t="s">
        <v>30</v>
      </c>
      <c r="B47" s="6" t="s">
        <v>71</v>
      </c>
      <c r="C47" s="6" t="s">
        <v>71</v>
      </c>
      <c r="D47" s="7">
        <v>4061755</v>
      </c>
      <c r="E47" s="208">
        <v>153404</v>
      </c>
      <c r="F47" s="208">
        <v>126209</v>
      </c>
      <c r="G47" s="208">
        <v>116536</v>
      </c>
      <c r="H47" s="208">
        <v>111964</v>
      </c>
      <c r="I47" s="208">
        <v>102230</v>
      </c>
      <c r="J47" s="208">
        <v>71033</v>
      </c>
      <c r="K47" s="208">
        <v>61095</v>
      </c>
      <c r="L47" s="208">
        <v>57944</v>
      </c>
      <c r="M47" s="208">
        <v>52438</v>
      </c>
      <c r="N47" s="208">
        <v>47511</v>
      </c>
      <c r="O47" s="208">
        <v>67839</v>
      </c>
      <c r="P47" s="208">
        <v>58483</v>
      </c>
      <c r="Q47" s="208">
        <v>55177</v>
      </c>
      <c r="R47" s="208">
        <v>53470</v>
      </c>
      <c r="S47" s="208">
        <v>50098</v>
      </c>
      <c r="T47" s="208">
        <v>49644</v>
      </c>
      <c r="U47" s="208">
        <v>52167</v>
      </c>
      <c r="V47" s="208">
        <v>55921</v>
      </c>
      <c r="W47" s="208">
        <v>53966</v>
      </c>
      <c r="X47" s="208">
        <v>54240</v>
      </c>
      <c r="Y47" s="208">
        <v>52921</v>
      </c>
      <c r="Z47" s="208">
        <v>58276</v>
      </c>
      <c r="AA47" s="208">
        <v>55873</v>
      </c>
      <c r="AB47" s="208">
        <v>52178</v>
      </c>
      <c r="AC47" s="208">
        <v>37691</v>
      </c>
      <c r="AD47" s="208">
        <v>36553</v>
      </c>
    </row>
    <row r="48" spans="1:30" x14ac:dyDescent="0.25">
      <c r="A48" s="1" t="s">
        <v>30</v>
      </c>
      <c r="B48" s="6" t="s">
        <v>72</v>
      </c>
      <c r="C48" s="6" t="s">
        <v>72</v>
      </c>
      <c r="D48" s="7">
        <v>4004389</v>
      </c>
      <c r="E48" s="208">
        <v>24645</v>
      </c>
      <c r="F48" s="208">
        <v>23903</v>
      </c>
      <c r="G48" s="208">
        <v>23335</v>
      </c>
      <c r="H48" s="208">
        <v>22443</v>
      </c>
      <c r="I48" s="208">
        <v>21816</v>
      </c>
      <c r="J48" s="208">
        <v>21062</v>
      </c>
      <c r="K48" s="208">
        <v>21299</v>
      </c>
      <c r="L48" s="208">
        <v>24945</v>
      </c>
      <c r="M48" s="208">
        <v>23189</v>
      </c>
      <c r="N48" s="208">
        <v>21473</v>
      </c>
      <c r="O48" s="208">
        <v>23043</v>
      </c>
      <c r="P48" s="208">
        <v>23086</v>
      </c>
      <c r="Q48" s="208">
        <v>22471</v>
      </c>
      <c r="R48" s="208">
        <v>21979</v>
      </c>
      <c r="S48" s="208">
        <v>21250</v>
      </c>
      <c r="T48" s="208">
        <v>19731</v>
      </c>
      <c r="U48" s="208">
        <v>19990</v>
      </c>
      <c r="V48" s="208">
        <v>24498</v>
      </c>
      <c r="W48" s="208">
        <v>25496</v>
      </c>
      <c r="X48" s="208">
        <v>25053</v>
      </c>
      <c r="Y48" s="208">
        <v>26065</v>
      </c>
      <c r="Z48" s="208">
        <v>24324</v>
      </c>
      <c r="AA48" s="208">
        <v>23912</v>
      </c>
      <c r="AB48" s="208">
        <v>23567</v>
      </c>
      <c r="AC48" s="208">
        <v>14486</v>
      </c>
      <c r="AD48" s="208">
        <v>10892</v>
      </c>
    </row>
    <row r="49" spans="1:30" x14ac:dyDescent="0.25">
      <c r="A49" s="1" t="s">
        <v>30</v>
      </c>
      <c r="B49" s="6" t="s">
        <v>73</v>
      </c>
      <c r="C49" s="6" t="s">
        <v>73</v>
      </c>
      <c r="D49" s="7">
        <v>4057014</v>
      </c>
      <c r="E49" s="208">
        <v>90919</v>
      </c>
      <c r="F49" s="208">
        <v>90258</v>
      </c>
      <c r="G49" s="208">
        <v>85812</v>
      </c>
      <c r="H49" s="208">
        <v>83793</v>
      </c>
      <c r="I49" s="208">
        <v>80296</v>
      </c>
      <c r="J49" s="208">
        <v>90552</v>
      </c>
      <c r="K49" s="208">
        <v>87496</v>
      </c>
      <c r="L49" s="208">
        <v>82024</v>
      </c>
      <c r="M49" s="208">
        <v>79598</v>
      </c>
      <c r="N49" s="208">
        <v>77749</v>
      </c>
      <c r="O49" s="208">
        <v>76492</v>
      </c>
      <c r="P49" s="208">
        <v>71145</v>
      </c>
      <c r="Q49" s="208">
        <v>68055</v>
      </c>
      <c r="R49" s="208">
        <v>65203</v>
      </c>
      <c r="S49" s="208">
        <v>52673</v>
      </c>
      <c r="T49" s="208">
        <v>52709</v>
      </c>
      <c r="U49" s="208">
        <v>52963</v>
      </c>
      <c r="V49" s="208">
        <v>52986</v>
      </c>
      <c r="W49" s="208">
        <v>33443</v>
      </c>
      <c r="X49" s="208">
        <v>30992</v>
      </c>
      <c r="Y49" s="208">
        <v>30285</v>
      </c>
      <c r="Z49" s="208">
        <v>33212</v>
      </c>
      <c r="AA49" s="208">
        <v>31632</v>
      </c>
      <c r="AB49" s="208">
        <v>24364</v>
      </c>
      <c r="AC49" s="208">
        <v>20759</v>
      </c>
      <c r="AD49" s="208">
        <v>18910</v>
      </c>
    </row>
    <row r="50" spans="1:30" x14ac:dyDescent="0.25">
      <c r="B50" s="6" t="s">
        <v>74</v>
      </c>
      <c r="C50" s="6" t="s">
        <v>74</v>
      </c>
      <c r="D50" s="7">
        <v>4057130</v>
      </c>
      <c r="E50" s="208">
        <v>21394</v>
      </c>
      <c r="F50" s="208">
        <v>20520</v>
      </c>
      <c r="G50" s="208">
        <v>18704</v>
      </c>
      <c r="H50" s="208">
        <v>17573</v>
      </c>
      <c r="I50" s="208">
        <v>17170</v>
      </c>
      <c r="J50" s="208">
        <v>18003</v>
      </c>
      <c r="K50" s="208">
        <v>18018</v>
      </c>
      <c r="L50" s="208">
        <v>16113</v>
      </c>
      <c r="M50" s="208">
        <v>15258</v>
      </c>
      <c r="N50" s="208">
        <v>13721</v>
      </c>
      <c r="O50" s="208">
        <v>13361</v>
      </c>
      <c r="P50" s="208">
        <v>16203</v>
      </c>
      <c r="Q50" s="208">
        <v>15771</v>
      </c>
      <c r="R50" s="208">
        <v>15173</v>
      </c>
      <c r="S50" s="208">
        <v>16114</v>
      </c>
      <c r="T50" s="208">
        <v>16044</v>
      </c>
      <c r="U50" s="208">
        <v>16802</v>
      </c>
      <c r="V50" s="208">
        <v>16406</v>
      </c>
      <c r="W50" s="208">
        <v>14805</v>
      </c>
      <c r="X50" s="208">
        <v>15087</v>
      </c>
      <c r="Y50" s="208">
        <v>15193</v>
      </c>
      <c r="Z50" s="208">
        <v>14105</v>
      </c>
      <c r="AA50" s="208">
        <v>13559</v>
      </c>
      <c r="AB50" s="208">
        <v>13029</v>
      </c>
      <c r="AC50" s="208">
        <v>13237</v>
      </c>
      <c r="AD50" s="208" t="s">
        <v>123</v>
      </c>
    </row>
    <row r="51" spans="1:30" x14ac:dyDescent="0.25">
      <c r="B51" s="6" t="s">
        <v>75</v>
      </c>
      <c r="C51" s="6" t="s">
        <v>75</v>
      </c>
      <c r="D51" s="7">
        <v>4057131</v>
      </c>
      <c r="E51" s="208">
        <v>483192</v>
      </c>
      <c r="F51" s="208">
        <v>440637</v>
      </c>
      <c r="G51" s="208">
        <v>398430</v>
      </c>
      <c r="H51" s="208">
        <v>363920</v>
      </c>
      <c r="I51" s="208">
        <v>330620</v>
      </c>
      <c r="J51" s="208">
        <v>319280</v>
      </c>
      <c r="K51" s="208">
        <v>293083</v>
      </c>
      <c r="L51" s="208">
        <v>286883</v>
      </c>
      <c r="M51" s="208">
        <v>297495</v>
      </c>
      <c r="N51" s="208">
        <v>282793</v>
      </c>
      <c r="O51" s="208">
        <v>275292</v>
      </c>
      <c r="P51" s="208">
        <v>275588</v>
      </c>
      <c r="Q51" s="208">
        <v>262758</v>
      </c>
      <c r="R51" s="208">
        <v>255573</v>
      </c>
      <c r="S51" s="208">
        <v>250885</v>
      </c>
      <c r="T51" s="208">
        <v>243507</v>
      </c>
      <c r="U51" s="208">
        <v>246221</v>
      </c>
      <c r="V51" s="208">
        <v>247081</v>
      </c>
      <c r="W51" s="208">
        <v>245200</v>
      </c>
      <c r="X51" s="208">
        <v>240469</v>
      </c>
      <c r="Y51" s="208">
        <v>237149</v>
      </c>
      <c r="Z51" s="208">
        <v>228645</v>
      </c>
      <c r="AA51" s="208">
        <v>225670</v>
      </c>
      <c r="AB51" s="208">
        <v>214882</v>
      </c>
      <c r="AC51" s="208">
        <v>210961</v>
      </c>
      <c r="AD51" s="208">
        <v>205863</v>
      </c>
    </row>
    <row r="52" spans="1:30" x14ac:dyDescent="0.25">
      <c r="B52" s="6" t="s">
        <v>76</v>
      </c>
      <c r="C52" s="6" t="s">
        <v>76</v>
      </c>
      <c r="D52" s="7">
        <v>4012860</v>
      </c>
      <c r="E52" s="208">
        <v>52637</v>
      </c>
      <c r="F52" s="208">
        <v>52861</v>
      </c>
      <c r="G52" s="208">
        <v>51573</v>
      </c>
      <c r="H52" s="208">
        <v>66335</v>
      </c>
      <c r="I52" s="208">
        <v>64617</v>
      </c>
      <c r="J52" s="208">
        <v>69827</v>
      </c>
      <c r="K52" s="208">
        <v>67241</v>
      </c>
      <c r="L52" s="208">
        <v>67882</v>
      </c>
      <c r="M52" s="208">
        <v>68760</v>
      </c>
      <c r="N52" s="208">
        <v>71742</v>
      </c>
      <c r="O52" s="208">
        <v>69307</v>
      </c>
      <c r="P52" s="208">
        <v>65526</v>
      </c>
      <c r="Q52" s="208">
        <v>69276</v>
      </c>
      <c r="R52" s="208">
        <v>71225</v>
      </c>
      <c r="S52" s="208">
        <v>84994</v>
      </c>
      <c r="T52" s="208">
        <v>85186</v>
      </c>
      <c r="U52" s="208">
        <v>82681</v>
      </c>
      <c r="V52" s="208">
        <v>90959</v>
      </c>
      <c r="W52" s="208">
        <v>90770</v>
      </c>
      <c r="X52" s="208">
        <v>96115</v>
      </c>
      <c r="Y52" s="208">
        <v>98033</v>
      </c>
      <c r="Z52" s="208">
        <v>85149</v>
      </c>
      <c r="AA52" s="208">
        <v>85950</v>
      </c>
      <c r="AB52" s="208">
        <v>82975</v>
      </c>
      <c r="AC52" s="208">
        <v>81048</v>
      </c>
      <c r="AD52" s="208">
        <v>87727</v>
      </c>
    </row>
    <row r="53" spans="1:30" x14ac:dyDescent="0.25">
      <c r="B53" s="6" t="s">
        <v>77</v>
      </c>
      <c r="C53" s="6" t="s">
        <v>78</v>
      </c>
      <c r="D53" s="7">
        <v>4061925</v>
      </c>
      <c r="E53" s="208">
        <v>23375</v>
      </c>
      <c r="F53" s="208">
        <v>21948</v>
      </c>
      <c r="G53" s="208">
        <v>20136</v>
      </c>
      <c r="H53" s="208">
        <v>20104</v>
      </c>
      <c r="I53" s="208">
        <v>18028</v>
      </c>
      <c r="J53" s="208">
        <v>17665</v>
      </c>
      <c r="K53" s="208">
        <v>16109</v>
      </c>
      <c r="L53" s="208">
        <v>15159</v>
      </c>
      <c r="M53" s="208">
        <v>14960</v>
      </c>
      <c r="N53" s="208">
        <v>14026</v>
      </c>
      <c r="O53" s="208">
        <v>12872</v>
      </c>
      <c r="P53" s="208">
        <v>10943</v>
      </c>
      <c r="Q53" s="208">
        <v>5537</v>
      </c>
      <c r="R53" s="208">
        <v>4635</v>
      </c>
      <c r="S53" s="208">
        <v>4254</v>
      </c>
      <c r="T53" s="208">
        <v>3612</v>
      </c>
      <c r="U53" s="208">
        <v>3382</v>
      </c>
      <c r="V53" s="208">
        <v>3030</v>
      </c>
      <c r="W53" s="208">
        <v>2703</v>
      </c>
      <c r="X53" s="208">
        <v>2693</v>
      </c>
      <c r="Y53" s="208">
        <v>2672</v>
      </c>
      <c r="Z53" s="208">
        <v>2551</v>
      </c>
      <c r="AA53" s="208">
        <v>2828</v>
      </c>
      <c r="AB53" s="208">
        <v>2400</v>
      </c>
      <c r="AC53" s="208">
        <v>2388</v>
      </c>
      <c r="AD53" s="208">
        <v>2309</v>
      </c>
    </row>
    <row r="54" spans="1:30" x14ac:dyDescent="0.25">
      <c r="B54" s="6" t="s">
        <v>79</v>
      </c>
      <c r="C54" s="6" t="s">
        <v>79</v>
      </c>
      <c r="D54" s="7">
        <v>4057132</v>
      </c>
      <c r="E54" s="208" t="s">
        <v>123</v>
      </c>
      <c r="F54" s="208" t="s">
        <v>123</v>
      </c>
      <c r="G54" s="208" t="s">
        <v>123</v>
      </c>
      <c r="H54" s="208">
        <v>203450</v>
      </c>
      <c r="I54" s="208">
        <v>188971</v>
      </c>
      <c r="J54" s="208">
        <v>184627</v>
      </c>
      <c r="K54" s="208">
        <v>179822</v>
      </c>
      <c r="L54" s="208">
        <v>176327</v>
      </c>
      <c r="M54" s="208">
        <v>138056</v>
      </c>
      <c r="N54" s="208">
        <v>114436</v>
      </c>
      <c r="O54" s="208">
        <v>105686</v>
      </c>
      <c r="P54" s="208">
        <v>104880</v>
      </c>
      <c r="Q54" s="208">
        <v>100838</v>
      </c>
      <c r="R54" s="208">
        <v>96613</v>
      </c>
      <c r="S54" s="208">
        <v>92946</v>
      </c>
      <c r="T54" s="208">
        <v>90780</v>
      </c>
      <c r="U54" s="208">
        <v>91649</v>
      </c>
      <c r="V54" s="208" t="s">
        <v>123</v>
      </c>
      <c r="W54" s="208">
        <v>83878</v>
      </c>
      <c r="X54" s="208">
        <v>80411</v>
      </c>
      <c r="Y54" s="208">
        <v>82909</v>
      </c>
      <c r="Z54" s="208">
        <v>80509</v>
      </c>
      <c r="AA54" s="208">
        <v>78729</v>
      </c>
      <c r="AB54" s="208">
        <v>76519</v>
      </c>
      <c r="AC54" s="208">
        <v>66483</v>
      </c>
      <c r="AD54" s="208">
        <v>64856</v>
      </c>
    </row>
    <row r="55" spans="1:30" x14ac:dyDescent="0.25">
      <c r="A55" s="1" t="s">
        <v>30</v>
      </c>
      <c r="B55" s="6" t="s">
        <v>80</v>
      </c>
      <c r="C55" s="6" t="s">
        <v>80</v>
      </c>
      <c r="D55" s="7">
        <v>4057115</v>
      </c>
      <c r="E55" s="208">
        <v>83438</v>
      </c>
      <c r="F55" s="208">
        <v>91234</v>
      </c>
      <c r="G55" s="208">
        <v>91862</v>
      </c>
      <c r="H55" s="208">
        <v>81249</v>
      </c>
      <c r="I55" s="208">
        <v>72482</v>
      </c>
      <c r="J55" s="208">
        <v>55531</v>
      </c>
      <c r="K55" s="208">
        <v>52968</v>
      </c>
      <c r="L55" s="208">
        <v>46816</v>
      </c>
      <c r="M55" s="208">
        <v>44684</v>
      </c>
      <c r="N55" s="208">
        <v>41512</v>
      </c>
      <c r="O55" s="208">
        <v>38056</v>
      </c>
      <c r="P55" s="208">
        <v>35317</v>
      </c>
      <c r="Q55" s="208">
        <v>33309</v>
      </c>
      <c r="R55" s="208">
        <v>30261</v>
      </c>
      <c r="S55" s="208">
        <v>25565</v>
      </c>
      <c r="T55" s="208">
        <v>24276</v>
      </c>
      <c r="U55" s="208">
        <v>25510</v>
      </c>
      <c r="V55" s="208">
        <v>23693</v>
      </c>
      <c r="W55" s="208">
        <v>22207</v>
      </c>
      <c r="X55" s="208" t="s">
        <v>123</v>
      </c>
      <c r="Y55" s="208">
        <v>16774</v>
      </c>
      <c r="Z55" s="208" t="s">
        <v>123</v>
      </c>
      <c r="AA55" s="208">
        <v>16645</v>
      </c>
      <c r="AB55" s="208">
        <v>15413</v>
      </c>
      <c r="AC55" s="208">
        <v>15817</v>
      </c>
      <c r="AD55" s="208">
        <v>15494</v>
      </c>
    </row>
    <row r="56" spans="1:30" x14ac:dyDescent="0.25">
      <c r="B56" s="6" t="s">
        <v>81</v>
      </c>
      <c r="C56" s="6" t="s">
        <v>81</v>
      </c>
      <c r="D56" s="7">
        <v>4064479</v>
      </c>
      <c r="E56" s="208">
        <v>4944</v>
      </c>
      <c r="F56" s="208">
        <v>4618</v>
      </c>
      <c r="G56" s="208">
        <v>4530</v>
      </c>
      <c r="H56" s="208">
        <v>4507</v>
      </c>
      <c r="I56" s="208">
        <v>4566</v>
      </c>
      <c r="J56" s="208">
        <v>8700</v>
      </c>
      <c r="K56" s="208">
        <v>8577</v>
      </c>
      <c r="L56" s="208">
        <v>8603</v>
      </c>
      <c r="M56" s="208">
        <v>8441</v>
      </c>
      <c r="N56" s="208">
        <v>8135</v>
      </c>
      <c r="O56" s="208">
        <v>6461</v>
      </c>
      <c r="P56" s="208">
        <v>5821</v>
      </c>
      <c r="Q56" s="208">
        <v>5407</v>
      </c>
      <c r="R56" s="208">
        <v>4909</v>
      </c>
      <c r="S56" s="208">
        <v>4489</v>
      </c>
      <c r="T56" s="208">
        <v>4428</v>
      </c>
      <c r="U56" s="208">
        <v>4474</v>
      </c>
      <c r="V56" s="208">
        <v>4274</v>
      </c>
      <c r="W56" s="208">
        <v>4077</v>
      </c>
      <c r="X56" s="208">
        <v>4603</v>
      </c>
      <c r="Y56" s="208">
        <v>4505</v>
      </c>
      <c r="Z56" s="208">
        <v>4431</v>
      </c>
      <c r="AA56" s="208">
        <v>4191</v>
      </c>
      <c r="AB56" s="208">
        <v>4020</v>
      </c>
      <c r="AC56" s="208">
        <v>3796</v>
      </c>
      <c r="AD56" s="208">
        <v>3070</v>
      </c>
    </row>
    <row r="57" spans="1:30" x14ac:dyDescent="0.25">
      <c r="B57" s="6" t="s">
        <v>82</v>
      </c>
      <c r="C57" s="6" t="s">
        <v>82</v>
      </c>
      <c r="D57" s="7">
        <v>4062025</v>
      </c>
      <c r="E57" s="208">
        <v>18335</v>
      </c>
      <c r="F57" s="208">
        <v>16985</v>
      </c>
      <c r="G57" s="208">
        <v>13973</v>
      </c>
      <c r="H57" s="208">
        <v>13515</v>
      </c>
      <c r="I57" s="208">
        <v>13393</v>
      </c>
      <c r="J57" s="208">
        <v>12599</v>
      </c>
      <c r="K57" s="208">
        <v>12362</v>
      </c>
      <c r="L57" s="208">
        <v>12411</v>
      </c>
      <c r="M57" s="208">
        <v>12509</v>
      </c>
      <c r="N57" s="208">
        <v>12284</v>
      </c>
      <c r="O57" s="208">
        <v>11889</v>
      </c>
      <c r="P57" s="208">
        <v>11789</v>
      </c>
      <c r="Q57" s="208">
        <v>11301</v>
      </c>
      <c r="R57" s="208">
        <v>10668</v>
      </c>
      <c r="S57" s="208">
        <v>10436</v>
      </c>
      <c r="T57" s="208">
        <v>10353</v>
      </c>
      <c r="U57" s="208">
        <v>10162</v>
      </c>
      <c r="V57" s="208">
        <v>9921</v>
      </c>
      <c r="W57" s="208">
        <v>9549</v>
      </c>
      <c r="X57" s="208">
        <v>9380</v>
      </c>
      <c r="Y57" s="208">
        <v>9065</v>
      </c>
      <c r="Z57" s="208">
        <v>8903</v>
      </c>
      <c r="AA57" s="208">
        <v>5646</v>
      </c>
      <c r="AB57" s="208">
        <v>5546</v>
      </c>
      <c r="AC57" s="208">
        <v>5399</v>
      </c>
      <c r="AD57" s="208">
        <v>5215</v>
      </c>
    </row>
    <row r="58" spans="1:30" x14ac:dyDescent="0.25">
      <c r="B58" s="6" t="s">
        <v>83</v>
      </c>
      <c r="C58" s="6" t="s">
        <v>83</v>
      </c>
      <c r="D58" s="7">
        <v>4064481</v>
      </c>
      <c r="E58" s="208" t="s">
        <v>123</v>
      </c>
      <c r="F58" s="208" t="s">
        <v>123</v>
      </c>
      <c r="G58" s="208">
        <v>114467</v>
      </c>
      <c r="H58" s="208">
        <v>111656</v>
      </c>
      <c r="I58" s="208">
        <v>107189</v>
      </c>
      <c r="J58" s="208">
        <v>99283</v>
      </c>
      <c r="K58" s="208">
        <v>97861</v>
      </c>
      <c r="L58" s="208">
        <v>95303</v>
      </c>
      <c r="M58" s="208">
        <v>84278</v>
      </c>
      <c r="N58" s="208">
        <v>82303</v>
      </c>
      <c r="O58" s="208">
        <v>72316</v>
      </c>
      <c r="P58" s="208">
        <v>60957</v>
      </c>
      <c r="Q58" s="208">
        <v>53532</v>
      </c>
      <c r="R58" s="208">
        <v>50533</v>
      </c>
      <c r="S58" s="208">
        <v>51298</v>
      </c>
      <c r="T58" s="208">
        <v>52118</v>
      </c>
      <c r="U58" s="208">
        <v>74450</v>
      </c>
      <c r="V58" s="208">
        <v>73882</v>
      </c>
      <c r="W58" s="208">
        <v>80793</v>
      </c>
      <c r="X58" s="208">
        <v>81070</v>
      </c>
      <c r="Y58" s="208">
        <v>77476</v>
      </c>
      <c r="Z58" s="208">
        <v>75054</v>
      </c>
      <c r="AA58" s="208">
        <v>52441</v>
      </c>
      <c r="AB58" s="208">
        <v>85622</v>
      </c>
      <c r="AC58" s="208">
        <v>75757</v>
      </c>
      <c r="AD58" s="208" t="s">
        <v>123</v>
      </c>
    </row>
    <row r="59" spans="1:30" x14ac:dyDescent="0.25">
      <c r="A59" s="1" t="s">
        <v>30</v>
      </c>
      <c r="B59" s="6" t="s">
        <v>84</v>
      </c>
      <c r="C59" s="6" t="s">
        <v>84</v>
      </c>
      <c r="D59" s="7">
        <v>4057093</v>
      </c>
      <c r="E59" s="208">
        <v>25510</v>
      </c>
      <c r="F59" s="208">
        <v>17716</v>
      </c>
      <c r="G59" s="208">
        <v>16488</v>
      </c>
      <c r="H59" s="208">
        <v>14821</v>
      </c>
      <c r="I59" s="208">
        <v>13899</v>
      </c>
      <c r="J59" s="208">
        <v>13612</v>
      </c>
      <c r="K59" s="208">
        <v>14492</v>
      </c>
      <c r="L59" s="208">
        <v>14113</v>
      </c>
      <c r="M59" s="208">
        <v>12631</v>
      </c>
      <c r="N59" s="208">
        <v>11844</v>
      </c>
      <c r="O59" s="208">
        <v>10904</v>
      </c>
      <c r="P59" s="208">
        <v>10438</v>
      </c>
      <c r="Q59" s="208">
        <v>9328</v>
      </c>
      <c r="R59" s="208">
        <v>8641</v>
      </c>
      <c r="S59" s="208">
        <v>7676</v>
      </c>
      <c r="T59" s="208">
        <v>7189</v>
      </c>
      <c r="U59" s="208">
        <v>6494</v>
      </c>
      <c r="V59" s="208">
        <v>6280</v>
      </c>
      <c r="W59" s="208">
        <v>5893</v>
      </c>
      <c r="X59" s="208">
        <v>6570</v>
      </c>
      <c r="Y59" s="208">
        <v>7148</v>
      </c>
      <c r="Z59" s="208">
        <v>7913</v>
      </c>
      <c r="AA59" s="208">
        <v>8109</v>
      </c>
      <c r="AB59" s="208">
        <v>7691</v>
      </c>
      <c r="AC59" s="208">
        <v>7746</v>
      </c>
      <c r="AD59" s="208">
        <v>7619</v>
      </c>
    </row>
    <row r="60" spans="1:30" x14ac:dyDescent="0.25">
      <c r="B60" s="6" t="s">
        <v>85</v>
      </c>
      <c r="C60" s="6" t="s">
        <v>85</v>
      </c>
      <c r="D60" s="7">
        <v>4004218</v>
      </c>
      <c r="E60" s="208">
        <v>491732</v>
      </c>
      <c r="F60" s="208">
        <v>484183</v>
      </c>
      <c r="G60" s="208">
        <v>460316</v>
      </c>
      <c r="H60" s="208">
        <v>393077</v>
      </c>
      <c r="I60" s="208">
        <v>284998</v>
      </c>
      <c r="J60" s="208">
        <v>226029</v>
      </c>
      <c r="K60" s="208">
        <v>204572</v>
      </c>
      <c r="L60" s="208">
        <v>183776</v>
      </c>
      <c r="M60" s="208">
        <v>121403</v>
      </c>
      <c r="N60" s="208">
        <v>92789</v>
      </c>
      <c r="O60" s="208">
        <v>80682</v>
      </c>
      <c r="P60" s="208">
        <v>67539</v>
      </c>
      <c r="Q60" s="208">
        <v>67240</v>
      </c>
      <c r="R60" s="208">
        <v>65781</v>
      </c>
      <c r="S60" s="208">
        <v>66757</v>
      </c>
      <c r="T60" s="208">
        <v>68263</v>
      </c>
      <c r="U60" s="208">
        <v>68490</v>
      </c>
      <c r="V60" s="208">
        <v>69203</v>
      </c>
      <c r="W60" s="208">
        <v>69059</v>
      </c>
      <c r="X60" s="208">
        <v>68076</v>
      </c>
      <c r="Y60" s="208">
        <v>68288</v>
      </c>
      <c r="Z60" s="208">
        <v>70259</v>
      </c>
      <c r="AA60" s="208">
        <v>68438</v>
      </c>
      <c r="AB60" s="208">
        <v>67475</v>
      </c>
      <c r="AC60" s="208">
        <v>68285</v>
      </c>
      <c r="AD60" s="208">
        <v>67105</v>
      </c>
    </row>
    <row r="61" spans="1:30" x14ac:dyDescent="0.25">
      <c r="A61" s="1" t="s">
        <v>30</v>
      </c>
      <c r="B61" s="6" t="s">
        <v>86</v>
      </c>
      <c r="C61" s="6" t="s">
        <v>87</v>
      </c>
      <c r="D61" s="7">
        <v>4062222</v>
      </c>
      <c r="E61" s="208">
        <v>33504</v>
      </c>
      <c r="F61" s="208">
        <v>28643</v>
      </c>
      <c r="G61" s="208">
        <v>28028</v>
      </c>
      <c r="H61" s="208">
        <v>21551</v>
      </c>
      <c r="I61" s="208">
        <v>17970</v>
      </c>
      <c r="J61" s="208">
        <v>16593</v>
      </c>
      <c r="K61" s="208">
        <v>15850</v>
      </c>
      <c r="L61" s="208">
        <v>17039</v>
      </c>
      <c r="M61" s="208">
        <v>16545</v>
      </c>
      <c r="N61" s="208">
        <v>13787</v>
      </c>
      <c r="O61" s="208">
        <v>13152</v>
      </c>
      <c r="P61" s="208">
        <v>12635</v>
      </c>
      <c r="Q61" s="208">
        <v>11897</v>
      </c>
      <c r="R61" s="208">
        <v>10842</v>
      </c>
      <c r="S61" s="208">
        <v>10532</v>
      </c>
      <c r="T61" s="208">
        <v>11325</v>
      </c>
      <c r="U61" s="208">
        <v>10182</v>
      </c>
      <c r="V61" s="208">
        <v>8663</v>
      </c>
      <c r="W61" s="208">
        <v>8286</v>
      </c>
      <c r="X61" s="208">
        <v>8026</v>
      </c>
      <c r="Y61" s="208" t="s">
        <v>123</v>
      </c>
      <c r="Z61" s="208">
        <v>4964</v>
      </c>
      <c r="AA61" s="208">
        <v>4920</v>
      </c>
      <c r="AB61" s="208">
        <v>4989</v>
      </c>
      <c r="AC61" s="208">
        <v>5000</v>
      </c>
      <c r="AD61" s="208">
        <v>4988</v>
      </c>
    </row>
    <row r="62" spans="1:30" x14ac:dyDescent="0.25">
      <c r="B62" s="6" t="s">
        <v>88</v>
      </c>
      <c r="C62" s="6" t="s">
        <v>89</v>
      </c>
      <c r="D62" s="7">
        <v>4057135</v>
      </c>
      <c r="E62" s="208">
        <v>132815</v>
      </c>
      <c r="F62" s="208">
        <v>115565</v>
      </c>
      <c r="G62" s="208">
        <v>109666</v>
      </c>
      <c r="H62" s="208">
        <v>96354</v>
      </c>
      <c r="I62" s="208">
        <v>94039</v>
      </c>
      <c r="J62" s="208">
        <v>95283</v>
      </c>
      <c r="K62" s="208">
        <v>95148</v>
      </c>
      <c r="L62" s="208">
        <v>84661</v>
      </c>
      <c r="M62" s="208">
        <v>78118</v>
      </c>
      <c r="N62" s="208">
        <v>64672</v>
      </c>
      <c r="O62" s="208">
        <v>64615</v>
      </c>
      <c r="P62" s="208">
        <v>66402</v>
      </c>
      <c r="Q62" s="208">
        <v>66657</v>
      </c>
      <c r="R62" s="208">
        <v>94706</v>
      </c>
      <c r="S62" s="208">
        <v>95617</v>
      </c>
      <c r="T62" s="208">
        <v>91870</v>
      </c>
      <c r="U62" s="208">
        <v>127227</v>
      </c>
      <c r="V62" s="208">
        <v>126752</v>
      </c>
      <c r="W62" s="208">
        <v>119568</v>
      </c>
      <c r="X62" s="208">
        <v>116468</v>
      </c>
      <c r="Y62" s="208">
        <v>108984</v>
      </c>
      <c r="Z62" s="208">
        <v>113248</v>
      </c>
      <c r="AA62" s="208">
        <v>106759</v>
      </c>
      <c r="AB62" s="208">
        <v>100903</v>
      </c>
      <c r="AC62" s="208">
        <v>100622</v>
      </c>
      <c r="AD62" s="208">
        <v>95618</v>
      </c>
    </row>
    <row r="63" spans="1:30" x14ac:dyDescent="0.25">
      <c r="B63" s="6" t="s">
        <v>90</v>
      </c>
      <c r="C63" s="6" t="s">
        <v>90</v>
      </c>
      <c r="D63" s="7">
        <v>4063341</v>
      </c>
      <c r="E63" s="208">
        <v>71808</v>
      </c>
      <c r="F63" s="208">
        <v>46965</v>
      </c>
      <c r="G63" s="208">
        <v>42059</v>
      </c>
      <c r="H63" s="208">
        <v>39196</v>
      </c>
      <c r="I63" s="208">
        <v>38838</v>
      </c>
      <c r="J63" s="208">
        <v>47356</v>
      </c>
      <c r="K63" s="208">
        <v>36557</v>
      </c>
      <c r="L63" s="208">
        <v>42636</v>
      </c>
      <c r="M63" s="208">
        <v>38807</v>
      </c>
      <c r="N63" s="208">
        <v>37210</v>
      </c>
      <c r="O63" s="208">
        <v>36047</v>
      </c>
      <c r="P63" s="208">
        <v>38040</v>
      </c>
      <c r="Q63" s="208">
        <v>43266</v>
      </c>
      <c r="R63" s="208">
        <v>42233</v>
      </c>
      <c r="S63" s="208">
        <v>41199</v>
      </c>
      <c r="T63" s="208">
        <v>40843</v>
      </c>
      <c r="U63" s="208">
        <v>39484</v>
      </c>
      <c r="V63" s="208">
        <v>40426</v>
      </c>
      <c r="W63" s="208">
        <v>50350</v>
      </c>
      <c r="X63" s="208">
        <v>47078</v>
      </c>
      <c r="Y63" s="208">
        <v>41668</v>
      </c>
      <c r="Z63" s="208">
        <v>48732</v>
      </c>
      <c r="AA63" s="208">
        <v>43886</v>
      </c>
      <c r="AB63" s="208">
        <v>42182</v>
      </c>
      <c r="AC63" s="208">
        <v>39448</v>
      </c>
      <c r="AD63" s="208">
        <v>36522</v>
      </c>
    </row>
    <row r="64" spans="1:30" x14ac:dyDescent="0.25">
      <c r="A64" s="1" t="s">
        <v>30</v>
      </c>
      <c r="B64" s="6" t="s">
        <v>91</v>
      </c>
      <c r="C64" s="6" t="s">
        <v>91</v>
      </c>
      <c r="D64" s="7">
        <v>4083575</v>
      </c>
      <c r="E64" s="208">
        <v>243986</v>
      </c>
      <c r="F64" s="208">
        <v>239882</v>
      </c>
      <c r="G64" s="208">
        <v>205164</v>
      </c>
      <c r="H64" s="208">
        <v>187225</v>
      </c>
      <c r="I64" s="208">
        <v>186841</v>
      </c>
      <c r="J64" s="208">
        <v>186187</v>
      </c>
      <c r="K64" s="208">
        <v>175422</v>
      </c>
      <c r="L64" s="208">
        <v>167148</v>
      </c>
      <c r="M64" s="208">
        <v>165211</v>
      </c>
      <c r="N64" s="208">
        <v>168404</v>
      </c>
      <c r="O64" s="208">
        <v>167653</v>
      </c>
      <c r="P64" s="208">
        <v>165936</v>
      </c>
      <c r="Q64" s="208">
        <v>153984</v>
      </c>
      <c r="R64" s="208">
        <v>155557</v>
      </c>
      <c r="S64" s="208">
        <v>155611</v>
      </c>
      <c r="T64" s="208">
        <v>158938</v>
      </c>
      <c r="U64" s="208">
        <v>144970</v>
      </c>
      <c r="V64" s="208">
        <v>141863</v>
      </c>
      <c r="W64" s="208">
        <v>137848</v>
      </c>
      <c r="X64" s="208">
        <v>108167</v>
      </c>
      <c r="Y64" s="208" t="s">
        <v>123</v>
      </c>
      <c r="Z64" s="208" t="s">
        <v>123</v>
      </c>
      <c r="AA64" s="208" t="s">
        <v>123</v>
      </c>
      <c r="AB64" s="208" t="s">
        <v>123</v>
      </c>
      <c r="AC64" s="208" t="s">
        <v>123</v>
      </c>
      <c r="AD64" s="208" t="s">
        <v>123</v>
      </c>
    </row>
    <row r="65" spans="1:30" x14ac:dyDescent="0.25">
      <c r="B65" s="6" t="s">
        <v>92</v>
      </c>
      <c r="C65" s="6" t="s">
        <v>92</v>
      </c>
      <c r="D65" s="7">
        <v>4062303</v>
      </c>
      <c r="E65" s="208">
        <v>553</v>
      </c>
      <c r="F65" s="208">
        <v>562</v>
      </c>
      <c r="G65" s="208">
        <v>542</v>
      </c>
      <c r="H65" s="208">
        <v>486</v>
      </c>
      <c r="I65" s="208" t="s">
        <v>123</v>
      </c>
      <c r="J65" s="208">
        <v>0</v>
      </c>
      <c r="K65" s="208">
        <v>0</v>
      </c>
      <c r="L65" s="208">
        <v>0</v>
      </c>
      <c r="M65" s="208">
        <v>0</v>
      </c>
      <c r="N65" s="208">
        <v>0</v>
      </c>
      <c r="O65" s="208">
        <v>0</v>
      </c>
      <c r="P65" s="208">
        <v>0</v>
      </c>
      <c r="Q65" s="208">
        <v>0</v>
      </c>
      <c r="R65" s="208">
        <v>0</v>
      </c>
      <c r="S65" s="208">
        <v>0</v>
      </c>
      <c r="T65" s="208">
        <v>0</v>
      </c>
      <c r="U65" s="208">
        <v>0</v>
      </c>
      <c r="V65" s="208">
        <v>8</v>
      </c>
      <c r="W65" s="208">
        <v>16</v>
      </c>
      <c r="X65" s="208">
        <v>0</v>
      </c>
      <c r="Y65" s="208">
        <v>0</v>
      </c>
      <c r="Z65" s="208" t="s">
        <v>123</v>
      </c>
      <c r="AA65" s="208" t="s">
        <v>123</v>
      </c>
      <c r="AB65" s="208" t="s">
        <v>123</v>
      </c>
      <c r="AC65" s="208" t="s">
        <v>123</v>
      </c>
      <c r="AD65" s="208" t="s">
        <v>123</v>
      </c>
    </row>
    <row r="66" spans="1:30" x14ac:dyDescent="0.25">
      <c r="B66" s="6" t="s">
        <v>93</v>
      </c>
      <c r="C66" s="6" t="s">
        <v>93</v>
      </c>
      <c r="D66" s="7">
        <v>4083581</v>
      </c>
      <c r="E66" s="208">
        <v>589</v>
      </c>
      <c r="F66" s="208">
        <v>601</v>
      </c>
      <c r="G66" s="208">
        <v>619</v>
      </c>
      <c r="H66" s="208">
        <v>630</v>
      </c>
      <c r="I66" s="208">
        <v>648</v>
      </c>
      <c r="J66" s="208">
        <v>648</v>
      </c>
      <c r="K66" s="208">
        <v>664</v>
      </c>
      <c r="L66" s="208">
        <v>980</v>
      </c>
      <c r="M66" s="208">
        <v>989</v>
      </c>
      <c r="N66" s="208">
        <v>989</v>
      </c>
      <c r="O66" s="208">
        <v>866</v>
      </c>
      <c r="P66" s="208">
        <v>859</v>
      </c>
      <c r="Q66" s="208">
        <v>840</v>
      </c>
      <c r="R66" s="208">
        <v>857</v>
      </c>
      <c r="S66" s="208">
        <v>835</v>
      </c>
      <c r="T66" s="208">
        <v>771</v>
      </c>
      <c r="U66" s="208">
        <v>768</v>
      </c>
      <c r="V66" s="208">
        <v>804</v>
      </c>
      <c r="W66" s="208" t="s">
        <v>123</v>
      </c>
      <c r="X66" s="208">
        <v>784</v>
      </c>
      <c r="Y66" s="208">
        <v>705</v>
      </c>
      <c r="Z66" s="208" t="s">
        <v>123</v>
      </c>
      <c r="AA66" s="208" t="s">
        <v>123</v>
      </c>
      <c r="AB66" s="208" t="s">
        <v>123</v>
      </c>
      <c r="AC66" s="208" t="s">
        <v>123</v>
      </c>
      <c r="AD66" s="208" t="s">
        <v>123</v>
      </c>
    </row>
    <row r="67" spans="1:30" x14ac:dyDescent="0.25">
      <c r="B67" s="6" t="s">
        <v>94</v>
      </c>
      <c r="C67" s="6" t="s">
        <v>94</v>
      </c>
      <c r="D67" s="7">
        <v>4057139</v>
      </c>
      <c r="E67" s="208">
        <v>86608</v>
      </c>
      <c r="F67" s="208">
        <v>83033</v>
      </c>
      <c r="G67" s="208">
        <v>96425</v>
      </c>
      <c r="H67" s="208">
        <v>95344</v>
      </c>
      <c r="I67" s="208">
        <v>87888</v>
      </c>
      <c r="J67" s="208">
        <v>84277</v>
      </c>
      <c r="K67" s="208">
        <v>79390</v>
      </c>
      <c r="L67" s="208">
        <v>74563</v>
      </c>
      <c r="M67" s="208">
        <v>72424</v>
      </c>
      <c r="N67" s="208">
        <v>70344</v>
      </c>
      <c r="O67" s="208">
        <v>69754</v>
      </c>
      <c r="P67" s="208">
        <v>69304</v>
      </c>
      <c r="Q67" s="208">
        <v>67025</v>
      </c>
      <c r="R67" s="208">
        <v>61881</v>
      </c>
      <c r="S67" s="208">
        <v>71102</v>
      </c>
      <c r="T67" s="208">
        <v>67977</v>
      </c>
      <c r="U67" s="208">
        <v>68249</v>
      </c>
      <c r="V67" s="208">
        <v>86596</v>
      </c>
      <c r="W67" s="208">
        <v>99045</v>
      </c>
      <c r="X67" s="208">
        <v>95915</v>
      </c>
      <c r="Y67" s="208">
        <v>80902</v>
      </c>
      <c r="Z67" s="208">
        <v>90219</v>
      </c>
      <c r="AA67" s="208">
        <v>81543</v>
      </c>
      <c r="AB67" s="208">
        <v>74915</v>
      </c>
      <c r="AC67" s="208">
        <v>65559</v>
      </c>
      <c r="AD67" s="208">
        <v>58764</v>
      </c>
    </row>
    <row r="68" spans="1:30" x14ac:dyDescent="0.25">
      <c r="A68" s="1" t="s">
        <v>30</v>
      </c>
      <c r="B68" s="6" t="s">
        <v>95</v>
      </c>
      <c r="C68" s="6" t="s">
        <v>95</v>
      </c>
      <c r="D68" s="7">
        <v>4057095</v>
      </c>
      <c r="E68" s="208" t="s">
        <v>123</v>
      </c>
      <c r="F68" s="208">
        <v>190497</v>
      </c>
      <c r="G68" s="208">
        <v>183488</v>
      </c>
      <c r="H68" s="208">
        <v>141813</v>
      </c>
      <c r="I68" s="208">
        <v>94431</v>
      </c>
      <c r="J68" s="208">
        <v>82569</v>
      </c>
      <c r="K68" s="208">
        <v>92993</v>
      </c>
      <c r="L68" s="208">
        <v>95892</v>
      </c>
      <c r="M68" s="208">
        <v>104061</v>
      </c>
      <c r="N68" s="208">
        <v>108070</v>
      </c>
      <c r="O68" s="208">
        <v>112851</v>
      </c>
      <c r="P68" s="208">
        <v>126294</v>
      </c>
      <c r="Q68" s="208">
        <v>150659</v>
      </c>
      <c r="R68" s="208">
        <v>142874</v>
      </c>
      <c r="S68" s="208">
        <v>147608</v>
      </c>
      <c r="T68" s="208">
        <v>152764</v>
      </c>
      <c r="U68" s="208">
        <v>145124</v>
      </c>
      <c r="V68" s="208">
        <v>140252</v>
      </c>
      <c r="W68" s="208">
        <v>131392</v>
      </c>
      <c r="X68" s="208">
        <v>128928</v>
      </c>
      <c r="Y68" s="208">
        <v>117871</v>
      </c>
      <c r="Z68" s="208">
        <v>105904</v>
      </c>
      <c r="AA68" s="208">
        <v>52355</v>
      </c>
      <c r="AB68" s="208">
        <v>51307</v>
      </c>
      <c r="AC68" s="208">
        <v>42081</v>
      </c>
      <c r="AD68" s="208">
        <v>39315</v>
      </c>
    </row>
    <row r="69" spans="1:30" x14ac:dyDescent="0.25">
      <c r="B69" s="6" t="s">
        <v>96</v>
      </c>
      <c r="C69" s="6" t="s">
        <v>96</v>
      </c>
      <c r="D69" s="7">
        <v>4062485</v>
      </c>
      <c r="E69" s="208">
        <v>41470</v>
      </c>
      <c r="F69" s="208">
        <v>41428</v>
      </c>
      <c r="G69" s="208">
        <v>25700</v>
      </c>
      <c r="H69" s="208">
        <v>23832</v>
      </c>
      <c r="I69" s="208">
        <v>34434</v>
      </c>
      <c r="J69" s="208">
        <v>32812</v>
      </c>
      <c r="K69" s="208">
        <v>32571</v>
      </c>
      <c r="L69" s="208">
        <v>36261</v>
      </c>
      <c r="M69" s="208">
        <v>34698</v>
      </c>
      <c r="N69" s="208">
        <v>32711</v>
      </c>
      <c r="O69" s="208">
        <v>32031</v>
      </c>
      <c r="P69" s="208">
        <v>22344</v>
      </c>
      <c r="Q69" s="208">
        <v>49741</v>
      </c>
      <c r="R69" s="208">
        <v>47919</v>
      </c>
      <c r="S69" s="208">
        <v>42998</v>
      </c>
      <c r="T69" s="208">
        <v>42359</v>
      </c>
      <c r="U69" s="208">
        <v>50553</v>
      </c>
      <c r="V69" s="208">
        <v>51143</v>
      </c>
      <c r="W69" s="208">
        <v>56500</v>
      </c>
      <c r="X69" s="208">
        <v>57022</v>
      </c>
      <c r="Y69" s="208">
        <v>58554</v>
      </c>
      <c r="Z69" s="208">
        <v>59228</v>
      </c>
      <c r="AA69" s="208">
        <v>59948</v>
      </c>
      <c r="AB69" s="208">
        <v>86890</v>
      </c>
      <c r="AC69" s="208">
        <v>113287</v>
      </c>
      <c r="AD69" s="208">
        <v>97190</v>
      </c>
    </row>
    <row r="70" spans="1:30" x14ac:dyDescent="0.25">
      <c r="B70" s="6" t="s">
        <v>97</v>
      </c>
      <c r="C70" s="6" t="s">
        <v>97</v>
      </c>
      <c r="D70" s="7">
        <v>4057140</v>
      </c>
      <c r="E70" s="208">
        <v>267552</v>
      </c>
      <c r="F70" s="208">
        <v>260659</v>
      </c>
      <c r="G70" s="208">
        <v>262091</v>
      </c>
      <c r="H70" s="208">
        <v>265598</v>
      </c>
      <c r="I70" s="208">
        <v>290396</v>
      </c>
      <c r="J70" s="208">
        <v>241412</v>
      </c>
      <c r="K70" s="208">
        <v>225741</v>
      </c>
      <c r="L70" s="208">
        <v>208902</v>
      </c>
      <c r="M70" s="208">
        <v>199297</v>
      </c>
      <c r="N70" s="208">
        <v>200214</v>
      </c>
      <c r="O70" s="208">
        <v>188259</v>
      </c>
      <c r="P70" s="208">
        <v>183106</v>
      </c>
      <c r="Q70" s="208">
        <v>173982</v>
      </c>
      <c r="R70" s="208">
        <v>125589</v>
      </c>
      <c r="S70" s="208">
        <v>122166</v>
      </c>
      <c r="T70" s="208">
        <v>168747</v>
      </c>
      <c r="U70" s="208">
        <v>161179</v>
      </c>
      <c r="V70" s="208">
        <v>136905</v>
      </c>
      <c r="W70" s="208">
        <v>142668</v>
      </c>
      <c r="X70" s="208">
        <v>137650</v>
      </c>
      <c r="Y70" s="208">
        <v>124337</v>
      </c>
      <c r="Z70" s="208">
        <v>119794</v>
      </c>
      <c r="AA70" s="208">
        <v>113485</v>
      </c>
      <c r="AB70" s="208">
        <v>97342</v>
      </c>
      <c r="AC70" s="208">
        <v>97740</v>
      </c>
      <c r="AD70" s="208">
        <v>78239</v>
      </c>
    </row>
    <row r="71" spans="1:30" x14ac:dyDescent="0.25">
      <c r="A71" s="1" t="s">
        <v>30</v>
      </c>
      <c r="B71" s="6" t="s">
        <v>98</v>
      </c>
      <c r="C71" s="6" t="s">
        <v>99</v>
      </c>
      <c r="D71" s="7">
        <v>4057096</v>
      </c>
      <c r="E71" s="208">
        <v>7907</v>
      </c>
      <c r="F71" s="208">
        <v>7386</v>
      </c>
      <c r="G71" s="208">
        <v>6862</v>
      </c>
      <c r="H71" s="208">
        <v>6495</v>
      </c>
      <c r="I71" s="208">
        <v>6220</v>
      </c>
      <c r="J71" s="208">
        <v>5909</v>
      </c>
      <c r="K71" s="208">
        <v>5654</v>
      </c>
      <c r="L71" s="208">
        <v>5351</v>
      </c>
      <c r="M71" s="208">
        <v>4166</v>
      </c>
      <c r="N71" s="208">
        <v>3804</v>
      </c>
      <c r="O71" s="208">
        <v>3721</v>
      </c>
      <c r="P71" s="208">
        <v>3735</v>
      </c>
      <c r="Q71" s="208">
        <v>3640</v>
      </c>
      <c r="R71" s="208">
        <v>3543</v>
      </c>
      <c r="S71" s="208">
        <v>3550</v>
      </c>
      <c r="T71" s="208">
        <v>3362</v>
      </c>
      <c r="U71" s="208">
        <v>3175</v>
      </c>
      <c r="V71" s="208" t="s">
        <v>123</v>
      </c>
      <c r="W71" s="208" t="s">
        <v>123</v>
      </c>
      <c r="X71" s="208">
        <v>3993</v>
      </c>
      <c r="Y71" s="208">
        <v>3877</v>
      </c>
      <c r="Z71" s="208">
        <v>3699</v>
      </c>
      <c r="AA71" s="208">
        <v>3497</v>
      </c>
      <c r="AB71" s="208">
        <v>3254</v>
      </c>
      <c r="AC71" s="208">
        <v>3197</v>
      </c>
      <c r="AD71" s="208">
        <v>2917</v>
      </c>
    </row>
    <row r="72" spans="1:30" x14ac:dyDescent="0.25">
      <c r="B72" s="6" t="s">
        <v>100</v>
      </c>
      <c r="C72" s="6" t="s">
        <v>100</v>
      </c>
      <c r="D72" s="7">
        <v>4057097</v>
      </c>
      <c r="E72" s="208" t="s">
        <v>123</v>
      </c>
      <c r="F72" s="208" t="s">
        <v>123</v>
      </c>
      <c r="G72" s="208">
        <v>14559</v>
      </c>
      <c r="H72" s="208">
        <v>14055</v>
      </c>
      <c r="I72" s="208">
        <v>13701</v>
      </c>
      <c r="J72" s="208">
        <v>11634</v>
      </c>
      <c r="K72" s="208">
        <v>11411</v>
      </c>
      <c r="L72" s="208">
        <v>10659</v>
      </c>
      <c r="M72" s="208">
        <v>10026</v>
      </c>
      <c r="N72" s="208">
        <v>9689</v>
      </c>
      <c r="O72" s="208">
        <v>9557</v>
      </c>
      <c r="P72" s="208">
        <v>10139</v>
      </c>
      <c r="Q72" s="208">
        <v>10193</v>
      </c>
      <c r="R72" s="208">
        <v>10691</v>
      </c>
      <c r="S72" s="208">
        <v>10472</v>
      </c>
      <c r="T72" s="208">
        <v>10306</v>
      </c>
      <c r="U72" s="208">
        <v>10013</v>
      </c>
      <c r="V72" s="208">
        <v>10207</v>
      </c>
      <c r="W72" s="208">
        <v>9723</v>
      </c>
      <c r="X72" s="208">
        <v>9279</v>
      </c>
      <c r="Y72" s="208">
        <v>8578</v>
      </c>
      <c r="Z72" s="208">
        <v>8624</v>
      </c>
      <c r="AA72" s="208">
        <v>8596</v>
      </c>
      <c r="AB72" s="208">
        <v>7799</v>
      </c>
      <c r="AC72" s="208">
        <v>8018</v>
      </c>
      <c r="AD72" s="208">
        <v>7679</v>
      </c>
    </row>
    <row r="73" spans="1:30" x14ac:dyDescent="0.25">
      <c r="B73" s="6" t="s">
        <v>101</v>
      </c>
      <c r="C73" s="6" t="s">
        <v>101</v>
      </c>
      <c r="D73" s="7">
        <v>4057098</v>
      </c>
      <c r="E73" s="208" t="s">
        <v>123</v>
      </c>
      <c r="F73" s="208">
        <v>3824</v>
      </c>
      <c r="G73" s="208">
        <v>3887</v>
      </c>
      <c r="H73" s="208">
        <v>3976</v>
      </c>
      <c r="I73" s="208">
        <v>4703</v>
      </c>
      <c r="J73" s="208">
        <v>3945</v>
      </c>
      <c r="K73" s="208">
        <v>3742</v>
      </c>
      <c r="L73" s="208">
        <v>3862</v>
      </c>
      <c r="M73" s="208">
        <v>3740</v>
      </c>
      <c r="N73" s="208">
        <v>2906</v>
      </c>
      <c r="O73" s="208">
        <v>2918</v>
      </c>
      <c r="P73" s="208">
        <v>3230</v>
      </c>
      <c r="Q73" s="208">
        <v>3251</v>
      </c>
      <c r="R73" s="208">
        <v>3585</v>
      </c>
      <c r="S73" s="208">
        <v>3421</v>
      </c>
      <c r="T73" s="208">
        <v>3812</v>
      </c>
      <c r="U73" s="208">
        <v>3140</v>
      </c>
      <c r="V73" s="208">
        <v>3236</v>
      </c>
      <c r="W73" s="208">
        <v>2550</v>
      </c>
      <c r="X73" s="208" t="s">
        <v>123</v>
      </c>
      <c r="Y73" s="208">
        <v>2762</v>
      </c>
      <c r="Z73" s="208">
        <v>2805</v>
      </c>
      <c r="AA73" s="208">
        <v>2939</v>
      </c>
      <c r="AB73" s="208">
        <v>3082</v>
      </c>
      <c r="AC73" s="208">
        <v>2916</v>
      </c>
      <c r="AD73" s="208">
        <v>2906</v>
      </c>
    </row>
    <row r="74" spans="1:30" x14ac:dyDescent="0.25">
      <c r="A74" s="1" t="s">
        <v>30</v>
      </c>
      <c r="B74" s="6" t="s">
        <v>102</v>
      </c>
      <c r="C74" s="6" t="s">
        <v>102</v>
      </c>
      <c r="D74" s="7">
        <v>4063023</v>
      </c>
      <c r="E74" s="208" t="s">
        <v>123</v>
      </c>
      <c r="F74" s="208">
        <v>238379</v>
      </c>
      <c r="G74" s="208">
        <v>241254</v>
      </c>
      <c r="H74" s="208">
        <v>175755</v>
      </c>
      <c r="I74" s="208">
        <v>169620</v>
      </c>
      <c r="J74" s="208">
        <v>163841</v>
      </c>
      <c r="K74" s="208">
        <v>103567</v>
      </c>
      <c r="L74" s="208">
        <v>53162</v>
      </c>
      <c r="M74" s="208">
        <v>50925</v>
      </c>
      <c r="N74" s="208">
        <v>51621</v>
      </c>
      <c r="O74" s="208">
        <v>50862</v>
      </c>
      <c r="P74" s="208">
        <v>45008</v>
      </c>
      <c r="Q74" s="208">
        <v>41092</v>
      </c>
      <c r="R74" s="208">
        <v>37106</v>
      </c>
      <c r="S74" s="208">
        <v>35499</v>
      </c>
      <c r="T74" s="208">
        <v>34532</v>
      </c>
      <c r="U74" s="208">
        <v>36243</v>
      </c>
      <c r="V74" s="208">
        <v>36345</v>
      </c>
      <c r="W74" s="208">
        <v>33617</v>
      </c>
      <c r="X74" s="208">
        <v>32581</v>
      </c>
      <c r="Y74" s="208">
        <v>32021</v>
      </c>
      <c r="Z74" s="208">
        <v>29275</v>
      </c>
      <c r="AA74" s="208">
        <v>29087</v>
      </c>
      <c r="AB74" s="208">
        <v>26096</v>
      </c>
      <c r="AC74" s="208">
        <v>25142</v>
      </c>
      <c r="AD74" s="208">
        <v>24578</v>
      </c>
    </row>
    <row r="75" spans="1:30" x14ac:dyDescent="0.25">
      <c r="B75" s="6" t="s">
        <v>103</v>
      </c>
      <c r="C75" s="6" t="s">
        <v>103</v>
      </c>
      <c r="D75" s="7">
        <v>4057146</v>
      </c>
      <c r="E75" s="208" t="s">
        <v>123</v>
      </c>
      <c r="F75" s="208">
        <v>1905330</v>
      </c>
      <c r="G75" s="208">
        <v>1824625</v>
      </c>
      <c r="H75" s="208">
        <v>1695119</v>
      </c>
      <c r="I75" s="208">
        <v>1553853</v>
      </c>
      <c r="J75" s="208">
        <v>1437730</v>
      </c>
      <c r="K75" s="208">
        <v>1294842</v>
      </c>
      <c r="L75" s="208">
        <v>1223656</v>
      </c>
      <c r="M75" s="208">
        <v>1023721</v>
      </c>
      <c r="N75" s="208">
        <v>813496</v>
      </c>
      <c r="O75" s="208">
        <v>763570</v>
      </c>
      <c r="P75" s="208">
        <v>626622</v>
      </c>
      <c r="Q75" s="208">
        <v>588518</v>
      </c>
      <c r="R75" s="208">
        <v>566448</v>
      </c>
      <c r="S75" s="208">
        <v>593851</v>
      </c>
      <c r="T75" s="208">
        <v>585016</v>
      </c>
      <c r="U75" s="208">
        <v>586912</v>
      </c>
      <c r="V75" s="208">
        <v>573443</v>
      </c>
      <c r="W75" s="208">
        <v>474075</v>
      </c>
      <c r="X75" s="208">
        <v>468236</v>
      </c>
      <c r="Y75" s="208">
        <v>467557</v>
      </c>
      <c r="Z75" s="208">
        <v>452814</v>
      </c>
      <c r="AA75" s="208">
        <v>438322</v>
      </c>
      <c r="AB75" s="208">
        <v>428551</v>
      </c>
      <c r="AC75" s="208">
        <v>501440</v>
      </c>
      <c r="AD75" s="208" t="s">
        <v>123</v>
      </c>
    </row>
    <row r="76" spans="1:30" x14ac:dyDescent="0.25">
      <c r="A76" s="1" t="s">
        <v>30</v>
      </c>
      <c r="B76" s="6" t="s">
        <v>104</v>
      </c>
      <c r="C76" s="6" t="s">
        <v>105</v>
      </c>
      <c r="D76" s="7">
        <v>4063060</v>
      </c>
      <c r="E76" s="208">
        <v>52823</v>
      </c>
      <c r="F76" s="208">
        <v>48963</v>
      </c>
      <c r="G76" s="208">
        <v>50176</v>
      </c>
      <c r="H76" s="208">
        <v>46381</v>
      </c>
      <c r="I76" s="208">
        <v>40693</v>
      </c>
      <c r="J76" s="208">
        <v>48086</v>
      </c>
      <c r="K76" s="208">
        <v>31810</v>
      </c>
      <c r="L76" s="208">
        <v>31729</v>
      </c>
      <c r="M76" s="208">
        <v>30760</v>
      </c>
      <c r="N76" s="208">
        <v>27508</v>
      </c>
      <c r="O76" s="208">
        <v>27365</v>
      </c>
      <c r="P76" s="208">
        <v>40501</v>
      </c>
      <c r="Q76" s="208">
        <v>40760</v>
      </c>
      <c r="R76" s="208">
        <v>29568</v>
      </c>
      <c r="S76" s="208">
        <v>41605</v>
      </c>
      <c r="T76" s="208">
        <v>40402</v>
      </c>
      <c r="U76" s="208">
        <v>39392</v>
      </c>
      <c r="V76" s="208">
        <v>38933</v>
      </c>
      <c r="W76" s="208">
        <v>38845</v>
      </c>
      <c r="X76" s="208">
        <v>35928</v>
      </c>
      <c r="Y76" s="208">
        <v>30879</v>
      </c>
      <c r="Z76" s="208" t="s">
        <v>123</v>
      </c>
      <c r="AA76" s="208">
        <v>27404</v>
      </c>
      <c r="AB76" s="208">
        <v>28232</v>
      </c>
      <c r="AC76" s="208">
        <v>25890</v>
      </c>
      <c r="AD76" s="208">
        <v>23285</v>
      </c>
    </row>
    <row r="77" spans="1:30" x14ac:dyDescent="0.25">
      <c r="B77" s="6" t="s">
        <v>106</v>
      </c>
      <c r="C77" s="6" t="s">
        <v>106</v>
      </c>
      <c r="D77" s="7">
        <v>4057100</v>
      </c>
      <c r="E77" s="208">
        <v>18882</v>
      </c>
      <c r="F77" s="208">
        <v>26961</v>
      </c>
      <c r="G77" s="208">
        <v>15197</v>
      </c>
      <c r="H77" s="208">
        <v>12436</v>
      </c>
      <c r="I77" s="208">
        <v>12329</v>
      </c>
      <c r="J77" s="208">
        <v>11909</v>
      </c>
      <c r="K77" s="208">
        <v>11008</v>
      </c>
      <c r="L77" s="208">
        <v>10541</v>
      </c>
      <c r="M77" s="208">
        <v>10739</v>
      </c>
      <c r="N77" s="208">
        <v>10846</v>
      </c>
      <c r="O77" s="208">
        <v>10562</v>
      </c>
      <c r="P77" s="208">
        <v>10025</v>
      </c>
      <c r="Q77" s="208">
        <v>8771</v>
      </c>
      <c r="R77" s="208">
        <v>8143</v>
      </c>
      <c r="S77" s="208">
        <v>7835</v>
      </c>
      <c r="T77" s="208">
        <v>7251</v>
      </c>
      <c r="U77" s="208">
        <v>7192</v>
      </c>
      <c r="V77" s="208">
        <v>6637</v>
      </c>
      <c r="W77" s="208">
        <v>6562</v>
      </c>
      <c r="X77" s="208">
        <v>6094</v>
      </c>
      <c r="Y77" s="208">
        <v>5834</v>
      </c>
      <c r="Z77" s="208">
        <v>5531</v>
      </c>
      <c r="AA77" s="208">
        <v>5445</v>
      </c>
      <c r="AB77" s="208">
        <v>5315</v>
      </c>
      <c r="AC77" s="208">
        <v>4895</v>
      </c>
      <c r="AD77" s="208">
        <v>4673</v>
      </c>
    </row>
    <row r="78" spans="1:30" x14ac:dyDescent="0.25">
      <c r="B78" s="6" t="s">
        <v>107</v>
      </c>
      <c r="C78" s="6" t="s">
        <v>107</v>
      </c>
      <c r="D78" s="7">
        <v>4064035</v>
      </c>
      <c r="E78" s="208" t="s">
        <v>123</v>
      </c>
      <c r="F78" s="208">
        <v>9182</v>
      </c>
      <c r="G78" s="208">
        <v>7455</v>
      </c>
      <c r="H78" s="208">
        <v>7865</v>
      </c>
      <c r="I78" s="208">
        <v>7610</v>
      </c>
      <c r="J78" s="208">
        <v>7009</v>
      </c>
      <c r="K78" s="208">
        <v>4911</v>
      </c>
      <c r="L78" s="208">
        <v>5490</v>
      </c>
      <c r="M78" s="208">
        <v>4779</v>
      </c>
      <c r="N78" s="208">
        <v>4599</v>
      </c>
      <c r="O78" s="208">
        <v>4509</v>
      </c>
      <c r="P78" s="208">
        <v>4335</v>
      </c>
      <c r="Q78" s="208">
        <v>4163</v>
      </c>
      <c r="R78" s="208">
        <v>4589</v>
      </c>
      <c r="S78" s="208">
        <v>4462</v>
      </c>
      <c r="T78" s="208">
        <v>4274</v>
      </c>
      <c r="U78" s="208">
        <v>4109</v>
      </c>
      <c r="V78" s="208">
        <v>4043</v>
      </c>
      <c r="W78" s="208" t="s">
        <v>123</v>
      </c>
      <c r="X78" s="208">
        <v>3870</v>
      </c>
      <c r="Y78" s="208">
        <v>3884</v>
      </c>
      <c r="Z78" s="208" t="s">
        <v>123</v>
      </c>
      <c r="AA78" s="208">
        <v>3641</v>
      </c>
      <c r="AB78" s="208">
        <v>3425</v>
      </c>
      <c r="AC78" s="208">
        <v>3246</v>
      </c>
      <c r="AD78" s="208">
        <v>3011</v>
      </c>
    </row>
    <row r="79" spans="1:30" x14ac:dyDescent="0.25">
      <c r="B79" s="6" t="s">
        <v>108</v>
      </c>
      <c r="C79" s="6" t="s">
        <v>108</v>
      </c>
      <c r="D79" s="7">
        <v>4060957</v>
      </c>
      <c r="E79" s="208">
        <v>339888</v>
      </c>
      <c r="F79" s="208">
        <v>309995</v>
      </c>
      <c r="G79" s="208">
        <v>272587</v>
      </c>
      <c r="H79" s="208">
        <v>273351</v>
      </c>
      <c r="I79" s="208">
        <v>233273</v>
      </c>
      <c r="J79" s="208">
        <v>222601</v>
      </c>
      <c r="K79" s="208">
        <v>184471</v>
      </c>
      <c r="L79" s="208">
        <v>170237</v>
      </c>
      <c r="M79" s="208">
        <v>107797</v>
      </c>
      <c r="N79" s="208">
        <v>103089</v>
      </c>
      <c r="O79" s="208">
        <v>95606</v>
      </c>
      <c r="P79" s="208">
        <v>93239</v>
      </c>
      <c r="Q79" s="208">
        <v>91806</v>
      </c>
      <c r="R79" s="208">
        <v>87473</v>
      </c>
      <c r="S79" s="208">
        <v>88198</v>
      </c>
      <c r="T79" s="208">
        <v>87135</v>
      </c>
      <c r="U79" s="208">
        <v>87950</v>
      </c>
      <c r="V79" s="208">
        <v>86626</v>
      </c>
      <c r="W79" s="208">
        <v>84686</v>
      </c>
      <c r="X79" s="208">
        <v>80918</v>
      </c>
      <c r="Y79" s="208">
        <v>78650</v>
      </c>
      <c r="Z79" s="208">
        <v>71726</v>
      </c>
      <c r="AA79" s="208">
        <v>55214</v>
      </c>
      <c r="AB79" s="208">
        <v>50742</v>
      </c>
      <c r="AC79" s="208">
        <v>48195</v>
      </c>
      <c r="AD79" s="208">
        <v>43964</v>
      </c>
    </row>
    <row r="80" spans="1:30" x14ac:dyDescent="0.25">
      <c r="B80" s="6" t="s">
        <v>109</v>
      </c>
      <c r="C80" s="6" t="s">
        <v>109</v>
      </c>
      <c r="D80" s="7">
        <v>4063179</v>
      </c>
      <c r="E80" s="208">
        <v>919</v>
      </c>
      <c r="F80" s="208">
        <v>940</v>
      </c>
      <c r="G80" s="208">
        <v>875</v>
      </c>
      <c r="H80" s="208">
        <v>794</v>
      </c>
      <c r="I80" s="208">
        <v>775</v>
      </c>
      <c r="J80" s="208">
        <v>742</v>
      </c>
      <c r="K80" s="208">
        <v>709</v>
      </c>
      <c r="L80" s="208">
        <v>640</v>
      </c>
      <c r="M80" s="208">
        <v>622</v>
      </c>
      <c r="N80" s="208">
        <v>626</v>
      </c>
      <c r="O80" s="208">
        <v>602</v>
      </c>
      <c r="P80" s="208">
        <v>642</v>
      </c>
      <c r="Q80" s="208">
        <v>626</v>
      </c>
      <c r="R80" s="208">
        <v>633</v>
      </c>
      <c r="S80" s="208">
        <v>635</v>
      </c>
      <c r="T80" s="208">
        <v>592</v>
      </c>
      <c r="U80" s="208">
        <v>587</v>
      </c>
      <c r="V80" s="208">
        <v>586</v>
      </c>
      <c r="W80" s="208">
        <v>637</v>
      </c>
      <c r="X80" s="208">
        <v>615</v>
      </c>
      <c r="Y80" s="208">
        <v>593</v>
      </c>
      <c r="Z80" s="208">
        <v>597</v>
      </c>
      <c r="AA80" s="208">
        <v>564</v>
      </c>
      <c r="AB80" s="208">
        <v>570</v>
      </c>
      <c r="AC80" s="208">
        <v>568</v>
      </c>
      <c r="AD80" s="208">
        <v>508</v>
      </c>
    </row>
    <row r="81" spans="1:30" x14ac:dyDescent="0.25">
      <c r="A81" s="1" t="s">
        <v>30</v>
      </c>
      <c r="B81" s="6" t="s">
        <v>110</v>
      </c>
      <c r="C81" s="6" t="s">
        <v>110</v>
      </c>
      <c r="D81" s="7">
        <v>4063183</v>
      </c>
      <c r="E81" s="208">
        <v>15179</v>
      </c>
      <c r="F81" s="208">
        <v>12195</v>
      </c>
      <c r="G81" s="208">
        <v>11789</v>
      </c>
      <c r="H81" s="208">
        <v>11319</v>
      </c>
      <c r="I81" s="208">
        <v>10873</v>
      </c>
      <c r="J81" s="208">
        <v>10385</v>
      </c>
      <c r="K81" s="208">
        <v>9885</v>
      </c>
      <c r="L81" s="208">
        <v>9509</v>
      </c>
      <c r="M81" s="208">
        <v>8571</v>
      </c>
      <c r="N81" s="208">
        <v>8009</v>
      </c>
      <c r="O81" s="208">
        <v>7577</v>
      </c>
      <c r="P81" s="208">
        <v>7185</v>
      </c>
      <c r="Q81" s="208">
        <v>6911</v>
      </c>
      <c r="R81" s="208">
        <v>6957</v>
      </c>
      <c r="S81" s="208">
        <v>6745</v>
      </c>
      <c r="T81" s="208">
        <v>5961</v>
      </c>
      <c r="U81" s="208">
        <v>6201</v>
      </c>
      <c r="V81" s="208">
        <v>6162</v>
      </c>
      <c r="W81" s="208">
        <v>5882</v>
      </c>
      <c r="X81" s="208">
        <v>5827</v>
      </c>
      <c r="Y81" s="208">
        <v>5818</v>
      </c>
      <c r="Z81" s="208">
        <v>5714</v>
      </c>
      <c r="AA81" s="208">
        <v>5643</v>
      </c>
      <c r="AB81" s="208">
        <v>5415</v>
      </c>
      <c r="AC81" s="208">
        <v>5364</v>
      </c>
      <c r="AD81" s="208">
        <v>5232</v>
      </c>
    </row>
    <row r="82" spans="1:30" x14ac:dyDescent="0.25">
      <c r="B82" s="6" t="s">
        <v>111</v>
      </c>
      <c r="C82" s="6" t="s">
        <v>111</v>
      </c>
      <c r="D82" s="7">
        <v>4063281</v>
      </c>
      <c r="E82" s="208">
        <v>2682</v>
      </c>
      <c r="F82" s="208">
        <v>2559</v>
      </c>
      <c r="G82" s="208">
        <v>2107</v>
      </c>
      <c r="H82" s="208">
        <v>1695</v>
      </c>
      <c r="I82" s="208">
        <v>1327</v>
      </c>
      <c r="J82" s="208">
        <v>1200</v>
      </c>
      <c r="K82" s="208">
        <v>1200</v>
      </c>
      <c r="L82" s="208">
        <v>1168</v>
      </c>
      <c r="M82" s="208">
        <v>1155</v>
      </c>
      <c r="N82" s="208">
        <v>1144</v>
      </c>
      <c r="O82" s="208">
        <v>998</v>
      </c>
      <c r="P82" s="208">
        <v>799</v>
      </c>
      <c r="Q82" s="208">
        <v>558</v>
      </c>
      <c r="R82" s="208">
        <v>526</v>
      </c>
      <c r="S82" s="208">
        <v>449</v>
      </c>
      <c r="T82" s="208">
        <v>423</v>
      </c>
      <c r="U82" s="208">
        <v>380</v>
      </c>
      <c r="V82" s="208">
        <v>310</v>
      </c>
      <c r="W82" s="208">
        <v>258</v>
      </c>
      <c r="X82" s="208">
        <v>237</v>
      </c>
      <c r="Y82" s="208">
        <v>237</v>
      </c>
      <c r="Z82" s="208">
        <v>225</v>
      </c>
      <c r="AA82" s="208">
        <v>221</v>
      </c>
      <c r="AB82" s="208">
        <v>218</v>
      </c>
      <c r="AC82" s="208">
        <v>176</v>
      </c>
      <c r="AD82" s="208">
        <v>163</v>
      </c>
    </row>
    <row r="83" spans="1:30" x14ac:dyDescent="0.25">
      <c r="B83" s="6" t="s">
        <v>112</v>
      </c>
      <c r="C83" s="6" t="s">
        <v>112</v>
      </c>
      <c r="D83" s="7">
        <v>4059746</v>
      </c>
      <c r="E83" s="208">
        <v>172413</v>
      </c>
      <c r="F83" s="208">
        <v>162771</v>
      </c>
      <c r="G83" s="208">
        <v>163321</v>
      </c>
      <c r="H83" s="208">
        <v>161906</v>
      </c>
      <c r="I83" s="208">
        <v>135248</v>
      </c>
      <c r="J83" s="208">
        <v>181694</v>
      </c>
      <c r="K83" s="208">
        <v>156068</v>
      </c>
      <c r="L83" s="208">
        <v>154907</v>
      </c>
      <c r="M83" s="208">
        <v>151995</v>
      </c>
      <c r="N83" s="208">
        <v>150922</v>
      </c>
      <c r="O83" s="208">
        <v>142417</v>
      </c>
      <c r="P83" s="208">
        <v>137880</v>
      </c>
      <c r="Q83" s="208">
        <v>135647</v>
      </c>
      <c r="R83" s="208">
        <v>133831</v>
      </c>
      <c r="S83" s="208">
        <v>134275</v>
      </c>
      <c r="T83" s="208">
        <v>128480</v>
      </c>
      <c r="U83" s="208">
        <v>125060</v>
      </c>
      <c r="V83" s="208">
        <v>124531</v>
      </c>
      <c r="W83" s="208">
        <v>61805</v>
      </c>
      <c r="X83" s="208">
        <v>81317</v>
      </c>
      <c r="Y83" s="208">
        <v>86148</v>
      </c>
      <c r="Z83" s="208">
        <v>83448</v>
      </c>
      <c r="AA83" s="208">
        <v>83637</v>
      </c>
      <c r="AB83" s="208">
        <v>87453</v>
      </c>
      <c r="AC83" s="208">
        <v>77351</v>
      </c>
      <c r="AD83" s="208">
        <v>74460</v>
      </c>
    </row>
    <row r="84" spans="1:30" x14ac:dyDescent="0.25">
      <c r="A84" s="1" t="s">
        <v>30</v>
      </c>
      <c r="B84" s="6" t="s">
        <v>113</v>
      </c>
      <c r="C84" s="6" t="s">
        <v>113</v>
      </c>
      <c r="D84" s="7">
        <v>4062279</v>
      </c>
      <c r="E84" s="208" t="s">
        <v>123</v>
      </c>
      <c r="F84" s="208" t="s">
        <v>123</v>
      </c>
      <c r="G84" s="208" t="s">
        <v>123</v>
      </c>
      <c r="H84" s="208">
        <v>38084</v>
      </c>
      <c r="I84" s="208">
        <v>40747</v>
      </c>
      <c r="J84" s="208">
        <v>39337</v>
      </c>
      <c r="K84" s="208">
        <v>38898</v>
      </c>
      <c r="L84" s="208">
        <v>39054</v>
      </c>
      <c r="M84" s="208">
        <v>40120</v>
      </c>
      <c r="N84" s="208">
        <v>41000</v>
      </c>
      <c r="O84" s="208">
        <v>40294</v>
      </c>
      <c r="P84" s="208">
        <v>40313</v>
      </c>
      <c r="Q84" s="208">
        <v>42883</v>
      </c>
      <c r="R84" s="208">
        <v>41867</v>
      </c>
      <c r="S84" s="208">
        <v>40893</v>
      </c>
      <c r="T84" s="208">
        <v>42136</v>
      </c>
      <c r="U84" s="208">
        <v>39074</v>
      </c>
      <c r="V84" s="208">
        <v>36844</v>
      </c>
      <c r="W84" s="208">
        <v>37088</v>
      </c>
      <c r="X84" s="208">
        <v>33749</v>
      </c>
      <c r="Y84" s="208">
        <v>33309</v>
      </c>
      <c r="Z84" s="208" t="s">
        <v>123</v>
      </c>
      <c r="AA84" s="208">
        <v>30126</v>
      </c>
      <c r="AB84" s="208">
        <v>27649</v>
      </c>
      <c r="AC84" s="208">
        <v>21330</v>
      </c>
      <c r="AD84" s="208">
        <v>3828</v>
      </c>
    </row>
    <row r="85" spans="1:30" x14ac:dyDescent="0.25">
      <c r="A85" s="1" t="s">
        <v>30</v>
      </c>
      <c r="B85" s="6" t="s">
        <v>114</v>
      </c>
      <c r="C85" s="6" t="s">
        <v>114</v>
      </c>
      <c r="D85" s="7">
        <v>4063729</v>
      </c>
      <c r="E85" s="208" t="s">
        <v>123</v>
      </c>
      <c r="F85" s="208" t="s">
        <v>123</v>
      </c>
      <c r="G85" s="208" t="s">
        <v>123</v>
      </c>
      <c r="H85" s="208">
        <v>13981</v>
      </c>
      <c r="I85" s="208">
        <v>13061</v>
      </c>
      <c r="J85" s="208">
        <v>12368</v>
      </c>
      <c r="K85" s="208">
        <v>11235</v>
      </c>
      <c r="L85" s="208">
        <v>10606</v>
      </c>
      <c r="M85" s="208">
        <v>10773</v>
      </c>
      <c r="N85" s="208">
        <v>11769</v>
      </c>
      <c r="O85" s="208">
        <v>12129</v>
      </c>
      <c r="P85" s="208">
        <v>11103</v>
      </c>
      <c r="Q85" s="208">
        <v>11357</v>
      </c>
      <c r="R85" s="208">
        <v>10452</v>
      </c>
      <c r="S85" s="208">
        <v>8988</v>
      </c>
      <c r="T85" s="208">
        <v>8157</v>
      </c>
      <c r="U85" s="208">
        <v>7804</v>
      </c>
      <c r="V85" s="208">
        <v>7336</v>
      </c>
      <c r="W85" s="208">
        <v>6908</v>
      </c>
      <c r="X85" s="208">
        <v>6704</v>
      </c>
      <c r="Y85" s="208">
        <v>6437</v>
      </c>
      <c r="Z85" s="208">
        <v>5909</v>
      </c>
      <c r="AA85" s="208" t="s">
        <v>123</v>
      </c>
      <c r="AB85" s="208" t="s">
        <v>123</v>
      </c>
      <c r="AC85" s="208">
        <v>4566</v>
      </c>
      <c r="AD85" s="208">
        <v>4488</v>
      </c>
    </row>
    <row r="86" spans="1:30" x14ac:dyDescent="0.25">
      <c r="B86" s="6" t="s">
        <v>115</v>
      </c>
      <c r="C86" s="6" t="s">
        <v>115</v>
      </c>
      <c r="D86" s="7">
        <v>4063762</v>
      </c>
      <c r="E86" s="208">
        <v>45716</v>
      </c>
      <c r="F86" s="208">
        <v>47953</v>
      </c>
      <c r="G86" s="208">
        <v>42417</v>
      </c>
      <c r="H86" s="208">
        <v>38572</v>
      </c>
      <c r="I86" s="208">
        <v>27956</v>
      </c>
      <c r="J86" s="208">
        <v>25407</v>
      </c>
      <c r="K86" s="208">
        <v>24641</v>
      </c>
      <c r="L86" s="208">
        <v>23035</v>
      </c>
      <c r="M86" s="208">
        <v>24011</v>
      </c>
      <c r="N86" s="208">
        <v>21637</v>
      </c>
      <c r="O86" s="208">
        <v>21128</v>
      </c>
      <c r="P86" s="208">
        <v>26927</v>
      </c>
      <c r="Q86" s="208">
        <v>21462</v>
      </c>
      <c r="R86" s="208">
        <v>17856</v>
      </c>
      <c r="S86" s="208">
        <v>15601</v>
      </c>
      <c r="T86" s="208">
        <v>10531</v>
      </c>
      <c r="U86" s="208">
        <v>21698</v>
      </c>
      <c r="V86" s="208">
        <v>21305</v>
      </c>
      <c r="W86" s="208">
        <v>20721</v>
      </c>
      <c r="X86" s="208">
        <v>19435</v>
      </c>
      <c r="Y86" s="208">
        <v>20523</v>
      </c>
      <c r="Z86" s="208">
        <v>19313</v>
      </c>
      <c r="AA86" s="208">
        <v>20715</v>
      </c>
      <c r="AB86" s="208">
        <v>21185</v>
      </c>
      <c r="AC86" s="208">
        <v>21060</v>
      </c>
      <c r="AD86" s="208" t="s">
        <v>123</v>
      </c>
    </row>
    <row r="87" spans="1:30" x14ac:dyDescent="0.25">
      <c r="B87" s="6" t="s">
        <v>116</v>
      </c>
      <c r="C87" s="6" t="s">
        <v>116</v>
      </c>
      <c r="D87" s="7">
        <v>4058284</v>
      </c>
      <c r="E87" s="208">
        <v>416386</v>
      </c>
      <c r="F87" s="208">
        <v>409372</v>
      </c>
      <c r="G87" s="208">
        <v>359758</v>
      </c>
      <c r="H87" s="208">
        <v>344305</v>
      </c>
      <c r="I87" s="208">
        <v>305008</v>
      </c>
      <c r="J87" s="208">
        <v>295438</v>
      </c>
      <c r="K87" s="208">
        <v>292100</v>
      </c>
      <c r="L87" s="208">
        <v>280622</v>
      </c>
      <c r="M87" s="208">
        <v>281298</v>
      </c>
      <c r="N87" s="208">
        <v>218592</v>
      </c>
      <c r="O87" s="208">
        <v>219367</v>
      </c>
      <c r="P87" s="208">
        <v>206611</v>
      </c>
      <c r="Q87" s="208">
        <v>214811</v>
      </c>
      <c r="R87" s="208">
        <v>202333</v>
      </c>
      <c r="S87" s="208">
        <v>211439</v>
      </c>
      <c r="T87" s="208">
        <v>193831</v>
      </c>
      <c r="U87" s="208">
        <v>179612</v>
      </c>
      <c r="V87" s="208">
        <v>170089</v>
      </c>
      <c r="W87" s="208">
        <v>164528</v>
      </c>
      <c r="X87" s="208">
        <v>143263</v>
      </c>
      <c r="Y87" s="208">
        <v>137851</v>
      </c>
      <c r="Z87" s="208">
        <v>128483</v>
      </c>
      <c r="AA87" s="208">
        <v>124834</v>
      </c>
      <c r="AB87" s="208">
        <v>120535</v>
      </c>
      <c r="AC87" s="208">
        <v>120329</v>
      </c>
      <c r="AD87" s="208">
        <v>109737</v>
      </c>
    </row>
    <row r="88" spans="1:30" x14ac:dyDescent="0.25">
      <c r="B88" s="6" t="s">
        <v>117</v>
      </c>
      <c r="C88" s="6" t="s">
        <v>117</v>
      </c>
      <c r="D88" s="7">
        <v>4008752</v>
      </c>
      <c r="E88" s="208">
        <v>125142</v>
      </c>
      <c r="F88" s="208">
        <v>112237</v>
      </c>
      <c r="G88" s="208">
        <v>117045</v>
      </c>
      <c r="H88" s="208">
        <v>122033</v>
      </c>
      <c r="I88" s="208">
        <v>118394</v>
      </c>
      <c r="J88" s="208">
        <v>127953</v>
      </c>
      <c r="K88" s="208">
        <v>127509</v>
      </c>
      <c r="L88" s="208">
        <v>117581</v>
      </c>
      <c r="M88" s="208">
        <v>111221</v>
      </c>
      <c r="N88" s="208">
        <v>106530</v>
      </c>
      <c r="O88" s="208">
        <v>105052</v>
      </c>
      <c r="P88" s="208">
        <v>103401</v>
      </c>
      <c r="Q88" s="208">
        <v>99304</v>
      </c>
      <c r="R88" s="208">
        <v>84656</v>
      </c>
      <c r="S88" s="208">
        <v>77923</v>
      </c>
      <c r="T88" s="208">
        <v>60288</v>
      </c>
      <c r="U88" s="208">
        <v>52524</v>
      </c>
      <c r="V88" s="208">
        <v>54742</v>
      </c>
      <c r="W88" s="208">
        <v>99692</v>
      </c>
      <c r="X88" s="208">
        <v>115501</v>
      </c>
      <c r="Y88" s="208">
        <v>107949</v>
      </c>
      <c r="Z88" s="208">
        <v>110493</v>
      </c>
      <c r="AA88" s="208">
        <v>106209</v>
      </c>
      <c r="AB88" s="208">
        <v>106315</v>
      </c>
      <c r="AC88" s="208">
        <v>116830</v>
      </c>
      <c r="AD88" s="208">
        <v>113441</v>
      </c>
    </row>
    <row r="89" spans="1:30" x14ac:dyDescent="0.25">
      <c r="B89" s="6" t="s">
        <v>118</v>
      </c>
      <c r="C89" s="6" t="s">
        <v>118</v>
      </c>
      <c r="D89" s="7">
        <v>4008669</v>
      </c>
      <c r="E89" s="208">
        <v>17428</v>
      </c>
      <c r="F89" s="208">
        <v>15623</v>
      </c>
      <c r="G89" s="208">
        <v>12478</v>
      </c>
      <c r="H89" s="208">
        <v>13165</v>
      </c>
      <c r="I89" s="208">
        <v>12608</v>
      </c>
      <c r="J89" s="208">
        <v>8868</v>
      </c>
      <c r="K89" s="208">
        <v>8101</v>
      </c>
      <c r="L89" s="208">
        <v>7461</v>
      </c>
      <c r="M89" s="208">
        <v>7422</v>
      </c>
      <c r="N89" s="208">
        <v>7090</v>
      </c>
      <c r="O89" s="208">
        <v>7279</v>
      </c>
      <c r="P89" s="208">
        <v>7578</v>
      </c>
      <c r="Q89" s="208">
        <v>7329</v>
      </c>
      <c r="R89" s="208">
        <v>6335</v>
      </c>
      <c r="S89" s="208">
        <v>6579</v>
      </c>
      <c r="T89" s="208">
        <v>11604</v>
      </c>
      <c r="U89" s="208">
        <v>11058</v>
      </c>
      <c r="V89" s="208">
        <v>10825</v>
      </c>
      <c r="W89" s="208">
        <v>12165</v>
      </c>
      <c r="X89" s="208">
        <v>12028</v>
      </c>
      <c r="Y89" s="208">
        <v>11932</v>
      </c>
      <c r="Z89" s="208">
        <v>11063</v>
      </c>
      <c r="AA89" s="208">
        <v>6882</v>
      </c>
      <c r="AB89" s="208">
        <v>6683</v>
      </c>
      <c r="AC89" s="208">
        <v>5996</v>
      </c>
      <c r="AD89" s="208">
        <v>5953</v>
      </c>
    </row>
    <row r="90" spans="1:30" x14ac:dyDescent="0.25">
      <c r="B90" s="6" t="s">
        <v>119</v>
      </c>
      <c r="C90" s="6" t="s">
        <v>120</v>
      </c>
      <c r="D90" s="7">
        <v>4076892</v>
      </c>
      <c r="E90" s="208">
        <v>3467</v>
      </c>
      <c r="F90" s="208">
        <v>3542</v>
      </c>
      <c r="G90" s="208">
        <v>3345</v>
      </c>
      <c r="H90" s="208">
        <v>3306</v>
      </c>
      <c r="I90" s="208">
        <v>3321</v>
      </c>
      <c r="J90" s="208">
        <v>2972</v>
      </c>
      <c r="K90" s="208">
        <v>2861</v>
      </c>
      <c r="L90" s="208">
        <v>2689</v>
      </c>
      <c r="M90" s="208">
        <v>2629</v>
      </c>
      <c r="N90" s="208">
        <v>2565</v>
      </c>
      <c r="O90" s="208">
        <v>2617</v>
      </c>
      <c r="P90" s="208">
        <v>1873</v>
      </c>
      <c r="Q90" s="208">
        <v>1752</v>
      </c>
      <c r="R90" s="208">
        <v>1527</v>
      </c>
      <c r="S90" s="208">
        <v>1560</v>
      </c>
      <c r="T90" s="208">
        <v>1440</v>
      </c>
      <c r="U90" s="208">
        <v>1364</v>
      </c>
      <c r="V90" s="208">
        <v>1398</v>
      </c>
      <c r="W90" s="208">
        <v>1342</v>
      </c>
      <c r="X90" s="208" t="s">
        <v>123</v>
      </c>
      <c r="Y90" s="208" t="s">
        <v>123</v>
      </c>
      <c r="Z90" s="208" t="s">
        <v>123</v>
      </c>
      <c r="AA90" s="208" t="s">
        <v>123</v>
      </c>
      <c r="AB90" s="208" t="s">
        <v>123</v>
      </c>
      <c r="AC90" s="208" t="s">
        <v>123</v>
      </c>
      <c r="AD90" s="208" t="s">
        <v>123</v>
      </c>
    </row>
    <row r="91" spans="1:30" x14ac:dyDescent="0.25">
      <c r="A91" s="1" t="s">
        <v>30</v>
      </c>
      <c r="B91" s="6" t="s">
        <v>121</v>
      </c>
      <c r="C91" s="6" t="s">
        <v>122</v>
      </c>
      <c r="D91" s="7">
        <v>4064141</v>
      </c>
      <c r="E91" s="208">
        <v>89722</v>
      </c>
      <c r="F91" s="208">
        <v>81495</v>
      </c>
      <c r="G91" s="208">
        <v>76805</v>
      </c>
      <c r="H91" s="208">
        <v>75731</v>
      </c>
      <c r="I91" s="208">
        <v>69992</v>
      </c>
      <c r="J91" s="208">
        <v>65555</v>
      </c>
      <c r="K91" s="208">
        <v>66062</v>
      </c>
      <c r="L91" s="208">
        <v>63896</v>
      </c>
      <c r="M91" s="208">
        <v>61963</v>
      </c>
      <c r="N91" s="208">
        <v>59099</v>
      </c>
      <c r="O91" s="208">
        <v>49451</v>
      </c>
      <c r="P91" s="208">
        <v>49502</v>
      </c>
      <c r="Q91" s="208">
        <v>47307</v>
      </c>
      <c r="R91" s="208">
        <v>44076</v>
      </c>
      <c r="S91" s="208">
        <v>80168</v>
      </c>
      <c r="T91" s="208">
        <v>78263</v>
      </c>
      <c r="U91" s="208">
        <v>78436</v>
      </c>
      <c r="V91" s="208">
        <v>80196</v>
      </c>
      <c r="W91" s="208">
        <v>68172</v>
      </c>
      <c r="X91" s="208">
        <v>67961</v>
      </c>
      <c r="Y91" s="208">
        <v>67051</v>
      </c>
      <c r="Z91" s="208">
        <v>64958</v>
      </c>
      <c r="AA91" s="208">
        <v>37292</v>
      </c>
      <c r="AB91" s="208">
        <v>35719</v>
      </c>
      <c r="AC91" s="208">
        <v>32589</v>
      </c>
      <c r="AD91" s="208">
        <v>31639</v>
      </c>
    </row>
  </sheetData>
  <conditionalFormatting sqref="D98">
    <cfRule type="cellIs" dxfId="2" priority="5" operator="equal">
      <formula>"NA"</formula>
    </cfRule>
  </conditionalFormatting>
  <conditionalFormatting sqref="E7:E91">
    <cfRule type="cellIs" dxfId="1" priority="4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3:AD94"/>
  <sheetViews>
    <sheetView topLeftCell="B1" zoomScale="75" zoomScaleNormal="75" workbookViewId="0">
      <selection activeCell="B1" sqref="A1:XFD1048576"/>
    </sheetView>
  </sheetViews>
  <sheetFormatPr defaultRowHeight="15" x14ac:dyDescent="0.25"/>
  <cols>
    <col min="1" max="1" width="14.28515625" style="1" bestFit="1" customWidth="1"/>
    <col min="2" max="3" width="63.7109375" style="1" bestFit="1" customWidth="1"/>
    <col min="4" max="4" width="22" style="1" customWidth="1"/>
    <col min="5" max="30" width="17.5703125" style="167" customWidth="1"/>
    <col min="31" max="16384" width="9.140625" style="167"/>
  </cols>
  <sheetData>
    <row r="3" spans="1:30" ht="45" x14ac:dyDescent="0.25">
      <c r="E3" s="207" t="s">
        <v>331</v>
      </c>
      <c r="F3" s="207" t="s">
        <v>331</v>
      </c>
      <c r="G3" s="207" t="s">
        <v>331</v>
      </c>
      <c r="H3" s="207" t="s">
        <v>331</v>
      </c>
      <c r="I3" s="207" t="s">
        <v>331</v>
      </c>
      <c r="J3" s="207" t="s">
        <v>331</v>
      </c>
      <c r="K3" s="207" t="s">
        <v>331</v>
      </c>
      <c r="L3" s="207" t="s">
        <v>331</v>
      </c>
      <c r="M3" s="207" t="s">
        <v>331</v>
      </c>
      <c r="N3" s="207" t="s">
        <v>331</v>
      </c>
      <c r="O3" s="207" t="s">
        <v>331</v>
      </c>
      <c r="P3" s="207" t="s">
        <v>331</v>
      </c>
      <c r="Q3" s="207" t="s">
        <v>331</v>
      </c>
      <c r="R3" s="207" t="s">
        <v>331</v>
      </c>
      <c r="S3" s="207" t="s">
        <v>331</v>
      </c>
      <c r="T3" s="207" t="s">
        <v>331</v>
      </c>
      <c r="U3" s="207" t="s">
        <v>331</v>
      </c>
      <c r="V3" s="207" t="s">
        <v>331</v>
      </c>
      <c r="W3" s="207" t="s">
        <v>331</v>
      </c>
      <c r="X3" s="207" t="s">
        <v>331</v>
      </c>
      <c r="Y3" s="207" t="s">
        <v>331</v>
      </c>
      <c r="Z3" s="207" t="s">
        <v>331</v>
      </c>
      <c r="AA3" s="207" t="s">
        <v>331</v>
      </c>
      <c r="AB3" s="207" t="s">
        <v>331</v>
      </c>
      <c r="AC3" s="207" t="s">
        <v>331</v>
      </c>
      <c r="AD3" s="207" t="s">
        <v>331</v>
      </c>
    </row>
    <row r="4" spans="1:30" ht="30" x14ac:dyDescent="0.25">
      <c r="B4" s="2"/>
      <c r="C4" s="2"/>
      <c r="D4" s="2"/>
      <c r="E4" s="207" t="s">
        <v>332</v>
      </c>
      <c r="F4" s="207" t="s">
        <v>332</v>
      </c>
      <c r="G4" s="207" t="s">
        <v>332</v>
      </c>
      <c r="H4" s="207" t="s">
        <v>332</v>
      </c>
      <c r="I4" s="207" t="s">
        <v>332</v>
      </c>
      <c r="J4" s="207" t="s">
        <v>332</v>
      </c>
      <c r="K4" s="207" t="s">
        <v>332</v>
      </c>
      <c r="L4" s="207" t="s">
        <v>332</v>
      </c>
      <c r="M4" s="207" t="s">
        <v>332</v>
      </c>
      <c r="N4" s="207" t="s">
        <v>332</v>
      </c>
      <c r="O4" s="207" t="s">
        <v>332</v>
      </c>
      <c r="P4" s="207" t="s">
        <v>332</v>
      </c>
      <c r="Q4" s="207" t="s">
        <v>332</v>
      </c>
      <c r="R4" s="207" t="s">
        <v>332</v>
      </c>
      <c r="S4" s="207" t="s">
        <v>332</v>
      </c>
      <c r="T4" s="207" t="s">
        <v>332</v>
      </c>
      <c r="U4" s="207" t="s">
        <v>332</v>
      </c>
      <c r="V4" s="207" t="s">
        <v>332</v>
      </c>
      <c r="W4" s="207" t="s">
        <v>332</v>
      </c>
      <c r="X4" s="207" t="s">
        <v>332</v>
      </c>
      <c r="Y4" s="207" t="s">
        <v>332</v>
      </c>
      <c r="Z4" s="207" t="s">
        <v>332</v>
      </c>
      <c r="AA4" s="207" t="s">
        <v>332</v>
      </c>
      <c r="AB4" s="207" t="s">
        <v>332</v>
      </c>
      <c r="AC4" s="207" t="s">
        <v>332</v>
      </c>
      <c r="AD4" s="207" t="s">
        <v>332</v>
      </c>
    </row>
    <row r="5" spans="1:30" x14ac:dyDescent="0.25">
      <c r="A5" s="3" t="s">
        <v>0</v>
      </c>
      <c r="B5" s="4" t="s">
        <v>1</v>
      </c>
      <c r="C5" s="4" t="s">
        <v>2</v>
      </c>
      <c r="D5" s="5" t="s">
        <v>3</v>
      </c>
      <c r="E5" s="207" t="s">
        <v>26</v>
      </c>
      <c r="F5" s="207" t="s">
        <v>25</v>
      </c>
      <c r="G5" s="207" t="s">
        <v>24</v>
      </c>
      <c r="H5" s="207" t="s">
        <v>23</v>
      </c>
      <c r="I5" s="207" t="s">
        <v>22</v>
      </c>
      <c r="J5" s="207" t="s">
        <v>21</v>
      </c>
      <c r="K5" s="207" t="s">
        <v>20</v>
      </c>
      <c r="L5" s="207" t="s">
        <v>19</v>
      </c>
      <c r="M5" s="207" t="s">
        <v>18</v>
      </c>
      <c r="N5" s="207" t="s">
        <v>17</v>
      </c>
      <c r="O5" s="207" t="s">
        <v>16</v>
      </c>
      <c r="P5" s="207" t="s">
        <v>15</v>
      </c>
      <c r="Q5" s="207" t="s">
        <v>14</v>
      </c>
      <c r="R5" s="207" t="s">
        <v>13</v>
      </c>
      <c r="S5" s="207" t="s">
        <v>12</v>
      </c>
      <c r="T5" s="207" t="s">
        <v>11</v>
      </c>
      <c r="U5" s="207" t="s">
        <v>10</v>
      </c>
      <c r="V5" s="207" t="s">
        <v>9</v>
      </c>
      <c r="W5" s="207" t="s">
        <v>8</v>
      </c>
      <c r="X5" s="207" t="s">
        <v>7</v>
      </c>
      <c r="Y5" s="207" t="s">
        <v>6</v>
      </c>
      <c r="Z5" s="207" t="s">
        <v>5</v>
      </c>
      <c r="AA5" s="207" t="s">
        <v>4</v>
      </c>
      <c r="AB5" s="207" t="s">
        <v>321</v>
      </c>
      <c r="AC5" s="207" t="s">
        <v>322</v>
      </c>
      <c r="AD5" s="207" t="s">
        <v>323</v>
      </c>
    </row>
    <row r="6" spans="1:30" x14ac:dyDescent="0.25">
      <c r="B6" s="2"/>
      <c r="C6" s="2"/>
      <c r="D6" s="2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x14ac:dyDescent="0.25">
      <c r="B7" s="6" t="s">
        <v>27</v>
      </c>
      <c r="C7" s="6" t="s">
        <v>27</v>
      </c>
      <c r="D7" s="7">
        <v>4058513</v>
      </c>
      <c r="E7" s="208" t="s">
        <v>123</v>
      </c>
      <c r="F7" s="208" t="s">
        <v>123</v>
      </c>
      <c r="G7" s="208" t="s">
        <v>123</v>
      </c>
      <c r="H7" s="208">
        <v>11167</v>
      </c>
      <c r="I7" s="208">
        <v>10064</v>
      </c>
      <c r="J7" s="208">
        <v>9171</v>
      </c>
      <c r="K7" s="208">
        <v>8527</v>
      </c>
      <c r="L7" s="208">
        <v>8205</v>
      </c>
      <c r="M7" s="208">
        <v>8585</v>
      </c>
      <c r="N7" s="208">
        <v>8186</v>
      </c>
      <c r="O7" s="208">
        <v>8402</v>
      </c>
      <c r="P7" s="208">
        <v>7921</v>
      </c>
      <c r="Q7" s="208">
        <v>7587</v>
      </c>
      <c r="R7" s="208">
        <v>7315</v>
      </c>
      <c r="S7" s="208">
        <v>7520</v>
      </c>
      <c r="T7" s="208">
        <v>7355</v>
      </c>
      <c r="U7" s="208" t="s">
        <v>123</v>
      </c>
      <c r="V7" s="208" t="s">
        <v>123</v>
      </c>
      <c r="W7" s="208" t="s">
        <v>123</v>
      </c>
      <c r="X7" s="208">
        <v>0</v>
      </c>
      <c r="Y7" s="208">
        <v>5958</v>
      </c>
      <c r="Z7" s="208">
        <v>5543</v>
      </c>
      <c r="AA7" s="208">
        <v>5146</v>
      </c>
      <c r="AB7" s="208">
        <v>5158</v>
      </c>
      <c r="AC7" s="208">
        <v>5506</v>
      </c>
      <c r="AD7" s="208">
        <v>5189</v>
      </c>
    </row>
    <row r="8" spans="1:30" x14ac:dyDescent="0.25">
      <c r="B8" s="6" t="s">
        <v>28</v>
      </c>
      <c r="C8" s="6" t="s">
        <v>28</v>
      </c>
      <c r="D8" s="7">
        <v>4054707</v>
      </c>
      <c r="E8" s="208">
        <v>100168</v>
      </c>
      <c r="F8" s="208">
        <v>152868</v>
      </c>
      <c r="G8" s="208">
        <v>129940</v>
      </c>
      <c r="H8" s="208">
        <v>109772</v>
      </c>
      <c r="I8" s="208">
        <v>124397</v>
      </c>
      <c r="J8" s="208">
        <v>115692</v>
      </c>
      <c r="K8" s="208">
        <v>84242</v>
      </c>
      <c r="L8" s="208">
        <v>54299</v>
      </c>
      <c r="M8" s="208">
        <v>66744</v>
      </c>
      <c r="N8" s="208">
        <v>36147</v>
      </c>
      <c r="O8" s="208">
        <v>71779</v>
      </c>
      <c r="P8" s="208">
        <v>54558</v>
      </c>
      <c r="Q8" s="208">
        <v>28752</v>
      </c>
      <c r="R8" s="208">
        <v>59329</v>
      </c>
      <c r="S8" s="208">
        <v>27865</v>
      </c>
      <c r="T8" s="208">
        <v>40574</v>
      </c>
      <c r="U8" s="208" t="s">
        <v>123</v>
      </c>
      <c r="V8" s="208" t="s">
        <v>123</v>
      </c>
      <c r="W8" s="208" t="s">
        <v>123</v>
      </c>
      <c r="X8" s="208" t="s">
        <v>123</v>
      </c>
      <c r="Y8" s="208" t="s">
        <v>123</v>
      </c>
      <c r="Z8" s="208" t="s">
        <v>123</v>
      </c>
      <c r="AA8" s="208" t="s">
        <v>123</v>
      </c>
      <c r="AB8" s="208" t="s">
        <v>123</v>
      </c>
      <c r="AC8" s="208" t="s">
        <v>123</v>
      </c>
      <c r="AD8" s="208" t="s">
        <v>123</v>
      </c>
    </row>
    <row r="9" spans="1:30" x14ac:dyDescent="0.25">
      <c r="B9" s="6"/>
      <c r="C9" s="6"/>
      <c r="D9" s="7"/>
      <c r="E9" s="223"/>
      <c r="F9" s="223">
        <f>+E8/F8-1</f>
        <v>-0.3447418688018421</v>
      </c>
      <c r="G9" s="223">
        <f t="shared" ref="G9:T9" si="0">+F8/G8-1</f>
        <v>0.17645066953978761</v>
      </c>
      <c r="H9" s="223">
        <f t="shared" si="0"/>
        <v>0.18372626899391475</v>
      </c>
      <c r="I9" s="223">
        <f t="shared" si="0"/>
        <v>-0.11756714390218415</v>
      </c>
      <c r="J9" s="223">
        <f t="shared" si="0"/>
        <v>7.5242886284272004E-2</v>
      </c>
      <c r="K9" s="223">
        <f t="shared" si="0"/>
        <v>0.37332921820469589</v>
      </c>
      <c r="L9" s="223">
        <f t="shared" si="0"/>
        <v>0.55144661964308739</v>
      </c>
      <c r="M9" s="223">
        <f t="shared" si="0"/>
        <v>-0.18645870789883734</v>
      </c>
      <c r="N9" s="223">
        <f t="shared" si="0"/>
        <v>0.84646028716076027</v>
      </c>
      <c r="O9" s="223">
        <f t="shared" si="0"/>
        <v>-0.4964125997854526</v>
      </c>
      <c r="P9" s="223">
        <f t="shared" si="0"/>
        <v>0.31564573481432601</v>
      </c>
      <c r="Q9" s="223">
        <f t="shared" si="0"/>
        <v>0.89753756260434048</v>
      </c>
      <c r="R9" s="223">
        <f t="shared" si="0"/>
        <v>-0.51538033676616823</v>
      </c>
      <c r="S9" s="223">
        <f t="shared" si="0"/>
        <v>1.1291584424905796</v>
      </c>
      <c r="T9" s="223">
        <f t="shared" si="0"/>
        <v>-0.31323014738502486</v>
      </c>
      <c r="U9" s="223"/>
      <c r="V9" s="223"/>
      <c r="W9" s="223"/>
      <c r="X9" s="223"/>
      <c r="Y9" s="223"/>
      <c r="Z9" s="223"/>
      <c r="AA9" s="223"/>
      <c r="AB9" s="223"/>
      <c r="AC9" s="223"/>
      <c r="AD9" s="223"/>
    </row>
    <row r="10" spans="1:30" x14ac:dyDescent="0.25">
      <c r="B10" s="6"/>
      <c r="C10" s="6"/>
      <c r="D10" s="7"/>
      <c r="E10" s="223"/>
      <c r="F10" s="223">
        <f>AVERAGE(F9:T9)</f>
        <v>0.17168045901308365</v>
      </c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</row>
    <row r="11" spans="1:30" x14ac:dyDescent="0.25">
      <c r="B11" s="6" t="s">
        <v>29</v>
      </c>
      <c r="C11" s="6" t="s">
        <v>29</v>
      </c>
      <c r="D11" s="7">
        <v>4057075</v>
      </c>
      <c r="E11" s="208">
        <v>24000</v>
      </c>
      <c r="F11" s="208">
        <v>21435</v>
      </c>
      <c r="G11" s="208">
        <v>19909</v>
      </c>
      <c r="H11" s="208">
        <v>18547</v>
      </c>
      <c r="I11" s="208">
        <v>16127</v>
      </c>
      <c r="J11" s="208">
        <v>14289</v>
      </c>
      <c r="K11" s="208">
        <v>12936</v>
      </c>
      <c r="L11" s="208">
        <v>11186</v>
      </c>
      <c r="M11" s="208">
        <v>9199</v>
      </c>
      <c r="N11" s="208">
        <v>8831</v>
      </c>
      <c r="O11" s="208">
        <v>8955</v>
      </c>
      <c r="P11" s="208">
        <v>8906</v>
      </c>
      <c r="Q11" s="208">
        <v>48618</v>
      </c>
      <c r="R11" s="208">
        <v>7904</v>
      </c>
      <c r="S11" s="208">
        <v>7898</v>
      </c>
      <c r="T11" s="208">
        <v>6112</v>
      </c>
      <c r="U11" s="208">
        <v>6696</v>
      </c>
      <c r="V11" s="208">
        <v>6405</v>
      </c>
      <c r="W11" s="208">
        <v>6036</v>
      </c>
      <c r="X11" s="208">
        <v>5808</v>
      </c>
      <c r="Y11" s="208">
        <v>5240</v>
      </c>
      <c r="Z11" s="208">
        <v>4943</v>
      </c>
      <c r="AA11" s="208">
        <v>4431</v>
      </c>
      <c r="AB11" s="208" t="s">
        <v>123</v>
      </c>
      <c r="AC11" s="208">
        <v>3365</v>
      </c>
      <c r="AD11" s="208">
        <v>2902</v>
      </c>
    </row>
    <row r="12" spans="1:30" x14ac:dyDescent="0.25">
      <c r="A12" s="1" t="s">
        <v>30</v>
      </c>
      <c r="B12" s="6" t="s">
        <v>31</v>
      </c>
      <c r="C12" s="6" t="s">
        <v>31</v>
      </c>
      <c r="D12" s="7">
        <v>4007784</v>
      </c>
      <c r="E12" s="208">
        <v>7847</v>
      </c>
      <c r="F12" s="208">
        <v>6800</v>
      </c>
      <c r="G12" s="208">
        <v>7280</v>
      </c>
      <c r="H12" s="208">
        <v>6777</v>
      </c>
      <c r="I12" s="208">
        <v>7210</v>
      </c>
      <c r="J12" s="208">
        <v>2406</v>
      </c>
      <c r="K12" s="208">
        <v>74</v>
      </c>
      <c r="L12" s="208">
        <v>1829</v>
      </c>
      <c r="M12" s="208">
        <v>5442</v>
      </c>
      <c r="N12" s="208">
        <v>4468</v>
      </c>
      <c r="O12" s="208">
        <v>4038</v>
      </c>
      <c r="P12" s="208">
        <v>3420</v>
      </c>
      <c r="Q12" s="208" t="s">
        <v>123</v>
      </c>
      <c r="R12" s="208">
        <v>1488</v>
      </c>
      <c r="S12" s="208">
        <v>1127</v>
      </c>
      <c r="T12" s="208">
        <v>853</v>
      </c>
      <c r="U12" s="208">
        <v>-1571</v>
      </c>
      <c r="V12" s="208">
        <v>-2265</v>
      </c>
      <c r="W12" s="208">
        <v>-1497</v>
      </c>
      <c r="X12" s="208">
        <v>-1496</v>
      </c>
      <c r="Y12" s="208">
        <v>-807</v>
      </c>
      <c r="Z12" s="208">
        <v>-661</v>
      </c>
      <c r="AA12" s="208">
        <v>747</v>
      </c>
      <c r="AB12" s="208">
        <v>643</v>
      </c>
      <c r="AC12" s="208">
        <v>816</v>
      </c>
      <c r="AD12" s="208">
        <v>1173</v>
      </c>
    </row>
    <row r="13" spans="1:30" x14ac:dyDescent="0.25">
      <c r="A13" s="1" t="s">
        <v>30</v>
      </c>
      <c r="B13" s="6" t="s">
        <v>32</v>
      </c>
      <c r="C13" s="6" t="s">
        <v>33</v>
      </c>
      <c r="D13" s="7">
        <v>4058656</v>
      </c>
      <c r="E13" s="208" t="s">
        <v>123</v>
      </c>
      <c r="F13" s="208" t="s">
        <v>123</v>
      </c>
      <c r="G13" s="208" t="s">
        <v>123</v>
      </c>
      <c r="H13" s="208" t="s">
        <v>123</v>
      </c>
      <c r="I13" s="208" t="s">
        <v>123</v>
      </c>
      <c r="J13" s="208" t="s">
        <v>123</v>
      </c>
      <c r="K13" s="208" t="s">
        <v>123</v>
      </c>
      <c r="L13" s="208" t="s">
        <v>123</v>
      </c>
      <c r="M13" s="208" t="s">
        <v>123</v>
      </c>
      <c r="N13" s="208" t="s">
        <v>123</v>
      </c>
      <c r="O13" s="208" t="s">
        <v>123</v>
      </c>
      <c r="P13" s="208" t="s">
        <v>123</v>
      </c>
      <c r="Q13" s="208" t="s">
        <v>123</v>
      </c>
      <c r="R13" s="208" t="s">
        <v>123</v>
      </c>
      <c r="S13" s="208" t="s">
        <v>123</v>
      </c>
      <c r="T13" s="208" t="s">
        <v>123</v>
      </c>
      <c r="U13" s="208" t="s">
        <v>123</v>
      </c>
      <c r="V13" s="208" t="s">
        <v>123</v>
      </c>
      <c r="W13" s="208" t="s">
        <v>123</v>
      </c>
      <c r="X13" s="208" t="s">
        <v>123</v>
      </c>
      <c r="Y13" s="208" t="s">
        <v>123</v>
      </c>
      <c r="Z13" s="208" t="s">
        <v>123</v>
      </c>
      <c r="AA13" s="208" t="s">
        <v>123</v>
      </c>
      <c r="AB13" s="208" t="s">
        <v>123</v>
      </c>
      <c r="AC13" s="208" t="s">
        <v>123</v>
      </c>
      <c r="AD13" s="208" t="s">
        <v>123</v>
      </c>
    </row>
    <row r="14" spans="1:30" x14ac:dyDescent="0.25">
      <c r="A14" s="1" t="s">
        <v>30</v>
      </c>
      <c r="B14" s="6" t="s">
        <v>34</v>
      </c>
      <c r="C14" s="6" t="s">
        <v>35</v>
      </c>
      <c r="D14" s="7">
        <v>4057110</v>
      </c>
      <c r="E14" s="208" t="s">
        <v>123</v>
      </c>
      <c r="F14" s="208" t="s">
        <v>123</v>
      </c>
      <c r="G14" s="208" t="s">
        <v>123</v>
      </c>
      <c r="H14" s="208" t="s">
        <v>123</v>
      </c>
      <c r="I14" s="208" t="s">
        <v>123</v>
      </c>
      <c r="J14" s="208" t="s">
        <v>123</v>
      </c>
      <c r="K14" s="208" t="s">
        <v>123</v>
      </c>
      <c r="L14" s="208" t="s">
        <v>123</v>
      </c>
      <c r="M14" s="208" t="s">
        <v>123</v>
      </c>
      <c r="N14" s="208" t="s">
        <v>123</v>
      </c>
      <c r="O14" s="208" t="s">
        <v>123</v>
      </c>
      <c r="P14" s="208" t="s">
        <v>123</v>
      </c>
      <c r="Q14" s="208" t="s">
        <v>123</v>
      </c>
      <c r="R14" s="208" t="s">
        <v>123</v>
      </c>
      <c r="S14" s="208" t="s">
        <v>123</v>
      </c>
      <c r="T14" s="208" t="s">
        <v>123</v>
      </c>
      <c r="U14" s="208" t="s">
        <v>123</v>
      </c>
      <c r="V14" s="208" t="s">
        <v>123</v>
      </c>
      <c r="W14" s="208" t="s">
        <v>123</v>
      </c>
      <c r="X14" s="208" t="s">
        <v>123</v>
      </c>
      <c r="Y14" s="208" t="s">
        <v>123</v>
      </c>
      <c r="Z14" s="208" t="s">
        <v>123</v>
      </c>
      <c r="AA14" s="208" t="s">
        <v>123</v>
      </c>
      <c r="AB14" s="208" t="s">
        <v>123</v>
      </c>
      <c r="AC14" s="208" t="s">
        <v>123</v>
      </c>
      <c r="AD14" s="208" t="s">
        <v>123</v>
      </c>
    </row>
    <row r="15" spans="1:30" x14ac:dyDescent="0.25">
      <c r="B15" s="6" t="s">
        <v>36</v>
      </c>
      <c r="C15" s="6" t="s">
        <v>36</v>
      </c>
      <c r="D15" s="7">
        <v>4058516</v>
      </c>
      <c r="E15" s="208">
        <v>8181</v>
      </c>
      <c r="F15" s="208">
        <v>9052</v>
      </c>
      <c r="G15" s="208">
        <v>13768</v>
      </c>
      <c r="H15" s="208">
        <v>15693</v>
      </c>
      <c r="I15" s="208">
        <v>17573</v>
      </c>
      <c r="J15" s="208">
        <v>15451</v>
      </c>
      <c r="K15" s="208">
        <v>16013</v>
      </c>
      <c r="L15" s="208">
        <v>14151</v>
      </c>
      <c r="M15" s="208">
        <v>12638</v>
      </c>
      <c r="N15" s="208">
        <v>13381</v>
      </c>
      <c r="O15" s="208">
        <v>16460</v>
      </c>
      <c r="P15" s="208">
        <v>15529</v>
      </c>
      <c r="Q15" s="208">
        <v>14172</v>
      </c>
      <c r="R15" s="208">
        <v>14622</v>
      </c>
      <c r="S15" s="208">
        <v>13768</v>
      </c>
      <c r="T15" s="208">
        <v>13053</v>
      </c>
      <c r="U15" s="208">
        <v>12681</v>
      </c>
      <c r="V15" s="208">
        <v>12736</v>
      </c>
      <c r="W15" s="208">
        <v>12040</v>
      </c>
      <c r="X15" s="208">
        <v>11128</v>
      </c>
      <c r="Y15" s="208">
        <v>10722</v>
      </c>
      <c r="Z15" s="208">
        <v>10961</v>
      </c>
      <c r="AA15" s="208">
        <v>10028</v>
      </c>
      <c r="AB15" s="208">
        <v>9164</v>
      </c>
      <c r="AC15" s="208">
        <v>8719</v>
      </c>
      <c r="AD15" s="208">
        <v>8417</v>
      </c>
    </row>
    <row r="16" spans="1:30" x14ac:dyDescent="0.25">
      <c r="B16" s="6" t="s">
        <v>37</v>
      </c>
      <c r="C16" s="6" t="s">
        <v>37</v>
      </c>
      <c r="D16" s="7">
        <v>4058793</v>
      </c>
      <c r="E16" s="208" t="s">
        <v>123</v>
      </c>
      <c r="F16" s="208" t="s">
        <v>123</v>
      </c>
      <c r="G16" s="208" t="s">
        <v>123</v>
      </c>
      <c r="H16" s="208" t="s">
        <v>123</v>
      </c>
      <c r="I16" s="208" t="s">
        <v>123</v>
      </c>
      <c r="J16" s="208" t="s">
        <v>123</v>
      </c>
      <c r="K16" s="208" t="s">
        <v>123</v>
      </c>
      <c r="L16" s="208" t="s">
        <v>123</v>
      </c>
      <c r="M16" s="208" t="s">
        <v>123</v>
      </c>
      <c r="N16" s="208" t="s">
        <v>123</v>
      </c>
      <c r="O16" s="208" t="s">
        <v>123</v>
      </c>
      <c r="P16" s="208" t="s">
        <v>123</v>
      </c>
      <c r="Q16" s="208" t="s">
        <v>123</v>
      </c>
      <c r="R16" s="208">
        <v>498</v>
      </c>
      <c r="S16" s="208">
        <v>393</v>
      </c>
      <c r="T16" s="208">
        <v>349</v>
      </c>
      <c r="U16" s="208">
        <v>347</v>
      </c>
      <c r="V16" s="208">
        <v>353</v>
      </c>
      <c r="W16" s="208" t="s">
        <v>123</v>
      </c>
      <c r="X16" s="208" t="s">
        <v>123</v>
      </c>
      <c r="Y16" s="208" t="s">
        <v>123</v>
      </c>
      <c r="Z16" s="208">
        <v>191</v>
      </c>
      <c r="AA16" s="208">
        <v>174</v>
      </c>
      <c r="AB16" s="208">
        <v>0</v>
      </c>
      <c r="AC16" s="208">
        <v>270</v>
      </c>
      <c r="AD16" s="208">
        <v>0</v>
      </c>
    </row>
    <row r="17" spans="1:30" x14ac:dyDescent="0.25">
      <c r="A17" s="1" t="s">
        <v>30</v>
      </c>
      <c r="B17" s="6" t="s">
        <v>38</v>
      </c>
      <c r="C17" s="6" t="s">
        <v>38</v>
      </c>
      <c r="D17" s="7">
        <v>4057111</v>
      </c>
      <c r="E17" s="208" t="s">
        <v>123</v>
      </c>
      <c r="F17" s="208" t="s">
        <v>123</v>
      </c>
      <c r="G17" s="208" t="s">
        <v>123</v>
      </c>
      <c r="H17" s="208" t="s">
        <v>123</v>
      </c>
      <c r="I17" s="208" t="s">
        <v>123</v>
      </c>
      <c r="J17" s="208" t="s">
        <v>123</v>
      </c>
      <c r="K17" s="208" t="s">
        <v>123</v>
      </c>
      <c r="L17" s="208" t="s">
        <v>123</v>
      </c>
      <c r="M17" s="208" t="s">
        <v>123</v>
      </c>
      <c r="N17" s="208" t="s">
        <v>123</v>
      </c>
      <c r="O17" s="208" t="s">
        <v>123</v>
      </c>
      <c r="P17" s="208" t="s">
        <v>123</v>
      </c>
      <c r="Q17" s="208" t="s">
        <v>123</v>
      </c>
      <c r="R17" s="208" t="s">
        <v>123</v>
      </c>
      <c r="S17" s="208" t="s">
        <v>123</v>
      </c>
      <c r="T17" s="208" t="s">
        <v>123</v>
      </c>
      <c r="U17" s="208" t="s">
        <v>123</v>
      </c>
      <c r="V17" s="208" t="s">
        <v>123</v>
      </c>
      <c r="W17" s="208" t="s">
        <v>123</v>
      </c>
      <c r="X17" s="208" t="s">
        <v>123</v>
      </c>
      <c r="Y17" s="208" t="s">
        <v>123</v>
      </c>
      <c r="Z17" s="208" t="s">
        <v>123</v>
      </c>
      <c r="AA17" s="208" t="s">
        <v>123</v>
      </c>
      <c r="AB17" s="208">
        <v>28232</v>
      </c>
      <c r="AC17" s="208">
        <v>24740</v>
      </c>
      <c r="AD17" s="208">
        <v>17196</v>
      </c>
    </row>
    <row r="18" spans="1:30" x14ac:dyDescent="0.25">
      <c r="A18" s="1" t="s">
        <v>30</v>
      </c>
      <c r="B18" s="6" t="s">
        <v>39</v>
      </c>
      <c r="C18" s="6" t="s">
        <v>39</v>
      </c>
      <c r="D18" s="7">
        <v>4018679</v>
      </c>
      <c r="E18" s="208">
        <v>82388</v>
      </c>
      <c r="F18" s="208">
        <v>76076</v>
      </c>
      <c r="G18" s="208">
        <v>42173</v>
      </c>
      <c r="H18" s="208">
        <v>44475</v>
      </c>
      <c r="I18" s="208">
        <v>37412</v>
      </c>
      <c r="J18" s="208">
        <v>58280</v>
      </c>
      <c r="K18" s="208">
        <v>50714</v>
      </c>
      <c r="L18" s="208">
        <v>49471</v>
      </c>
      <c r="M18" s="208">
        <v>45770</v>
      </c>
      <c r="N18" s="208">
        <v>47058</v>
      </c>
      <c r="O18" s="208">
        <v>53274</v>
      </c>
      <c r="P18" s="208">
        <v>51619</v>
      </c>
      <c r="Q18" s="208">
        <v>56089</v>
      </c>
      <c r="R18" s="208">
        <v>55832</v>
      </c>
      <c r="S18" s="208">
        <v>56770</v>
      </c>
      <c r="T18" s="208">
        <v>61182</v>
      </c>
      <c r="U18" s="208">
        <v>158826</v>
      </c>
      <c r="V18" s="208">
        <v>79009</v>
      </c>
      <c r="W18" s="208">
        <v>69551</v>
      </c>
      <c r="X18" s="208">
        <v>61877</v>
      </c>
      <c r="Y18" s="208">
        <v>58866</v>
      </c>
      <c r="Z18" s="208">
        <v>57039</v>
      </c>
      <c r="AA18" s="208">
        <v>49161</v>
      </c>
      <c r="AB18" s="208">
        <v>39351</v>
      </c>
      <c r="AC18" s="208">
        <v>41573</v>
      </c>
      <c r="AD18" s="208">
        <v>45993</v>
      </c>
    </row>
    <row r="19" spans="1:30" x14ac:dyDescent="0.25">
      <c r="B19" s="6" t="s">
        <v>40</v>
      </c>
      <c r="C19" s="6" t="s">
        <v>40</v>
      </c>
      <c r="D19" s="7">
        <v>4057112</v>
      </c>
      <c r="E19" s="208">
        <v>31306</v>
      </c>
      <c r="F19" s="208">
        <v>25911</v>
      </c>
      <c r="G19" s="208">
        <v>29116</v>
      </c>
      <c r="H19" s="208">
        <v>27375</v>
      </c>
      <c r="I19" s="208">
        <v>26398</v>
      </c>
      <c r="J19" s="208">
        <v>25786</v>
      </c>
      <c r="K19" s="208">
        <v>25700</v>
      </c>
      <c r="L19" s="208">
        <v>24832</v>
      </c>
      <c r="M19" s="208">
        <v>28356</v>
      </c>
      <c r="N19" s="208">
        <v>27731</v>
      </c>
      <c r="O19" s="208">
        <v>26878</v>
      </c>
      <c r="P19" s="208">
        <v>27219</v>
      </c>
      <c r="Q19" s="208">
        <v>29975</v>
      </c>
      <c r="R19" s="208">
        <v>29043</v>
      </c>
      <c r="S19" s="208">
        <v>26592</v>
      </c>
      <c r="T19" s="208">
        <v>24350</v>
      </c>
      <c r="U19" s="208">
        <v>22678</v>
      </c>
      <c r="V19" s="208">
        <v>20976</v>
      </c>
      <c r="W19" s="208">
        <v>14518</v>
      </c>
      <c r="X19" s="208">
        <v>19120</v>
      </c>
      <c r="Y19" s="208">
        <v>18131</v>
      </c>
      <c r="Z19" s="208">
        <v>17275</v>
      </c>
      <c r="AA19" s="208">
        <v>17352</v>
      </c>
      <c r="AB19" s="208">
        <v>28267</v>
      </c>
      <c r="AC19" s="208">
        <v>26197</v>
      </c>
      <c r="AD19" s="208">
        <v>23748</v>
      </c>
    </row>
    <row r="20" spans="1:30" x14ac:dyDescent="0.25">
      <c r="A20" s="1" t="s">
        <v>30</v>
      </c>
      <c r="B20" s="6" t="s">
        <v>41</v>
      </c>
      <c r="C20" s="6" t="s">
        <v>41</v>
      </c>
      <c r="D20" s="7">
        <v>4057076</v>
      </c>
      <c r="E20" s="208" t="s">
        <v>123</v>
      </c>
      <c r="F20" s="208">
        <v>0</v>
      </c>
      <c r="G20" s="208">
        <v>0</v>
      </c>
      <c r="H20" s="208">
        <v>0</v>
      </c>
      <c r="I20" s="208">
        <v>0</v>
      </c>
      <c r="J20" s="208">
        <v>0</v>
      </c>
      <c r="K20" s="208">
        <v>0</v>
      </c>
      <c r="L20" s="208">
        <v>0</v>
      </c>
      <c r="M20" s="208">
        <v>0</v>
      </c>
      <c r="N20" s="208">
        <v>0</v>
      </c>
      <c r="O20" s="208">
        <v>0</v>
      </c>
      <c r="P20" s="208">
        <v>0</v>
      </c>
      <c r="Q20" s="208">
        <v>0</v>
      </c>
      <c r="R20" s="208">
        <v>0</v>
      </c>
      <c r="S20" s="208">
        <v>0</v>
      </c>
      <c r="T20" s="208">
        <v>0</v>
      </c>
      <c r="U20" s="208">
        <v>0</v>
      </c>
      <c r="V20" s="208">
        <v>0</v>
      </c>
      <c r="W20" s="208">
        <v>0</v>
      </c>
      <c r="X20" s="208">
        <v>0</v>
      </c>
      <c r="Y20" s="208">
        <v>328</v>
      </c>
      <c r="Z20" s="208">
        <v>636</v>
      </c>
      <c r="AA20" s="208">
        <v>944</v>
      </c>
      <c r="AB20" s="208" t="s">
        <v>123</v>
      </c>
      <c r="AC20" s="208">
        <v>1560</v>
      </c>
      <c r="AD20" s="208">
        <v>1891</v>
      </c>
    </row>
    <row r="21" spans="1:30" x14ac:dyDescent="0.25">
      <c r="B21" s="6" t="s">
        <v>42</v>
      </c>
      <c r="C21" s="6" t="s">
        <v>42</v>
      </c>
      <c r="D21" s="7">
        <v>4059166</v>
      </c>
      <c r="E21" s="208">
        <v>10446</v>
      </c>
      <c r="F21" s="208">
        <v>11600</v>
      </c>
      <c r="G21" s="208">
        <v>11113</v>
      </c>
      <c r="H21" s="208">
        <v>11350</v>
      </c>
      <c r="I21" s="208">
        <v>10654</v>
      </c>
      <c r="J21" s="208">
        <v>10323</v>
      </c>
      <c r="K21" s="208">
        <v>9782</v>
      </c>
      <c r="L21" s="208">
        <v>6956</v>
      </c>
      <c r="M21" s="208">
        <v>6865</v>
      </c>
      <c r="N21" s="208">
        <v>6261</v>
      </c>
      <c r="O21" s="208">
        <v>5816</v>
      </c>
      <c r="P21" s="208">
        <v>6258</v>
      </c>
      <c r="Q21" s="208">
        <v>5228</v>
      </c>
      <c r="R21" s="208">
        <v>5785</v>
      </c>
      <c r="S21" s="208">
        <v>7098</v>
      </c>
      <c r="T21" s="208">
        <v>7040</v>
      </c>
      <c r="U21" s="208" t="s">
        <v>123</v>
      </c>
      <c r="V21" s="208" t="s">
        <v>123</v>
      </c>
      <c r="W21" s="208" t="s">
        <v>123</v>
      </c>
      <c r="X21" s="208" t="s">
        <v>123</v>
      </c>
      <c r="Y21" s="208">
        <v>4212</v>
      </c>
      <c r="Z21" s="208" t="s">
        <v>123</v>
      </c>
      <c r="AA21" s="208" t="s">
        <v>123</v>
      </c>
      <c r="AB21" s="208">
        <v>3922</v>
      </c>
      <c r="AC21" s="208">
        <v>3827</v>
      </c>
      <c r="AD21" s="208">
        <v>3178</v>
      </c>
    </row>
    <row r="22" spans="1:30" x14ac:dyDescent="0.25">
      <c r="B22" s="6" t="s">
        <v>43</v>
      </c>
      <c r="C22" s="6" t="s">
        <v>43</v>
      </c>
      <c r="D22" s="7">
        <v>4059227</v>
      </c>
      <c r="E22" s="208" t="s">
        <v>123</v>
      </c>
      <c r="F22" s="208" t="s">
        <v>123</v>
      </c>
      <c r="G22" s="208" t="s">
        <v>123</v>
      </c>
      <c r="H22" s="208" t="s">
        <v>123</v>
      </c>
      <c r="I22" s="208" t="s">
        <v>123</v>
      </c>
      <c r="J22" s="208" t="s">
        <v>123</v>
      </c>
      <c r="K22" s="208" t="s">
        <v>123</v>
      </c>
      <c r="L22" s="208" t="s">
        <v>123</v>
      </c>
      <c r="M22" s="208" t="s">
        <v>123</v>
      </c>
      <c r="N22" s="208" t="s">
        <v>123</v>
      </c>
      <c r="O22" s="208" t="s">
        <v>123</v>
      </c>
      <c r="P22" s="208" t="s">
        <v>123</v>
      </c>
      <c r="Q22" s="208" t="s">
        <v>123</v>
      </c>
      <c r="R22" s="208" t="s">
        <v>123</v>
      </c>
      <c r="S22" s="208" t="s">
        <v>123</v>
      </c>
      <c r="T22" s="208" t="s">
        <v>123</v>
      </c>
      <c r="U22" s="208" t="s">
        <v>123</v>
      </c>
      <c r="V22" s="208" t="s">
        <v>123</v>
      </c>
      <c r="W22" s="208" t="s">
        <v>123</v>
      </c>
      <c r="X22" s="208" t="s">
        <v>123</v>
      </c>
      <c r="Y22" s="208" t="s">
        <v>123</v>
      </c>
      <c r="Z22" s="208" t="s">
        <v>123</v>
      </c>
      <c r="AA22" s="208" t="s">
        <v>123</v>
      </c>
      <c r="AB22" s="208" t="s">
        <v>123</v>
      </c>
      <c r="AC22" s="208">
        <v>0</v>
      </c>
      <c r="AD22" s="208">
        <v>0</v>
      </c>
    </row>
    <row r="23" spans="1:30" x14ac:dyDescent="0.25">
      <c r="A23" s="1" t="s">
        <v>30</v>
      </c>
      <c r="B23" s="6" t="s">
        <v>44</v>
      </c>
      <c r="C23" s="6" t="s">
        <v>44</v>
      </c>
      <c r="D23" s="7">
        <v>4057114</v>
      </c>
      <c r="E23" s="208" t="s">
        <v>123</v>
      </c>
      <c r="F23" s="208" t="s">
        <v>123</v>
      </c>
      <c r="G23" s="208" t="s">
        <v>123</v>
      </c>
      <c r="H23" s="208" t="s">
        <v>123</v>
      </c>
      <c r="I23" s="208" t="s">
        <v>123</v>
      </c>
      <c r="J23" s="208" t="s">
        <v>123</v>
      </c>
      <c r="K23" s="208" t="s">
        <v>123</v>
      </c>
      <c r="L23" s="208" t="s">
        <v>123</v>
      </c>
      <c r="M23" s="208" t="s">
        <v>123</v>
      </c>
      <c r="N23" s="208" t="s">
        <v>123</v>
      </c>
      <c r="O23" s="208" t="s">
        <v>123</v>
      </c>
      <c r="P23" s="208" t="s">
        <v>123</v>
      </c>
      <c r="Q23" s="208" t="s">
        <v>123</v>
      </c>
      <c r="R23" s="208" t="s">
        <v>123</v>
      </c>
      <c r="S23" s="208" t="s">
        <v>123</v>
      </c>
      <c r="T23" s="208" t="s">
        <v>123</v>
      </c>
      <c r="U23" s="208" t="s">
        <v>123</v>
      </c>
      <c r="V23" s="208" t="s">
        <v>123</v>
      </c>
      <c r="W23" s="208" t="s">
        <v>123</v>
      </c>
      <c r="X23" s="208" t="s">
        <v>123</v>
      </c>
      <c r="Y23" s="208" t="s">
        <v>123</v>
      </c>
      <c r="Z23" s="208" t="s">
        <v>123</v>
      </c>
      <c r="AA23" s="208" t="s">
        <v>123</v>
      </c>
      <c r="AB23" s="208" t="s">
        <v>123</v>
      </c>
      <c r="AC23" s="208" t="s">
        <v>123</v>
      </c>
      <c r="AD23" s="208" t="s">
        <v>123</v>
      </c>
    </row>
    <row r="24" spans="1:30" x14ac:dyDescent="0.25">
      <c r="B24" s="6" t="s">
        <v>45</v>
      </c>
      <c r="C24" s="6" t="s">
        <v>45</v>
      </c>
      <c r="D24" s="7">
        <v>4059355</v>
      </c>
      <c r="E24" s="208">
        <v>248</v>
      </c>
      <c r="F24" s="208">
        <v>236</v>
      </c>
      <c r="G24" s="208">
        <v>291</v>
      </c>
      <c r="H24" s="208">
        <v>239</v>
      </c>
      <c r="I24" s="208">
        <v>227</v>
      </c>
      <c r="J24" s="208">
        <v>207</v>
      </c>
      <c r="K24" s="208">
        <v>538</v>
      </c>
      <c r="L24" s="208">
        <v>521</v>
      </c>
      <c r="M24" s="208">
        <v>953</v>
      </c>
      <c r="N24" s="208">
        <v>929</v>
      </c>
      <c r="O24" s="208">
        <v>907</v>
      </c>
      <c r="P24" s="208">
        <v>858</v>
      </c>
      <c r="Q24" s="208">
        <v>804</v>
      </c>
      <c r="R24" s="208">
        <v>568</v>
      </c>
      <c r="S24" s="208">
        <v>745</v>
      </c>
      <c r="T24" s="208">
        <v>775</v>
      </c>
      <c r="U24" s="208">
        <v>1045</v>
      </c>
      <c r="V24" s="208">
        <v>944</v>
      </c>
      <c r="W24" s="208">
        <v>662</v>
      </c>
      <c r="X24" s="208">
        <v>809</v>
      </c>
      <c r="Y24" s="208" t="s">
        <v>123</v>
      </c>
      <c r="Z24" s="208">
        <v>650</v>
      </c>
      <c r="AA24" s="208">
        <v>619</v>
      </c>
      <c r="AB24" s="208">
        <v>619</v>
      </c>
      <c r="AC24" s="208">
        <v>1777</v>
      </c>
      <c r="AD24" s="208">
        <v>1587</v>
      </c>
    </row>
    <row r="25" spans="1:30" x14ac:dyDescent="0.25">
      <c r="B25" s="6" t="s">
        <v>46</v>
      </c>
      <c r="C25" s="6" t="s">
        <v>46</v>
      </c>
      <c r="D25" s="7">
        <v>4088325</v>
      </c>
      <c r="E25" s="208">
        <v>1106</v>
      </c>
      <c r="F25" s="208">
        <v>1055</v>
      </c>
      <c r="G25" s="208">
        <v>988</v>
      </c>
      <c r="H25" s="208">
        <v>206</v>
      </c>
      <c r="I25" s="208">
        <v>224</v>
      </c>
      <c r="J25" s="208">
        <v>220</v>
      </c>
      <c r="K25" s="208">
        <v>182</v>
      </c>
      <c r="L25" s="208">
        <v>172</v>
      </c>
      <c r="M25" s="208">
        <v>169</v>
      </c>
      <c r="N25" s="208">
        <v>201</v>
      </c>
      <c r="O25" s="208">
        <v>262</v>
      </c>
      <c r="P25" s="208">
        <v>258</v>
      </c>
      <c r="Q25" s="208">
        <v>255</v>
      </c>
      <c r="R25" s="208">
        <v>243</v>
      </c>
      <c r="S25" s="208">
        <v>251</v>
      </c>
      <c r="T25" s="208">
        <v>222</v>
      </c>
      <c r="U25" s="208">
        <v>212</v>
      </c>
      <c r="V25" s="208">
        <v>213</v>
      </c>
      <c r="W25" s="208" t="s">
        <v>123</v>
      </c>
      <c r="X25" s="208" t="s">
        <v>123</v>
      </c>
      <c r="Y25" s="208" t="s">
        <v>123</v>
      </c>
      <c r="Z25" s="208">
        <v>225</v>
      </c>
      <c r="AA25" s="208">
        <v>205</v>
      </c>
      <c r="AB25" s="208">
        <v>181</v>
      </c>
      <c r="AC25" s="208">
        <v>600</v>
      </c>
      <c r="AD25" s="208">
        <v>581</v>
      </c>
    </row>
    <row r="26" spans="1:30" x14ac:dyDescent="0.25">
      <c r="B26" s="6" t="s">
        <v>47</v>
      </c>
      <c r="C26" s="6" t="s">
        <v>47</v>
      </c>
      <c r="D26" s="7">
        <v>4088326</v>
      </c>
      <c r="E26" s="208">
        <v>1181</v>
      </c>
      <c r="F26" s="208">
        <v>1181</v>
      </c>
      <c r="G26" s="208">
        <v>1230</v>
      </c>
      <c r="H26" s="208">
        <v>1121</v>
      </c>
      <c r="I26" s="208">
        <v>1326</v>
      </c>
      <c r="J26" s="208">
        <v>1960</v>
      </c>
      <c r="K26" s="208">
        <v>2340</v>
      </c>
      <c r="L26" s="208">
        <v>2340</v>
      </c>
      <c r="M26" s="208">
        <v>2841</v>
      </c>
      <c r="N26" s="208">
        <v>1910</v>
      </c>
      <c r="O26" s="208">
        <v>1982</v>
      </c>
      <c r="P26" s="208">
        <v>2739</v>
      </c>
      <c r="Q26" s="208">
        <v>5819</v>
      </c>
      <c r="R26" s="208">
        <v>5040</v>
      </c>
      <c r="S26" s="208">
        <v>5942</v>
      </c>
      <c r="T26" s="208">
        <v>6034</v>
      </c>
      <c r="U26" s="208">
        <v>5714</v>
      </c>
      <c r="V26" s="208">
        <v>7435</v>
      </c>
      <c r="W26" s="208">
        <v>6938</v>
      </c>
      <c r="X26" s="208">
        <v>6971</v>
      </c>
      <c r="Y26" s="208" t="s">
        <v>123</v>
      </c>
      <c r="Z26" s="208">
        <v>8535</v>
      </c>
      <c r="AA26" s="208">
        <v>22530</v>
      </c>
      <c r="AB26" s="208">
        <v>19602</v>
      </c>
      <c r="AC26" s="208">
        <v>17525</v>
      </c>
      <c r="AD26" s="208">
        <v>16095</v>
      </c>
    </row>
    <row r="27" spans="1:30" x14ac:dyDescent="0.25">
      <c r="A27" s="1" t="s">
        <v>30</v>
      </c>
      <c r="B27" s="6" t="s">
        <v>48</v>
      </c>
      <c r="C27" s="6" t="s">
        <v>48</v>
      </c>
      <c r="D27" s="7">
        <v>4059358</v>
      </c>
      <c r="E27" s="208" t="s">
        <v>123</v>
      </c>
      <c r="F27" s="208" t="s">
        <v>123</v>
      </c>
      <c r="G27" s="208" t="s">
        <v>123</v>
      </c>
      <c r="H27" s="208" t="s">
        <v>123</v>
      </c>
      <c r="I27" s="208" t="s">
        <v>123</v>
      </c>
      <c r="J27" s="208" t="s">
        <v>123</v>
      </c>
      <c r="K27" s="208" t="s">
        <v>123</v>
      </c>
      <c r="L27" s="208" t="s">
        <v>123</v>
      </c>
      <c r="M27" s="208" t="s">
        <v>123</v>
      </c>
      <c r="N27" s="208" t="s">
        <v>123</v>
      </c>
      <c r="O27" s="208" t="s">
        <v>123</v>
      </c>
      <c r="P27" s="208" t="s">
        <v>123</v>
      </c>
      <c r="Q27" s="208" t="s">
        <v>123</v>
      </c>
      <c r="R27" s="208" t="s">
        <v>123</v>
      </c>
      <c r="S27" s="208" t="s">
        <v>123</v>
      </c>
      <c r="T27" s="208" t="s">
        <v>123</v>
      </c>
      <c r="U27" s="208" t="s">
        <v>123</v>
      </c>
      <c r="V27" s="208" t="s">
        <v>123</v>
      </c>
      <c r="W27" s="208" t="s">
        <v>123</v>
      </c>
      <c r="X27" s="208" t="s">
        <v>123</v>
      </c>
      <c r="Y27" s="208">
        <v>7</v>
      </c>
      <c r="Z27" s="208" t="s">
        <v>123</v>
      </c>
      <c r="AA27" s="208" t="s">
        <v>123</v>
      </c>
      <c r="AB27" s="208" t="s">
        <v>123</v>
      </c>
      <c r="AC27" s="208" t="s">
        <v>123</v>
      </c>
      <c r="AD27" s="208" t="s">
        <v>123</v>
      </c>
    </row>
    <row r="28" spans="1:30" x14ac:dyDescent="0.25">
      <c r="B28" s="6" t="s">
        <v>49</v>
      </c>
      <c r="C28" s="6" t="s">
        <v>49</v>
      </c>
      <c r="D28" s="7">
        <v>4059359</v>
      </c>
      <c r="E28" s="208">
        <v>4295</v>
      </c>
      <c r="F28" s="208">
        <v>3218</v>
      </c>
      <c r="G28" s="208">
        <v>2336</v>
      </c>
      <c r="H28" s="208">
        <v>0</v>
      </c>
      <c r="I28" s="208">
        <v>1880</v>
      </c>
      <c r="J28" s="208">
        <v>1578</v>
      </c>
      <c r="K28" s="208">
        <v>1635</v>
      </c>
      <c r="L28" s="208">
        <v>1480</v>
      </c>
      <c r="M28" s="208">
        <v>1447</v>
      </c>
      <c r="N28" s="208">
        <v>1419</v>
      </c>
      <c r="O28" s="208">
        <v>1526</v>
      </c>
      <c r="P28" s="208">
        <v>1640</v>
      </c>
      <c r="Q28" s="208">
        <v>1807</v>
      </c>
      <c r="R28" s="208">
        <v>1730</v>
      </c>
      <c r="S28" s="208">
        <v>1750</v>
      </c>
      <c r="T28" s="208">
        <v>1772</v>
      </c>
      <c r="U28" s="208">
        <v>1656</v>
      </c>
      <c r="V28" s="208" t="s">
        <v>123</v>
      </c>
      <c r="W28" s="208" t="s">
        <v>123</v>
      </c>
      <c r="X28" s="208" t="s">
        <v>123</v>
      </c>
      <c r="Y28" s="208" t="s">
        <v>123</v>
      </c>
      <c r="Z28" s="208" t="s">
        <v>123</v>
      </c>
      <c r="AA28" s="208">
        <v>831</v>
      </c>
      <c r="AB28" s="208">
        <v>679</v>
      </c>
      <c r="AC28" s="208" t="s">
        <v>123</v>
      </c>
      <c r="AD28" s="208" t="s">
        <v>123</v>
      </c>
    </row>
    <row r="29" spans="1:30" x14ac:dyDescent="0.25">
      <c r="A29" s="1" t="s">
        <v>30</v>
      </c>
      <c r="B29" s="6" t="s">
        <v>50</v>
      </c>
      <c r="C29" s="6" t="s">
        <v>50</v>
      </c>
      <c r="D29" s="7">
        <v>4059402</v>
      </c>
      <c r="E29" s="208">
        <v>27537</v>
      </c>
      <c r="F29" s="208">
        <v>24618</v>
      </c>
      <c r="G29" s="208">
        <v>23909</v>
      </c>
      <c r="H29" s="208">
        <v>22431</v>
      </c>
      <c r="I29" s="208" t="s">
        <v>123</v>
      </c>
      <c r="J29" s="208">
        <v>19928</v>
      </c>
      <c r="K29" s="208">
        <v>18981</v>
      </c>
      <c r="L29" s="208">
        <v>17529</v>
      </c>
      <c r="M29" s="208">
        <v>16822</v>
      </c>
      <c r="N29" s="208">
        <v>16854</v>
      </c>
      <c r="O29" s="208">
        <v>16733</v>
      </c>
      <c r="P29" s="208">
        <v>14581</v>
      </c>
      <c r="Q29" s="208">
        <v>14097</v>
      </c>
      <c r="R29" s="208">
        <v>13004</v>
      </c>
      <c r="S29" s="208">
        <v>12053</v>
      </c>
      <c r="T29" s="208">
        <v>12044</v>
      </c>
      <c r="U29" s="208">
        <v>10637</v>
      </c>
      <c r="V29" s="208">
        <v>25749</v>
      </c>
      <c r="W29" s="208" t="s">
        <v>123</v>
      </c>
      <c r="X29" s="208" t="s">
        <v>123</v>
      </c>
      <c r="Y29" s="208" t="s">
        <v>123</v>
      </c>
      <c r="Z29" s="208">
        <v>19455</v>
      </c>
      <c r="AA29" s="208">
        <v>16390</v>
      </c>
      <c r="AB29" s="208">
        <v>15305</v>
      </c>
      <c r="AC29" s="208">
        <v>13307</v>
      </c>
      <c r="AD29" s="208">
        <v>13549</v>
      </c>
    </row>
    <row r="30" spans="1:30" x14ac:dyDescent="0.25">
      <c r="A30" s="1" t="s">
        <v>30</v>
      </c>
      <c r="B30" s="6" t="s">
        <v>51</v>
      </c>
      <c r="C30" s="6" t="s">
        <v>51</v>
      </c>
      <c r="D30" s="7">
        <v>4057080</v>
      </c>
      <c r="E30" s="208">
        <v>1405</v>
      </c>
      <c r="F30" s="208">
        <v>0</v>
      </c>
      <c r="G30" s="208">
        <v>0</v>
      </c>
      <c r="H30" s="208">
        <v>0</v>
      </c>
      <c r="I30" s="208">
        <v>-1</v>
      </c>
      <c r="J30" s="208">
        <v>0</v>
      </c>
      <c r="K30" s="208">
        <v>0</v>
      </c>
      <c r="L30" s="208">
        <v>5</v>
      </c>
      <c r="M30" s="208">
        <v>0</v>
      </c>
      <c r="N30" s="208">
        <v>0</v>
      </c>
      <c r="O30" s="208">
        <v>0</v>
      </c>
      <c r="P30" s="208">
        <v>0</v>
      </c>
      <c r="Q30" s="208">
        <v>0</v>
      </c>
      <c r="R30" s="208">
        <v>0</v>
      </c>
      <c r="S30" s="208">
        <v>0</v>
      </c>
      <c r="T30" s="208">
        <v>0</v>
      </c>
      <c r="U30" s="208">
        <v>0</v>
      </c>
      <c r="V30" s="208">
        <v>0</v>
      </c>
      <c r="W30" s="208">
        <v>0</v>
      </c>
      <c r="X30" s="208">
        <v>0</v>
      </c>
      <c r="Y30" s="208">
        <v>0</v>
      </c>
      <c r="Z30" s="208">
        <v>0</v>
      </c>
      <c r="AA30" s="208">
        <v>0</v>
      </c>
      <c r="AB30" s="208">
        <v>0</v>
      </c>
      <c r="AC30" s="208">
        <v>0</v>
      </c>
      <c r="AD30" s="208">
        <v>0</v>
      </c>
    </row>
    <row r="31" spans="1:30" x14ac:dyDescent="0.25">
      <c r="B31" s="6" t="s">
        <v>52</v>
      </c>
      <c r="C31" s="6" t="s">
        <v>52</v>
      </c>
      <c r="D31" s="7">
        <v>4057081</v>
      </c>
      <c r="E31" s="208">
        <v>103586</v>
      </c>
      <c r="F31" s="208">
        <v>86867</v>
      </c>
      <c r="G31" s="208">
        <v>73755</v>
      </c>
      <c r="H31" s="208">
        <v>61821</v>
      </c>
      <c r="I31" s="208">
        <v>53270</v>
      </c>
      <c r="J31" s="208">
        <v>45932</v>
      </c>
      <c r="K31" s="208">
        <v>40492</v>
      </c>
      <c r="L31" s="208">
        <v>38751</v>
      </c>
      <c r="M31" s="208">
        <v>34927</v>
      </c>
      <c r="N31" s="208">
        <v>32081</v>
      </c>
      <c r="O31" s="208">
        <v>27958</v>
      </c>
      <c r="P31" s="208">
        <v>26980</v>
      </c>
      <c r="Q31" s="208">
        <v>28665</v>
      </c>
      <c r="R31" s="208">
        <v>26055</v>
      </c>
      <c r="S31" s="208">
        <v>24459</v>
      </c>
      <c r="T31" s="208">
        <v>26737</v>
      </c>
      <c r="U31" s="208">
        <v>24724</v>
      </c>
      <c r="V31" s="208">
        <v>24418</v>
      </c>
      <c r="W31" s="208">
        <v>22042</v>
      </c>
      <c r="X31" s="208">
        <v>17836</v>
      </c>
      <c r="Y31" s="208">
        <v>22487</v>
      </c>
      <c r="Z31" s="208">
        <v>23036</v>
      </c>
      <c r="AA31" s="208">
        <v>21272</v>
      </c>
      <c r="AB31" s="208">
        <v>15225</v>
      </c>
      <c r="AC31" s="208">
        <v>18620</v>
      </c>
      <c r="AD31" s="208">
        <v>15110</v>
      </c>
    </row>
    <row r="32" spans="1:30" x14ac:dyDescent="0.25">
      <c r="A32" s="1" t="s">
        <v>30</v>
      </c>
      <c r="B32" s="6" t="s">
        <v>53</v>
      </c>
      <c r="C32" s="6" t="s">
        <v>53</v>
      </c>
      <c r="D32" s="7">
        <v>4059459</v>
      </c>
      <c r="E32" s="208">
        <v>8379</v>
      </c>
      <c r="F32" s="208">
        <v>8862</v>
      </c>
      <c r="G32" s="208">
        <v>8501</v>
      </c>
      <c r="H32" s="208">
        <v>8027</v>
      </c>
      <c r="I32" s="208">
        <v>10250</v>
      </c>
      <c r="J32" s="208">
        <v>6428</v>
      </c>
      <c r="K32" s="208">
        <v>5892</v>
      </c>
      <c r="L32" s="208">
        <v>5134</v>
      </c>
      <c r="M32" s="208">
        <v>5004</v>
      </c>
      <c r="N32" s="208">
        <v>4956</v>
      </c>
      <c r="O32" s="208">
        <v>4910</v>
      </c>
      <c r="P32" s="208">
        <v>4916</v>
      </c>
      <c r="Q32" s="208">
        <v>3687</v>
      </c>
      <c r="R32" s="208">
        <v>3501</v>
      </c>
      <c r="S32" s="208">
        <v>3321</v>
      </c>
      <c r="T32" s="208">
        <v>3128</v>
      </c>
      <c r="U32" s="208">
        <v>2900</v>
      </c>
      <c r="V32" s="208">
        <v>2689</v>
      </c>
      <c r="W32" s="208">
        <v>2573</v>
      </c>
      <c r="X32" s="208">
        <v>2376</v>
      </c>
      <c r="Y32" s="208">
        <v>2247</v>
      </c>
      <c r="Z32" s="208">
        <v>2039</v>
      </c>
      <c r="AA32" s="208">
        <v>2414</v>
      </c>
      <c r="AB32" s="208">
        <v>2150</v>
      </c>
      <c r="AC32" s="208">
        <v>1867</v>
      </c>
      <c r="AD32" s="208">
        <v>1713</v>
      </c>
    </row>
    <row r="33" spans="2:30" x14ac:dyDescent="0.25">
      <c r="B33" s="6" t="s">
        <v>54</v>
      </c>
      <c r="C33" s="6" t="s">
        <v>54</v>
      </c>
      <c r="D33" s="7">
        <v>4057118</v>
      </c>
      <c r="E33" s="208">
        <v>10855</v>
      </c>
      <c r="F33" s="208">
        <v>10595</v>
      </c>
      <c r="G33" s="208">
        <v>9902</v>
      </c>
      <c r="H33" s="208">
        <v>13647</v>
      </c>
      <c r="I33" s="208">
        <v>13451</v>
      </c>
      <c r="J33" s="208">
        <v>13240</v>
      </c>
      <c r="K33" s="208">
        <v>12909</v>
      </c>
      <c r="L33" s="208">
        <v>12810</v>
      </c>
      <c r="M33" s="208">
        <v>12517</v>
      </c>
      <c r="N33" s="208">
        <v>11912</v>
      </c>
      <c r="O33" s="208">
        <v>11570</v>
      </c>
      <c r="P33" s="208">
        <v>10824</v>
      </c>
      <c r="Q33" s="208">
        <v>10536</v>
      </c>
      <c r="R33" s="208">
        <v>10252</v>
      </c>
      <c r="S33" s="208">
        <v>9156</v>
      </c>
      <c r="T33" s="208">
        <v>9689</v>
      </c>
      <c r="U33" s="208">
        <v>9640</v>
      </c>
      <c r="V33" s="208">
        <v>9655</v>
      </c>
      <c r="W33" s="208">
        <v>9247</v>
      </c>
      <c r="X33" s="208">
        <v>9281</v>
      </c>
      <c r="Y33" s="208">
        <v>8847</v>
      </c>
      <c r="Z33" s="208">
        <v>8098</v>
      </c>
      <c r="AA33" s="208">
        <v>7576</v>
      </c>
      <c r="AB33" s="208">
        <v>6458</v>
      </c>
      <c r="AC33" s="208">
        <v>5685</v>
      </c>
      <c r="AD33" s="208">
        <v>5093</v>
      </c>
    </row>
    <row r="34" spans="2:30" x14ac:dyDescent="0.25">
      <c r="B34" s="6" t="s">
        <v>55</v>
      </c>
      <c r="C34" s="6" t="s">
        <v>55</v>
      </c>
      <c r="D34" s="7">
        <v>4057126</v>
      </c>
      <c r="E34" s="208">
        <v>97732</v>
      </c>
      <c r="F34" s="208">
        <v>112061</v>
      </c>
      <c r="G34" s="208">
        <v>120680</v>
      </c>
      <c r="H34" s="208">
        <v>113687</v>
      </c>
      <c r="I34" s="208">
        <v>108012</v>
      </c>
      <c r="J34" s="208">
        <v>114292</v>
      </c>
      <c r="K34" s="208">
        <v>117870</v>
      </c>
      <c r="L34" s="208">
        <v>123573</v>
      </c>
      <c r="M34" s="208">
        <v>131682</v>
      </c>
      <c r="N34" s="208">
        <v>147981</v>
      </c>
      <c r="O34" s="208">
        <v>147062</v>
      </c>
      <c r="P34" s="208">
        <v>160857</v>
      </c>
      <c r="Q34" s="208">
        <v>207680</v>
      </c>
      <c r="R34" s="208">
        <v>194922</v>
      </c>
      <c r="S34" s="208">
        <v>182394</v>
      </c>
      <c r="T34" s="208">
        <v>166820</v>
      </c>
      <c r="U34" s="208">
        <v>141319</v>
      </c>
      <c r="V34" s="208">
        <v>137328</v>
      </c>
      <c r="W34" s="208">
        <v>145195</v>
      </c>
      <c r="X34" s="208">
        <v>127549</v>
      </c>
      <c r="Y34" s="208">
        <v>118070</v>
      </c>
      <c r="Z34" s="208">
        <v>113171</v>
      </c>
      <c r="AA34" s="208">
        <v>97435</v>
      </c>
      <c r="AB34" s="208">
        <v>87320</v>
      </c>
      <c r="AC34" s="208">
        <v>84741</v>
      </c>
      <c r="AD34" s="208">
        <v>74150</v>
      </c>
    </row>
    <row r="35" spans="2:30" x14ac:dyDescent="0.25">
      <c r="B35" s="6" t="s">
        <v>56</v>
      </c>
      <c r="C35" s="6" t="s">
        <v>56</v>
      </c>
      <c r="D35" s="7">
        <v>4057103</v>
      </c>
      <c r="E35" s="208" t="s">
        <v>123</v>
      </c>
      <c r="F35" s="208">
        <v>80</v>
      </c>
      <c r="G35" s="208">
        <v>-112</v>
      </c>
      <c r="H35" s="208">
        <v>12</v>
      </c>
      <c r="I35" s="208" t="s">
        <v>123</v>
      </c>
      <c r="J35" s="208">
        <v>60</v>
      </c>
      <c r="K35" s="208">
        <v>60</v>
      </c>
      <c r="L35" s="208">
        <v>60</v>
      </c>
      <c r="M35" s="208">
        <v>60</v>
      </c>
      <c r="N35" s="208">
        <v>60</v>
      </c>
      <c r="O35" s="208">
        <v>325</v>
      </c>
      <c r="P35" s="208">
        <v>47</v>
      </c>
      <c r="Q35" s="208">
        <v>46</v>
      </c>
      <c r="R35" s="208">
        <v>46</v>
      </c>
      <c r="S35" s="208">
        <v>46</v>
      </c>
      <c r="T35" s="208">
        <v>46</v>
      </c>
      <c r="U35" s="208">
        <v>46</v>
      </c>
      <c r="V35" s="208">
        <v>151</v>
      </c>
      <c r="W35" s="208">
        <v>189</v>
      </c>
      <c r="X35" s="208" t="s">
        <v>123</v>
      </c>
      <c r="Y35" s="208" t="s">
        <v>123</v>
      </c>
      <c r="Z35" s="208">
        <v>1625</v>
      </c>
      <c r="AA35" s="208">
        <v>1505</v>
      </c>
      <c r="AB35" s="208">
        <v>1414</v>
      </c>
      <c r="AC35" s="208">
        <v>2033</v>
      </c>
      <c r="AD35" s="208">
        <v>1924</v>
      </c>
    </row>
    <row r="36" spans="2:30" x14ac:dyDescent="0.25">
      <c r="B36" s="6" t="s">
        <v>57</v>
      </c>
      <c r="C36" s="6" t="s">
        <v>57</v>
      </c>
      <c r="D36" s="7">
        <v>4057079</v>
      </c>
      <c r="E36" s="208">
        <v>24961</v>
      </c>
      <c r="F36" s="208">
        <v>22111</v>
      </c>
      <c r="G36" s="208">
        <v>18069</v>
      </c>
      <c r="H36" s="208">
        <v>15532</v>
      </c>
      <c r="I36" s="208">
        <v>13257</v>
      </c>
      <c r="J36" s="208">
        <v>11170</v>
      </c>
      <c r="K36" s="208">
        <v>8681</v>
      </c>
      <c r="L36" s="208">
        <v>6208</v>
      </c>
      <c r="M36" s="208">
        <v>4131</v>
      </c>
      <c r="N36" s="208">
        <v>1260</v>
      </c>
      <c r="O36" s="208">
        <v>2047</v>
      </c>
      <c r="P36" s="208">
        <v>971</v>
      </c>
      <c r="Q36" s="208">
        <v>881</v>
      </c>
      <c r="R36" s="208">
        <v>791</v>
      </c>
      <c r="S36" s="208">
        <v>678</v>
      </c>
      <c r="T36" s="208">
        <v>398</v>
      </c>
      <c r="U36" s="208">
        <v>46</v>
      </c>
      <c r="V36" s="208">
        <v>1034</v>
      </c>
      <c r="W36" s="208">
        <v>2037</v>
      </c>
      <c r="X36" s="208">
        <v>2856</v>
      </c>
      <c r="Y36" s="208">
        <v>4910</v>
      </c>
      <c r="Z36" s="208">
        <v>4720</v>
      </c>
      <c r="AA36" s="208">
        <v>4678</v>
      </c>
      <c r="AB36" s="208">
        <v>4625</v>
      </c>
      <c r="AC36" s="208">
        <v>6773</v>
      </c>
      <c r="AD36" s="208">
        <v>6101</v>
      </c>
    </row>
    <row r="37" spans="2:30" x14ac:dyDescent="0.25">
      <c r="B37" s="6" t="s">
        <v>58</v>
      </c>
      <c r="C37" s="6" t="s">
        <v>59</v>
      </c>
      <c r="D37" s="7">
        <v>4081251</v>
      </c>
      <c r="E37" s="208" t="s">
        <v>123</v>
      </c>
      <c r="F37" s="208" t="s">
        <v>123</v>
      </c>
      <c r="G37" s="208" t="s">
        <v>123</v>
      </c>
      <c r="H37" s="208" t="s">
        <v>123</v>
      </c>
      <c r="I37" s="208" t="s">
        <v>123</v>
      </c>
      <c r="J37" s="208" t="s">
        <v>123</v>
      </c>
      <c r="K37" s="208" t="s">
        <v>123</v>
      </c>
      <c r="L37" s="208" t="s">
        <v>123</v>
      </c>
      <c r="M37" s="208" t="s">
        <v>123</v>
      </c>
      <c r="N37" s="208" t="s">
        <v>123</v>
      </c>
      <c r="O37" s="208" t="s">
        <v>123</v>
      </c>
      <c r="P37" s="208" t="s">
        <v>123</v>
      </c>
      <c r="Q37" s="208" t="s">
        <v>123</v>
      </c>
      <c r="R37" s="208" t="s">
        <v>123</v>
      </c>
      <c r="S37" s="208" t="s">
        <v>123</v>
      </c>
      <c r="T37" s="208" t="s">
        <v>123</v>
      </c>
      <c r="U37" s="208" t="s">
        <v>123</v>
      </c>
      <c r="V37" s="208" t="s">
        <v>123</v>
      </c>
      <c r="W37" s="208" t="s">
        <v>123</v>
      </c>
      <c r="X37" s="208" t="s">
        <v>123</v>
      </c>
      <c r="Y37" s="208" t="s">
        <v>123</v>
      </c>
      <c r="Z37" s="208" t="s">
        <v>123</v>
      </c>
      <c r="AA37" s="208" t="s">
        <v>123</v>
      </c>
      <c r="AB37" s="208" t="s">
        <v>123</v>
      </c>
      <c r="AC37" s="208" t="s">
        <v>123</v>
      </c>
      <c r="AD37" s="208" t="s">
        <v>123</v>
      </c>
    </row>
    <row r="38" spans="2:30" x14ac:dyDescent="0.25">
      <c r="B38" s="6" t="s">
        <v>60</v>
      </c>
      <c r="C38" s="6" t="s">
        <v>60</v>
      </c>
      <c r="D38" s="7">
        <v>4060572</v>
      </c>
      <c r="E38" s="208">
        <v>4121</v>
      </c>
      <c r="F38" s="208">
        <v>2085</v>
      </c>
      <c r="G38" s="208">
        <v>3353</v>
      </c>
      <c r="H38" s="208">
        <v>2400</v>
      </c>
      <c r="I38" s="208">
        <v>3136</v>
      </c>
      <c r="J38" s="208">
        <v>3816</v>
      </c>
      <c r="K38" s="208">
        <v>3713</v>
      </c>
      <c r="L38" s="208">
        <v>3944</v>
      </c>
      <c r="M38" s="208">
        <v>4236</v>
      </c>
      <c r="N38" s="208">
        <v>4031</v>
      </c>
      <c r="O38" s="208">
        <v>3737</v>
      </c>
      <c r="P38" s="208">
        <v>3391</v>
      </c>
      <c r="Q38" s="208">
        <v>3712</v>
      </c>
      <c r="R38" s="208">
        <v>3823</v>
      </c>
      <c r="S38" s="208">
        <v>3772</v>
      </c>
      <c r="T38" s="208">
        <v>6168</v>
      </c>
      <c r="U38" s="208">
        <v>5785</v>
      </c>
      <c r="V38" s="208">
        <v>5572</v>
      </c>
      <c r="W38" s="208" t="s">
        <v>123</v>
      </c>
      <c r="X38" s="208" t="s">
        <v>123</v>
      </c>
      <c r="Y38" s="208" t="s">
        <v>123</v>
      </c>
      <c r="Z38" s="208" t="s">
        <v>123</v>
      </c>
      <c r="AA38" s="208" t="s">
        <v>123</v>
      </c>
      <c r="AB38" s="208">
        <v>4139</v>
      </c>
      <c r="AC38" s="208">
        <v>3478</v>
      </c>
      <c r="AD38" s="208" t="s">
        <v>123</v>
      </c>
    </row>
    <row r="39" spans="2:30" x14ac:dyDescent="0.25">
      <c r="B39" s="6" t="s">
        <v>61</v>
      </c>
      <c r="C39" s="6" t="s">
        <v>61</v>
      </c>
      <c r="D39" s="7">
        <v>4083318</v>
      </c>
      <c r="E39" s="208">
        <v>2350</v>
      </c>
      <c r="F39" s="208">
        <v>2294</v>
      </c>
      <c r="G39" s="208">
        <v>2402</v>
      </c>
      <c r="H39" s="208">
        <v>2402</v>
      </c>
      <c r="I39" s="208">
        <v>2289</v>
      </c>
      <c r="J39" s="208">
        <v>2070</v>
      </c>
      <c r="K39" s="208">
        <v>1954</v>
      </c>
      <c r="L39" s="208">
        <v>1823</v>
      </c>
      <c r="M39" s="208">
        <v>1686</v>
      </c>
      <c r="N39" s="208">
        <v>1467</v>
      </c>
      <c r="O39" s="208">
        <v>1467</v>
      </c>
      <c r="P39" s="208">
        <v>1457</v>
      </c>
      <c r="Q39" s="208">
        <v>1340</v>
      </c>
      <c r="R39" s="208" t="s">
        <v>123</v>
      </c>
      <c r="S39" s="208" t="s">
        <v>123</v>
      </c>
      <c r="T39" s="208" t="s">
        <v>123</v>
      </c>
      <c r="U39" s="208">
        <v>1118</v>
      </c>
      <c r="V39" s="208">
        <v>963</v>
      </c>
      <c r="W39" s="208">
        <v>1076</v>
      </c>
      <c r="X39" s="208" t="s">
        <v>123</v>
      </c>
      <c r="Y39" s="208" t="s">
        <v>123</v>
      </c>
      <c r="Z39" s="208" t="s">
        <v>123</v>
      </c>
      <c r="AA39" s="208" t="s">
        <v>123</v>
      </c>
      <c r="AB39" s="208" t="s">
        <v>123</v>
      </c>
      <c r="AC39" s="208">
        <v>862</v>
      </c>
      <c r="AD39" s="208">
        <v>825</v>
      </c>
    </row>
    <row r="40" spans="2:30" x14ac:dyDescent="0.25">
      <c r="B40" s="6" t="s">
        <v>62</v>
      </c>
      <c r="C40" s="6" t="s">
        <v>62</v>
      </c>
      <c r="D40" s="7">
        <v>4057125</v>
      </c>
      <c r="E40" s="208" t="s">
        <v>123</v>
      </c>
      <c r="F40" s="208" t="s">
        <v>123</v>
      </c>
      <c r="G40" s="208" t="s">
        <v>123</v>
      </c>
      <c r="H40" s="208" t="s">
        <v>123</v>
      </c>
      <c r="I40" s="208" t="s">
        <v>123</v>
      </c>
      <c r="J40" s="208" t="s">
        <v>123</v>
      </c>
      <c r="K40" s="208" t="s">
        <v>123</v>
      </c>
      <c r="L40" s="208" t="s">
        <v>123</v>
      </c>
      <c r="M40" s="208" t="s">
        <v>123</v>
      </c>
      <c r="N40" s="208" t="s">
        <v>123</v>
      </c>
      <c r="O40" s="208" t="s">
        <v>123</v>
      </c>
      <c r="P40" s="208" t="s">
        <v>123</v>
      </c>
      <c r="Q40" s="208" t="s">
        <v>123</v>
      </c>
      <c r="R40" s="208" t="s">
        <v>123</v>
      </c>
      <c r="S40" s="208" t="s">
        <v>123</v>
      </c>
      <c r="T40" s="208" t="s">
        <v>123</v>
      </c>
      <c r="U40" s="208" t="s">
        <v>123</v>
      </c>
      <c r="V40" s="208" t="s">
        <v>123</v>
      </c>
      <c r="W40" s="208" t="s">
        <v>123</v>
      </c>
      <c r="X40" s="208" t="s">
        <v>123</v>
      </c>
      <c r="Y40" s="208" t="s">
        <v>123</v>
      </c>
      <c r="Z40" s="208" t="s">
        <v>123</v>
      </c>
      <c r="AA40" s="208" t="s">
        <v>123</v>
      </c>
      <c r="AB40" s="208" t="s">
        <v>123</v>
      </c>
      <c r="AC40" s="208" t="s">
        <v>123</v>
      </c>
      <c r="AD40" s="208" t="s">
        <v>123</v>
      </c>
    </row>
    <row r="41" spans="2:30" x14ac:dyDescent="0.25">
      <c r="B41" s="6" t="s">
        <v>63</v>
      </c>
      <c r="C41" s="6" t="s">
        <v>63</v>
      </c>
      <c r="D41" s="7">
        <v>4087741</v>
      </c>
      <c r="E41" s="208" t="s">
        <v>123</v>
      </c>
      <c r="F41" s="208" t="s">
        <v>123</v>
      </c>
      <c r="G41" s="208">
        <v>44615</v>
      </c>
      <c r="H41" s="208">
        <v>43197</v>
      </c>
      <c r="I41" s="208">
        <v>42805</v>
      </c>
      <c r="J41" s="208">
        <v>41081</v>
      </c>
      <c r="K41" s="208">
        <v>39548</v>
      </c>
      <c r="L41" s="208">
        <v>36029</v>
      </c>
      <c r="M41" s="208">
        <v>38139</v>
      </c>
      <c r="N41" s="208">
        <v>33253</v>
      </c>
      <c r="O41" s="208">
        <v>33093</v>
      </c>
      <c r="P41" s="208">
        <v>31445</v>
      </c>
      <c r="Q41" s="208">
        <v>33481</v>
      </c>
      <c r="R41" s="208">
        <v>30974</v>
      </c>
      <c r="S41" s="208">
        <v>40129</v>
      </c>
      <c r="T41" s="208">
        <v>38418</v>
      </c>
      <c r="U41" s="208">
        <v>33041</v>
      </c>
      <c r="V41" s="208">
        <v>27740</v>
      </c>
      <c r="W41" s="208">
        <v>27573</v>
      </c>
      <c r="X41" s="208" t="s">
        <v>123</v>
      </c>
      <c r="Y41" s="208">
        <v>18268</v>
      </c>
      <c r="Z41" s="208" t="s">
        <v>123</v>
      </c>
      <c r="AA41" s="208" t="s">
        <v>123</v>
      </c>
      <c r="AB41" s="208" t="s">
        <v>123</v>
      </c>
      <c r="AC41" s="208" t="s">
        <v>123</v>
      </c>
      <c r="AD41" s="208" t="s">
        <v>123</v>
      </c>
    </row>
    <row r="42" spans="2:30" x14ac:dyDescent="0.25">
      <c r="B42" s="6" t="s">
        <v>64</v>
      </c>
      <c r="C42" s="6" t="s">
        <v>64</v>
      </c>
      <c r="D42" s="7">
        <v>4059875</v>
      </c>
      <c r="E42" s="208">
        <v>31423</v>
      </c>
      <c r="F42" s="208">
        <v>21311</v>
      </c>
      <c r="G42" s="208">
        <v>18705</v>
      </c>
      <c r="H42" s="208">
        <v>4924</v>
      </c>
      <c r="I42" s="208">
        <v>10932</v>
      </c>
      <c r="J42" s="208">
        <v>8280</v>
      </c>
      <c r="K42" s="208">
        <v>3663</v>
      </c>
      <c r="L42" s="208">
        <v>3562</v>
      </c>
      <c r="M42" s="208" t="s">
        <v>123</v>
      </c>
      <c r="N42" s="208" t="s">
        <v>123</v>
      </c>
      <c r="O42" s="208" t="s">
        <v>123</v>
      </c>
      <c r="P42" s="208" t="s">
        <v>123</v>
      </c>
      <c r="Q42" s="208" t="s">
        <v>123</v>
      </c>
      <c r="R42" s="208" t="s">
        <v>123</v>
      </c>
      <c r="S42" s="208" t="s">
        <v>123</v>
      </c>
      <c r="T42" s="208" t="s">
        <v>123</v>
      </c>
      <c r="U42" s="208" t="s">
        <v>123</v>
      </c>
      <c r="V42" s="208">
        <v>81</v>
      </c>
      <c r="W42" s="208" t="s">
        <v>123</v>
      </c>
      <c r="X42" s="208" t="s">
        <v>123</v>
      </c>
      <c r="Y42" s="208" t="s">
        <v>123</v>
      </c>
      <c r="Z42" s="208" t="s">
        <v>123</v>
      </c>
      <c r="AA42" s="208" t="s">
        <v>123</v>
      </c>
      <c r="AB42" s="208" t="s">
        <v>123</v>
      </c>
      <c r="AC42" s="208" t="s">
        <v>123</v>
      </c>
      <c r="AD42" s="208" t="s">
        <v>123</v>
      </c>
    </row>
    <row r="43" spans="2:30" x14ac:dyDescent="0.25">
      <c r="B43" s="6" t="s">
        <v>65</v>
      </c>
      <c r="C43" s="6" t="s">
        <v>65</v>
      </c>
      <c r="D43" s="7">
        <v>4057090</v>
      </c>
      <c r="E43" s="208">
        <v>6136</v>
      </c>
      <c r="F43" s="208">
        <v>6051</v>
      </c>
      <c r="G43" s="208">
        <v>5843</v>
      </c>
      <c r="H43" s="208">
        <v>5689</v>
      </c>
      <c r="I43" s="208">
        <v>5752</v>
      </c>
      <c r="J43" s="208">
        <v>5601</v>
      </c>
      <c r="K43" s="208">
        <v>5462</v>
      </c>
      <c r="L43" s="208">
        <v>5130</v>
      </c>
      <c r="M43" s="208">
        <v>4868</v>
      </c>
      <c r="N43" s="208">
        <v>4788</v>
      </c>
      <c r="O43" s="208">
        <v>-172</v>
      </c>
      <c r="P43" s="208">
        <v>6249</v>
      </c>
      <c r="Q43" s="208">
        <v>5911</v>
      </c>
      <c r="R43" s="208">
        <v>5623</v>
      </c>
      <c r="S43" s="208">
        <v>6789</v>
      </c>
      <c r="T43" s="208">
        <v>6413</v>
      </c>
      <c r="U43" s="208">
        <v>5886</v>
      </c>
      <c r="V43" s="208">
        <v>4923</v>
      </c>
      <c r="W43" s="208">
        <v>4988</v>
      </c>
      <c r="X43" s="208">
        <v>6260</v>
      </c>
      <c r="Y43" s="208">
        <v>6753</v>
      </c>
      <c r="Z43" s="208">
        <v>6414</v>
      </c>
      <c r="AA43" s="208">
        <v>5927</v>
      </c>
      <c r="AB43" s="208">
        <v>6690</v>
      </c>
      <c r="AC43" s="208">
        <v>5726</v>
      </c>
      <c r="AD43" s="208" t="s">
        <v>123</v>
      </c>
    </row>
    <row r="44" spans="2:30" x14ac:dyDescent="0.25">
      <c r="B44" s="6" t="s">
        <v>66</v>
      </c>
      <c r="C44" s="6" t="s">
        <v>66</v>
      </c>
      <c r="D44" s="7">
        <v>4008754</v>
      </c>
      <c r="E44" s="208">
        <v>2851</v>
      </c>
      <c r="F44" s="208">
        <v>2479</v>
      </c>
      <c r="G44" s="208">
        <v>1640</v>
      </c>
      <c r="H44" s="208">
        <v>1531</v>
      </c>
      <c r="I44" s="208">
        <v>1535</v>
      </c>
      <c r="J44" s="208">
        <v>2814</v>
      </c>
      <c r="K44" s="208">
        <v>2643</v>
      </c>
      <c r="L44" s="208">
        <v>2324</v>
      </c>
      <c r="M44" s="208">
        <v>2090</v>
      </c>
      <c r="N44" s="208">
        <v>1975</v>
      </c>
      <c r="O44" s="208">
        <v>1762</v>
      </c>
      <c r="P44" s="208">
        <v>1797</v>
      </c>
      <c r="Q44" s="208">
        <v>1661</v>
      </c>
      <c r="R44" s="208">
        <v>1539</v>
      </c>
      <c r="S44" s="208">
        <v>1684</v>
      </c>
      <c r="T44" s="208">
        <v>1524</v>
      </c>
      <c r="U44" s="208">
        <v>1997</v>
      </c>
      <c r="V44" s="208">
        <v>2488</v>
      </c>
      <c r="W44" s="208">
        <v>2772</v>
      </c>
      <c r="X44" s="208">
        <v>3192</v>
      </c>
      <c r="Y44" s="208">
        <v>3580</v>
      </c>
      <c r="Z44" s="208">
        <v>3934</v>
      </c>
      <c r="AA44" s="208">
        <v>4304</v>
      </c>
      <c r="AB44" s="208">
        <v>4691</v>
      </c>
      <c r="AC44" s="208">
        <v>5743</v>
      </c>
      <c r="AD44" s="208">
        <v>6114</v>
      </c>
    </row>
    <row r="45" spans="2:30" x14ac:dyDescent="0.25">
      <c r="B45" s="6" t="s">
        <v>67</v>
      </c>
      <c r="C45" s="6" t="s">
        <v>67</v>
      </c>
      <c r="D45" s="7">
        <v>4061474</v>
      </c>
      <c r="E45" s="208" t="s">
        <v>123</v>
      </c>
      <c r="F45" s="208" t="s">
        <v>123</v>
      </c>
      <c r="G45" s="208" t="s">
        <v>123</v>
      </c>
      <c r="H45" s="208" t="s">
        <v>123</v>
      </c>
      <c r="I45" s="208" t="s">
        <v>123</v>
      </c>
      <c r="J45" s="208" t="s">
        <v>123</v>
      </c>
      <c r="K45" s="208" t="s">
        <v>123</v>
      </c>
      <c r="L45" s="208" t="s">
        <v>123</v>
      </c>
      <c r="M45" s="208" t="s">
        <v>123</v>
      </c>
      <c r="N45" s="208" t="s">
        <v>123</v>
      </c>
      <c r="O45" s="208" t="s">
        <v>123</v>
      </c>
      <c r="P45" s="208" t="s">
        <v>123</v>
      </c>
      <c r="Q45" s="208" t="s">
        <v>123</v>
      </c>
      <c r="R45" s="208" t="s">
        <v>123</v>
      </c>
      <c r="S45" s="208" t="s">
        <v>123</v>
      </c>
      <c r="T45" s="208" t="s">
        <v>123</v>
      </c>
      <c r="U45" s="208" t="s">
        <v>123</v>
      </c>
      <c r="V45" s="208" t="s">
        <v>123</v>
      </c>
      <c r="W45" s="208" t="s">
        <v>123</v>
      </c>
      <c r="X45" s="208" t="s">
        <v>123</v>
      </c>
      <c r="Y45" s="208" t="s">
        <v>123</v>
      </c>
      <c r="Z45" s="208" t="s">
        <v>123</v>
      </c>
      <c r="AA45" s="208" t="s">
        <v>123</v>
      </c>
      <c r="AB45" s="208" t="s">
        <v>123</v>
      </c>
      <c r="AC45" s="208" t="s">
        <v>123</v>
      </c>
      <c r="AD45" s="208" t="s">
        <v>123</v>
      </c>
    </row>
    <row r="46" spans="2:30" x14ac:dyDescent="0.25">
      <c r="B46" s="6" t="s">
        <v>68</v>
      </c>
      <c r="C46" s="6" t="s">
        <v>68</v>
      </c>
      <c r="D46" s="7">
        <v>4076679</v>
      </c>
      <c r="E46" s="208">
        <v>1807</v>
      </c>
      <c r="F46" s="208">
        <v>1836</v>
      </c>
      <c r="G46" s="208">
        <v>1708</v>
      </c>
      <c r="H46" s="208">
        <v>1597</v>
      </c>
      <c r="I46" s="208">
        <v>1492</v>
      </c>
      <c r="J46" s="208">
        <v>1447</v>
      </c>
      <c r="K46" s="208">
        <v>1418</v>
      </c>
      <c r="L46" s="208">
        <v>1332</v>
      </c>
      <c r="M46" s="208">
        <v>1238</v>
      </c>
      <c r="N46" s="208">
        <v>1150</v>
      </c>
      <c r="O46" s="208">
        <v>1055</v>
      </c>
      <c r="P46" s="208">
        <v>995</v>
      </c>
      <c r="Q46" s="208">
        <v>940</v>
      </c>
      <c r="R46" s="208">
        <v>943</v>
      </c>
      <c r="S46" s="208">
        <v>854</v>
      </c>
      <c r="T46" s="208">
        <v>761</v>
      </c>
      <c r="U46" s="208">
        <v>665</v>
      </c>
      <c r="V46" s="208">
        <v>576</v>
      </c>
      <c r="W46" s="208">
        <v>501</v>
      </c>
      <c r="X46" s="208">
        <v>441</v>
      </c>
      <c r="Y46" s="208">
        <v>379</v>
      </c>
      <c r="Z46" s="208" t="s">
        <v>123</v>
      </c>
      <c r="AA46" s="208" t="s">
        <v>123</v>
      </c>
      <c r="AB46" s="208" t="s">
        <v>123</v>
      </c>
      <c r="AC46" s="208" t="s">
        <v>123</v>
      </c>
      <c r="AD46" s="208" t="s">
        <v>123</v>
      </c>
    </row>
    <row r="47" spans="2:30" x14ac:dyDescent="0.25">
      <c r="B47" s="6" t="s">
        <v>69</v>
      </c>
      <c r="C47" s="6" t="s">
        <v>69</v>
      </c>
      <c r="D47" s="7">
        <v>4061634</v>
      </c>
      <c r="E47" s="208">
        <v>16969</v>
      </c>
      <c r="F47" s="208">
        <v>16057</v>
      </c>
      <c r="G47" s="208">
        <v>15621</v>
      </c>
      <c r="H47" s="208">
        <v>15161</v>
      </c>
      <c r="I47" s="208">
        <v>14706</v>
      </c>
      <c r="J47" s="208">
        <v>17518</v>
      </c>
      <c r="K47" s="208">
        <v>18360</v>
      </c>
      <c r="L47" s="208">
        <v>17835</v>
      </c>
      <c r="M47" s="208">
        <v>18099</v>
      </c>
      <c r="N47" s="208">
        <v>19613</v>
      </c>
      <c r="O47" s="208">
        <v>20724</v>
      </c>
      <c r="P47" s="208">
        <v>19848</v>
      </c>
      <c r="Q47" s="208">
        <v>20162</v>
      </c>
      <c r="R47" s="208" t="s">
        <v>123</v>
      </c>
      <c r="S47" s="208" t="s">
        <v>123</v>
      </c>
      <c r="T47" s="208" t="s">
        <v>123</v>
      </c>
      <c r="U47" s="208">
        <v>30024</v>
      </c>
      <c r="V47" s="208" t="s">
        <v>123</v>
      </c>
      <c r="W47" s="208" t="s">
        <v>123</v>
      </c>
      <c r="X47" s="208" t="s">
        <v>123</v>
      </c>
      <c r="Y47" s="208" t="s">
        <v>123</v>
      </c>
      <c r="Z47" s="208">
        <v>18124</v>
      </c>
      <c r="AA47" s="208">
        <v>14938</v>
      </c>
      <c r="AB47" s="208">
        <v>13461</v>
      </c>
      <c r="AC47" s="208">
        <v>11298</v>
      </c>
      <c r="AD47" s="208">
        <v>10309</v>
      </c>
    </row>
    <row r="48" spans="2:30" x14ac:dyDescent="0.25">
      <c r="B48" s="6" t="s">
        <v>70</v>
      </c>
      <c r="C48" s="6" t="s">
        <v>70</v>
      </c>
      <c r="D48" s="7">
        <v>4061687</v>
      </c>
      <c r="E48" s="208">
        <v>83504</v>
      </c>
      <c r="F48" s="208">
        <v>74445</v>
      </c>
      <c r="G48" s="208">
        <v>65899</v>
      </c>
      <c r="H48" s="208">
        <v>55721</v>
      </c>
      <c r="I48" s="208">
        <v>46294</v>
      </c>
      <c r="J48" s="208">
        <v>42604</v>
      </c>
      <c r="K48" s="208">
        <v>38572</v>
      </c>
      <c r="L48" s="208">
        <v>35772</v>
      </c>
      <c r="M48" s="208">
        <v>33495</v>
      </c>
      <c r="N48" s="208">
        <v>32935</v>
      </c>
      <c r="O48" s="208">
        <v>29457</v>
      </c>
      <c r="P48" s="208">
        <v>26368</v>
      </c>
      <c r="Q48" s="208">
        <v>24536</v>
      </c>
      <c r="R48" s="208">
        <v>20454</v>
      </c>
      <c r="S48" s="208">
        <v>7734</v>
      </c>
      <c r="T48" s="208">
        <v>14008</v>
      </c>
      <c r="U48" s="208">
        <v>12120</v>
      </c>
      <c r="V48" s="208">
        <v>12420</v>
      </c>
      <c r="W48" s="208">
        <v>12062</v>
      </c>
      <c r="X48" s="208">
        <v>7116</v>
      </c>
      <c r="Y48" s="208" t="s">
        <v>123</v>
      </c>
      <c r="Z48" s="208">
        <v>9189</v>
      </c>
      <c r="AA48" s="208">
        <v>8006</v>
      </c>
      <c r="AB48" s="208">
        <v>9294</v>
      </c>
      <c r="AC48" s="208">
        <v>10547</v>
      </c>
      <c r="AD48" s="208">
        <v>10017</v>
      </c>
    </row>
    <row r="49" spans="1:30" x14ac:dyDescent="0.25">
      <c r="A49" s="1" t="s">
        <v>30</v>
      </c>
      <c r="B49" s="6" t="s">
        <v>71</v>
      </c>
      <c r="C49" s="6" t="s">
        <v>71</v>
      </c>
      <c r="D49" s="7">
        <v>4061755</v>
      </c>
      <c r="E49" s="208">
        <v>71238</v>
      </c>
      <c r="F49" s="208">
        <v>64304</v>
      </c>
      <c r="G49" s="208">
        <v>70191</v>
      </c>
      <c r="H49" s="208">
        <v>57941</v>
      </c>
      <c r="I49" s="208">
        <v>45913</v>
      </c>
      <c r="J49" s="208">
        <v>37325</v>
      </c>
      <c r="K49" s="208">
        <v>32063</v>
      </c>
      <c r="L49" s="208">
        <v>30468</v>
      </c>
      <c r="M49" s="208">
        <v>26187</v>
      </c>
      <c r="N49" s="208">
        <v>23779</v>
      </c>
      <c r="O49" s="208">
        <v>47079</v>
      </c>
      <c r="P49" s="208">
        <v>47079</v>
      </c>
      <c r="Q49" s="208">
        <v>45525</v>
      </c>
      <c r="R49" s="208">
        <v>43212</v>
      </c>
      <c r="S49" s="208">
        <v>40666</v>
      </c>
      <c r="T49" s="208">
        <v>43574</v>
      </c>
      <c r="U49" s="208">
        <v>43384</v>
      </c>
      <c r="V49" s="208">
        <v>44428</v>
      </c>
      <c r="W49" s="208">
        <v>40463</v>
      </c>
      <c r="X49" s="208">
        <v>36388</v>
      </c>
      <c r="Y49" s="208">
        <v>30882</v>
      </c>
      <c r="Z49" s="208">
        <v>34286</v>
      </c>
      <c r="AA49" s="208">
        <v>28080</v>
      </c>
      <c r="AB49" s="208">
        <v>23005</v>
      </c>
      <c r="AC49" s="208">
        <v>17536</v>
      </c>
      <c r="AD49" s="208">
        <v>16262</v>
      </c>
    </row>
    <row r="50" spans="1:30" x14ac:dyDescent="0.25">
      <c r="A50" s="1" t="s">
        <v>30</v>
      </c>
      <c r="B50" s="6" t="s">
        <v>72</v>
      </c>
      <c r="C50" s="6" t="s">
        <v>72</v>
      </c>
      <c r="D50" s="7">
        <v>4004389</v>
      </c>
      <c r="E50" s="208">
        <v>14458</v>
      </c>
      <c r="F50" s="208">
        <v>13800</v>
      </c>
      <c r="G50" s="208">
        <v>13184</v>
      </c>
      <c r="H50" s="208">
        <v>12394</v>
      </c>
      <c r="I50" s="208">
        <v>11713</v>
      </c>
      <c r="J50" s="208">
        <v>10763</v>
      </c>
      <c r="K50" s="208">
        <v>10517</v>
      </c>
      <c r="L50" s="208">
        <v>13684</v>
      </c>
      <c r="M50" s="208">
        <v>12438</v>
      </c>
      <c r="N50" s="208">
        <v>11237</v>
      </c>
      <c r="O50" s="208">
        <v>12960</v>
      </c>
      <c r="P50" s="208">
        <v>11642</v>
      </c>
      <c r="Q50" s="208">
        <v>10858</v>
      </c>
      <c r="R50" s="208">
        <v>9922</v>
      </c>
      <c r="S50" s="208">
        <v>8699</v>
      </c>
      <c r="T50" s="208">
        <v>7606</v>
      </c>
      <c r="U50" s="208">
        <v>7708</v>
      </c>
      <c r="V50" s="208">
        <v>11105</v>
      </c>
      <c r="W50" s="208">
        <v>11028</v>
      </c>
      <c r="X50" s="208">
        <v>9968</v>
      </c>
      <c r="Y50" s="208" t="s">
        <v>123</v>
      </c>
      <c r="Z50" s="208">
        <v>7229</v>
      </c>
      <c r="AA50" s="208">
        <v>6693</v>
      </c>
      <c r="AB50" s="208">
        <v>6648</v>
      </c>
      <c r="AC50" s="208">
        <v>5069</v>
      </c>
      <c r="AD50" s="208">
        <v>4329</v>
      </c>
    </row>
    <row r="51" spans="1:30" x14ac:dyDescent="0.25">
      <c r="A51" s="1" t="s">
        <v>30</v>
      </c>
      <c r="B51" s="6" t="s">
        <v>73</v>
      </c>
      <c r="C51" s="6" t="s">
        <v>73</v>
      </c>
      <c r="D51" s="7">
        <v>4057014</v>
      </c>
      <c r="E51" s="208">
        <v>45271</v>
      </c>
      <c r="F51" s="208">
        <v>44074</v>
      </c>
      <c r="G51" s="208">
        <v>42178</v>
      </c>
      <c r="H51" s="208">
        <v>38991</v>
      </c>
      <c r="I51" s="208">
        <v>35456</v>
      </c>
      <c r="J51" s="208">
        <v>43358</v>
      </c>
      <c r="K51" s="208">
        <v>39470</v>
      </c>
      <c r="L51" s="208">
        <v>35662</v>
      </c>
      <c r="M51" s="208">
        <v>46323</v>
      </c>
      <c r="N51" s="208">
        <v>28635</v>
      </c>
      <c r="O51" s="208">
        <v>25090</v>
      </c>
      <c r="P51" s="208">
        <v>21871</v>
      </c>
      <c r="Q51" s="208">
        <v>29144</v>
      </c>
      <c r="R51" s="208">
        <v>25231</v>
      </c>
      <c r="S51" s="208">
        <v>13187</v>
      </c>
      <c r="T51" s="208">
        <v>17256</v>
      </c>
      <c r="U51" s="208">
        <v>15132</v>
      </c>
      <c r="V51" s="208">
        <v>12731</v>
      </c>
      <c r="W51" s="208">
        <v>15954</v>
      </c>
      <c r="X51" s="208">
        <v>13655</v>
      </c>
      <c r="Y51" s="208">
        <v>9841</v>
      </c>
      <c r="Z51" s="208">
        <v>7314</v>
      </c>
      <c r="AA51" s="208" t="s">
        <v>123</v>
      </c>
      <c r="AB51" s="208">
        <v>4722</v>
      </c>
      <c r="AC51" s="208">
        <v>2516</v>
      </c>
      <c r="AD51" s="208">
        <v>999</v>
      </c>
    </row>
    <row r="52" spans="1:30" x14ac:dyDescent="0.25">
      <c r="B52" s="6" t="s">
        <v>74</v>
      </c>
      <c r="C52" s="6" t="s">
        <v>74</v>
      </c>
      <c r="D52" s="7">
        <v>4057130</v>
      </c>
      <c r="E52" s="208">
        <v>8137</v>
      </c>
      <c r="F52" s="208">
        <v>7687</v>
      </c>
      <c r="G52" s="208">
        <v>7650</v>
      </c>
      <c r="H52" s="208">
        <v>7440</v>
      </c>
      <c r="I52" s="208">
        <v>7188</v>
      </c>
      <c r="J52" s="208">
        <v>9016</v>
      </c>
      <c r="K52" s="208">
        <v>8623</v>
      </c>
      <c r="L52" s="208">
        <v>7852</v>
      </c>
      <c r="M52" s="208">
        <v>7390</v>
      </c>
      <c r="N52" s="208">
        <v>6974</v>
      </c>
      <c r="O52" s="208">
        <v>7033</v>
      </c>
      <c r="P52" s="208">
        <v>9230</v>
      </c>
      <c r="Q52" s="208">
        <v>8678</v>
      </c>
      <c r="R52" s="208">
        <v>7832</v>
      </c>
      <c r="S52" s="208">
        <v>8643</v>
      </c>
      <c r="T52" s="208">
        <v>8500</v>
      </c>
      <c r="U52" s="208">
        <v>9205</v>
      </c>
      <c r="V52" s="208">
        <v>8525</v>
      </c>
      <c r="W52" s="208">
        <v>8484</v>
      </c>
      <c r="X52" s="208">
        <v>8356</v>
      </c>
      <c r="Y52" s="208">
        <v>8211</v>
      </c>
      <c r="Z52" s="208">
        <v>7879</v>
      </c>
      <c r="AA52" s="208">
        <v>7165</v>
      </c>
      <c r="AB52" s="208">
        <v>6343</v>
      </c>
      <c r="AC52" s="208">
        <v>6081</v>
      </c>
      <c r="AD52" s="208" t="s">
        <v>123</v>
      </c>
    </row>
    <row r="53" spans="1:30" x14ac:dyDescent="0.25">
      <c r="B53" s="6" t="s">
        <v>75</v>
      </c>
      <c r="C53" s="6" t="s">
        <v>75</v>
      </c>
      <c r="D53" s="7">
        <v>4057131</v>
      </c>
      <c r="E53" s="208">
        <v>174352</v>
      </c>
      <c r="F53" s="208">
        <v>163976</v>
      </c>
      <c r="G53" s="208">
        <v>151760</v>
      </c>
      <c r="H53" s="208">
        <v>145649</v>
      </c>
      <c r="I53" s="208">
        <v>150737</v>
      </c>
      <c r="J53" s="208">
        <v>157151</v>
      </c>
      <c r="K53" s="208">
        <v>158457</v>
      </c>
      <c r="L53" s="208">
        <v>155472</v>
      </c>
      <c r="M53" s="208">
        <v>208885</v>
      </c>
      <c r="N53" s="208">
        <v>200428</v>
      </c>
      <c r="O53" s="208">
        <v>183792</v>
      </c>
      <c r="P53" s="208">
        <v>172593</v>
      </c>
      <c r="Q53" s="208">
        <v>159930</v>
      </c>
      <c r="R53" s="208">
        <v>143255</v>
      </c>
      <c r="S53" s="208">
        <v>126980</v>
      </c>
      <c r="T53" s="208">
        <v>130135</v>
      </c>
      <c r="U53" s="208">
        <v>126079</v>
      </c>
      <c r="V53" s="208">
        <v>116381</v>
      </c>
      <c r="W53" s="208">
        <v>108022</v>
      </c>
      <c r="X53" s="208">
        <v>100711</v>
      </c>
      <c r="Y53" s="208">
        <v>99562</v>
      </c>
      <c r="Z53" s="208">
        <v>91914</v>
      </c>
      <c r="AA53" s="208">
        <v>82123</v>
      </c>
      <c r="AB53" s="208">
        <v>72017</v>
      </c>
      <c r="AC53" s="208">
        <v>64515</v>
      </c>
      <c r="AD53" s="208">
        <v>55809</v>
      </c>
    </row>
    <row r="54" spans="1:30" x14ac:dyDescent="0.25">
      <c r="B54" s="6" t="s">
        <v>76</v>
      </c>
      <c r="C54" s="6" t="s">
        <v>76</v>
      </c>
      <c r="D54" s="7">
        <v>4012860</v>
      </c>
      <c r="E54" s="208">
        <v>-77207</v>
      </c>
      <c r="F54" s="208">
        <v>-59933</v>
      </c>
      <c r="G54" s="208">
        <v>-39625</v>
      </c>
      <c r="H54" s="208">
        <v>-6494</v>
      </c>
      <c r="I54" s="208">
        <v>6020</v>
      </c>
      <c r="J54" s="208">
        <v>21757</v>
      </c>
      <c r="K54" s="208">
        <v>24840</v>
      </c>
      <c r="L54" s="208">
        <v>30381</v>
      </c>
      <c r="M54" s="208">
        <v>33278</v>
      </c>
      <c r="N54" s="208">
        <v>40576</v>
      </c>
      <c r="O54" s="208">
        <v>36658</v>
      </c>
      <c r="P54" s="208">
        <v>38248</v>
      </c>
      <c r="Q54" s="208">
        <v>39348</v>
      </c>
      <c r="R54" s="208">
        <v>40600</v>
      </c>
      <c r="S54" s="208">
        <v>46327</v>
      </c>
      <c r="T54" s="208">
        <v>45731</v>
      </c>
      <c r="U54" s="208">
        <v>43241</v>
      </c>
      <c r="V54" s="208">
        <v>46909</v>
      </c>
      <c r="W54" s="208">
        <v>43750</v>
      </c>
      <c r="X54" s="208">
        <v>107836</v>
      </c>
      <c r="Y54" s="208">
        <v>39483</v>
      </c>
      <c r="Z54" s="208">
        <v>37753</v>
      </c>
      <c r="AA54" s="208">
        <v>34463</v>
      </c>
      <c r="AB54" s="208">
        <v>31240</v>
      </c>
      <c r="AC54" s="208">
        <v>32819</v>
      </c>
      <c r="AD54" s="208">
        <v>37579</v>
      </c>
    </row>
    <row r="55" spans="1:30" x14ac:dyDescent="0.25">
      <c r="B55" s="6" t="s">
        <v>77</v>
      </c>
      <c r="C55" s="6" t="s">
        <v>78</v>
      </c>
      <c r="D55" s="7">
        <v>4061925</v>
      </c>
      <c r="E55" s="208">
        <v>12124</v>
      </c>
      <c r="F55" s="208">
        <v>11171</v>
      </c>
      <c r="G55" s="208">
        <v>9618</v>
      </c>
      <c r="H55" s="208">
        <v>9852</v>
      </c>
      <c r="I55" s="208">
        <v>8692</v>
      </c>
      <c r="J55" s="208">
        <v>8289</v>
      </c>
      <c r="K55" s="208">
        <v>6300</v>
      </c>
      <c r="L55" s="208">
        <v>5081</v>
      </c>
      <c r="M55" s="208">
        <v>4639</v>
      </c>
      <c r="N55" s="208">
        <v>4215</v>
      </c>
      <c r="O55" s="208">
        <v>3450</v>
      </c>
      <c r="P55" s="208">
        <v>3212</v>
      </c>
      <c r="Q55" s="208">
        <v>2081</v>
      </c>
      <c r="R55" s="208">
        <v>1879</v>
      </c>
      <c r="S55" s="208">
        <v>1976</v>
      </c>
      <c r="T55" s="208">
        <v>1738</v>
      </c>
      <c r="U55" s="208">
        <v>1533</v>
      </c>
      <c r="V55" s="208">
        <v>1348</v>
      </c>
      <c r="W55" s="208">
        <v>1535</v>
      </c>
      <c r="X55" s="208">
        <v>1445</v>
      </c>
      <c r="Y55" s="208">
        <v>1349</v>
      </c>
      <c r="Z55" s="208">
        <v>1248</v>
      </c>
      <c r="AA55" s="208">
        <v>1459</v>
      </c>
      <c r="AB55" s="208">
        <v>1152</v>
      </c>
      <c r="AC55" s="208">
        <v>1128</v>
      </c>
      <c r="AD55" s="208">
        <v>1098</v>
      </c>
    </row>
    <row r="56" spans="1:30" x14ac:dyDescent="0.25">
      <c r="B56" s="6" t="s">
        <v>79</v>
      </c>
      <c r="C56" s="6" t="s">
        <v>79</v>
      </c>
      <c r="D56" s="7">
        <v>4057132</v>
      </c>
      <c r="E56" s="208" t="s">
        <v>123</v>
      </c>
      <c r="F56" s="208" t="s">
        <v>123</v>
      </c>
      <c r="G56" s="208" t="s">
        <v>123</v>
      </c>
      <c r="H56" s="208">
        <v>126728</v>
      </c>
      <c r="I56" s="208">
        <v>119532</v>
      </c>
      <c r="J56" s="208">
        <v>118388</v>
      </c>
      <c r="K56" s="208">
        <v>118935</v>
      </c>
      <c r="L56" s="208">
        <v>135401</v>
      </c>
      <c r="M56" s="208">
        <v>128985</v>
      </c>
      <c r="N56" s="208">
        <v>119935</v>
      </c>
      <c r="O56" s="208">
        <v>112051</v>
      </c>
      <c r="P56" s="208">
        <v>112074</v>
      </c>
      <c r="Q56" s="208">
        <v>106838</v>
      </c>
      <c r="R56" s="208" t="s">
        <v>123</v>
      </c>
      <c r="S56" s="208" t="s">
        <v>123</v>
      </c>
      <c r="T56" s="208" t="s">
        <v>123</v>
      </c>
      <c r="U56" s="208" t="s">
        <v>123</v>
      </c>
      <c r="V56" s="208" t="s">
        <v>123</v>
      </c>
      <c r="W56" s="208">
        <v>25516</v>
      </c>
      <c r="X56" s="208">
        <v>21135</v>
      </c>
      <c r="Y56" s="208">
        <v>24206</v>
      </c>
      <c r="Z56" s="208">
        <v>31090</v>
      </c>
      <c r="AA56" s="208">
        <v>22523</v>
      </c>
      <c r="AB56" s="208">
        <v>19837</v>
      </c>
      <c r="AC56" s="208">
        <v>17643</v>
      </c>
      <c r="AD56" s="208">
        <v>16899</v>
      </c>
    </row>
    <row r="57" spans="1:30" x14ac:dyDescent="0.25">
      <c r="A57" s="1" t="s">
        <v>30</v>
      </c>
      <c r="B57" s="6" t="s">
        <v>80</v>
      </c>
      <c r="C57" s="6" t="s">
        <v>80</v>
      </c>
      <c r="D57" s="7">
        <v>4057115</v>
      </c>
      <c r="E57" s="208" t="s">
        <v>123</v>
      </c>
      <c r="F57" s="208" t="s">
        <v>123</v>
      </c>
      <c r="G57" s="208" t="s">
        <v>123</v>
      </c>
      <c r="H57" s="208" t="s">
        <v>123</v>
      </c>
      <c r="I57" s="208" t="s">
        <v>123</v>
      </c>
      <c r="J57" s="208" t="s">
        <v>123</v>
      </c>
      <c r="K57" s="208" t="s">
        <v>123</v>
      </c>
      <c r="L57" s="208" t="s">
        <v>123</v>
      </c>
      <c r="M57" s="208" t="s">
        <v>123</v>
      </c>
      <c r="N57" s="208" t="s">
        <v>123</v>
      </c>
      <c r="O57" s="208" t="s">
        <v>123</v>
      </c>
      <c r="P57" s="208" t="s">
        <v>123</v>
      </c>
      <c r="Q57" s="208" t="s">
        <v>123</v>
      </c>
      <c r="R57" s="208" t="s">
        <v>123</v>
      </c>
      <c r="S57" s="208" t="s">
        <v>123</v>
      </c>
      <c r="T57" s="208" t="s">
        <v>123</v>
      </c>
      <c r="U57" s="208" t="s">
        <v>123</v>
      </c>
      <c r="V57" s="208" t="s">
        <v>123</v>
      </c>
      <c r="W57" s="208" t="s">
        <v>123</v>
      </c>
      <c r="X57" s="208" t="s">
        <v>123</v>
      </c>
      <c r="Y57" s="208" t="s">
        <v>123</v>
      </c>
      <c r="Z57" s="208" t="s">
        <v>123</v>
      </c>
      <c r="AA57" s="208" t="s">
        <v>123</v>
      </c>
      <c r="AB57" s="208" t="s">
        <v>123</v>
      </c>
      <c r="AC57" s="208" t="s">
        <v>123</v>
      </c>
      <c r="AD57" s="208" t="s">
        <v>123</v>
      </c>
    </row>
    <row r="58" spans="1:30" x14ac:dyDescent="0.25">
      <c r="B58" s="6" t="s">
        <v>81</v>
      </c>
      <c r="C58" s="6" t="s">
        <v>81</v>
      </c>
      <c r="D58" s="7">
        <v>4064479</v>
      </c>
      <c r="E58" s="208">
        <v>3218</v>
      </c>
      <c r="F58" s="208">
        <v>3176</v>
      </c>
      <c r="G58" s="208">
        <v>3071</v>
      </c>
      <c r="H58" s="208">
        <v>2913</v>
      </c>
      <c r="I58" s="208">
        <v>3495</v>
      </c>
      <c r="J58" s="208">
        <v>6038</v>
      </c>
      <c r="K58" s="208">
        <v>5521</v>
      </c>
      <c r="L58" s="208">
        <v>5083</v>
      </c>
      <c r="M58" s="208">
        <v>4508</v>
      </c>
      <c r="N58" s="208">
        <v>4021</v>
      </c>
      <c r="O58" s="208">
        <v>3705</v>
      </c>
      <c r="P58" s="208">
        <v>3336</v>
      </c>
      <c r="Q58" s="208">
        <v>2977</v>
      </c>
      <c r="R58" s="208">
        <v>2695</v>
      </c>
      <c r="S58" s="208">
        <v>2503</v>
      </c>
      <c r="T58" s="208">
        <v>2404</v>
      </c>
      <c r="U58" s="208">
        <v>2394</v>
      </c>
      <c r="V58" s="208">
        <v>2315</v>
      </c>
      <c r="W58" s="208">
        <v>1612</v>
      </c>
      <c r="X58" s="208">
        <v>2030</v>
      </c>
      <c r="Y58" s="208">
        <v>1936</v>
      </c>
      <c r="Z58" s="208">
        <v>1736</v>
      </c>
      <c r="AA58" s="208">
        <v>1601</v>
      </c>
      <c r="AB58" s="208">
        <v>1477</v>
      </c>
      <c r="AC58" s="208">
        <v>1351</v>
      </c>
      <c r="AD58" s="208">
        <v>1171</v>
      </c>
    </row>
    <row r="59" spans="1:30" x14ac:dyDescent="0.25">
      <c r="B59" s="6" t="s">
        <v>82</v>
      </c>
      <c r="C59" s="6" t="s">
        <v>82</v>
      </c>
      <c r="D59" s="7">
        <v>4062025</v>
      </c>
      <c r="E59" s="208" t="s">
        <v>123</v>
      </c>
      <c r="F59" s="208" t="s">
        <v>123</v>
      </c>
      <c r="G59" s="208" t="s">
        <v>123</v>
      </c>
      <c r="H59" s="208" t="s">
        <v>123</v>
      </c>
      <c r="I59" s="208" t="s">
        <v>123</v>
      </c>
      <c r="J59" s="208" t="s">
        <v>123</v>
      </c>
      <c r="K59" s="208" t="s">
        <v>123</v>
      </c>
      <c r="L59" s="208" t="s">
        <v>123</v>
      </c>
      <c r="M59" s="208" t="s">
        <v>123</v>
      </c>
      <c r="N59" s="208" t="s">
        <v>123</v>
      </c>
      <c r="O59" s="208" t="s">
        <v>123</v>
      </c>
      <c r="P59" s="208" t="s">
        <v>123</v>
      </c>
      <c r="Q59" s="208" t="s">
        <v>123</v>
      </c>
      <c r="R59" s="208" t="s">
        <v>123</v>
      </c>
      <c r="S59" s="208" t="s">
        <v>123</v>
      </c>
      <c r="T59" s="208" t="s">
        <v>123</v>
      </c>
      <c r="U59" s="208" t="s">
        <v>123</v>
      </c>
      <c r="V59" s="208" t="s">
        <v>123</v>
      </c>
      <c r="W59" s="208" t="s">
        <v>123</v>
      </c>
      <c r="X59" s="208" t="s">
        <v>123</v>
      </c>
      <c r="Y59" s="208" t="s">
        <v>123</v>
      </c>
      <c r="Z59" s="208" t="s">
        <v>123</v>
      </c>
      <c r="AA59" s="208" t="s">
        <v>123</v>
      </c>
      <c r="AB59" s="208" t="s">
        <v>123</v>
      </c>
      <c r="AC59" s="208" t="s">
        <v>123</v>
      </c>
      <c r="AD59" s="208" t="s">
        <v>123</v>
      </c>
    </row>
    <row r="60" spans="1:30" x14ac:dyDescent="0.25">
      <c r="B60" s="6" t="s">
        <v>83</v>
      </c>
      <c r="C60" s="6" t="s">
        <v>83</v>
      </c>
      <c r="D60" s="7">
        <v>4064481</v>
      </c>
      <c r="E60" s="208" t="s">
        <v>123</v>
      </c>
      <c r="F60" s="208" t="s">
        <v>123</v>
      </c>
      <c r="G60" s="208">
        <v>74083</v>
      </c>
      <c r="H60" s="208">
        <v>69708</v>
      </c>
      <c r="I60" s="208">
        <v>63149</v>
      </c>
      <c r="J60" s="208">
        <v>56979</v>
      </c>
      <c r="K60" s="208">
        <v>48953</v>
      </c>
      <c r="L60" s="208">
        <v>41555</v>
      </c>
      <c r="M60" s="208">
        <v>35465</v>
      </c>
      <c r="N60" s="208">
        <v>32301</v>
      </c>
      <c r="O60" s="208">
        <v>31761</v>
      </c>
      <c r="P60" s="208">
        <v>26696</v>
      </c>
      <c r="Q60" s="208">
        <v>24590</v>
      </c>
      <c r="R60" s="208">
        <v>21331</v>
      </c>
      <c r="S60" s="208">
        <v>19851</v>
      </c>
      <c r="T60" s="208">
        <v>24595</v>
      </c>
      <c r="U60" s="208">
        <v>40867</v>
      </c>
      <c r="V60" s="208">
        <v>47446</v>
      </c>
      <c r="W60" s="208">
        <v>49734</v>
      </c>
      <c r="X60" s="208">
        <v>44650</v>
      </c>
      <c r="Y60" s="208">
        <v>41104</v>
      </c>
      <c r="Z60" s="208">
        <v>37547</v>
      </c>
      <c r="AA60" s="208">
        <v>22493</v>
      </c>
      <c r="AB60" s="208">
        <v>33592</v>
      </c>
      <c r="AC60" s="208" t="s">
        <v>123</v>
      </c>
      <c r="AD60" s="208" t="s">
        <v>123</v>
      </c>
    </row>
    <row r="61" spans="1:30" x14ac:dyDescent="0.25">
      <c r="A61" s="1" t="s">
        <v>30</v>
      </c>
      <c r="B61" s="6" t="s">
        <v>84</v>
      </c>
      <c r="C61" s="6" t="s">
        <v>84</v>
      </c>
      <c r="D61" s="7">
        <v>4057093</v>
      </c>
      <c r="E61" s="208">
        <v>9392</v>
      </c>
      <c r="F61" s="208">
        <v>9149</v>
      </c>
      <c r="G61" s="208">
        <v>21956</v>
      </c>
      <c r="H61" s="208">
        <v>20395</v>
      </c>
      <c r="I61" s="208">
        <v>18722</v>
      </c>
      <c r="J61" s="208">
        <v>16969</v>
      </c>
      <c r="K61" s="208">
        <v>15823</v>
      </c>
      <c r="L61" s="208">
        <v>15556</v>
      </c>
      <c r="M61" s="208">
        <v>14677</v>
      </c>
      <c r="N61" s="208">
        <v>13786</v>
      </c>
      <c r="O61" s="208">
        <v>13316</v>
      </c>
      <c r="P61" s="208">
        <v>13095</v>
      </c>
      <c r="Q61" s="208">
        <v>12065</v>
      </c>
      <c r="R61" s="208">
        <v>2352</v>
      </c>
      <c r="S61" s="208">
        <v>2562</v>
      </c>
      <c r="T61" s="208">
        <v>2987</v>
      </c>
      <c r="U61" s="208">
        <v>8461</v>
      </c>
      <c r="V61" s="208">
        <v>9215</v>
      </c>
      <c r="W61" s="208">
        <v>9664</v>
      </c>
      <c r="X61" s="208">
        <v>10417</v>
      </c>
      <c r="Y61" s="208">
        <v>10911</v>
      </c>
      <c r="Z61" s="208">
        <v>5482</v>
      </c>
      <c r="AA61" s="208">
        <v>6561</v>
      </c>
      <c r="AB61" s="208">
        <v>7759</v>
      </c>
      <c r="AC61" s="208">
        <v>9044</v>
      </c>
      <c r="AD61" s="208">
        <v>11759</v>
      </c>
    </row>
    <row r="62" spans="1:30" x14ac:dyDescent="0.25">
      <c r="B62" s="6" t="s">
        <v>85</v>
      </c>
      <c r="C62" s="6" t="s">
        <v>85</v>
      </c>
      <c r="D62" s="7">
        <v>4004218</v>
      </c>
      <c r="E62" s="208">
        <v>87470</v>
      </c>
      <c r="F62" s="208">
        <v>78244</v>
      </c>
      <c r="G62" s="208">
        <v>65706</v>
      </c>
      <c r="H62" s="208">
        <v>52753</v>
      </c>
      <c r="I62" s="208">
        <v>41931</v>
      </c>
      <c r="J62" s="208">
        <v>34254</v>
      </c>
      <c r="K62" s="208">
        <v>38002</v>
      </c>
      <c r="L62" s="208">
        <v>31130</v>
      </c>
      <c r="M62" s="208">
        <v>26672</v>
      </c>
      <c r="N62" s="208">
        <v>25620</v>
      </c>
      <c r="O62" s="208">
        <v>30053</v>
      </c>
      <c r="P62" s="208">
        <v>28591</v>
      </c>
      <c r="Q62" s="208">
        <v>27583</v>
      </c>
      <c r="R62" s="208">
        <v>26046</v>
      </c>
      <c r="S62" s="208">
        <v>25795</v>
      </c>
      <c r="T62" s="208">
        <v>26337</v>
      </c>
      <c r="U62" s="208">
        <v>25631</v>
      </c>
      <c r="V62" s="208">
        <v>24396</v>
      </c>
      <c r="W62" s="208">
        <v>23580</v>
      </c>
      <c r="X62" s="208">
        <v>23112</v>
      </c>
      <c r="Y62" s="208">
        <v>21732</v>
      </c>
      <c r="Z62" s="208">
        <v>20711</v>
      </c>
      <c r="AA62" s="208">
        <v>19029</v>
      </c>
      <c r="AB62" s="208">
        <v>17180</v>
      </c>
      <c r="AC62" s="208">
        <v>15318</v>
      </c>
      <c r="AD62" s="208">
        <v>14093</v>
      </c>
    </row>
    <row r="63" spans="1:30" x14ac:dyDescent="0.25">
      <c r="A63" s="1" t="s">
        <v>30</v>
      </c>
      <c r="B63" s="6" t="s">
        <v>86</v>
      </c>
      <c r="C63" s="6" t="s">
        <v>87</v>
      </c>
      <c r="D63" s="7">
        <v>4062222</v>
      </c>
      <c r="E63" s="208" t="s">
        <v>123</v>
      </c>
      <c r="F63" s="208" t="s">
        <v>123</v>
      </c>
      <c r="G63" s="208" t="s">
        <v>123</v>
      </c>
      <c r="H63" s="208" t="s">
        <v>123</v>
      </c>
      <c r="I63" s="208" t="s">
        <v>123</v>
      </c>
      <c r="J63" s="208" t="s">
        <v>123</v>
      </c>
      <c r="K63" s="208" t="s">
        <v>123</v>
      </c>
      <c r="L63" s="208" t="s">
        <v>123</v>
      </c>
      <c r="M63" s="208" t="s">
        <v>123</v>
      </c>
      <c r="N63" s="208" t="s">
        <v>123</v>
      </c>
      <c r="O63" s="208" t="s">
        <v>123</v>
      </c>
      <c r="P63" s="208" t="s">
        <v>123</v>
      </c>
      <c r="Q63" s="208" t="s">
        <v>123</v>
      </c>
      <c r="R63" s="208" t="s">
        <v>123</v>
      </c>
      <c r="S63" s="208" t="s">
        <v>123</v>
      </c>
      <c r="T63" s="208" t="s">
        <v>123</v>
      </c>
      <c r="U63" s="208" t="s">
        <v>123</v>
      </c>
      <c r="V63" s="208" t="s">
        <v>123</v>
      </c>
      <c r="W63" s="208" t="s">
        <v>123</v>
      </c>
      <c r="X63" s="208" t="s">
        <v>123</v>
      </c>
      <c r="Y63" s="208" t="s">
        <v>123</v>
      </c>
      <c r="Z63" s="208" t="s">
        <v>123</v>
      </c>
      <c r="AA63" s="208" t="s">
        <v>123</v>
      </c>
      <c r="AB63" s="208" t="s">
        <v>123</v>
      </c>
      <c r="AC63" s="208" t="s">
        <v>123</v>
      </c>
      <c r="AD63" s="208" t="s">
        <v>123</v>
      </c>
    </row>
    <row r="64" spans="1:30" x14ac:dyDescent="0.25">
      <c r="B64" s="6" t="s">
        <v>88</v>
      </c>
      <c r="C64" s="6" t="s">
        <v>89</v>
      </c>
      <c r="D64" s="7">
        <v>4057135</v>
      </c>
      <c r="E64" s="208">
        <v>46257</v>
      </c>
      <c r="F64" s="208">
        <v>44152</v>
      </c>
      <c r="G64" s="208">
        <v>45419</v>
      </c>
      <c r="H64" s="208">
        <v>44651</v>
      </c>
      <c r="I64" s="208">
        <v>41884</v>
      </c>
      <c r="J64" s="208">
        <v>44479</v>
      </c>
      <c r="K64" s="208">
        <v>47025</v>
      </c>
      <c r="L64" s="208">
        <v>40659</v>
      </c>
      <c r="M64" s="208">
        <v>38159</v>
      </c>
      <c r="N64" s="208">
        <v>34180</v>
      </c>
      <c r="O64" s="208">
        <v>39023</v>
      </c>
      <c r="P64" s="208">
        <v>38654</v>
      </c>
      <c r="Q64" s="208">
        <v>34762</v>
      </c>
      <c r="R64" s="208">
        <v>46375</v>
      </c>
      <c r="S64" s="208">
        <v>47197</v>
      </c>
      <c r="T64" s="208">
        <v>46634</v>
      </c>
      <c r="U64" s="208">
        <v>80485</v>
      </c>
      <c r="V64" s="208">
        <v>74149</v>
      </c>
      <c r="W64" s="208">
        <v>66064</v>
      </c>
      <c r="X64" s="208">
        <v>57925</v>
      </c>
      <c r="Y64" s="208">
        <v>51763</v>
      </c>
      <c r="Z64" s="208">
        <v>52236</v>
      </c>
      <c r="AA64" s="208">
        <v>45858</v>
      </c>
      <c r="AB64" s="208">
        <v>39854</v>
      </c>
      <c r="AC64" s="208">
        <v>37528</v>
      </c>
      <c r="AD64" s="208">
        <v>34820</v>
      </c>
    </row>
    <row r="65" spans="1:30" x14ac:dyDescent="0.25">
      <c r="B65" s="6" t="s">
        <v>90</v>
      </c>
      <c r="C65" s="6" t="s">
        <v>90</v>
      </c>
      <c r="D65" s="7">
        <v>4063341</v>
      </c>
      <c r="E65" s="208">
        <v>45131</v>
      </c>
      <c r="F65" s="208">
        <v>39601</v>
      </c>
      <c r="G65" s="208">
        <v>35263</v>
      </c>
      <c r="H65" s="208">
        <v>30446</v>
      </c>
      <c r="I65" s="208">
        <v>27669</v>
      </c>
      <c r="J65" s="208">
        <v>36385</v>
      </c>
      <c r="K65" s="208">
        <v>39163</v>
      </c>
      <c r="L65" s="208">
        <v>42296</v>
      </c>
      <c r="M65" s="208">
        <v>20578</v>
      </c>
      <c r="N65" s="208">
        <v>40714</v>
      </c>
      <c r="O65" s="208">
        <v>35432</v>
      </c>
      <c r="P65" s="208">
        <v>35414</v>
      </c>
      <c r="Q65" s="208">
        <v>35857</v>
      </c>
      <c r="R65" s="208">
        <v>3270</v>
      </c>
      <c r="S65" s="208">
        <v>32478</v>
      </c>
      <c r="T65" s="208">
        <v>30349</v>
      </c>
      <c r="U65" s="208">
        <v>26170</v>
      </c>
      <c r="V65" s="208">
        <v>25511</v>
      </c>
      <c r="W65" s="208">
        <v>18714</v>
      </c>
      <c r="X65" s="208" t="s">
        <v>123</v>
      </c>
      <c r="Y65" s="208" t="s">
        <v>123</v>
      </c>
      <c r="Z65" s="208">
        <v>19890</v>
      </c>
      <c r="AA65" s="208">
        <v>18643</v>
      </c>
      <c r="AB65" s="208" t="s">
        <v>123</v>
      </c>
      <c r="AC65" s="208" t="s">
        <v>123</v>
      </c>
      <c r="AD65" s="208" t="s">
        <v>123</v>
      </c>
    </row>
    <row r="66" spans="1:30" x14ac:dyDescent="0.25">
      <c r="A66" s="1" t="s">
        <v>30</v>
      </c>
      <c r="B66" s="6" t="s">
        <v>91</v>
      </c>
      <c r="C66" s="6" t="s">
        <v>91</v>
      </c>
      <c r="D66" s="7">
        <v>4083575</v>
      </c>
      <c r="E66" s="208" t="s">
        <v>123</v>
      </c>
      <c r="F66" s="208" t="s">
        <v>123</v>
      </c>
      <c r="G66" s="208" t="s">
        <v>123</v>
      </c>
      <c r="H66" s="208" t="s">
        <v>123</v>
      </c>
      <c r="I66" s="208" t="s">
        <v>123</v>
      </c>
      <c r="J66" s="208" t="s">
        <v>123</v>
      </c>
      <c r="K66" s="208" t="s">
        <v>123</v>
      </c>
      <c r="L66" s="208" t="s">
        <v>123</v>
      </c>
      <c r="M66" s="208" t="s">
        <v>123</v>
      </c>
      <c r="N66" s="208" t="s">
        <v>123</v>
      </c>
      <c r="O66" s="208" t="s">
        <v>123</v>
      </c>
      <c r="P66" s="208" t="s">
        <v>123</v>
      </c>
      <c r="Q66" s="208" t="s">
        <v>123</v>
      </c>
      <c r="R66" s="208" t="s">
        <v>123</v>
      </c>
      <c r="S66" s="208" t="s">
        <v>123</v>
      </c>
      <c r="T66" s="208" t="s">
        <v>123</v>
      </c>
      <c r="U66" s="208" t="s">
        <v>123</v>
      </c>
      <c r="V66" s="208" t="s">
        <v>123</v>
      </c>
      <c r="W66" s="208" t="s">
        <v>123</v>
      </c>
      <c r="X66" s="208" t="s">
        <v>123</v>
      </c>
      <c r="Y66" s="208" t="s">
        <v>123</v>
      </c>
      <c r="Z66" s="208" t="s">
        <v>123</v>
      </c>
      <c r="AA66" s="208" t="s">
        <v>123</v>
      </c>
      <c r="AB66" s="208" t="s">
        <v>123</v>
      </c>
      <c r="AC66" s="208" t="s">
        <v>123</v>
      </c>
      <c r="AD66" s="208" t="s">
        <v>123</v>
      </c>
    </row>
    <row r="67" spans="1:30" x14ac:dyDescent="0.25">
      <c r="B67" s="6" t="s">
        <v>92</v>
      </c>
      <c r="C67" s="6" t="s">
        <v>92</v>
      </c>
      <c r="D67" s="7">
        <v>4062303</v>
      </c>
      <c r="E67" s="208" t="s">
        <v>123</v>
      </c>
      <c r="F67" s="208" t="s">
        <v>123</v>
      </c>
      <c r="G67" s="208" t="s">
        <v>123</v>
      </c>
      <c r="H67" s="208" t="s">
        <v>123</v>
      </c>
      <c r="I67" s="208" t="s">
        <v>123</v>
      </c>
      <c r="J67" s="208" t="s">
        <v>123</v>
      </c>
      <c r="K67" s="208" t="s">
        <v>123</v>
      </c>
      <c r="L67" s="208" t="s">
        <v>123</v>
      </c>
      <c r="M67" s="208" t="s">
        <v>123</v>
      </c>
      <c r="N67" s="208" t="s">
        <v>123</v>
      </c>
      <c r="O67" s="208" t="s">
        <v>123</v>
      </c>
      <c r="P67" s="208" t="s">
        <v>123</v>
      </c>
      <c r="Q67" s="208" t="s">
        <v>123</v>
      </c>
      <c r="R67" s="208" t="s">
        <v>123</v>
      </c>
      <c r="S67" s="208" t="s">
        <v>123</v>
      </c>
      <c r="T67" s="208" t="s">
        <v>123</v>
      </c>
      <c r="U67" s="208" t="s">
        <v>123</v>
      </c>
      <c r="V67" s="208" t="s">
        <v>123</v>
      </c>
      <c r="W67" s="208" t="s">
        <v>123</v>
      </c>
      <c r="X67" s="208" t="s">
        <v>123</v>
      </c>
      <c r="Y67" s="208" t="s">
        <v>123</v>
      </c>
      <c r="Z67" s="208" t="s">
        <v>123</v>
      </c>
      <c r="AA67" s="208" t="s">
        <v>123</v>
      </c>
      <c r="AB67" s="208" t="s">
        <v>123</v>
      </c>
      <c r="AC67" s="208" t="s">
        <v>123</v>
      </c>
      <c r="AD67" s="208" t="s">
        <v>123</v>
      </c>
    </row>
    <row r="68" spans="1:30" x14ac:dyDescent="0.25">
      <c r="B68" s="6" t="s">
        <v>93</v>
      </c>
      <c r="C68" s="6" t="s">
        <v>93</v>
      </c>
      <c r="D68" s="7">
        <v>4083581</v>
      </c>
      <c r="E68" s="208">
        <v>411</v>
      </c>
      <c r="F68" s="208">
        <v>377</v>
      </c>
      <c r="G68" s="208">
        <v>339</v>
      </c>
      <c r="H68" s="208">
        <v>291</v>
      </c>
      <c r="I68" s="208">
        <v>243</v>
      </c>
      <c r="J68" s="208">
        <v>183</v>
      </c>
      <c r="K68" s="208">
        <v>127</v>
      </c>
      <c r="L68" s="208">
        <v>832</v>
      </c>
      <c r="M68" s="208">
        <v>832</v>
      </c>
      <c r="N68" s="208">
        <v>843</v>
      </c>
      <c r="O68" s="208">
        <v>689</v>
      </c>
      <c r="P68" s="208">
        <v>642</v>
      </c>
      <c r="Q68" s="208">
        <v>612</v>
      </c>
      <c r="R68" s="208">
        <v>585</v>
      </c>
      <c r="S68" s="208">
        <v>536</v>
      </c>
      <c r="T68" s="208">
        <v>529</v>
      </c>
      <c r="U68" s="208">
        <v>493</v>
      </c>
      <c r="V68" s="208">
        <v>485</v>
      </c>
      <c r="W68" s="208">
        <v>495</v>
      </c>
      <c r="X68" s="208">
        <v>446</v>
      </c>
      <c r="Y68" s="208" t="s">
        <v>123</v>
      </c>
      <c r="Z68" s="208" t="s">
        <v>123</v>
      </c>
      <c r="AA68" s="208" t="s">
        <v>123</v>
      </c>
      <c r="AB68" s="208" t="s">
        <v>123</v>
      </c>
      <c r="AC68" s="208" t="s">
        <v>123</v>
      </c>
      <c r="AD68" s="208" t="s">
        <v>123</v>
      </c>
    </row>
    <row r="69" spans="1:30" x14ac:dyDescent="0.25">
      <c r="B69" s="6" t="s">
        <v>94</v>
      </c>
      <c r="C69" s="6" t="s">
        <v>94</v>
      </c>
      <c r="D69" s="7">
        <v>4057139</v>
      </c>
      <c r="E69" s="208">
        <v>42983</v>
      </c>
      <c r="F69" s="208">
        <v>35874</v>
      </c>
      <c r="G69" s="208">
        <v>32522</v>
      </c>
      <c r="H69" s="208">
        <v>23274</v>
      </c>
      <c r="I69" s="208">
        <v>16813</v>
      </c>
      <c r="J69" s="208">
        <v>17547</v>
      </c>
      <c r="K69" s="208">
        <v>20688</v>
      </c>
      <c r="L69" s="208">
        <v>19384</v>
      </c>
      <c r="M69" s="208">
        <v>21439</v>
      </c>
      <c r="N69" s="208">
        <v>25005</v>
      </c>
      <c r="O69" s="208">
        <v>28237</v>
      </c>
      <c r="P69" s="208">
        <v>30020</v>
      </c>
      <c r="Q69" s="208">
        <v>28188</v>
      </c>
      <c r="R69" s="208">
        <v>28555</v>
      </c>
      <c r="S69" s="208">
        <v>38301</v>
      </c>
      <c r="T69" s="208">
        <v>34896</v>
      </c>
      <c r="U69" s="208">
        <v>33531</v>
      </c>
      <c r="V69" s="208">
        <v>43843</v>
      </c>
      <c r="W69" s="208">
        <v>51880</v>
      </c>
      <c r="X69" s="208">
        <v>44288</v>
      </c>
      <c r="Y69" s="208">
        <v>31121</v>
      </c>
      <c r="Z69" s="208">
        <v>37540</v>
      </c>
      <c r="AA69" s="208">
        <v>0</v>
      </c>
      <c r="AB69" s="208">
        <v>33944</v>
      </c>
      <c r="AC69" s="208">
        <v>29714</v>
      </c>
      <c r="AD69" s="208">
        <v>26446</v>
      </c>
    </row>
    <row r="70" spans="1:30" x14ac:dyDescent="0.25">
      <c r="A70" s="1" t="s">
        <v>30</v>
      </c>
      <c r="B70" s="6" t="s">
        <v>95</v>
      </c>
      <c r="C70" s="6" t="s">
        <v>95</v>
      </c>
      <c r="D70" s="7">
        <v>4057095</v>
      </c>
      <c r="E70" s="208" t="s">
        <v>123</v>
      </c>
      <c r="F70" s="208">
        <v>82631</v>
      </c>
      <c r="G70" s="208">
        <v>69907</v>
      </c>
      <c r="H70" s="208">
        <v>55843</v>
      </c>
      <c r="I70" s="208">
        <v>48515</v>
      </c>
      <c r="J70" s="208">
        <v>46882</v>
      </c>
      <c r="K70" s="208">
        <v>46682</v>
      </c>
      <c r="L70" s="208">
        <v>53154</v>
      </c>
      <c r="M70" s="208">
        <v>52913</v>
      </c>
      <c r="N70" s="208">
        <v>51112</v>
      </c>
      <c r="O70" s="208">
        <v>51989</v>
      </c>
      <c r="P70" s="208">
        <v>65252</v>
      </c>
      <c r="Q70" s="208">
        <v>79196</v>
      </c>
      <c r="R70" s="208">
        <v>71340</v>
      </c>
      <c r="S70" s="208">
        <v>76654</v>
      </c>
      <c r="T70" s="208">
        <v>83431</v>
      </c>
      <c r="U70" s="208">
        <v>78156</v>
      </c>
      <c r="V70" s="208">
        <v>68552</v>
      </c>
      <c r="W70" s="208">
        <v>55396</v>
      </c>
      <c r="X70" s="208">
        <v>40967</v>
      </c>
      <c r="Y70" s="208">
        <v>38646</v>
      </c>
      <c r="Z70" s="208">
        <v>31961</v>
      </c>
      <c r="AA70" s="208">
        <f>+Z70/(1+AA71)</f>
        <v>30191.851569170041</v>
      </c>
      <c r="AB70" s="208" t="s">
        <v>123</v>
      </c>
      <c r="AC70" s="208" t="s">
        <v>123</v>
      </c>
      <c r="AD70" s="208" t="s">
        <v>123</v>
      </c>
    </row>
    <row r="71" spans="1:30" x14ac:dyDescent="0.25">
      <c r="B71" s="6"/>
      <c r="C71" s="6"/>
      <c r="D71" s="7"/>
      <c r="E71" s="223"/>
      <c r="F71" s="223"/>
      <c r="G71" s="223">
        <f t="shared" ref="G71:Y71" si="1">+F70/G70-1</f>
        <v>0.18201324616991155</v>
      </c>
      <c r="H71" s="223">
        <f t="shared" si="1"/>
        <v>0.25184893361746319</v>
      </c>
      <c r="I71" s="223">
        <f t="shared" si="1"/>
        <v>0.15104606822632172</v>
      </c>
      <c r="J71" s="223">
        <f t="shared" si="1"/>
        <v>3.4832131734994221E-2</v>
      </c>
      <c r="K71" s="223">
        <f t="shared" si="1"/>
        <v>4.2843065849791362E-3</v>
      </c>
      <c r="L71" s="223">
        <f t="shared" si="1"/>
        <v>-0.12175941603642249</v>
      </c>
      <c r="M71" s="223">
        <f t="shared" si="1"/>
        <v>4.554646306200727E-3</v>
      </c>
      <c r="N71" s="223">
        <f t="shared" si="1"/>
        <v>3.5236343715761453E-2</v>
      </c>
      <c r="O71" s="223">
        <f t="shared" si="1"/>
        <v>-1.6868953047760149E-2</v>
      </c>
      <c r="P71" s="223">
        <f t="shared" si="1"/>
        <v>-0.20325813768160361</v>
      </c>
      <c r="Q71" s="223">
        <f t="shared" si="1"/>
        <v>-0.17606949845951814</v>
      </c>
      <c r="R71" s="223">
        <f t="shared" si="1"/>
        <v>0.11012054948135686</v>
      </c>
      <c r="S71" s="223">
        <f t="shared" si="1"/>
        <v>-6.9324497090823667E-2</v>
      </c>
      <c r="T71" s="223">
        <f t="shared" si="1"/>
        <v>-8.1228799846579824E-2</v>
      </c>
      <c r="U71" s="223">
        <f t="shared" si="1"/>
        <v>6.7493218690823475E-2</v>
      </c>
      <c r="V71" s="223">
        <f t="shared" si="1"/>
        <v>0.14009802777453606</v>
      </c>
      <c r="W71" s="223">
        <f t="shared" si="1"/>
        <v>0.23749007148530588</v>
      </c>
      <c r="X71" s="223">
        <f t="shared" si="1"/>
        <v>0.35221031561988925</v>
      </c>
      <c r="Y71" s="223">
        <f t="shared" si="1"/>
        <v>6.00579620141799E-2</v>
      </c>
      <c r="Z71" s="223">
        <f>+Y70/Z70-1</f>
        <v>0.2091611651700509</v>
      </c>
      <c r="AA71" s="223">
        <f>AVERAGE(G71:Z71)</f>
        <v>5.859688422145333E-2</v>
      </c>
      <c r="AB71" s="208"/>
      <c r="AC71" s="208"/>
      <c r="AD71" s="208"/>
    </row>
    <row r="72" spans="1:30" x14ac:dyDescent="0.25">
      <c r="B72" s="6" t="s">
        <v>96</v>
      </c>
      <c r="C72" s="6" t="s">
        <v>96</v>
      </c>
      <c r="D72" s="7">
        <v>4062485</v>
      </c>
      <c r="E72" s="208">
        <v>13976</v>
      </c>
      <c r="F72" s="208">
        <v>13286</v>
      </c>
      <c r="G72" s="208">
        <v>8385</v>
      </c>
      <c r="H72" s="208">
        <v>6937</v>
      </c>
      <c r="I72" s="208">
        <v>17253</v>
      </c>
      <c r="J72" s="208">
        <v>15623</v>
      </c>
      <c r="K72" s="208">
        <v>14420</v>
      </c>
      <c r="L72" s="208">
        <v>17238</v>
      </c>
      <c r="M72" s="208">
        <v>11316</v>
      </c>
      <c r="N72" s="208">
        <v>8239</v>
      </c>
      <c r="O72" s="208">
        <v>5752</v>
      </c>
      <c r="P72" s="208">
        <v>-2004</v>
      </c>
      <c r="Q72" s="208">
        <v>25129</v>
      </c>
      <c r="R72" s="208">
        <v>23204</v>
      </c>
      <c r="S72" s="208">
        <v>18332</v>
      </c>
      <c r="T72" s="208">
        <v>19972</v>
      </c>
      <c r="U72" s="208">
        <v>19677</v>
      </c>
      <c r="V72" s="208">
        <v>17541</v>
      </c>
      <c r="W72" s="208">
        <v>20762</v>
      </c>
      <c r="X72" s="208">
        <v>19466</v>
      </c>
      <c r="Y72" s="208">
        <v>18084</v>
      </c>
      <c r="Z72" s="208">
        <v>17355</v>
      </c>
      <c r="AA72" s="208">
        <v>22649</v>
      </c>
      <c r="AB72" s="208">
        <v>21613</v>
      </c>
      <c r="AC72" s="208">
        <v>24465</v>
      </c>
      <c r="AD72" s="208">
        <v>19795</v>
      </c>
    </row>
    <row r="73" spans="1:30" x14ac:dyDescent="0.25">
      <c r="B73" s="6" t="s">
        <v>97</v>
      </c>
      <c r="C73" s="6" t="s">
        <v>97</v>
      </c>
      <c r="D73" s="7">
        <v>4057140</v>
      </c>
      <c r="E73" s="208">
        <v>133468</v>
      </c>
      <c r="F73" s="208">
        <v>129855</v>
      </c>
      <c r="G73" s="208">
        <v>134553</v>
      </c>
      <c r="H73" s="208">
        <v>128845</v>
      </c>
      <c r="I73" s="208">
        <v>149721</v>
      </c>
      <c r="J73" s="208">
        <v>132819</v>
      </c>
      <c r="K73" s="208">
        <v>130905</v>
      </c>
      <c r="L73" s="208">
        <v>105395</v>
      </c>
      <c r="M73" s="208">
        <v>127494</v>
      </c>
      <c r="N73" s="208">
        <v>131572</v>
      </c>
      <c r="O73" s="208">
        <v>77124</v>
      </c>
      <c r="P73" s="208">
        <v>133855</v>
      </c>
      <c r="Q73" s="208">
        <v>130646</v>
      </c>
      <c r="R73" s="208">
        <v>82689</v>
      </c>
      <c r="S73" s="208">
        <v>77516</v>
      </c>
      <c r="T73" s="208">
        <v>122399</v>
      </c>
      <c r="U73" s="208">
        <v>111043</v>
      </c>
      <c r="V73" s="208">
        <v>103509</v>
      </c>
      <c r="W73" s="208" t="s">
        <v>123</v>
      </c>
      <c r="X73" s="208">
        <v>323836</v>
      </c>
      <c r="Y73" s="208">
        <v>75710</v>
      </c>
      <c r="Z73" s="208">
        <v>73735</v>
      </c>
      <c r="AA73" s="208">
        <v>59307</v>
      </c>
      <c r="AB73" s="208">
        <v>50832</v>
      </c>
      <c r="AC73" s="208">
        <v>43447</v>
      </c>
      <c r="AD73" s="208">
        <v>35884</v>
      </c>
    </row>
    <row r="74" spans="1:30" x14ac:dyDescent="0.25">
      <c r="A74" s="1" t="s">
        <v>30</v>
      </c>
      <c r="B74" s="6" t="s">
        <v>98</v>
      </c>
      <c r="C74" s="6" t="s">
        <v>99</v>
      </c>
      <c r="D74" s="7">
        <v>4057096</v>
      </c>
      <c r="E74" s="208">
        <v>3667</v>
      </c>
      <c r="F74" s="208">
        <v>3470</v>
      </c>
      <c r="G74" s="208">
        <v>3136</v>
      </c>
      <c r="H74" s="208">
        <v>2889</v>
      </c>
      <c r="I74" s="208">
        <v>2686</v>
      </c>
      <c r="J74" s="208">
        <v>4307</v>
      </c>
      <c r="K74" s="208">
        <v>2195</v>
      </c>
      <c r="L74" s="208">
        <v>2405</v>
      </c>
      <c r="M74" s="208">
        <v>2235</v>
      </c>
      <c r="N74" s="208">
        <v>2093</v>
      </c>
      <c r="O74" s="208">
        <v>2040</v>
      </c>
      <c r="P74" s="208">
        <v>1969</v>
      </c>
      <c r="Q74" s="208">
        <v>1675</v>
      </c>
      <c r="R74" s="208">
        <v>1541</v>
      </c>
      <c r="S74" s="208">
        <v>1578</v>
      </c>
      <c r="T74" s="208">
        <v>1451</v>
      </c>
      <c r="U74" s="208">
        <v>1400</v>
      </c>
      <c r="V74" s="208" t="s">
        <v>123</v>
      </c>
      <c r="W74" s="208" t="s">
        <v>123</v>
      </c>
      <c r="X74" s="208">
        <v>2079</v>
      </c>
      <c r="Y74" s="208">
        <v>1928</v>
      </c>
      <c r="Z74" s="208">
        <v>1784</v>
      </c>
      <c r="AA74" s="208">
        <v>1649</v>
      </c>
      <c r="AB74" s="208">
        <v>1520</v>
      </c>
      <c r="AC74" s="208">
        <v>1320</v>
      </c>
      <c r="AD74" s="208">
        <v>1278</v>
      </c>
    </row>
    <row r="75" spans="1:30" x14ac:dyDescent="0.25">
      <c r="B75" s="6" t="s">
        <v>100</v>
      </c>
      <c r="C75" s="6" t="s">
        <v>100</v>
      </c>
      <c r="D75" s="7">
        <v>4057097</v>
      </c>
      <c r="E75" s="208" t="s">
        <v>123</v>
      </c>
      <c r="F75" s="208" t="s">
        <v>123</v>
      </c>
      <c r="G75" s="208">
        <v>5423</v>
      </c>
      <c r="H75" s="208">
        <v>4912</v>
      </c>
      <c r="I75" s="208">
        <v>5650</v>
      </c>
      <c r="J75" s="208">
        <v>5351</v>
      </c>
      <c r="K75" s="208">
        <v>5186</v>
      </c>
      <c r="L75" s="208">
        <v>4673</v>
      </c>
      <c r="M75" s="208">
        <v>4659</v>
      </c>
      <c r="N75" s="208">
        <v>4614</v>
      </c>
      <c r="O75" s="208">
        <v>4272</v>
      </c>
      <c r="P75" s="208">
        <v>4301</v>
      </c>
      <c r="Q75" s="208">
        <v>4062</v>
      </c>
      <c r="R75" s="208">
        <v>3890</v>
      </c>
      <c r="S75" s="208">
        <v>3401</v>
      </c>
      <c r="T75" s="208">
        <v>3117</v>
      </c>
      <c r="U75" s="208">
        <v>2605</v>
      </c>
      <c r="V75" s="208">
        <v>2494</v>
      </c>
      <c r="W75" s="208">
        <v>2058</v>
      </c>
      <c r="X75" s="208">
        <v>1656</v>
      </c>
      <c r="Y75" s="208">
        <v>1346</v>
      </c>
      <c r="Z75" s="208">
        <v>1320</v>
      </c>
      <c r="AA75" s="208">
        <v>1233</v>
      </c>
      <c r="AB75" s="208">
        <v>1093</v>
      </c>
      <c r="AC75" s="208">
        <v>1592</v>
      </c>
      <c r="AD75" s="208">
        <v>1726</v>
      </c>
    </row>
    <row r="76" spans="1:30" x14ac:dyDescent="0.25">
      <c r="B76" s="6" t="s">
        <v>101</v>
      </c>
      <c r="C76" s="6" t="s">
        <v>101</v>
      </c>
      <c r="D76" s="7">
        <v>4057098</v>
      </c>
      <c r="E76" s="208" t="s">
        <v>123</v>
      </c>
      <c r="F76" s="208">
        <v>9135</v>
      </c>
      <c r="G76" s="208">
        <v>8313</v>
      </c>
      <c r="H76" s="208">
        <v>7536</v>
      </c>
      <c r="I76" s="208">
        <v>7765</v>
      </c>
      <c r="J76" s="208">
        <v>6032</v>
      </c>
      <c r="K76" s="208">
        <v>4593</v>
      </c>
      <c r="L76" s="208">
        <v>3149</v>
      </c>
      <c r="M76" s="208">
        <v>1631</v>
      </c>
      <c r="N76" s="208">
        <v>879</v>
      </c>
      <c r="O76" s="208">
        <v>649</v>
      </c>
      <c r="P76" s="208">
        <v>41</v>
      </c>
      <c r="Q76" s="208">
        <v>-266</v>
      </c>
      <c r="R76" s="208">
        <v>94</v>
      </c>
      <c r="S76" s="208">
        <v>-333</v>
      </c>
      <c r="T76" s="208">
        <v>750</v>
      </c>
      <c r="U76" s="208">
        <v>639</v>
      </c>
      <c r="V76" s="208">
        <v>708</v>
      </c>
      <c r="W76" s="208">
        <v>803</v>
      </c>
      <c r="X76" s="208" t="s">
        <v>123</v>
      </c>
      <c r="Y76" s="208">
        <v>1198</v>
      </c>
      <c r="Z76" s="208">
        <v>1194</v>
      </c>
      <c r="AA76" s="208">
        <v>1210</v>
      </c>
      <c r="AB76" s="208">
        <v>1237</v>
      </c>
      <c r="AC76" s="208">
        <v>1195</v>
      </c>
      <c r="AD76" s="208" t="s">
        <v>123</v>
      </c>
    </row>
    <row r="77" spans="1:30" x14ac:dyDescent="0.25">
      <c r="A77" s="1" t="s">
        <v>30</v>
      </c>
      <c r="B77" s="6" t="s">
        <v>102</v>
      </c>
      <c r="C77" s="6" t="s">
        <v>102</v>
      </c>
      <c r="D77" s="7">
        <v>4063023</v>
      </c>
      <c r="E77" s="208" t="s">
        <v>123</v>
      </c>
      <c r="F77" s="208">
        <v>64475</v>
      </c>
      <c r="G77" s="208">
        <v>56557</v>
      </c>
      <c r="H77" s="208">
        <v>53152</v>
      </c>
      <c r="I77" s="208">
        <v>41434</v>
      </c>
      <c r="J77" s="208">
        <v>29423</v>
      </c>
      <c r="K77" s="208">
        <v>24046</v>
      </c>
      <c r="L77" s="208">
        <v>19148</v>
      </c>
      <c r="M77" s="208">
        <v>19523</v>
      </c>
      <c r="N77" s="208">
        <v>23793</v>
      </c>
      <c r="O77" s="208">
        <v>22897</v>
      </c>
      <c r="P77" s="208">
        <v>20259</v>
      </c>
      <c r="Q77" s="208">
        <v>17304</v>
      </c>
      <c r="R77" s="208">
        <v>15723</v>
      </c>
      <c r="S77" s="208">
        <v>14445</v>
      </c>
      <c r="T77" s="208">
        <v>13963</v>
      </c>
      <c r="U77" s="208">
        <v>14449</v>
      </c>
      <c r="V77" s="208">
        <v>11130</v>
      </c>
      <c r="W77" s="208">
        <v>9966</v>
      </c>
      <c r="X77" s="208">
        <v>9085</v>
      </c>
      <c r="Y77" s="208">
        <v>9263</v>
      </c>
      <c r="Z77" s="208">
        <v>7896</v>
      </c>
      <c r="AA77" s="208">
        <v>8120</v>
      </c>
      <c r="AB77" s="208">
        <v>7533</v>
      </c>
      <c r="AC77" s="208">
        <v>7808</v>
      </c>
      <c r="AD77" s="208">
        <v>7022</v>
      </c>
    </row>
    <row r="78" spans="1:30" x14ac:dyDescent="0.25">
      <c r="B78" s="6" t="s">
        <v>103</v>
      </c>
      <c r="C78" s="6" t="s">
        <v>103</v>
      </c>
      <c r="D78" s="7">
        <v>4057146</v>
      </c>
      <c r="E78" s="208" t="s">
        <v>123</v>
      </c>
      <c r="F78" s="208">
        <v>1213595</v>
      </c>
      <c r="G78" s="208">
        <v>1102814</v>
      </c>
      <c r="H78" s="208">
        <v>964742</v>
      </c>
      <c r="I78" s="208">
        <v>876767</v>
      </c>
      <c r="J78" s="208">
        <v>766104</v>
      </c>
      <c r="K78" s="208">
        <v>675741</v>
      </c>
      <c r="L78" s="208">
        <v>570350</v>
      </c>
      <c r="M78" s="208">
        <v>460539</v>
      </c>
      <c r="N78" s="208">
        <v>399254</v>
      </c>
      <c r="O78" s="208">
        <v>425482</v>
      </c>
      <c r="P78" s="208">
        <v>382593</v>
      </c>
      <c r="Q78" s="208">
        <v>345452</v>
      </c>
      <c r="R78" s="208">
        <v>310010</v>
      </c>
      <c r="S78" s="208">
        <v>329561</v>
      </c>
      <c r="T78" s="208">
        <v>303875</v>
      </c>
      <c r="U78" s="208">
        <v>306755</v>
      </c>
      <c r="V78" s="208">
        <v>268886</v>
      </c>
      <c r="W78" s="208">
        <v>222865</v>
      </c>
      <c r="X78" s="208">
        <v>203946</v>
      </c>
      <c r="Y78" s="208">
        <v>184022</v>
      </c>
      <c r="Z78" s="208">
        <v>152975</v>
      </c>
      <c r="AA78" s="208">
        <v>127100</v>
      </c>
      <c r="AB78" s="208">
        <v>109818</v>
      </c>
      <c r="AC78" s="208" t="s">
        <v>123</v>
      </c>
      <c r="AD78" s="208" t="s">
        <v>123</v>
      </c>
    </row>
    <row r="79" spans="1:30" x14ac:dyDescent="0.25">
      <c r="A79" s="1" t="s">
        <v>30</v>
      </c>
      <c r="B79" s="6" t="s">
        <v>104</v>
      </c>
      <c r="C79" s="6" t="s">
        <v>105</v>
      </c>
      <c r="D79" s="7">
        <v>4063060</v>
      </c>
      <c r="E79" s="208">
        <v>18158</v>
      </c>
      <c r="F79" s="208">
        <v>15083</v>
      </c>
      <c r="G79" s="208">
        <v>12541</v>
      </c>
      <c r="H79" s="208">
        <v>9210</v>
      </c>
      <c r="I79" s="208">
        <v>7264</v>
      </c>
      <c r="J79" s="208">
        <v>6649</v>
      </c>
      <c r="K79" s="208">
        <v>5812</v>
      </c>
      <c r="L79" s="208">
        <v>6199</v>
      </c>
      <c r="M79" s="208">
        <v>5458</v>
      </c>
      <c r="N79" s="208">
        <v>6858</v>
      </c>
      <c r="O79" s="208">
        <v>15098</v>
      </c>
      <c r="P79" s="208">
        <v>15445</v>
      </c>
      <c r="Q79" s="208">
        <v>13566</v>
      </c>
      <c r="R79" s="208">
        <v>14818</v>
      </c>
      <c r="S79" s="208">
        <v>27386</v>
      </c>
      <c r="T79" s="208">
        <v>24623</v>
      </c>
      <c r="U79" s="208">
        <v>21304</v>
      </c>
      <c r="V79" s="208">
        <v>18049</v>
      </c>
      <c r="W79" s="208">
        <v>14310</v>
      </c>
      <c r="X79" s="208">
        <v>10655</v>
      </c>
      <c r="Y79" s="208">
        <v>11305</v>
      </c>
      <c r="Z79" s="208" t="s">
        <v>123</v>
      </c>
      <c r="AA79" s="208">
        <v>9501</v>
      </c>
      <c r="AB79" s="208">
        <v>10933</v>
      </c>
      <c r="AC79" s="208">
        <v>9603</v>
      </c>
      <c r="AD79" s="208">
        <v>9431</v>
      </c>
    </row>
    <row r="80" spans="1:30" x14ac:dyDescent="0.25">
      <c r="B80" s="6" t="s">
        <v>106</v>
      </c>
      <c r="C80" s="6" t="s">
        <v>106</v>
      </c>
      <c r="D80" s="7">
        <v>4057100</v>
      </c>
      <c r="E80" s="208">
        <v>7570</v>
      </c>
      <c r="F80" s="208" t="s">
        <v>123</v>
      </c>
      <c r="G80" s="208">
        <v>7373</v>
      </c>
      <c r="H80" s="208">
        <v>6869</v>
      </c>
      <c r="I80" s="208">
        <v>6699</v>
      </c>
      <c r="J80" s="208">
        <v>6230</v>
      </c>
      <c r="K80" s="208">
        <v>5896</v>
      </c>
      <c r="L80" s="208">
        <v>5908</v>
      </c>
      <c r="M80" s="208">
        <v>6032</v>
      </c>
      <c r="N80" s="208">
        <v>6258</v>
      </c>
      <c r="O80" s="208">
        <v>5988</v>
      </c>
      <c r="P80" s="208">
        <v>5436</v>
      </c>
      <c r="Q80" s="208">
        <v>5141</v>
      </c>
      <c r="R80" s="208">
        <v>4663</v>
      </c>
      <c r="S80" s="208">
        <v>4276</v>
      </c>
      <c r="T80" s="208">
        <v>4130</v>
      </c>
      <c r="U80" s="208">
        <v>3779</v>
      </c>
      <c r="V80" s="208">
        <v>3466</v>
      </c>
      <c r="W80" s="208">
        <v>3403</v>
      </c>
      <c r="X80" s="208">
        <v>3029</v>
      </c>
      <c r="Y80" s="208">
        <v>2855</v>
      </c>
      <c r="Z80" s="208">
        <v>2632</v>
      </c>
      <c r="AA80" s="208">
        <v>2602</v>
      </c>
      <c r="AB80" s="208">
        <v>2426</v>
      </c>
      <c r="AC80" s="208">
        <v>2381</v>
      </c>
      <c r="AD80" s="208">
        <v>2265</v>
      </c>
    </row>
    <row r="81" spans="1:30" x14ac:dyDescent="0.25">
      <c r="B81" s="6" t="s">
        <v>107</v>
      </c>
      <c r="C81" s="6" t="s">
        <v>107</v>
      </c>
      <c r="D81" s="7">
        <v>4064035</v>
      </c>
      <c r="E81" s="208" t="s">
        <v>123</v>
      </c>
      <c r="F81" s="208">
        <v>3838</v>
      </c>
      <c r="G81" s="208">
        <v>3732</v>
      </c>
      <c r="H81" s="208">
        <v>4678</v>
      </c>
      <c r="I81" s="208">
        <v>4531</v>
      </c>
      <c r="J81" s="208">
        <v>4299</v>
      </c>
      <c r="K81" s="208">
        <v>4102</v>
      </c>
      <c r="L81" s="208">
        <v>3898</v>
      </c>
      <c r="M81" s="208">
        <v>3912</v>
      </c>
      <c r="N81" s="208">
        <v>3793</v>
      </c>
      <c r="O81" s="208">
        <v>3629</v>
      </c>
      <c r="P81" s="208">
        <v>3448</v>
      </c>
      <c r="Q81" s="208">
        <v>3327</v>
      </c>
      <c r="R81" s="208">
        <v>3716</v>
      </c>
      <c r="S81" s="208" t="s">
        <v>123</v>
      </c>
      <c r="T81" s="208">
        <v>3488</v>
      </c>
      <c r="U81" s="208">
        <v>3336</v>
      </c>
      <c r="V81" s="208" t="s">
        <v>123</v>
      </c>
      <c r="W81" s="208" t="s">
        <v>123</v>
      </c>
      <c r="X81" s="208">
        <v>2995</v>
      </c>
      <c r="Y81" s="208" t="s">
        <v>123</v>
      </c>
      <c r="Z81" s="208" t="s">
        <v>123</v>
      </c>
      <c r="AA81" s="208" t="s">
        <v>123</v>
      </c>
      <c r="AB81" s="208" t="s">
        <v>123</v>
      </c>
      <c r="AC81" s="208" t="s">
        <v>123</v>
      </c>
      <c r="AD81" s="208" t="s">
        <v>123</v>
      </c>
    </row>
    <row r="82" spans="1:30" x14ac:dyDescent="0.25">
      <c r="B82" s="6" t="s">
        <v>108</v>
      </c>
      <c r="C82" s="6" t="s">
        <v>108</v>
      </c>
      <c r="D82" s="7">
        <v>4060957</v>
      </c>
      <c r="E82" s="208">
        <v>59584</v>
      </c>
      <c r="F82" s="208">
        <v>50727</v>
      </c>
      <c r="G82" s="208">
        <v>44746</v>
      </c>
      <c r="H82" s="208">
        <v>37556</v>
      </c>
      <c r="I82" s="208">
        <v>33777</v>
      </c>
      <c r="J82" s="208">
        <v>32187</v>
      </c>
      <c r="K82" s="208">
        <v>30381</v>
      </c>
      <c r="L82" s="208">
        <v>28097</v>
      </c>
      <c r="M82" s="208">
        <v>24972</v>
      </c>
      <c r="N82" s="208">
        <v>22366</v>
      </c>
      <c r="O82" s="208">
        <v>21478</v>
      </c>
      <c r="P82" s="208">
        <v>22548</v>
      </c>
      <c r="Q82" s="208">
        <v>21948</v>
      </c>
      <c r="R82" s="208">
        <v>22104</v>
      </c>
      <c r="S82" s="208">
        <v>25334</v>
      </c>
      <c r="T82" s="208">
        <v>27266</v>
      </c>
      <c r="U82" s="208">
        <v>29674</v>
      </c>
      <c r="V82" s="208">
        <v>28525</v>
      </c>
      <c r="W82" s="208">
        <v>25545</v>
      </c>
      <c r="X82" s="208">
        <v>24577</v>
      </c>
      <c r="Y82" s="208">
        <v>27352</v>
      </c>
      <c r="Z82" s="208">
        <v>24147</v>
      </c>
      <c r="AA82" s="208">
        <v>23177</v>
      </c>
      <c r="AB82" s="208">
        <v>20827</v>
      </c>
      <c r="AC82" s="208">
        <v>18934</v>
      </c>
      <c r="AD82" s="208">
        <v>16969</v>
      </c>
    </row>
    <row r="83" spans="1:30" x14ac:dyDescent="0.25">
      <c r="B83" s="6" t="s">
        <v>109</v>
      </c>
      <c r="C83" s="6" t="s">
        <v>109</v>
      </c>
      <c r="D83" s="7">
        <v>4063179</v>
      </c>
      <c r="E83" s="208">
        <v>592</v>
      </c>
      <c r="F83" s="208" t="s">
        <v>123</v>
      </c>
      <c r="G83" s="208">
        <v>526</v>
      </c>
      <c r="H83" s="208">
        <v>503</v>
      </c>
      <c r="I83" s="208">
        <v>437</v>
      </c>
      <c r="J83" s="208">
        <v>496</v>
      </c>
      <c r="K83" s="208">
        <v>479</v>
      </c>
      <c r="L83" s="208">
        <v>424</v>
      </c>
      <c r="M83" s="208">
        <v>409</v>
      </c>
      <c r="N83" s="208">
        <v>378</v>
      </c>
      <c r="O83" s="208">
        <v>342</v>
      </c>
      <c r="P83" s="208">
        <v>320</v>
      </c>
      <c r="Q83" s="208">
        <v>327</v>
      </c>
      <c r="R83" s="208">
        <v>277</v>
      </c>
      <c r="S83" s="208">
        <v>339</v>
      </c>
      <c r="T83" s="208">
        <v>317</v>
      </c>
      <c r="U83" s="208">
        <v>318</v>
      </c>
      <c r="V83" s="208">
        <v>280</v>
      </c>
      <c r="W83" s="208">
        <v>340</v>
      </c>
      <c r="X83" s="208" t="s">
        <v>123</v>
      </c>
      <c r="Y83" s="208" t="s">
        <v>123</v>
      </c>
      <c r="Z83" s="208">
        <v>247</v>
      </c>
      <c r="AA83" s="208">
        <v>213</v>
      </c>
      <c r="AB83" s="208">
        <v>174</v>
      </c>
      <c r="AC83" s="208" t="s">
        <v>123</v>
      </c>
      <c r="AD83" s="208" t="s">
        <v>123</v>
      </c>
    </row>
    <row r="84" spans="1:30" x14ac:dyDescent="0.25">
      <c r="A84" s="1" t="s">
        <v>30</v>
      </c>
      <c r="B84" s="6" t="s">
        <v>110</v>
      </c>
      <c r="C84" s="6" t="s">
        <v>110</v>
      </c>
      <c r="D84" s="7">
        <v>4063183</v>
      </c>
      <c r="E84" s="208">
        <v>6497</v>
      </c>
      <c r="F84" s="208">
        <v>5829</v>
      </c>
      <c r="G84" s="208">
        <v>5439</v>
      </c>
      <c r="H84" s="208" t="s">
        <v>123</v>
      </c>
      <c r="I84" s="208">
        <v>5170</v>
      </c>
      <c r="J84" s="208">
        <v>4799</v>
      </c>
      <c r="K84" s="208">
        <v>4306</v>
      </c>
      <c r="L84" s="208">
        <v>3724</v>
      </c>
      <c r="M84" s="208">
        <v>3492</v>
      </c>
      <c r="N84" s="208">
        <v>3153</v>
      </c>
      <c r="O84" s="208">
        <v>2877</v>
      </c>
      <c r="P84" s="208">
        <v>2640</v>
      </c>
      <c r="Q84" s="208">
        <v>2291</v>
      </c>
      <c r="R84" s="208">
        <v>2220</v>
      </c>
      <c r="S84" s="208">
        <v>2013</v>
      </c>
      <c r="T84" s="208">
        <v>2136</v>
      </c>
      <c r="U84" s="208">
        <v>2166</v>
      </c>
      <c r="V84" s="208">
        <v>2028</v>
      </c>
      <c r="W84" s="208">
        <v>1868</v>
      </c>
      <c r="X84" s="208">
        <v>1684</v>
      </c>
      <c r="Y84" s="208">
        <v>1537</v>
      </c>
      <c r="Z84" s="208">
        <v>1392</v>
      </c>
      <c r="AA84" s="208">
        <v>1303</v>
      </c>
      <c r="AB84" s="208" t="s">
        <v>123</v>
      </c>
      <c r="AC84" s="208">
        <v>824</v>
      </c>
      <c r="AD84" s="208">
        <v>614</v>
      </c>
    </row>
    <row r="85" spans="1:30" x14ac:dyDescent="0.25">
      <c r="B85" s="6" t="s">
        <v>111</v>
      </c>
      <c r="C85" s="6" t="s">
        <v>111</v>
      </c>
      <c r="D85" s="7">
        <v>4063281</v>
      </c>
      <c r="E85" s="208">
        <v>1000</v>
      </c>
      <c r="F85" s="208">
        <v>856</v>
      </c>
      <c r="G85" s="208">
        <v>494</v>
      </c>
      <c r="H85" s="208">
        <v>474</v>
      </c>
      <c r="I85" s="208">
        <v>521</v>
      </c>
      <c r="J85" s="208">
        <v>549</v>
      </c>
      <c r="K85" s="208">
        <v>478</v>
      </c>
      <c r="L85" s="208">
        <v>420</v>
      </c>
      <c r="M85" s="208">
        <v>270</v>
      </c>
      <c r="N85" s="208">
        <v>365</v>
      </c>
      <c r="O85" s="208">
        <v>262</v>
      </c>
      <c r="P85" s="208">
        <v>246</v>
      </c>
      <c r="Q85" s="208">
        <v>198</v>
      </c>
      <c r="R85" s="208">
        <v>179</v>
      </c>
      <c r="S85" s="208">
        <v>169</v>
      </c>
      <c r="T85" s="208">
        <v>168</v>
      </c>
      <c r="U85" s="208">
        <v>148</v>
      </c>
      <c r="V85" s="208">
        <v>126</v>
      </c>
      <c r="W85" s="208">
        <v>112</v>
      </c>
      <c r="X85" s="208">
        <v>102</v>
      </c>
      <c r="Y85" s="208">
        <v>93</v>
      </c>
      <c r="Z85" s="208">
        <v>83</v>
      </c>
      <c r="AA85" s="208">
        <v>74</v>
      </c>
      <c r="AB85" s="208">
        <v>65</v>
      </c>
      <c r="AC85" s="208">
        <v>56</v>
      </c>
      <c r="AD85" s="208">
        <v>50</v>
      </c>
    </row>
    <row r="86" spans="1:30" x14ac:dyDescent="0.25">
      <c r="B86" s="6" t="s">
        <v>112</v>
      </c>
      <c r="C86" s="6" t="s">
        <v>112</v>
      </c>
      <c r="D86" s="7">
        <v>4059746</v>
      </c>
      <c r="E86" s="208">
        <v>-134693</v>
      </c>
      <c r="F86" s="208">
        <v>-111209</v>
      </c>
      <c r="G86" s="208">
        <v>-147341</v>
      </c>
      <c r="H86" s="208">
        <v>-124017</v>
      </c>
      <c r="I86" s="208">
        <v>-100896</v>
      </c>
      <c r="J86" s="208">
        <v>-2784</v>
      </c>
      <c r="K86" s="208">
        <v>14505</v>
      </c>
      <c r="L86" s="208">
        <v>33064</v>
      </c>
      <c r="M86" s="208">
        <v>47271</v>
      </c>
      <c r="N86" s="208">
        <v>61309</v>
      </c>
      <c r="O86" s="208">
        <v>70978</v>
      </c>
      <c r="P86" s="208">
        <v>80139</v>
      </c>
      <c r="Q86" s="208">
        <v>89350</v>
      </c>
      <c r="R86" s="208">
        <v>83528</v>
      </c>
      <c r="S86" s="208">
        <v>76859</v>
      </c>
      <c r="T86" s="208">
        <v>82645</v>
      </c>
      <c r="U86" s="208">
        <v>140244</v>
      </c>
      <c r="V86" s="208">
        <v>138844</v>
      </c>
      <c r="W86" s="208">
        <v>26110</v>
      </c>
      <c r="X86" s="208">
        <v>41761</v>
      </c>
      <c r="Y86" s="208">
        <v>41638</v>
      </c>
      <c r="Z86" s="208">
        <v>38602</v>
      </c>
      <c r="AA86" s="208">
        <v>36560</v>
      </c>
      <c r="AB86" s="208">
        <v>33139</v>
      </c>
      <c r="AC86" s="208">
        <v>22896</v>
      </c>
      <c r="AD86" s="208" t="s">
        <v>123</v>
      </c>
    </row>
    <row r="87" spans="1:30" x14ac:dyDescent="0.25">
      <c r="A87" s="1" t="s">
        <v>30</v>
      </c>
      <c r="B87" s="6" t="s">
        <v>113</v>
      </c>
      <c r="C87" s="6" t="s">
        <v>113</v>
      </c>
      <c r="D87" s="7">
        <v>4062279</v>
      </c>
      <c r="E87" s="208" t="s">
        <v>123</v>
      </c>
      <c r="F87" s="208" t="s">
        <v>123</v>
      </c>
      <c r="G87" s="208" t="s">
        <v>123</v>
      </c>
      <c r="H87" s="208" t="s">
        <v>123</v>
      </c>
      <c r="I87" s="208" t="s">
        <v>123</v>
      </c>
      <c r="J87" s="208" t="s">
        <v>123</v>
      </c>
      <c r="K87" s="208" t="s">
        <v>123</v>
      </c>
      <c r="L87" s="208" t="s">
        <v>123</v>
      </c>
      <c r="M87" s="208" t="s">
        <v>123</v>
      </c>
      <c r="N87" s="208" t="s">
        <v>123</v>
      </c>
      <c r="O87" s="208" t="s">
        <v>123</v>
      </c>
      <c r="P87" s="208" t="s">
        <v>123</v>
      </c>
      <c r="Q87" s="208" t="s">
        <v>123</v>
      </c>
      <c r="R87" s="208" t="s">
        <v>123</v>
      </c>
      <c r="S87" s="208" t="s">
        <v>123</v>
      </c>
      <c r="T87" s="208" t="s">
        <v>123</v>
      </c>
      <c r="U87" s="208" t="s">
        <v>123</v>
      </c>
      <c r="V87" s="208" t="s">
        <v>123</v>
      </c>
      <c r="W87" s="208" t="s">
        <v>123</v>
      </c>
      <c r="X87" s="208" t="s">
        <v>123</v>
      </c>
      <c r="Y87" s="208" t="s">
        <v>123</v>
      </c>
      <c r="Z87" s="208" t="s">
        <v>123</v>
      </c>
      <c r="AA87" s="208" t="s">
        <v>123</v>
      </c>
      <c r="AB87" s="208" t="s">
        <v>123</v>
      </c>
      <c r="AC87" s="208" t="s">
        <v>123</v>
      </c>
      <c r="AD87" s="208" t="s">
        <v>123</v>
      </c>
    </row>
    <row r="88" spans="1:30" x14ac:dyDescent="0.25">
      <c r="A88" s="1" t="s">
        <v>30</v>
      </c>
      <c r="B88" s="6" t="s">
        <v>114</v>
      </c>
      <c r="C88" s="6" t="s">
        <v>114</v>
      </c>
      <c r="D88" s="7">
        <v>4063729</v>
      </c>
      <c r="E88" s="208" t="s">
        <v>123</v>
      </c>
      <c r="F88" s="208" t="s">
        <v>123</v>
      </c>
      <c r="G88" s="208" t="s">
        <v>123</v>
      </c>
      <c r="H88" s="208">
        <v>6333</v>
      </c>
      <c r="I88" s="208">
        <v>5472</v>
      </c>
      <c r="J88" s="208">
        <v>5085</v>
      </c>
      <c r="K88" s="208">
        <v>19937</v>
      </c>
      <c r="L88" s="208">
        <v>18140</v>
      </c>
      <c r="M88" s="208">
        <v>17050</v>
      </c>
      <c r="N88" s="208">
        <v>16282</v>
      </c>
      <c r="O88" s="208">
        <v>15496</v>
      </c>
      <c r="P88" s="208">
        <v>13319</v>
      </c>
      <c r="Q88" s="208">
        <v>12446</v>
      </c>
      <c r="R88" s="208">
        <v>10527</v>
      </c>
      <c r="S88" s="208">
        <v>8708</v>
      </c>
      <c r="T88" s="208">
        <v>4766</v>
      </c>
      <c r="U88" s="208">
        <v>4361</v>
      </c>
      <c r="V88" s="208">
        <v>3770</v>
      </c>
      <c r="W88" s="208">
        <v>3634</v>
      </c>
      <c r="X88" s="208">
        <v>3271</v>
      </c>
      <c r="Y88" s="208">
        <v>2977</v>
      </c>
      <c r="Z88" s="208">
        <v>2626</v>
      </c>
      <c r="AA88" s="208" t="s">
        <v>123</v>
      </c>
      <c r="AB88" s="208" t="s">
        <v>123</v>
      </c>
      <c r="AC88" s="208">
        <v>2113</v>
      </c>
      <c r="AD88" s="208">
        <v>1453</v>
      </c>
    </row>
    <row r="89" spans="1:30" x14ac:dyDescent="0.25">
      <c r="B89" s="6" t="s">
        <v>115</v>
      </c>
      <c r="C89" s="6" t="s">
        <v>115</v>
      </c>
      <c r="D89" s="7">
        <v>4063762</v>
      </c>
      <c r="E89" s="208">
        <v>7317</v>
      </c>
      <c r="F89" s="208">
        <v>10445</v>
      </c>
      <c r="G89" s="208">
        <v>9476</v>
      </c>
      <c r="H89" s="208">
        <v>7617</v>
      </c>
      <c r="I89" s="208">
        <v>5380</v>
      </c>
      <c r="J89" s="208">
        <v>4987</v>
      </c>
      <c r="K89" s="208">
        <v>5165</v>
      </c>
      <c r="L89" s="208">
        <v>9012</v>
      </c>
      <c r="M89" s="208">
        <v>4637</v>
      </c>
      <c r="N89" s="208">
        <v>2874</v>
      </c>
      <c r="O89" s="208">
        <v>2041</v>
      </c>
      <c r="P89" s="208">
        <v>459</v>
      </c>
      <c r="Q89" s="208">
        <v>275</v>
      </c>
      <c r="R89" s="208">
        <v>-620</v>
      </c>
      <c r="S89" s="208">
        <v>1886</v>
      </c>
      <c r="T89" s="208">
        <v>1964</v>
      </c>
      <c r="U89" s="208">
        <v>11127</v>
      </c>
      <c r="V89" s="208">
        <v>9785</v>
      </c>
      <c r="W89" s="208">
        <v>7902</v>
      </c>
      <c r="X89" s="208">
        <v>6652</v>
      </c>
      <c r="Y89" s="208">
        <v>6247</v>
      </c>
      <c r="Z89" s="208">
        <v>6122</v>
      </c>
      <c r="AA89" s="208">
        <v>6204</v>
      </c>
      <c r="AB89" s="208">
        <v>7510</v>
      </c>
      <c r="AC89" s="208">
        <v>7134</v>
      </c>
      <c r="AD89" s="208" t="s">
        <v>123</v>
      </c>
    </row>
    <row r="90" spans="1:30" x14ac:dyDescent="0.25">
      <c r="B90" s="6" t="s">
        <v>116</v>
      </c>
      <c r="C90" s="6" t="s">
        <v>116</v>
      </c>
      <c r="D90" s="7">
        <v>4058284</v>
      </c>
      <c r="E90" s="208">
        <v>46616</v>
      </c>
      <c r="F90" s="208">
        <v>42961</v>
      </c>
      <c r="G90" s="208">
        <v>35137</v>
      </c>
      <c r="H90" s="208">
        <v>31725</v>
      </c>
      <c r="I90" s="208">
        <v>25651</v>
      </c>
      <c r="J90" s="208">
        <v>28850</v>
      </c>
      <c r="K90" s="208">
        <v>25548</v>
      </c>
      <c r="L90" s="208">
        <v>21682</v>
      </c>
      <c r="M90" s="208">
        <v>18581</v>
      </c>
      <c r="N90" s="208">
        <v>28902</v>
      </c>
      <c r="O90" s="208">
        <v>25805</v>
      </c>
      <c r="P90" s="208">
        <v>28050</v>
      </c>
      <c r="Q90" s="208">
        <v>5837</v>
      </c>
      <c r="R90" s="208">
        <v>11132</v>
      </c>
      <c r="S90" s="208">
        <v>28000</v>
      </c>
      <c r="T90" s="208">
        <v>24842</v>
      </c>
      <c r="U90" s="208">
        <v>23484</v>
      </c>
      <c r="V90" s="208">
        <v>22159</v>
      </c>
      <c r="W90" s="208">
        <v>31765</v>
      </c>
      <c r="X90" s="208">
        <v>49299</v>
      </c>
      <c r="Y90" s="208">
        <v>49539</v>
      </c>
      <c r="Z90" s="208">
        <v>49243</v>
      </c>
      <c r="AA90" s="208">
        <v>45220</v>
      </c>
      <c r="AB90" s="208">
        <v>43438</v>
      </c>
      <c r="AC90" s="208">
        <v>43661</v>
      </c>
      <c r="AD90" s="208">
        <v>39008</v>
      </c>
    </row>
    <row r="91" spans="1:30" x14ac:dyDescent="0.25">
      <c r="B91" s="6" t="s">
        <v>117</v>
      </c>
      <c r="C91" s="6" t="s">
        <v>117</v>
      </c>
      <c r="D91" s="7">
        <v>4008752</v>
      </c>
      <c r="E91" s="208">
        <v>48867</v>
      </c>
      <c r="F91" s="208">
        <v>43290</v>
      </c>
      <c r="G91" s="208">
        <v>51133</v>
      </c>
      <c r="H91" s="208">
        <v>59381</v>
      </c>
      <c r="I91" s="208">
        <v>59722</v>
      </c>
      <c r="J91" s="208">
        <v>69976</v>
      </c>
      <c r="K91" s="208">
        <v>66112</v>
      </c>
      <c r="L91" s="208">
        <v>59324</v>
      </c>
      <c r="M91" s="208">
        <v>54584</v>
      </c>
      <c r="N91" s="208">
        <v>49597</v>
      </c>
      <c r="O91" s="208">
        <v>44692</v>
      </c>
      <c r="P91" s="208">
        <v>42450</v>
      </c>
      <c r="Q91" s="208">
        <v>37032</v>
      </c>
      <c r="R91" s="208">
        <v>33383</v>
      </c>
      <c r="S91" s="208">
        <v>29057</v>
      </c>
      <c r="T91" s="208">
        <v>27525</v>
      </c>
      <c r="U91" s="208">
        <v>23536</v>
      </c>
      <c r="V91" s="208">
        <v>22643</v>
      </c>
      <c r="W91" s="208">
        <v>66580</v>
      </c>
      <c r="X91" s="208">
        <v>73390</v>
      </c>
      <c r="Y91" s="208">
        <v>63851</v>
      </c>
      <c r="Z91" s="208">
        <v>61181</v>
      </c>
      <c r="AA91" s="208">
        <v>56207</v>
      </c>
      <c r="AB91" s="208">
        <v>51877</v>
      </c>
      <c r="AC91" s="208">
        <v>61781</v>
      </c>
      <c r="AD91" s="208">
        <v>53157</v>
      </c>
    </row>
    <row r="92" spans="1:30" x14ac:dyDescent="0.25">
      <c r="B92" s="6" t="s">
        <v>118</v>
      </c>
      <c r="C92" s="6" t="s">
        <v>118</v>
      </c>
      <c r="D92" s="7">
        <v>4008669</v>
      </c>
      <c r="E92" s="208">
        <v>4931</v>
      </c>
      <c r="F92" s="208">
        <v>4349</v>
      </c>
      <c r="G92" s="208">
        <v>3366</v>
      </c>
      <c r="H92" s="208">
        <v>5053</v>
      </c>
      <c r="I92" s="208">
        <v>5544</v>
      </c>
      <c r="J92" s="208">
        <v>5296</v>
      </c>
      <c r="K92" s="208">
        <v>5152</v>
      </c>
      <c r="L92" s="208">
        <v>4858</v>
      </c>
      <c r="M92" s="208">
        <v>4364</v>
      </c>
      <c r="N92" s="208">
        <v>3637</v>
      </c>
      <c r="O92" s="208">
        <v>3212</v>
      </c>
      <c r="P92" s="208">
        <v>3043</v>
      </c>
      <c r="Q92" s="208">
        <v>2379</v>
      </c>
      <c r="R92" s="208">
        <v>4896</v>
      </c>
      <c r="S92" s="208">
        <v>-6963</v>
      </c>
      <c r="T92" s="208">
        <v>9111</v>
      </c>
      <c r="U92" s="208">
        <v>7939</v>
      </c>
      <c r="V92" s="208">
        <v>6928</v>
      </c>
      <c r="W92" s="208">
        <v>7042</v>
      </c>
      <c r="X92" s="208">
        <v>5601</v>
      </c>
      <c r="Y92" s="208">
        <v>4811</v>
      </c>
      <c r="Z92" s="208">
        <v>3042</v>
      </c>
      <c r="AA92" s="208">
        <v>3179</v>
      </c>
      <c r="AB92" s="208">
        <v>2629</v>
      </c>
      <c r="AC92" s="208">
        <v>2152</v>
      </c>
      <c r="AD92" s="208">
        <v>1880</v>
      </c>
    </row>
    <row r="93" spans="1:30" x14ac:dyDescent="0.25">
      <c r="B93" s="6" t="s">
        <v>119</v>
      </c>
      <c r="C93" s="6" t="s">
        <v>120</v>
      </c>
      <c r="D93" s="7">
        <v>4076892</v>
      </c>
      <c r="E93" s="208">
        <v>2595</v>
      </c>
      <c r="F93" s="208">
        <v>2497</v>
      </c>
      <c r="G93" s="208">
        <v>2333</v>
      </c>
      <c r="H93" s="208">
        <v>2174</v>
      </c>
      <c r="I93" s="208">
        <v>2097</v>
      </c>
      <c r="J93" s="208">
        <v>1958</v>
      </c>
      <c r="K93" s="208">
        <v>1880</v>
      </c>
      <c r="L93" s="208">
        <v>1948</v>
      </c>
      <c r="M93" s="208">
        <v>1843</v>
      </c>
      <c r="N93" s="208">
        <v>1706</v>
      </c>
      <c r="O93" s="208">
        <v>1601</v>
      </c>
      <c r="P93" s="208">
        <v>1365</v>
      </c>
      <c r="Q93" s="208">
        <v>1264</v>
      </c>
      <c r="R93" s="208">
        <v>1323</v>
      </c>
      <c r="S93" s="208">
        <v>1309</v>
      </c>
      <c r="T93" s="208">
        <v>1268</v>
      </c>
      <c r="U93" s="208">
        <v>1220</v>
      </c>
      <c r="V93" s="208">
        <v>1216</v>
      </c>
      <c r="W93" s="208" t="s">
        <v>123</v>
      </c>
      <c r="X93" s="208" t="s">
        <v>123</v>
      </c>
      <c r="Y93" s="208" t="s">
        <v>123</v>
      </c>
      <c r="Z93" s="208" t="s">
        <v>123</v>
      </c>
      <c r="AA93" s="208" t="s">
        <v>123</v>
      </c>
      <c r="AB93" s="208" t="s">
        <v>123</v>
      </c>
      <c r="AC93" s="208" t="s">
        <v>123</v>
      </c>
      <c r="AD93" s="208" t="s">
        <v>123</v>
      </c>
    </row>
    <row r="94" spans="1:30" x14ac:dyDescent="0.25">
      <c r="A94" s="1" t="s">
        <v>30</v>
      </c>
      <c r="B94" s="6" t="s">
        <v>121</v>
      </c>
      <c r="C94" s="6" t="s">
        <v>122</v>
      </c>
      <c r="D94" s="7">
        <v>4064141</v>
      </c>
      <c r="E94" s="208">
        <v>34015</v>
      </c>
      <c r="F94" s="208">
        <v>29590</v>
      </c>
      <c r="G94" s="208">
        <v>26926</v>
      </c>
      <c r="H94" s="208">
        <v>28244</v>
      </c>
      <c r="I94" s="208">
        <v>26367</v>
      </c>
      <c r="J94" s="208">
        <v>27938</v>
      </c>
      <c r="K94" s="208">
        <v>25956</v>
      </c>
      <c r="L94" s="208">
        <v>43520</v>
      </c>
      <c r="M94" s="208">
        <v>38728</v>
      </c>
      <c r="N94" s="208">
        <v>35203</v>
      </c>
      <c r="O94" s="208">
        <v>30594</v>
      </c>
      <c r="P94" s="208">
        <v>30213</v>
      </c>
      <c r="Q94" s="208">
        <v>56503</v>
      </c>
      <c r="R94" s="208">
        <v>50882</v>
      </c>
      <c r="S94" s="208">
        <v>43671</v>
      </c>
      <c r="T94" s="208">
        <v>37642</v>
      </c>
      <c r="U94" s="208">
        <v>33109</v>
      </c>
      <c r="V94" s="208">
        <v>29686</v>
      </c>
      <c r="W94" s="208">
        <v>26384</v>
      </c>
      <c r="X94" s="208" t="s">
        <v>123</v>
      </c>
      <c r="Y94" s="208" t="s">
        <v>123</v>
      </c>
      <c r="Z94" s="208">
        <v>12606</v>
      </c>
      <c r="AA94" s="208">
        <v>10549</v>
      </c>
      <c r="AB94" s="208">
        <v>9061</v>
      </c>
      <c r="AC94" s="208">
        <v>7550</v>
      </c>
      <c r="AD94" s="208">
        <v>9271</v>
      </c>
    </row>
  </sheetData>
  <conditionalFormatting sqref="E7:E207">
    <cfRule type="cellIs" dxfId="0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3:AE91"/>
  <sheetViews>
    <sheetView zoomScale="75" zoomScaleNormal="75" workbookViewId="0">
      <selection activeCell="A3" sqref="A1:XFD1048576"/>
    </sheetView>
  </sheetViews>
  <sheetFormatPr defaultRowHeight="12.75" x14ac:dyDescent="0.2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8" width="19" style="1" customWidth="1"/>
    <col min="9" max="21" width="17.5703125" style="1" customWidth="1"/>
    <col min="22" max="22" width="19" style="1" customWidth="1"/>
    <col min="23" max="27" width="17.5703125" style="1" customWidth="1"/>
    <col min="28" max="16384" width="9.140625" style="1"/>
  </cols>
  <sheetData>
    <row r="3" spans="1:31" ht="51.75" x14ac:dyDescent="0.25">
      <c r="E3" s="207" t="s">
        <v>525</v>
      </c>
      <c r="F3" s="9" t="s">
        <v>157</v>
      </c>
      <c r="G3" s="9" t="s">
        <v>158</v>
      </c>
      <c r="H3" s="9" t="s">
        <v>159</v>
      </c>
      <c r="I3" s="9" t="s">
        <v>160</v>
      </c>
      <c r="J3" s="9" t="s">
        <v>161</v>
      </c>
      <c r="K3" s="9" t="s">
        <v>162</v>
      </c>
      <c r="L3" s="9" t="s">
        <v>163</v>
      </c>
      <c r="M3" s="9" t="s">
        <v>164</v>
      </c>
      <c r="N3" s="9" t="s">
        <v>165</v>
      </c>
      <c r="O3" s="9" t="s">
        <v>166</v>
      </c>
      <c r="P3" s="9" t="s">
        <v>167</v>
      </c>
      <c r="Q3" s="9" t="s">
        <v>168</v>
      </c>
      <c r="R3" s="9" t="s">
        <v>169</v>
      </c>
      <c r="S3" s="9" t="s">
        <v>170</v>
      </c>
      <c r="T3" s="9" t="s">
        <v>171</v>
      </c>
      <c r="U3" s="9" t="s">
        <v>172</v>
      </c>
      <c r="V3" s="9" t="s">
        <v>173</v>
      </c>
      <c r="W3" s="9" t="s">
        <v>174</v>
      </c>
      <c r="X3" s="9" t="s">
        <v>175</v>
      </c>
      <c r="Y3" s="9" t="s">
        <v>176</v>
      </c>
      <c r="Z3" s="9" t="s">
        <v>177</v>
      </c>
      <c r="AA3" s="9" t="s">
        <v>178</v>
      </c>
      <c r="AB3" s="1" t="s">
        <v>325</v>
      </c>
      <c r="AC3" s="1" t="s">
        <v>326</v>
      </c>
      <c r="AD3" s="1" t="s">
        <v>327</v>
      </c>
      <c r="AE3" s="1" t="s">
        <v>328</v>
      </c>
    </row>
    <row r="4" spans="1:31" ht="30" x14ac:dyDescent="0.25">
      <c r="B4" s="2"/>
      <c r="C4" s="2"/>
      <c r="D4" s="2"/>
      <c r="E4" s="207" t="s">
        <v>526</v>
      </c>
      <c r="F4" s="9" t="s">
        <v>179</v>
      </c>
      <c r="G4" s="9" t="s">
        <v>179</v>
      </c>
      <c r="H4" s="9" t="s">
        <v>179</v>
      </c>
      <c r="I4" s="9" t="s">
        <v>179</v>
      </c>
      <c r="J4" s="9" t="s">
        <v>179</v>
      </c>
      <c r="K4" s="9" t="s">
        <v>179</v>
      </c>
      <c r="L4" s="9" t="s">
        <v>179</v>
      </c>
      <c r="M4" s="9" t="s">
        <v>179</v>
      </c>
      <c r="N4" s="9" t="s">
        <v>179</v>
      </c>
      <c r="O4" s="9" t="s">
        <v>179</v>
      </c>
      <c r="P4" s="9" t="s">
        <v>179</v>
      </c>
      <c r="Q4" s="9" t="s">
        <v>179</v>
      </c>
      <c r="R4" s="9" t="s">
        <v>179</v>
      </c>
      <c r="S4" s="9" t="s">
        <v>179</v>
      </c>
      <c r="T4" s="9" t="s">
        <v>179</v>
      </c>
      <c r="U4" s="9" t="s">
        <v>179</v>
      </c>
      <c r="V4" s="9" t="s">
        <v>179</v>
      </c>
      <c r="W4" s="9" t="s">
        <v>179</v>
      </c>
      <c r="X4" s="9" t="s">
        <v>179</v>
      </c>
      <c r="Y4" s="9" t="s">
        <v>179</v>
      </c>
      <c r="Z4" s="9" t="s">
        <v>179</v>
      </c>
      <c r="AA4" s="9" t="s">
        <v>179</v>
      </c>
      <c r="AB4" s="1" t="s">
        <v>179</v>
      </c>
      <c r="AC4" s="1" t="s">
        <v>179</v>
      </c>
      <c r="AD4" s="1" t="s">
        <v>179</v>
      </c>
      <c r="AE4" s="1" t="s">
        <v>179</v>
      </c>
    </row>
    <row r="5" spans="1:31" ht="15" x14ac:dyDescent="0.25">
      <c r="A5" s="3" t="s">
        <v>0</v>
      </c>
      <c r="B5" s="4" t="s">
        <v>1</v>
      </c>
      <c r="C5" s="4" t="s">
        <v>2</v>
      </c>
      <c r="D5" s="5" t="s">
        <v>3</v>
      </c>
      <c r="E5" s="207" t="s">
        <v>462</v>
      </c>
      <c r="F5" s="9" t="s">
        <v>26</v>
      </c>
      <c r="G5" s="9" t="s">
        <v>25</v>
      </c>
      <c r="H5" s="9" t="s">
        <v>24</v>
      </c>
      <c r="I5" s="9" t="s">
        <v>23</v>
      </c>
      <c r="J5" s="9" t="s">
        <v>22</v>
      </c>
      <c r="K5" s="9" t="s">
        <v>21</v>
      </c>
      <c r="L5" s="9" t="s">
        <v>20</v>
      </c>
      <c r="M5" s="9" t="s">
        <v>19</v>
      </c>
      <c r="N5" s="9" t="s">
        <v>18</v>
      </c>
      <c r="O5" s="9" t="s">
        <v>17</v>
      </c>
      <c r="P5" s="9" t="s">
        <v>16</v>
      </c>
      <c r="Q5" s="9" t="s">
        <v>15</v>
      </c>
      <c r="R5" s="9" t="s">
        <v>14</v>
      </c>
      <c r="S5" s="9" t="s">
        <v>13</v>
      </c>
      <c r="T5" s="9" t="s">
        <v>12</v>
      </c>
      <c r="U5" s="9" t="s">
        <v>11</v>
      </c>
      <c r="V5" s="9" t="s">
        <v>10</v>
      </c>
      <c r="W5" s="9" t="s">
        <v>9</v>
      </c>
      <c r="X5" s="9" t="s">
        <v>8</v>
      </c>
      <c r="Y5" s="9" t="s">
        <v>7</v>
      </c>
      <c r="Z5" s="9" t="s">
        <v>6</v>
      </c>
      <c r="AA5" s="9" t="s">
        <v>5</v>
      </c>
      <c r="AB5" s="1" t="s">
        <v>4</v>
      </c>
      <c r="AC5" s="1" t="s">
        <v>321</v>
      </c>
      <c r="AD5" s="1" t="s">
        <v>322</v>
      </c>
      <c r="AE5" s="1" t="s">
        <v>323</v>
      </c>
    </row>
    <row r="6" spans="1:31" x14ac:dyDescent="0.2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31" x14ac:dyDescent="0.2">
      <c r="B7" s="6" t="s">
        <v>27</v>
      </c>
      <c r="C7" s="6" t="s">
        <v>27</v>
      </c>
      <c r="D7" s="7">
        <v>4058513</v>
      </c>
      <c r="E7" s="206" t="s">
        <v>123</v>
      </c>
      <c r="F7" s="206" t="s">
        <v>123</v>
      </c>
      <c r="G7" s="206" t="s">
        <v>123</v>
      </c>
      <c r="H7" s="206" t="s">
        <v>123</v>
      </c>
      <c r="I7" s="206">
        <v>8904</v>
      </c>
      <c r="J7" s="206">
        <v>4226</v>
      </c>
      <c r="K7" s="206">
        <v>4502</v>
      </c>
      <c r="L7" s="206">
        <v>4013</v>
      </c>
      <c r="M7" s="206">
        <v>3396</v>
      </c>
      <c r="N7" s="206">
        <v>2259</v>
      </c>
      <c r="O7" s="206">
        <v>2122</v>
      </c>
      <c r="P7" s="206">
        <v>3110</v>
      </c>
      <c r="Q7" s="206">
        <v>3606</v>
      </c>
      <c r="R7" s="206">
        <v>2853</v>
      </c>
      <c r="S7" s="206">
        <v>3257</v>
      </c>
      <c r="T7" s="206">
        <v>2875</v>
      </c>
      <c r="U7" s="206">
        <v>2826</v>
      </c>
      <c r="V7" s="206">
        <v>1937</v>
      </c>
      <c r="W7" s="206">
        <v>1305</v>
      </c>
      <c r="X7" s="206">
        <v>1902</v>
      </c>
      <c r="Y7" s="206" t="s">
        <v>123</v>
      </c>
      <c r="Z7" s="206" t="s">
        <v>123</v>
      </c>
      <c r="AA7" s="206" t="s">
        <v>123</v>
      </c>
      <c r="AB7" s="1" t="s">
        <v>123</v>
      </c>
      <c r="AC7" s="1" t="s">
        <v>123</v>
      </c>
      <c r="AD7" s="1" t="s">
        <v>123</v>
      </c>
      <c r="AE7" s="1" t="s">
        <v>123</v>
      </c>
    </row>
    <row r="8" spans="1:31" x14ac:dyDescent="0.2">
      <c r="B8" s="6" t="s">
        <v>28</v>
      </c>
      <c r="C8" s="6" t="s">
        <v>28</v>
      </c>
      <c r="D8" s="7">
        <v>4054707</v>
      </c>
      <c r="E8" s="206">
        <v>262371</v>
      </c>
      <c r="F8" s="206">
        <v>163650</v>
      </c>
      <c r="G8" s="206">
        <v>210651</v>
      </c>
      <c r="H8" s="206">
        <v>199177</v>
      </c>
      <c r="I8" s="206">
        <v>197431</v>
      </c>
      <c r="J8" s="206">
        <v>197690</v>
      </c>
      <c r="K8" s="206">
        <v>225205</v>
      </c>
      <c r="L8" s="206">
        <v>176212</v>
      </c>
      <c r="M8" s="206">
        <v>143553</v>
      </c>
      <c r="N8" s="206">
        <v>69639</v>
      </c>
      <c r="O8" s="206">
        <v>223485</v>
      </c>
      <c r="P8" s="206">
        <v>112536</v>
      </c>
      <c r="Q8" s="206">
        <v>175450</v>
      </c>
      <c r="R8" s="206">
        <v>125734</v>
      </c>
      <c r="S8" s="206">
        <v>90558</v>
      </c>
      <c r="T8" s="206">
        <v>70711</v>
      </c>
      <c r="U8" s="206">
        <v>156227</v>
      </c>
      <c r="V8" s="206">
        <v>89428</v>
      </c>
      <c r="W8" s="206">
        <v>79948</v>
      </c>
      <c r="X8" s="206">
        <v>96943</v>
      </c>
      <c r="Y8" s="206">
        <v>92757</v>
      </c>
      <c r="Z8" s="206">
        <v>96835</v>
      </c>
      <c r="AA8" s="206">
        <v>109283</v>
      </c>
      <c r="AB8" s="1">
        <v>84798</v>
      </c>
      <c r="AC8" s="1">
        <v>0</v>
      </c>
      <c r="AD8" s="1">
        <v>0</v>
      </c>
      <c r="AE8" s="1">
        <v>0</v>
      </c>
    </row>
    <row r="9" spans="1:31" x14ac:dyDescent="0.2">
      <c r="B9" s="6" t="s">
        <v>29</v>
      </c>
      <c r="C9" s="6" t="s">
        <v>29</v>
      </c>
      <c r="D9" s="7">
        <v>4057075</v>
      </c>
      <c r="E9" s="206">
        <v>15077</v>
      </c>
      <c r="F9" s="206">
        <v>83187</v>
      </c>
      <c r="G9" s="206">
        <v>96658</v>
      </c>
      <c r="H9" s="206">
        <v>96973</v>
      </c>
      <c r="I9" s="206">
        <v>82850</v>
      </c>
      <c r="J9" s="206">
        <v>78774</v>
      </c>
      <c r="K9" s="206">
        <v>70596</v>
      </c>
      <c r="L9" s="206">
        <v>52761</v>
      </c>
      <c r="M9" s="206">
        <v>62293</v>
      </c>
      <c r="N9" s="206">
        <v>24260</v>
      </c>
      <c r="O9" s="206">
        <v>34464</v>
      </c>
      <c r="P9" s="206">
        <v>26396</v>
      </c>
      <c r="Q9" s="206">
        <v>35762</v>
      </c>
      <c r="R9" s="206">
        <v>54381</v>
      </c>
      <c r="S9" s="206">
        <v>46636</v>
      </c>
      <c r="T9" s="206">
        <v>33443</v>
      </c>
      <c r="U9" s="206">
        <v>24415</v>
      </c>
      <c r="V9" s="206">
        <v>20977</v>
      </c>
      <c r="W9" s="206">
        <v>20064</v>
      </c>
      <c r="X9" s="206">
        <v>16713</v>
      </c>
      <c r="Y9" s="206">
        <v>16438</v>
      </c>
      <c r="Z9" s="206">
        <v>24644</v>
      </c>
      <c r="AA9" s="206">
        <v>20879</v>
      </c>
      <c r="AB9" s="1">
        <v>24460</v>
      </c>
      <c r="AC9" s="1" t="s">
        <v>123</v>
      </c>
      <c r="AD9" s="1">
        <v>0</v>
      </c>
      <c r="AE9" s="1">
        <v>0</v>
      </c>
    </row>
    <row r="10" spans="1:31" x14ac:dyDescent="0.2">
      <c r="A10" s="1" t="s">
        <v>30</v>
      </c>
      <c r="B10" s="6" t="s">
        <v>31</v>
      </c>
      <c r="C10" s="6" t="s">
        <v>31</v>
      </c>
      <c r="D10" s="7">
        <v>4007784</v>
      </c>
      <c r="E10" s="206">
        <v>401846.52</v>
      </c>
      <c r="F10" s="206">
        <v>336562</v>
      </c>
      <c r="G10" s="206">
        <v>399000</v>
      </c>
      <c r="H10" s="206">
        <v>253684</v>
      </c>
      <c r="I10" s="206">
        <v>232572</v>
      </c>
      <c r="J10" s="206">
        <v>222151</v>
      </c>
      <c r="K10" s="206">
        <v>195451</v>
      </c>
      <c r="L10" s="206">
        <v>108610</v>
      </c>
      <c r="M10" s="206">
        <v>111865</v>
      </c>
      <c r="N10" s="206">
        <v>164182</v>
      </c>
      <c r="O10" s="206">
        <v>74924</v>
      </c>
      <c r="P10" s="206">
        <v>61438</v>
      </c>
      <c r="Q10" s="206">
        <v>43244</v>
      </c>
      <c r="R10" s="206">
        <v>48406</v>
      </c>
      <c r="S10" s="206">
        <v>40267</v>
      </c>
      <c r="T10" s="206">
        <v>40545</v>
      </c>
      <c r="U10" s="206">
        <v>41985</v>
      </c>
      <c r="V10" s="206">
        <v>36090</v>
      </c>
      <c r="W10" s="206">
        <v>36538</v>
      </c>
      <c r="X10" s="206">
        <v>38181</v>
      </c>
      <c r="Y10" s="206">
        <v>44374</v>
      </c>
      <c r="Z10" s="206">
        <v>48342</v>
      </c>
      <c r="AA10" s="206">
        <v>54256</v>
      </c>
      <c r="AB10" s="1">
        <v>73204</v>
      </c>
      <c r="AC10" s="1" t="s">
        <v>123</v>
      </c>
      <c r="AD10" s="1" t="s">
        <v>123</v>
      </c>
      <c r="AE10" s="1">
        <v>78002</v>
      </c>
    </row>
    <row r="11" spans="1:31" x14ac:dyDescent="0.2">
      <c r="A11" s="1" t="s">
        <v>30</v>
      </c>
      <c r="B11" s="6" t="s">
        <v>32</v>
      </c>
      <c r="C11" s="6" t="s">
        <v>33</v>
      </c>
      <c r="D11" s="7">
        <v>4058656</v>
      </c>
      <c r="E11" s="206" t="s">
        <v>123</v>
      </c>
      <c r="F11" s="206">
        <v>57032</v>
      </c>
      <c r="G11" s="206">
        <v>332981</v>
      </c>
      <c r="H11" s="206">
        <v>131256</v>
      </c>
      <c r="I11" s="206">
        <v>117081</v>
      </c>
      <c r="J11" s="206">
        <v>120067</v>
      </c>
      <c r="K11" s="206">
        <v>72338</v>
      </c>
      <c r="L11" s="206">
        <v>98296</v>
      </c>
      <c r="M11" s="206">
        <v>53926</v>
      </c>
      <c r="N11" s="206">
        <v>65105</v>
      </c>
      <c r="O11" s="206">
        <v>49525</v>
      </c>
      <c r="P11" s="206">
        <v>34792</v>
      </c>
      <c r="Q11" s="206">
        <v>44981</v>
      </c>
      <c r="R11" s="206">
        <v>52662</v>
      </c>
      <c r="S11" s="206">
        <v>51131</v>
      </c>
      <c r="T11" s="206">
        <v>54619</v>
      </c>
      <c r="U11" s="206">
        <v>29428</v>
      </c>
      <c r="V11" s="206">
        <v>18850</v>
      </c>
      <c r="W11" s="206">
        <v>17166</v>
      </c>
      <c r="X11" s="206">
        <v>15710</v>
      </c>
      <c r="Y11" s="206">
        <v>16448</v>
      </c>
      <c r="Z11" s="206" t="s">
        <v>123</v>
      </c>
      <c r="AA11" s="206">
        <v>14893</v>
      </c>
      <c r="AB11" s="1" t="s">
        <v>123</v>
      </c>
      <c r="AC11" s="1" t="s">
        <v>123</v>
      </c>
      <c r="AD11" s="1" t="s">
        <v>123</v>
      </c>
      <c r="AE11" s="1" t="s">
        <v>123</v>
      </c>
    </row>
    <row r="12" spans="1:31" x14ac:dyDescent="0.2">
      <c r="A12" s="1" t="s">
        <v>30</v>
      </c>
      <c r="B12" s="6" t="s">
        <v>34</v>
      </c>
      <c r="C12" s="6" t="s">
        <v>35</v>
      </c>
      <c r="D12" s="7">
        <v>4057110</v>
      </c>
      <c r="E12" s="206">
        <v>876</v>
      </c>
      <c r="F12" s="206">
        <v>4902</v>
      </c>
      <c r="G12" s="206">
        <v>4079</v>
      </c>
      <c r="H12" s="206">
        <v>4956</v>
      </c>
      <c r="I12" s="206">
        <v>4743</v>
      </c>
      <c r="J12" s="206">
        <v>5372</v>
      </c>
      <c r="K12" s="206">
        <v>4286</v>
      </c>
      <c r="L12" s="206">
        <v>4788</v>
      </c>
      <c r="M12" s="206">
        <v>6163</v>
      </c>
      <c r="N12" s="206">
        <v>4877</v>
      </c>
      <c r="O12" s="206">
        <v>3244</v>
      </c>
      <c r="P12" s="206">
        <v>2721</v>
      </c>
      <c r="Q12" s="206">
        <v>2270</v>
      </c>
      <c r="R12" s="206">
        <v>3233</v>
      </c>
      <c r="S12" s="206">
        <v>2552</v>
      </c>
      <c r="T12" s="206">
        <v>2166</v>
      </c>
      <c r="U12" s="206">
        <v>2187</v>
      </c>
      <c r="V12" s="206">
        <v>2293</v>
      </c>
      <c r="W12" s="206">
        <v>1597</v>
      </c>
      <c r="X12" s="206">
        <v>1930</v>
      </c>
      <c r="Y12" s="206">
        <v>2035</v>
      </c>
      <c r="Z12" s="206">
        <v>2234</v>
      </c>
      <c r="AA12" s="206">
        <v>1884</v>
      </c>
      <c r="AB12" s="1">
        <v>5166</v>
      </c>
      <c r="AC12" s="1" t="s">
        <v>123</v>
      </c>
      <c r="AD12" s="1" t="s">
        <v>123</v>
      </c>
      <c r="AE12" s="1" t="s">
        <v>123</v>
      </c>
    </row>
    <row r="13" spans="1:31" x14ac:dyDescent="0.2">
      <c r="B13" s="6" t="s">
        <v>36</v>
      </c>
      <c r="C13" s="6" t="s">
        <v>36</v>
      </c>
      <c r="D13" s="7">
        <v>4058516</v>
      </c>
      <c r="E13" s="206">
        <v>58721</v>
      </c>
      <c r="F13" s="206">
        <v>23450</v>
      </c>
      <c r="G13" s="206">
        <v>22039</v>
      </c>
      <c r="H13" s="206">
        <v>17938</v>
      </c>
      <c r="I13" s="206">
        <v>32070</v>
      </c>
      <c r="J13" s="206">
        <v>35697</v>
      </c>
      <c r="K13" s="206">
        <v>24837</v>
      </c>
      <c r="L13" s="206">
        <v>16710</v>
      </c>
      <c r="M13" s="206">
        <v>15461</v>
      </c>
      <c r="N13" s="206">
        <v>15379</v>
      </c>
      <c r="O13" s="206">
        <v>11183</v>
      </c>
      <c r="P13" s="206">
        <v>5455</v>
      </c>
      <c r="Q13" s="206">
        <v>3673</v>
      </c>
      <c r="R13" s="206">
        <v>1868</v>
      </c>
      <c r="S13" s="206">
        <v>5232</v>
      </c>
      <c r="T13" s="206">
        <v>7575</v>
      </c>
      <c r="U13" s="206">
        <v>7170</v>
      </c>
      <c r="V13" s="206">
        <v>5319</v>
      </c>
      <c r="W13" s="206">
        <v>4413</v>
      </c>
      <c r="X13" s="206">
        <v>3179</v>
      </c>
      <c r="Y13" s="206">
        <v>2569</v>
      </c>
      <c r="Z13" s="206">
        <v>3129</v>
      </c>
      <c r="AA13" s="206">
        <v>4408</v>
      </c>
      <c r="AB13" s="1">
        <v>5691</v>
      </c>
      <c r="AC13" s="1">
        <v>0</v>
      </c>
      <c r="AD13" s="1">
        <v>0</v>
      </c>
      <c r="AE13" s="1">
        <v>0</v>
      </c>
    </row>
    <row r="14" spans="1:31" x14ac:dyDescent="0.2">
      <c r="B14" s="6" t="s">
        <v>37</v>
      </c>
      <c r="C14" s="6" t="s">
        <v>37</v>
      </c>
      <c r="D14" s="7">
        <v>4058793</v>
      </c>
      <c r="E14" s="206">
        <v>2314</v>
      </c>
      <c r="F14" s="206">
        <v>2423</v>
      </c>
      <c r="G14" s="206">
        <v>1570</v>
      </c>
      <c r="H14" s="206">
        <v>1603</v>
      </c>
      <c r="I14" s="206">
        <v>68</v>
      </c>
      <c r="J14" s="206">
        <v>465</v>
      </c>
      <c r="K14" s="206">
        <v>270</v>
      </c>
      <c r="L14" s="206">
        <v>103</v>
      </c>
      <c r="M14" s="206">
        <v>56</v>
      </c>
      <c r="N14" s="206">
        <v>420</v>
      </c>
      <c r="O14" s="206">
        <v>226</v>
      </c>
      <c r="P14" s="206">
        <v>202</v>
      </c>
      <c r="Q14" s="206">
        <v>440</v>
      </c>
      <c r="R14" s="206">
        <v>366</v>
      </c>
      <c r="S14" s="206">
        <v>374</v>
      </c>
      <c r="T14" s="206">
        <v>466</v>
      </c>
      <c r="U14" s="206">
        <v>652</v>
      </c>
      <c r="V14" s="206">
        <v>748</v>
      </c>
      <c r="W14" s="206">
        <v>391</v>
      </c>
      <c r="X14" s="206">
        <v>475</v>
      </c>
      <c r="Y14" s="206">
        <v>613</v>
      </c>
      <c r="Z14" s="206">
        <v>409</v>
      </c>
      <c r="AA14" s="206">
        <v>483</v>
      </c>
      <c r="AB14" s="1">
        <v>440</v>
      </c>
      <c r="AC14" s="1" t="s">
        <v>123</v>
      </c>
      <c r="AD14" s="1" t="s">
        <v>123</v>
      </c>
      <c r="AE14" s="1" t="s">
        <v>123</v>
      </c>
    </row>
    <row r="15" spans="1:31" x14ac:dyDescent="0.2">
      <c r="A15" s="1" t="s">
        <v>30</v>
      </c>
      <c r="B15" s="6" t="s">
        <v>38</v>
      </c>
      <c r="C15" s="6" t="s">
        <v>38</v>
      </c>
      <c r="D15" s="7">
        <v>4057111</v>
      </c>
      <c r="E15" s="206">
        <v>170443.24400000001</v>
      </c>
      <c r="F15" s="206">
        <v>115249</v>
      </c>
      <c r="G15" s="206">
        <v>120908</v>
      </c>
      <c r="H15" s="206">
        <v>90088</v>
      </c>
      <c r="I15" s="206">
        <v>99053</v>
      </c>
      <c r="J15" s="206">
        <v>86820</v>
      </c>
      <c r="K15" s="206">
        <v>80387</v>
      </c>
      <c r="L15" s="206">
        <v>85068</v>
      </c>
      <c r="M15" s="206">
        <v>56659</v>
      </c>
      <c r="N15" s="206">
        <v>91463</v>
      </c>
      <c r="O15" s="206">
        <v>88772</v>
      </c>
      <c r="P15" s="206">
        <v>82414</v>
      </c>
      <c r="Q15" s="206">
        <v>102421</v>
      </c>
      <c r="R15" s="206">
        <v>71787</v>
      </c>
      <c r="S15" s="206">
        <v>48309</v>
      </c>
      <c r="T15" s="206">
        <v>50191</v>
      </c>
      <c r="U15" s="206">
        <v>26478</v>
      </c>
      <c r="V15" s="206">
        <v>57010</v>
      </c>
      <c r="W15" s="206">
        <v>42717</v>
      </c>
      <c r="X15" s="206">
        <v>96693</v>
      </c>
      <c r="Y15" s="206">
        <v>95946</v>
      </c>
      <c r="Z15" s="206">
        <v>59222</v>
      </c>
      <c r="AA15" s="206">
        <v>44686</v>
      </c>
      <c r="AB15" s="1">
        <v>49200</v>
      </c>
      <c r="AC15" s="1">
        <v>0</v>
      </c>
      <c r="AD15" s="1">
        <v>0</v>
      </c>
      <c r="AE15" s="1">
        <v>0</v>
      </c>
    </row>
    <row r="16" spans="1:31" x14ac:dyDescent="0.2">
      <c r="A16" s="1" t="s">
        <v>30</v>
      </c>
      <c r="B16" s="6" t="s">
        <v>39</v>
      </c>
      <c r="C16" s="6" t="s">
        <v>39</v>
      </c>
      <c r="D16" s="7">
        <v>4018679</v>
      </c>
      <c r="E16" s="206">
        <v>476594</v>
      </c>
      <c r="F16" s="206">
        <v>370927</v>
      </c>
      <c r="G16" s="206">
        <v>899746</v>
      </c>
      <c r="H16" s="206">
        <v>627568</v>
      </c>
      <c r="I16" s="206">
        <v>443763</v>
      </c>
      <c r="J16" s="206">
        <v>257319</v>
      </c>
      <c r="K16" s="206">
        <v>268204</v>
      </c>
      <c r="L16" s="206">
        <v>309923</v>
      </c>
      <c r="M16" s="206">
        <v>94476</v>
      </c>
      <c r="N16" s="206">
        <v>114225</v>
      </c>
      <c r="O16" s="206">
        <v>161069</v>
      </c>
      <c r="P16" s="206">
        <v>155300</v>
      </c>
      <c r="Q16" s="206">
        <v>126296</v>
      </c>
      <c r="R16" s="206">
        <v>179733</v>
      </c>
      <c r="S16" s="206">
        <v>108370</v>
      </c>
      <c r="T16" s="206">
        <v>133989</v>
      </c>
      <c r="U16" s="206">
        <v>110310</v>
      </c>
      <c r="V16" s="206">
        <v>146160</v>
      </c>
      <c r="W16" s="206">
        <v>130161</v>
      </c>
      <c r="X16" s="206">
        <v>112651</v>
      </c>
      <c r="Y16" s="206">
        <v>67776</v>
      </c>
      <c r="Z16" s="206">
        <v>94562</v>
      </c>
      <c r="AA16" s="206">
        <v>88293</v>
      </c>
      <c r="AB16" s="1">
        <v>72879</v>
      </c>
      <c r="AC16" s="1">
        <v>0</v>
      </c>
      <c r="AD16" s="1">
        <v>0</v>
      </c>
      <c r="AE16" s="1">
        <v>0</v>
      </c>
    </row>
    <row r="17" spans="1:31" x14ac:dyDescent="0.2">
      <c r="B17" s="6" t="s">
        <v>40</v>
      </c>
      <c r="C17" s="6" t="s">
        <v>40</v>
      </c>
      <c r="D17" s="7">
        <v>4057112</v>
      </c>
      <c r="E17" s="206">
        <v>56437</v>
      </c>
      <c r="F17" s="206">
        <v>96416</v>
      </c>
      <c r="G17" s="206">
        <v>73360</v>
      </c>
      <c r="H17" s="206">
        <v>88477</v>
      </c>
      <c r="I17" s="206">
        <v>64716</v>
      </c>
      <c r="J17" s="206">
        <v>53044</v>
      </c>
      <c r="K17" s="206">
        <v>58575</v>
      </c>
      <c r="L17" s="206">
        <v>26317</v>
      </c>
      <c r="M17" s="206">
        <v>25482</v>
      </c>
      <c r="N17" s="206">
        <v>28477</v>
      </c>
      <c r="O17" s="206">
        <v>14019</v>
      </c>
      <c r="P17" s="206">
        <v>7534</v>
      </c>
      <c r="Q17" s="206">
        <v>9872</v>
      </c>
      <c r="R17" s="206">
        <v>20724</v>
      </c>
      <c r="S17" s="206">
        <v>24566</v>
      </c>
      <c r="T17" s="206">
        <v>18247</v>
      </c>
      <c r="U17" s="206">
        <v>20988</v>
      </c>
      <c r="V17" s="206">
        <v>29310</v>
      </c>
      <c r="W17" s="206">
        <v>22030</v>
      </c>
      <c r="X17" s="206">
        <v>14800</v>
      </c>
      <c r="Y17" s="206">
        <v>14397</v>
      </c>
      <c r="Z17" s="206">
        <v>16919</v>
      </c>
      <c r="AA17" s="206">
        <v>20610</v>
      </c>
      <c r="AB17" s="1">
        <v>23848</v>
      </c>
      <c r="AC17" s="1">
        <v>0</v>
      </c>
      <c r="AD17" s="1">
        <v>0</v>
      </c>
      <c r="AE17" s="1">
        <v>0</v>
      </c>
    </row>
    <row r="18" spans="1:31" x14ac:dyDescent="0.2">
      <c r="A18" s="1" t="s">
        <v>30</v>
      </c>
      <c r="B18" s="6" t="s">
        <v>41</v>
      </c>
      <c r="C18" s="6" t="s">
        <v>41</v>
      </c>
      <c r="D18" s="7">
        <v>4057076</v>
      </c>
      <c r="E18" s="206">
        <v>59179</v>
      </c>
      <c r="F18" s="206" t="s">
        <v>123</v>
      </c>
      <c r="G18" s="206">
        <v>53165</v>
      </c>
      <c r="H18" s="206">
        <v>67272</v>
      </c>
      <c r="I18" s="206">
        <v>48366</v>
      </c>
      <c r="J18" s="206">
        <v>43308</v>
      </c>
      <c r="K18" s="206">
        <v>36670</v>
      </c>
      <c r="L18" s="206">
        <v>23525</v>
      </c>
      <c r="M18" s="206">
        <v>36005</v>
      </c>
      <c r="N18" s="206">
        <v>19448</v>
      </c>
      <c r="O18" s="206">
        <v>13088</v>
      </c>
      <c r="P18" s="206">
        <v>10974</v>
      </c>
      <c r="Q18" s="206">
        <v>17213</v>
      </c>
      <c r="R18" s="206">
        <v>14866</v>
      </c>
      <c r="S18" s="206">
        <v>12228</v>
      </c>
      <c r="T18" s="206">
        <v>12556</v>
      </c>
      <c r="U18" s="206">
        <v>12340</v>
      </c>
      <c r="V18" s="206">
        <v>15738</v>
      </c>
      <c r="W18" s="206">
        <v>10063</v>
      </c>
      <c r="X18" s="206">
        <v>8861</v>
      </c>
      <c r="Y18" s="206">
        <v>7022</v>
      </c>
      <c r="Z18" s="206">
        <v>7529</v>
      </c>
      <c r="AA18" s="206">
        <v>6332</v>
      </c>
      <c r="AB18" s="1">
        <v>7337</v>
      </c>
      <c r="AC18" s="1">
        <v>0</v>
      </c>
      <c r="AD18" s="1">
        <v>0</v>
      </c>
      <c r="AE18" s="1">
        <v>0</v>
      </c>
    </row>
    <row r="19" spans="1:31" x14ac:dyDescent="0.2">
      <c r="B19" s="6" t="s">
        <v>42</v>
      </c>
      <c r="C19" s="6" t="s">
        <v>42</v>
      </c>
      <c r="D19" s="7">
        <v>4059166</v>
      </c>
      <c r="E19" s="206" t="s">
        <v>123</v>
      </c>
      <c r="F19" s="206">
        <v>15892</v>
      </c>
      <c r="G19" s="206">
        <v>48213</v>
      </c>
      <c r="H19" s="206">
        <v>4426</v>
      </c>
      <c r="I19" s="206">
        <v>9349</v>
      </c>
      <c r="J19" s="206">
        <v>9850</v>
      </c>
      <c r="K19" s="206">
        <v>13147</v>
      </c>
      <c r="L19" s="206">
        <v>19657</v>
      </c>
      <c r="M19" s="206">
        <v>4125</v>
      </c>
      <c r="N19" s="206">
        <v>4387</v>
      </c>
      <c r="O19" s="206">
        <v>8001</v>
      </c>
      <c r="P19" s="206">
        <v>1525</v>
      </c>
      <c r="Q19" s="206">
        <v>9832</v>
      </c>
      <c r="R19" s="206">
        <v>6035</v>
      </c>
      <c r="S19" s="206">
        <v>4989</v>
      </c>
      <c r="T19" s="206">
        <v>6699</v>
      </c>
      <c r="U19" s="206">
        <v>2283</v>
      </c>
      <c r="V19" s="206">
        <v>4200</v>
      </c>
      <c r="W19" s="206">
        <v>3507</v>
      </c>
      <c r="X19" s="206">
        <v>1366</v>
      </c>
      <c r="Y19" s="206">
        <v>4537</v>
      </c>
      <c r="Z19" s="206">
        <v>3111</v>
      </c>
      <c r="AA19" s="206" t="s">
        <v>123</v>
      </c>
      <c r="AB19" s="1" t="s">
        <v>123</v>
      </c>
      <c r="AC19" s="1">
        <v>0</v>
      </c>
      <c r="AD19" s="1">
        <v>0</v>
      </c>
      <c r="AE19" s="1">
        <v>0</v>
      </c>
    </row>
    <row r="20" spans="1:31" x14ac:dyDescent="0.2">
      <c r="B20" s="6" t="s">
        <v>43</v>
      </c>
      <c r="C20" s="6" t="s">
        <v>43</v>
      </c>
      <c r="D20" s="7">
        <v>4059227</v>
      </c>
      <c r="E20" s="206" t="s">
        <v>123</v>
      </c>
      <c r="F20" s="206">
        <v>699</v>
      </c>
      <c r="G20" s="206">
        <v>535</v>
      </c>
      <c r="H20" s="206">
        <v>602</v>
      </c>
      <c r="I20" s="206">
        <v>759</v>
      </c>
      <c r="J20" s="206">
        <v>725</v>
      </c>
      <c r="K20" s="206">
        <v>424</v>
      </c>
      <c r="L20" s="206">
        <v>62</v>
      </c>
      <c r="M20" s="206">
        <v>911</v>
      </c>
      <c r="N20" s="206">
        <v>274</v>
      </c>
      <c r="O20" s="206">
        <v>366</v>
      </c>
      <c r="P20" s="206">
        <v>521</v>
      </c>
      <c r="Q20" s="206">
        <v>287</v>
      </c>
      <c r="R20" s="206">
        <v>700</v>
      </c>
      <c r="S20" s="206">
        <v>63</v>
      </c>
      <c r="T20" s="206">
        <v>456</v>
      </c>
      <c r="U20" s="206">
        <v>387</v>
      </c>
      <c r="V20" s="206" t="s">
        <v>123</v>
      </c>
      <c r="W20" s="206">
        <v>356</v>
      </c>
      <c r="X20" s="206">
        <v>597</v>
      </c>
      <c r="Y20" s="206" t="s">
        <v>123</v>
      </c>
      <c r="Z20" s="206">
        <v>520</v>
      </c>
      <c r="AA20" s="206" t="s">
        <v>123</v>
      </c>
      <c r="AB20" s="1" t="s">
        <v>123</v>
      </c>
      <c r="AC20" s="1" t="s">
        <v>123</v>
      </c>
      <c r="AD20" s="1">
        <v>0</v>
      </c>
      <c r="AE20" s="1">
        <v>0</v>
      </c>
    </row>
    <row r="21" spans="1:31" x14ac:dyDescent="0.2">
      <c r="A21" s="1" t="s">
        <v>30</v>
      </c>
      <c r="B21" s="6" t="s">
        <v>44</v>
      </c>
      <c r="C21" s="6" t="s">
        <v>44</v>
      </c>
      <c r="D21" s="7">
        <v>4057114</v>
      </c>
      <c r="E21" s="206" t="s">
        <v>123</v>
      </c>
      <c r="F21" s="206">
        <v>37935</v>
      </c>
      <c r="G21" s="206">
        <v>20813</v>
      </c>
      <c r="H21" s="206">
        <v>20302</v>
      </c>
      <c r="I21" s="206">
        <v>16910</v>
      </c>
      <c r="J21" s="206">
        <v>15411</v>
      </c>
      <c r="K21" s="206">
        <v>12714</v>
      </c>
      <c r="L21" s="206">
        <v>15374</v>
      </c>
      <c r="M21" s="206">
        <v>11885</v>
      </c>
      <c r="N21" s="206">
        <v>17040</v>
      </c>
      <c r="O21" s="206">
        <v>15303</v>
      </c>
      <c r="P21" s="206">
        <v>10193</v>
      </c>
      <c r="Q21" s="206">
        <v>13753</v>
      </c>
      <c r="R21" s="206">
        <v>9098</v>
      </c>
      <c r="S21" s="206">
        <v>12350</v>
      </c>
      <c r="T21" s="206">
        <v>7201</v>
      </c>
      <c r="U21" s="206">
        <v>8863</v>
      </c>
      <c r="V21" s="206">
        <v>10670</v>
      </c>
      <c r="W21" s="206">
        <v>10170</v>
      </c>
      <c r="X21" s="206">
        <v>20282</v>
      </c>
      <c r="Y21" s="206">
        <v>22350</v>
      </c>
      <c r="Z21" s="206">
        <v>12467</v>
      </c>
      <c r="AA21" s="206">
        <v>24088</v>
      </c>
      <c r="AB21" s="1">
        <v>22978</v>
      </c>
      <c r="AC21" s="1">
        <v>0</v>
      </c>
      <c r="AD21" s="1">
        <v>0</v>
      </c>
      <c r="AE21" s="1">
        <v>0</v>
      </c>
    </row>
    <row r="22" spans="1:31" x14ac:dyDescent="0.2">
      <c r="B22" s="6" t="s">
        <v>45</v>
      </c>
      <c r="C22" s="6" t="s">
        <v>45</v>
      </c>
      <c r="D22" s="7">
        <v>4059355</v>
      </c>
      <c r="E22" s="206">
        <v>65321</v>
      </c>
      <c r="F22" s="206">
        <v>59334</v>
      </c>
      <c r="G22" s="206">
        <v>54071</v>
      </c>
      <c r="H22" s="206">
        <v>36820</v>
      </c>
      <c r="I22" s="206">
        <v>33566</v>
      </c>
      <c r="J22" s="206">
        <v>33397</v>
      </c>
      <c r="K22" s="206">
        <v>31981</v>
      </c>
      <c r="L22" s="206">
        <v>30152</v>
      </c>
      <c r="M22" s="206">
        <v>20770</v>
      </c>
      <c r="N22" s="206">
        <v>17628</v>
      </c>
      <c r="O22" s="206">
        <v>14062</v>
      </c>
      <c r="P22" s="206">
        <v>8574</v>
      </c>
      <c r="Q22" s="206">
        <v>12789</v>
      </c>
      <c r="R22" s="206">
        <v>12674</v>
      </c>
      <c r="S22" s="206">
        <v>9282</v>
      </c>
      <c r="T22" s="206">
        <v>10771</v>
      </c>
      <c r="U22" s="206">
        <v>6468</v>
      </c>
      <c r="V22" s="206">
        <v>7903</v>
      </c>
      <c r="W22" s="206">
        <v>8279</v>
      </c>
      <c r="X22" s="206">
        <v>11911</v>
      </c>
      <c r="Y22" s="206">
        <v>10108</v>
      </c>
      <c r="Z22" s="206">
        <v>0</v>
      </c>
      <c r="AA22" s="206">
        <v>9952</v>
      </c>
      <c r="AB22" s="1">
        <v>10063</v>
      </c>
      <c r="AC22" s="1">
        <v>0</v>
      </c>
      <c r="AD22" s="1">
        <v>0</v>
      </c>
      <c r="AE22" s="1">
        <v>0</v>
      </c>
    </row>
    <row r="23" spans="1:31" x14ac:dyDescent="0.2">
      <c r="B23" s="6" t="s">
        <v>46</v>
      </c>
      <c r="C23" s="6" t="s">
        <v>46</v>
      </c>
      <c r="D23" s="7">
        <v>4088325</v>
      </c>
      <c r="E23" s="206">
        <v>32117</v>
      </c>
      <c r="F23" s="206">
        <v>21186</v>
      </c>
      <c r="G23" s="206">
        <v>26770</v>
      </c>
      <c r="H23" s="206">
        <v>21894</v>
      </c>
      <c r="I23" s="206">
        <v>17957</v>
      </c>
      <c r="J23" s="206">
        <v>11541</v>
      </c>
      <c r="K23" s="206">
        <v>15680</v>
      </c>
      <c r="L23" s="206">
        <v>13403</v>
      </c>
      <c r="M23" s="206">
        <v>8974</v>
      </c>
      <c r="N23" s="206">
        <v>8967</v>
      </c>
      <c r="O23" s="206">
        <v>8306</v>
      </c>
      <c r="P23" s="206">
        <v>6179</v>
      </c>
      <c r="Q23" s="206">
        <v>9773</v>
      </c>
      <c r="R23" s="206">
        <v>4823</v>
      </c>
      <c r="S23" s="206">
        <v>4424</v>
      </c>
      <c r="T23" s="206">
        <v>3823</v>
      </c>
      <c r="U23" s="206">
        <v>3900</v>
      </c>
      <c r="V23" s="206">
        <v>3107</v>
      </c>
      <c r="W23" s="206">
        <v>943</v>
      </c>
      <c r="X23" s="206">
        <v>1751</v>
      </c>
      <c r="Y23" s="206">
        <v>3868</v>
      </c>
      <c r="Z23" s="206">
        <v>3364</v>
      </c>
      <c r="AA23" s="206">
        <v>3292</v>
      </c>
      <c r="AB23" s="1">
        <v>5144</v>
      </c>
      <c r="AC23" s="1">
        <v>0</v>
      </c>
      <c r="AD23" s="1">
        <v>0</v>
      </c>
      <c r="AE23" s="1">
        <v>0</v>
      </c>
    </row>
    <row r="24" spans="1:31" x14ac:dyDescent="0.2">
      <c r="B24" s="6" t="s">
        <v>47</v>
      </c>
      <c r="C24" s="6" t="s">
        <v>47</v>
      </c>
      <c r="D24" s="7">
        <v>4088326</v>
      </c>
      <c r="E24" s="206" t="s">
        <v>123</v>
      </c>
      <c r="F24" s="206">
        <v>388392</v>
      </c>
      <c r="G24" s="206">
        <v>355188</v>
      </c>
      <c r="H24" s="206">
        <v>312741</v>
      </c>
      <c r="I24" s="206">
        <v>333972</v>
      </c>
      <c r="J24" s="206">
        <v>371110</v>
      </c>
      <c r="K24" s="206">
        <v>279713</v>
      </c>
      <c r="L24" s="206">
        <v>263070</v>
      </c>
      <c r="M24" s="206">
        <v>242141</v>
      </c>
      <c r="N24" s="206">
        <v>226068</v>
      </c>
      <c r="O24" s="206">
        <v>172262</v>
      </c>
      <c r="P24" s="206">
        <v>165128</v>
      </c>
      <c r="Q24" s="206">
        <v>153346</v>
      </c>
      <c r="R24" s="206">
        <v>170581</v>
      </c>
      <c r="S24" s="206">
        <v>64764</v>
      </c>
      <c r="T24" s="206">
        <v>91393</v>
      </c>
      <c r="U24" s="206">
        <v>55080</v>
      </c>
      <c r="V24" s="206">
        <v>54236</v>
      </c>
      <c r="W24" s="206">
        <v>43607</v>
      </c>
      <c r="X24" s="206">
        <v>64451</v>
      </c>
      <c r="Y24" s="206">
        <v>44930</v>
      </c>
      <c r="Z24" s="206" t="s">
        <v>123</v>
      </c>
      <c r="AA24" s="206">
        <v>61257</v>
      </c>
      <c r="AB24" s="1">
        <v>56947</v>
      </c>
      <c r="AC24" s="1">
        <v>0</v>
      </c>
      <c r="AD24" s="1">
        <v>0</v>
      </c>
      <c r="AE24" s="1">
        <v>0</v>
      </c>
    </row>
    <row r="25" spans="1:31" x14ac:dyDescent="0.2">
      <c r="A25" s="1" t="s">
        <v>30</v>
      </c>
      <c r="B25" s="6" t="s">
        <v>48</v>
      </c>
      <c r="C25" s="6" t="s">
        <v>48</v>
      </c>
      <c r="D25" s="7">
        <v>4059358</v>
      </c>
      <c r="E25" s="206" t="s">
        <v>123</v>
      </c>
      <c r="F25" s="206">
        <v>304069</v>
      </c>
      <c r="G25" s="206">
        <v>272448</v>
      </c>
      <c r="H25" s="206">
        <v>278099</v>
      </c>
      <c r="I25" s="206">
        <v>228500</v>
      </c>
      <c r="J25" s="206">
        <v>213236</v>
      </c>
      <c r="K25" s="206">
        <v>173788</v>
      </c>
      <c r="L25" s="206">
        <v>171218</v>
      </c>
      <c r="M25" s="206">
        <v>150935</v>
      </c>
      <c r="N25" s="206">
        <v>134954</v>
      </c>
      <c r="O25" s="206">
        <v>99275</v>
      </c>
      <c r="P25" s="206">
        <v>62713</v>
      </c>
      <c r="Q25" s="206">
        <v>83379</v>
      </c>
      <c r="R25" s="206">
        <v>70094</v>
      </c>
      <c r="S25" s="206">
        <v>48721</v>
      </c>
      <c r="T25" s="206">
        <v>44718</v>
      </c>
      <c r="U25" s="206">
        <v>40374</v>
      </c>
      <c r="V25" s="206">
        <v>21051</v>
      </c>
      <c r="W25" s="206">
        <v>19999</v>
      </c>
      <c r="X25" s="206">
        <v>21008</v>
      </c>
      <c r="Y25" s="206">
        <v>27507</v>
      </c>
      <c r="Z25" s="206">
        <v>24413</v>
      </c>
      <c r="AA25" s="206">
        <v>19747</v>
      </c>
      <c r="AB25" s="1">
        <v>32364</v>
      </c>
      <c r="AC25" s="1">
        <v>0</v>
      </c>
      <c r="AD25" s="1">
        <v>0</v>
      </c>
      <c r="AE25" s="1">
        <v>0</v>
      </c>
    </row>
    <row r="26" spans="1:31" x14ac:dyDescent="0.2">
      <c r="B26" s="6" t="s">
        <v>49</v>
      </c>
      <c r="C26" s="6" t="s">
        <v>49</v>
      </c>
      <c r="D26" s="7">
        <v>4059359</v>
      </c>
      <c r="E26" s="206" t="s">
        <v>123</v>
      </c>
      <c r="F26" s="206">
        <v>101546</v>
      </c>
      <c r="G26" s="206">
        <v>120165</v>
      </c>
      <c r="H26" s="206">
        <v>82496</v>
      </c>
      <c r="I26" s="206">
        <v>89660</v>
      </c>
      <c r="J26" s="206">
        <v>97249</v>
      </c>
      <c r="K26" s="206">
        <v>76043</v>
      </c>
      <c r="L26" s="206">
        <v>92305</v>
      </c>
      <c r="M26" s="206">
        <v>80991</v>
      </c>
      <c r="N26" s="206">
        <v>50461</v>
      </c>
      <c r="O26" s="206">
        <v>30238</v>
      </c>
      <c r="P26" s="206">
        <v>65348</v>
      </c>
      <c r="Q26" s="206">
        <v>24678</v>
      </c>
      <c r="R26" s="206">
        <v>30523</v>
      </c>
      <c r="S26" s="206">
        <v>26827</v>
      </c>
      <c r="T26" s="206">
        <v>26809</v>
      </c>
      <c r="U26" s="206">
        <v>27796</v>
      </c>
      <c r="V26" s="206">
        <v>22439</v>
      </c>
      <c r="W26" s="206">
        <v>33915</v>
      </c>
      <c r="X26" s="206">
        <v>19839</v>
      </c>
      <c r="Y26" s="206">
        <v>28887</v>
      </c>
      <c r="Z26" s="206">
        <v>29266</v>
      </c>
      <c r="AA26" s="206" t="s">
        <v>123</v>
      </c>
      <c r="AB26" s="1">
        <v>40467</v>
      </c>
      <c r="AC26" s="1">
        <v>0</v>
      </c>
      <c r="AD26" s="1" t="s">
        <v>123</v>
      </c>
      <c r="AE26" s="1" t="s">
        <v>123</v>
      </c>
    </row>
    <row r="27" spans="1:31" x14ac:dyDescent="0.2">
      <c r="A27" s="1" t="s">
        <v>30</v>
      </c>
      <c r="B27" s="6" t="s">
        <v>50</v>
      </c>
      <c r="C27" s="6" t="s">
        <v>50</v>
      </c>
      <c r="D27" s="7">
        <v>4059402</v>
      </c>
      <c r="E27" s="206">
        <v>51678</v>
      </c>
      <c r="F27" s="206">
        <v>38432</v>
      </c>
      <c r="G27" s="206">
        <v>43649</v>
      </c>
      <c r="H27" s="206">
        <v>41115</v>
      </c>
      <c r="I27" s="206">
        <v>36900</v>
      </c>
      <c r="J27" s="206">
        <v>48310</v>
      </c>
      <c r="K27" s="206">
        <v>52106</v>
      </c>
      <c r="L27" s="206">
        <v>42858</v>
      </c>
      <c r="M27" s="206">
        <v>30921</v>
      </c>
      <c r="N27" s="206">
        <v>29963</v>
      </c>
      <c r="O27" s="206">
        <v>23110</v>
      </c>
      <c r="P27" s="206">
        <v>19085</v>
      </c>
      <c r="Q27" s="206">
        <v>13808</v>
      </c>
      <c r="R27" s="206">
        <v>21327</v>
      </c>
      <c r="S27" s="206">
        <v>22797</v>
      </c>
      <c r="T27" s="206">
        <v>19187</v>
      </c>
      <c r="U27" s="206">
        <v>18769</v>
      </c>
      <c r="V27" s="206">
        <v>17251</v>
      </c>
      <c r="W27" s="206">
        <v>16792</v>
      </c>
      <c r="X27" s="206">
        <v>18818</v>
      </c>
      <c r="Y27" s="206">
        <v>20283</v>
      </c>
      <c r="Z27" s="206">
        <v>16150</v>
      </c>
      <c r="AA27" s="206">
        <v>16352</v>
      </c>
      <c r="AB27" s="1">
        <v>17494</v>
      </c>
      <c r="AC27" s="1">
        <v>0</v>
      </c>
      <c r="AD27" s="1">
        <v>0</v>
      </c>
      <c r="AE27" s="1">
        <v>0</v>
      </c>
    </row>
    <row r="28" spans="1:31" x14ac:dyDescent="0.2">
      <c r="A28" s="1" t="s">
        <v>30</v>
      </c>
      <c r="B28" s="6" t="s">
        <v>51</v>
      </c>
      <c r="C28" s="6" t="s">
        <v>51</v>
      </c>
      <c r="D28" s="7">
        <v>4057080</v>
      </c>
      <c r="E28" s="206">
        <v>1174807</v>
      </c>
      <c r="F28" s="206">
        <v>600822</v>
      </c>
      <c r="G28" s="206">
        <v>821756</v>
      </c>
      <c r="H28" s="206">
        <v>739835</v>
      </c>
      <c r="I28" s="206">
        <v>677610</v>
      </c>
      <c r="J28" s="206">
        <v>547152</v>
      </c>
      <c r="K28" s="206">
        <v>657034</v>
      </c>
      <c r="L28" s="206">
        <v>508904</v>
      </c>
      <c r="M28" s="206">
        <v>335339</v>
      </c>
      <c r="N28" s="206">
        <v>324103</v>
      </c>
      <c r="O28" s="206">
        <v>319478</v>
      </c>
      <c r="P28" s="206">
        <v>289439</v>
      </c>
      <c r="Q28" s="206">
        <v>253099</v>
      </c>
      <c r="R28" s="206">
        <v>231151</v>
      </c>
      <c r="S28" s="206">
        <v>146195</v>
      </c>
      <c r="T28" s="206">
        <v>161831</v>
      </c>
      <c r="U28" s="206">
        <v>140485</v>
      </c>
      <c r="V28" s="206">
        <v>142023</v>
      </c>
      <c r="W28" s="206">
        <v>138071</v>
      </c>
      <c r="X28" s="206">
        <v>120419</v>
      </c>
      <c r="Y28" s="206">
        <v>94152</v>
      </c>
      <c r="Z28" s="206">
        <v>87371</v>
      </c>
      <c r="AA28" s="206">
        <v>91883</v>
      </c>
      <c r="AB28" s="1">
        <v>94451</v>
      </c>
      <c r="AC28" s="1">
        <v>0</v>
      </c>
      <c r="AD28" s="1">
        <v>0</v>
      </c>
      <c r="AE28" s="1">
        <v>0</v>
      </c>
    </row>
    <row r="29" spans="1:31" x14ac:dyDescent="0.2">
      <c r="B29" s="6" t="s">
        <v>52</v>
      </c>
      <c r="C29" s="6" t="s">
        <v>52</v>
      </c>
      <c r="D29" s="7">
        <v>4057081</v>
      </c>
      <c r="E29" s="206">
        <v>656622</v>
      </c>
      <c r="F29" s="206">
        <v>481405</v>
      </c>
      <c r="G29" s="206">
        <v>590954</v>
      </c>
      <c r="H29" s="206">
        <v>486899</v>
      </c>
      <c r="I29" s="206">
        <v>394545</v>
      </c>
      <c r="J29" s="206">
        <v>324644</v>
      </c>
      <c r="K29" s="206">
        <v>273076</v>
      </c>
      <c r="L29" s="206">
        <v>240078</v>
      </c>
      <c r="M29" s="206">
        <v>163183</v>
      </c>
      <c r="N29" s="206">
        <v>128481</v>
      </c>
      <c r="O29" s="206">
        <v>97700</v>
      </c>
      <c r="P29" s="206">
        <v>106197</v>
      </c>
      <c r="Q29" s="206">
        <v>110951</v>
      </c>
      <c r="R29" s="206">
        <v>81780</v>
      </c>
      <c r="S29" s="206">
        <v>77548</v>
      </c>
      <c r="T29" s="206">
        <v>85018</v>
      </c>
      <c r="U29" s="206">
        <v>91333</v>
      </c>
      <c r="V29" s="206">
        <v>88031</v>
      </c>
      <c r="W29" s="206">
        <v>83974</v>
      </c>
      <c r="X29" s="206">
        <v>97186</v>
      </c>
      <c r="Y29" s="206">
        <v>90232</v>
      </c>
      <c r="Z29" s="206">
        <v>88307</v>
      </c>
      <c r="AA29" s="206">
        <v>83445</v>
      </c>
      <c r="AB29" s="1">
        <v>82485</v>
      </c>
      <c r="AC29" s="1">
        <v>0</v>
      </c>
      <c r="AD29" s="1">
        <v>0</v>
      </c>
      <c r="AE29" s="1">
        <v>0</v>
      </c>
    </row>
    <row r="30" spans="1:31" x14ac:dyDescent="0.2">
      <c r="A30" s="1" t="s">
        <v>30</v>
      </c>
      <c r="B30" s="6" t="s">
        <v>53</v>
      </c>
      <c r="C30" s="6" t="s">
        <v>53</v>
      </c>
      <c r="D30" s="7">
        <v>4059459</v>
      </c>
      <c r="E30" s="206">
        <v>8379</v>
      </c>
      <c r="F30" s="206">
        <v>4861</v>
      </c>
      <c r="G30" s="206">
        <v>3761</v>
      </c>
      <c r="H30" s="206">
        <v>6215</v>
      </c>
      <c r="I30" s="206">
        <v>3554</v>
      </c>
      <c r="J30" s="206">
        <v>10186</v>
      </c>
      <c r="K30" s="206">
        <v>2247</v>
      </c>
      <c r="L30" s="206">
        <v>6646</v>
      </c>
      <c r="M30" s="206">
        <v>6217</v>
      </c>
      <c r="N30" s="206">
        <v>5772</v>
      </c>
      <c r="O30" s="206">
        <v>4544</v>
      </c>
      <c r="P30" s="206">
        <v>5193</v>
      </c>
      <c r="Q30" s="206">
        <v>4713</v>
      </c>
      <c r="R30" s="206">
        <v>5152</v>
      </c>
      <c r="S30" s="206">
        <v>1429</v>
      </c>
      <c r="T30" s="206">
        <v>1885</v>
      </c>
      <c r="U30" s="206">
        <v>981</v>
      </c>
      <c r="V30" s="206">
        <v>623</v>
      </c>
      <c r="W30" s="206">
        <v>707</v>
      </c>
      <c r="X30" s="206">
        <v>649</v>
      </c>
      <c r="Y30" s="206">
        <v>649</v>
      </c>
      <c r="Z30" s="206">
        <v>518</v>
      </c>
      <c r="AA30" s="206">
        <v>595</v>
      </c>
      <c r="AB30" s="1">
        <v>717</v>
      </c>
      <c r="AC30" s="1">
        <v>0</v>
      </c>
      <c r="AD30" s="1">
        <v>0</v>
      </c>
      <c r="AE30" s="1">
        <v>0</v>
      </c>
    </row>
    <row r="31" spans="1:31" x14ac:dyDescent="0.2">
      <c r="B31" s="6" t="s">
        <v>54</v>
      </c>
      <c r="C31" s="6" t="s">
        <v>54</v>
      </c>
      <c r="D31" s="7">
        <v>4057118</v>
      </c>
      <c r="E31" s="206">
        <v>4193</v>
      </c>
      <c r="F31" s="206">
        <v>8636</v>
      </c>
      <c r="G31" s="206">
        <v>9438</v>
      </c>
      <c r="H31" s="206">
        <v>4739</v>
      </c>
      <c r="I31" s="206">
        <v>4393</v>
      </c>
      <c r="J31" s="206">
        <v>4339</v>
      </c>
      <c r="K31" s="206">
        <v>3777</v>
      </c>
      <c r="L31" s="206">
        <v>4318</v>
      </c>
      <c r="M31" s="206">
        <v>3694</v>
      </c>
      <c r="N31" s="206">
        <v>5470</v>
      </c>
      <c r="O31" s="206">
        <v>3005</v>
      </c>
      <c r="P31" s="206">
        <v>2936</v>
      </c>
      <c r="Q31" s="206">
        <v>2541</v>
      </c>
      <c r="R31" s="206">
        <v>3723</v>
      </c>
      <c r="S31" s="206">
        <v>2565</v>
      </c>
      <c r="T31" s="206">
        <v>2836</v>
      </c>
      <c r="U31" s="206">
        <v>2909</v>
      </c>
      <c r="V31" s="206">
        <v>3082</v>
      </c>
      <c r="W31" s="206">
        <v>4452</v>
      </c>
      <c r="X31" s="206">
        <v>2590</v>
      </c>
      <c r="Y31" s="206">
        <v>3102</v>
      </c>
      <c r="Z31" s="206">
        <v>4328</v>
      </c>
      <c r="AA31" s="206">
        <v>4714</v>
      </c>
      <c r="AB31" s="1">
        <v>6817</v>
      </c>
      <c r="AC31" s="1">
        <v>0</v>
      </c>
      <c r="AD31" s="1">
        <v>0</v>
      </c>
      <c r="AE31" s="1">
        <v>0</v>
      </c>
    </row>
    <row r="32" spans="1:31" x14ac:dyDescent="0.2">
      <c r="B32" s="6" t="s">
        <v>55</v>
      </c>
      <c r="C32" s="6" t="s">
        <v>55</v>
      </c>
      <c r="D32" s="7">
        <v>4057126</v>
      </c>
      <c r="E32" s="206">
        <v>409680</v>
      </c>
      <c r="F32" s="206">
        <v>399983</v>
      </c>
      <c r="G32" s="206">
        <v>289984</v>
      </c>
      <c r="H32" s="206">
        <v>312736</v>
      </c>
      <c r="I32" s="206">
        <v>225243</v>
      </c>
      <c r="J32" s="206">
        <v>221966</v>
      </c>
      <c r="K32" s="206">
        <v>158781</v>
      </c>
      <c r="L32" s="206">
        <v>172353</v>
      </c>
      <c r="M32" s="206">
        <v>174586</v>
      </c>
      <c r="N32" s="206">
        <v>104107</v>
      </c>
      <c r="O32" s="206">
        <v>140740</v>
      </c>
      <c r="P32" s="206">
        <v>88996</v>
      </c>
      <c r="Q32" s="206">
        <v>84063</v>
      </c>
      <c r="R32" s="206">
        <v>155119</v>
      </c>
      <c r="S32" s="206">
        <v>17300</v>
      </c>
      <c r="T32" s="206">
        <v>95326</v>
      </c>
      <c r="U32" s="206">
        <v>76034</v>
      </c>
      <c r="V32" s="206">
        <v>63639</v>
      </c>
      <c r="W32" s="206">
        <v>62464</v>
      </c>
      <c r="X32" s="206">
        <v>56512</v>
      </c>
      <c r="Y32" s="206">
        <v>64405</v>
      </c>
      <c r="Z32" s="206">
        <v>75957</v>
      </c>
      <c r="AA32" s="206">
        <v>67599</v>
      </c>
      <c r="AB32" s="1">
        <v>59234</v>
      </c>
      <c r="AC32" s="1">
        <v>0</v>
      </c>
      <c r="AD32" s="1">
        <v>0</v>
      </c>
      <c r="AE32" s="1">
        <v>0</v>
      </c>
    </row>
    <row r="33" spans="1:31" x14ac:dyDescent="0.2">
      <c r="B33" s="6" t="s">
        <v>56</v>
      </c>
      <c r="C33" s="6" t="s">
        <v>56</v>
      </c>
      <c r="D33" s="7">
        <v>4057103</v>
      </c>
      <c r="E33" s="206" t="s">
        <v>123</v>
      </c>
      <c r="F33" s="206" t="s">
        <v>123</v>
      </c>
      <c r="G33" s="206">
        <v>68080</v>
      </c>
      <c r="H33" s="206">
        <v>78538</v>
      </c>
      <c r="I33" s="206">
        <v>31828</v>
      </c>
      <c r="J33" s="206" t="s">
        <v>123</v>
      </c>
      <c r="K33" s="206">
        <v>10957</v>
      </c>
      <c r="L33" s="206">
        <v>8542</v>
      </c>
      <c r="M33" s="206">
        <v>9069</v>
      </c>
      <c r="N33" s="206">
        <v>15165</v>
      </c>
      <c r="O33" s="206">
        <v>10571</v>
      </c>
      <c r="P33" s="206">
        <v>18629</v>
      </c>
      <c r="Q33" s="206">
        <v>34926</v>
      </c>
      <c r="R33" s="206">
        <v>28817</v>
      </c>
      <c r="S33" s="206">
        <v>24535</v>
      </c>
      <c r="T33" s="206">
        <v>24007</v>
      </c>
      <c r="U33" s="206">
        <v>22331</v>
      </c>
      <c r="V33" s="206">
        <v>18406</v>
      </c>
      <c r="W33" s="206">
        <v>25292</v>
      </c>
      <c r="X33" s="206">
        <v>19928</v>
      </c>
      <c r="Y33" s="206">
        <v>14413</v>
      </c>
      <c r="Z33" s="206">
        <v>11384</v>
      </c>
      <c r="AA33" s="206">
        <v>10170</v>
      </c>
      <c r="AB33" s="1">
        <v>9690</v>
      </c>
      <c r="AC33" s="1">
        <v>0</v>
      </c>
      <c r="AD33" s="1">
        <v>0</v>
      </c>
      <c r="AE33" s="1">
        <v>0</v>
      </c>
    </row>
    <row r="34" spans="1:31" x14ac:dyDescent="0.2">
      <c r="B34" s="6" t="s">
        <v>57</v>
      </c>
      <c r="C34" s="6" t="s">
        <v>57</v>
      </c>
      <c r="D34" s="7">
        <v>4057079</v>
      </c>
      <c r="E34" s="206">
        <v>217785</v>
      </c>
      <c r="F34" s="206">
        <v>150021</v>
      </c>
      <c r="G34" s="206">
        <v>135381</v>
      </c>
      <c r="H34" s="206">
        <v>97092</v>
      </c>
      <c r="I34" s="206">
        <v>84688</v>
      </c>
      <c r="J34" s="206">
        <v>76635</v>
      </c>
      <c r="K34" s="206">
        <v>90603</v>
      </c>
      <c r="L34" s="206">
        <v>92946</v>
      </c>
      <c r="M34" s="206">
        <v>99677</v>
      </c>
      <c r="N34" s="206">
        <v>97772</v>
      </c>
      <c r="O34" s="206">
        <v>108388</v>
      </c>
      <c r="P34" s="206">
        <v>109756</v>
      </c>
      <c r="Q34" s="206">
        <v>102390</v>
      </c>
      <c r="R34" s="206">
        <v>112409</v>
      </c>
      <c r="S34" s="206">
        <v>85638</v>
      </c>
      <c r="T34" s="206">
        <v>80358</v>
      </c>
      <c r="U34" s="206">
        <v>80239</v>
      </c>
      <c r="V34" s="206">
        <v>85199</v>
      </c>
      <c r="W34" s="206">
        <v>84077</v>
      </c>
      <c r="X34" s="206">
        <v>64139</v>
      </c>
      <c r="Y34" s="206">
        <v>51387</v>
      </c>
      <c r="Z34" s="206">
        <v>26924</v>
      </c>
      <c r="AA34" s="206">
        <v>29583</v>
      </c>
      <c r="AB34" s="1">
        <v>29962</v>
      </c>
      <c r="AC34" s="1">
        <v>0</v>
      </c>
      <c r="AD34" s="1">
        <v>0</v>
      </c>
      <c r="AE34" s="1">
        <v>0</v>
      </c>
    </row>
    <row r="35" spans="1:31" x14ac:dyDescent="0.2">
      <c r="B35" s="6" t="s">
        <v>58</v>
      </c>
      <c r="C35" s="6" t="s">
        <v>59</v>
      </c>
      <c r="D35" s="7">
        <v>4081251</v>
      </c>
      <c r="E35" s="206" t="s">
        <v>123</v>
      </c>
      <c r="F35" s="206" t="s">
        <v>123</v>
      </c>
      <c r="G35" s="206">
        <v>43</v>
      </c>
      <c r="H35" s="206">
        <v>0</v>
      </c>
      <c r="I35" s="206">
        <v>0</v>
      </c>
      <c r="J35" s="206">
        <v>57</v>
      </c>
      <c r="K35" s="206" t="s">
        <v>123</v>
      </c>
      <c r="L35" s="206">
        <v>84</v>
      </c>
      <c r="M35" s="206">
        <v>25</v>
      </c>
      <c r="N35" s="206">
        <v>56</v>
      </c>
      <c r="O35" s="206">
        <v>52</v>
      </c>
      <c r="P35" s="206">
        <v>45</v>
      </c>
      <c r="Q35" s="206">
        <v>23</v>
      </c>
      <c r="R35" s="206">
        <v>42</v>
      </c>
      <c r="S35" s="206">
        <v>35</v>
      </c>
      <c r="T35" s="206">
        <v>20</v>
      </c>
      <c r="U35" s="206">
        <v>79</v>
      </c>
      <c r="V35" s="206">
        <v>33</v>
      </c>
      <c r="W35" s="206">
        <v>37</v>
      </c>
      <c r="X35" s="206">
        <v>59</v>
      </c>
      <c r="Y35" s="206">
        <v>19</v>
      </c>
      <c r="Z35" s="206">
        <v>24</v>
      </c>
      <c r="AA35" s="206" t="s">
        <v>123</v>
      </c>
      <c r="AB35" s="1" t="s">
        <v>123</v>
      </c>
      <c r="AC35" s="1" t="s">
        <v>123</v>
      </c>
      <c r="AD35" s="1" t="s">
        <v>123</v>
      </c>
      <c r="AE35" s="1" t="s">
        <v>123</v>
      </c>
    </row>
    <row r="36" spans="1:31" x14ac:dyDescent="0.2">
      <c r="B36" s="6" t="s">
        <v>60</v>
      </c>
      <c r="C36" s="6" t="s">
        <v>60</v>
      </c>
      <c r="D36" s="7">
        <v>4060572</v>
      </c>
      <c r="E36" s="206" t="s">
        <v>123</v>
      </c>
      <c r="F36" s="206">
        <v>44643</v>
      </c>
      <c r="G36" s="206">
        <v>36843</v>
      </c>
      <c r="H36" s="206">
        <v>31096</v>
      </c>
      <c r="I36" s="206">
        <v>34539</v>
      </c>
      <c r="J36" s="206">
        <v>36786</v>
      </c>
      <c r="K36" s="206">
        <v>15416</v>
      </c>
      <c r="L36" s="206">
        <v>20635</v>
      </c>
      <c r="M36" s="206">
        <v>7904</v>
      </c>
      <c r="N36" s="206">
        <v>8003</v>
      </c>
      <c r="O36" s="206">
        <v>10753</v>
      </c>
      <c r="P36" s="206">
        <v>7208</v>
      </c>
      <c r="Q36" s="206">
        <v>8810</v>
      </c>
      <c r="R36" s="206">
        <v>9611</v>
      </c>
      <c r="S36" s="206">
        <v>8456</v>
      </c>
      <c r="T36" s="206">
        <v>8685</v>
      </c>
      <c r="U36" s="206">
        <v>7187</v>
      </c>
      <c r="V36" s="206">
        <v>7056</v>
      </c>
      <c r="W36" s="206">
        <v>10577</v>
      </c>
      <c r="X36" s="206">
        <v>10240</v>
      </c>
      <c r="Y36" s="206">
        <v>8890</v>
      </c>
      <c r="Z36" s="206">
        <v>7121</v>
      </c>
      <c r="AA36" s="206" t="s">
        <v>123</v>
      </c>
      <c r="AB36" s="1" t="s">
        <v>123</v>
      </c>
      <c r="AC36" s="1">
        <v>0</v>
      </c>
      <c r="AD36" s="1">
        <v>0</v>
      </c>
      <c r="AE36" s="1">
        <v>0</v>
      </c>
    </row>
    <row r="37" spans="1:31" x14ac:dyDescent="0.2">
      <c r="B37" s="6" t="s">
        <v>61</v>
      </c>
      <c r="C37" s="6" t="s">
        <v>61</v>
      </c>
      <c r="D37" s="7">
        <v>4083318</v>
      </c>
      <c r="E37" s="206" t="s">
        <v>123</v>
      </c>
      <c r="F37" s="206">
        <v>528</v>
      </c>
      <c r="G37" s="206">
        <v>312</v>
      </c>
      <c r="H37" s="206">
        <v>316</v>
      </c>
      <c r="I37" s="206">
        <v>176</v>
      </c>
      <c r="J37" s="206">
        <v>258</v>
      </c>
      <c r="K37" s="206">
        <v>498</v>
      </c>
      <c r="L37" s="206">
        <v>341</v>
      </c>
      <c r="M37" s="206">
        <v>486</v>
      </c>
      <c r="N37" s="206">
        <v>314</v>
      </c>
      <c r="O37" s="206">
        <v>304</v>
      </c>
      <c r="P37" s="206">
        <v>237</v>
      </c>
      <c r="Q37" s="206">
        <v>202</v>
      </c>
      <c r="R37" s="206">
        <v>156</v>
      </c>
      <c r="S37" s="206">
        <v>158</v>
      </c>
      <c r="T37" s="206">
        <v>207</v>
      </c>
      <c r="U37" s="206">
        <v>186</v>
      </c>
      <c r="V37" s="206">
        <v>223</v>
      </c>
      <c r="W37" s="206">
        <v>283</v>
      </c>
      <c r="X37" s="206">
        <v>371</v>
      </c>
      <c r="Y37" s="206" t="s">
        <v>123</v>
      </c>
      <c r="Z37" s="206" t="s">
        <v>123</v>
      </c>
      <c r="AA37" s="206" t="s">
        <v>123</v>
      </c>
      <c r="AB37" s="1" t="s">
        <v>123</v>
      </c>
      <c r="AC37" s="1" t="s">
        <v>123</v>
      </c>
      <c r="AD37" s="1">
        <v>0</v>
      </c>
      <c r="AE37" s="1">
        <v>0</v>
      </c>
    </row>
    <row r="38" spans="1:31" x14ac:dyDescent="0.2">
      <c r="B38" s="6" t="s">
        <v>62</v>
      </c>
      <c r="C38" s="6" t="s">
        <v>62</v>
      </c>
      <c r="D38" s="7">
        <v>4057125</v>
      </c>
      <c r="E38" s="206" t="s">
        <v>123</v>
      </c>
      <c r="F38" s="206">
        <v>67968</v>
      </c>
      <c r="G38" s="206">
        <v>300551</v>
      </c>
      <c r="H38" s="206">
        <v>246286</v>
      </c>
      <c r="I38" s="206">
        <v>43345</v>
      </c>
      <c r="J38" s="206">
        <v>59540</v>
      </c>
      <c r="K38" s="206">
        <v>83772</v>
      </c>
      <c r="L38" s="206">
        <v>44323</v>
      </c>
      <c r="M38" s="206">
        <v>52979</v>
      </c>
      <c r="N38" s="206">
        <v>83287</v>
      </c>
      <c r="O38" s="206">
        <v>25622</v>
      </c>
      <c r="P38" s="206">
        <v>23878</v>
      </c>
      <c r="Q38" s="206">
        <v>89149</v>
      </c>
      <c r="R38" s="206">
        <v>19488</v>
      </c>
      <c r="S38" s="206">
        <v>22712</v>
      </c>
      <c r="T38" s="206">
        <v>26676</v>
      </c>
      <c r="U38" s="206">
        <v>99533</v>
      </c>
      <c r="V38" s="206">
        <v>60972</v>
      </c>
      <c r="W38" s="206">
        <v>28696</v>
      </c>
      <c r="X38" s="206">
        <v>19037</v>
      </c>
      <c r="Y38" s="206">
        <v>77427</v>
      </c>
      <c r="Z38" s="206">
        <v>31665</v>
      </c>
      <c r="AA38" s="206">
        <v>35737</v>
      </c>
      <c r="AB38" s="1">
        <v>36483</v>
      </c>
      <c r="AC38" s="1">
        <v>0</v>
      </c>
      <c r="AD38" s="1">
        <v>0</v>
      </c>
      <c r="AE38" s="1">
        <v>0</v>
      </c>
    </row>
    <row r="39" spans="1:31" x14ac:dyDescent="0.2">
      <c r="B39" s="6" t="s">
        <v>63</v>
      </c>
      <c r="C39" s="6" t="s">
        <v>63</v>
      </c>
      <c r="D39" s="7">
        <v>4087741</v>
      </c>
      <c r="E39" s="206" t="s">
        <v>123</v>
      </c>
      <c r="F39" s="206" t="s">
        <v>123</v>
      </c>
      <c r="G39" s="206" t="s">
        <v>123</v>
      </c>
      <c r="H39" s="206">
        <v>83827</v>
      </c>
      <c r="I39" s="206">
        <v>69702</v>
      </c>
      <c r="J39" s="206">
        <v>66586</v>
      </c>
      <c r="K39" s="206">
        <v>53817</v>
      </c>
      <c r="L39" s="206">
        <v>53969</v>
      </c>
      <c r="M39" s="206">
        <v>44188</v>
      </c>
      <c r="N39" s="206">
        <v>48344</v>
      </c>
      <c r="O39" s="206">
        <v>36472</v>
      </c>
      <c r="P39" s="206">
        <v>38559</v>
      </c>
      <c r="Q39" s="206">
        <v>37074</v>
      </c>
      <c r="R39" s="206">
        <v>45748</v>
      </c>
      <c r="S39" s="206">
        <v>42022</v>
      </c>
      <c r="T39" s="206">
        <v>44846</v>
      </c>
      <c r="U39" s="206">
        <v>45887</v>
      </c>
      <c r="V39" s="206">
        <v>41866</v>
      </c>
      <c r="W39" s="206">
        <v>49019</v>
      </c>
      <c r="X39" s="206">
        <v>69880</v>
      </c>
      <c r="Y39" s="206" t="s">
        <v>123</v>
      </c>
      <c r="Z39" s="206">
        <v>43097</v>
      </c>
      <c r="AA39" s="206" t="s">
        <v>123</v>
      </c>
      <c r="AB39" s="1" t="s">
        <v>123</v>
      </c>
      <c r="AC39" s="1" t="s">
        <v>123</v>
      </c>
      <c r="AD39" s="1" t="s">
        <v>123</v>
      </c>
      <c r="AE39" s="1" t="s">
        <v>123</v>
      </c>
    </row>
    <row r="40" spans="1:31" x14ac:dyDescent="0.2">
      <c r="B40" s="6" t="s">
        <v>64</v>
      </c>
      <c r="C40" s="6" t="s">
        <v>64</v>
      </c>
      <c r="D40" s="7">
        <v>4059875</v>
      </c>
      <c r="E40" s="206" t="s">
        <v>123</v>
      </c>
      <c r="F40" s="206">
        <v>80720</v>
      </c>
      <c r="G40" s="206">
        <v>51564</v>
      </c>
      <c r="H40" s="206">
        <v>40671</v>
      </c>
      <c r="I40" s="206">
        <v>36982</v>
      </c>
      <c r="J40" s="206">
        <v>17576</v>
      </c>
      <c r="K40" s="206">
        <v>28241</v>
      </c>
      <c r="L40" s="206">
        <v>13605</v>
      </c>
      <c r="M40" s="206">
        <v>6963</v>
      </c>
      <c r="N40" s="206">
        <v>8700</v>
      </c>
      <c r="O40" s="206">
        <v>11360</v>
      </c>
      <c r="P40" s="206">
        <v>9567</v>
      </c>
      <c r="Q40" s="206">
        <v>19063</v>
      </c>
      <c r="R40" s="206">
        <v>15247</v>
      </c>
      <c r="S40" s="206">
        <v>17521</v>
      </c>
      <c r="T40" s="206">
        <v>18134</v>
      </c>
      <c r="U40" s="206">
        <v>3902</v>
      </c>
      <c r="V40" s="206">
        <v>13444</v>
      </c>
      <c r="W40" s="206">
        <v>25755</v>
      </c>
      <c r="X40" s="206">
        <v>10688</v>
      </c>
      <c r="Y40" s="206" t="s">
        <v>123</v>
      </c>
      <c r="Z40" s="206">
        <v>11760</v>
      </c>
      <c r="AA40" s="206">
        <v>8857</v>
      </c>
      <c r="AB40" s="1">
        <v>11337</v>
      </c>
      <c r="AC40" s="1">
        <v>0</v>
      </c>
      <c r="AD40" s="1">
        <v>0</v>
      </c>
      <c r="AE40" s="1">
        <v>0</v>
      </c>
    </row>
    <row r="41" spans="1:31" x14ac:dyDescent="0.2">
      <c r="B41" s="6" t="s">
        <v>65</v>
      </c>
      <c r="C41" s="6" t="s">
        <v>65</v>
      </c>
      <c r="D41" s="7">
        <v>4057090</v>
      </c>
      <c r="E41" s="206">
        <v>79674</v>
      </c>
      <c r="F41" s="206">
        <v>55589</v>
      </c>
      <c r="G41" s="206">
        <v>49021</v>
      </c>
      <c r="H41" s="206">
        <v>43630</v>
      </c>
      <c r="I41" s="206">
        <v>63064</v>
      </c>
      <c r="J41" s="206">
        <v>74085</v>
      </c>
      <c r="K41" s="206">
        <v>69167</v>
      </c>
      <c r="L41" s="206">
        <v>64319</v>
      </c>
      <c r="M41" s="206">
        <v>64443</v>
      </c>
      <c r="N41" s="206">
        <v>36861</v>
      </c>
      <c r="O41" s="206">
        <v>42431</v>
      </c>
      <c r="P41" s="206">
        <v>39862</v>
      </c>
      <c r="Q41" s="206">
        <v>42188</v>
      </c>
      <c r="R41" s="206">
        <v>48893</v>
      </c>
      <c r="S41" s="206">
        <v>25972</v>
      </c>
      <c r="T41" s="206">
        <v>17851</v>
      </c>
      <c r="U41" s="206">
        <v>20975</v>
      </c>
      <c r="V41" s="206">
        <v>17399</v>
      </c>
      <c r="W41" s="206">
        <v>39077</v>
      </c>
      <c r="X41" s="206">
        <v>27104</v>
      </c>
      <c r="Y41" s="206">
        <v>20337</v>
      </c>
      <c r="Z41" s="206">
        <v>22737</v>
      </c>
      <c r="AA41" s="206">
        <v>26841</v>
      </c>
      <c r="AB41" s="1">
        <v>6220</v>
      </c>
      <c r="AC41" s="1">
        <v>0</v>
      </c>
      <c r="AD41" s="1">
        <v>0</v>
      </c>
      <c r="AE41" s="1">
        <v>0</v>
      </c>
    </row>
    <row r="42" spans="1:31" x14ac:dyDescent="0.2">
      <c r="B42" s="6" t="s">
        <v>66</v>
      </c>
      <c r="C42" s="6" t="s">
        <v>66</v>
      </c>
      <c r="D42" s="7">
        <v>4008754</v>
      </c>
      <c r="E42" s="206">
        <v>23646</v>
      </c>
      <c r="F42" s="206">
        <v>23919</v>
      </c>
      <c r="G42" s="206">
        <v>20698</v>
      </c>
      <c r="H42" s="206">
        <v>23442</v>
      </c>
      <c r="I42" s="206">
        <v>19801</v>
      </c>
      <c r="J42" s="206">
        <v>16001</v>
      </c>
      <c r="K42" s="206">
        <v>15330</v>
      </c>
      <c r="L42" s="206">
        <v>19537</v>
      </c>
      <c r="M42" s="206">
        <v>17556</v>
      </c>
      <c r="N42" s="206">
        <v>13517</v>
      </c>
      <c r="O42" s="206">
        <v>15740</v>
      </c>
      <c r="P42" s="206">
        <v>10446</v>
      </c>
      <c r="Q42" s="206">
        <v>15675</v>
      </c>
      <c r="R42" s="206">
        <v>10456</v>
      </c>
      <c r="S42" s="206">
        <v>7492</v>
      </c>
      <c r="T42" s="206">
        <v>7622</v>
      </c>
      <c r="U42" s="206">
        <v>10180</v>
      </c>
      <c r="V42" s="206">
        <v>8119</v>
      </c>
      <c r="W42" s="206">
        <v>10717</v>
      </c>
      <c r="X42" s="206">
        <v>14372</v>
      </c>
      <c r="Y42" s="206">
        <v>4552</v>
      </c>
      <c r="Z42" s="206">
        <v>6920</v>
      </c>
      <c r="AA42" s="206">
        <v>4932</v>
      </c>
      <c r="AB42" s="1">
        <v>3563</v>
      </c>
      <c r="AC42" s="1">
        <v>0</v>
      </c>
      <c r="AD42" s="1">
        <v>0</v>
      </c>
      <c r="AE42" s="1">
        <v>0</v>
      </c>
    </row>
    <row r="43" spans="1:31" x14ac:dyDescent="0.2">
      <c r="B43" s="6" t="s">
        <v>67</v>
      </c>
      <c r="C43" s="6" t="s">
        <v>67</v>
      </c>
      <c r="D43" s="7">
        <v>4061474</v>
      </c>
      <c r="E43" s="206" t="s">
        <v>123</v>
      </c>
      <c r="F43" s="206">
        <v>1018</v>
      </c>
      <c r="G43" s="206">
        <v>1042</v>
      </c>
      <c r="H43" s="206">
        <v>844</v>
      </c>
      <c r="I43" s="206">
        <v>832</v>
      </c>
      <c r="J43" s="206">
        <v>757</v>
      </c>
      <c r="K43" s="206">
        <v>1283</v>
      </c>
      <c r="L43" s="206">
        <v>1153</v>
      </c>
      <c r="M43" s="206">
        <v>921</v>
      </c>
      <c r="N43" s="206">
        <v>534</v>
      </c>
      <c r="O43" s="206">
        <v>509</v>
      </c>
      <c r="P43" s="206">
        <v>926</v>
      </c>
      <c r="Q43" s="206">
        <v>633</v>
      </c>
      <c r="R43" s="206">
        <v>830</v>
      </c>
      <c r="S43" s="206">
        <v>366</v>
      </c>
      <c r="T43" s="206">
        <v>460</v>
      </c>
      <c r="U43" s="206">
        <v>467</v>
      </c>
      <c r="V43" s="206">
        <v>494</v>
      </c>
      <c r="W43" s="206">
        <v>4448</v>
      </c>
      <c r="X43" s="206">
        <v>456</v>
      </c>
      <c r="Y43" s="206" t="s">
        <v>123</v>
      </c>
      <c r="Z43" s="206">
        <v>503</v>
      </c>
      <c r="AA43" s="206" t="s">
        <v>123</v>
      </c>
      <c r="AB43" s="1" t="s">
        <v>123</v>
      </c>
      <c r="AC43" s="1">
        <v>0</v>
      </c>
      <c r="AD43" s="1">
        <v>0</v>
      </c>
      <c r="AE43" s="1">
        <v>0</v>
      </c>
    </row>
    <row r="44" spans="1:31" x14ac:dyDescent="0.2">
      <c r="B44" s="6" t="s">
        <v>68</v>
      </c>
      <c r="C44" s="6" t="s">
        <v>68</v>
      </c>
      <c r="D44" s="7">
        <v>4076679</v>
      </c>
      <c r="E44" s="206" t="s">
        <v>123</v>
      </c>
      <c r="F44" s="206">
        <v>1921</v>
      </c>
      <c r="G44" s="206">
        <v>2212</v>
      </c>
      <c r="H44" s="206">
        <v>2042</v>
      </c>
      <c r="I44" s="206">
        <v>1755</v>
      </c>
      <c r="J44" s="206">
        <v>1854</v>
      </c>
      <c r="K44" s="206">
        <v>3377</v>
      </c>
      <c r="L44" s="206">
        <v>2375</v>
      </c>
      <c r="M44" s="206">
        <v>1180</v>
      </c>
      <c r="N44" s="206">
        <v>1006</v>
      </c>
      <c r="O44" s="206">
        <v>1183</v>
      </c>
      <c r="P44" s="206">
        <v>1210</v>
      </c>
      <c r="Q44" s="206">
        <v>872</v>
      </c>
      <c r="R44" s="206">
        <v>1035</v>
      </c>
      <c r="S44" s="206">
        <v>858</v>
      </c>
      <c r="T44" s="206">
        <v>1650</v>
      </c>
      <c r="U44" s="206">
        <v>1277</v>
      </c>
      <c r="V44" s="206">
        <v>803</v>
      </c>
      <c r="W44" s="206">
        <v>1320</v>
      </c>
      <c r="X44" s="206">
        <v>1844</v>
      </c>
      <c r="Y44" s="206">
        <v>925</v>
      </c>
      <c r="Z44" s="206">
        <v>660</v>
      </c>
      <c r="AA44" s="206" t="s">
        <v>123</v>
      </c>
      <c r="AB44" s="1" t="s">
        <v>123</v>
      </c>
      <c r="AC44" s="1" t="s">
        <v>123</v>
      </c>
      <c r="AD44" s="1" t="s">
        <v>123</v>
      </c>
      <c r="AE44" s="1" t="s">
        <v>123</v>
      </c>
    </row>
    <row r="45" spans="1:31" x14ac:dyDescent="0.2">
      <c r="B45" s="6" t="s">
        <v>69</v>
      </c>
      <c r="C45" s="6" t="s">
        <v>69</v>
      </c>
      <c r="D45" s="7">
        <v>4061634</v>
      </c>
      <c r="E45" s="206">
        <v>34726</v>
      </c>
      <c r="F45" s="206">
        <v>47499</v>
      </c>
      <c r="G45" s="206">
        <v>53712</v>
      </c>
      <c r="H45" s="206">
        <v>59885</v>
      </c>
      <c r="I45" s="206">
        <v>25315</v>
      </c>
      <c r="J45" s="206">
        <v>18926</v>
      </c>
      <c r="K45" s="206">
        <v>18247</v>
      </c>
      <c r="L45" s="206">
        <v>14265</v>
      </c>
      <c r="M45" s="206">
        <v>11404</v>
      </c>
      <c r="N45" s="206">
        <v>10956</v>
      </c>
      <c r="O45" s="206">
        <v>10551</v>
      </c>
      <c r="P45" s="206">
        <v>11418</v>
      </c>
      <c r="Q45" s="206">
        <v>11861</v>
      </c>
      <c r="R45" s="206">
        <v>15381</v>
      </c>
      <c r="S45" s="206">
        <v>9453</v>
      </c>
      <c r="T45" s="206">
        <v>11302</v>
      </c>
      <c r="U45" s="206">
        <v>8032</v>
      </c>
      <c r="V45" s="206">
        <v>14431</v>
      </c>
      <c r="W45" s="206">
        <v>9272</v>
      </c>
      <c r="X45" s="206">
        <v>10629</v>
      </c>
      <c r="Y45" s="206">
        <v>5359</v>
      </c>
      <c r="Z45" s="206">
        <v>9021</v>
      </c>
      <c r="AA45" s="206">
        <v>7613</v>
      </c>
      <c r="AB45" s="1">
        <v>6695</v>
      </c>
      <c r="AC45" s="1">
        <v>0</v>
      </c>
      <c r="AD45" s="1">
        <v>0</v>
      </c>
      <c r="AE45" s="1">
        <v>0</v>
      </c>
    </row>
    <row r="46" spans="1:31" x14ac:dyDescent="0.2">
      <c r="B46" s="6" t="s">
        <v>70</v>
      </c>
      <c r="C46" s="6" t="s">
        <v>70</v>
      </c>
      <c r="D46" s="7">
        <v>4061687</v>
      </c>
      <c r="E46" s="206">
        <v>30339</v>
      </c>
      <c r="F46" s="206">
        <v>27578</v>
      </c>
      <c r="G46" s="206">
        <v>26424</v>
      </c>
      <c r="H46" s="206">
        <v>24784</v>
      </c>
      <c r="I46" s="206">
        <v>23354</v>
      </c>
      <c r="J46" s="206">
        <v>22866</v>
      </c>
      <c r="K46" s="206">
        <v>13136</v>
      </c>
      <c r="L46" s="206">
        <v>53890</v>
      </c>
      <c r="M46" s="206">
        <v>43554</v>
      </c>
      <c r="N46" s="206">
        <v>51368</v>
      </c>
      <c r="O46" s="206">
        <v>45129</v>
      </c>
      <c r="P46" s="206">
        <v>48215</v>
      </c>
      <c r="Q46" s="206">
        <v>41216</v>
      </c>
      <c r="R46" s="206">
        <v>50025</v>
      </c>
      <c r="S46" s="206">
        <v>45253</v>
      </c>
      <c r="T46" s="206">
        <v>46149</v>
      </c>
      <c r="U46" s="206">
        <v>40851</v>
      </c>
      <c r="V46" s="206">
        <v>43937</v>
      </c>
      <c r="W46" s="206">
        <v>46370</v>
      </c>
      <c r="X46" s="206">
        <v>45547</v>
      </c>
      <c r="Y46" s="206">
        <v>12458</v>
      </c>
      <c r="Z46" s="206">
        <v>45762</v>
      </c>
      <c r="AA46" s="206">
        <v>45387</v>
      </c>
      <c r="AB46" s="1">
        <v>43375</v>
      </c>
      <c r="AC46" s="1">
        <v>60513</v>
      </c>
      <c r="AD46" s="1">
        <v>58859</v>
      </c>
      <c r="AE46" s="1">
        <v>60650</v>
      </c>
    </row>
    <row r="47" spans="1:31" x14ac:dyDescent="0.2">
      <c r="A47" s="1" t="s">
        <v>30</v>
      </c>
      <c r="B47" s="6" t="s">
        <v>71</v>
      </c>
      <c r="C47" s="6" t="s">
        <v>71</v>
      </c>
      <c r="D47" s="7">
        <v>4061755</v>
      </c>
      <c r="E47" s="206">
        <v>270229.40100000001</v>
      </c>
      <c r="F47" s="206">
        <v>143086</v>
      </c>
      <c r="G47" s="206">
        <v>204775</v>
      </c>
      <c r="H47" s="206">
        <v>131089</v>
      </c>
      <c r="I47" s="206">
        <v>150679</v>
      </c>
      <c r="J47" s="206">
        <v>127654</v>
      </c>
      <c r="K47" s="206">
        <v>120059</v>
      </c>
      <c r="L47" s="206">
        <v>103472</v>
      </c>
      <c r="M47" s="206">
        <v>81631</v>
      </c>
      <c r="N47" s="206">
        <v>38735</v>
      </c>
      <c r="O47" s="206">
        <v>63151</v>
      </c>
      <c r="P47" s="206">
        <v>35802</v>
      </c>
      <c r="Q47" s="206">
        <v>45492</v>
      </c>
      <c r="R47" s="206">
        <v>45068</v>
      </c>
      <c r="S47" s="206">
        <v>41352</v>
      </c>
      <c r="T47" s="206">
        <v>36902</v>
      </c>
      <c r="U47" s="206">
        <v>42588</v>
      </c>
      <c r="V47" s="206">
        <v>45942</v>
      </c>
      <c r="W47" s="206">
        <v>33977</v>
      </c>
      <c r="X47" s="206">
        <v>36913</v>
      </c>
      <c r="Y47" s="206">
        <v>35879</v>
      </c>
      <c r="Z47" s="206">
        <v>38779</v>
      </c>
      <c r="AA47" s="206">
        <v>39322</v>
      </c>
      <c r="AB47" s="1">
        <v>37147</v>
      </c>
      <c r="AC47" s="1">
        <v>0</v>
      </c>
      <c r="AD47" s="1">
        <v>0</v>
      </c>
      <c r="AE47" s="1">
        <v>0</v>
      </c>
    </row>
    <row r="48" spans="1:31" x14ac:dyDescent="0.2">
      <c r="A48" s="1" t="s">
        <v>30</v>
      </c>
      <c r="B48" s="6" t="s">
        <v>72</v>
      </c>
      <c r="C48" s="6" t="s">
        <v>72</v>
      </c>
      <c r="D48" s="7">
        <v>4004389</v>
      </c>
      <c r="E48" s="206">
        <v>93161</v>
      </c>
      <c r="F48" s="206">
        <v>63498</v>
      </c>
      <c r="G48" s="206">
        <v>84505</v>
      </c>
      <c r="H48" s="206">
        <v>42463</v>
      </c>
      <c r="I48" s="206">
        <v>63067</v>
      </c>
      <c r="J48" s="206">
        <v>49602</v>
      </c>
      <c r="K48" s="206">
        <v>32774</v>
      </c>
      <c r="L48" s="206">
        <v>66849</v>
      </c>
      <c r="M48" s="206">
        <v>33014</v>
      </c>
      <c r="N48" s="206">
        <v>35356</v>
      </c>
      <c r="O48" s="206">
        <v>30900</v>
      </c>
      <c r="P48" s="206">
        <v>20137</v>
      </c>
      <c r="Q48" s="206">
        <v>19528</v>
      </c>
      <c r="R48" s="206">
        <v>24819</v>
      </c>
      <c r="S48" s="206">
        <v>17520</v>
      </c>
      <c r="T48" s="206">
        <v>16310</v>
      </c>
      <c r="U48" s="206">
        <v>15345</v>
      </c>
      <c r="V48" s="206">
        <v>19542</v>
      </c>
      <c r="W48" s="206">
        <v>22051</v>
      </c>
      <c r="X48" s="206">
        <v>21493</v>
      </c>
      <c r="Y48" s="206">
        <v>22013</v>
      </c>
      <c r="Z48" s="206">
        <v>20185</v>
      </c>
      <c r="AA48" s="206">
        <v>26200</v>
      </c>
      <c r="AB48" s="1">
        <v>31449</v>
      </c>
      <c r="AC48" s="1">
        <v>0</v>
      </c>
      <c r="AD48" s="1">
        <v>0</v>
      </c>
      <c r="AE48" s="1">
        <v>0</v>
      </c>
    </row>
    <row r="49" spans="1:31" x14ac:dyDescent="0.2">
      <c r="A49" s="1" t="s">
        <v>30</v>
      </c>
      <c r="B49" s="6" t="s">
        <v>73</v>
      </c>
      <c r="C49" s="6" t="s">
        <v>73</v>
      </c>
      <c r="D49" s="7">
        <v>4057014</v>
      </c>
      <c r="E49" s="206">
        <v>122093</v>
      </c>
      <c r="F49" s="206">
        <v>99009</v>
      </c>
      <c r="G49" s="206">
        <v>101385</v>
      </c>
      <c r="H49" s="206">
        <v>97827</v>
      </c>
      <c r="I49" s="206">
        <v>95505</v>
      </c>
      <c r="J49" s="206">
        <v>81144</v>
      </c>
      <c r="K49" s="206">
        <v>107916</v>
      </c>
      <c r="L49" s="206">
        <v>83801</v>
      </c>
      <c r="M49" s="206">
        <v>51741</v>
      </c>
      <c r="N49" s="206">
        <v>46545</v>
      </c>
      <c r="O49" s="206">
        <v>59802</v>
      </c>
      <c r="P49" s="206">
        <v>55435</v>
      </c>
      <c r="Q49" s="206">
        <v>62903</v>
      </c>
      <c r="R49" s="206">
        <v>63450</v>
      </c>
      <c r="S49" s="206">
        <v>54148</v>
      </c>
      <c r="T49" s="206">
        <v>64046</v>
      </c>
      <c r="U49" s="206">
        <v>74924</v>
      </c>
      <c r="V49" s="206">
        <v>33944</v>
      </c>
      <c r="W49" s="206">
        <v>50984</v>
      </c>
      <c r="X49" s="206">
        <v>5996</v>
      </c>
      <c r="Y49" s="206">
        <v>39514</v>
      </c>
      <c r="Z49" s="206">
        <v>50931</v>
      </c>
      <c r="AA49" s="206">
        <v>71563</v>
      </c>
      <c r="AB49" s="1">
        <v>41808</v>
      </c>
      <c r="AC49" s="1">
        <v>0</v>
      </c>
      <c r="AD49" s="1">
        <v>0</v>
      </c>
      <c r="AE49" s="1">
        <v>0</v>
      </c>
    </row>
    <row r="50" spans="1:31" x14ac:dyDescent="0.2">
      <c r="B50" s="6" t="s">
        <v>74</v>
      </c>
      <c r="C50" s="6" t="s">
        <v>74</v>
      </c>
      <c r="D50" s="7">
        <v>4057130</v>
      </c>
      <c r="E50" s="206">
        <v>31660</v>
      </c>
      <c r="F50" s="206">
        <v>19592</v>
      </c>
      <c r="G50" s="206">
        <v>27330</v>
      </c>
      <c r="H50" s="206">
        <v>53291</v>
      </c>
      <c r="I50" s="206">
        <v>30029</v>
      </c>
      <c r="J50" s="206">
        <v>17652</v>
      </c>
      <c r="K50" s="206">
        <v>32687</v>
      </c>
      <c r="L50" s="206">
        <v>31214</v>
      </c>
      <c r="M50" s="206">
        <v>25173</v>
      </c>
      <c r="N50" s="206">
        <v>15082</v>
      </c>
      <c r="O50" s="206">
        <v>5979</v>
      </c>
      <c r="P50" s="206">
        <v>9532</v>
      </c>
      <c r="Q50" s="206">
        <v>6411</v>
      </c>
      <c r="R50" s="206">
        <v>9519</v>
      </c>
      <c r="S50" s="206">
        <v>6792</v>
      </c>
      <c r="T50" s="206">
        <v>7710</v>
      </c>
      <c r="U50" s="206">
        <v>12834</v>
      </c>
      <c r="V50" s="206">
        <v>8464</v>
      </c>
      <c r="W50" s="206">
        <v>7123</v>
      </c>
      <c r="X50" s="206">
        <v>9639</v>
      </c>
      <c r="Y50" s="206">
        <v>6639</v>
      </c>
      <c r="Z50" s="206">
        <v>10573</v>
      </c>
      <c r="AA50" s="206">
        <v>10053</v>
      </c>
      <c r="AB50" s="1">
        <v>10025</v>
      </c>
      <c r="AC50" s="1">
        <v>0</v>
      </c>
      <c r="AD50" s="1">
        <v>0</v>
      </c>
      <c r="AE50" s="1" t="s">
        <v>123</v>
      </c>
    </row>
    <row r="51" spans="1:31" x14ac:dyDescent="0.2">
      <c r="B51" s="6" t="s">
        <v>75</v>
      </c>
      <c r="C51" s="6" t="s">
        <v>75</v>
      </c>
      <c r="D51" s="7">
        <v>4057131</v>
      </c>
      <c r="E51" s="206">
        <v>378489</v>
      </c>
      <c r="F51" s="206">
        <v>411692</v>
      </c>
      <c r="G51" s="206">
        <v>473456</v>
      </c>
      <c r="H51" s="206">
        <v>371808</v>
      </c>
      <c r="I51" s="206">
        <v>267330</v>
      </c>
      <c r="J51" s="206">
        <v>239184</v>
      </c>
      <c r="K51" s="206">
        <v>250988</v>
      </c>
      <c r="L51" s="206">
        <v>138561</v>
      </c>
      <c r="M51" s="206">
        <v>127289</v>
      </c>
      <c r="N51" s="206">
        <v>111344</v>
      </c>
      <c r="O51" s="206">
        <v>106288</v>
      </c>
      <c r="P51" s="206">
        <v>110513</v>
      </c>
      <c r="Q51" s="206">
        <v>112762</v>
      </c>
      <c r="R51" s="206">
        <v>121628</v>
      </c>
      <c r="S51" s="206">
        <v>105278</v>
      </c>
      <c r="T51" s="206">
        <v>111073</v>
      </c>
      <c r="U51" s="206">
        <v>114566</v>
      </c>
      <c r="V51" s="206">
        <v>107642</v>
      </c>
      <c r="W51" s="206">
        <v>117190</v>
      </c>
      <c r="X51" s="206">
        <v>101672</v>
      </c>
      <c r="Y51" s="206">
        <v>105964</v>
      </c>
      <c r="Z51" s="206">
        <v>86506</v>
      </c>
      <c r="AA51" s="206">
        <v>83643</v>
      </c>
      <c r="AB51" s="1">
        <v>69195</v>
      </c>
      <c r="AC51" s="1">
        <v>0</v>
      </c>
      <c r="AD51" s="1">
        <v>0</v>
      </c>
      <c r="AE51" s="1">
        <v>0</v>
      </c>
    </row>
    <row r="52" spans="1:31" x14ac:dyDescent="0.2">
      <c r="B52" s="6" t="s">
        <v>76</v>
      </c>
      <c r="C52" s="6" t="s">
        <v>76</v>
      </c>
      <c r="D52" s="7">
        <v>4012860</v>
      </c>
      <c r="E52" s="206">
        <v>244298</v>
      </c>
      <c r="F52" s="206">
        <v>130762</v>
      </c>
      <c r="G52" s="206">
        <v>131761</v>
      </c>
      <c r="H52" s="206">
        <v>135793</v>
      </c>
      <c r="I52" s="206">
        <v>105974</v>
      </c>
      <c r="J52" s="206">
        <v>124523</v>
      </c>
      <c r="K52" s="206">
        <v>92122</v>
      </c>
      <c r="L52" s="206">
        <v>97440</v>
      </c>
      <c r="M52" s="206">
        <v>83381</v>
      </c>
      <c r="N52" s="206">
        <v>75555</v>
      </c>
      <c r="O52" s="206">
        <v>44416</v>
      </c>
      <c r="P52" s="206">
        <v>24429</v>
      </c>
      <c r="Q52" s="206">
        <v>34996</v>
      </c>
      <c r="R52" s="206">
        <v>37490</v>
      </c>
      <c r="S52" s="206">
        <v>37090</v>
      </c>
      <c r="T52" s="206">
        <v>46886</v>
      </c>
      <c r="U52" s="206">
        <v>32919</v>
      </c>
      <c r="V52" s="206">
        <v>36162</v>
      </c>
      <c r="W52" s="206">
        <v>40086</v>
      </c>
      <c r="X52" s="206">
        <v>37118</v>
      </c>
      <c r="Y52" s="206">
        <v>40816</v>
      </c>
      <c r="Z52" s="206">
        <v>44945</v>
      </c>
      <c r="AA52" s="206">
        <v>31879</v>
      </c>
      <c r="AB52" s="1">
        <v>36444</v>
      </c>
      <c r="AC52" s="1">
        <v>0</v>
      </c>
      <c r="AD52" s="1">
        <v>0</v>
      </c>
      <c r="AE52" s="1">
        <v>0</v>
      </c>
    </row>
    <row r="53" spans="1:31" x14ac:dyDescent="0.2">
      <c r="B53" s="6" t="s">
        <v>77</v>
      </c>
      <c r="C53" s="6" t="s">
        <v>78</v>
      </c>
      <c r="D53" s="7">
        <v>4061925</v>
      </c>
      <c r="E53" s="206">
        <v>31200</v>
      </c>
      <c r="F53" s="206">
        <v>26374</v>
      </c>
      <c r="G53" s="206">
        <v>18435</v>
      </c>
      <c r="H53" s="206">
        <v>19791</v>
      </c>
      <c r="I53" s="206">
        <v>23159</v>
      </c>
      <c r="J53" s="206">
        <v>19987</v>
      </c>
      <c r="K53" s="206">
        <v>19330</v>
      </c>
      <c r="L53" s="206">
        <v>20466</v>
      </c>
      <c r="M53" s="206">
        <v>11933</v>
      </c>
      <c r="N53" s="206">
        <v>10056</v>
      </c>
      <c r="O53" s="206">
        <v>13190</v>
      </c>
      <c r="P53" s="206">
        <v>9607</v>
      </c>
      <c r="Q53" s="206">
        <v>9896</v>
      </c>
      <c r="R53" s="206">
        <v>4148</v>
      </c>
      <c r="S53" s="206">
        <v>6844</v>
      </c>
      <c r="T53" s="206">
        <v>5032</v>
      </c>
      <c r="U53" s="206">
        <v>8735</v>
      </c>
      <c r="V53" s="206">
        <v>8263</v>
      </c>
      <c r="W53" s="206">
        <v>7292</v>
      </c>
      <c r="X53" s="206">
        <v>4884</v>
      </c>
      <c r="Y53" s="206">
        <v>3838</v>
      </c>
      <c r="Z53" s="206">
        <v>7313</v>
      </c>
      <c r="AA53" s="206">
        <v>6291</v>
      </c>
      <c r="AB53" s="1">
        <v>6740</v>
      </c>
      <c r="AC53" s="1">
        <v>0</v>
      </c>
      <c r="AD53" s="1">
        <v>0</v>
      </c>
      <c r="AE53" s="1">
        <v>0</v>
      </c>
    </row>
    <row r="54" spans="1:31" x14ac:dyDescent="0.2">
      <c r="B54" s="6" t="s">
        <v>79</v>
      </c>
      <c r="C54" s="6" t="s">
        <v>79</v>
      </c>
      <c r="D54" s="7">
        <v>4057132</v>
      </c>
      <c r="E54" s="206" t="s">
        <v>123</v>
      </c>
      <c r="F54" s="206" t="s">
        <v>123</v>
      </c>
      <c r="G54" s="206" t="s">
        <v>123</v>
      </c>
      <c r="H54" s="206" t="s">
        <v>123</v>
      </c>
      <c r="I54" s="206">
        <v>87873</v>
      </c>
      <c r="J54" s="206">
        <v>83468</v>
      </c>
      <c r="K54" s="206">
        <v>73446</v>
      </c>
      <c r="L54" s="206">
        <v>73398</v>
      </c>
      <c r="M54" s="206">
        <v>62428</v>
      </c>
      <c r="N54" s="206">
        <v>57124</v>
      </c>
      <c r="O54" s="206">
        <v>52393</v>
      </c>
      <c r="P54" s="206">
        <v>46937</v>
      </c>
      <c r="Q54" s="206">
        <v>66267</v>
      </c>
      <c r="R54" s="206">
        <v>77066</v>
      </c>
      <c r="S54" s="206">
        <v>83764</v>
      </c>
      <c r="T54" s="206">
        <v>87315</v>
      </c>
      <c r="U54" s="206">
        <v>69018</v>
      </c>
      <c r="V54" s="206">
        <v>76206</v>
      </c>
      <c r="W54" s="206" t="s">
        <v>123</v>
      </c>
      <c r="X54" s="206">
        <v>60713</v>
      </c>
      <c r="Y54" s="206">
        <v>56307</v>
      </c>
      <c r="Z54" s="206">
        <v>61342</v>
      </c>
      <c r="AA54" s="206">
        <v>62575</v>
      </c>
      <c r="AB54" s="1">
        <v>60796</v>
      </c>
      <c r="AC54" s="1">
        <v>0</v>
      </c>
      <c r="AD54" s="1">
        <v>0</v>
      </c>
      <c r="AE54" s="1">
        <v>0</v>
      </c>
    </row>
    <row r="55" spans="1:31" x14ac:dyDescent="0.2">
      <c r="A55" s="1" t="s">
        <v>30</v>
      </c>
      <c r="B55" s="6" t="s">
        <v>80</v>
      </c>
      <c r="C55" s="6" t="s">
        <v>80</v>
      </c>
      <c r="D55" s="7">
        <v>4057115</v>
      </c>
      <c r="E55" s="206" t="s">
        <v>123</v>
      </c>
      <c r="F55" s="206">
        <v>60819</v>
      </c>
      <c r="G55" s="206">
        <v>66379</v>
      </c>
      <c r="H55" s="206">
        <v>58594</v>
      </c>
      <c r="I55" s="206">
        <v>50520</v>
      </c>
      <c r="J55" s="206">
        <v>44972</v>
      </c>
      <c r="K55" s="206">
        <v>35446</v>
      </c>
      <c r="L55" s="206">
        <v>23248</v>
      </c>
      <c r="M55" s="206">
        <v>26653</v>
      </c>
      <c r="N55" s="206">
        <v>28612</v>
      </c>
      <c r="O55" s="206">
        <v>24229</v>
      </c>
      <c r="P55" s="206">
        <v>14420</v>
      </c>
      <c r="Q55" s="206">
        <v>19250</v>
      </c>
      <c r="R55" s="206">
        <v>17157</v>
      </c>
      <c r="S55" s="206">
        <v>14822</v>
      </c>
      <c r="T55" s="206">
        <v>16354</v>
      </c>
      <c r="U55" s="206">
        <v>11562</v>
      </c>
      <c r="V55" s="206">
        <v>15445</v>
      </c>
      <c r="W55" s="206" t="s">
        <v>123</v>
      </c>
      <c r="X55" s="206">
        <v>35901</v>
      </c>
      <c r="Y55" s="206" t="s">
        <v>123</v>
      </c>
      <c r="Z55" s="206">
        <v>0</v>
      </c>
      <c r="AA55" s="206" t="s">
        <v>123</v>
      </c>
      <c r="AB55" s="1">
        <v>18490</v>
      </c>
      <c r="AC55" s="1">
        <v>0</v>
      </c>
      <c r="AD55" s="1">
        <v>0</v>
      </c>
      <c r="AE55" s="1">
        <v>0</v>
      </c>
    </row>
    <row r="56" spans="1:31" x14ac:dyDescent="0.2">
      <c r="B56" s="6" t="s">
        <v>81</v>
      </c>
      <c r="C56" s="6" t="s">
        <v>81</v>
      </c>
      <c r="D56" s="7">
        <v>4064479</v>
      </c>
      <c r="E56" s="206">
        <v>2084</v>
      </c>
      <c r="F56" s="206">
        <v>3191</v>
      </c>
      <c r="G56" s="206">
        <v>2362</v>
      </c>
      <c r="H56" s="206">
        <v>2416</v>
      </c>
      <c r="I56" s="206">
        <v>2541</v>
      </c>
      <c r="J56" s="206">
        <v>2458</v>
      </c>
      <c r="K56" s="206">
        <v>2302</v>
      </c>
      <c r="L56" s="206">
        <v>1491</v>
      </c>
      <c r="M56" s="206">
        <v>2240</v>
      </c>
      <c r="N56" s="206">
        <v>2057</v>
      </c>
      <c r="O56" s="206">
        <v>2196</v>
      </c>
      <c r="P56" s="206">
        <v>2532</v>
      </c>
      <c r="Q56" s="206">
        <v>1275</v>
      </c>
      <c r="R56" s="206">
        <v>1831</v>
      </c>
      <c r="S56" s="206">
        <v>1483</v>
      </c>
      <c r="T56" s="206">
        <v>1813</v>
      </c>
      <c r="U56" s="206">
        <v>1601</v>
      </c>
      <c r="V56" s="206">
        <v>1504</v>
      </c>
      <c r="W56" s="206">
        <v>1399</v>
      </c>
      <c r="X56" s="206">
        <v>1288</v>
      </c>
      <c r="Y56" s="206">
        <v>1580</v>
      </c>
      <c r="Z56" s="206">
        <v>1515</v>
      </c>
      <c r="AA56" s="206">
        <v>1446</v>
      </c>
      <c r="AB56" s="1">
        <v>1332</v>
      </c>
      <c r="AC56" s="1">
        <v>0</v>
      </c>
      <c r="AD56" s="1">
        <v>1903</v>
      </c>
      <c r="AE56" s="1">
        <v>0</v>
      </c>
    </row>
    <row r="57" spans="1:31" x14ac:dyDescent="0.2">
      <c r="B57" s="6" t="s">
        <v>82</v>
      </c>
      <c r="C57" s="6" t="s">
        <v>82</v>
      </c>
      <c r="D57" s="7">
        <v>4062025</v>
      </c>
      <c r="E57" s="206" t="s">
        <v>123</v>
      </c>
      <c r="F57" s="206">
        <v>9517</v>
      </c>
      <c r="G57" s="206">
        <v>1799</v>
      </c>
      <c r="H57" s="206">
        <v>1779</v>
      </c>
      <c r="I57" s="206">
        <v>2484</v>
      </c>
      <c r="J57" s="206">
        <v>4624</v>
      </c>
      <c r="K57" s="206">
        <v>2525</v>
      </c>
      <c r="L57" s="206">
        <v>5111</v>
      </c>
      <c r="M57" s="206">
        <v>1785</v>
      </c>
      <c r="N57" s="206">
        <v>2037</v>
      </c>
      <c r="O57" s="206">
        <v>1986</v>
      </c>
      <c r="P57" s="206">
        <v>1345</v>
      </c>
      <c r="Q57" s="206">
        <v>1719</v>
      </c>
      <c r="R57" s="206">
        <v>2380</v>
      </c>
      <c r="S57" s="206">
        <v>1955</v>
      </c>
      <c r="T57" s="206">
        <v>1330</v>
      </c>
      <c r="U57" s="206">
        <v>973</v>
      </c>
      <c r="V57" s="206">
        <v>1831</v>
      </c>
      <c r="W57" s="206">
        <v>1255</v>
      </c>
      <c r="X57" s="206">
        <v>1177</v>
      </c>
      <c r="Y57" s="206">
        <v>1300</v>
      </c>
      <c r="Z57" s="206">
        <v>985</v>
      </c>
      <c r="AA57" s="206">
        <v>1480</v>
      </c>
      <c r="AB57" s="1">
        <v>1803</v>
      </c>
      <c r="AC57" s="1">
        <v>0</v>
      </c>
      <c r="AD57" s="1">
        <v>0</v>
      </c>
      <c r="AE57" s="1">
        <v>0</v>
      </c>
    </row>
    <row r="58" spans="1:31" x14ac:dyDescent="0.2">
      <c r="B58" s="6" t="s">
        <v>83</v>
      </c>
      <c r="C58" s="6" t="s">
        <v>83</v>
      </c>
      <c r="D58" s="7">
        <v>4064481</v>
      </c>
      <c r="E58" s="206" t="s">
        <v>123</v>
      </c>
      <c r="F58" s="206" t="s">
        <v>123</v>
      </c>
      <c r="G58" s="206" t="s">
        <v>123</v>
      </c>
      <c r="H58" s="206">
        <v>86155</v>
      </c>
      <c r="I58" s="206">
        <v>99013</v>
      </c>
      <c r="J58" s="206">
        <v>100005</v>
      </c>
      <c r="K58" s="206">
        <v>114587</v>
      </c>
      <c r="L58" s="206">
        <v>103546</v>
      </c>
      <c r="M58" s="206">
        <v>96914</v>
      </c>
      <c r="N58" s="206">
        <v>83988</v>
      </c>
      <c r="O58" s="206">
        <v>75155</v>
      </c>
      <c r="P58" s="206">
        <v>92465</v>
      </c>
      <c r="Q58" s="206">
        <v>63785</v>
      </c>
      <c r="R58" s="206">
        <v>78581</v>
      </c>
      <c r="S58" s="206">
        <v>71591</v>
      </c>
      <c r="T58" s="206">
        <v>47755</v>
      </c>
      <c r="U58" s="206">
        <v>54857</v>
      </c>
      <c r="V58" s="206">
        <v>48724</v>
      </c>
      <c r="W58" s="206">
        <v>72218</v>
      </c>
      <c r="X58" s="206">
        <v>29168</v>
      </c>
      <c r="Y58" s="206">
        <v>49017</v>
      </c>
      <c r="Z58" s="206">
        <v>45068</v>
      </c>
      <c r="AA58" s="206">
        <v>37836</v>
      </c>
      <c r="AB58" s="1">
        <v>31146</v>
      </c>
      <c r="AC58" s="1">
        <v>0</v>
      </c>
      <c r="AD58" s="1">
        <v>0</v>
      </c>
      <c r="AE58" s="1" t="s">
        <v>123</v>
      </c>
    </row>
    <row r="59" spans="1:31" x14ac:dyDescent="0.2">
      <c r="A59" s="1" t="s">
        <v>30</v>
      </c>
      <c r="B59" s="6" t="s">
        <v>84</v>
      </c>
      <c r="C59" s="6" t="s">
        <v>84</v>
      </c>
      <c r="D59" s="7">
        <v>4057093</v>
      </c>
      <c r="E59" s="206">
        <v>54730</v>
      </c>
      <c r="F59" s="206">
        <v>40093</v>
      </c>
      <c r="G59" s="206">
        <v>61074</v>
      </c>
      <c r="H59" s="206">
        <v>45951</v>
      </c>
      <c r="I59" s="206">
        <v>47212</v>
      </c>
      <c r="J59" s="206">
        <v>43855</v>
      </c>
      <c r="K59" s="206">
        <v>38576</v>
      </c>
      <c r="L59" s="206">
        <v>24311</v>
      </c>
      <c r="M59" s="206">
        <v>28708</v>
      </c>
      <c r="N59" s="206">
        <v>38746</v>
      </c>
      <c r="O59" s="206">
        <v>27377</v>
      </c>
      <c r="P59" s="206">
        <v>35852</v>
      </c>
      <c r="Q59" s="206">
        <v>21247</v>
      </c>
      <c r="R59" s="206">
        <v>20764</v>
      </c>
      <c r="S59" s="206">
        <v>17723</v>
      </c>
      <c r="T59" s="206">
        <v>19456</v>
      </c>
      <c r="U59" s="206">
        <v>17182</v>
      </c>
      <c r="V59" s="206">
        <v>16225</v>
      </c>
      <c r="W59" s="206">
        <v>15557</v>
      </c>
      <c r="X59" s="206">
        <v>12975</v>
      </c>
      <c r="Y59" s="206">
        <v>12679</v>
      </c>
      <c r="Z59" s="206">
        <v>17319</v>
      </c>
      <c r="AA59" s="206">
        <v>17400</v>
      </c>
      <c r="AB59" s="1">
        <v>14717</v>
      </c>
      <c r="AC59" s="1">
        <v>0</v>
      </c>
      <c r="AD59" s="1">
        <v>0</v>
      </c>
      <c r="AE59" s="1">
        <v>0</v>
      </c>
    </row>
    <row r="60" spans="1:31" x14ac:dyDescent="0.2">
      <c r="B60" s="6" t="s">
        <v>85</v>
      </c>
      <c r="C60" s="6" t="s">
        <v>85</v>
      </c>
      <c r="D60" s="7">
        <v>4004218</v>
      </c>
      <c r="E60" s="206">
        <v>1199092.95</v>
      </c>
      <c r="F60" s="206">
        <v>1051764</v>
      </c>
      <c r="G60" s="206">
        <v>914707</v>
      </c>
      <c r="H60" s="206">
        <v>959458</v>
      </c>
      <c r="I60" s="206">
        <v>843826</v>
      </c>
      <c r="J60" s="206">
        <v>938464</v>
      </c>
      <c r="K60" s="206">
        <v>671886</v>
      </c>
      <c r="L60" s="206">
        <v>596995</v>
      </c>
      <c r="M60" s="206">
        <v>594565</v>
      </c>
      <c r="N60" s="206">
        <v>450738</v>
      </c>
      <c r="O60" s="206">
        <v>344276</v>
      </c>
      <c r="P60" s="206">
        <v>280787</v>
      </c>
      <c r="Q60" s="206">
        <v>262792</v>
      </c>
      <c r="R60" s="206">
        <v>248068</v>
      </c>
      <c r="S60" s="206">
        <v>204236</v>
      </c>
      <c r="T60" s="206">
        <v>201139</v>
      </c>
      <c r="U60" s="206">
        <v>188063</v>
      </c>
      <c r="V60" s="206">
        <v>170384</v>
      </c>
      <c r="W60" s="206">
        <v>171847</v>
      </c>
      <c r="X60" s="206">
        <v>178769</v>
      </c>
      <c r="Y60" s="206">
        <v>164978</v>
      </c>
      <c r="Z60" s="206">
        <v>150169</v>
      </c>
      <c r="AA60" s="206">
        <v>186974</v>
      </c>
      <c r="AB60" s="1">
        <v>196405</v>
      </c>
      <c r="AC60" s="1">
        <v>0</v>
      </c>
      <c r="AD60" s="1">
        <v>0</v>
      </c>
      <c r="AE60" s="1">
        <v>0</v>
      </c>
    </row>
    <row r="61" spans="1:31" x14ac:dyDescent="0.2">
      <c r="A61" s="1" t="s">
        <v>30</v>
      </c>
      <c r="B61" s="6" t="s">
        <v>86</v>
      </c>
      <c r="C61" s="6" t="s">
        <v>87</v>
      </c>
      <c r="D61" s="7">
        <v>4062222</v>
      </c>
      <c r="E61" s="206" t="s">
        <v>123</v>
      </c>
      <c r="F61" s="206">
        <v>206824</v>
      </c>
      <c r="G61" s="206">
        <v>217513</v>
      </c>
      <c r="H61" s="206">
        <v>184940</v>
      </c>
      <c r="I61" s="206">
        <v>158413</v>
      </c>
      <c r="J61" s="206">
        <v>137240</v>
      </c>
      <c r="K61" s="206">
        <v>134210</v>
      </c>
      <c r="L61" s="206">
        <v>116388</v>
      </c>
      <c r="M61" s="206">
        <v>83326</v>
      </c>
      <c r="N61" s="206">
        <v>79110</v>
      </c>
      <c r="O61" s="206">
        <v>64693</v>
      </c>
      <c r="P61" s="206">
        <v>61532</v>
      </c>
      <c r="Q61" s="206">
        <v>53440</v>
      </c>
      <c r="R61" s="206">
        <v>59187</v>
      </c>
      <c r="S61" s="206">
        <v>48693</v>
      </c>
      <c r="T61" s="206">
        <v>56193</v>
      </c>
      <c r="U61" s="206">
        <v>47940</v>
      </c>
      <c r="V61" s="206">
        <v>53750</v>
      </c>
      <c r="W61" s="206">
        <v>60543</v>
      </c>
      <c r="X61" s="206">
        <v>38989</v>
      </c>
      <c r="Y61" s="206">
        <v>106712</v>
      </c>
      <c r="Z61" s="206" t="s">
        <v>123</v>
      </c>
      <c r="AA61" s="206">
        <v>3713</v>
      </c>
      <c r="AB61" s="1">
        <v>5243</v>
      </c>
      <c r="AC61" s="1">
        <v>0</v>
      </c>
      <c r="AD61" s="1">
        <v>0</v>
      </c>
      <c r="AE61" s="1">
        <v>0</v>
      </c>
    </row>
    <row r="62" spans="1:31" x14ac:dyDescent="0.2">
      <c r="B62" s="6" t="s">
        <v>88</v>
      </c>
      <c r="C62" s="6" t="s">
        <v>89</v>
      </c>
      <c r="D62" s="7">
        <v>4057135</v>
      </c>
      <c r="E62" s="206">
        <v>338834</v>
      </c>
      <c r="F62" s="206">
        <v>534562</v>
      </c>
      <c r="G62" s="206">
        <v>414285</v>
      </c>
      <c r="H62" s="206">
        <v>352003</v>
      </c>
      <c r="I62" s="206">
        <v>355876</v>
      </c>
      <c r="J62" s="206">
        <v>229083</v>
      </c>
      <c r="K62" s="206">
        <v>332216</v>
      </c>
      <c r="L62" s="206">
        <v>259442</v>
      </c>
      <c r="M62" s="206">
        <v>304610</v>
      </c>
      <c r="N62" s="206">
        <v>223706</v>
      </c>
      <c r="O62" s="206">
        <v>191552</v>
      </c>
      <c r="P62" s="206">
        <v>168910</v>
      </c>
      <c r="Q62" s="206">
        <v>56714</v>
      </c>
      <c r="R62" s="206">
        <v>117769</v>
      </c>
      <c r="S62" s="206">
        <v>78853</v>
      </c>
      <c r="T62" s="206">
        <v>70211</v>
      </c>
      <c r="U62" s="206">
        <v>54795</v>
      </c>
      <c r="V62" s="206">
        <v>50016</v>
      </c>
      <c r="W62" s="206">
        <v>35405</v>
      </c>
      <c r="X62" s="206">
        <v>50577</v>
      </c>
      <c r="Y62" s="206">
        <v>68464</v>
      </c>
      <c r="Z62" s="206">
        <v>56835</v>
      </c>
      <c r="AA62" s="206">
        <v>49270</v>
      </c>
      <c r="AB62" s="1">
        <v>41407</v>
      </c>
      <c r="AC62" s="1">
        <v>0</v>
      </c>
      <c r="AD62" s="1">
        <v>0</v>
      </c>
      <c r="AE62" s="1">
        <v>0</v>
      </c>
    </row>
    <row r="63" spans="1:31" x14ac:dyDescent="0.2">
      <c r="B63" s="6" t="s">
        <v>90</v>
      </c>
      <c r="C63" s="6" t="s">
        <v>90</v>
      </c>
      <c r="D63" s="7">
        <v>4063341</v>
      </c>
      <c r="E63" s="206">
        <v>287153</v>
      </c>
      <c r="F63" s="206">
        <v>241689</v>
      </c>
      <c r="G63" s="206">
        <v>174542</v>
      </c>
      <c r="H63" s="206">
        <v>146440</v>
      </c>
      <c r="I63" s="206">
        <v>117169</v>
      </c>
      <c r="J63" s="206">
        <v>111742</v>
      </c>
      <c r="K63" s="206">
        <v>92874</v>
      </c>
      <c r="L63" s="206">
        <v>68179</v>
      </c>
      <c r="M63" s="206">
        <v>82623</v>
      </c>
      <c r="N63" s="206">
        <v>53089</v>
      </c>
      <c r="O63" s="206">
        <v>58176</v>
      </c>
      <c r="P63" s="206">
        <v>48022</v>
      </c>
      <c r="Q63" s="206">
        <v>59754</v>
      </c>
      <c r="R63" s="206">
        <v>42244</v>
      </c>
      <c r="S63" s="206">
        <v>33594</v>
      </c>
      <c r="T63" s="206">
        <v>49421</v>
      </c>
      <c r="U63" s="206">
        <v>31836</v>
      </c>
      <c r="V63" s="206">
        <v>37869</v>
      </c>
      <c r="W63" s="206">
        <v>69653</v>
      </c>
      <c r="X63" s="206">
        <v>47016</v>
      </c>
      <c r="Y63" s="206">
        <v>25807</v>
      </c>
      <c r="Z63" s="206">
        <v>0</v>
      </c>
      <c r="AA63" s="206">
        <v>70775</v>
      </c>
      <c r="AB63" s="1">
        <v>0</v>
      </c>
      <c r="AC63" s="1">
        <v>0</v>
      </c>
      <c r="AD63" s="1">
        <v>0</v>
      </c>
      <c r="AE63" s="1">
        <v>0</v>
      </c>
    </row>
    <row r="64" spans="1:31" x14ac:dyDescent="0.2">
      <c r="A64" s="1" t="s">
        <v>30</v>
      </c>
      <c r="B64" s="6" t="s">
        <v>91</v>
      </c>
      <c r="C64" s="6" t="s">
        <v>91</v>
      </c>
      <c r="D64" s="7">
        <v>4083575</v>
      </c>
      <c r="E64" s="206" t="s">
        <v>123</v>
      </c>
      <c r="F64" s="206">
        <v>68883</v>
      </c>
      <c r="G64" s="206">
        <v>36907</v>
      </c>
      <c r="H64" s="206">
        <v>66097</v>
      </c>
      <c r="I64" s="206">
        <v>35034</v>
      </c>
      <c r="J64" s="206">
        <v>56501</v>
      </c>
      <c r="K64" s="206">
        <v>23606</v>
      </c>
      <c r="L64" s="206">
        <v>45175</v>
      </c>
      <c r="M64" s="206">
        <v>44350</v>
      </c>
      <c r="N64" s="206">
        <v>26941</v>
      </c>
      <c r="O64" s="206">
        <v>24515</v>
      </c>
      <c r="P64" s="206">
        <v>27877</v>
      </c>
      <c r="Q64" s="206">
        <v>37652</v>
      </c>
      <c r="R64" s="206">
        <v>36855</v>
      </c>
      <c r="S64" s="206">
        <v>38262</v>
      </c>
      <c r="T64" s="206">
        <v>36953</v>
      </c>
      <c r="U64" s="206">
        <v>34855</v>
      </c>
      <c r="V64" s="206">
        <v>36517</v>
      </c>
      <c r="W64" s="206">
        <v>29691</v>
      </c>
      <c r="X64" s="206">
        <v>73545</v>
      </c>
      <c r="Y64" s="206">
        <v>28194</v>
      </c>
      <c r="Z64" s="206" t="s">
        <v>123</v>
      </c>
      <c r="AA64" s="206" t="s">
        <v>123</v>
      </c>
      <c r="AB64" s="1" t="s">
        <v>123</v>
      </c>
      <c r="AC64" s="1" t="s">
        <v>123</v>
      </c>
      <c r="AD64" s="1" t="s">
        <v>123</v>
      </c>
      <c r="AE64" s="1" t="s">
        <v>123</v>
      </c>
    </row>
    <row r="65" spans="1:31" x14ac:dyDescent="0.2">
      <c r="B65" s="6" t="s">
        <v>92</v>
      </c>
      <c r="C65" s="6" t="s">
        <v>92</v>
      </c>
      <c r="D65" s="7">
        <v>4062303</v>
      </c>
      <c r="E65" s="206" t="s">
        <v>123</v>
      </c>
      <c r="F65" s="206">
        <v>84</v>
      </c>
      <c r="G65" s="206">
        <v>322</v>
      </c>
      <c r="H65" s="206">
        <v>114</v>
      </c>
      <c r="I65" s="206" t="s">
        <v>123</v>
      </c>
      <c r="J65" s="206" t="s">
        <v>123</v>
      </c>
      <c r="K65" s="206">
        <v>134</v>
      </c>
      <c r="L65" s="206">
        <v>73</v>
      </c>
      <c r="M65" s="206">
        <v>127</v>
      </c>
      <c r="N65" s="206">
        <v>492</v>
      </c>
      <c r="O65" s="206">
        <v>95</v>
      </c>
      <c r="P65" s="206">
        <v>122</v>
      </c>
      <c r="Q65" s="206">
        <v>71</v>
      </c>
      <c r="R65" s="206">
        <v>190</v>
      </c>
      <c r="S65" s="206">
        <v>181</v>
      </c>
      <c r="T65" s="206">
        <v>152</v>
      </c>
      <c r="U65" s="206">
        <v>361</v>
      </c>
      <c r="V65" s="206">
        <v>58</v>
      </c>
      <c r="W65" s="206">
        <v>25</v>
      </c>
      <c r="X65" s="206">
        <v>84</v>
      </c>
      <c r="Y65" s="206">
        <v>100</v>
      </c>
      <c r="Z65" s="206">
        <v>6</v>
      </c>
      <c r="AA65" s="206" t="s">
        <v>123</v>
      </c>
      <c r="AB65" s="1" t="s">
        <v>123</v>
      </c>
      <c r="AC65" s="1" t="s">
        <v>123</v>
      </c>
      <c r="AD65" s="1" t="s">
        <v>123</v>
      </c>
      <c r="AE65" s="1" t="s">
        <v>123</v>
      </c>
    </row>
    <row r="66" spans="1:31" x14ac:dyDescent="0.2">
      <c r="B66" s="6" t="s">
        <v>93</v>
      </c>
      <c r="C66" s="6" t="s">
        <v>93</v>
      </c>
      <c r="D66" s="7">
        <v>4083581</v>
      </c>
      <c r="E66" s="206" t="s">
        <v>123</v>
      </c>
      <c r="F66" s="206">
        <v>298</v>
      </c>
      <c r="G66" s="206">
        <v>239</v>
      </c>
      <c r="H66" s="206">
        <v>292</v>
      </c>
      <c r="I66" s="206">
        <v>740</v>
      </c>
      <c r="J66" s="206">
        <v>469</v>
      </c>
      <c r="K66" s="206">
        <v>569</v>
      </c>
      <c r="L66" s="206">
        <v>308</v>
      </c>
      <c r="M66" s="206">
        <v>346</v>
      </c>
      <c r="N66" s="206">
        <v>5</v>
      </c>
      <c r="O66" s="206">
        <v>7</v>
      </c>
      <c r="P66" s="206">
        <v>0</v>
      </c>
      <c r="Q66" s="206">
        <v>11</v>
      </c>
      <c r="R66" s="206">
        <v>8</v>
      </c>
      <c r="S66" s="206">
        <v>122</v>
      </c>
      <c r="T66" s="206">
        <v>81</v>
      </c>
      <c r="U66" s="206">
        <v>316</v>
      </c>
      <c r="V66" s="206">
        <v>351</v>
      </c>
      <c r="W66" s="206">
        <v>128</v>
      </c>
      <c r="X66" s="206" t="s">
        <v>123</v>
      </c>
      <c r="Y66" s="206">
        <v>351</v>
      </c>
      <c r="Z66" s="206">
        <v>50</v>
      </c>
      <c r="AA66" s="206" t="s">
        <v>123</v>
      </c>
      <c r="AB66" s="1" t="s">
        <v>123</v>
      </c>
      <c r="AC66" s="1" t="s">
        <v>123</v>
      </c>
      <c r="AD66" s="1" t="s">
        <v>123</v>
      </c>
      <c r="AE66" s="1" t="s">
        <v>123</v>
      </c>
    </row>
    <row r="67" spans="1:31" x14ac:dyDescent="0.2">
      <c r="B67" s="6" t="s">
        <v>94</v>
      </c>
      <c r="C67" s="6" t="s">
        <v>94</v>
      </c>
      <c r="D67" s="7">
        <v>4057139</v>
      </c>
      <c r="E67" s="206">
        <v>135423.149</v>
      </c>
      <c r="F67" s="206">
        <v>115197</v>
      </c>
      <c r="G67" s="206">
        <v>142060</v>
      </c>
      <c r="H67" s="206">
        <v>72919</v>
      </c>
      <c r="I67" s="206">
        <v>70861</v>
      </c>
      <c r="J67" s="206">
        <v>98653</v>
      </c>
      <c r="K67" s="206">
        <v>75856</v>
      </c>
      <c r="L67" s="206">
        <v>93556</v>
      </c>
      <c r="M67" s="206">
        <v>45046</v>
      </c>
      <c r="N67" s="206">
        <v>44813</v>
      </c>
      <c r="O67" s="206">
        <v>51184</v>
      </c>
      <c r="P67" s="206">
        <v>34391</v>
      </c>
      <c r="Q67" s="206">
        <v>26503</v>
      </c>
      <c r="R67" s="206">
        <v>57881</v>
      </c>
      <c r="S67" s="206">
        <v>74266</v>
      </c>
      <c r="T67" s="206">
        <v>73730</v>
      </c>
      <c r="U67" s="206">
        <v>51666</v>
      </c>
      <c r="V67" s="206">
        <v>41557</v>
      </c>
      <c r="W67" s="206">
        <v>38931</v>
      </c>
      <c r="X67" s="206">
        <v>37114</v>
      </c>
      <c r="Y67" s="206">
        <v>57307</v>
      </c>
      <c r="Z67" s="206">
        <v>21130</v>
      </c>
      <c r="AA67" s="206">
        <v>27352</v>
      </c>
      <c r="AB67" s="1">
        <v>40284</v>
      </c>
      <c r="AC67" s="1">
        <v>0</v>
      </c>
      <c r="AD67" s="1">
        <v>0</v>
      </c>
      <c r="AE67" s="1">
        <v>0</v>
      </c>
    </row>
    <row r="68" spans="1:31" x14ac:dyDescent="0.2">
      <c r="A68" s="1" t="s">
        <v>30</v>
      </c>
      <c r="B68" s="6" t="s">
        <v>95</v>
      </c>
      <c r="C68" s="6" t="s">
        <v>95</v>
      </c>
      <c r="D68" s="7">
        <v>4057095</v>
      </c>
      <c r="E68" s="206">
        <v>646217.01100000006</v>
      </c>
      <c r="F68" s="206" t="s">
        <v>123</v>
      </c>
      <c r="G68" s="206">
        <v>663349</v>
      </c>
      <c r="H68" s="206">
        <v>764322</v>
      </c>
      <c r="I68" s="206">
        <v>733366</v>
      </c>
      <c r="J68" s="206">
        <v>566819</v>
      </c>
      <c r="K68" s="206">
        <v>437196</v>
      </c>
      <c r="L68" s="206">
        <v>277317</v>
      </c>
      <c r="M68" s="206">
        <v>143751</v>
      </c>
      <c r="N68" s="206">
        <v>213179</v>
      </c>
      <c r="O68" s="206">
        <v>189163</v>
      </c>
      <c r="P68" s="206">
        <v>291120</v>
      </c>
      <c r="Q68" s="206">
        <v>223510</v>
      </c>
      <c r="R68" s="206">
        <v>200011</v>
      </c>
      <c r="S68" s="206">
        <v>166946</v>
      </c>
      <c r="T68" s="206">
        <v>187959</v>
      </c>
      <c r="U68" s="206">
        <v>187512</v>
      </c>
      <c r="V68" s="206">
        <v>155225</v>
      </c>
      <c r="W68" s="206">
        <v>153387</v>
      </c>
      <c r="X68" s="206">
        <v>150814</v>
      </c>
      <c r="Y68" s="206">
        <v>135898</v>
      </c>
      <c r="Z68" s="206">
        <v>135607</v>
      </c>
      <c r="AA68" s="206">
        <v>127298</v>
      </c>
      <c r="AB68" s="1">
        <v>140541</v>
      </c>
      <c r="AC68" s="1">
        <v>0</v>
      </c>
      <c r="AD68" s="1">
        <v>0</v>
      </c>
      <c r="AE68" s="1">
        <v>0</v>
      </c>
    </row>
    <row r="69" spans="1:31" x14ac:dyDescent="0.2">
      <c r="B69" s="6" t="s">
        <v>96</v>
      </c>
      <c r="C69" s="6" t="s">
        <v>96</v>
      </c>
      <c r="D69" s="7">
        <v>4062485</v>
      </c>
      <c r="E69" s="206">
        <v>223517</v>
      </c>
      <c r="F69" s="206">
        <v>280663</v>
      </c>
      <c r="G69" s="206">
        <v>271692</v>
      </c>
      <c r="H69" s="206">
        <v>242041</v>
      </c>
      <c r="I69" s="206">
        <v>239404</v>
      </c>
      <c r="J69" s="206">
        <v>196495</v>
      </c>
      <c r="K69" s="206">
        <v>150535</v>
      </c>
      <c r="L69" s="206">
        <v>164006</v>
      </c>
      <c r="M69" s="206">
        <v>128154</v>
      </c>
      <c r="N69" s="206">
        <v>151987</v>
      </c>
      <c r="O69" s="206">
        <v>107466</v>
      </c>
      <c r="P69" s="206">
        <v>124742</v>
      </c>
      <c r="Q69" s="206">
        <v>172488</v>
      </c>
      <c r="R69" s="206">
        <v>166450</v>
      </c>
      <c r="S69" s="206">
        <v>197844</v>
      </c>
      <c r="T69" s="206">
        <v>151290</v>
      </c>
      <c r="U69" s="206">
        <v>121279</v>
      </c>
      <c r="V69" s="206">
        <v>112319</v>
      </c>
      <c r="W69" s="206">
        <v>94930</v>
      </c>
      <c r="X69" s="206">
        <v>108344</v>
      </c>
      <c r="Y69" s="206">
        <v>120053</v>
      </c>
      <c r="Z69" s="206">
        <v>87479</v>
      </c>
      <c r="AA69" s="206">
        <v>105976</v>
      </c>
      <c r="AB69" s="1">
        <v>84052</v>
      </c>
      <c r="AC69" s="1" t="s">
        <v>123</v>
      </c>
      <c r="AD69" s="1" t="s">
        <v>123</v>
      </c>
      <c r="AE69" s="1">
        <v>0</v>
      </c>
    </row>
    <row r="70" spans="1:31" x14ac:dyDescent="0.2">
      <c r="B70" s="6" t="s">
        <v>97</v>
      </c>
      <c r="C70" s="6" t="s">
        <v>97</v>
      </c>
      <c r="D70" s="7">
        <v>4057140</v>
      </c>
      <c r="E70" s="206">
        <v>263420</v>
      </c>
      <c r="F70" s="206">
        <v>1732</v>
      </c>
      <c r="G70" s="206">
        <v>4678</v>
      </c>
      <c r="H70" s="206">
        <v>132274</v>
      </c>
      <c r="I70" s="206">
        <v>185269</v>
      </c>
      <c r="J70" s="206">
        <v>200009</v>
      </c>
      <c r="K70" s="206">
        <v>203899</v>
      </c>
      <c r="L70" s="206">
        <v>172069</v>
      </c>
      <c r="M70" s="206">
        <v>179458</v>
      </c>
      <c r="N70" s="206">
        <v>125343</v>
      </c>
      <c r="O70" s="206">
        <v>98619</v>
      </c>
      <c r="P70" s="206">
        <v>78057</v>
      </c>
      <c r="Q70" s="206">
        <v>54532</v>
      </c>
      <c r="R70" s="206">
        <v>122491</v>
      </c>
      <c r="S70" s="206">
        <v>117447</v>
      </c>
      <c r="T70" s="206">
        <v>74190</v>
      </c>
      <c r="U70" s="206">
        <v>58907</v>
      </c>
      <c r="V70" s="206">
        <v>57921</v>
      </c>
      <c r="W70" s="206">
        <v>63959</v>
      </c>
      <c r="X70" s="206">
        <v>78626</v>
      </c>
      <c r="Y70" s="206">
        <v>56613</v>
      </c>
      <c r="Z70" s="206">
        <v>95334</v>
      </c>
      <c r="AA70" s="206">
        <v>40107</v>
      </c>
      <c r="AB70" s="1">
        <v>49562</v>
      </c>
      <c r="AC70" s="1">
        <v>0</v>
      </c>
      <c r="AD70" s="1">
        <v>0</v>
      </c>
      <c r="AE70" s="1">
        <v>0</v>
      </c>
    </row>
    <row r="71" spans="1:31" x14ac:dyDescent="0.2">
      <c r="A71" s="1" t="s">
        <v>30</v>
      </c>
      <c r="B71" s="6" t="s">
        <v>98</v>
      </c>
      <c r="C71" s="6" t="s">
        <v>99</v>
      </c>
      <c r="D71" s="7">
        <v>4057096</v>
      </c>
      <c r="E71" s="206">
        <v>106714</v>
      </c>
      <c r="F71" s="206">
        <v>45298</v>
      </c>
      <c r="G71" s="206">
        <v>87764</v>
      </c>
      <c r="H71" s="206">
        <v>38809</v>
      </c>
      <c r="I71" s="206">
        <v>82147</v>
      </c>
      <c r="J71" s="206">
        <v>35666</v>
      </c>
      <c r="K71" s="206">
        <v>22894</v>
      </c>
      <c r="L71" s="206">
        <v>30330</v>
      </c>
      <c r="M71" s="206">
        <v>27676</v>
      </c>
      <c r="N71" s="206">
        <v>34218</v>
      </c>
      <c r="O71" s="206">
        <v>24337</v>
      </c>
      <c r="P71" s="206">
        <v>20074</v>
      </c>
      <c r="Q71" s="206">
        <v>13647</v>
      </c>
      <c r="R71" s="206">
        <v>21592</v>
      </c>
      <c r="S71" s="206">
        <v>16470</v>
      </c>
      <c r="T71" s="206">
        <v>15100</v>
      </c>
      <c r="U71" s="206">
        <v>16673</v>
      </c>
      <c r="V71" s="206">
        <v>42137</v>
      </c>
      <c r="W71" s="206" t="s">
        <v>123</v>
      </c>
      <c r="X71" s="206" t="s">
        <v>123</v>
      </c>
      <c r="Y71" s="206">
        <v>29742</v>
      </c>
      <c r="Z71" s="206">
        <v>21145</v>
      </c>
      <c r="AA71" s="206">
        <v>22320</v>
      </c>
      <c r="AB71" s="1">
        <v>20438</v>
      </c>
      <c r="AC71" s="1">
        <v>0</v>
      </c>
      <c r="AD71" s="1">
        <v>0</v>
      </c>
      <c r="AE71" s="1">
        <v>0</v>
      </c>
    </row>
    <row r="72" spans="1:31" x14ac:dyDescent="0.2">
      <c r="B72" s="6" t="s">
        <v>100</v>
      </c>
      <c r="C72" s="6" t="s">
        <v>100</v>
      </c>
      <c r="D72" s="7">
        <v>4057097</v>
      </c>
      <c r="E72" s="206" t="s">
        <v>123</v>
      </c>
      <c r="F72" s="206" t="s">
        <v>123</v>
      </c>
      <c r="G72" s="206" t="s">
        <v>123</v>
      </c>
      <c r="H72" s="206">
        <v>176983</v>
      </c>
      <c r="I72" s="206">
        <v>267106</v>
      </c>
      <c r="J72" s="206">
        <v>225907</v>
      </c>
      <c r="K72" s="206">
        <v>62318</v>
      </c>
      <c r="L72" s="206">
        <v>67544</v>
      </c>
      <c r="M72" s="206">
        <v>30616</v>
      </c>
      <c r="N72" s="206">
        <v>41694</v>
      </c>
      <c r="O72" s="206">
        <v>40715</v>
      </c>
      <c r="P72" s="206">
        <v>71642</v>
      </c>
      <c r="Q72" s="206">
        <v>45433</v>
      </c>
      <c r="R72" s="206">
        <v>20126</v>
      </c>
      <c r="S72" s="206">
        <v>24488</v>
      </c>
      <c r="T72" s="206">
        <v>30091</v>
      </c>
      <c r="U72" s="206">
        <v>22858</v>
      </c>
      <c r="V72" s="206">
        <v>24156</v>
      </c>
      <c r="W72" s="206">
        <v>32926</v>
      </c>
      <c r="X72" s="206">
        <v>25682</v>
      </c>
      <c r="Y72" s="206">
        <v>23200</v>
      </c>
      <c r="Z72" s="206">
        <v>22303</v>
      </c>
      <c r="AA72" s="206">
        <v>26369</v>
      </c>
      <c r="AB72" s="1">
        <v>20160</v>
      </c>
      <c r="AC72" s="1">
        <v>0</v>
      </c>
      <c r="AD72" s="1">
        <v>0</v>
      </c>
      <c r="AE72" s="1">
        <v>0</v>
      </c>
    </row>
    <row r="73" spans="1:31" x14ac:dyDescent="0.2">
      <c r="B73" s="6" t="s">
        <v>101</v>
      </c>
      <c r="C73" s="6" t="s">
        <v>101</v>
      </c>
      <c r="D73" s="7">
        <v>4057098</v>
      </c>
      <c r="E73" s="206" t="s">
        <v>123</v>
      </c>
      <c r="F73" s="206" t="s">
        <v>123</v>
      </c>
      <c r="G73" s="206">
        <v>14830</v>
      </c>
      <c r="H73" s="206">
        <v>14398</v>
      </c>
      <c r="I73" s="206">
        <v>9323</v>
      </c>
      <c r="J73" s="206">
        <v>7425</v>
      </c>
      <c r="K73" s="206">
        <v>9908</v>
      </c>
      <c r="L73" s="206">
        <v>9629</v>
      </c>
      <c r="M73" s="206">
        <v>16477</v>
      </c>
      <c r="N73" s="206">
        <v>28751</v>
      </c>
      <c r="O73" s="206">
        <v>9554</v>
      </c>
      <c r="P73" s="206">
        <v>11400</v>
      </c>
      <c r="Q73" s="206">
        <v>18128</v>
      </c>
      <c r="R73" s="206">
        <v>12045</v>
      </c>
      <c r="S73" s="206">
        <v>15289</v>
      </c>
      <c r="T73" s="206">
        <v>11936</v>
      </c>
      <c r="U73" s="206">
        <v>13886</v>
      </c>
      <c r="V73" s="206">
        <v>9906</v>
      </c>
      <c r="W73" s="206">
        <v>16062</v>
      </c>
      <c r="X73" s="206">
        <v>12116</v>
      </c>
      <c r="Y73" s="206" t="s">
        <v>123</v>
      </c>
      <c r="Z73" s="206">
        <v>12964</v>
      </c>
      <c r="AA73" s="206">
        <v>7412</v>
      </c>
      <c r="AB73" s="1">
        <v>8170</v>
      </c>
      <c r="AC73" s="1">
        <v>0</v>
      </c>
      <c r="AD73" s="1">
        <v>0</v>
      </c>
      <c r="AE73" s="1">
        <v>0</v>
      </c>
    </row>
    <row r="74" spans="1:31" x14ac:dyDescent="0.2">
      <c r="A74" s="1" t="s">
        <v>30</v>
      </c>
      <c r="B74" s="6" t="s">
        <v>102</v>
      </c>
      <c r="C74" s="6" t="s">
        <v>102</v>
      </c>
      <c r="D74" s="7">
        <v>4063023</v>
      </c>
      <c r="E74" s="206">
        <v>239351.49900000001</v>
      </c>
      <c r="F74" s="206" t="s">
        <v>123</v>
      </c>
      <c r="G74" s="206">
        <v>245163</v>
      </c>
      <c r="H74" s="206">
        <v>209117</v>
      </c>
      <c r="I74" s="206">
        <v>196188</v>
      </c>
      <c r="J74" s="206">
        <v>184744</v>
      </c>
      <c r="K74" s="206">
        <v>161566</v>
      </c>
      <c r="L74" s="206">
        <v>142763</v>
      </c>
      <c r="M74" s="206">
        <v>126662</v>
      </c>
      <c r="N74" s="206">
        <v>130046</v>
      </c>
      <c r="O74" s="206">
        <v>94075</v>
      </c>
      <c r="P74" s="206">
        <v>65494</v>
      </c>
      <c r="Q74" s="206">
        <v>65868</v>
      </c>
      <c r="R74" s="206">
        <v>47235</v>
      </c>
      <c r="S74" s="206">
        <v>45155</v>
      </c>
      <c r="T74" s="206">
        <v>50256</v>
      </c>
      <c r="U74" s="206">
        <v>54874</v>
      </c>
      <c r="V74" s="206">
        <v>51008</v>
      </c>
      <c r="W74" s="206">
        <v>39065</v>
      </c>
      <c r="X74" s="206">
        <v>38906</v>
      </c>
      <c r="Y74" s="206">
        <v>36892</v>
      </c>
      <c r="Z74" s="206">
        <v>38416</v>
      </c>
      <c r="AA74" s="206">
        <v>35223</v>
      </c>
      <c r="AB74" s="1">
        <v>36447</v>
      </c>
      <c r="AC74" s="1">
        <v>0</v>
      </c>
      <c r="AD74" s="1">
        <v>0</v>
      </c>
      <c r="AE74" s="1">
        <v>0</v>
      </c>
    </row>
    <row r="75" spans="1:31" x14ac:dyDescent="0.2">
      <c r="B75" s="6" t="s">
        <v>103</v>
      </c>
      <c r="C75" s="6" t="s">
        <v>103</v>
      </c>
      <c r="D75" s="7">
        <v>4057146</v>
      </c>
      <c r="E75" s="206">
        <v>773734.55299999996</v>
      </c>
      <c r="F75" s="206" t="s">
        <v>123</v>
      </c>
      <c r="G75" s="206">
        <v>590467</v>
      </c>
      <c r="H75" s="206">
        <v>588006</v>
      </c>
      <c r="I75" s="206">
        <v>720721</v>
      </c>
      <c r="J75" s="206">
        <v>736668</v>
      </c>
      <c r="K75" s="206">
        <v>692498</v>
      </c>
      <c r="L75" s="206">
        <v>537091</v>
      </c>
      <c r="M75" s="206">
        <v>368615</v>
      </c>
      <c r="N75" s="206">
        <v>338643</v>
      </c>
      <c r="O75" s="206">
        <v>499476</v>
      </c>
      <c r="P75" s="206">
        <v>264309</v>
      </c>
      <c r="Q75" s="206">
        <v>250929</v>
      </c>
      <c r="R75" s="206">
        <v>243215</v>
      </c>
      <c r="S75" s="206">
        <v>284009</v>
      </c>
      <c r="T75" s="206">
        <v>305454</v>
      </c>
      <c r="U75" s="206">
        <v>333799</v>
      </c>
      <c r="V75" s="206">
        <v>238031</v>
      </c>
      <c r="W75" s="206">
        <v>212920</v>
      </c>
      <c r="X75" s="206">
        <v>172199</v>
      </c>
      <c r="Y75" s="206">
        <v>133617</v>
      </c>
      <c r="Z75" s="206">
        <v>124796</v>
      </c>
      <c r="AA75" s="206">
        <v>97757</v>
      </c>
      <c r="AB75" s="1">
        <v>95686</v>
      </c>
      <c r="AC75" s="1">
        <v>0</v>
      </c>
      <c r="AD75" s="1">
        <v>0</v>
      </c>
      <c r="AE75" s="1" t="s">
        <v>123</v>
      </c>
    </row>
    <row r="76" spans="1:31" x14ac:dyDescent="0.2">
      <c r="A76" s="1" t="s">
        <v>30</v>
      </c>
      <c r="B76" s="6" t="s">
        <v>104</v>
      </c>
      <c r="C76" s="6" t="s">
        <v>105</v>
      </c>
      <c r="D76" s="7">
        <v>4063060</v>
      </c>
      <c r="E76" s="206">
        <v>52875</v>
      </c>
      <c r="F76" s="206">
        <v>65744</v>
      </c>
      <c r="G76" s="206">
        <v>62806</v>
      </c>
      <c r="H76" s="206">
        <v>54189</v>
      </c>
      <c r="I76" s="206">
        <v>45219</v>
      </c>
      <c r="J76" s="206">
        <v>45675</v>
      </c>
      <c r="K76" s="206">
        <v>60039</v>
      </c>
      <c r="L76" s="206">
        <v>48986</v>
      </c>
      <c r="M76" s="206">
        <v>46418</v>
      </c>
      <c r="N76" s="206">
        <v>36182</v>
      </c>
      <c r="O76" s="206">
        <v>23801</v>
      </c>
      <c r="P76" s="206">
        <v>19771</v>
      </c>
      <c r="Q76" s="206">
        <v>20092</v>
      </c>
      <c r="R76" s="206">
        <v>20247</v>
      </c>
      <c r="S76" s="206">
        <v>21336</v>
      </c>
      <c r="T76" s="206">
        <v>21924</v>
      </c>
      <c r="U76" s="206">
        <v>20007</v>
      </c>
      <c r="V76" s="206">
        <v>18949</v>
      </c>
      <c r="W76" s="206">
        <v>21551</v>
      </c>
      <c r="X76" s="206">
        <v>21583</v>
      </c>
      <c r="Y76" s="206">
        <v>24279</v>
      </c>
      <c r="Z76" s="206">
        <v>6183</v>
      </c>
      <c r="AA76" s="206" t="s">
        <v>123</v>
      </c>
      <c r="AB76" s="1">
        <v>17352</v>
      </c>
      <c r="AC76" s="1">
        <v>0</v>
      </c>
      <c r="AD76" s="1">
        <v>0</v>
      </c>
      <c r="AE76" s="1">
        <v>0</v>
      </c>
    </row>
    <row r="77" spans="1:31" x14ac:dyDescent="0.2">
      <c r="B77" s="6" t="s">
        <v>106</v>
      </c>
      <c r="C77" s="6" t="s">
        <v>106</v>
      </c>
      <c r="D77" s="7">
        <v>4057100</v>
      </c>
      <c r="E77" s="206">
        <v>28716</v>
      </c>
      <c r="F77" s="206">
        <v>37013</v>
      </c>
      <c r="G77" s="206" t="s">
        <v>123</v>
      </c>
      <c r="H77" s="206">
        <v>39071</v>
      </c>
      <c r="I77" s="206">
        <v>28052</v>
      </c>
      <c r="J77" s="206">
        <v>27173</v>
      </c>
      <c r="K77" s="206">
        <v>29541</v>
      </c>
      <c r="L77" s="206">
        <v>25792</v>
      </c>
      <c r="M77" s="206">
        <v>12128</v>
      </c>
      <c r="N77" s="206">
        <v>9032</v>
      </c>
      <c r="O77" s="206">
        <v>9131</v>
      </c>
      <c r="P77" s="206">
        <v>6739</v>
      </c>
      <c r="Q77" s="206">
        <v>7915</v>
      </c>
      <c r="R77" s="206">
        <v>8705</v>
      </c>
      <c r="S77" s="206">
        <v>6228</v>
      </c>
      <c r="T77" s="206">
        <v>7668</v>
      </c>
      <c r="U77" s="206">
        <v>7584</v>
      </c>
      <c r="V77" s="206">
        <v>4967</v>
      </c>
      <c r="W77" s="206">
        <v>6283</v>
      </c>
      <c r="X77" s="206">
        <v>9240</v>
      </c>
      <c r="Y77" s="206">
        <v>2640</v>
      </c>
      <c r="Z77" s="206">
        <v>4657</v>
      </c>
      <c r="AA77" s="206">
        <v>6078</v>
      </c>
      <c r="AB77" s="1">
        <v>4833</v>
      </c>
      <c r="AC77" s="1">
        <v>0</v>
      </c>
      <c r="AD77" s="1">
        <v>0</v>
      </c>
      <c r="AE77" s="1">
        <v>0</v>
      </c>
    </row>
    <row r="78" spans="1:31" x14ac:dyDescent="0.2">
      <c r="B78" s="6" t="s">
        <v>107</v>
      </c>
      <c r="C78" s="6" t="s">
        <v>107</v>
      </c>
      <c r="D78" s="7">
        <v>4064035</v>
      </c>
      <c r="E78" s="206" t="s">
        <v>123</v>
      </c>
      <c r="F78" s="206" t="s">
        <v>123</v>
      </c>
      <c r="G78" s="206">
        <v>5832</v>
      </c>
      <c r="H78" s="206">
        <v>3132</v>
      </c>
      <c r="I78" s="206">
        <v>1598</v>
      </c>
      <c r="J78" s="206">
        <v>2271</v>
      </c>
      <c r="K78" s="206">
        <v>1736</v>
      </c>
      <c r="L78" s="206">
        <v>2790</v>
      </c>
      <c r="M78" s="206">
        <v>2010</v>
      </c>
      <c r="N78" s="206">
        <v>1083</v>
      </c>
      <c r="O78" s="206">
        <v>1099</v>
      </c>
      <c r="P78" s="206">
        <v>1217</v>
      </c>
      <c r="Q78" s="206">
        <v>1160</v>
      </c>
      <c r="R78" s="206">
        <v>1640</v>
      </c>
      <c r="S78" s="206">
        <v>1327</v>
      </c>
      <c r="T78" s="206">
        <v>1092</v>
      </c>
      <c r="U78" s="206">
        <v>952</v>
      </c>
      <c r="V78" s="206">
        <v>976</v>
      </c>
      <c r="W78" s="206">
        <v>1088</v>
      </c>
      <c r="X78" s="206" t="s">
        <v>123</v>
      </c>
      <c r="Y78" s="206">
        <v>814</v>
      </c>
      <c r="Z78" s="206">
        <v>1127</v>
      </c>
      <c r="AA78" s="206" t="s">
        <v>123</v>
      </c>
      <c r="AB78" s="1">
        <v>0</v>
      </c>
      <c r="AC78" s="1">
        <v>0</v>
      </c>
      <c r="AD78" s="1">
        <v>0</v>
      </c>
      <c r="AE78" s="1">
        <v>0</v>
      </c>
    </row>
    <row r="79" spans="1:31" x14ac:dyDescent="0.2">
      <c r="B79" s="6" t="s">
        <v>108</v>
      </c>
      <c r="C79" s="6" t="s">
        <v>108</v>
      </c>
      <c r="D79" s="7">
        <v>4060957</v>
      </c>
      <c r="E79" s="206" t="s">
        <v>123</v>
      </c>
      <c r="F79" s="206">
        <v>164736</v>
      </c>
      <c r="G79" s="206">
        <v>162784</v>
      </c>
      <c r="H79" s="206">
        <v>126745</v>
      </c>
      <c r="I79" s="206">
        <v>154036</v>
      </c>
      <c r="J79" s="206">
        <v>103260</v>
      </c>
      <c r="K79" s="206">
        <v>95837</v>
      </c>
      <c r="L79" s="206">
        <v>78867</v>
      </c>
      <c r="M79" s="206">
        <v>69754</v>
      </c>
      <c r="N79" s="206">
        <v>63515</v>
      </c>
      <c r="O79" s="206">
        <v>54454</v>
      </c>
      <c r="P79" s="206">
        <v>46503</v>
      </c>
      <c r="Q79" s="206">
        <v>46493</v>
      </c>
      <c r="R79" s="206">
        <v>49767</v>
      </c>
      <c r="S79" s="206">
        <v>47470</v>
      </c>
      <c r="T79" s="206">
        <v>48292</v>
      </c>
      <c r="U79" s="206">
        <v>47849</v>
      </c>
      <c r="V79" s="206">
        <v>41649</v>
      </c>
      <c r="W79" s="206">
        <v>44247</v>
      </c>
      <c r="X79" s="206">
        <v>42758</v>
      </c>
      <c r="Y79" s="206">
        <v>37416</v>
      </c>
      <c r="Z79" s="206">
        <v>38503</v>
      </c>
      <c r="AA79" s="206">
        <v>33540</v>
      </c>
      <c r="AB79" s="1">
        <v>34992</v>
      </c>
      <c r="AC79" s="1">
        <v>0</v>
      </c>
      <c r="AD79" s="1">
        <v>0</v>
      </c>
      <c r="AE79" s="1">
        <v>0</v>
      </c>
    </row>
    <row r="80" spans="1:31" x14ac:dyDescent="0.2">
      <c r="B80" s="6" t="s">
        <v>109</v>
      </c>
      <c r="C80" s="6" t="s">
        <v>109</v>
      </c>
      <c r="D80" s="7">
        <v>4063179</v>
      </c>
      <c r="E80" s="206">
        <v>309</v>
      </c>
      <c r="F80" s="206">
        <v>236</v>
      </c>
      <c r="G80" s="206" t="s">
        <v>123</v>
      </c>
      <c r="H80" s="206">
        <v>309</v>
      </c>
      <c r="I80" s="206">
        <v>149</v>
      </c>
      <c r="J80" s="206">
        <v>124</v>
      </c>
      <c r="K80" s="206">
        <v>170</v>
      </c>
      <c r="L80" s="206">
        <v>93</v>
      </c>
      <c r="M80" s="206">
        <v>85</v>
      </c>
      <c r="N80" s="206">
        <v>47</v>
      </c>
      <c r="O80" s="206">
        <v>78</v>
      </c>
      <c r="P80" s="206">
        <v>308</v>
      </c>
      <c r="Q80" s="206">
        <v>93</v>
      </c>
      <c r="R80" s="206">
        <v>78</v>
      </c>
      <c r="S80" s="206">
        <v>39</v>
      </c>
      <c r="T80" s="206">
        <v>60</v>
      </c>
      <c r="U80" s="206">
        <v>30</v>
      </c>
      <c r="V80" s="206">
        <v>67</v>
      </c>
      <c r="W80" s="206">
        <v>53</v>
      </c>
      <c r="X80" s="206">
        <v>84</v>
      </c>
      <c r="Y80" s="206">
        <v>95</v>
      </c>
      <c r="Z80" s="206">
        <v>33</v>
      </c>
      <c r="AA80" s="206">
        <v>64</v>
      </c>
      <c r="AB80" s="1">
        <v>89</v>
      </c>
      <c r="AC80" s="1">
        <v>0</v>
      </c>
      <c r="AD80" s="1">
        <v>0</v>
      </c>
      <c r="AE80" s="1">
        <v>0</v>
      </c>
    </row>
    <row r="81" spans="1:31" x14ac:dyDescent="0.2">
      <c r="A81" s="1" t="s">
        <v>30</v>
      </c>
      <c r="B81" s="6" t="s">
        <v>110</v>
      </c>
      <c r="C81" s="6" t="s">
        <v>110</v>
      </c>
      <c r="D81" s="7">
        <v>4063183</v>
      </c>
      <c r="E81" s="206">
        <v>-105</v>
      </c>
      <c r="F81" s="206">
        <v>32</v>
      </c>
      <c r="G81" s="206">
        <v>-21150</v>
      </c>
      <c r="H81" s="206">
        <v>-1827</v>
      </c>
      <c r="I81" s="206" t="s">
        <v>123</v>
      </c>
      <c r="J81" s="206">
        <v>-404</v>
      </c>
      <c r="K81" s="206">
        <v>31793</v>
      </c>
      <c r="L81" s="206">
        <v>2787</v>
      </c>
      <c r="M81" s="206">
        <v>13145</v>
      </c>
      <c r="N81" s="206">
        <v>1518</v>
      </c>
      <c r="O81" s="206">
        <v>667</v>
      </c>
      <c r="P81" s="206">
        <v>1074</v>
      </c>
      <c r="Q81" s="206">
        <v>1510</v>
      </c>
      <c r="R81" s="206">
        <v>761</v>
      </c>
      <c r="S81" s="206">
        <v>1106</v>
      </c>
      <c r="T81" s="206">
        <v>513</v>
      </c>
      <c r="U81" s="206">
        <v>686</v>
      </c>
      <c r="V81" s="206">
        <v>460</v>
      </c>
      <c r="W81" s="206">
        <v>420</v>
      </c>
      <c r="X81" s="206">
        <v>412</v>
      </c>
      <c r="Y81" s="206">
        <v>562</v>
      </c>
      <c r="Z81" s="206">
        <v>831</v>
      </c>
      <c r="AA81" s="206">
        <v>616</v>
      </c>
      <c r="AB81" s="1">
        <v>2156</v>
      </c>
      <c r="AC81" s="1">
        <v>0</v>
      </c>
      <c r="AD81" s="1">
        <v>0</v>
      </c>
      <c r="AE81" s="1">
        <v>0</v>
      </c>
    </row>
    <row r="82" spans="1:31" x14ac:dyDescent="0.2">
      <c r="B82" s="6" t="s">
        <v>111</v>
      </c>
      <c r="C82" s="6" t="s">
        <v>111</v>
      </c>
      <c r="D82" s="7">
        <v>4063281</v>
      </c>
      <c r="E82" s="206">
        <v>2722</v>
      </c>
      <c r="F82" s="206">
        <v>1436</v>
      </c>
      <c r="G82" s="206">
        <v>2188</v>
      </c>
      <c r="H82" s="206">
        <v>2761</v>
      </c>
      <c r="I82" s="206">
        <v>2475</v>
      </c>
      <c r="J82" s="206">
        <v>1438</v>
      </c>
      <c r="K82" s="206">
        <v>488</v>
      </c>
      <c r="L82" s="206">
        <v>1048</v>
      </c>
      <c r="M82" s="206">
        <v>1344</v>
      </c>
      <c r="N82" s="206">
        <v>662</v>
      </c>
      <c r="O82" s="206">
        <v>547</v>
      </c>
      <c r="P82" s="206">
        <v>402</v>
      </c>
      <c r="Q82" s="206">
        <v>563</v>
      </c>
      <c r="R82" s="206">
        <v>642</v>
      </c>
      <c r="S82" s="206">
        <v>396</v>
      </c>
      <c r="T82" s="206">
        <v>476</v>
      </c>
      <c r="U82" s="206">
        <v>507</v>
      </c>
      <c r="V82" s="206">
        <v>525</v>
      </c>
      <c r="W82" s="206">
        <v>618</v>
      </c>
      <c r="X82" s="206">
        <v>948</v>
      </c>
      <c r="Y82" s="206">
        <v>417</v>
      </c>
      <c r="Z82" s="206">
        <v>442</v>
      </c>
      <c r="AA82" s="206">
        <v>316</v>
      </c>
      <c r="AB82" s="1">
        <v>337</v>
      </c>
      <c r="AC82" s="1">
        <v>0</v>
      </c>
      <c r="AD82" s="1">
        <v>0</v>
      </c>
      <c r="AE82" s="1">
        <v>0</v>
      </c>
    </row>
    <row r="83" spans="1:31" x14ac:dyDescent="0.2">
      <c r="B83" s="6" t="s">
        <v>112</v>
      </c>
      <c r="C83" s="6" t="s">
        <v>112</v>
      </c>
      <c r="D83" s="7">
        <v>4059746</v>
      </c>
      <c r="E83" s="206">
        <v>321479</v>
      </c>
      <c r="F83" s="206">
        <v>191508</v>
      </c>
      <c r="G83" s="206">
        <v>328982</v>
      </c>
      <c r="H83" s="206">
        <v>211387</v>
      </c>
      <c r="I83" s="206">
        <v>258491</v>
      </c>
      <c r="J83" s="206">
        <v>256809</v>
      </c>
      <c r="K83" s="206">
        <v>243349</v>
      </c>
      <c r="L83" s="206">
        <v>208114</v>
      </c>
      <c r="M83" s="206">
        <v>217175</v>
      </c>
      <c r="N83" s="206">
        <v>199361</v>
      </c>
      <c r="O83" s="206">
        <v>168082</v>
      </c>
      <c r="P83" s="206">
        <v>142061</v>
      </c>
      <c r="Q83" s="206">
        <v>115442</v>
      </c>
      <c r="R83" s="206">
        <v>107979</v>
      </c>
      <c r="S83" s="206">
        <v>66456</v>
      </c>
      <c r="T83" s="206">
        <v>61306</v>
      </c>
      <c r="U83" s="206">
        <v>58561</v>
      </c>
      <c r="V83" s="206">
        <v>55008</v>
      </c>
      <c r="W83" s="206">
        <v>61448</v>
      </c>
      <c r="X83" s="206">
        <v>61019</v>
      </c>
      <c r="Y83" s="206">
        <v>34271</v>
      </c>
      <c r="Z83" s="206">
        <v>46321</v>
      </c>
      <c r="AA83" s="206">
        <v>35618</v>
      </c>
      <c r="AB83" s="1">
        <v>42230</v>
      </c>
      <c r="AC83" s="1">
        <v>0</v>
      </c>
      <c r="AD83" s="1">
        <v>0</v>
      </c>
      <c r="AE83" s="1">
        <v>0</v>
      </c>
    </row>
    <row r="84" spans="1:31" x14ac:dyDescent="0.2">
      <c r="A84" s="1" t="s">
        <v>30</v>
      </c>
      <c r="B84" s="6" t="s">
        <v>113</v>
      </c>
      <c r="C84" s="6" t="s">
        <v>113</v>
      </c>
      <c r="D84" s="7">
        <v>4062279</v>
      </c>
      <c r="E84" s="206" t="s">
        <v>123</v>
      </c>
      <c r="F84" s="206" t="s">
        <v>123</v>
      </c>
      <c r="G84" s="206" t="s">
        <v>123</v>
      </c>
      <c r="H84" s="206" t="s">
        <v>123</v>
      </c>
      <c r="I84" s="206">
        <v>47626</v>
      </c>
      <c r="J84" s="206">
        <v>46853</v>
      </c>
      <c r="K84" s="206">
        <v>46317</v>
      </c>
      <c r="L84" s="206">
        <v>36689</v>
      </c>
      <c r="M84" s="206">
        <v>34142</v>
      </c>
      <c r="N84" s="206">
        <v>23611</v>
      </c>
      <c r="O84" s="206">
        <v>23848</v>
      </c>
      <c r="P84" s="206">
        <v>12328</v>
      </c>
      <c r="Q84" s="206">
        <v>15915</v>
      </c>
      <c r="R84" s="206">
        <v>21508</v>
      </c>
      <c r="S84" s="206">
        <v>17003</v>
      </c>
      <c r="T84" s="206">
        <v>13547</v>
      </c>
      <c r="U84" s="206">
        <v>21077</v>
      </c>
      <c r="V84" s="206">
        <v>20052</v>
      </c>
      <c r="W84" s="206">
        <v>19382</v>
      </c>
      <c r="X84" s="206">
        <v>11175</v>
      </c>
      <c r="Y84" s="206">
        <v>23415</v>
      </c>
      <c r="Z84" s="206">
        <v>23252</v>
      </c>
      <c r="AA84" s="206" t="s">
        <v>123</v>
      </c>
      <c r="AB84" s="1">
        <v>20124</v>
      </c>
      <c r="AC84" s="1">
        <v>0</v>
      </c>
      <c r="AD84" s="1">
        <v>0</v>
      </c>
      <c r="AE84" s="1">
        <v>0</v>
      </c>
    </row>
    <row r="85" spans="1:31" x14ac:dyDescent="0.2">
      <c r="A85" s="1" t="s">
        <v>30</v>
      </c>
      <c r="B85" s="6" t="s">
        <v>114</v>
      </c>
      <c r="C85" s="6" t="s">
        <v>114</v>
      </c>
      <c r="D85" s="7">
        <v>4063729</v>
      </c>
      <c r="E85" s="206" t="s">
        <v>123</v>
      </c>
      <c r="F85" s="206" t="s">
        <v>123</v>
      </c>
      <c r="G85" s="206" t="s">
        <v>123</v>
      </c>
      <c r="H85" s="206" t="s">
        <v>123</v>
      </c>
      <c r="I85" s="206">
        <v>14915</v>
      </c>
      <c r="J85" s="206">
        <v>8738</v>
      </c>
      <c r="K85" s="206">
        <v>9815</v>
      </c>
      <c r="L85" s="206">
        <v>9634</v>
      </c>
      <c r="M85" s="206">
        <v>9411</v>
      </c>
      <c r="N85" s="206">
        <v>9180</v>
      </c>
      <c r="O85" s="206">
        <v>6864</v>
      </c>
      <c r="P85" s="206">
        <v>8465</v>
      </c>
      <c r="Q85" s="206">
        <v>10237</v>
      </c>
      <c r="R85" s="206">
        <v>9768</v>
      </c>
      <c r="S85" s="206">
        <v>7926</v>
      </c>
      <c r="T85" s="206">
        <v>7619</v>
      </c>
      <c r="U85" s="206">
        <v>10343</v>
      </c>
      <c r="V85" s="206">
        <v>9545</v>
      </c>
      <c r="W85" s="206">
        <v>5495</v>
      </c>
      <c r="X85" s="206">
        <v>3417</v>
      </c>
      <c r="Y85" s="206">
        <v>3535</v>
      </c>
      <c r="Z85" s="206">
        <v>3708</v>
      </c>
      <c r="AA85" s="206">
        <v>3344</v>
      </c>
      <c r="AB85" s="1" t="s">
        <v>123</v>
      </c>
      <c r="AC85" s="1" t="s">
        <v>123</v>
      </c>
      <c r="AD85" s="1">
        <v>0</v>
      </c>
      <c r="AE85" s="1">
        <v>0</v>
      </c>
    </row>
    <row r="86" spans="1:31" x14ac:dyDescent="0.2">
      <c r="B86" s="6" t="s">
        <v>115</v>
      </c>
      <c r="C86" s="6" t="s">
        <v>115</v>
      </c>
      <c r="D86" s="7">
        <v>4063762</v>
      </c>
      <c r="E86" s="206">
        <v>119710.47</v>
      </c>
      <c r="F86" s="206">
        <v>230244</v>
      </c>
      <c r="G86" s="206">
        <v>83667</v>
      </c>
      <c r="H86" s="206">
        <v>46120</v>
      </c>
      <c r="I86" s="206">
        <v>53367</v>
      </c>
      <c r="J86" s="206">
        <v>88302</v>
      </c>
      <c r="K86" s="206">
        <v>50758</v>
      </c>
      <c r="L86" s="206">
        <v>64014</v>
      </c>
      <c r="M86" s="206">
        <v>35900</v>
      </c>
      <c r="N86" s="206">
        <v>36933</v>
      </c>
      <c r="O86" s="206">
        <v>52683</v>
      </c>
      <c r="P86" s="206">
        <v>29298</v>
      </c>
      <c r="Q86" s="206">
        <v>23630</v>
      </c>
      <c r="R86" s="206">
        <v>11158</v>
      </c>
      <c r="S86" s="206">
        <v>39146</v>
      </c>
      <c r="T86" s="206">
        <v>8173</v>
      </c>
      <c r="U86" s="206">
        <v>18001</v>
      </c>
      <c r="V86" s="206">
        <v>10745</v>
      </c>
      <c r="W86" s="206">
        <v>28348</v>
      </c>
      <c r="X86" s="206">
        <v>4520</v>
      </c>
      <c r="Y86" s="206">
        <v>3127</v>
      </c>
      <c r="Z86" s="206">
        <v>24914</v>
      </c>
      <c r="AA86" s="206">
        <v>17418</v>
      </c>
      <c r="AB86" s="1">
        <v>20888</v>
      </c>
      <c r="AC86" s="1">
        <v>0</v>
      </c>
      <c r="AD86" s="1">
        <v>0</v>
      </c>
      <c r="AE86" s="1" t="s">
        <v>123</v>
      </c>
    </row>
    <row r="87" spans="1:31" x14ac:dyDescent="0.2">
      <c r="B87" s="6" t="s">
        <v>116</v>
      </c>
      <c r="C87" s="6" t="s">
        <v>116</v>
      </c>
      <c r="D87" s="7">
        <v>4058284</v>
      </c>
      <c r="E87" s="206">
        <v>292588.853</v>
      </c>
      <c r="F87" s="206">
        <v>286246</v>
      </c>
      <c r="G87" s="206">
        <v>279450</v>
      </c>
      <c r="H87" s="206">
        <v>279668</v>
      </c>
      <c r="I87" s="206">
        <v>225817</v>
      </c>
      <c r="J87" s="206">
        <v>277773</v>
      </c>
      <c r="K87" s="206">
        <v>237154</v>
      </c>
      <c r="L87" s="206">
        <v>254313</v>
      </c>
      <c r="M87" s="206">
        <v>164004</v>
      </c>
      <c r="N87" s="206">
        <v>118123</v>
      </c>
      <c r="O87" s="206">
        <v>87011</v>
      </c>
      <c r="P87" s="206">
        <v>80080</v>
      </c>
      <c r="Q87" s="206">
        <v>92749</v>
      </c>
      <c r="R87" s="206">
        <v>103244</v>
      </c>
      <c r="S87" s="206">
        <v>87593</v>
      </c>
      <c r="T87" s="206">
        <v>116598</v>
      </c>
      <c r="U87" s="206">
        <v>70998</v>
      </c>
      <c r="V87" s="206">
        <v>75644</v>
      </c>
      <c r="W87" s="206">
        <v>82278</v>
      </c>
      <c r="X87" s="206">
        <v>113527</v>
      </c>
      <c r="Y87" s="206">
        <v>112248</v>
      </c>
      <c r="Z87" s="206">
        <v>100033</v>
      </c>
      <c r="AA87" s="206">
        <v>86039</v>
      </c>
      <c r="AB87" s="1">
        <v>98483</v>
      </c>
      <c r="AC87" s="1">
        <v>0</v>
      </c>
      <c r="AD87" s="1">
        <v>0</v>
      </c>
      <c r="AE87" s="1">
        <v>0</v>
      </c>
    </row>
    <row r="88" spans="1:31" x14ac:dyDescent="0.2">
      <c r="B88" s="6" t="s">
        <v>117</v>
      </c>
      <c r="C88" s="6" t="s">
        <v>117</v>
      </c>
      <c r="D88" s="7">
        <v>4008752</v>
      </c>
      <c r="E88" s="206">
        <v>125524</v>
      </c>
      <c r="F88" s="206">
        <v>136913</v>
      </c>
      <c r="G88" s="206">
        <v>156761</v>
      </c>
      <c r="H88" s="206">
        <v>134043</v>
      </c>
      <c r="I88" s="206">
        <v>149642</v>
      </c>
      <c r="J88" s="206">
        <v>109519</v>
      </c>
      <c r="K88" s="206">
        <v>237906</v>
      </c>
      <c r="L88" s="206">
        <v>139849</v>
      </c>
      <c r="M88" s="206">
        <v>119400</v>
      </c>
      <c r="N88" s="206">
        <v>112569</v>
      </c>
      <c r="O88" s="206">
        <v>77117</v>
      </c>
      <c r="P88" s="206">
        <v>65517</v>
      </c>
      <c r="Q88" s="206">
        <v>56538</v>
      </c>
      <c r="R88" s="206">
        <v>67590</v>
      </c>
      <c r="S88" s="206">
        <v>44063</v>
      </c>
      <c r="T88" s="206">
        <v>37928</v>
      </c>
      <c r="U88" s="206">
        <v>39644</v>
      </c>
      <c r="V88" s="206">
        <v>44561</v>
      </c>
      <c r="W88" s="206">
        <v>39213</v>
      </c>
      <c r="X88" s="206">
        <v>46734</v>
      </c>
      <c r="Y88" s="206">
        <v>28158</v>
      </c>
      <c r="Z88" s="206">
        <v>36781</v>
      </c>
      <c r="AA88" s="206">
        <v>28638</v>
      </c>
      <c r="AB88" s="1">
        <v>27463</v>
      </c>
      <c r="AC88" s="1">
        <v>0</v>
      </c>
      <c r="AD88" s="1">
        <v>0</v>
      </c>
      <c r="AE88" s="1">
        <v>0</v>
      </c>
    </row>
    <row r="89" spans="1:31" x14ac:dyDescent="0.2">
      <c r="B89" s="6" t="s">
        <v>118</v>
      </c>
      <c r="C89" s="6" t="s">
        <v>118</v>
      </c>
      <c r="D89" s="7">
        <v>4008669</v>
      </c>
      <c r="E89" s="206">
        <v>44814</v>
      </c>
      <c r="F89" s="206">
        <v>63947</v>
      </c>
      <c r="G89" s="206">
        <v>40681</v>
      </c>
      <c r="H89" s="206">
        <v>42753</v>
      </c>
      <c r="I89" s="206">
        <v>41559</v>
      </c>
      <c r="J89" s="206">
        <v>48571</v>
      </c>
      <c r="K89" s="206">
        <v>33675</v>
      </c>
      <c r="L89" s="206">
        <v>21266</v>
      </c>
      <c r="M89" s="206">
        <v>19159</v>
      </c>
      <c r="N89" s="206">
        <v>14260</v>
      </c>
      <c r="O89" s="206">
        <v>15536</v>
      </c>
      <c r="P89" s="206">
        <v>20274</v>
      </c>
      <c r="Q89" s="206">
        <v>25250</v>
      </c>
      <c r="R89" s="206">
        <v>30563</v>
      </c>
      <c r="S89" s="206">
        <v>4301</v>
      </c>
      <c r="T89" s="206" t="s">
        <v>123</v>
      </c>
      <c r="U89" s="206">
        <v>15931</v>
      </c>
      <c r="V89" s="206">
        <v>18903</v>
      </c>
      <c r="W89" s="206">
        <v>16462</v>
      </c>
      <c r="X89" s="206">
        <v>6134</v>
      </c>
      <c r="Y89" s="206">
        <v>11237</v>
      </c>
      <c r="Z89" s="206">
        <v>15138</v>
      </c>
      <c r="AA89" s="206">
        <v>10210</v>
      </c>
      <c r="AB89" s="1">
        <v>7050</v>
      </c>
      <c r="AC89" s="1">
        <v>0</v>
      </c>
      <c r="AD89" s="1">
        <v>0</v>
      </c>
      <c r="AE89" s="1">
        <v>0</v>
      </c>
    </row>
    <row r="90" spans="1:31" x14ac:dyDescent="0.2">
      <c r="B90" s="6" t="s">
        <v>119</v>
      </c>
      <c r="C90" s="6" t="s">
        <v>120</v>
      </c>
      <c r="D90" s="7">
        <v>4076892</v>
      </c>
      <c r="E90" s="206" t="s">
        <v>123</v>
      </c>
      <c r="F90" s="206">
        <v>127</v>
      </c>
      <c r="G90" s="206">
        <v>210</v>
      </c>
      <c r="H90" s="206">
        <v>100</v>
      </c>
      <c r="I90" s="206">
        <v>107</v>
      </c>
      <c r="J90" s="206">
        <v>251</v>
      </c>
      <c r="K90" s="206">
        <v>207</v>
      </c>
      <c r="L90" s="206">
        <v>200</v>
      </c>
      <c r="M90" s="206">
        <v>95</v>
      </c>
      <c r="N90" s="206">
        <v>210</v>
      </c>
      <c r="O90" s="206">
        <v>503</v>
      </c>
      <c r="P90" s="206">
        <v>716</v>
      </c>
      <c r="Q90" s="206">
        <v>310</v>
      </c>
      <c r="R90" s="206">
        <v>472</v>
      </c>
      <c r="S90" s="206">
        <v>556</v>
      </c>
      <c r="T90" s="206">
        <v>150</v>
      </c>
      <c r="U90" s="206">
        <v>191</v>
      </c>
      <c r="V90" s="206">
        <v>131</v>
      </c>
      <c r="W90" s="206">
        <v>410</v>
      </c>
      <c r="X90" s="206">
        <v>101</v>
      </c>
      <c r="Y90" s="206" t="s">
        <v>123</v>
      </c>
      <c r="Z90" s="206" t="s">
        <v>123</v>
      </c>
      <c r="AA90" s="206" t="s">
        <v>123</v>
      </c>
      <c r="AB90" s="1" t="s">
        <v>123</v>
      </c>
      <c r="AC90" s="1" t="s">
        <v>123</v>
      </c>
      <c r="AD90" s="1" t="s">
        <v>123</v>
      </c>
      <c r="AE90" s="1" t="s">
        <v>123</v>
      </c>
    </row>
    <row r="91" spans="1:31" x14ac:dyDescent="0.2">
      <c r="A91" s="1" t="s">
        <v>30</v>
      </c>
      <c r="B91" s="6" t="s">
        <v>121</v>
      </c>
      <c r="C91" s="6" t="s">
        <v>122</v>
      </c>
      <c r="D91" s="7">
        <v>4064141</v>
      </c>
      <c r="E91" s="206">
        <v>195582</v>
      </c>
      <c r="F91" s="206">
        <v>187318</v>
      </c>
      <c r="G91" s="206">
        <v>199657</v>
      </c>
      <c r="H91" s="206">
        <v>164259</v>
      </c>
      <c r="I91" s="206">
        <v>113048</v>
      </c>
      <c r="J91" s="206">
        <v>138150</v>
      </c>
      <c r="K91" s="206">
        <v>70590</v>
      </c>
      <c r="L91" s="206">
        <v>98247</v>
      </c>
      <c r="M91" s="206">
        <v>91488</v>
      </c>
      <c r="N91" s="206">
        <v>90248</v>
      </c>
      <c r="O91" s="206">
        <v>101025</v>
      </c>
      <c r="P91" s="206">
        <v>57438</v>
      </c>
      <c r="Q91" s="206">
        <v>62955</v>
      </c>
      <c r="R91" s="206">
        <v>58978</v>
      </c>
      <c r="S91" s="206">
        <v>26596</v>
      </c>
      <c r="T91" s="206">
        <v>31112</v>
      </c>
      <c r="U91" s="206">
        <v>38473</v>
      </c>
      <c r="V91" s="206">
        <v>45512</v>
      </c>
      <c r="W91" s="206">
        <v>52497</v>
      </c>
      <c r="X91" s="206">
        <v>44077</v>
      </c>
      <c r="Y91" s="206">
        <v>23946</v>
      </c>
      <c r="Z91" s="206">
        <v>17984</v>
      </c>
      <c r="AA91" s="206">
        <v>20230</v>
      </c>
      <c r="AB91" s="1">
        <v>22874</v>
      </c>
      <c r="AC91" s="1">
        <v>0</v>
      </c>
      <c r="AD91" s="1">
        <v>0</v>
      </c>
      <c r="AE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Calculation</vt:lpstr>
      <vt:lpstr>Labor Expenditures</vt:lpstr>
      <vt:lpstr>Non-Labor Expenditures</vt:lpstr>
      <vt:lpstr>Total Customers</vt:lpstr>
      <vt:lpstr>Gross Dx Plant</vt:lpstr>
      <vt:lpstr>Dist Plant Depreciation</vt:lpstr>
      <vt:lpstr>Gross Gen Plant</vt:lpstr>
      <vt:lpstr>Gen. Plant Depreciation</vt:lpstr>
      <vt:lpstr>Dist. Plant Gas Additions</vt:lpstr>
      <vt:lpstr>Gen. Plant Additions</vt:lpstr>
      <vt:lpstr>Total Gas Plant</vt:lpstr>
      <vt:lpstr>PPI-Construction</vt:lpstr>
      <vt:lpstr>GDP-PI</vt:lpstr>
      <vt:lpstr>ECI - Input Price</vt:lpstr>
      <vt:lpstr>RoR</vt:lpstr>
      <vt:lpstr>HW Dx Data</vt:lpstr>
      <vt:lpstr>State Tax Lookup</vt:lpstr>
      <vt:lpstr>Delete Companies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/>
  <dcterms:created xsi:type="dcterms:W3CDTF">2022-11-01T21:15:48Z</dcterms:created>
  <dcterms:modified xsi:type="dcterms:W3CDTF">2022-11-01T21:19:03Z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694783-de61-499c-97f7-53d7c605e6e9_Enabled">
    <vt:lpwstr>true</vt:lpwstr>
  </property>
  <property fmtid="{D5CDD505-2E9C-101B-9397-08002B2CF9AE}" pid="3" name="MSIP_Label_67694783-de61-499c-97f7-53d7c605e6e9_SetDate">
    <vt:lpwstr>2022-11-01T21:15:53Z</vt:lpwstr>
  </property>
  <property fmtid="{D5CDD505-2E9C-101B-9397-08002B2CF9AE}" pid="4" name="MSIP_Label_67694783-de61-499c-97f7-53d7c605e6e9_Method">
    <vt:lpwstr>Privileged</vt:lpwstr>
  </property>
  <property fmtid="{D5CDD505-2E9C-101B-9397-08002B2CF9AE}" pid="5" name="MSIP_Label_67694783-de61-499c-97f7-53d7c605e6e9_Name">
    <vt:lpwstr>67694783-de61-499c-97f7-53d7c605e6e9</vt:lpwstr>
  </property>
  <property fmtid="{D5CDD505-2E9C-101B-9397-08002B2CF9AE}" pid="6" name="MSIP_Label_67694783-de61-499c-97f7-53d7c605e6e9_SiteId">
    <vt:lpwstr>271df5c2-953a-497b-93ad-7adf7a4b3cd7</vt:lpwstr>
  </property>
  <property fmtid="{D5CDD505-2E9C-101B-9397-08002B2CF9AE}" pid="7" name="MSIP_Label_67694783-de61-499c-97f7-53d7c605e6e9_ActionId">
    <vt:lpwstr>2f334d71-d558-4289-8873-84f145be7cf0</vt:lpwstr>
  </property>
  <property fmtid="{D5CDD505-2E9C-101B-9397-08002B2CF9AE}" pid="8" name="MSIP_Label_67694783-de61-499c-97f7-53d7c605e6e9_ContentBits">
    <vt:lpwstr>0</vt:lpwstr>
  </property>
</Properties>
</file>